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153-50ms-XSens-Posi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423" i="1" l="1"/>
  <c r="Q4423" i="1"/>
  <c r="P4423" i="1"/>
  <c r="O4423" i="1"/>
  <c r="V4422" i="1"/>
  <c r="Q4422" i="1"/>
  <c r="P4422" i="1"/>
  <c r="O4422" i="1"/>
  <c r="V4421" i="1"/>
  <c r="Q4421" i="1"/>
  <c r="P4421" i="1"/>
  <c r="O4421" i="1"/>
  <c r="V4420" i="1"/>
  <c r="Q4420" i="1"/>
  <c r="P4420" i="1"/>
  <c r="O4420" i="1"/>
  <c r="V4419" i="1"/>
  <c r="Q4419" i="1"/>
  <c r="P4419" i="1"/>
  <c r="O4419" i="1"/>
  <c r="V4418" i="1"/>
  <c r="Q4418" i="1"/>
  <c r="P4418" i="1"/>
  <c r="O4418" i="1"/>
  <c r="V4417" i="1"/>
  <c r="Q4417" i="1"/>
  <c r="P4417" i="1"/>
  <c r="O4417" i="1"/>
  <c r="V4416" i="1"/>
  <c r="Q4416" i="1"/>
  <c r="P4416" i="1"/>
  <c r="O4416" i="1"/>
  <c r="V4415" i="1"/>
  <c r="Q4415" i="1"/>
  <c r="P4415" i="1"/>
  <c r="O4415" i="1"/>
  <c r="V4414" i="1"/>
  <c r="Q4414" i="1"/>
  <c r="P4414" i="1"/>
  <c r="O4414" i="1"/>
  <c r="V4413" i="1"/>
  <c r="Q4413" i="1"/>
  <c r="P4413" i="1"/>
  <c r="O4413" i="1"/>
  <c r="V4412" i="1"/>
  <c r="Q4412" i="1"/>
  <c r="P4412" i="1"/>
  <c r="O4412" i="1"/>
  <c r="V4411" i="1"/>
  <c r="Q4411" i="1"/>
  <c r="P4411" i="1"/>
  <c r="O4411" i="1"/>
  <c r="V4410" i="1"/>
  <c r="Q4410" i="1"/>
  <c r="P4410" i="1"/>
  <c r="O4410" i="1"/>
  <c r="V4409" i="1"/>
  <c r="Q4409" i="1"/>
  <c r="P4409" i="1"/>
  <c r="O4409" i="1"/>
  <c r="V4408" i="1"/>
  <c r="Q4408" i="1"/>
  <c r="P4408" i="1"/>
  <c r="O4408" i="1"/>
  <c r="N4408" i="1"/>
  <c r="V4407" i="1"/>
  <c r="Q4407" i="1"/>
  <c r="P4407" i="1"/>
  <c r="O4407" i="1"/>
  <c r="N4407" i="1"/>
  <c r="V4406" i="1"/>
  <c r="Q4406" i="1"/>
  <c r="P4406" i="1"/>
  <c r="O4406" i="1"/>
  <c r="N4406" i="1"/>
  <c r="V4405" i="1"/>
  <c r="Q4405" i="1"/>
  <c r="P4405" i="1"/>
  <c r="O4405" i="1"/>
  <c r="N4405" i="1"/>
  <c r="V4404" i="1"/>
  <c r="Q4404" i="1"/>
  <c r="P4404" i="1"/>
  <c r="O4404" i="1"/>
  <c r="N4404" i="1"/>
  <c r="V4403" i="1"/>
  <c r="Q4403" i="1"/>
  <c r="P4403" i="1"/>
  <c r="O4403" i="1"/>
  <c r="N4403" i="1"/>
  <c r="V4402" i="1"/>
  <c r="Q4402" i="1"/>
  <c r="P4402" i="1"/>
  <c r="O4402" i="1"/>
  <c r="N4402" i="1"/>
  <c r="V4401" i="1"/>
  <c r="Q4401" i="1"/>
  <c r="P4401" i="1"/>
  <c r="O4401" i="1"/>
  <c r="N4401" i="1"/>
  <c r="V4400" i="1"/>
  <c r="Q4400" i="1"/>
  <c r="P4400" i="1"/>
  <c r="O4400" i="1"/>
  <c r="N4400" i="1"/>
  <c r="V4399" i="1"/>
  <c r="Q4399" i="1"/>
  <c r="P4399" i="1"/>
  <c r="O4399" i="1"/>
  <c r="N4399" i="1"/>
  <c r="V4398" i="1"/>
  <c r="Q4398" i="1"/>
  <c r="P4398" i="1"/>
  <c r="O4398" i="1"/>
  <c r="N4398" i="1"/>
  <c r="V4397" i="1"/>
  <c r="Q4397" i="1"/>
  <c r="P4397" i="1"/>
  <c r="O4397" i="1"/>
  <c r="N4397" i="1"/>
  <c r="V4396" i="1"/>
  <c r="Q4396" i="1"/>
  <c r="P4396" i="1"/>
  <c r="O4396" i="1"/>
  <c r="N4396" i="1"/>
  <c r="V4395" i="1"/>
  <c r="Q4395" i="1"/>
  <c r="P4395" i="1"/>
  <c r="O4395" i="1"/>
  <c r="N4395" i="1"/>
  <c r="V4394" i="1"/>
  <c r="Q4394" i="1"/>
  <c r="P4394" i="1"/>
  <c r="O4394" i="1"/>
  <c r="N4394" i="1"/>
  <c r="V4393" i="1"/>
  <c r="Q4393" i="1"/>
  <c r="P4393" i="1"/>
  <c r="O4393" i="1"/>
  <c r="N4393" i="1"/>
  <c r="V4392" i="1"/>
  <c r="Q4392" i="1"/>
  <c r="P4392" i="1"/>
  <c r="O4392" i="1"/>
  <c r="N4392" i="1"/>
  <c r="V4391" i="1"/>
  <c r="Q4391" i="1"/>
  <c r="P4391" i="1"/>
  <c r="O4391" i="1"/>
  <c r="N4391" i="1"/>
  <c r="V4390" i="1"/>
  <c r="Q4390" i="1"/>
  <c r="P4390" i="1"/>
  <c r="O4390" i="1"/>
  <c r="N4390" i="1"/>
  <c r="V4389" i="1"/>
  <c r="Q4389" i="1"/>
  <c r="P4389" i="1"/>
  <c r="O4389" i="1"/>
  <c r="N4389" i="1"/>
  <c r="V4388" i="1"/>
  <c r="Q4388" i="1"/>
  <c r="P4388" i="1"/>
  <c r="O4388" i="1"/>
  <c r="N4388" i="1"/>
  <c r="V4387" i="1"/>
  <c r="Q4387" i="1"/>
  <c r="P4387" i="1"/>
  <c r="O4387" i="1"/>
  <c r="N4387" i="1"/>
  <c r="V4386" i="1"/>
  <c r="Q4386" i="1"/>
  <c r="P4386" i="1"/>
  <c r="O4386" i="1"/>
  <c r="N4386" i="1"/>
  <c r="V4385" i="1"/>
  <c r="Q4385" i="1"/>
  <c r="P4385" i="1"/>
  <c r="O4385" i="1"/>
  <c r="N4385" i="1"/>
  <c r="V4384" i="1"/>
  <c r="Q4384" i="1"/>
  <c r="P4384" i="1"/>
  <c r="O4384" i="1"/>
  <c r="N4384" i="1"/>
  <c r="V4383" i="1"/>
  <c r="Q4383" i="1"/>
  <c r="P4383" i="1"/>
  <c r="O4383" i="1"/>
  <c r="N4383" i="1"/>
  <c r="V4382" i="1"/>
  <c r="Q4382" i="1"/>
  <c r="P4382" i="1"/>
  <c r="O4382" i="1"/>
  <c r="N4382" i="1"/>
  <c r="V4381" i="1"/>
  <c r="Q4381" i="1"/>
  <c r="P4381" i="1"/>
  <c r="O4381" i="1"/>
  <c r="N4381" i="1"/>
  <c r="V4380" i="1"/>
  <c r="Q4380" i="1"/>
  <c r="P4380" i="1"/>
  <c r="O4380" i="1"/>
  <c r="N4380" i="1"/>
  <c r="V4379" i="1"/>
  <c r="Q4379" i="1"/>
  <c r="P4379" i="1"/>
  <c r="O4379" i="1"/>
  <c r="N4379" i="1"/>
  <c r="V4378" i="1"/>
  <c r="Q4378" i="1"/>
  <c r="P4378" i="1"/>
  <c r="O4378" i="1"/>
  <c r="N4378" i="1"/>
  <c r="V4377" i="1"/>
  <c r="Q4377" i="1"/>
  <c r="P4377" i="1"/>
  <c r="O4377" i="1"/>
  <c r="N4377" i="1"/>
  <c r="V4376" i="1"/>
  <c r="Q4376" i="1"/>
  <c r="P4376" i="1"/>
  <c r="O4376" i="1"/>
  <c r="N4376" i="1"/>
  <c r="V4375" i="1"/>
  <c r="Q4375" i="1"/>
  <c r="P4375" i="1"/>
  <c r="O4375" i="1"/>
  <c r="N4375" i="1"/>
  <c r="V4374" i="1"/>
  <c r="Q4374" i="1"/>
  <c r="P4374" i="1"/>
  <c r="O4374" i="1"/>
  <c r="N4374" i="1"/>
  <c r="V4373" i="1"/>
  <c r="Q4373" i="1"/>
  <c r="P4373" i="1"/>
  <c r="O4373" i="1"/>
  <c r="N4373" i="1"/>
  <c r="V4372" i="1"/>
  <c r="Q4372" i="1"/>
  <c r="P4372" i="1"/>
  <c r="O4372" i="1"/>
  <c r="N4372" i="1"/>
  <c r="V4371" i="1"/>
  <c r="Q4371" i="1"/>
  <c r="P4371" i="1"/>
  <c r="O4371" i="1"/>
  <c r="N4371" i="1"/>
  <c r="V4370" i="1"/>
  <c r="Q4370" i="1"/>
  <c r="P4370" i="1"/>
  <c r="O4370" i="1"/>
  <c r="N4370" i="1"/>
  <c r="V4369" i="1"/>
  <c r="Q4369" i="1"/>
  <c r="P4369" i="1"/>
  <c r="O4369" i="1"/>
  <c r="N4369" i="1"/>
  <c r="V4368" i="1"/>
  <c r="Q4368" i="1"/>
  <c r="P4368" i="1"/>
  <c r="O4368" i="1"/>
  <c r="N4368" i="1"/>
  <c r="V4367" i="1"/>
  <c r="Q4367" i="1"/>
  <c r="P4367" i="1"/>
  <c r="O4367" i="1"/>
  <c r="N4367" i="1"/>
  <c r="V4366" i="1"/>
  <c r="Q4366" i="1"/>
  <c r="P4366" i="1"/>
  <c r="O4366" i="1"/>
  <c r="N4366" i="1"/>
  <c r="V4365" i="1"/>
  <c r="Q4365" i="1"/>
  <c r="P4365" i="1"/>
  <c r="O4365" i="1"/>
  <c r="N4365" i="1"/>
  <c r="V4364" i="1"/>
  <c r="Q4364" i="1"/>
  <c r="P4364" i="1"/>
  <c r="O4364" i="1"/>
  <c r="N4364" i="1"/>
  <c r="V4363" i="1"/>
  <c r="Q4363" i="1"/>
  <c r="P4363" i="1"/>
  <c r="O4363" i="1"/>
  <c r="N4363" i="1"/>
  <c r="V4362" i="1"/>
  <c r="Q4362" i="1"/>
  <c r="P4362" i="1"/>
  <c r="O4362" i="1"/>
  <c r="N4362" i="1"/>
  <c r="V4361" i="1"/>
  <c r="Q4361" i="1"/>
  <c r="P4361" i="1"/>
  <c r="O4361" i="1"/>
  <c r="N4361" i="1"/>
  <c r="V4360" i="1"/>
  <c r="Q4360" i="1"/>
  <c r="P4360" i="1"/>
  <c r="O4360" i="1"/>
  <c r="N4360" i="1"/>
  <c r="V4359" i="1"/>
  <c r="Q4359" i="1"/>
  <c r="P4359" i="1"/>
  <c r="O4359" i="1"/>
  <c r="N4359" i="1"/>
  <c r="V4358" i="1"/>
  <c r="Q4358" i="1"/>
  <c r="P4358" i="1"/>
  <c r="O4358" i="1"/>
  <c r="N4358" i="1"/>
  <c r="V4357" i="1"/>
  <c r="Q4357" i="1"/>
  <c r="P4357" i="1"/>
  <c r="O4357" i="1"/>
  <c r="N4357" i="1"/>
  <c r="V4356" i="1"/>
  <c r="Q4356" i="1"/>
  <c r="P4356" i="1"/>
  <c r="O4356" i="1"/>
  <c r="N4356" i="1"/>
  <c r="V4355" i="1"/>
  <c r="Q4355" i="1"/>
  <c r="P4355" i="1"/>
  <c r="O4355" i="1"/>
  <c r="N4355" i="1"/>
  <c r="V4354" i="1"/>
  <c r="Q4354" i="1"/>
  <c r="P4354" i="1"/>
  <c r="O4354" i="1"/>
  <c r="N4354" i="1"/>
  <c r="V4353" i="1"/>
  <c r="Q4353" i="1"/>
  <c r="P4353" i="1"/>
  <c r="O4353" i="1"/>
  <c r="N4353" i="1"/>
  <c r="V4352" i="1"/>
  <c r="Q4352" i="1"/>
  <c r="P4352" i="1"/>
  <c r="O4352" i="1"/>
  <c r="N4352" i="1"/>
  <c r="V4351" i="1"/>
  <c r="Q4351" i="1"/>
  <c r="P4351" i="1"/>
  <c r="O4351" i="1"/>
  <c r="N4351" i="1"/>
  <c r="V4350" i="1"/>
  <c r="Q4350" i="1"/>
  <c r="P4350" i="1"/>
  <c r="O4350" i="1"/>
  <c r="N4350" i="1"/>
  <c r="V4349" i="1"/>
  <c r="Q4349" i="1"/>
  <c r="P4349" i="1"/>
  <c r="O4349" i="1"/>
  <c r="N4349" i="1"/>
  <c r="V4348" i="1"/>
  <c r="Q4348" i="1"/>
  <c r="P4348" i="1"/>
  <c r="O4348" i="1"/>
  <c r="N4348" i="1"/>
  <c r="V4347" i="1"/>
  <c r="Q4347" i="1"/>
  <c r="P4347" i="1"/>
  <c r="O4347" i="1"/>
  <c r="N4347" i="1"/>
  <c r="V4346" i="1"/>
  <c r="Q4346" i="1"/>
  <c r="P4346" i="1"/>
  <c r="O4346" i="1"/>
  <c r="N4346" i="1"/>
  <c r="V4345" i="1"/>
  <c r="Q4345" i="1"/>
  <c r="P4345" i="1"/>
  <c r="O4345" i="1"/>
  <c r="N4345" i="1"/>
  <c r="V4344" i="1"/>
  <c r="Q4344" i="1"/>
  <c r="P4344" i="1"/>
  <c r="O4344" i="1"/>
  <c r="N4344" i="1"/>
  <c r="V4343" i="1"/>
  <c r="Q4343" i="1"/>
  <c r="P4343" i="1"/>
  <c r="O4343" i="1"/>
  <c r="N4343" i="1"/>
  <c r="V4342" i="1"/>
  <c r="Q4342" i="1"/>
  <c r="P4342" i="1"/>
  <c r="O4342" i="1"/>
  <c r="N4342" i="1"/>
  <c r="V4341" i="1"/>
  <c r="Q4341" i="1"/>
  <c r="P4341" i="1"/>
  <c r="O4341" i="1"/>
  <c r="N4341" i="1"/>
  <c r="V4340" i="1"/>
  <c r="Q4340" i="1"/>
  <c r="P4340" i="1"/>
  <c r="O4340" i="1"/>
  <c r="N4340" i="1"/>
  <c r="V4339" i="1"/>
  <c r="Q4339" i="1"/>
  <c r="P4339" i="1"/>
  <c r="O4339" i="1"/>
  <c r="N4339" i="1"/>
  <c r="V4338" i="1"/>
  <c r="Q4338" i="1"/>
  <c r="P4338" i="1"/>
  <c r="O4338" i="1"/>
  <c r="N4338" i="1"/>
  <c r="V4337" i="1"/>
  <c r="Q4337" i="1"/>
  <c r="P4337" i="1"/>
  <c r="O4337" i="1"/>
  <c r="N4337" i="1"/>
  <c r="V4336" i="1"/>
  <c r="Q4336" i="1"/>
  <c r="P4336" i="1"/>
  <c r="O4336" i="1"/>
  <c r="N4336" i="1"/>
  <c r="V4335" i="1"/>
  <c r="Q4335" i="1"/>
  <c r="P4335" i="1"/>
  <c r="O4335" i="1"/>
  <c r="N4335" i="1"/>
  <c r="V4334" i="1"/>
  <c r="Q4334" i="1"/>
  <c r="P4334" i="1"/>
  <c r="O4334" i="1"/>
  <c r="N4334" i="1"/>
  <c r="V4333" i="1"/>
  <c r="Q4333" i="1"/>
  <c r="P4333" i="1"/>
  <c r="O4333" i="1"/>
  <c r="N4333" i="1"/>
  <c r="V4332" i="1"/>
  <c r="Q4332" i="1"/>
  <c r="P4332" i="1"/>
  <c r="O4332" i="1"/>
  <c r="N4332" i="1"/>
  <c r="V4331" i="1"/>
  <c r="Q4331" i="1"/>
  <c r="P4331" i="1"/>
  <c r="O4331" i="1"/>
  <c r="N4331" i="1"/>
  <c r="V4330" i="1"/>
  <c r="Q4330" i="1"/>
  <c r="P4330" i="1"/>
  <c r="O4330" i="1"/>
  <c r="N4330" i="1"/>
  <c r="V4329" i="1"/>
  <c r="Q4329" i="1"/>
  <c r="P4329" i="1"/>
  <c r="O4329" i="1"/>
  <c r="N4329" i="1"/>
  <c r="V4328" i="1"/>
  <c r="Q4328" i="1"/>
  <c r="P4328" i="1"/>
  <c r="O4328" i="1"/>
  <c r="N4328" i="1"/>
  <c r="V4327" i="1"/>
  <c r="Q4327" i="1"/>
  <c r="P4327" i="1"/>
  <c r="O4327" i="1"/>
  <c r="N4327" i="1"/>
  <c r="V4326" i="1"/>
  <c r="Q4326" i="1"/>
  <c r="P4326" i="1"/>
  <c r="O4326" i="1"/>
  <c r="N4326" i="1"/>
  <c r="V4325" i="1"/>
  <c r="Q4325" i="1"/>
  <c r="P4325" i="1"/>
  <c r="O4325" i="1"/>
  <c r="N4325" i="1"/>
  <c r="V4324" i="1"/>
  <c r="Q4324" i="1"/>
  <c r="P4324" i="1"/>
  <c r="O4324" i="1"/>
  <c r="N4324" i="1"/>
  <c r="V4323" i="1"/>
  <c r="Q4323" i="1"/>
  <c r="P4323" i="1"/>
  <c r="O4323" i="1"/>
  <c r="N4323" i="1"/>
  <c r="V4322" i="1"/>
  <c r="Q4322" i="1"/>
  <c r="P4322" i="1"/>
  <c r="O4322" i="1"/>
  <c r="N4322" i="1"/>
  <c r="V4321" i="1"/>
  <c r="Q4321" i="1"/>
  <c r="P4321" i="1"/>
  <c r="O4321" i="1"/>
  <c r="N4321" i="1"/>
  <c r="V4320" i="1"/>
  <c r="Q4320" i="1"/>
  <c r="P4320" i="1"/>
  <c r="O4320" i="1"/>
  <c r="N4320" i="1"/>
  <c r="V4319" i="1"/>
  <c r="Q4319" i="1"/>
  <c r="P4319" i="1"/>
  <c r="O4319" i="1"/>
  <c r="N4319" i="1"/>
  <c r="V4318" i="1"/>
  <c r="Q4318" i="1"/>
  <c r="P4318" i="1"/>
  <c r="O4318" i="1"/>
  <c r="N4318" i="1"/>
  <c r="V4317" i="1"/>
  <c r="Q4317" i="1"/>
  <c r="P4317" i="1"/>
  <c r="O4317" i="1"/>
  <c r="N4317" i="1"/>
  <c r="V4316" i="1"/>
  <c r="Q4316" i="1"/>
  <c r="P4316" i="1"/>
  <c r="O4316" i="1"/>
  <c r="N4316" i="1"/>
  <c r="V4315" i="1"/>
  <c r="Q4315" i="1"/>
  <c r="P4315" i="1"/>
  <c r="O4315" i="1"/>
  <c r="N4315" i="1"/>
  <c r="V4314" i="1"/>
  <c r="Q4314" i="1"/>
  <c r="P4314" i="1"/>
  <c r="O4314" i="1"/>
  <c r="N4314" i="1"/>
  <c r="V4313" i="1"/>
  <c r="Q4313" i="1"/>
  <c r="P4313" i="1"/>
  <c r="O4313" i="1"/>
  <c r="N4313" i="1"/>
  <c r="V4312" i="1"/>
  <c r="Q4312" i="1"/>
  <c r="P4312" i="1"/>
  <c r="O4312" i="1"/>
  <c r="N4312" i="1"/>
  <c r="V4311" i="1"/>
  <c r="Q4311" i="1"/>
  <c r="P4311" i="1"/>
  <c r="O4311" i="1"/>
  <c r="N4311" i="1"/>
  <c r="V4310" i="1"/>
  <c r="Q4310" i="1"/>
  <c r="P4310" i="1"/>
  <c r="O4310" i="1"/>
  <c r="N4310" i="1"/>
  <c r="V4309" i="1"/>
  <c r="Q4309" i="1"/>
  <c r="P4309" i="1"/>
  <c r="O4309" i="1"/>
  <c r="N4309" i="1"/>
  <c r="V4308" i="1"/>
  <c r="Q4308" i="1"/>
  <c r="P4308" i="1"/>
  <c r="O4308" i="1"/>
  <c r="N4308" i="1"/>
  <c r="V4307" i="1"/>
  <c r="Q4307" i="1"/>
  <c r="P4307" i="1"/>
  <c r="O4307" i="1"/>
  <c r="N4307" i="1"/>
  <c r="V4306" i="1"/>
  <c r="Q4306" i="1"/>
  <c r="P4306" i="1"/>
  <c r="O4306" i="1"/>
  <c r="N4306" i="1"/>
  <c r="V4305" i="1"/>
  <c r="Q4305" i="1"/>
  <c r="P4305" i="1"/>
  <c r="O4305" i="1"/>
  <c r="N4305" i="1"/>
  <c r="V4304" i="1"/>
  <c r="Q4304" i="1"/>
  <c r="P4304" i="1"/>
  <c r="O4304" i="1"/>
  <c r="N4304" i="1"/>
  <c r="V4303" i="1"/>
  <c r="Q4303" i="1"/>
  <c r="P4303" i="1"/>
  <c r="O4303" i="1"/>
  <c r="N4303" i="1"/>
  <c r="V4302" i="1"/>
  <c r="Q4302" i="1"/>
  <c r="P4302" i="1"/>
  <c r="O4302" i="1"/>
  <c r="N4302" i="1"/>
  <c r="V4301" i="1"/>
  <c r="Q4301" i="1"/>
  <c r="P4301" i="1"/>
  <c r="O4301" i="1"/>
  <c r="N4301" i="1"/>
  <c r="V4300" i="1"/>
  <c r="Q4300" i="1"/>
  <c r="P4300" i="1"/>
  <c r="O4300" i="1"/>
  <c r="N4300" i="1"/>
  <c r="V4299" i="1"/>
  <c r="Q4299" i="1"/>
  <c r="P4299" i="1"/>
  <c r="O4299" i="1"/>
  <c r="N4299" i="1"/>
  <c r="V4298" i="1"/>
  <c r="Q4298" i="1"/>
  <c r="P4298" i="1"/>
  <c r="O4298" i="1"/>
  <c r="N4298" i="1"/>
  <c r="V4297" i="1"/>
  <c r="Q4297" i="1"/>
  <c r="P4297" i="1"/>
  <c r="O4297" i="1"/>
  <c r="N4297" i="1"/>
  <c r="V4296" i="1"/>
  <c r="Q4296" i="1"/>
  <c r="P4296" i="1"/>
  <c r="O4296" i="1"/>
  <c r="N4296" i="1"/>
  <c r="V4295" i="1"/>
  <c r="Q4295" i="1"/>
  <c r="P4295" i="1"/>
  <c r="O4295" i="1"/>
  <c r="N4295" i="1"/>
  <c r="V4294" i="1"/>
  <c r="Q4294" i="1"/>
  <c r="P4294" i="1"/>
  <c r="O4294" i="1"/>
  <c r="N4294" i="1"/>
  <c r="V4293" i="1"/>
  <c r="Q4293" i="1"/>
  <c r="P4293" i="1"/>
  <c r="O4293" i="1"/>
  <c r="N4293" i="1"/>
  <c r="V4292" i="1"/>
  <c r="Q4292" i="1"/>
  <c r="P4292" i="1"/>
  <c r="O4292" i="1"/>
  <c r="N4292" i="1"/>
  <c r="V4291" i="1"/>
  <c r="Q4291" i="1"/>
  <c r="P4291" i="1"/>
  <c r="O4291" i="1"/>
  <c r="N4291" i="1"/>
  <c r="V4290" i="1"/>
  <c r="Q4290" i="1"/>
  <c r="P4290" i="1"/>
  <c r="O4290" i="1"/>
  <c r="N4290" i="1"/>
  <c r="V4289" i="1"/>
  <c r="Q4289" i="1"/>
  <c r="P4289" i="1"/>
  <c r="O4289" i="1"/>
  <c r="N4289" i="1"/>
  <c r="V4288" i="1"/>
  <c r="Q4288" i="1"/>
  <c r="P4288" i="1"/>
  <c r="O4288" i="1"/>
  <c r="N4288" i="1"/>
  <c r="V4287" i="1"/>
  <c r="Q4287" i="1"/>
  <c r="P4287" i="1"/>
  <c r="O4287" i="1"/>
  <c r="N4287" i="1"/>
  <c r="V4286" i="1"/>
  <c r="Q4286" i="1"/>
  <c r="P4286" i="1"/>
  <c r="O4286" i="1"/>
  <c r="N4286" i="1"/>
  <c r="V4285" i="1"/>
  <c r="Q4285" i="1"/>
  <c r="P4285" i="1"/>
  <c r="O4285" i="1"/>
  <c r="N4285" i="1"/>
  <c r="V4284" i="1"/>
  <c r="Q4284" i="1"/>
  <c r="P4284" i="1"/>
  <c r="O4284" i="1"/>
  <c r="N4284" i="1"/>
  <c r="V4283" i="1"/>
  <c r="Q4283" i="1"/>
  <c r="P4283" i="1"/>
  <c r="O4283" i="1"/>
  <c r="N4283" i="1"/>
  <c r="V4282" i="1"/>
  <c r="Q4282" i="1"/>
  <c r="P4282" i="1"/>
  <c r="O4282" i="1"/>
  <c r="N4282" i="1"/>
  <c r="V4281" i="1"/>
  <c r="Q4281" i="1"/>
  <c r="P4281" i="1"/>
  <c r="O4281" i="1"/>
  <c r="N4281" i="1"/>
  <c r="V4280" i="1"/>
  <c r="Q4280" i="1"/>
  <c r="P4280" i="1"/>
  <c r="O4280" i="1"/>
  <c r="N4280" i="1"/>
  <c r="V4279" i="1"/>
  <c r="Q4279" i="1"/>
  <c r="P4279" i="1"/>
  <c r="O4279" i="1"/>
  <c r="N4279" i="1"/>
  <c r="V4278" i="1"/>
  <c r="Q4278" i="1"/>
  <c r="P4278" i="1"/>
  <c r="O4278" i="1"/>
  <c r="N4278" i="1"/>
  <c r="V4277" i="1"/>
  <c r="Q4277" i="1"/>
  <c r="P4277" i="1"/>
  <c r="O4277" i="1"/>
  <c r="N4277" i="1"/>
  <c r="V4276" i="1"/>
  <c r="Q4276" i="1"/>
  <c r="P4276" i="1"/>
  <c r="O4276" i="1"/>
  <c r="N4276" i="1"/>
  <c r="V4275" i="1"/>
  <c r="Q4275" i="1"/>
  <c r="P4275" i="1"/>
  <c r="O4275" i="1"/>
  <c r="N4275" i="1"/>
  <c r="V4274" i="1"/>
  <c r="Q4274" i="1"/>
  <c r="P4274" i="1"/>
  <c r="O4274" i="1"/>
  <c r="N4274" i="1"/>
  <c r="V4273" i="1"/>
  <c r="Q4273" i="1"/>
  <c r="P4273" i="1"/>
  <c r="O4273" i="1"/>
  <c r="N4273" i="1"/>
  <c r="V4272" i="1"/>
  <c r="Q4272" i="1"/>
  <c r="P4272" i="1"/>
  <c r="O4272" i="1"/>
  <c r="N4272" i="1"/>
  <c r="V4271" i="1"/>
  <c r="Q4271" i="1"/>
  <c r="P4271" i="1"/>
  <c r="O4271" i="1"/>
  <c r="N4271" i="1"/>
  <c r="V4270" i="1"/>
  <c r="Q4270" i="1"/>
  <c r="P4270" i="1"/>
  <c r="O4270" i="1"/>
  <c r="N4270" i="1"/>
  <c r="V4269" i="1"/>
  <c r="Q4269" i="1"/>
  <c r="P4269" i="1"/>
  <c r="O4269" i="1"/>
  <c r="N4269" i="1"/>
  <c r="V4268" i="1"/>
  <c r="Q4268" i="1"/>
  <c r="P4268" i="1"/>
  <c r="O4268" i="1"/>
  <c r="N4268" i="1"/>
  <c r="V4267" i="1"/>
  <c r="Q4267" i="1"/>
  <c r="P4267" i="1"/>
  <c r="O4267" i="1"/>
  <c r="N4267" i="1"/>
  <c r="V4266" i="1"/>
  <c r="Q4266" i="1"/>
  <c r="P4266" i="1"/>
  <c r="O4266" i="1"/>
  <c r="N4266" i="1"/>
  <c r="V4265" i="1"/>
  <c r="Q4265" i="1"/>
  <c r="P4265" i="1"/>
  <c r="O4265" i="1"/>
  <c r="N4265" i="1"/>
  <c r="V4264" i="1"/>
  <c r="Q4264" i="1"/>
  <c r="P4264" i="1"/>
  <c r="O4264" i="1"/>
  <c r="N4264" i="1"/>
  <c r="V4263" i="1"/>
  <c r="Q4263" i="1"/>
  <c r="P4263" i="1"/>
  <c r="O4263" i="1"/>
  <c r="N4263" i="1"/>
  <c r="V4262" i="1"/>
  <c r="Q4262" i="1"/>
  <c r="P4262" i="1"/>
  <c r="O4262" i="1"/>
  <c r="N4262" i="1"/>
  <c r="V4261" i="1"/>
  <c r="Q4261" i="1"/>
  <c r="P4261" i="1"/>
  <c r="O4261" i="1"/>
  <c r="N4261" i="1"/>
  <c r="V4260" i="1"/>
  <c r="Q4260" i="1"/>
  <c r="P4260" i="1"/>
  <c r="O4260" i="1"/>
  <c r="N4260" i="1"/>
  <c r="V4259" i="1"/>
  <c r="Q4259" i="1"/>
  <c r="P4259" i="1"/>
  <c r="O4259" i="1"/>
  <c r="N4259" i="1"/>
  <c r="V4258" i="1"/>
  <c r="Q4258" i="1"/>
  <c r="P4258" i="1"/>
  <c r="O4258" i="1"/>
  <c r="N4258" i="1"/>
  <c r="V4257" i="1"/>
  <c r="Q4257" i="1"/>
  <c r="P4257" i="1"/>
  <c r="O4257" i="1"/>
  <c r="N4257" i="1"/>
  <c r="V4256" i="1"/>
  <c r="Q4256" i="1"/>
  <c r="P4256" i="1"/>
  <c r="O4256" i="1"/>
  <c r="N4256" i="1"/>
  <c r="V4255" i="1"/>
  <c r="Q4255" i="1"/>
  <c r="P4255" i="1"/>
  <c r="O4255" i="1"/>
  <c r="N4255" i="1"/>
  <c r="V4254" i="1"/>
  <c r="Q4254" i="1"/>
  <c r="P4254" i="1"/>
  <c r="O4254" i="1"/>
  <c r="N4254" i="1"/>
  <c r="V4253" i="1"/>
  <c r="Q4253" i="1"/>
  <c r="P4253" i="1"/>
  <c r="O4253" i="1"/>
  <c r="N4253" i="1"/>
  <c r="V4252" i="1"/>
  <c r="Q4252" i="1"/>
  <c r="P4252" i="1"/>
  <c r="O4252" i="1"/>
  <c r="N4252" i="1"/>
  <c r="V4251" i="1"/>
  <c r="Q4251" i="1"/>
  <c r="P4251" i="1"/>
  <c r="O4251" i="1"/>
  <c r="N4251" i="1"/>
  <c r="V4250" i="1"/>
  <c r="Q4250" i="1"/>
  <c r="P4250" i="1"/>
  <c r="O4250" i="1"/>
  <c r="N4250" i="1"/>
  <c r="V4249" i="1"/>
  <c r="Q4249" i="1"/>
  <c r="P4249" i="1"/>
  <c r="O4249" i="1"/>
  <c r="N4249" i="1"/>
  <c r="V4248" i="1"/>
  <c r="Q4248" i="1"/>
  <c r="P4248" i="1"/>
  <c r="O4248" i="1"/>
  <c r="N4248" i="1"/>
  <c r="V4247" i="1"/>
  <c r="Q4247" i="1"/>
  <c r="P4247" i="1"/>
  <c r="O4247" i="1"/>
  <c r="N4247" i="1"/>
  <c r="V4246" i="1"/>
  <c r="Q4246" i="1"/>
  <c r="P4246" i="1"/>
  <c r="O4246" i="1"/>
  <c r="N4246" i="1"/>
  <c r="V4245" i="1"/>
  <c r="Q4245" i="1"/>
  <c r="P4245" i="1"/>
  <c r="O4245" i="1"/>
  <c r="N4245" i="1"/>
  <c r="V4244" i="1"/>
  <c r="Q4244" i="1"/>
  <c r="P4244" i="1"/>
  <c r="O4244" i="1"/>
  <c r="N4244" i="1"/>
  <c r="V4243" i="1"/>
  <c r="Q4243" i="1"/>
  <c r="P4243" i="1"/>
  <c r="O4243" i="1"/>
  <c r="N4243" i="1"/>
  <c r="V4242" i="1"/>
  <c r="Q4242" i="1"/>
  <c r="P4242" i="1"/>
  <c r="O4242" i="1"/>
  <c r="N4242" i="1"/>
  <c r="V4241" i="1"/>
  <c r="Q4241" i="1"/>
  <c r="P4241" i="1"/>
  <c r="O4241" i="1"/>
  <c r="N4241" i="1"/>
  <c r="V4240" i="1"/>
  <c r="Q4240" i="1"/>
  <c r="P4240" i="1"/>
  <c r="O4240" i="1"/>
  <c r="N4240" i="1"/>
  <c r="V4239" i="1"/>
  <c r="Q4239" i="1"/>
  <c r="P4239" i="1"/>
  <c r="O4239" i="1"/>
  <c r="N4239" i="1"/>
  <c r="V4238" i="1"/>
  <c r="Q4238" i="1"/>
  <c r="P4238" i="1"/>
  <c r="O4238" i="1"/>
  <c r="N4238" i="1"/>
  <c r="V4237" i="1"/>
  <c r="Q4237" i="1"/>
  <c r="P4237" i="1"/>
  <c r="O4237" i="1"/>
  <c r="N4237" i="1"/>
  <c r="V4236" i="1"/>
  <c r="Q4236" i="1"/>
  <c r="P4236" i="1"/>
  <c r="O4236" i="1"/>
  <c r="N4236" i="1"/>
  <c r="V4235" i="1"/>
  <c r="Q4235" i="1"/>
  <c r="P4235" i="1"/>
  <c r="O4235" i="1"/>
  <c r="N4235" i="1"/>
  <c r="V4234" i="1"/>
  <c r="Q4234" i="1"/>
  <c r="P4234" i="1"/>
  <c r="O4234" i="1"/>
  <c r="N4234" i="1"/>
  <c r="V4233" i="1"/>
  <c r="Q4233" i="1"/>
  <c r="P4233" i="1"/>
  <c r="O4233" i="1"/>
  <c r="N4233" i="1"/>
  <c r="V4232" i="1"/>
  <c r="Q4232" i="1"/>
  <c r="P4232" i="1"/>
  <c r="O4232" i="1"/>
  <c r="N4232" i="1"/>
  <c r="V4231" i="1"/>
  <c r="Q4231" i="1"/>
  <c r="P4231" i="1"/>
  <c r="O4231" i="1"/>
  <c r="N4231" i="1"/>
  <c r="V4230" i="1"/>
  <c r="Q4230" i="1"/>
  <c r="P4230" i="1"/>
  <c r="O4230" i="1"/>
  <c r="N4230" i="1"/>
  <c r="V4229" i="1"/>
  <c r="Q4229" i="1"/>
  <c r="P4229" i="1"/>
  <c r="O4229" i="1"/>
  <c r="N4229" i="1"/>
  <c r="V4228" i="1"/>
  <c r="Q4228" i="1"/>
  <c r="P4228" i="1"/>
  <c r="O4228" i="1"/>
  <c r="N4228" i="1"/>
  <c r="V4227" i="1"/>
  <c r="Q4227" i="1"/>
  <c r="P4227" i="1"/>
  <c r="O4227" i="1"/>
  <c r="N4227" i="1"/>
  <c r="V4226" i="1"/>
  <c r="Q4226" i="1"/>
  <c r="P4226" i="1"/>
  <c r="O4226" i="1"/>
  <c r="N4226" i="1"/>
  <c r="V4225" i="1"/>
  <c r="Q4225" i="1"/>
  <c r="P4225" i="1"/>
  <c r="O4225" i="1"/>
  <c r="N4225" i="1"/>
  <c r="V4224" i="1"/>
  <c r="Q4224" i="1"/>
  <c r="P4224" i="1"/>
  <c r="O4224" i="1"/>
  <c r="N4224" i="1"/>
  <c r="V4223" i="1"/>
  <c r="Q4223" i="1"/>
  <c r="P4223" i="1"/>
  <c r="O4223" i="1"/>
  <c r="N4223" i="1"/>
  <c r="V4222" i="1"/>
  <c r="Q4222" i="1"/>
  <c r="P4222" i="1"/>
  <c r="O4222" i="1"/>
  <c r="N4222" i="1"/>
  <c r="V4221" i="1"/>
  <c r="Q4221" i="1"/>
  <c r="P4221" i="1"/>
  <c r="O4221" i="1"/>
  <c r="N4221" i="1"/>
  <c r="V4220" i="1"/>
  <c r="Q4220" i="1"/>
  <c r="P4220" i="1"/>
  <c r="O4220" i="1"/>
  <c r="N4220" i="1"/>
  <c r="V4219" i="1"/>
  <c r="Q4219" i="1"/>
  <c r="P4219" i="1"/>
  <c r="O4219" i="1"/>
  <c r="N4219" i="1"/>
  <c r="V4218" i="1"/>
  <c r="Q4218" i="1"/>
  <c r="P4218" i="1"/>
  <c r="O4218" i="1"/>
  <c r="N4218" i="1"/>
  <c r="V4217" i="1"/>
  <c r="Q4217" i="1"/>
  <c r="P4217" i="1"/>
  <c r="O4217" i="1"/>
  <c r="N4217" i="1"/>
  <c r="V4216" i="1"/>
  <c r="Q4216" i="1"/>
  <c r="P4216" i="1"/>
  <c r="O4216" i="1"/>
  <c r="N4216" i="1"/>
  <c r="V4215" i="1"/>
  <c r="Q4215" i="1"/>
  <c r="P4215" i="1"/>
  <c r="O4215" i="1"/>
  <c r="N4215" i="1"/>
  <c r="V4214" i="1"/>
  <c r="Q4214" i="1"/>
  <c r="P4214" i="1"/>
  <c r="O4214" i="1"/>
  <c r="N4214" i="1"/>
  <c r="V4213" i="1"/>
  <c r="Q4213" i="1"/>
  <c r="P4213" i="1"/>
  <c r="O4213" i="1"/>
  <c r="N4213" i="1"/>
  <c r="V4212" i="1"/>
  <c r="Q4212" i="1"/>
  <c r="P4212" i="1"/>
  <c r="O4212" i="1"/>
  <c r="N4212" i="1"/>
  <c r="V4211" i="1"/>
  <c r="Q4211" i="1"/>
  <c r="P4211" i="1"/>
  <c r="O4211" i="1"/>
  <c r="N4211" i="1"/>
  <c r="V4210" i="1"/>
  <c r="Q4210" i="1"/>
  <c r="P4210" i="1"/>
  <c r="O4210" i="1"/>
  <c r="N4210" i="1"/>
  <c r="V4209" i="1"/>
  <c r="Q4209" i="1"/>
  <c r="P4209" i="1"/>
  <c r="O4209" i="1"/>
  <c r="N4209" i="1"/>
  <c r="V4208" i="1"/>
  <c r="Q4208" i="1"/>
  <c r="P4208" i="1"/>
  <c r="O4208" i="1"/>
  <c r="N4208" i="1"/>
  <c r="V4207" i="1"/>
  <c r="Q4207" i="1"/>
  <c r="P4207" i="1"/>
  <c r="O4207" i="1"/>
  <c r="N4207" i="1"/>
  <c r="V4206" i="1"/>
  <c r="Q4206" i="1"/>
  <c r="P4206" i="1"/>
  <c r="O4206" i="1"/>
  <c r="N4206" i="1"/>
  <c r="V4205" i="1"/>
  <c r="Q4205" i="1"/>
  <c r="P4205" i="1"/>
  <c r="O4205" i="1"/>
  <c r="N4205" i="1"/>
  <c r="V4204" i="1"/>
  <c r="Q4204" i="1"/>
  <c r="P4204" i="1"/>
  <c r="O4204" i="1"/>
  <c r="N4204" i="1"/>
  <c r="V4203" i="1"/>
  <c r="Q4203" i="1"/>
  <c r="P4203" i="1"/>
  <c r="O4203" i="1"/>
  <c r="N4203" i="1"/>
  <c r="V4202" i="1"/>
  <c r="Q4202" i="1"/>
  <c r="P4202" i="1"/>
  <c r="O4202" i="1"/>
  <c r="N4202" i="1"/>
  <c r="V4201" i="1"/>
  <c r="Q4201" i="1"/>
  <c r="P4201" i="1"/>
  <c r="O4201" i="1"/>
  <c r="N4201" i="1"/>
  <c r="V4200" i="1"/>
  <c r="Q4200" i="1"/>
  <c r="P4200" i="1"/>
  <c r="O4200" i="1"/>
  <c r="N4200" i="1"/>
  <c r="V4199" i="1"/>
  <c r="Q4199" i="1"/>
  <c r="P4199" i="1"/>
  <c r="O4199" i="1"/>
  <c r="N4199" i="1"/>
  <c r="V4198" i="1"/>
  <c r="Q4198" i="1"/>
  <c r="P4198" i="1"/>
  <c r="O4198" i="1"/>
  <c r="N4198" i="1"/>
  <c r="V4197" i="1"/>
  <c r="Q4197" i="1"/>
  <c r="P4197" i="1"/>
  <c r="O4197" i="1"/>
  <c r="N4197" i="1"/>
  <c r="V4196" i="1"/>
  <c r="Q4196" i="1"/>
  <c r="P4196" i="1"/>
  <c r="O4196" i="1"/>
  <c r="N4196" i="1"/>
  <c r="V4195" i="1"/>
  <c r="Q4195" i="1"/>
  <c r="P4195" i="1"/>
  <c r="O4195" i="1"/>
  <c r="N4195" i="1"/>
  <c r="V4194" i="1"/>
  <c r="Q4194" i="1"/>
  <c r="P4194" i="1"/>
  <c r="O4194" i="1"/>
  <c r="N4194" i="1"/>
  <c r="V4193" i="1"/>
  <c r="Q4193" i="1"/>
  <c r="P4193" i="1"/>
  <c r="O4193" i="1"/>
  <c r="N4193" i="1"/>
  <c r="V4192" i="1"/>
  <c r="Q4192" i="1"/>
  <c r="P4192" i="1"/>
  <c r="O4192" i="1"/>
  <c r="N4192" i="1"/>
  <c r="V4191" i="1"/>
  <c r="Q4191" i="1"/>
  <c r="P4191" i="1"/>
  <c r="O4191" i="1"/>
  <c r="N4191" i="1"/>
  <c r="V4190" i="1"/>
  <c r="Q4190" i="1"/>
  <c r="P4190" i="1"/>
  <c r="O4190" i="1"/>
  <c r="N4190" i="1"/>
  <c r="V4189" i="1"/>
  <c r="Q4189" i="1"/>
  <c r="P4189" i="1"/>
  <c r="O4189" i="1"/>
  <c r="N4189" i="1"/>
  <c r="V4188" i="1"/>
  <c r="Q4188" i="1"/>
  <c r="P4188" i="1"/>
  <c r="O4188" i="1"/>
  <c r="N4188" i="1"/>
  <c r="V4187" i="1"/>
  <c r="Q4187" i="1"/>
  <c r="P4187" i="1"/>
  <c r="O4187" i="1"/>
  <c r="N4187" i="1"/>
  <c r="V4186" i="1"/>
  <c r="Q4186" i="1"/>
  <c r="P4186" i="1"/>
  <c r="O4186" i="1"/>
  <c r="N4186" i="1"/>
  <c r="V4185" i="1"/>
  <c r="Q4185" i="1"/>
  <c r="P4185" i="1"/>
  <c r="O4185" i="1"/>
  <c r="N4185" i="1"/>
  <c r="V4184" i="1"/>
  <c r="Q4184" i="1"/>
  <c r="P4184" i="1"/>
  <c r="O4184" i="1"/>
  <c r="N4184" i="1"/>
  <c r="V4183" i="1"/>
  <c r="Q4183" i="1"/>
  <c r="P4183" i="1"/>
  <c r="O4183" i="1"/>
  <c r="N4183" i="1"/>
  <c r="V4182" i="1"/>
  <c r="Q4182" i="1"/>
  <c r="P4182" i="1"/>
  <c r="O4182" i="1"/>
  <c r="N4182" i="1"/>
  <c r="V4181" i="1"/>
  <c r="Q4181" i="1"/>
  <c r="P4181" i="1"/>
  <c r="O4181" i="1"/>
  <c r="N4181" i="1"/>
  <c r="V4180" i="1"/>
  <c r="Q4180" i="1"/>
  <c r="P4180" i="1"/>
  <c r="O4180" i="1"/>
  <c r="N4180" i="1"/>
  <c r="V4179" i="1"/>
  <c r="Q4179" i="1"/>
  <c r="P4179" i="1"/>
  <c r="O4179" i="1"/>
  <c r="N4179" i="1"/>
  <c r="V4178" i="1"/>
  <c r="Q4178" i="1"/>
  <c r="P4178" i="1"/>
  <c r="O4178" i="1"/>
  <c r="N4178" i="1"/>
  <c r="V4177" i="1"/>
  <c r="Q4177" i="1"/>
  <c r="P4177" i="1"/>
  <c r="O4177" i="1"/>
  <c r="N4177" i="1"/>
  <c r="V4176" i="1"/>
  <c r="Q4176" i="1"/>
  <c r="P4176" i="1"/>
  <c r="O4176" i="1"/>
  <c r="N4176" i="1"/>
  <c r="V4175" i="1"/>
  <c r="Q4175" i="1"/>
  <c r="P4175" i="1"/>
  <c r="O4175" i="1"/>
  <c r="N4175" i="1"/>
  <c r="V4174" i="1"/>
  <c r="Q4174" i="1"/>
  <c r="P4174" i="1"/>
  <c r="O4174" i="1"/>
  <c r="N4174" i="1"/>
  <c r="V4173" i="1"/>
  <c r="Q4173" i="1"/>
  <c r="P4173" i="1"/>
  <c r="O4173" i="1"/>
  <c r="N4173" i="1"/>
  <c r="V4172" i="1"/>
  <c r="Q4172" i="1"/>
  <c r="P4172" i="1"/>
  <c r="O4172" i="1"/>
  <c r="N4172" i="1"/>
  <c r="V4171" i="1"/>
  <c r="Q4171" i="1"/>
  <c r="P4171" i="1"/>
  <c r="O4171" i="1"/>
  <c r="N4171" i="1"/>
  <c r="V4170" i="1"/>
  <c r="Q4170" i="1"/>
  <c r="P4170" i="1"/>
  <c r="O4170" i="1"/>
  <c r="N4170" i="1"/>
  <c r="V4169" i="1"/>
  <c r="Q4169" i="1"/>
  <c r="P4169" i="1"/>
  <c r="O4169" i="1"/>
  <c r="N4169" i="1"/>
  <c r="V4168" i="1"/>
  <c r="Q4168" i="1"/>
  <c r="P4168" i="1"/>
  <c r="O4168" i="1"/>
  <c r="N4168" i="1"/>
  <c r="V4167" i="1"/>
  <c r="Q4167" i="1"/>
  <c r="P4167" i="1"/>
  <c r="O4167" i="1"/>
  <c r="N4167" i="1"/>
  <c r="V4166" i="1"/>
  <c r="Q4166" i="1"/>
  <c r="P4166" i="1"/>
  <c r="O4166" i="1"/>
  <c r="N4166" i="1"/>
  <c r="V4165" i="1"/>
  <c r="Q4165" i="1"/>
  <c r="P4165" i="1"/>
  <c r="O4165" i="1"/>
  <c r="N4165" i="1"/>
  <c r="V4164" i="1"/>
  <c r="Q4164" i="1"/>
  <c r="P4164" i="1"/>
  <c r="O4164" i="1"/>
  <c r="N4164" i="1"/>
  <c r="V4163" i="1"/>
  <c r="Q4163" i="1"/>
  <c r="P4163" i="1"/>
  <c r="O4163" i="1"/>
  <c r="N4163" i="1"/>
  <c r="V4162" i="1"/>
  <c r="Q4162" i="1"/>
  <c r="P4162" i="1"/>
  <c r="O4162" i="1"/>
  <c r="N4162" i="1"/>
  <c r="V4161" i="1"/>
  <c r="Q4161" i="1"/>
  <c r="P4161" i="1"/>
  <c r="O4161" i="1"/>
  <c r="N4161" i="1"/>
  <c r="V4160" i="1"/>
  <c r="Q4160" i="1"/>
  <c r="P4160" i="1"/>
  <c r="O4160" i="1"/>
  <c r="N4160" i="1"/>
  <c r="V4159" i="1"/>
  <c r="Q4159" i="1"/>
  <c r="P4159" i="1"/>
  <c r="O4159" i="1"/>
  <c r="N4159" i="1"/>
  <c r="V4158" i="1"/>
  <c r="Q4158" i="1"/>
  <c r="P4158" i="1"/>
  <c r="O4158" i="1"/>
  <c r="N4158" i="1"/>
  <c r="V4157" i="1"/>
  <c r="Q4157" i="1"/>
  <c r="P4157" i="1"/>
  <c r="O4157" i="1"/>
  <c r="N4157" i="1"/>
  <c r="V4156" i="1"/>
  <c r="Q4156" i="1"/>
  <c r="P4156" i="1"/>
  <c r="O4156" i="1"/>
  <c r="N4156" i="1"/>
  <c r="V4155" i="1"/>
  <c r="Q4155" i="1"/>
  <c r="P4155" i="1"/>
  <c r="O4155" i="1"/>
  <c r="N4155" i="1"/>
  <c r="V4154" i="1"/>
  <c r="Q4154" i="1"/>
  <c r="P4154" i="1"/>
  <c r="O4154" i="1"/>
  <c r="N4154" i="1"/>
  <c r="V4153" i="1"/>
  <c r="Q4153" i="1"/>
  <c r="P4153" i="1"/>
  <c r="O4153" i="1"/>
  <c r="N4153" i="1"/>
  <c r="V4152" i="1"/>
  <c r="Q4152" i="1"/>
  <c r="P4152" i="1"/>
  <c r="O4152" i="1"/>
  <c r="N4152" i="1"/>
  <c r="V4151" i="1"/>
  <c r="Q4151" i="1"/>
  <c r="P4151" i="1"/>
  <c r="O4151" i="1"/>
  <c r="N4151" i="1"/>
  <c r="V4150" i="1"/>
  <c r="Q4150" i="1"/>
  <c r="P4150" i="1"/>
  <c r="O4150" i="1"/>
  <c r="N4150" i="1"/>
  <c r="V4149" i="1"/>
  <c r="Q4149" i="1"/>
  <c r="P4149" i="1"/>
  <c r="O4149" i="1"/>
  <c r="N4149" i="1"/>
  <c r="V4148" i="1"/>
  <c r="Q4148" i="1"/>
  <c r="P4148" i="1"/>
  <c r="O4148" i="1"/>
  <c r="N4148" i="1"/>
  <c r="V4147" i="1"/>
  <c r="Q4147" i="1"/>
  <c r="P4147" i="1"/>
  <c r="O4147" i="1"/>
  <c r="N4147" i="1"/>
  <c r="V4146" i="1"/>
  <c r="Q4146" i="1"/>
  <c r="P4146" i="1"/>
  <c r="O4146" i="1"/>
  <c r="N4146" i="1"/>
  <c r="V4145" i="1"/>
  <c r="Q4145" i="1"/>
  <c r="P4145" i="1"/>
  <c r="O4145" i="1"/>
  <c r="N4145" i="1"/>
  <c r="V4144" i="1"/>
  <c r="Q4144" i="1"/>
  <c r="P4144" i="1"/>
  <c r="O4144" i="1"/>
  <c r="N4144" i="1"/>
  <c r="V4143" i="1"/>
  <c r="Q4143" i="1"/>
  <c r="P4143" i="1"/>
  <c r="O4143" i="1"/>
  <c r="N4143" i="1"/>
  <c r="V4142" i="1"/>
  <c r="Q4142" i="1"/>
  <c r="P4142" i="1"/>
  <c r="O4142" i="1"/>
  <c r="N4142" i="1"/>
  <c r="V4141" i="1"/>
  <c r="Q4141" i="1"/>
  <c r="P4141" i="1"/>
  <c r="O4141" i="1"/>
  <c r="N4141" i="1"/>
  <c r="V4140" i="1"/>
  <c r="Q4140" i="1"/>
  <c r="P4140" i="1"/>
  <c r="O4140" i="1"/>
  <c r="N4140" i="1"/>
  <c r="V4139" i="1"/>
  <c r="Q4139" i="1"/>
  <c r="P4139" i="1"/>
  <c r="O4139" i="1"/>
  <c r="N4139" i="1"/>
  <c r="V4138" i="1"/>
  <c r="Q4138" i="1"/>
  <c r="P4138" i="1"/>
  <c r="O4138" i="1"/>
  <c r="N4138" i="1"/>
  <c r="V4137" i="1"/>
  <c r="Q4137" i="1"/>
  <c r="P4137" i="1"/>
  <c r="O4137" i="1"/>
  <c r="N4137" i="1"/>
  <c r="V4136" i="1"/>
  <c r="Q4136" i="1"/>
  <c r="P4136" i="1"/>
  <c r="O4136" i="1"/>
  <c r="N4136" i="1"/>
  <c r="V4135" i="1"/>
  <c r="Q4135" i="1"/>
  <c r="P4135" i="1"/>
  <c r="O4135" i="1"/>
  <c r="N4135" i="1"/>
  <c r="V4134" i="1"/>
  <c r="Q4134" i="1"/>
  <c r="P4134" i="1"/>
  <c r="O4134" i="1"/>
  <c r="N4134" i="1"/>
  <c r="V4133" i="1"/>
  <c r="Q4133" i="1"/>
  <c r="P4133" i="1"/>
  <c r="O4133" i="1"/>
  <c r="N4133" i="1"/>
  <c r="V4132" i="1"/>
  <c r="Q4132" i="1"/>
  <c r="P4132" i="1"/>
  <c r="O4132" i="1"/>
  <c r="N4132" i="1"/>
  <c r="V4131" i="1"/>
  <c r="Q4131" i="1"/>
  <c r="P4131" i="1"/>
  <c r="O4131" i="1"/>
  <c r="N4131" i="1"/>
  <c r="V4130" i="1"/>
  <c r="Q4130" i="1"/>
  <c r="P4130" i="1"/>
  <c r="O4130" i="1"/>
  <c r="N4130" i="1"/>
  <c r="V4129" i="1"/>
  <c r="Q4129" i="1"/>
  <c r="P4129" i="1"/>
  <c r="O4129" i="1"/>
  <c r="N4129" i="1"/>
  <c r="V4128" i="1"/>
  <c r="Q4128" i="1"/>
  <c r="P4128" i="1"/>
  <c r="O4128" i="1"/>
  <c r="N4128" i="1"/>
  <c r="V4127" i="1"/>
  <c r="Q4127" i="1"/>
  <c r="P4127" i="1"/>
  <c r="O4127" i="1"/>
  <c r="N4127" i="1"/>
  <c r="V4126" i="1"/>
  <c r="Q4126" i="1"/>
  <c r="P4126" i="1"/>
  <c r="O4126" i="1"/>
  <c r="N4126" i="1"/>
  <c r="V4125" i="1"/>
  <c r="Q4125" i="1"/>
  <c r="P4125" i="1"/>
  <c r="O4125" i="1"/>
  <c r="N4125" i="1"/>
  <c r="V4124" i="1"/>
  <c r="Q4124" i="1"/>
  <c r="P4124" i="1"/>
  <c r="O4124" i="1"/>
  <c r="N4124" i="1"/>
  <c r="V4123" i="1"/>
  <c r="Q4123" i="1"/>
  <c r="P4123" i="1"/>
  <c r="O4123" i="1"/>
  <c r="N4123" i="1"/>
  <c r="V4122" i="1"/>
  <c r="Q4122" i="1"/>
  <c r="P4122" i="1"/>
  <c r="O4122" i="1"/>
  <c r="N4122" i="1"/>
  <c r="V4121" i="1"/>
  <c r="Q4121" i="1"/>
  <c r="P4121" i="1"/>
  <c r="O4121" i="1"/>
  <c r="N4121" i="1"/>
  <c r="V4120" i="1"/>
  <c r="Q4120" i="1"/>
  <c r="P4120" i="1"/>
  <c r="O4120" i="1"/>
  <c r="N4120" i="1"/>
  <c r="V4119" i="1"/>
  <c r="Q4119" i="1"/>
  <c r="P4119" i="1"/>
  <c r="O4119" i="1"/>
  <c r="N4119" i="1"/>
  <c r="V4118" i="1"/>
  <c r="Q4118" i="1"/>
  <c r="P4118" i="1"/>
  <c r="O4118" i="1"/>
  <c r="N4118" i="1"/>
  <c r="V4117" i="1"/>
  <c r="Q4117" i="1"/>
  <c r="P4117" i="1"/>
  <c r="O4117" i="1"/>
  <c r="N4117" i="1"/>
  <c r="V4116" i="1"/>
  <c r="Q4116" i="1"/>
  <c r="P4116" i="1"/>
  <c r="O4116" i="1"/>
  <c r="N4116" i="1"/>
  <c r="V4115" i="1"/>
  <c r="Q4115" i="1"/>
  <c r="P4115" i="1"/>
  <c r="O4115" i="1"/>
  <c r="N4115" i="1"/>
  <c r="V4114" i="1"/>
  <c r="Q4114" i="1"/>
  <c r="P4114" i="1"/>
  <c r="O4114" i="1"/>
  <c r="N4114" i="1"/>
  <c r="V4113" i="1"/>
  <c r="Q4113" i="1"/>
  <c r="P4113" i="1"/>
  <c r="O4113" i="1"/>
  <c r="N4113" i="1"/>
  <c r="V4112" i="1"/>
  <c r="Q4112" i="1"/>
  <c r="P4112" i="1"/>
  <c r="O4112" i="1"/>
  <c r="N4112" i="1"/>
  <c r="V4111" i="1"/>
  <c r="Q4111" i="1"/>
  <c r="P4111" i="1"/>
  <c r="O4111" i="1"/>
  <c r="N4111" i="1"/>
  <c r="V4110" i="1"/>
  <c r="Q4110" i="1"/>
  <c r="P4110" i="1"/>
  <c r="O4110" i="1"/>
  <c r="N4110" i="1"/>
  <c r="V4109" i="1"/>
  <c r="Q4109" i="1"/>
  <c r="P4109" i="1"/>
  <c r="O4109" i="1"/>
  <c r="N4109" i="1"/>
  <c r="V4108" i="1"/>
  <c r="Q4108" i="1"/>
  <c r="P4108" i="1"/>
  <c r="O4108" i="1"/>
  <c r="N4108" i="1"/>
  <c r="V4107" i="1"/>
  <c r="Q4107" i="1"/>
  <c r="P4107" i="1"/>
  <c r="O4107" i="1"/>
  <c r="N4107" i="1"/>
  <c r="V4106" i="1"/>
  <c r="Q4106" i="1"/>
  <c r="P4106" i="1"/>
  <c r="O4106" i="1"/>
  <c r="N4106" i="1"/>
  <c r="V4105" i="1"/>
  <c r="Q4105" i="1"/>
  <c r="P4105" i="1"/>
  <c r="O4105" i="1"/>
  <c r="N4105" i="1"/>
  <c r="V4104" i="1"/>
  <c r="Q4104" i="1"/>
  <c r="P4104" i="1"/>
  <c r="O4104" i="1"/>
  <c r="N4104" i="1"/>
  <c r="V4103" i="1"/>
  <c r="Q4103" i="1"/>
  <c r="P4103" i="1"/>
  <c r="O4103" i="1"/>
  <c r="N4103" i="1"/>
  <c r="V4102" i="1"/>
  <c r="Q4102" i="1"/>
  <c r="P4102" i="1"/>
  <c r="O4102" i="1"/>
  <c r="N4102" i="1"/>
  <c r="V4101" i="1"/>
  <c r="Q4101" i="1"/>
  <c r="P4101" i="1"/>
  <c r="O4101" i="1"/>
  <c r="N4101" i="1"/>
  <c r="V4100" i="1"/>
  <c r="Q4100" i="1"/>
  <c r="P4100" i="1"/>
  <c r="O4100" i="1"/>
  <c r="N4100" i="1"/>
  <c r="V4099" i="1"/>
  <c r="Q4099" i="1"/>
  <c r="P4099" i="1"/>
  <c r="O4099" i="1"/>
  <c r="N4099" i="1"/>
  <c r="V4098" i="1"/>
  <c r="Q4098" i="1"/>
  <c r="P4098" i="1"/>
  <c r="O4098" i="1"/>
  <c r="N4098" i="1"/>
  <c r="V4097" i="1"/>
  <c r="Q4097" i="1"/>
  <c r="P4097" i="1"/>
  <c r="O4097" i="1"/>
  <c r="N4097" i="1"/>
  <c r="V4096" i="1"/>
  <c r="Q4096" i="1"/>
  <c r="P4096" i="1"/>
  <c r="O4096" i="1"/>
  <c r="N4096" i="1"/>
  <c r="V4095" i="1"/>
  <c r="Q4095" i="1"/>
  <c r="P4095" i="1"/>
  <c r="O4095" i="1"/>
  <c r="N4095" i="1"/>
  <c r="V4094" i="1"/>
  <c r="Q4094" i="1"/>
  <c r="P4094" i="1"/>
  <c r="O4094" i="1"/>
  <c r="N4094" i="1"/>
  <c r="V4093" i="1"/>
  <c r="Q4093" i="1"/>
  <c r="P4093" i="1"/>
  <c r="O4093" i="1"/>
  <c r="N4093" i="1"/>
  <c r="V4092" i="1"/>
  <c r="Q4092" i="1"/>
  <c r="P4092" i="1"/>
  <c r="O4092" i="1"/>
  <c r="N4092" i="1"/>
  <c r="V4091" i="1"/>
  <c r="Q4091" i="1"/>
  <c r="P4091" i="1"/>
  <c r="O4091" i="1"/>
  <c r="N4091" i="1"/>
  <c r="V4090" i="1"/>
  <c r="Q4090" i="1"/>
  <c r="P4090" i="1"/>
  <c r="O4090" i="1"/>
  <c r="N4090" i="1"/>
  <c r="V4089" i="1"/>
  <c r="Q4089" i="1"/>
  <c r="P4089" i="1"/>
  <c r="O4089" i="1"/>
  <c r="V4088" i="1"/>
  <c r="Q4088" i="1"/>
  <c r="P4088" i="1"/>
  <c r="O4088" i="1"/>
  <c r="V4087" i="1"/>
  <c r="Q4087" i="1"/>
  <c r="P4087" i="1"/>
  <c r="O4087" i="1"/>
  <c r="V4086" i="1"/>
  <c r="Q4086" i="1"/>
  <c r="P4086" i="1"/>
  <c r="O4086" i="1"/>
  <c r="V4085" i="1"/>
  <c r="Q4085" i="1"/>
  <c r="P4085" i="1"/>
  <c r="O4085" i="1"/>
  <c r="V4084" i="1"/>
  <c r="Q4084" i="1"/>
  <c r="P4084" i="1"/>
  <c r="O4084" i="1"/>
  <c r="N4084" i="1"/>
  <c r="V4083" i="1"/>
  <c r="Q4083" i="1"/>
  <c r="P4083" i="1"/>
  <c r="O4083" i="1"/>
  <c r="N4083" i="1"/>
  <c r="V4082" i="1"/>
  <c r="Q4082" i="1"/>
  <c r="P4082" i="1"/>
  <c r="O4082" i="1"/>
  <c r="N4082" i="1"/>
  <c r="V4081" i="1"/>
  <c r="Q4081" i="1"/>
  <c r="P4081" i="1"/>
  <c r="O4081" i="1"/>
  <c r="N4081" i="1"/>
  <c r="V4080" i="1"/>
  <c r="Q4080" i="1"/>
  <c r="P4080" i="1"/>
  <c r="O4080" i="1"/>
  <c r="N4080" i="1"/>
  <c r="V4079" i="1"/>
  <c r="Q4079" i="1"/>
  <c r="P4079" i="1"/>
  <c r="O4079" i="1"/>
  <c r="N4079" i="1"/>
  <c r="V4078" i="1"/>
  <c r="Q4078" i="1"/>
  <c r="P4078" i="1"/>
  <c r="O4078" i="1"/>
  <c r="N4078" i="1"/>
  <c r="V4077" i="1"/>
  <c r="Q4077" i="1"/>
  <c r="P4077" i="1"/>
  <c r="O4077" i="1"/>
  <c r="N4077" i="1"/>
  <c r="V4076" i="1"/>
  <c r="Q4076" i="1"/>
  <c r="P4076" i="1"/>
  <c r="O4076" i="1"/>
  <c r="N4076" i="1"/>
  <c r="V4075" i="1"/>
  <c r="Q4075" i="1"/>
  <c r="P4075" i="1"/>
  <c r="O4075" i="1"/>
  <c r="N4075" i="1"/>
  <c r="V4074" i="1"/>
  <c r="Q4074" i="1"/>
  <c r="P4074" i="1"/>
  <c r="O4074" i="1"/>
  <c r="N4074" i="1"/>
  <c r="V4073" i="1"/>
  <c r="Q4073" i="1"/>
  <c r="P4073" i="1"/>
  <c r="O4073" i="1"/>
  <c r="N4073" i="1"/>
  <c r="V4072" i="1"/>
  <c r="Q4072" i="1"/>
  <c r="P4072" i="1"/>
  <c r="O4072" i="1"/>
  <c r="N4072" i="1"/>
  <c r="V4071" i="1"/>
  <c r="Q4071" i="1"/>
  <c r="P4071" i="1"/>
  <c r="O4071" i="1"/>
  <c r="N4071" i="1"/>
  <c r="V4070" i="1"/>
  <c r="Q4070" i="1"/>
  <c r="P4070" i="1"/>
  <c r="O4070" i="1"/>
  <c r="N4070" i="1"/>
  <c r="V4069" i="1"/>
  <c r="Q4069" i="1"/>
  <c r="P4069" i="1"/>
  <c r="O4069" i="1"/>
  <c r="N4069" i="1"/>
  <c r="V4068" i="1"/>
  <c r="Q4068" i="1"/>
  <c r="P4068" i="1"/>
  <c r="O4068" i="1"/>
  <c r="N4068" i="1"/>
  <c r="V4067" i="1"/>
  <c r="Q4067" i="1"/>
  <c r="P4067" i="1"/>
  <c r="O4067" i="1"/>
  <c r="N4067" i="1"/>
  <c r="V4066" i="1"/>
  <c r="Q4066" i="1"/>
  <c r="P4066" i="1"/>
  <c r="O4066" i="1"/>
  <c r="N4066" i="1"/>
  <c r="V4065" i="1"/>
  <c r="Q4065" i="1"/>
  <c r="P4065" i="1"/>
  <c r="O4065" i="1"/>
  <c r="N4065" i="1"/>
  <c r="V4064" i="1"/>
  <c r="Q4064" i="1"/>
  <c r="P4064" i="1"/>
  <c r="O4064" i="1"/>
  <c r="N4064" i="1"/>
  <c r="V4063" i="1"/>
  <c r="Q4063" i="1"/>
  <c r="P4063" i="1"/>
  <c r="O4063" i="1"/>
  <c r="N4063" i="1"/>
  <c r="V4062" i="1"/>
  <c r="Q4062" i="1"/>
  <c r="P4062" i="1"/>
  <c r="O4062" i="1"/>
  <c r="N4062" i="1"/>
  <c r="V4061" i="1"/>
  <c r="Q4061" i="1"/>
  <c r="P4061" i="1"/>
  <c r="O4061" i="1"/>
  <c r="N4061" i="1"/>
  <c r="V4060" i="1"/>
  <c r="Q4060" i="1"/>
  <c r="P4060" i="1"/>
  <c r="O4060" i="1"/>
  <c r="N4060" i="1"/>
  <c r="V4059" i="1"/>
  <c r="Q4059" i="1"/>
  <c r="P4059" i="1"/>
  <c r="O4059" i="1"/>
  <c r="N4059" i="1"/>
  <c r="V4058" i="1"/>
  <c r="Q4058" i="1"/>
  <c r="P4058" i="1"/>
  <c r="O4058" i="1"/>
  <c r="N4058" i="1"/>
  <c r="V4057" i="1"/>
  <c r="Q4057" i="1"/>
  <c r="P4057" i="1"/>
  <c r="O4057" i="1"/>
  <c r="N4057" i="1"/>
  <c r="V4056" i="1"/>
  <c r="Q4056" i="1"/>
  <c r="P4056" i="1"/>
  <c r="O4056" i="1"/>
  <c r="N4056" i="1"/>
  <c r="H4056" i="1"/>
  <c r="V4055" i="1"/>
  <c r="Q4055" i="1"/>
  <c r="P4055" i="1"/>
  <c r="O4055" i="1"/>
  <c r="N4055" i="1"/>
  <c r="I4055" i="1"/>
  <c r="H4055" i="1"/>
  <c r="G4055" i="1"/>
  <c r="V4054" i="1"/>
  <c r="Q4054" i="1"/>
  <c r="P4054" i="1"/>
  <c r="O4054" i="1"/>
  <c r="N4054" i="1"/>
  <c r="I4054" i="1"/>
  <c r="H4054" i="1"/>
  <c r="G4054" i="1"/>
  <c r="F4054" i="1"/>
  <c r="V4053" i="1"/>
  <c r="Q4053" i="1"/>
  <c r="P4053" i="1"/>
  <c r="O4053" i="1"/>
  <c r="N4053" i="1"/>
  <c r="I4053" i="1"/>
  <c r="H4053" i="1"/>
  <c r="G4053" i="1"/>
  <c r="F4053" i="1"/>
  <c r="V4052" i="1"/>
  <c r="Q4052" i="1"/>
  <c r="P4052" i="1"/>
  <c r="O4052" i="1"/>
  <c r="N4052" i="1"/>
  <c r="I4052" i="1"/>
  <c r="H4052" i="1"/>
  <c r="G4052" i="1"/>
  <c r="F4052" i="1"/>
  <c r="E4052" i="1"/>
  <c r="V4051" i="1"/>
  <c r="Q4051" i="1"/>
  <c r="P4051" i="1"/>
  <c r="O4051" i="1"/>
  <c r="N4051" i="1"/>
  <c r="I4051" i="1"/>
  <c r="H4051" i="1"/>
  <c r="G4051" i="1"/>
  <c r="F4051" i="1"/>
  <c r="E4051" i="1"/>
  <c r="V4050" i="1"/>
  <c r="Q4050" i="1"/>
  <c r="P4050" i="1"/>
  <c r="O4050" i="1"/>
  <c r="N4050" i="1"/>
  <c r="I4050" i="1"/>
  <c r="H4050" i="1"/>
  <c r="G4050" i="1"/>
  <c r="F4050" i="1"/>
  <c r="E4050" i="1"/>
  <c r="D4050" i="1"/>
  <c r="V4049" i="1"/>
  <c r="Q4049" i="1"/>
  <c r="P4049" i="1"/>
  <c r="O4049" i="1"/>
  <c r="N4049" i="1"/>
  <c r="I4049" i="1"/>
  <c r="H4049" i="1"/>
  <c r="G4049" i="1"/>
  <c r="F4049" i="1"/>
  <c r="E4049" i="1"/>
  <c r="D4049" i="1"/>
  <c r="V4048" i="1"/>
  <c r="Q4048" i="1"/>
  <c r="P4048" i="1"/>
  <c r="O4048" i="1"/>
  <c r="N4048" i="1"/>
  <c r="I4048" i="1"/>
  <c r="H4048" i="1"/>
  <c r="G4048" i="1"/>
  <c r="F4048" i="1"/>
  <c r="E4048" i="1"/>
  <c r="D4048" i="1"/>
  <c r="C4048" i="1"/>
  <c r="V4047" i="1"/>
  <c r="Q4047" i="1"/>
  <c r="P4047" i="1"/>
  <c r="O4047" i="1"/>
  <c r="N4047" i="1"/>
  <c r="I4047" i="1"/>
  <c r="H4047" i="1"/>
  <c r="G4047" i="1"/>
  <c r="F4047" i="1"/>
  <c r="E4047" i="1"/>
  <c r="D4047" i="1"/>
  <c r="C4047" i="1"/>
  <c r="V4046" i="1"/>
  <c r="Q4046" i="1"/>
  <c r="P4046" i="1"/>
  <c r="O4046" i="1"/>
  <c r="N4046" i="1"/>
  <c r="I4046" i="1"/>
  <c r="H4046" i="1"/>
  <c r="G4046" i="1"/>
  <c r="F4046" i="1"/>
  <c r="E4046" i="1"/>
  <c r="D4046" i="1"/>
  <c r="C4046" i="1"/>
  <c r="V4045" i="1"/>
  <c r="Q4045" i="1"/>
  <c r="P4045" i="1"/>
  <c r="O4045" i="1"/>
  <c r="N4045" i="1"/>
  <c r="I4045" i="1"/>
  <c r="H4045" i="1"/>
  <c r="G4045" i="1"/>
  <c r="F4045" i="1"/>
  <c r="E4045" i="1"/>
  <c r="D4045" i="1"/>
  <c r="C4045" i="1"/>
  <c r="V4044" i="1"/>
  <c r="Q4044" i="1"/>
  <c r="P4044" i="1"/>
  <c r="O4044" i="1"/>
  <c r="N4044" i="1"/>
  <c r="I4044" i="1"/>
  <c r="H4044" i="1"/>
  <c r="G4044" i="1"/>
  <c r="F4044" i="1"/>
  <c r="E4044" i="1"/>
  <c r="D4044" i="1"/>
  <c r="C4044" i="1"/>
  <c r="V4043" i="1"/>
  <c r="Q4043" i="1"/>
  <c r="P4043" i="1"/>
  <c r="O4043" i="1"/>
  <c r="N4043" i="1"/>
  <c r="I4043" i="1"/>
  <c r="H4043" i="1"/>
  <c r="G4043" i="1"/>
  <c r="F4043" i="1"/>
  <c r="E4043" i="1"/>
  <c r="D4043" i="1"/>
  <c r="C4043" i="1"/>
  <c r="V4042" i="1"/>
  <c r="Q4042" i="1"/>
  <c r="P4042" i="1"/>
  <c r="O4042" i="1"/>
  <c r="N4042" i="1"/>
  <c r="I4042" i="1"/>
  <c r="H4042" i="1"/>
  <c r="G4042" i="1"/>
  <c r="F4042" i="1"/>
  <c r="E4042" i="1"/>
  <c r="D4042" i="1"/>
  <c r="C4042" i="1"/>
  <c r="V4041" i="1"/>
  <c r="Q4041" i="1"/>
  <c r="P4041" i="1"/>
  <c r="O4041" i="1"/>
  <c r="N4041" i="1"/>
  <c r="I4041" i="1"/>
  <c r="H4041" i="1"/>
  <c r="G4041" i="1"/>
  <c r="F4041" i="1"/>
  <c r="E4041" i="1"/>
  <c r="D4041" i="1"/>
  <c r="C4041" i="1"/>
  <c r="V4040" i="1"/>
  <c r="Q4040" i="1"/>
  <c r="P4040" i="1"/>
  <c r="O4040" i="1"/>
  <c r="N4040" i="1"/>
  <c r="I4040" i="1"/>
  <c r="H4040" i="1"/>
  <c r="G4040" i="1"/>
  <c r="F4040" i="1"/>
  <c r="E4040" i="1"/>
  <c r="D4040" i="1"/>
  <c r="C4040" i="1"/>
  <c r="V4039" i="1"/>
  <c r="Q4039" i="1"/>
  <c r="P4039" i="1"/>
  <c r="O4039" i="1"/>
  <c r="N4039" i="1"/>
  <c r="I4039" i="1"/>
  <c r="H4039" i="1"/>
  <c r="G4039" i="1"/>
  <c r="F4039" i="1"/>
  <c r="E4039" i="1"/>
  <c r="D4039" i="1"/>
  <c r="C4039" i="1"/>
  <c r="V4038" i="1"/>
  <c r="Q4038" i="1"/>
  <c r="P4038" i="1"/>
  <c r="O4038" i="1"/>
  <c r="N4038" i="1"/>
  <c r="I4038" i="1"/>
  <c r="H4038" i="1"/>
  <c r="G4038" i="1"/>
  <c r="F4038" i="1"/>
  <c r="E4038" i="1"/>
  <c r="D4038" i="1"/>
  <c r="C4038" i="1"/>
  <c r="V4037" i="1"/>
  <c r="Q4037" i="1"/>
  <c r="P4037" i="1"/>
  <c r="O4037" i="1"/>
  <c r="N4037" i="1"/>
  <c r="I4037" i="1"/>
  <c r="H4037" i="1"/>
  <c r="G4037" i="1"/>
  <c r="F4037" i="1"/>
  <c r="E4037" i="1"/>
  <c r="D4037" i="1"/>
  <c r="C4037" i="1"/>
  <c r="V4036" i="1"/>
  <c r="Q4036" i="1"/>
  <c r="P4036" i="1"/>
  <c r="O4036" i="1"/>
  <c r="N4036" i="1"/>
  <c r="I4036" i="1"/>
  <c r="H4036" i="1"/>
  <c r="G4036" i="1"/>
  <c r="F4036" i="1"/>
  <c r="E4036" i="1"/>
  <c r="D4036" i="1"/>
  <c r="V4035" i="1"/>
  <c r="Q4035" i="1"/>
  <c r="P4035" i="1"/>
  <c r="O4035" i="1"/>
  <c r="N4035" i="1"/>
  <c r="I4035" i="1"/>
  <c r="H4035" i="1"/>
  <c r="G4035" i="1"/>
  <c r="F4035" i="1"/>
  <c r="E4035" i="1"/>
  <c r="D4035" i="1"/>
  <c r="V4034" i="1"/>
  <c r="Q4034" i="1"/>
  <c r="P4034" i="1"/>
  <c r="O4034" i="1"/>
  <c r="N4034" i="1"/>
  <c r="I4034" i="1"/>
  <c r="H4034" i="1"/>
  <c r="G4034" i="1"/>
  <c r="F4034" i="1"/>
  <c r="E4034" i="1"/>
  <c r="D4034" i="1"/>
  <c r="V4033" i="1"/>
  <c r="Q4033" i="1"/>
  <c r="P4033" i="1"/>
  <c r="O4033" i="1"/>
  <c r="N4033" i="1"/>
  <c r="I4033" i="1"/>
  <c r="H4033" i="1"/>
  <c r="G4033" i="1"/>
  <c r="F4033" i="1"/>
  <c r="E4033" i="1"/>
  <c r="D4033" i="1"/>
  <c r="V4032" i="1"/>
  <c r="Q4032" i="1"/>
  <c r="P4032" i="1"/>
  <c r="O4032" i="1"/>
  <c r="N4032" i="1"/>
  <c r="I4032" i="1"/>
  <c r="H4032" i="1"/>
  <c r="G4032" i="1"/>
  <c r="F4032" i="1"/>
  <c r="E4032" i="1"/>
  <c r="V4031" i="1"/>
  <c r="Q4031" i="1"/>
  <c r="P4031" i="1"/>
  <c r="O4031" i="1"/>
  <c r="N4031" i="1"/>
  <c r="I4031" i="1"/>
  <c r="H4031" i="1"/>
  <c r="G4031" i="1"/>
  <c r="F4031" i="1"/>
  <c r="E4031" i="1"/>
  <c r="V4030" i="1"/>
  <c r="Q4030" i="1"/>
  <c r="P4030" i="1"/>
  <c r="O4030" i="1"/>
  <c r="N4030" i="1"/>
  <c r="H4030" i="1"/>
  <c r="G4030" i="1"/>
  <c r="F4030" i="1"/>
  <c r="V4029" i="1"/>
  <c r="Q4029" i="1"/>
  <c r="P4029" i="1"/>
  <c r="O4029" i="1"/>
  <c r="N4029" i="1"/>
  <c r="H4029" i="1"/>
  <c r="G4029" i="1"/>
  <c r="V4028" i="1"/>
  <c r="Q4028" i="1"/>
  <c r="P4028" i="1"/>
  <c r="O4028" i="1"/>
  <c r="N4028" i="1"/>
  <c r="H4028" i="1"/>
  <c r="V4027" i="1"/>
  <c r="Q4027" i="1"/>
  <c r="P4027" i="1"/>
  <c r="O4027" i="1"/>
  <c r="N4027" i="1"/>
  <c r="V4026" i="1"/>
  <c r="Q4026" i="1"/>
  <c r="P4026" i="1"/>
  <c r="O4026" i="1"/>
  <c r="N4026" i="1"/>
  <c r="V4025" i="1"/>
  <c r="Q4025" i="1"/>
  <c r="P4025" i="1"/>
  <c r="O4025" i="1"/>
  <c r="N4025" i="1"/>
  <c r="V4024" i="1"/>
  <c r="Q4024" i="1"/>
  <c r="P4024" i="1"/>
  <c r="O4024" i="1"/>
  <c r="N4024" i="1"/>
  <c r="V4023" i="1"/>
  <c r="Q4023" i="1"/>
  <c r="P4023" i="1"/>
  <c r="O4023" i="1"/>
  <c r="N4023" i="1"/>
  <c r="V4022" i="1"/>
  <c r="Q4022" i="1"/>
  <c r="P4022" i="1"/>
  <c r="O4022" i="1"/>
  <c r="N4022" i="1"/>
  <c r="V4021" i="1"/>
  <c r="Q4021" i="1"/>
  <c r="P4021" i="1"/>
  <c r="O4021" i="1"/>
  <c r="N4021" i="1"/>
  <c r="V4020" i="1"/>
  <c r="Q4020" i="1"/>
  <c r="P4020" i="1"/>
  <c r="O4020" i="1"/>
  <c r="N4020" i="1"/>
  <c r="V4019" i="1"/>
  <c r="Q4019" i="1"/>
  <c r="P4019" i="1"/>
  <c r="O4019" i="1"/>
  <c r="N4019" i="1"/>
  <c r="V4018" i="1"/>
  <c r="Q4018" i="1"/>
  <c r="P4018" i="1"/>
  <c r="O4018" i="1"/>
  <c r="N4018" i="1"/>
  <c r="V4017" i="1"/>
  <c r="Q4017" i="1"/>
  <c r="P4017" i="1"/>
  <c r="O4017" i="1"/>
  <c r="N4017" i="1"/>
  <c r="V4016" i="1"/>
  <c r="Q4016" i="1"/>
  <c r="P4016" i="1"/>
  <c r="O4016" i="1"/>
  <c r="N4016" i="1"/>
  <c r="V4015" i="1"/>
  <c r="Q4015" i="1"/>
  <c r="P4015" i="1"/>
  <c r="O4015" i="1"/>
  <c r="N4015" i="1"/>
  <c r="V4014" i="1"/>
  <c r="Q4014" i="1"/>
  <c r="P4014" i="1"/>
  <c r="O4014" i="1"/>
  <c r="N4014" i="1"/>
  <c r="V4013" i="1"/>
  <c r="Q4013" i="1"/>
  <c r="P4013" i="1"/>
  <c r="O4013" i="1"/>
  <c r="N4013" i="1"/>
  <c r="V4012" i="1"/>
  <c r="Q4012" i="1"/>
  <c r="P4012" i="1"/>
  <c r="O4012" i="1"/>
  <c r="N4012" i="1"/>
  <c r="V4011" i="1"/>
  <c r="Q4011" i="1"/>
  <c r="P4011" i="1"/>
  <c r="O4011" i="1"/>
  <c r="N4011" i="1"/>
  <c r="V4010" i="1"/>
  <c r="Q4010" i="1"/>
  <c r="P4010" i="1"/>
  <c r="O4010" i="1"/>
  <c r="N4010" i="1"/>
  <c r="V4009" i="1"/>
  <c r="Q4009" i="1"/>
  <c r="P4009" i="1"/>
  <c r="O4009" i="1"/>
  <c r="N4009" i="1"/>
  <c r="V4008" i="1"/>
  <c r="Q4008" i="1"/>
  <c r="P4008" i="1"/>
  <c r="O4008" i="1"/>
  <c r="N4008" i="1"/>
  <c r="V4007" i="1"/>
  <c r="Q4007" i="1"/>
  <c r="P4007" i="1"/>
  <c r="O4007" i="1"/>
  <c r="N4007" i="1"/>
  <c r="V4006" i="1"/>
  <c r="Q4006" i="1"/>
  <c r="P4006" i="1"/>
  <c r="O4006" i="1"/>
  <c r="N4006" i="1"/>
  <c r="V4005" i="1"/>
  <c r="Q4005" i="1"/>
  <c r="P4005" i="1"/>
  <c r="O4005" i="1"/>
  <c r="N4005" i="1"/>
  <c r="V4004" i="1"/>
  <c r="Q4004" i="1"/>
  <c r="P4004" i="1"/>
  <c r="O4004" i="1"/>
  <c r="N4004" i="1"/>
  <c r="V4003" i="1"/>
  <c r="Q4003" i="1"/>
  <c r="P4003" i="1"/>
  <c r="O4003" i="1"/>
  <c r="N4003" i="1"/>
  <c r="V4002" i="1"/>
  <c r="Q4002" i="1"/>
  <c r="P4002" i="1"/>
  <c r="O4002" i="1"/>
  <c r="N4002" i="1"/>
  <c r="V4001" i="1"/>
  <c r="Q4001" i="1"/>
  <c r="P4001" i="1"/>
  <c r="O4001" i="1"/>
  <c r="N4001" i="1"/>
  <c r="V4000" i="1"/>
  <c r="Q4000" i="1"/>
  <c r="P4000" i="1"/>
  <c r="O4000" i="1"/>
  <c r="N4000" i="1"/>
  <c r="V3999" i="1"/>
  <c r="Q3999" i="1"/>
  <c r="P3999" i="1"/>
  <c r="O3999" i="1"/>
  <c r="N3999" i="1"/>
  <c r="V3998" i="1"/>
  <c r="Q3998" i="1"/>
  <c r="P3998" i="1"/>
  <c r="O3998" i="1"/>
  <c r="N3998" i="1"/>
  <c r="V3997" i="1"/>
  <c r="Q3997" i="1"/>
  <c r="P3997" i="1"/>
  <c r="O3997" i="1"/>
  <c r="N3997" i="1"/>
  <c r="V3996" i="1"/>
  <c r="Q3996" i="1"/>
  <c r="P3996" i="1"/>
  <c r="O3996" i="1"/>
  <c r="N3996" i="1"/>
  <c r="V3995" i="1"/>
  <c r="Q3995" i="1"/>
  <c r="P3995" i="1"/>
  <c r="O3995" i="1"/>
  <c r="N3995" i="1"/>
  <c r="V3994" i="1"/>
  <c r="Q3994" i="1"/>
  <c r="P3994" i="1"/>
  <c r="O3994" i="1"/>
  <c r="N3994" i="1"/>
  <c r="V3993" i="1"/>
  <c r="Q3993" i="1"/>
  <c r="P3993" i="1"/>
  <c r="O3993" i="1"/>
  <c r="N3993" i="1"/>
  <c r="V3992" i="1"/>
  <c r="Q3992" i="1"/>
  <c r="P3992" i="1"/>
  <c r="O3992" i="1"/>
  <c r="N3992" i="1"/>
  <c r="V3991" i="1"/>
  <c r="Q3991" i="1"/>
  <c r="P3991" i="1"/>
  <c r="O3991" i="1"/>
  <c r="N3991" i="1"/>
  <c r="V3990" i="1"/>
  <c r="Q3990" i="1"/>
  <c r="P3990" i="1"/>
  <c r="O3990" i="1"/>
  <c r="N3990" i="1"/>
  <c r="V3989" i="1"/>
  <c r="Q3989" i="1"/>
  <c r="P3989" i="1"/>
  <c r="O3989" i="1"/>
  <c r="N3989" i="1"/>
  <c r="V3988" i="1"/>
  <c r="Q3988" i="1"/>
  <c r="P3988" i="1"/>
  <c r="O3988" i="1"/>
  <c r="N3988" i="1"/>
  <c r="V3987" i="1"/>
  <c r="Q3987" i="1"/>
  <c r="P3987" i="1"/>
  <c r="O3987" i="1"/>
  <c r="N3987" i="1"/>
  <c r="V3986" i="1"/>
  <c r="Q3986" i="1"/>
  <c r="P3986" i="1"/>
  <c r="O3986" i="1"/>
  <c r="N3986" i="1"/>
  <c r="V3985" i="1"/>
  <c r="Q3985" i="1"/>
  <c r="P3985" i="1"/>
  <c r="O3985" i="1"/>
  <c r="N3985" i="1"/>
  <c r="V3984" i="1"/>
  <c r="Q3984" i="1"/>
  <c r="P3984" i="1"/>
  <c r="O3984" i="1"/>
  <c r="N3984" i="1"/>
  <c r="V3983" i="1"/>
  <c r="Q3983" i="1"/>
  <c r="P3983" i="1"/>
  <c r="O3983" i="1"/>
  <c r="N3983" i="1"/>
  <c r="V3982" i="1"/>
  <c r="Q3982" i="1"/>
  <c r="P3982" i="1"/>
  <c r="O3982" i="1"/>
  <c r="N3982" i="1"/>
  <c r="V3981" i="1"/>
  <c r="Q3981" i="1"/>
  <c r="P3981" i="1"/>
  <c r="O3981" i="1"/>
  <c r="N3981" i="1"/>
  <c r="V3980" i="1"/>
  <c r="Q3980" i="1"/>
  <c r="P3980" i="1"/>
  <c r="O3980" i="1"/>
  <c r="N3980" i="1"/>
  <c r="V3979" i="1"/>
  <c r="Q3979" i="1"/>
  <c r="P3979" i="1"/>
  <c r="O3979" i="1"/>
  <c r="N3979" i="1"/>
  <c r="V3978" i="1"/>
  <c r="Q3978" i="1"/>
  <c r="P3978" i="1"/>
  <c r="O3978" i="1"/>
  <c r="N3978" i="1"/>
  <c r="V3977" i="1"/>
  <c r="Q3977" i="1"/>
  <c r="P3977" i="1"/>
  <c r="O3977" i="1"/>
  <c r="N3977" i="1"/>
  <c r="V3976" i="1"/>
  <c r="Q3976" i="1"/>
  <c r="P3976" i="1"/>
  <c r="O3976" i="1"/>
  <c r="N3976" i="1"/>
  <c r="V3975" i="1"/>
  <c r="Q3975" i="1"/>
  <c r="P3975" i="1"/>
  <c r="O3975" i="1"/>
  <c r="N3975" i="1"/>
  <c r="V3974" i="1"/>
  <c r="Q3974" i="1"/>
  <c r="P3974" i="1"/>
  <c r="O3974" i="1"/>
  <c r="N3974" i="1"/>
  <c r="V3973" i="1"/>
  <c r="Q3973" i="1"/>
  <c r="P3973" i="1"/>
  <c r="O3973" i="1"/>
  <c r="N3973" i="1"/>
  <c r="V3972" i="1"/>
  <c r="Q3972" i="1"/>
  <c r="P3972" i="1"/>
  <c r="O3972" i="1"/>
  <c r="N3972" i="1"/>
  <c r="V3971" i="1"/>
  <c r="Q3971" i="1"/>
  <c r="P3971" i="1"/>
  <c r="O3971" i="1"/>
  <c r="N3971" i="1"/>
  <c r="V3970" i="1"/>
  <c r="Q3970" i="1"/>
  <c r="P3970" i="1"/>
  <c r="O3970" i="1"/>
  <c r="N3970" i="1"/>
  <c r="V3969" i="1"/>
  <c r="Q3969" i="1"/>
  <c r="P3969" i="1"/>
  <c r="O3969" i="1"/>
  <c r="N3969" i="1"/>
  <c r="V3968" i="1"/>
  <c r="Q3968" i="1"/>
  <c r="P3968" i="1"/>
  <c r="O3968" i="1"/>
  <c r="N3968" i="1"/>
  <c r="V3967" i="1"/>
  <c r="Q3967" i="1"/>
  <c r="P3967" i="1"/>
  <c r="O3967" i="1"/>
  <c r="N3967" i="1"/>
  <c r="V3966" i="1"/>
  <c r="Q3966" i="1"/>
  <c r="P3966" i="1"/>
  <c r="O3966" i="1"/>
  <c r="N3966" i="1"/>
  <c r="V3965" i="1"/>
  <c r="Q3965" i="1"/>
  <c r="P3965" i="1"/>
  <c r="O3965" i="1"/>
  <c r="N3965" i="1"/>
  <c r="V3964" i="1"/>
  <c r="Q3964" i="1"/>
  <c r="P3964" i="1"/>
  <c r="O3964" i="1"/>
  <c r="N3964" i="1"/>
  <c r="V3963" i="1"/>
  <c r="Q3963" i="1"/>
  <c r="P3963" i="1"/>
  <c r="O3963" i="1"/>
  <c r="N3963" i="1"/>
  <c r="V3962" i="1"/>
  <c r="Q3962" i="1"/>
  <c r="P3962" i="1"/>
  <c r="O3962" i="1"/>
  <c r="N3962" i="1"/>
  <c r="V3961" i="1"/>
  <c r="Q3961" i="1"/>
  <c r="P3961" i="1"/>
  <c r="O3961" i="1"/>
  <c r="N3961" i="1"/>
  <c r="V3960" i="1"/>
  <c r="Q3960" i="1"/>
  <c r="P3960" i="1"/>
  <c r="O3960" i="1"/>
  <c r="N3960" i="1"/>
  <c r="V3959" i="1"/>
  <c r="Q3959" i="1"/>
  <c r="P3959" i="1"/>
  <c r="O3959" i="1"/>
  <c r="N3959" i="1"/>
  <c r="V3958" i="1"/>
  <c r="Q3958" i="1"/>
  <c r="P3958" i="1"/>
  <c r="O3958" i="1"/>
  <c r="N3958" i="1"/>
  <c r="V3957" i="1"/>
  <c r="Q3957" i="1"/>
  <c r="P3957" i="1"/>
  <c r="O3957" i="1"/>
  <c r="N3957" i="1"/>
  <c r="V3956" i="1"/>
  <c r="Q3956" i="1"/>
  <c r="P3956" i="1"/>
  <c r="O3956" i="1"/>
  <c r="N3956" i="1"/>
  <c r="V3955" i="1"/>
  <c r="Q3955" i="1"/>
  <c r="P3955" i="1"/>
  <c r="O3955" i="1"/>
  <c r="N3955" i="1"/>
  <c r="V3954" i="1"/>
  <c r="Q3954" i="1"/>
  <c r="P3954" i="1"/>
  <c r="O3954" i="1"/>
  <c r="N3954" i="1"/>
  <c r="V3953" i="1"/>
  <c r="Q3953" i="1"/>
  <c r="P3953" i="1"/>
  <c r="O3953" i="1"/>
  <c r="N3953" i="1"/>
  <c r="V3952" i="1"/>
  <c r="Q3952" i="1"/>
  <c r="P3952" i="1"/>
  <c r="O3952" i="1"/>
  <c r="N3952" i="1"/>
  <c r="V3951" i="1"/>
  <c r="Q3951" i="1"/>
  <c r="P3951" i="1"/>
  <c r="O3951" i="1"/>
  <c r="N3951" i="1"/>
  <c r="V3950" i="1"/>
  <c r="Q3950" i="1"/>
  <c r="P3950" i="1"/>
  <c r="O3950" i="1"/>
  <c r="N3950" i="1"/>
  <c r="V3949" i="1"/>
  <c r="Q3949" i="1"/>
  <c r="P3949" i="1"/>
  <c r="O3949" i="1"/>
  <c r="N3949" i="1"/>
  <c r="V3948" i="1"/>
  <c r="Q3948" i="1"/>
  <c r="P3948" i="1"/>
  <c r="O3948" i="1"/>
  <c r="N3948" i="1"/>
  <c r="V3947" i="1"/>
  <c r="Q3947" i="1"/>
  <c r="P3947" i="1"/>
  <c r="O3947" i="1"/>
  <c r="N3947" i="1"/>
  <c r="V3946" i="1"/>
  <c r="Q3946" i="1"/>
  <c r="P3946" i="1"/>
  <c r="O3946" i="1"/>
  <c r="N3946" i="1"/>
  <c r="V3945" i="1"/>
  <c r="Q3945" i="1"/>
  <c r="P3945" i="1"/>
  <c r="O3945" i="1"/>
  <c r="N3945" i="1"/>
  <c r="V3944" i="1"/>
  <c r="Q3944" i="1"/>
  <c r="P3944" i="1"/>
  <c r="O3944" i="1"/>
  <c r="N3944" i="1"/>
  <c r="V3943" i="1"/>
  <c r="Q3943" i="1"/>
  <c r="P3943" i="1"/>
  <c r="O3943" i="1"/>
  <c r="N3943" i="1"/>
  <c r="V3942" i="1"/>
  <c r="Q3942" i="1"/>
  <c r="P3942" i="1"/>
  <c r="O3942" i="1"/>
  <c r="N3942" i="1"/>
  <c r="V3941" i="1"/>
  <c r="Q3941" i="1"/>
  <c r="P3941" i="1"/>
  <c r="O3941" i="1"/>
  <c r="N3941" i="1"/>
  <c r="V3940" i="1"/>
  <c r="Q3940" i="1"/>
  <c r="P3940" i="1"/>
  <c r="O3940" i="1"/>
  <c r="N3940" i="1"/>
  <c r="V3939" i="1"/>
  <c r="Q3939" i="1"/>
  <c r="P3939" i="1"/>
  <c r="O3939" i="1"/>
  <c r="N3939" i="1"/>
  <c r="V3938" i="1"/>
  <c r="Q3938" i="1"/>
  <c r="P3938" i="1"/>
  <c r="O3938" i="1"/>
  <c r="N3938" i="1"/>
  <c r="V3937" i="1"/>
  <c r="Q3937" i="1"/>
  <c r="P3937" i="1"/>
  <c r="O3937" i="1"/>
  <c r="N3937" i="1"/>
  <c r="V3936" i="1"/>
  <c r="Q3936" i="1"/>
  <c r="P3936" i="1"/>
  <c r="O3936" i="1"/>
  <c r="N3936" i="1"/>
  <c r="V3935" i="1"/>
  <c r="Q3935" i="1"/>
  <c r="P3935" i="1"/>
  <c r="O3935" i="1"/>
  <c r="N3935" i="1"/>
  <c r="V3934" i="1"/>
  <c r="Q3934" i="1"/>
  <c r="P3934" i="1"/>
  <c r="O3934" i="1"/>
  <c r="N3934" i="1"/>
  <c r="V3933" i="1"/>
  <c r="Q3933" i="1"/>
  <c r="P3933" i="1"/>
  <c r="O3933" i="1"/>
  <c r="N3933" i="1"/>
  <c r="V3932" i="1"/>
  <c r="Q3932" i="1"/>
  <c r="P3932" i="1"/>
  <c r="O3932" i="1"/>
  <c r="N3932" i="1"/>
  <c r="V3931" i="1"/>
  <c r="Q3931" i="1"/>
  <c r="P3931" i="1"/>
  <c r="O3931" i="1"/>
  <c r="N3931" i="1"/>
  <c r="V3930" i="1"/>
  <c r="Q3930" i="1"/>
  <c r="P3930" i="1"/>
  <c r="O3930" i="1"/>
  <c r="N3930" i="1"/>
  <c r="V3929" i="1"/>
  <c r="Q3929" i="1"/>
  <c r="P3929" i="1"/>
  <c r="O3929" i="1"/>
  <c r="N3929" i="1"/>
  <c r="V3928" i="1"/>
  <c r="Q3928" i="1"/>
  <c r="P3928" i="1"/>
  <c r="O3928" i="1"/>
  <c r="N3928" i="1"/>
  <c r="V3927" i="1"/>
  <c r="Q3927" i="1"/>
  <c r="P3927" i="1"/>
  <c r="O3927" i="1"/>
  <c r="N3927" i="1"/>
  <c r="V3926" i="1"/>
  <c r="Q3926" i="1"/>
  <c r="P3926" i="1"/>
  <c r="O3926" i="1"/>
  <c r="N3926" i="1"/>
  <c r="V3925" i="1"/>
  <c r="Q3925" i="1"/>
  <c r="P3925" i="1"/>
  <c r="O3925" i="1"/>
  <c r="N3925" i="1"/>
  <c r="V3924" i="1"/>
  <c r="Q3924" i="1"/>
  <c r="P3924" i="1"/>
  <c r="O3924" i="1"/>
  <c r="N3924" i="1"/>
  <c r="V3923" i="1"/>
  <c r="Q3923" i="1"/>
  <c r="P3923" i="1"/>
  <c r="O3923" i="1"/>
  <c r="N3923" i="1"/>
  <c r="V3922" i="1"/>
  <c r="Q3922" i="1"/>
  <c r="P3922" i="1"/>
  <c r="O3922" i="1"/>
  <c r="N3922" i="1"/>
  <c r="V3921" i="1"/>
  <c r="Q3921" i="1"/>
  <c r="P3921" i="1"/>
  <c r="O3921" i="1"/>
  <c r="N3921" i="1"/>
  <c r="V3920" i="1"/>
  <c r="Q3920" i="1"/>
  <c r="P3920" i="1"/>
  <c r="O3920" i="1"/>
  <c r="N3920" i="1"/>
  <c r="V3919" i="1"/>
  <c r="Q3919" i="1"/>
  <c r="P3919" i="1"/>
  <c r="O3919" i="1"/>
  <c r="N3919" i="1"/>
  <c r="V3918" i="1"/>
  <c r="Q3918" i="1"/>
  <c r="P3918" i="1"/>
  <c r="O3918" i="1"/>
  <c r="N3918" i="1"/>
  <c r="V3917" i="1"/>
  <c r="Q3917" i="1"/>
  <c r="P3917" i="1"/>
  <c r="O3917" i="1"/>
  <c r="N3917" i="1"/>
  <c r="V3916" i="1"/>
  <c r="Q3916" i="1"/>
  <c r="P3916" i="1"/>
  <c r="O3916" i="1"/>
  <c r="N3916" i="1"/>
  <c r="V3915" i="1"/>
  <c r="Q3915" i="1"/>
  <c r="P3915" i="1"/>
  <c r="O3915" i="1"/>
  <c r="N3915" i="1"/>
  <c r="V3914" i="1"/>
  <c r="Q3914" i="1"/>
  <c r="P3914" i="1"/>
  <c r="O3914" i="1"/>
  <c r="N3914" i="1"/>
  <c r="V3913" i="1"/>
  <c r="Q3913" i="1"/>
  <c r="P3913" i="1"/>
  <c r="O3913" i="1"/>
  <c r="N3913" i="1"/>
  <c r="V3912" i="1"/>
  <c r="Q3912" i="1"/>
  <c r="P3912" i="1"/>
  <c r="O3912" i="1"/>
  <c r="N3912" i="1"/>
  <c r="V3911" i="1"/>
  <c r="Q3911" i="1"/>
  <c r="P3911" i="1"/>
  <c r="O3911" i="1"/>
  <c r="N3911" i="1"/>
  <c r="V3910" i="1"/>
  <c r="Q3910" i="1"/>
  <c r="P3910" i="1"/>
  <c r="O3910" i="1"/>
  <c r="N3910" i="1"/>
  <c r="V3909" i="1"/>
  <c r="Q3909" i="1"/>
  <c r="P3909" i="1"/>
  <c r="O3909" i="1"/>
  <c r="N3909" i="1"/>
  <c r="V3908" i="1"/>
  <c r="Q3908" i="1"/>
  <c r="P3908" i="1"/>
  <c r="O3908" i="1"/>
  <c r="N3908" i="1"/>
  <c r="V3907" i="1"/>
  <c r="Q3907" i="1"/>
  <c r="P3907" i="1"/>
  <c r="O3907" i="1"/>
  <c r="N3907" i="1"/>
  <c r="V3906" i="1"/>
  <c r="Q3906" i="1"/>
  <c r="P3906" i="1"/>
  <c r="O3906" i="1"/>
  <c r="N3906" i="1"/>
  <c r="V3905" i="1"/>
  <c r="Q3905" i="1"/>
  <c r="P3905" i="1"/>
  <c r="O3905" i="1"/>
  <c r="N3905" i="1"/>
  <c r="H3905" i="1"/>
  <c r="V3904" i="1"/>
  <c r="Q3904" i="1"/>
  <c r="P3904" i="1"/>
  <c r="O3904" i="1"/>
  <c r="N3904" i="1"/>
  <c r="H3904" i="1"/>
  <c r="V3903" i="1"/>
  <c r="Q3903" i="1"/>
  <c r="P3903" i="1"/>
  <c r="O3903" i="1"/>
  <c r="N3903" i="1"/>
  <c r="H3903" i="1"/>
  <c r="V3902" i="1"/>
  <c r="Q3902" i="1"/>
  <c r="P3902" i="1"/>
  <c r="O3902" i="1"/>
  <c r="N3902" i="1"/>
  <c r="H3902" i="1"/>
  <c r="V3901" i="1"/>
  <c r="Q3901" i="1"/>
  <c r="P3901" i="1"/>
  <c r="O3901" i="1"/>
  <c r="N3901" i="1"/>
  <c r="H3901" i="1"/>
  <c r="V3900" i="1"/>
  <c r="Q3900" i="1"/>
  <c r="P3900" i="1"/>
  <c r="O3900" i="1"/>
  <c r="N3900" i="1"/>
  <c r="I3900" i="1"/>
  <c r="H3900" i="1"/>
  <c r="V3899" i="1"/>
  <c r="Q3899" i="1"/>
  <c r="P3899" i="1"/>
  <c r="O3899" i="1"/>
  <c r="N3899" i="1"/>
  <c r="I3899" i="1"/>
  <c r="H3899" i="1"/>
  <c r="V3898" i="1"/>
  <c r="Q3898" i="1"/>
  <c r="P3898" i="1"/>
  <c r="O3898" i="1"/>
  <c r="N3898" i="1"/>
  <c r="I3898" i="1"/>
  <c r="H3898" i="1"/>
  <c r="V3897" i="1"/>
  <c r="Q3897" i="1"/>
  <c r="P3897" i="1"/>
  <c r="O3897" i="1"/>
  <c r="N3897" i="1"/>
  <c r="I3897" i="1"/>
  <c r="H3897" i="1"/>
  <c r="V3896" i="1"/>
  <c r="Q3896" i="1"/>
  <c r="P3896" i="1"/>
  <c r="O3896" i="1"/>
  <c r="N3896" i="1"/>
  <c r="I3896" i="1"/>
  <c r="H3896" i="1"/>
  <c r="G3896" i="1"/>
  <c r="V3895" i="1"/>
  <c r="Q3895" i="1"/>
  <c r="P3895" i="1"/>
  <c r="O3895" i="1"/>
  <c r="N3895" i="1"/>
  <c r="I3895" i="1"/>
  <c r="H3895" i="1"/>
  <c r="G3895" i="1"/>
  <c r="V3894" i="1"/>
  <c r="Q3894" i="1"/>
  <c r="P3894" i="1"/>
  <c r="O3894" i="1"/>
  <c r="N3894" i="1"/>
  <c r="I3894" i="1"/>
  <c r="H3894" i="1"/>
  <c r="G3894" i="1"/>
  <c r="V3893" i="1"/>
  <c r="Q3893" i="1"/>
  <c r="P3893" i="1"/>
  <c r="O3893" i="1"/>
  <c r="N3893" i="1"/>
  <c r="I3893" i="1"/>
  <c r="H3893" i="1"/>
  <c r="G3893" i="1"/>
  <c r="V3892" i="1"/>
  <c r="Q3892" i="1"/>
  <c r="P3892" i="1"/>
  <c r="O3892" i="1"/>
  <c r="N3892" i="1"/>
  <c r="I3892" i="1"/>
  <c r="H3892" i="1"/>
  <c r="G3892" i="1"/>
  <c r="V3891" i="1"/>
  <c r="Q3891" i="1"/>
  <c r="P3891" i="1"/>
  <c r="O3891" i="1"/>
  <c r="N3891" i="1"/>
  <c r="I3891" i="1"/>
  <c r="H3891" i="1"/>
  <c r="G3891" i="1"/>
  <c r="V3890" i="1"/>
  <c r="Q3890" i="1"/>
  <c r="P3890" i="1"/>
  <c r="O3890" i="1"/>
  <c r="N3890" i="1"/>
  <c r="I3890" i="1"/>
  <c r="H3890" i="1"/>
  <c r="G3890" i="1"/>
  <c r="F3890" i="1"/>
  <c r="V3889" i="1"/>
  <c r="Q3889" i="1"/>
  <c r="P3889" i="1"/>
  <c r="O3889" i="1"/>
  <c r="N3889" i="1"/>
  <c r="I3889" i="1"/>
  <c r="H3889" i="1"/>
  <c r="G3889" i="1"/>
  <c r="F3889" i="1"/>
  <c r="V3888" i="1"/>
  <c r="Q3888" i="1"/>
  <c r="P3888" i="1"/>
  <c r="O3888" i="1"/>
  <c r="N3888" i="1"/>
  <c r="I3888" i="1"/>
  <c r="H3888" i="1"/>
  <c r="G3888" i="1"/>
  <c r="F3888" i="1"/>
  <c r="V3887" i="1"/>
  <c r="Q3887" i="1"/>
  <c r="P3887" i="1"/>
  <c r="O3887" i="1"/>
  <c r="N3887" i="1"/>
  <c r="I3887" i="1"/>
  <c r="H3887" i="1"/>
  <c r="G3887" i="1"/>
  <c r="F3887" i="1"/>
  <c r="V3886" i="1"/>
  <c r="Q3886" i="1"/>
  <c r="P3886" i="1"/>
  <c r="O3886" i="1"/>
  <c r="N3886" i="1"/>
  <c r="I3886" i="1"/>
  <c r="H3886" i="1"/>
  <c r="G3886" i="1"/>
  <c r="F3886" i="1"/>
  <c r="V3885" i="1"/>
  <c r="Q3885" i="1"/>
  <c r="P3885" i="1"/>
  <c r="O3885" i="1"/>
  <c r="N3885" i="1"/>
  <c r="I3885" i="1"/>
  <c r="H3885" i="1"/>
  <c r="G3885" i="1"/>
  <c r="F3885" i="1"/>
  <c r="V3884" i="1"/>
  <c r="Q3884" i="1"/>
  <c r="P3884" i="1"/>
  <c r="O3884" i="1"/>
  <c r="N3884" i="1"/>
  <c r="I3884" i="1"/>
  <c r="H3884" i="1"/>
  <c r="G3884" i="1"/>
  <c r="F3884" i="1"/>
  <c r="V3883" i="1"/>
  <c r="Q3883" i="1"/>
  <c r="P3883" i="1"/>
  <c r="O3883" i="1"/>
  <c r="N3883" i="1"/>
  <c r="I3883" i="1"/>
  <c r="H3883" i="1"/>
  <c r="G3883" i="1"/>
  <c r="F3883" i="1"/>
  <c r="V3882" i="1"/>
  <c r="Q3882" i="1"/>
  <c r="P3882" i="1"/>
  <c r="O3882" i="1"/>
  <c r="N3882" i="1"/>
  <c r="I3882" i="1"/>
  <c r="H3882" i="1"/>
  <c r="G3882" i="1"/>
  <c r="F3882" i="1"/>
  <c r="V3881" i="1"/>
  <c r="Q3881" i="1"/>
  <c r="P3881" i="1"/>
  <c r="O3881" i="1"/>
  <c r="N3881" i="1"/>
  <c r="I3881" i="1"/>
  <c r="H3881" i="1"/>
  <c r="G3881" i="1"/>
  <c r="F3881" i="1"/>
  <c r="V3880" i="1"/>
  <c r="Q3880" i="1"/>
  <c r="P3880" i="1"/>
  <c r="O3880" i="1"/>
  <c r="N3880" i="1"/>
  <c r="I3880" i="1"/>
  <c r="H3880" i="1"/>
  <c r="G3880" i="1"/>
  <c r="F3880" i="1"/>
  <c r="E3880" i="1"/>
  <c r="V3879" i="1"/>
  <c r="Q3879" i="1"/>
  <c r="P3879" i="1"/>
  <c r="O3879" i="1"/>
  <c r="N3879" i="1"/>
  <c r="I3879" i="1"/>
  <c r="H3879" i="1"/>
  <c r="G3879" i="1"/>
  <c r="F3879" i="1"/>
  <c r="E3879" i="1"/>
  <c r="V3878" i="1"/>
  <c r="Q3878" i="1"/>
  <c r="P3878" i="1"/>
  <c r="O3878" i="1"/>
  <c r="N3878" i="1"/>
  <c r="I3878" i="1"/>
  <c r="H3878" i="1"/>
  <c r="G3878" i="1"/>
  <c r="F3878" i="1"/>
  <c r="E3878" i="1"/>
  <c r="V3877" i="1"/>
  <c r="Q3877" i="1"/>
  <c r="P3877" i="1"/>
  <c r="O3877" i="1"/>
  <c r="N3877" i="1"/>
  <c r="I3877" i="1"/>
  <c r="H3877" i="1"/>
  <c r="G3877" i="1"/>
  <c r="F3877" i="1"/>
  <c r="E3877" i="1"/>
  <c r="V3876" i="1"/>
  <c r="Q3876" i="1"/>
  <c r="P3876" i="1"/>
  <c r="O3876" i="1"/>
  <c r="N3876" i="1"/>
  <c r="I3876" i="1"/>
  <c r="H3876" i="1"/>
  <c r="G3876" i="1"/>
  <c r="F3876" i="1"/>
  <c r="E3876" i="1"/>
  <c r="V3875" i="1"/>
  <c r="Q3875" i="1"/>
  <c r="P3875" i="1"/>
  <c r="O3875" i="1"/>
  <c r="N3875" i="1"/>
  <c r="I3875" i="1"/>
  <c r="H3875" i="1"/>
  <c r="G3875" i="1"/>
  <c r="F3875" i="1"/>
  <c r="E3875" i="1"/>
  <c r="V3874" i="1"/>
  <c r="Q3874" i="1"/>
  <c r="P3874" i="1"/>
  <c r="O3874" i="1"/>
  <c r="N3874" i="1"/>
  <c r="I3874" i="1"/>
  <c r="H3874" i="1"/>
  <c r="G3874" i="1"/>
  <c r="F3874" i="1"/>
  <c r="E3874" i="1"/>
  <c r="V3873" i="1"/>
  <c r="Q3873" i="1"/>
  <c r="P3873" i="1"/>
  <c r="O3873" i="1"/>
  <c r="N3873" i="1"/>
  <c r="I3873" i="1"/>
  <c r="H3873" i="1"/>
  <c r="G3873" i="1"/>
  <c r="F3873" i="1"/>
  <c r="E3873" i="1"/>
  <c r="V3872" i="1"/>
  <c r="Q3872" i="1"/>
  <c r="P3872" i="1"/>
  <c r="O3872" i="1"/>
  <c r="N3872" i="1"/>
  <c r="I3872" i="1"/>
  <c r="H3872" i="1"/>
  <c r="G3872" i="1"/>
  <c r="F3872" i="1"/>
  <c r="E3872" i="1"/>
  <c r="V3871" i="1"/>
  <c r="Q3871" i="1"/>
  <c r="P3871" i="1"/>
  <c r="O3871" i="1"/>
  <c r="N3871" i="1"/>
  <c r="I3871" i="1"/>
  <c r="H3871" i="1"/>
  <c r="G3871" i="1"/>
  <c r="F3871" i="1"/>
  <c r="E3871" i="1"/>
  <c r="V3870" i="1"/>
  <c r="Q3870" i="1"/>
  <c r="P3870" i="1"/>
  <c r="O3870" i="1"/>
  <c r="N3870" i="1"/>
  <c r="I3870" i="1"/>
  <c r="H3870" i="1"/>
  <c r="G3870" i="1"/>
  <c r="F3870" i="1"/>
  <c r="E3870" i="1"/>
  <c r="V3869" i="1"/>
  <c r="Q3869" i="1"/>
  <c r="P3869" i="1"/>
  <c r="O3869" i="1"/>
  <c r="N3869" i="1"/>
  <c r="I3869" i="1"/>
  <c r="H3869" i="1"/>
  <c r="G3869" i="1"/>
  <c r="F3869" i="1"/>
  <c r="E3869" i="1"/>
  <c r="V3868" i="1"/>
  <c r="Q3868" i="1"/>
  <c r="P3868" i="1"/>
  <c r="O3868" i="1"/>
  <c r="N3868" i="1"/>
  <c r="I3868" i="1"/>
  <c r="H3868" i="1"/>
  <c r="G3868" i="1"/>
  <c r="F3868" i="1"/>
  <c r="E3868" i="1"/>
  <c r="V3867" i="1"/>
  <c r="Q3867" i="1"/>
  <c r="P3867" i="1"/>
  <c r="O3867" i="1"/>
  <c r="N3867" i="1"/>
  <c r="I3867" i="1"/>
  <c r="H3867" i="1"/>
  <c r="G3867" i="1"/>
  <c r="F3867" i="1"/>
  <c r="E3867" i="1"/>
  <c r="V3866" i="1"/>
  <c r="Q3866" i="1"/>
  <c r="P3866" i="1"/>
  <c r="O3866" i="1"/>
  <c r="N3866" i="1"/>
  <c r="I3866" i="1"/>
  <c r="H3866" i="1"/>
  <c r="G3866" i="1"/>
  <c r="F3866" i="1"/>
  <c r="E3866" i="1"/>
  <c r="V3865" i="1"/>
  <c r="Q3865" i="1"/>
  <c r="P3865" i="1"/>
  <c r="O3865" i="1"/>
  <c r="N3865" i="1"/>
  <c r="I3865" i="1"/>
  <c r="H3865" i="1"/>
  <c r="G3865" i="1"/>
  <c r="F3865" i="1"/>
  <c r="E3865" i="1"/>
  <c r="V3864" i="1"/>
  <c r="Q3864" i="1"/>
  <c r="P3864" i="1"/>
  <c r="O3864" i="1"/>
  <c r="N3864" i="1"/>
  <c r="I3864" i="1"/>
  <c r="H3864" i="1"/>
  <c r="G3864" i="1"/>
  <c r="F3864" i="1"/>
  <c r="E3864" i="1"/>
  <c r="V3863" i="1"/>
  <c r="Q3863" i="1"/>
  <c r="P3863" i="1"/>
  <c r="O3863" i="1"/>
  <c r="N3863" i="1"/>
  <c r="I3863" i="1"/>
  <c r="H3863" i="1"/>
  <c r="G3863" i="1"/>
  <c r="F3863" i="1"/>
  <c r="E3863" i="1"/>
  <c r="V3862" i="1"/>
  <c r="Q3862" i="1"/>
  <c r="P3862" i="1"/>
  <c r="O3862" i="1"/>
  <c r="N3862" i="1"/>
  <c r="I3862" i="1"/>
  <c r="H3862" i="1"/>
  <c r="G3862" i="1"/>
  <c r="F3862" i="1"/>
  <c r="E3862" i="1"/>
  <c r="V3861" i="1"/>
  <c r="Q3861" i="1"/>
  <c r="P3861" i="1"/>
  <c r="O3861" i="1"/>
  <c r="N3861" i="1"/>
  <c r="I3861" i="1"/>
  <c r="H3861" i="1"/>
  <c r="G3861" i="1"/>
  <c r="F3861" i="1"/>
  <c r="E3861" i="1"/>
  <c r="V3860" i="1"/>
  <c r="Q3860" i="1"/>
  <c r="P3860" i="1"/>
  <c r="O3860" i="1"/>
  <c r="N3860" i="1"/>
  <c r="I3860" i="1"/>
  <c r="H3860" i="1"/>
  <c r="G3860" i="1"/>
  <c r="F3860" i="1"/>
  <c r="E3860" i="1"/>
  <c r="V3859" i="1"/>
  <c r="Q3859" i="1"/>
  <c r="P3859" i="1"/>
  <c r="O3859" i="1"/>
  <c r="N3859" i="1"/>
  <c r="I3859" i="1"/>
  <c r="H3859" i="1"/>
  <c r="G3859" i="1"/>
  <c r="F3859" i="1"/>
  <c r="E3859" i="1"/>
  <c r="V3858" i="1"/>
  <c r="Q3858" i="1"/>
  <c r="P3858" i="1"/>
  <c r="O3858" i="1"/>
  <c r="N3858" i="1"/>
  <c r="I3858" i="1"/>
  <c r="H3858" i="1"/>
  <c r="G3858" i="1"/>
  <c r="F3858" i="1"/>
  <c r="E3858" i="1"/>
  <c r="V3857" i="1"/>
  <c r="Q3857" i="1"/>
  <c r="P3857" i="1"/>
  <c r="O3857" i="1"/>
  <c r="N3857" i="1"/>
  <c r="I3857" i="1"/>
  <c r="H3857" i="1"/>
  <c r="G3857" i="1"/>
  <c r="F3857" i="1"/>
  <c r="V3856" i="1"/>
  <c r="Q3856" i="1"/>
  <c r="P3856" i="1"/>
  <c r="O3856" i="1"/>
  <c r="N3856" i="1"/>
  <c r="I3856" i="1"/>
  <c r="H3856" i="1"/>
  <c r="G3856" i="1"/>
  <c r="F3856" i="1"/>
  <c r="V3855" i="1"/>
  <c r="Q3855" i="1"/>
  <c r="P3855" i="1"/>
  <c r="O3855" i="1"/>
  <c r="N3855" i="1"/>
  <c r="I3855" i="1"/>
  <c r="H3855" i="1"/>
  <c r="G3855" i="1"/>
  <c r="F3855" i="1"/>
  <c r="V3854" i="1"/>
  <c r="Q3854" i="1"/>
  <c r="P3854" i="1"/>
  <c r="O3854" i="1"/>
  <c r="N3854" i="1"/>
  <c r="I3854" i="1"/>
  <c r="H3854" i="1"/>
  <c r="G3854" i="1"/>
  <c r="F3854" i="1"/>
  <c r="V3853" i="1"/>
  <c r="Q3853" i="1"/>
  <c r="P3853" i="1"/>
  <c r="O3853" i="1"/>
  <c r="N3853" i="1"/>
  <c r="I3853" i="1"/>
  <c r="H3853" i="1"/>
  <c r="G3853" i="1"/>
  <c r="F3853" i="1"/>
  <c r="V3852" i="1"/>
  <c r="Q3852" i="1"/>
  <c r="P3852" i="1"/>
  <c r="O3852" i="1"/>
  <c r="N3852" i="1"/>
  <c r="H3852" i="1"/>
  <c r="G3852" i="1"/>
  <c r="F3852" i="1"/>
  <c r="V3851" i="1"/>
  <c r="Q3851" i="1"/>
  <c r="P3851" i="1"/>
  <c r="O3851" i="1"/>
  <c r="N3851" i="1"/>
  <c r="H3851" i="1"/>
  <c r="G3851" i="1"/>
  <c r="F3851" i="1"/>
  <c r="V3850" i="1"/>
  <c r="Q3850" i="1"/>
  <c r="P3850" i="1"/>
  <c r="O3850" i="1"/>
  <c r="N3850" i="1"/>
  <c r="H3850" i="1"/>
  <c r="G3850" i="1"/>
  <c r="F3850" i="1"/>
  <c r="V3849" i="1"/>
  <c r="Q3849" i="1"/>
  <c r="P3849" i="1"/>
  <c r="O3849" i="1"/>
  <c r="N3849" i="1"/>
  <c r="H3849" i="1"/>
  <c r="G3849" i="1"/>
  <c r="F3849" i="1"/>
  <c r="V3848" i="1"/>
  <c r="Q3848" i="1"/>
  <c r="P3848" i="1"/>
  <c r="O3848" i="1"/>
  <c r="N3848" i="1"/>
  <c r="H3848" i="1"/>
  <c r="G3848" i="1"/>
  <c r="F3848" i="1"/>
  <c r="V3847" i="1"/>
  <c r="Q3847" i="1"/>
  <c r="P3847" i="1"/>
  <c r="O3847" i="1"/>
  <c r="N3847" i="1"/>
  <c r="H3847" i="1"/>
  <c r="G3847" i="1"/>
  <c r="F3847" i="1"/>
  <c r="V3846" i="1"/>
  <c r="Q3846" i="1"/>
  <c r="P3846" i="1"/>
  <c r="O3846" i="1"/>
  <c r="N3846" i="1"/>
  <c r="H3846" i="1"/>
  <c r="G3846" i="1"/>
  <c r="F3846" i="1"/>
  <c r="V3845" i="1"/>
  <c r="Q3845" i="1"/>
  <c r="P3845" i="1"/>
  <c r="O3845" i="1"/>
  <c r="N3845" i="1"/>
  <c r="H3845" i="1"/>
  <c r="G3845" i="1"/>
  <c r="F3845" i="1"/>
  <c r="V3844" i="1"/>
  <c r="Q3844" i="1"/>
  <c r="P3844" i="1"/>
  <c r="O3844" i="1"/>
  <c r="N3844" i="1"/>
  <c r="I3844" i="1"/>
  <c r="H3844" i="1"/>
  <c r="G3844" i="1"/>
  <c r="F3844" i="1"/>
  <c r="E3844" i="1"/>
  <c r="V3843" i="1"/>
  <c r="Q3843" i="1"/>
  <c r="P3843" i="1"/>
  <c r="O3843" i="1"/>
  <c r="N3843" i="1"/>
  <c r="I3843" i="1"/>
  <c r="H3843" i="1"/>
  <c r="G3843" i="1"/>
  <c r="F3843" i="1"/>
  <c r="E3843" i="1"/>
  <c r="V3842" i="1"/>
  <c r="Q3842" i="1"/>
  <c r="P3842" i="1"/>
  <c r="O3842" i="1"/>
  <c r="N3842" i="1"/>
  <c r="I3842" i="1"/>
  <c r="H3842" i="1"/>
  <c r="G3842" i="1"/>
  <c r="F3842" i="1"/>
  <c r="E3842" i="1"/>
  <c r="V3841" i="1"/>
  <c r="Q3841" i="1"/>
  <c r="P3841" i="1"/>
  <c r="O3841" i="1"/>
  <c r="N3841" i="1"/>
  <c r="I3841" i="1"/>
  <c r="H3841" i="1"/>
  <c r="G3841" i="1"/>
  <c r="F3841" i="1"/>
  <c r="E3841" i="1"/>
  <c r="V3840" i="1"/>
  <c r="Q3840" i="1"/>
  <c r="P3840" i="1"/>
  <c r="O3840" i="1"/>
  <c r="N3840" i="1"/>
  <c r="I3840" i="1"/>
  <c r="H3840" i="1"/>
  <c r="G3840" i="1"/>
  <c r="F3840" i="1"/>
  <c r="E3840" i="1"/>
  <c r="V3839" i="1"/>
  <c r="Q3839" i="1"/>
  <c r="P3839" i="1"/>
  <c r="O3839" i="1"/>
  <c r="N3839" i="1"/>
  <c r="I3839" i="1"/>
  <c r="H3839" i="1"/>
  <c r="G3839" i="1"/>
  <c r="F3839" i="1"/>
  <c r="E3839" i="1"/>
  <c r="V3838" i="1"/>
  <c r="Q3838" i="1"/>
  <c r="P3838" i="1"/>
  <c r="O3838" i="1"/>
  <c r="N3838" i="1"/>
  <c r="I3838" i="1"/>
  <c r="H3838" i="1"/>
  <c r="G3838" i="1"/>
  <c r="F3838" i="1"/>
  <c r="E3838" i="1"/>
  <c r="D3838" i="1"/>
  <c r="V3837" i="1"/>
  <c r="Q3837" i="1"/>
  <c r="P3837" i="1"/>
  <c r="O3837" i="1"/>
  <c r="N3837" i="1"/>
  <c r="I3837" i="1"/>
  <c r="H3837" i="1"/>
  <c r="G3837" i="1"/>
  <c r="F3837" i="1"/>
  <c r="E3837" i="1"/>
  <c r="D3837" i="1"/>
  <c r="V3836" i="1"/>
  <c r="Q3836" i="1"/>
  <c r="P3836" i="1"/>
  <c r="O3836" i="1"/>
  <c r="N3836" i="1"/>
  <c r="I3836" i="1"/>
  <c r="H3836" i="1"/>
  <c r="G3836" i="1"/>
  <c r="F3836" i="1"/>
  <c r="E3836" i="1"/>
  <c r="D3836" i="1"/>
  <c r="V3835" i="1"/>
  <c r="Q3835" i="1"/>
  <c r="P3835" i="1"/>
  <c r="O3835" i="1"/>
  <c r="N3835" i="1"/>
  <c r="I3835" i="1"/>
  <c r="H3835" i="1"/>
  <c r="G3835" i="1"/>
  <c r="F3835" i="1"/>
  <c r="E3835" i="1"/>
  <c r="D3835" i="1"/>
  <c r="V3834" i="1"/>
  <c r="Q3834" i="1"/>
  <c r="P3834" i="1"/>
  <c r="O3834" i="1"/>
  <c r="N3834" i="1"/>
  <c r="I3834" i="1"/>
  <c r="H3834" i="1"/>
  <c r="G3834" i="1"/>
  <c r="F3834" i="1"/>
  <c r="E3834" i="1"/>
  <c r="D3834" i="1"/>
  <c r="V3833" i="1"/>
  <c r="Q3833" i="1"/>
  <c r="P3833" i="1"/>
  <c r="O3833" i="1"/>
  <c r="N3833" i="1"/>
  <c r="I3833" i="1"/>
  <c r="H3833" i="1"/>
  <c r="G3833" i="1"/>
  <c r="F3833" i="1"/>
  <c r="E3833" i="1"/>
  <c r="D3833" i="1"/>
  <c r="V3832" i="1"/>
  <c r="Q3832" i="1"/>
  <c r="P3832" i="1"/>
  <c r="O3832" i="1"/>
  <c r="N3832" i="1"/>
  <c r="I3832" i="1"/>
  <c r="H3832" i="1"/>
  <c r="G3832" i="1"/>
  <c r="F3832" i="1"/>
  <c r="E3832" i="1"/>
  <c r="D3832" i="1"/>
  <c r="V3831" i="1"/>
  <c r="Q3831" i="1"/>
  <c r="P3831" i="1"/>
  <c r="O3831" i="1"/>
  <c r="N3831" i="1"/>
  <c r="I3831" i="1"/>
  <c r="H3831" i="1"/>
  <c r="G3831" i="1"/>
  <c r="F3831" i="1"/>
  <c r="E3831" i="1"/>
  <c r="D3831" i="1"/>
  <c r="V3830" i="1"/>
  <c r="Q3830" i="1"/>
  <c r="P3830" i="1"/>
  <c r="O3830" i="1"/>
  <c r="N3830" i="1"/>
  <c r="I3830" i="1"/>
  <c r="H3830" i="1"/>
  <c r="G3830" i="1"/>
  <c r="F3830" i="1"/>
  <c r="E3830" i="1"/>
  <c r="D3830" i="1"/>
  <c r="V3829" i="1"/>
  <c r="Q3829" i="1"/>
  <c r="P3829" i="1"/>
  <c r="O3829" i="1"/>
  <c r="N3829" i="1"/>
  <c r="I3829" i="1"/>
  <c r="H3829" i="1"/>
  <c r="G3829" i="1"/>
  <c r="F3829" i="1"/>
  <c r="E3829" i="1"/>
  <c r="D3829" i="1"/>
  <c r="V3828" i="1"/>
  <c r="Q3828" i="1"/>
  <c r="P3828" i="1"/>
  <c r="O3828" i="1"/>
  <c r="N3828" i="1"/>
  <c r="I3828" i="1"/>
  <c r="H3828" i="1"/>
  <c r="G3828" i="1"/>
  <c r="F3828" i="1"/>
  <c r="E3828" i="1"/>
  <c r="D3828" i="1"/>
  <c r="V3827" i="1"/>
  <c r="Q3827" i="1"/>
  <c r="P3827" i="1"/>
  <c r="O3827" i="1"/>
  <c r="N3827" i="1"/>
  <c r="I3827" i="1"/>
  <c r="H3827" i="1"/>
  <c r="G3827" i="1"/>
  <c r="F3827" i="1"/>
  <c r="E3827" i="1"/>
  <c r="D3827" i="1"/>
  <c r="V3826" i="1"/>
  <c r="Q3826" i="1"/>
  <c r="P3826" i="1"/>
  <c r="O3826" i="1"/>
  <c r="N3826" i="1"/>
  <c r="I3826" i="1"/>
  <c r="H3826" i="1"/>
  <c r="G3826" i="1"/>
  <c r="F3826" i="1"/>
  <c r="E3826" i="1"/>
  <c r="D3826" i="1"/>
  <c r="V3825" i="1"/>
  <c r="Q3825" i="1"/>
  <c r="P3825" i="1"/>
  <c r="O3825" i="1"/>
  <c r="N3825" i="1"/>
  <c r="I3825" i="1"/>
  <c r="H3825" i="1"/>
  <c r="G3825" i="1"/>
  <c r="F3825" i="1"/>
  <c r="E3825" i="1"/>
  <c r="D3825" i="1"/>
  <c r="V3824" i="1"/>
  <c r="Q3824" i="1"/>
  <c r="P3824" i="1"/>
  <c r="O3824" i="1"/>
  <c r="N3824" i="1"/>
  <c r="I3824" i="1"/>
  <c r="H3824" i="1"/>
  <c r="G3824" i="1"/>
  <c r="F3824" i="1"/>
  <c r="E3824" i="1"/>
  <c r="D3824" i="1"/>
  <c r="V3823" i="1"/>
  <c r="Q3823" i="1"/>
  <c r="P3823" i="1"/>
  <c r="O3823" i="1"/>
  <c r="N3823" i="1"/>
  <c r="I3823" i="1"/>
  <c r="H3823" i="1"/>
  <c r="G3823" i="1"/>
  <c r="F3823" i="1"/>
  <c r="E3823" i="1"/>
  <c r="D3823" i="1"/>
  <c r="V3822" i="1"/>
  <c r="Q3822" i="1"/>
  <c r="P3822" i="1"/>
  <c r="O3822" i="1"/>
  <c r="N3822" i="1"/>
  <c r="I3822" i="1"/>
  <c r="H3822" i="1"/>
  <c r="G3822" i="1"/>
  <c r="F3822" i="1"/>
  <c r="E3822" i="1"/>
  <c r="V3821" i="1"/>
  <c r="Q3821" i="1"/>
  <c r="P3821" i="1"/>
  <c r="O3821" i="1"/>
  <c r="N3821" i="1"/>
  <c r="I3821" i="1"/>
  <c r="H3821" i="1"/>
  <c r="G3821" i="1"/>
  <c r="F3821" i="1"/>
  <c r="E3821" i="1"/>
  <c r="V3820" i="1"/>
  <c r="Q3820" i="1"/>
  <c r="P3820" i="1"/>
  <c r="O3820" i="1"/>
  <c r="N3820" i="1"/>
  <c r="I3820" i="1"/>
  <c r="H3820" i="1"/>
  <c r="G3820" i="1"/>
  <c r="F3820" i="1"/>
  <c r="V3819" i="1"/>
  <c r="Q3819" i="1"/>
  <c r="P3819" i="1"/>
  <c r="O3819" i="1"/>
  <c r="N3819" i="1"/>
  <c r="I3819" i="1"/>
  <c r="H3819" i="1"/>
  <c r="G3819" i="1"/>
  <c r="V3818" i="1"/>
  <c r="Q3818" i="1"/>
  <c r="P3818" i="1"/>
  <c r="O3818" i="1"/>
  <c r="N3818" i="1"/>
  <c r="I3818" i="1"/>
  <c r="H3818" i="1"/>
  <c r="G3818" i="1"/>
  <c r="V3817" i="1"/>
  <c r="Q3817" i="1"/>
  <c r="P3817" i="1"/>
  <c r="O3817" i="1"/>
  <c r="N3817" i="1"/>
  <c r="I3817" i="1"/>
  <c r="H3817" i="1"/>
  <c r="V3816" i="1"/>
  <c r="Q3816" i="1"/>
  <c r="P3816" i="1"/>
  <c r="O3816" i="1"/>
  <c r="N3816" i="1"/>
  <c r="H3816" i="1"/>
  <c r="V3815" i="1"/>
  <c r="Q3815" i="1"/>
  <c r="P3815" i="1"/>
  <c r="O3815" i="1"/>
  <c r="N3815" i="1"/>
  <c r="V3814" i="1"/>
  <c r="Q3814" i="1"/>
  <c r="P3814" i="1"/>
  <c r="O3814" i="1"/>
  <c r="N3814" i="1"/>
  <c r="V3813" i="1"/>
  <c r="Q3813" i="1"/>
  <c r="P3813" i="1"/>
  <c r="O3813" i="1"/>
  <c r="N3813" i="1"/>
  <c r="V3812" i="1"/>
  <c r="Q3812" i="1"/>
  <c r="P3812" i="1"/>
  <c r="O3812" i="1"/>
  <c r="N3812" i="1"/>
  <c r="V3811" i="1"/>
  <c r="Q3811" i="1"/>
  <c r="P3811" i="1"/>
  <c r="O3811" i="1"/>
  <c r="N3811" i="1"/>
  <c r="V3810" i="1"/>
  <c r="Q3810" i="1"/>
  <c r="P3810" i="1"/>
  <c r="O3810" i="1"/>
  <c r="N3810" i="1"/>
  <c r="V3809" i="1"/>
  <c r="Q3809" i="1"/>
  <c r="P3809" i="1"/>
  <c r="O3809" i="1"/>
  <c r="N3809" i="1"/>
  <c r="V3808" i="1"/>
  <c r="Q3808" i="1"/>
  <c r="P3808" i="1"/>
  <c r="O3808" i="1"/>
  <c r="N3808" i="1"/>
  <c r="V3807" i="1"/>
  <c r="Q3807" i="1"/>
  <c r="P3807" i="1"/>
  <c r="O3807" i="1"/>
  <c r="N3807" i="1"/>
  <c r="V3806" i="1"/>
  <c r="Q3806" i="1"/>
  <c r="P3806" i="1"/>
  <c r="O3806" i="1"/>
  <c r="N3806" i="1"/>
  <c r="V3805" i="1"/>
  <c r="Q3805" i="1"/>
  <c r="P3805" i="1"/>
  <c r="O3805" i="1"/>
  <c r="N3805" i="1"/>
  <c r="V3804" i="1"/>
  <c r="Q3804" i="1"/>
  <c r="P3804" i="1"/>
  <c r="O3804" i="1"/>
  <c r="N3804" i="1"/>
  <c r="V3803" i="1"/>
  <c r="Q3803" i="1"/>
  <c r="P3803" i="1"/>
  <c r="O3803" i="1"/>
  <c r="N3803" i="1"/>
  <c r="V3802" i="1"/>
  <c r="Q3802" i="1"/>
  <c r="P3802" i="1"/>
  <c r="O3802" i="1"/>
  <c r="N3802" i="1"/>
  <c r="V3801" i="1"/>
  <c r="Q3801" i="1"/>
  <c r="P3801" i="1"/>
  <c r="O3801" i="1"/>
  <c r="N3801" i="1"/>
  <c r="V3800" i="1"/>
  <c r="Q3800" i="1"/>
  <c r="P3800" i="1"/>
  <c r="O3800" i="1"/>
  <c r="N3800" i="1"/>
  <c r="V3799" i="1"/>
  <c r="Q3799" i="1"/>
  <c r="P3799" i="1"/>
  <c r="O3799" i="1"/>
  <c r="N3799" i="1"/>
  <c r="V3798" i="1"/>
  <c r="Q3798" i="1"/>
  <c r="P3798" i="1"/>
  <c r="O3798" i="1"/>
  <c r="N3798" i="1"/>
  <c r="V3797" i="1"/>
  <c r="Q3797" i="1"/>
  <c r="P3797" i="1"/>
  <c r="O3797" i="1"/>
  <c r="N3797" i="1"/>
  <c r="V3796" i="1"/>
  <c r="Q3796" i="1"/>
  <c r="P3796" i="1"/>
  <c r="O3796" i="1"/>
  <c r="N3796" i="1"/>
  <c r="V3795" i="1"/>
  <c r="Q3795" i="1"/>
  <c r="P3795" i="1"/>
  <c r="O3795" i="1"/>
  <c r="N3795" i="1"/>
  <c r="V3794" i="1"/>
  <c r="Q3794" i="1"/>
  <c r="P3794" i="1"/>
  <c r="O3794" i="1"/>
  <c r="N3794" i="1"/>
  <c r="V3793" i="1"/>
  <c r="Q3793" i="1"/>
  <c r="P3793" i="1"/>
  <c r="O3793" i="1"/>
  <c r="N3793" i="1"/>
  <c r="V3792" i="1"/>
  <c r="Q3792" i="1"/>
  <c r="P3792" i="1"/>
  <c r="O3792" i="1"/>
  <c r="N3792" i="1"/>
  <c r="V3791" i="1"/>
  <c r="Q3791" i="1"/>
  <c r="P3791" i="1"/>
  <c r="O3791" i="1"/>
  <c r="N3791" i="1"/>
  <c r="V3790" i="1"/>
  <c r="Q3790" i="1"/>
  <c r="P3790" i="1"/>
  <c r="O3790" i="1"/>
  <c r="N3790" i="1"/>
  <c r="V3789" i="1"/>
  <c r="Q3789" i="1"/>
  <c r="P3789" i="1"/>
  <c r="O3789" i="1"/>
  <c r="N3789" i="1"/>
  <c r="V3788" i="1"/>
  <c r="Q3788" i="1"/>
  <c r="P3788" i="1"/>
  <c r="O3788" i="1"/>
  <c r="N3788" i="1"/>
  <c r="V3787" i="1"/>
  <c r="Q3787" i="1"/>
  <c r="P3787" i="1"/>
  <c r="O3787" i="1"/>
  <c r="N3787" i="1"/>
  <c r="V3786" i="1"/>
  <c r="Q3786" i="1"/>
  <c r="P3786" i="1"/>
  <c r="O3786" i="1"/>
  <c r="N3786" i="1"/>
  <c r="V3785" i="1"/>
  <c r="Q3785" i="1"/>
  <c r="P3785" i="1"/>
  <c r="O3785" i="1"/>
  <c r="N3785" i="1"/>
  <c r="V3784" i="1"/>
  <c r="Q3784" i="1"/>
  <c r="P3784" i="1"/>
  <c r="O3784" i="1"/>
  <c r="N3784" i="1"/>
  <c r="H3784" i="1"/>
  <c r="V3783" i="1"/>
  <c r="Q3783" i="1"/>
  <c r="P3783" i="1"/>
  <c r="O3783" i="1"/>
  <c r="N3783" i="1"/>
  <c r="H3783" i="1"/>
  <c r="V3782" i="1"/>
  <c r="Q3782" i="1"/>
  <c r="P3782" i="1"/>
  <c r="O3782" i="1"/>
  <c r="N3782" i="1"/>
  <c r="H3782" i="1"/>
  <c r="V3781" i="1"/>
  <c r="Q3781" i="1"/>
  <c r="P3781" i="1"/>
  <c r="O3781" i="1"/>
  <c r="N3781" i="1"/>
  <c r="H3781" i="1"/>
  <c r="V3780" i="1"/>
  <c r="Q3780" i="1"/>
  <c r="P3780" i="1"/>
  <c r="O3780" i="1"/>
  <c r="N3780" i="1"/>
  <c r="V3779" i="1"/>
  <c r="Q3779" i="1"/>
  <c r="P3779" i="1"/>
  <c r="O3779" i="1"/>
  <c r="N3779" i="1"/>
  <c r="V3778" i="1"/>
  <c r="Q3778" i="1"/>
  <c r="P3778" i="1"/>
  <c r="O3778" i="1"/>
  <c r="N3778" i="1"/>
  <c r="V3777" i="1"/>
  <c r="Q3777" i="1"/>
  <c r="P3777" i="1"/>
  <c r="O3777" i="1"/>
  <c r="N3777" i="1"/>
  <c r="V3776" i="1"/>
  <c r="Q3776" i="1"/>
  <c r="P3776" i="1"/>
  <c r="O3776" i="1"/>
  <c r="N3776" i="1"/>
  <c r="V3775" i="1"/>
  <c r="Q3775" i="1"/>
  <c r="P3775" i="1"/>
  <c r="O3775" i="1"/>
  <c r="N3775" i="1"/>
  <c r="V3774" i="1"/>
  <c r="Q3774" i="1"/>
  <c r="P3774" i="1"/>
  <c r="O3774" i="1"/>
  <c r="N3774" i="1"/>
  <c r="V3773" i="1"/>
  <c r="Q3773" i="1"/>
  <c r="P3773" i="1"/>
  <c r="O3773" i="1"/>
  <c r="N3773" i="1"/>
  <c r="V3772" i="1"/>
  <c r="Q3772" i="1"/>
  <c r="P3772" i="1"/>
  <c r="O3772" i="1"/>
  <c r="N3772" i="1"/>
  <c r="V3771" i="1"/>
  <c r="Q3771" i="1"/>
  <c r="P3771" i="1"/>
  <c r="O3771" i="1"/>
  <c r="N3771" i="1"/>
  <c r="V3770" i="1"/>
  <c r="Q3770" i="1"/>
  <c r="P3770" i="1"/>
  <c r="O3770" i="1"/>
  <c r="N3770" i="1"/>
  <c r="V3769" i="1"/>
  <c r="Q3769" i="1"/>
  <c r="P3769" i="1"/>
  <c r="O3769" i="1"/>
  <c r="N3769" i="1"/>
  <c r="V3768" i="1"/>
  <c r="Q3768" i="1"/>
  <c r="P3768" i="1"/>
  <c r="O3768" i="1"/>
  <c r="N3768" i="1"/>
  <c r="V3767" i="1"/>
  <c r="Q3767" i="1"/>
  <c r="P3767" i="1"/>
  <c r="O3767" i="1"/>
  <c r="N3767" i="1"/>
  <c r="V3766" i="1"/>
  <c r="Q3766" i="1"/>
  <c r="P3766" i="1"/>
  <c r="O3766" i="1"/>
  <c r="N3766" i="1"/>
  <c r="V3765" i="1"/>
  <c r="Q3765" i="1"/>
  <c r="P3765" i="1"/>
  <c r="O3765" i="1"/>
  <c r="N3765" i="1"/>
  <c r="V3764" i="1"/>
  <c r="Q3764" i="1"/>
  <c r="P3764" i="1"/>
  <c r="O3764" i="1"/>
  <c r="N3764" i="1"/>
  <c r="V3763" i="1"/>
  <c r="Q3763" i="1"/>
  <c r="P3763" i="1"/>
  <c r="O3763" i="1"/>
  <c r="N3763" i="1"/>
  <c r="V3762" i="1"/>
  <c r="Q3762" i="1"/>
  <c r="P3762" i="1"/>
  <c r="O3762" i="1"/>
  <c r="N3762" i="1"/>
  <c r="V3761" i="1"/>
  <c r="Q3761" i="1"/>
  <c r="P3761" i="1"/>
  <c r="O3761" i="1"/>
  <c r="N3761" i="1"/>
  <c r="V3760" i="1"/>
  <c r="Q3760" i="1"/>
  <c r="P3760" i="1"/>
  <c r="O3760" i="1"/>
  <c r="N3760" i="1"/>
  <c r="V3759" i="1"/>
  <c r="Q3759" i="1"/>
  <c r="P3759" i="1"/>
  <c r="O3759" i="1"/>
  <c r="N3759" i="1"/>
  <c r="V3758" i="1"/>
  <c r="Q3758" i="1"/>
  <c r="P3758" i="1"/>
  <c r="O3758" i="1"/>
  <c r="N3758" i="1"/>
  <c r="V3757" i="1"/>
  <c r="Q3757" i="1"/>
  <c r="P3757" i="1"/>
  <c r="O3757" i="1"/>
  <c r="N3757" i="1"/>
  <c r="V3756" i="1"/>
  <c r="Q3756" i="1"/>
  <c r="P3756" i="1"/>
  <c r="O3756" i="1"/>
  <c r="N3756" i="1"/>
  <c r="V3755" i="1"/>
  <c r="Q3755" i="1"/>
  <c r="P3755" i="1"/>
  <c r="O3755" i="1"/>
  <c r="N3755" i="1"/>
  <c r="V3754" i="1"/>
  <c r="Q3754" i="1"/>
  <c r="P3754" i="1"/>
  <c r="O3754" i="1"/>
  <c r="N3754" i="1"/>
  <c r="V3753" i="1"/>
  <c r="Q3753" i="1"/>
  <c r="P3753" i="1"/>
  <c r="O3753" i="1"/>
  <c r="N3753" i="1"/>
  <c r="V3752" i="1"/>
  <c r="Q3752" i="1"/>
  <c r="P3752" i="1"/>
  <c r="O3752" i="1"/>
  <c r="N3752" i="1"/>
  <c r="V3751" i="1"/>
  <c r="Q3751" i="1"/>
  <c r="P3751" i="1"/>
  <c r="O3751" i="1"/>
  <c r="N3751" i="1"/>
  <c r="V3750" i="1"/>
  <c r="Q3750" i="1"/>
  <c r="P3750" i="1"/>
  <c r="O3750" i="1"/>
  <c r="N3750" i="1"/>
  <c r="V3749" i="1"/>
  <c r="Q3749" i="1"/>
  <c r="P3749" i="1"/>
  <c r="O3749" i="1"/>
  <c r="N3749" i="1"/>
  <c r="V3748" i="1"/>
  <c r="Q3748" i="1"/>
  <c r="P3748" i="1"/>
  <c r="O3748" i="1"/>
  <c r="N3748" i="1"/>
  <c r="V3747" i="1"/>
  <c r="Q3747" i="1"/>
  <c r="P3747" i="1"/>
  <c r="O3747" i="1"/>
  <c r="N3747" i="1"/>
  <c r="V3746" i="1"/>
  <c r="Q3746" i="1"/>
  <c r="P3746" i="1"/>
  <c r="O3746" i="1"/>
  <c r="N3746" i="1"/>
  <c r="V3745" i="1"/>
  <c r="Q3745" i="1"/>
  <c r="P3745" i="1"/>
  <c r="O3745" i="1"/>
  <c r="N3745" i="1"/>
  <c r="V3744" i="1"/>
  <c r="Q3744" i="1"/>
  <c r="P3744" i="1"/>
  <c r="O3744" i="1"/>
  <c r="N3744" i="1"/>
  <c r="V3743" i="1"/>
  <c r="Q3743" i="1"/>
  <c r="P3743" i="1"/>
  <c r="O3743" i="1"/>
  <c r="N3743" i="1"/>
  <c r="V3742" i="1"/>
  <c r="Q3742" i="1"/>
  <c r="P3742" i="1"/>
  <c r="O3742" i="1"/>
  <c r="N3742" i="1"/>
  <c r="V3741" i="1"/>
  <c r="Q3741" i="1"/>
  <c r="P3741" i="1"/>
  <c r="O3741" i="1"/>
  <c r="N3741" i="1"/>
  <c r="V3740" i="1"/>
  <c r="Q3740" i="1"/>
  <c r="P3740" i="1"/>
  <c r="O3740" i="1"/>
  <c r="N3740" i="1"/>
  <c r="V3739" i="1"/>
  <c r="Q3739" i="1"/>
  <c r="P3739" i="1"/>
  <c r="O3739" i="1"/>
  <c r="N3739" i="1"/>
  <c r="V3738" i="1"/>
  <c r="Q3738" i="1"/>
  <c r="P3738" i="1"/>
  <c r="O3738" i="1"/>
  <c r="N3738" i="1"/>
  <c r="V3737" i="1"/>
  <c r="Q3737" i="1"/>
  <c r="P3737" i="1"/>
  <c r="O3737" i="1"/>
  <c r="N3737" i="1"/>
  <c r="V3736" i="1"/>
  <c r="Q3736" i="1"/>
  <c r="P3736" i="1"/>
  <c r="O3736" i="1"/>
  <c r="N3736" i="1"/>
  <c r="V3735" i="1"/>
  <c r="Q3735" i="1"/>
  <c r="P3735" i="1"/>
  <c r="O3735" i="1"/>
  <c r="N3735" i="1"/>
  <c r="V3734" i="1"/>
  <c r="Q3734" i="1"/>
  <c r="P3734" i="1"/>
  <c r="O3734" i="1"/>
  <c r="N3734" i="1"/>
  <c r="V3733" i="1"/>
  <c r="Q3733" i="1"/>
  <c r="P3733" i="1"/>
  <c r="O3733" i="1"/>
  <c r="N3733" i="1"/>
  <c r="V3732" i="1"/>
  <c r="Q3732" i="1"/>
  <c r="P3732" i="1"/>
  <c r="O3732" i="1"/>
  <c r="N3732" i="1"/>
  <c r="V3731" i="1"/>
  <c r="Q3731" i="1"/>
  <c r="P3731" i="1"/>
  <c r="O3731" i="1"/>
  <c r="N3731" i="1"/>
  <c r="V3730" i="1"/>
  <c r="Q3730" i="1"/>
  <c r="P3730" i="1"/>
  <c r="O3730" i="1"/>
  <c r="N3730" i="1"/>
  <c r="V3729" i="1"/>
  <c r="Q3729" i="1"/>
  <c r="P3729" i="1"/>
  <c r="O3729" i="1"/>
  <c r="N3729" i="1"/>
  <c r="V3728" i="1"/>
  <c r="Q3728" i="1"/>
  <c r="P3728" i="1"/>
  <c r="O3728" i="1"/>
  <c r="N3728" i="1"/>
  <c r="V3727" i="1"/>
  <c r="Q3727" i="1"/>
  <c r="P3727" i="1"/>
  <c r="O3727" i="1"/>
  <c r="N3727" i="1"/>
  <c r="V3726" i="1"/>
  <c r="Q3726" i="1"/>
  <c r="P3726" i="1"/>
  <c r="O3726" i="1"/>
  <c r="N3726" i="1"/>
  <c r="V3725" i="1"/>
  <c r="Q3725" i="1"/>
  <c r="P3725" i="1"/>
  <c r="O3725" i="1"/>
  <c r="N3725" i="1"/>
  <c r="V3724" i="1"/>
  <c r="Q3724" i="1"/>
  <c r="P3724" i="1"/>
  <c r="O3724" i="1"/>
  <c r="N3724" i="1"/>
  <c r="V3723" i="1"/>
  <c r="Q3723" i="1"/>
  <c r="P3723" i="1"/>
  <c r="O3723" i="1"/>
  <c r="N3723" i="1"/>
  <c r="V3722" i="1"/>
  <c r="Q3722" i="1"/>
  <c r="P3722" i="1"/>
  <c r="O3722" i="1"/>
  <c r="N3722" i="1"/>
  <c r="V3721" i="1"/>
  <c r="Q3721" i="1"/>
  <c r="P3721" i="1"/>
  <c r="O3721" i="1"/>
  <c r="N3721" i="1"/>
  <c r="V3720" i="1"/>
  <c r="Q3720" i="1"/>
  <c r="P3720" i="1"/>
  <c r="O3720" i="1"/>
  <c r="N3720" i="1"/>
  <c r="V3719" i="1"/>
  <c r="Q3719" i="1"/>
  <c r="P3719" i="1"/>
  <c r="O3719" i="1"/>
  <c r="N3719" i="1"/>
  <c r="V3718" i="1"/>
  <c r="Q3718" i="1"/>
  <c r="P3718" i="1"/>
  <c r="O3718" i="1"/>
  <c r="N3718" i="1"/>
  <c r="V3717" i="1"/>
  <c r="Q3717" i="1"/>
  <c r="P3717" i="1"/>
  <c r="O3717" i="1"/>
  <c r="N3717" i="1"/>
  <c r="V3716" i="1"/>
  <c r="Q3716" i="1"/>
  <c r="P3716" i="1"/>
  <c r="O3716" i="1"/>
  <c r="N3716" i="1"/>
  <c r="V3715" i="1"/>
  <c r="Q3715" i="1"/>
  <c r="P3715" i="1"/>
  <c r="O3715" i="1"/>
  <c r="N3715" i="1"/>
  <c r="V3714" i="1"/>
  <c r="Q3714" i="1"/>
  <c r="P3714" i="1"/>
  <c r="O3714" i="1"/>
  <c r="N3714" i="1"/>
  <c r="V3713" i="1"/>
  <c r="Q3713" i="1"/>
  <c r="P3713" i="1"/>
  <c r="O3713" i="1"/>
  <c r="N3713" i="1"/>
  <c r="V3712" i="1"/>
  <c r="Q3712" i="1"/>
  <c r="P3712" i="1"/>
  <c r="O3712" i="1"/>
  <c r="N3712" i="1"/>
  <c r="V3711" i="1"/>
  <c r="Q3711" i="1"/>
  <c r="P3711" i="1"/>
  <c r="O3711" i="1"/>
  <c r="N3711" i="1"/>
  <c r="V3710" i="1"/>
  <c r="Q3710" i="1"/>
  <c r="P3710" i="1"/>
  <c r="O3710" i="1"/>
  <c r="N3710" i="1"/>
  <c r="V3709" i="1"/>
  <c r="Q3709" i="1"/>
  <c r="P3709" i="1"/>
  <c r="O3709" i="1"/>
  <c r="N3709" i="1"/>
  <c r="V3708" i="1"/>
  <c r="Q3708" i="1"/>
  <c r="P3708" i="1"/>
  <c r="O3708" i="1"/>
  <c r="N3708" i="1"/>
  <c r="V3707" i="1"/>
  <c r="Q3707" i="1"/>
  <c r="P3707" i="1"/>
  <c r="O3707" i="1"/>
  <c r="N3707" i="1"/>
  <c r="V3706" i="1"/>
  <c r="Q3706" i="1"/>
  <c r="P3706" i="1"/>
  <c r="O3706" i="1"/>
  <c r="N3706" i="1"/>
  <c r="V3705" i="1"/>
  <c r="Q3705" i="1"/>
  <c r="P3705" i="1"/>
  <c r="O3705" i="1"/>
  <c r="N3705" i="1"/>
  <c r="V3704" i="1"/>
  <c r="Q3704" i="1"/>
  <c r="P3704" i="1"/>
  <c r="O3704" i="1"/>
  <c r="N3704" i="1"/>
  <c r="V3703" i="1"/>
  <c r="Q3703" i="1"/>
  <c r="P3703" i="1"/>
  <c r="O3703" i="1"/>
  <c r="N3703" i="1"/>
  <c r="V3702" i="1"/>
  <c r="Q3702" i="1"/>
  <c r="P3702" i="1"/>
  <c r="O3702" i="1"/>
  <c r="N3702" i="1"/>
  <c r="V3701" i="1"/>
  <c r="Q3701" i="1"/>
  <c r="P3701" i="1"/>
  <c r="O3701" i="1"/>
  <c r="N3701" i="1"/>
  <c r="V3700" i="1"/>
  <c r="Q3700" i="1"/>
  <c r="P3700" i="1"/>
  <c r="O3700" i="1"/>
  <c r="N3700" i="1"/>
  <c r="V3699" i="1"/>
  <c r="Q3699" i="1"/>
  <c r="P3699" i="1"/>
  <c r="O3699" i="1"/>
  <c r="N3699" i="1"/>
  <c r="V3698" i="1"/>
  <c r="Q3698" i="1"/>
  <c r="P3698" i="1"/>
  <c r="O3698" i="1"/>
  <c r="N3698" i="1"/>
  <c r="V3697" i="1"/>
  <c r="Q3697" i="1"/>
  <c r="P3697" i="1"/>
  <c r="O3697" i="1"/>
  <c r="N3697" i="1"/>
  <c r="V3696" i="1"/>
  <c r="Q3696" i="1"/>
  <c r="P3696" i="1"/>
  <c r="O3696" i="1"/>
  <c r="N3696" i="1"/>
  <c r="V3695" i="1"/>
  <c r="Q3695" i="1"/>
  <c r="P3695" i="1"/>
  <c r="O3695" i="1"/>
  <c r="N3695" i="1"/>
  <c r="V3694" i="1"/>
  <c r="Q3694" i="1"/>
  <c r="P3694" i="1"/>
  <c r="O3694" i="1"/>
  <c r="N3694" i="1"/>
  <c r="V3693" i="1"/>
  <c r="Q3693" i="1"/>
  <c r="P3693" i="1"/>
  <c r="O3693" i="1"/>
  <c r="N3693" i="1"/>
  <c r="V3692" i="1"/>
  <c r="Q3692" i="1"/>
  <c r="P3692" i="1"/>
  <c r="O3692" i="1"/>
  <c r="N3692" i="1"/>
  <c r="V3691" i="1"/>
  <c r="Q3691" i="1"/>
  <c r="P3691" i="1"/>
  <c r="O3691" i="1"/>
  <c r="N3691" i="1"/>
  <c r="V3690" i="1"/>
  <c r="Q3690" i="1"/>
  <c r="P3690" i="1"/>
  <c r="O3690" i="1"/>
  <c r="N3690" i="1"/>
  <c r="V3689" i="1"/>
  <c r="Q3689" i="1"/>
  <c r="P3689" i="1"/>
  <c r="O3689" i="1"/>
  <c r="N3689" i="1"/>
  <c r="V3688" i="1"/>
  <c r="Q3688" i="1"/>
  <c r="P3688" i="1"/>
  <c r="O3688" i="1"/>
  <c r="N3688" i="1"/>
  <c r="V3687" i="1"/>
  <c r="Q3687" i="1"/>
  <c r="P3687" i="1"/>
  <c r="O3687" i="1"/>
  <c r="N3687" i="1"/>
  <c r="V3686" i="1"/>
  <c r="Q3686" i="1"/>
  <c r="P3686" i="1"/>
  <c r="O3686" i="1"/>
  <c r="N3686" i="1"/>
  <c r="V3685" i="1"/>
  <c r="Q3685" i="1"/>
  <c r="P3685" i="1"/>
  <c r="O3685" i="1"/>
  <c r="N3685" i="1"/>
  <c r="V3684" i="1"/>
  <c r="Q3684" i="1"/>
  <c r="P3684" i="1"/>
  <c r="O3684" i="1"/>
  <c r="N3684" i="1"/>
  <c r="V3683" i="1"/>
  <c r="Q3683" i="1"/>
  <c r="P3683" i="1"/>
  <c r="O3683" i="1"/>
  <c r="N3683" i="1"/>
  <c r="V3682" i="1"/>
  <c r="Q3682" i="1"/>
  <c r="P3682" i="1"/>
  <c r="O3682" i="1"/>
  <c r="N3682" i="1"/>
  <c r="V3681" i="1"/>
  <c r="Q3681" i="1"/>
  <c r="P3681" i="1"/>
  <c r="O3681" i="1"/>
  <c r="N3681" i="1"/>
  <c r="V3680" i="1"/>
  <c r="Q3680" i="1"/>
  <c r="P3680" i="1"/>
  <c r="O3680" i="1"/>
  <c r="N3680" i="1"/>
  <c r="V3679" i="1"/>
  <c r="Q3679" i="1"/>
  <c r="P3679" i="1"/>
  <c r="O3679" i="1"/>
  <c r="N3679" i="1"/>
  <c r="V3678" i="1"/>
  <c r="Q3678" i="1"/>
  <c r="P3678" i="1"/>
  <c r="O3678" i="1"/>
  <c r="N3678" i="1"/>
  <c r="V3677" i="1"/>
  <c r="Q3677" i="1"/>
  <c r="P3677" i="1"/>
  <c r="O3677" i="1"/>
  <c r="N3677" i="1"/>
  <c r="V3676" i="1"/>
  <c r="Q3676" i="1"/>
  <c r="P3676" i="1"/>
  <c r="O3676" i="1"/>
  <c r="N3676" i="1"/>
  <c r="V3675" i="1"/>
  <c r="Q3675" i="1"/>
  <c r="P3675" i="1"/>
  <c r="O3675" i="1"/>
  <c r="N3675" i="1"/>
  <c r="V3674" i="1"/>
  <c r="Q3674" i="1"/>
  <c r="P3674" i="1"/>
  <c r="O3674" i="1"/>
  <c r="N3674" i="1"/>
  <c r="V3673" i="1"/>
  <c r="Q3673" i="1"/>
  <c r="P3673" i="1"/>
  <c r="O3673" i="1"/>
  <c r="N3673" i="1"/>
  <c r="V3672" i="1"/>
  <c r="Q3672" i="1"/>
  <c r="P3672" i="1"/>
  <c r="O3672" i="1"/>
  <c r="N3672" i="1"/>
  <c r="V3671" i="1"/>
  <c r="Q3671" i="1"/>
  <c r="P3671" i="1"/>
  <c r="O3671" i="1"/>
  <c r="N3671" i="1"/>
  <c r="V3670" i="1"/>
  <c r="Q3670" i="1"/>
  <c r="P3670" i="1"/>
  <c r="O3670" i="1"/>
  <c r="N3670" i="1"/>
  <c r="V3669" i="1"/>
  <c r="Q3669" i="1"/>
  <c r="P3669" i="1"/>
  <c r="O3669" i="1"/>
  <c r="N3669" i="1"/>
  <c r="V3668" i="1"/>
  <c r="Q3668" i="1"/>
  <c r="P3668" i="1"/>
  <c r="O3668" i="1"/>
  <c r="N3668" i="1"/>
  <c r="V3667" i="1"/>
  <c r="Q3667" i="1"/>
  <c r="P3667" i="1"/>
  <c r="O3667" i="1"/>
  <c r="N3667" i="1"/>
  <c r="V3666" i="1"/>
  <c r="Q3666" i="1"/>
  <c r="P3666" i="1"/>
  <c r="O3666" i="1"/>
  <c r="N3666" i="1"/>
  <c r="V3665" i="1"/>
  <c r="Q3665" i="1"/>
  <c r="P3665" i="1"/>
  <c r="O3665" i="1"/>
  <c r="N3665" i="1"/>
  <c r="V3664" i="1"/>
  <c r="Q3664" i="1"/>
  <c r="P3664" i="1"/>
  <c r="O3664" i="1"/>
  <c r="N3664" i="1"/>
  <c r="V3663" i="1"/>
  <c r="Q3663" i="1"/>
  <c r="P3663" i="1"/>
  <c r="O3663" i="1"/>
  <c r="N3663" i="1"/>
  <c r="V3662" i="1"/>
  <c r="Q3662" i="1"/>
  <c r="P3662" i="1"/>
  <c r="O3662" i="1"/>
  <c r="N3662" i="1"/>
  <c r="V3661" i="1"/>
  <c r="Q3661" i="1"/>
  <c r="P3661" i="1"/>
  <c r="O3661" i="1"/>
  <c r="N3661" i="1"/>
  <c r="V3660" i="1"/>
  <c r="Q3660" i="1"/>
  <c r="P3660" i="1"/>
  <c r="O3660" i="1"/>
  <c r="N3660" i="1"/>
  <c r="V3659" i="1"/>
  <c r="Q3659" i="1"/>
  <c r="P3659" i="1"/>
  <c r="O3659" i="1"/>
  <c r="N3659" i="1"/>
  <c r="V3658" i="1"/>
  <c r="Q3658" i="1"/>
  <c r="P3658" i="1"/>
  <c r="O3658" i="1"/>
  <c r="N3658" i="1"/>
  <c r="V3657" i="1"/>
  <c r="Q3657" i="1"/>
  <c r="P3657" i="1"/>
  <c r="O3657" i="1"/>
  <c r="N3657" i="1"/>
  <c r="V3656" i="1"/>
  <c r="Q3656" i="1"/>
  <c r="P3656" i="1"/>
  <c r="O3656" i="1"/>
  <c r="N3656" i="1"/>
  <c r="V3655" i="1"/>
  <c r="Q3655" i="1"/>
  <c r="P3655" i="1"/>
  <c r="O3655" i="1"/>
  <c r="N3655" i="1"/>
  <c r="V3654" i="1"/>
  <c r="Q3654" i="1"/>
  <c r="P3654" i="1"/>
  <c r="O3654" i="1"/>
  <c r="N3654" i="1"/>
  <c r="V3653" i="1"/>
  <c r="Q3653" i="1"/>
  <c r="P3653" i="1"/>
  <c r="O3653" i="1"/>
  <c r="N3653" i="1"/>
  <c r="V3652" i="1"/>
  <c r="Q3652" i="1"/>
  <c r="P3652" i="1"/>
  <c r="O3652" i="1"/>
  <c r="N3652" i="1"/>
  <c r="V3651" i="1"/>
  <c r="Q3651" i="1"/>
  <c r="P3651" i="1"/>
  <c r="O3651" i="1"/>
  <c r="N3651" i="1"/>
  <c r="V3650" i="1"/>
  <c r="Q3650" i="1"/>
  <c r="P3650" i="1"/>
  <c r="O3650" i="1"/>
  <c r="N3650" i="1"/>
  <c r="V3649" i="1"/>
  <c r="Q3649" i="1"/>
  <c r="P3649" i="1"/>
  <c r="O3649" i="1"/>
  <c r="N3649" i="1"/>
  <c r="V3648" i="1"/>
  <c r="Q3648" i="1"/>
  <c r="P3648" i="1"/>
  <c r="O3648" i="1"/>
  <c r="N3648" i="1"/>
  <c r="V3647" i="1"/>
  <c r="Q3647" i="1"/>
  <c r="P3647" i="1"/>
  <c r="O3647" i="1"/>
  <c r="N3647" i="1"/>
  <c r="V3646" i="1"/>
  <c r="Q3646" i="1"/>
  <c r="P3646" i="1"/>
  <c r="O3646" i="1"/>
  <c r="N3646" i="1"/>
  <c r="V3645" i="1"/>
  <c r="Q3645" i="1"/>
  <c r="P3645" i="1"/>
  <c r="O3645" i="1"/>
  <c r="N3645" i="1"/>
  <c r="V3644" i="1"/>
  <c r="Q3644" i="1"/>
  <c r="P3644" i="1"/>
  <c r="O3644" i="1"/>
  <c r="N3644" i="1"/>
  <c r="V3643" i="1"/>
  <c r="Q3643" i="1"/>
  <c r="P3643" i="1"/>
  <c r="O3643" i="1"/>
  <c r="N3643" i="1"/>
  <c r="V3642" i="1"/>
  <c r="Q3642" i="1"/>
  <c r="P3642" i="1"/>
  <c r="O3642" i="1"/>
  <c r="N3642" i="1"/>
  <c r="V3641" i="1"/>
  <c r="Q3641" i="1"/>
  <c r="P3641" i="1"/>
  <c r="O3641" i="1"/>
  <c r="N3641" i="1"/>
  <c r="V3640" i="1"/>
  <c r="Q3640" i="1"/>
  <c r="P3640" i="1"/>
  <c r="O3640" i="1"/>
  <c r="N3640" i="1"/>
  <c r="V3639" i="1"/>
  <c r="Q3639" i="1"/>
  <c r="P3639" i="1"/>
  <c r="O3639" i="1"/>
  <c r="N3639" i="1"/>
  <c r="V3638" i="1"/>
  <c r="Q3638" i="1"/>
  <c r="P3638" i="1"/>
  <c r="O3638" i="1"/>
  <c r="N3638" i="1"/>
  <c r="V3637" i="1"/>
  <c r="Q3637" i="1"/>
  <c r="P3637" i="1"/>
  <c r="O3637" i="1"/>
  <c r="N3637" i="1"/>
  <c r="V3636" i="1"/>
  <c r="Q3636" i="1"/>
  <c r="P3636" i="1"/>
  <c r="O3636" i="1"/>
  <c r="N3636" i="1"/>
  <c r="V3635" i="1"/>
  <c r="Q3635" i="1"/>
  <c r="P3635" i="1"/>
  <c r="O3635" i="1"/>
  <c r="N3635" i="1"/>
  <c r="V3634" i="1"/>
  <c r="Q3634" i="1"/>
  <c r="P3634" i="1"/>
  <c r="O3634" i="1"/>
  <c r="N3634" i="1"/>
  <c r="V3633" i="1"/>
  <c r="Q3633" i="1"/>
  <c r="P3633" i="1"/>
  <c r="O3633" i="1"/>
  <c r="N3633" i="1"/>
  <c r="V3632" i="1"/>
  <c r="Q3632" i="1"/>
  <c r="P3632" i="1"/>
  <c r="O3632" i="1"/>
  <c r="N3632" i="1"/>
  <c r="V3631" i="1"/>
  <c r="Q3631" i="1"/>
  <c r="P3631" i="1"/>
  <c r="O3631" i="1"/>
  <c r="N3631" i="1"/>
  <c r="V3630" i="1"/>
  <c r="Q3630" i="1"/>
  <c r="P3630" i="1"/>
  <c r="O3630" i="1"/>
  <c r="N3630" i="1"/>
  <c r="V3629" i="1"/>
  <c r="Q3629" i="1"/>
  <c r="P3629" i="1"/>
  <c r="O3629" i="1"/>
  <c r="N3629" i="1"/>
  <c r="V3628" i="1"/>
  <c r="Q3628" i="1"/>
  <c r="P3628" i="1"/>
  <c r="O3628" i="1"/>
  <c r="N3628" i="1"/>
  <c r="V3627" i="1"/>
  <c r="Q3627" i="1"/>
  <c r="P3627" i="1"/>
  <c r="O3627" i="1"/>
  <c r="N3627" i="1"/>
  <c r="V3626" i="1"/>
  <c r="Q3626" i="1"/>
  <c r="P3626" i="1"/>
  <c r="O3626" i="1"/>
  <c r="N3626" i="1"/>
  <c r="V3625" i="1"/>
  <c r="Q3625" i="1"/>
  <c r="P3625" i="1"/>
  <c r="O3625" i="1"/>
  <c r="N3625" i="1"/>
  <c r="V3624" i="1"/>
  <c r="Q3624" i="1"/>
  <c r="P3624" i="1"/>
  <c r="O3624" i="1"/>
  <c r="N3624" i="1"/>
  <c r="V3623" i="1"/>
  <c r="Q3623" i="1"/>
  <c r="P3623" i="1"/>
  <c r="O3623" i="1"/>
  <c r="N3623" i="1"/>
  <c r="V3622" i="1"/>
  <c r="Q3622" i="1"/>
  <c r="P3622" i="1"/>
  <c r="O3622" i="1"/>
  <c r="N3622" i="1"/>
  <c r="V3621" i="1"/>
  <c r="Q3621" i="1"/>
  <c r="P3621" i="1"/>
  <c r="O3621" i="1"/>
  <c r="N3621" i="1"/>
  <c r="V3620" i="1"/>
  <c r="Q3620" i="1"/>
  <c r="P3620" i="1"/>
  <c r="O3620" i="1"/>
  <c r="N3620" i="1"/>
  <c r="V3619" i="1"/>
  <c r="Q3619" i="1"/>
  <c r="P3619" i="1"/>
  <c r="O3619" i="1"/>
  <c r="N3619" i="1"/>
  <c r="V3618" i="1"/>
  <c r="Q3618" i="1"/>
  <c r="P3618" i="1"/>
  <c r="O3618" i="1"/>
  <c r="N3618" i="1"/>
  <c r="V3617" i="1"/>
  <c r="Q3617" i="1"/>
  <c r="P3617" i="1"/>
  <c r="O3617" i="1"/>
  <c r="N3617" i="1"/>
  <c r="V3616" i="1"/>
  <c r="Q3616" i="1"/>
  <c r="P3616" i="1"/>
  <c r="O3616" i="1"/>
  <c r="N3616" i="1"/>
  <c r="V3615" i="1"/>
  <c r="Q3615" i="1"/>
  <c r="P3615" i="1"/>
  <c r="O3615" i="1"/>
  <c r="N3615" i="1"/>
  <c r="V3614" i="1"/>
  <c r="Q3614" i="1"/>
  <c r="P3614" i="1"/>
  <c r="O3614" i="1"/>
  <c r="N3614" i="1"/>
  <c r="V3613" i="1"/>
  <c r="Q3613" i="1"/>
  <c r="P3613" i="1"/>
  <c r="O3613" i="1"/>
  <c r="N3613" i="1"/>
  <c r="V3612" i="1"/>
  <c r="Q3612" i="1"/>
  <c r="P3612" i="1"/>
  <c r="O3612" i="1"/>
  <c r="N3612" i="1"/>
  <c r="V3611" i="1"/>
  <c r="Q3611" i="1"/>
  <c r="P3611" i="1"/>
  <c r="O3611" i="1"/>
  <c r="N3611" i="1"/>
  <c r="V3610" i="1"/>
  <c r="Q3610" i="1"/>
  <c r="P3610" i="1"/>
  <c r="O3610" i="1"/>
  <c r="N3610" i="1"/>
  <c r="V3609" i="1"/>
  <c r="Q3609" i="1"/>
  <c r="P3609" i="1"/>
  <c r="O3609" i="1"/>
  <c r="N3609" i="1"/>
  <c r="V3608" i="1"/>
  <c r="Q3608" i="1"/>
  <c r="P3608" i="1"/>
  <c r="O3608" i="1"/>
  <c r="N3608" i="1"/>
  <c r="V3607" i="1"/>
  <c r="Q3607" i="1"/>
  <c r="P3607" i="1"/>
  <c r="O3607" i="1"/>
  <c r="N3607" i="1"/>
  <c r="V3606" i="1"/>
  <c r="Q3606" i="1"/>
  <c r="P3606" i="1"/>
  <c r="O3606" i="1"/>
  <c r="N3606" i="1"/>
  <c r="V3605" i="1"/>
  <c r="Q3605" i="1"/>
  <c r="P3605" i="1"/>
  <c r="O3605" i="1"/>
  <c r="N3605" i="1"/>
  <c r="V3604" i="1"/>
  <c r="Q3604" i="1"/>
  <c r="P3604" i="1"/>
  <c r="O3604" i="1"/>
  <c r="N3604" i="1"/>
  <c r="V3603" i="1"/>
  <c r="Q3603" i="1"/>
  <c r="P3603" i="1"/>
  <c r="O3603" i="1"/>
  <c r="N3603" i="1"/>
  <c r="V3602" i="1"/>
  <c r="Q3602" i="1"/>
  <c r="P3602" i="1"/>
  <c r="O3602" i="1"/>
  <c r="N3602" i="1"/>
  <c r="V3601" i="1"/>
  <c r="Q3601" i="1"/>
  <c r="P3601" i="1"/>
  <c r="O3601" i="1"/>
  <c r="N3601" i="1"/>
  <c r="V3600" i="1"/>
  <c r="Q3600" i="1"/>
  <c r="P3600" i="1"/>
  <c r="O3600" i="1"/>
  <c r="N3600" i="1"/>
  <c r="V3599" i="1"/>
  <c r="Q3599" i="1"/>
  <c r="P3599" i="1"/>
  <c r="O3599" i="1"/>
  <c r="N3599" i="1"/>
  <c r="V3598" i="1"/>
  <c r="Q3598" i="1"/>
  <c r="P3598" i="1"/>
  <c r="O3598" i="1"/>
  <c r="N3598" i="1"/>
  <c r="V3597" i="1"/>
  <c r="Q3597" i="1"/>
  <c r="P3597" i="1"/>
  <c r="O3597" i="1"/>
  <c r="N3597" i="1"/>
  <c r="V3596" i="1"/>
  <c r="Q3596" i="1"/>
  <c r="P3596" i="1"/>
  <c r="O3596" i="1"/>
  <c r="N3596" i="1"/>
  <c r="V3595" i="1"/>
  <c r="Q3595" i="1"/>
  <c r="P3595" i="1"/>
  <c r="O3595" i="1"/>
  <c r="N3595" i="1"/>
  <c r="V3594" i="1"/>
  <c r="Q3594" i="1"/>
  <c r="P3594" i="1"/>
  <c r="O3594" i="1"/>
  <c r="N3594" i="1"/>
  <c r="V3593" i="1"/>
  <c r="Q3593" i="1"/>
  <c r="P3593" i="1"/>
  <c r="O3593" i="1"/>
  <c r="N3593" i="1"/>
  <c r="V3592" i="1"/>
  <c r="Q3592" i="1"/>
  <c r="P3592" i="1"/>
  <c r="O3592" i="1"/>
  <c r="N3592" i="1"/>
  <c r="V3591" i="1"/>
  <c r="Q3591" i="1"/>
  <c r="P3591" i="1"/>
  <c r="O3591" i="1"/>
  <c r="N3591" i="1"/>
  <c r="V3590" i="1"/>
  <c r="Q3590" i="1"/>
  <c r="P3590" i="1"/>
  <c r="O3590" i="1"/>
  <c r="N3590" i="1"/>
  <c r="V3589" i="1"/>
  <c r="Q3589" i="1"/>
  <c r="P3589" i="1"/>
  <c r="O3589" i="1"/>
  <c r="N3589" i="1"/>
  <c r="V3588" i="1"/>
  <c r="Q3588" i="1"/>
  <c r="P3588" i="1"/>
  <c r="O3588" i="1"/>
  <c r="N3588" i="1"/>
  <c r="V3587" i="1"/>
  <c r="Q3587" i="1"/>
  <c r="P3587" i="1"/>
  <c r="O3587" i="1"/>
  <c r="N3587" i="1"/>
  <c r="V3586" i="1"/>
  <c r="Q3586" i="1"/>
  <c r="P3586" i="1"/>
  <c r="O3586" i="1"/>
  <c r="N3586" i="1"/>
  <c r="V3585" i="1"/>
  <c r="Q3585" i="1"/>
  <c r="P3585" i="1"/>
  <c r="O3585" i="1"/>
  <c r="N3585" i="1"/>
  <c r="V3584" i="1"/>
  <c r="Q3584" i="1"/>
  <c r="P3584" i="1"/>
  <c r="O3584" i="1"/>
  <c r="N3584" i="1"/>
  <c r="V3583" i="1"/>
  <c r="Q3583" i="1"/>
  <c r="P3583" i="1"/>
  <c r="O3583" i="1"/>
  <c r="N3583" i="1"/>
  <c r="V3582" i="1"/>
  <c r="Q3582" i="1"/>
  <c r="P3582" i="1"/>
  <c r="O3582" i="1"/>
  <c r="N3582" i="1"/>
  <c r="V3581" i="1"/>
  <c r="Q3581" i="1"/>
  <c r="P3581" i="1"/>
  <c r="O3581" i="1"/>
  <c r="N3581" i="1"/>
  <c r="V3580" i="1"/>
  <c r="Q3580" i="1"/>
  <c r="P3580" i="1"/>
  <c r="O3580" i="1"/>
  <c r="N3580" i="1"/>
  <c r="V3579" i="1"/>
  <c r="Q3579" i="1"/>
  <c r="P3579" i="1"/>
  <c r="O3579" i="1"/>
  <c r="N3579" i="1"/>
  <c r="V3578" i="1"/>
  <c r="Q3578" i="1"/>
  <c r="P3578" i="1"/>
  <c r="O3578" i="1"/>
  <c r="N3578" i="1"/>
  <c r="V3577" i="1"/>
  <c r="Q3577" i="1"/>
  <c r="P3577" i="1"/>
  <c r="O3577" i="1"/>
  <c r="N3577" i="1"/>
  <c r="V3576" i="1"/>
  <c r="Q3576" i="1"/>
  <c r="P3576" i="1"/>
  <c r="O3576" i="1"/>
  <c r="N3576" i="1"/>
  <c r="V3575" i="1"/>
  <c r="Q3575" i="1"/>
  <c r="P3575" i="1"/>
  <c r="O3575" i="1"/>
  <c r="N3575" i="1"/>
  <c r="V3574" i="1"/>
  <c r="Q3574" i="1"/>
  <c r="P3574" i="1"/>
  <c r="O3574" i="1"/>
  <c r="N3574" i="1"/>
  <c r="V3573" i="1"/>
  <c r="Q3573" i="1"/>
  <c r="P3573" i="1"/>
  <c r="O3573" i="1"/>
  <c r="N3573" i="1"/>
  <c r="V3572" i="1"/>
  <c r="Q3572" i="1"/>
  <c r="P3572" i="1"/>
  <c r="O3572" i="1"/>
  <c r="N3572" i="1"/>
  <c r="V3571" i="1"/>
  <c r="Q3571" i="1"/>
  <c r="P3571" i="1"/>
  <c r="O3571" i="1"/>
  <c r="N3571" i="1"/>
  <c r="V3570" i="1"/>
  <c r="Q3570" i="1"/>
  <c r="P3570" i="1"/>
  <c r="O3570" i="1"/>
  <c r="N3570" i="1"/>
  <c r="V3569" i="1"/>
  <c r="Q3569" i="1"/>
  <c r="P3569" i="1"/>
  <c r="O3569" i="1"/>
  <c r="N3569" i="1"/>
  <c r="V3568" i="1"/>
  <c r="Q3568" i="1"/>
  <c r="P3568" i="1"/>
  <c r="O3568" i="1"/>
  <c r="N3568" i="1"/>
  <c r="V3567" i="1"/>
  <c r="Q3567" i="1"/>
  <c r="P3567" i="1"/>
  <c r="O3567" i="1"/>
  <c r="N3567" i="1"/>
  <c r="V3566" i="1"/>
  <c r="Q3566" i="1"/>
  <c r="P3566" i="1"/>
  <c r="O3566" i="1"/>
  <c r="N3566" i="1"/>
  <c r="V3565" i="1"/>
  <c r="Q3565" i="1"/>
  <c r="P3565" i="1"/>
  <c r="O3565" i="1"/>
  <c r="N3565" i="1"/>
  <c r="V3564" i="1"/>
  <c r="Q3564" i="1"/>
  <c r="P3564" i="1"/>
  <c r="O3564" i="1"/>
  <c r="N3564" i="1"/>
  <c r="V3563" i="1"/>
  <c r="Q3563" i="1"/>
  <c r="P3563" i="1"/>
  <c r="O3563" i="1"/>
  <c r="N3563" i="1"/>
  <c r="V3562" i="1"/>
  <c r="Q3562" i="1"/>
  <c r="P3562" i="1"/>
  <c r="O3562" i="1"/>
  <c r="N3562" i="1"/>
  <c r="V3561" i="1"/>
  <c r="Q3561" i="1"/>
  <c r="P3561" i="1"/>
  <c r="O3561" i="1"/>
  <c r="N3561" i="1"/>
  <c r="V3560" i="1"/>
  <c r="Q3560" i="1"/>
  <c r="P3560" i="1"/>
  <c r="O3560" i="1"/>
  <c r="N3560" i="1"/>
  <c r="V3559" i="1"/>
  <c r="Q3559" i="1"/>
  <c r="P3559" i="1"/>
  <c r="O3559" i="1"/>
  <c r="N3559" i="1"/>
  <c r="V3558" i="1"/>
  <c r="Q3558" i="1"/>
  <c r="P3558" i="1"/>
  <c r="O3558" i="1"/>
  <c r="N3558" i="1"/>
  <c r="V3557" i="1"/>
  <c r="Q3557" i="1"/>
  <c r="P3557" i="1"/>
  <c r="O3557" i="1"/>
  <c r="N3557" i="1"/>
  <c r="V3556" i="1"/>
  <c r="Q3556" i="1"/>
  <c r="P3556" i="1"/>
  <c r="O3556" i="1"/>
  <c r="N3556" i="1"/>
  <c r="V3555" i="1"/>
  <c r="Q3555" i="1"/>
  <c r="P3555" i="1"/>
  <c r="O3555" i="1"/>
  <c r="N3555" i="1"/>
  <c r="V3554" i="1"/>
  <c r="Q3554" i="1"/>
  <c r="P3554" i="1"/>
  <c r="O3554" i="1"/>
  <c r="N3554" i="1"/>
  <c r="V3553" i="1"/>
  <c r="Q3553" i="1"/>
  <c r="P3553" i="1"/>
  <c r="O3553" i="1"/>
  <c r="N3553" i="1"/>
  <c r="V3552" i="1"/>
  <c r="Q3552" i="1"/>
  <c r="P3552" i="1"/>
  <c r="O3552" i="1"/>
  <c r="N3552" i="1"/>
  <c r="V3551" i="1"/>
  <c r="Q3551" i="1"/>
  <c r="P3551" i="1"/>
  <c r="O3551" i="1"/>
  <c r="N3551" i="1"/>
  <c r="V3550" i="1"/>
  <c r="Q3550" i="1"/>
  <c r="P3550" i="1"/>
  <c r="O3550" i="1"/>
  <c r="N3550" i="1"/>
  <c r="V3549" i="1"/>
  <c r="Q3549" i="1"/>
  <c r="P3549" i="1"/>
  <c r="O3549" i="1"/>
  <c r="N3549" i="1"/>
  <c r="V3548" i="1"/>
  <c r="Q3548" i="1"/>
  <c r="P3548" i="1"/>
  <c r="O3548" i="1"/>
  <c r="N3548" i="1"/>
  <c r="V3547" i="1"/>
  <c r="Q3547" i="1"/>
  <c r="P3547" i="1"/>
  <c r="O3547" i="1"/>
  <c r="N3547" i="1"/>
  <c r="V3546" i="1"/>
  <c r="Q3546" i="1"/>
  <c r="P3546" i="1"/>
  <c r="O3546" i="1"/>
  <c r="N3546" i="1"/>
  <c r="V3545" i="1"/>
  <c r="Q3545" i="1"/>
  <c r="P3545" i="1"/>
  <c r="O3545" i="1"/>
  <c r="N3545" i="1"/>
  <c r="V3544" i="1"/>
  <c r="Q3544" i="1"/>
  <c r="P3544" i="1"/>
  <c r="O3544" i="1"/>
  <c r="N3544" i="1"/>
  <c r="V3543" i="1"/>
  <c r="Q3543" i="1"/>
  <c r="P3543" i="1"/>
  <c r="O3543" i="1"/>
  <c r="N3543" i="1"/>
  <c r="V3542" i="1"/>
  <c r="Q3542" i="1"/>
  <c r="P3542" i="1"/>
  <c r="O3542" i="1"/>
  <c r="N3542" i="1"/>
  <c r="V3541" i="1"/>
  <c r="Q3541" i="1"/>
  <c r="P3541" i="1"/>
  <c r="O3541" i="1"/>
  <c r="N3541" i="1"/>
  <c r="V3540" i="1"/>
  <c r="Q3540" i="1"/>
  <c r="P3540" i="1"/>
  <c r="O3540" i="1"/>
  <c r="N3540" i="1"/>
  <c r="V3539" i="1"/>
  <c r="Q3539" i="1"/>
  <c r="P3539" i="1"/>
  <c r="O3539" i="1"/>
  <c r="N3539" i="1"/>
  <c r="V3538" i="1"/>
  <c r="Q3538" i="1"/>
  <c r="P3538" i="1"/>
  <c r="O3538" i="1"/>
  <c r="N3538" i="1"/>
  <c r="V3537" i="1"/>
  <c r="Q3537" i="1"/>
  <c r="P3537" i="1"/>
  <c r="O3537" i="1"/>
  <c r="N3537" i="1"/>
  <c r="V3536" i="1"/>
  <c r="Q3536" i="1"/>
  <c r="P3536" i="1"/>
  <c r="O3536" i="1"/>
  <c r="N3536" i="1"/>
  <c r="V3535" i="1"/>
  <c r="Q3535" i="1"/>
  <c r="P3535" i="1"/>
  <c r="O3535" i="1"/>
  <c r="N3535" i="1"/>
  <c r="V3534" i="1"/>
  <c r="Q3534" i="1"/>
  <c r="P3534" i="1"/>
  <c r="O3534" i="1"/>
  <c r="N3534" i="1"/>
  <c r="V3533" i="1"/>
  <c r="Q3533" i="1"/>
  <c r="P3533" i="1"/>
  <c r="O3533" i="1"/>
  <c r="N3533" i="1"/>
  <c r="V3532" i="1"/>
  <c r="Q3532" i="1"/>
  <c r="P3532" i="1"/>
  <c r="O3532" i="1"/>
  <c r="N3532" i="1"/>
  <c r="V3531" i="1"/>
  <c r="Q3531" i="1"/>
  <c r="P3531" i="1"/>
  <c r="O3531" i="1"/>
  <c r="N3531" i="1"/>
  <c r="V3530" i="1"/>
  <c r="Q3530" i="1"/>
  <c r="P3530" i="1"/>
  <c r="O3530" i="1"/>
  <c r="N3530" i="1"/>
  <c r="V3529" i="1"/>
  <c r="Q3529" i="1"/>
  <c r="P3529" i="1"/>
  <c r="O3529" i="1"/>
  <c r="N3529" i="1"/>
  <c r="V3528" i="1"/>
  <c r="Q3528" i="1"/>
  <c r="P3528" i="1"/>
  <c r="O3528" i="1"/>
  <c r="N3528" i="1"/>
  <c r="V3527" i="1"/>
  <c r="Q3527" i="1"/>
  <c r="P3527" i="1"/>
  <c r="O3527" i="1"/>
  <c r="N3527" i="1"/>
  <c r="V3526" i="1"/>
  <c r="Q3526" i="1"/>
  <c r="P3526" i="1"/>
  <c r="O3526" i="1"/>
  <c r="N3526" i="1"/>
  <c r="V3525" i="1"/>
  <c r="Q3525" i="1"/>
  <c r="P3525" i="1"/>
  <c r="O3525" i="1"/>
  <c r="N3525" i="1"/>
  <c r="V3524" i="1"/>
  <c r="Q3524" i="1"/>
  <c r="P3524" i="1"/>
  <c r="O3524" i="1"/>
  <c r="N3524" i="1"/>
  <c r="V3523" i="1"/>
  <c r="Q3523" i="1"/>
  <c r="P3523" i="1"/>
  <c r="O3523" i="1"/>
  <c r="N3523" i="1"/>
  <c r="V3522" i="1"/>
  <c r="Q3522" i="1"/>
  <c r="P3522" i="1"/>
  <c r="O3522" i="1"/>
  <c r="N3522" i="1"/>
  <c r="V3521" i="1"/>
  <c r="Q3521" i="1"/>
  <c r="P3521" i="1"/>
  <c r="O3521" i="1"/>
  <c r="N3521" i="1"/>
  <c r="V3520" i="1"/>
  <c r="Q3520" i="1"/>
  <c r="P3520" i="1"/>
  <c r="O3520" i="1"/>
  <c r="N3520" i="1"/>
  <c r="V3519" i="1"/>
  <c r="Q3519" i="1"/>
  <c r="P3519" i="1"/>
  <c r="O3519" i="1"/>
  <c r="N3519" i="1"/>
  <c r="V3518" i="1"/>
  <c r="Q3518" i="1"/>
  <c r="P3518" i="1"/>
  <c r="O3518" i="1"/>
  <c r="N3518" i="1"/>
  <c r="V3517" i="1"/>
  <c r="Q3517" i="1"/>
  <c r="P3517" i="1"/>
  <c r="O3517" i="1"/>
  <c r="N3517" i="1"/>
  <c r="V3516" i="1"/>
  <c r="Q3516" i="1"/>
  <c r="P3516" i="1"/>
  <c r="O3516" i="1"/>
  <c r="N3516" i="1"/>
  <c r="V3515" i="1"/>
  <c r="Q3515" i="1"/>
  <c r="P3515" i="1"/>
  <c r="O3515" i="1"/>
  <c r="N3515" i="1"/>
  <c r="V3514" i="1"/>
  <c r="Q3514" i="1"/>
  <c r="P3514" i="1"/>
  <c r="O3514" i="1"/>
  <c r="N3514" i="1"/>
  <c r="V3513" i="1"/>
  <c r="Q3513" i="1"/>
  <c r="P3513" i="1"/>
  <c r="O3513" i="1"/>
  <c r="N3513" i="1"/>
  <c r="V3512" i="1"/>
  <c r="Q3512" i="1"/>
  <c r="P3512" i="1"/>
  <c r="O3512" i="1"/>
  <c r="N3512" i="1"/>
  <c r="V3511" i="1"/>
  <c r="Q3511" i="1"/>
  <c r="P3511" i="1"/>
  <c r="O3511" i="1"/>
  <c r="N3511" i="1"/>
  <c r="V3510" i="1"/>
  <c r="Q3510" i="1"/>
  <c r="P3510" i="1"/>
  <c r="O3510" i="1"/>
  <c r="N3510" i="1"/>
  <c r="V3509" i="1"/>
  <c r="Q3509" i="1"/>
  <c r="P3509" i="1"/>
  <c r="O3509" i="1"/>
  <c r="N3509" i="1"/>
  <c r="V3508" i="1"/>
  <c r="Q3508" i="1"/>
  <c r="P3508" i="1"/>
  <c r="O3508" i="1"/>
  <c r="N3508" i="1"/>
  <c r="V3507" i="1"/>
  <c r="Q3507" i="1"/>
  <c r="P3507" i="1"/>
  <c r="O3507" i="1"/>
  <c r="N3507" i="1"/>
  <c r="V3506" i="1"/>
  <c r="Q3506" i="1"/>
  <c r="P3506" i="1"/>
  <c r="O3506" i="1"/>
  <c r="N3506" i="1"/>
  <c r="V3505" i="1"/>
  <c r="Q3505" i="1"/>
  <c r="P3505" i="1"/>
  <c r="O3505" i="1"/>
  <c r="N3505" i="1"/>
  <c r="V3504" i="1"/>
  <c r="Q3504" i="1"/>
  <c r="P3504" i="1"/>
  <c r="O3504" i="1"/>
  <c r="N3504" i="1"/>
  <c r="V3503" i="1"/>
  <c r="Q3503" i="1"/>
  <c r="P3503" i="1"/>
  <c r="O3503" i="1"/>
  <c r="N3503" i="1"/>
  <c r="V3502" i="1"/>
  <c r="Q3502" i="1"/>
  <c r="P3502" i="1"/>
  <c r="O3502" i="1"/>
  <c r="N3502" i="1"/>
  <c r="V3501" i="1"/>
  <c r="Q3501" i="1"/>
  <c r="P3501" i="1"/>
  <c r="O3501" i="1"/>
  <c r="N3501" i="1"/>
  <c r="V3500" i="1"/>
  <c r="Q3500" i="1"/>
  <c r="P3500" i="1"/>
  <c r="O3500" i="1"/>
  <c r="N3500" i="1"/>
  <c r="V3499" i="1"/>
  <c r="Q3499" i="1"/>
  <c r="P3499" i="1"/>
  <c r="O3499" i="1"/>
  <c r="N3499" i="1"/>
  <c r="V3498" i="1"/>
  <c r="Q3498" i="1"/>
  <c r="P3498" i="1"/>
  <c r="O3498" i="1"/>
  <c r="N3498" i="1"/>
  <c r="V3497" i="1"/>
  <c r="Q3497" i="1"/>
  <c r="P3497" i="1"/>
  <c r="O3497" i="1"/>
  <c r="N3497" i="1"/>
  <c r="V3496" i="1"/>
  <c r="Q3496" i="1"/>
  <c r="P3496" i="1"/>
  <c r="O3496" i="1"/>
  <c r="N3496" i="1"/>
  <c r="V3495" i="1"/>
  <c r="Q3495" i="1"/>
  <c r="P3495" i="1"/>
  <c r="O3495" i="1"/>
  <c r="N3495" i="1"/>
  <c r="V3494" i="1"/>
  <c r="Q3494" i="1"/>
  <c r="P3494" i="1"/>
  <c r="O3494" i="1"/>
  <c r="N3494" i="1"/>
  <c r="V3493" i="1"/>
  <c r="Q3493" i="1"/>
  <c r="P3493" i="1"/>
  <c r="O3493" i="1"/>
  <c r="N3493" i="1"/>
  <c r="V3492" i="1"/>
  <c r="Q3492" i="1"/>
  <c r="P3492" i="1"/>
  <c r="O3492" i="1"/>
  <c r="N3492" i="1"/>
  <c r="V3491" i="1"/>
  <c r="Q3491" i="1"/>
  <c r="P3491" i="1"/>
  <c r="O3491" i="1"/>
  <c r="N3491" i="1"/>
  <c r="V3490" i="1"/>
  <c r="Q3490" i="1"/>
  <c r="P3490" i="1"/>
  <c r="O3490" i="1"/>
  <c r="N3490" i="1"/>
  <c r="V3489" i="1"/>
  <c r="Q3489" i="1"/>
  <c r="P3489" i="1"/>
  <c r="O3489" i="1"/>
  <c r="N3489" i="1"/>
  <c r="V3488" i="1"/>
  <c r="Q3488" i="1"/>
  <c r="P3488" i="1"/>
  <c r="O3488" i="1"/>
  <c r="N3488" i="1"/>
  <c r="V3487" i="1"/>
  <c r="Q3487" i="1"/>
  <c r="P3487" i="1"/>
  <c r="O3487" i="1"/>
  <c r="N3487" i="1"/>
  <c r="V3486" i="1"/>
  <c r="Q3486" i="1"/>
  <c r="P3486" i="1"/>
  <c r="O3486" i="1"/>
  <c r="N3486" i="1"/>
  <c r="V3485" i="1"/>
  <c r="Q3485" i="1"/>
  <c r="P3485" i="1"/>
  <c r="O3485" i="1"/>
  <c r="N3485" i="1"/>
  <c r="V3484" i="1"/>
  <c r="Q3484" i="1"/>
  <c r="P3484" i="1"/>
  <c r="O3484" i="1"/>
  <c r="N3484" i="1"/>
  <c r="V3483" i="1"/>
  <c r="Q3483" i="1"/>
  <c r="P3483" i="1"/>
  <c r="O3483" i="1"/>
  <c r="N3483" i="1"/>
  <c r="V3482" i="1"/>
  <c r="Q3482" i="1"/>
  <c r="P3482" i="1"/>
  <c r="O3482" i="1"/>
  <c r="N3482" i="1"/>
  <c r="V3481" i="1"/>
  <c r="Q3481" i="1"/>
  <c r="P3481" i="1"/>
  <c r="O3481" i="1"/>
  <c r="N3481" i="1"/>
  <c r="V3480" i="1"/>
  <c r="Q3480" i="1"/>
  <c r="P3480" i="1"/>
  <c r="O3480" i="1"/>
  <c r="N3480" i="1"/>
  <c r="V3479" i="1"/>
  <c r="Q3479" i="1"/>
  <c r="P3479" i="1"/>
  <c r="O3479" i="1"/>
  <c r="N3479" i="1"/>
  <c r="V3478" i="1"/>
  <c r="Q3478" i="1"/>
  <c r="P3478" i="1"/>
  <c r="O3478" i="1"/>
  <c r="N3478" i="1"/>
  <c r="V3477" i="1"/>
  <c r="Q3477" i="1"/>
  <c r="P3477" i="1"/>
  <c r="O3477" i="1"/>
  <c r="N3477" i="1"/>
  <c r="V3476" i="1"/>
  <c r="Q3476" i="1"/>
  <c r="P3476" i="1"/>
  <c r="O3476" i="1"/>
  <c r="N3476" i="1"/>
  <c r="V3475" i="1"/>
  <c r="Q3475" i="1"/>
  <c r="P3475" i="1"/>
  <c r="O3475" i="1"/>
  <c r="N3475" i="1"/>
  <c r="V3474" i="1"/>
  <c r="Q3474" i="1"/>
  <c r="P3474" i="1"/>
  <c r="O3474" i="1"/>
  <c r="N3474" i="1"/>
  <c r="V3473" i="1"/>
  <c r="Q3473" i="1"/>
  <c r="P3473" i="1"/>
  <c r="O3473" i="1"/>
  <c r="N3473" i="1"/>
  <c r="V3472" i="1"/>
  <c r="Q3472" i="1"/>
  <c r="P3472" i="1"/>
  <c r="O3472" i="1"/>
  <c r="N3472" i="1"/>
  <c r="V3471" i="1"/>
  <c r="Q3471" i="1"/>
  <c r="P3471" i="1"/>
  <c r="O3471" i="1"/>
  <c r="N3471" i="1"/>
  <c r="V3470" i="1"/>
  <c r="Q3470" i="1"/>
  <c r="P3470" i="1"/>
  <c r="O3470" i="1"/>
  <c r="N3470" i="1"/>
  <c r="V3469" i="1"/>
  <c r="Q3469" i="1"/>
  <c r="P3469" i="1"/>
  <c r="O3469" i="1"/>
  <c r="N3469" i="1"/>
  <c r="V3468" i="1"/>
  <c r="Q3468" i="1"/>
  <c r="P3468" i="1"/>
  <c r="O3468" i="1"/>
  <c r="N3468" i="1"/>
  <c r="V3467" i="1"/>
  <c r="Q3467" i="1"/>
  <c r="P3467" i="1"/>
  <c r="O3467" i="1"/>
  <c r="N3467" i="1"/>
  <c r="V3466" i="1"/>
  <c r="Q3466" i="1"/>
  <c r="P3466" i="1"/>
  <c r="O3466" i="1"/>
  <c r="N3466" i="1"/>
  <c r="V3465" i="1"/>
  <c r="Q3465" i="1"/>
  <c r="P3465" i="1"/>
  <c r="O3465" i="1"/>
  <c r="N3465" i="1"/>
  <c r="V3464" i="1"/>
  <c r="Q3464" i="1"/>
  <c r="P3464" i="1"/>
  <c r="O3464" i="1"/>
  <c r="N3464" i="1"/>
  <c r="V3463" i="1"/>
  <c r="Q3463" i="1"/>
  <c r="P3463" i="1"/>
  <c r="O3463" i="1"/>
  <c r="N3463" i="1"/>
  <c r="V3462" i="1"/>
  <c r="Q3462" i="1"/>
  <c r="P3462" i="1"/>
  <c r="O3462" i="1"/>
  <c r="N3462" i="1"/>
  <c r="V3461" i="1"/>
  <c r="Q3461" i="1"/>
  <c r="P3461" i="1"/>
  <c r="O3461" i="1"/>
  <c r="N3461" i="1"/>
  <c r="V3460" i="1"/>
  <c r="Q3460" i="1"/>
  <c r="P3460" i="1"/>
  <c r="O3460" i="1"/>
  <c r="N3460" i="1"/>
  <c r="V3459" i="1"/>
  <c r="Q3459" i="1"/>
  <c r="P3459" i="1"/>
  <c r="O3459" i="1"/>
  <c r="N3459" i="1"/>
  <c r="V3458" i="1"/>
  <c r="Q3458" i="1"/>
  <c r="P3458" i="1"/>
  <c r="O3458" i="1"/>
  <c r="N3458" i="1"/>
  <c r="V3457" i="1"/>
  <c r="Q3457" i="1"/>
  <c r="P3457" i="1"/>
  <c r="O3457" i="1"/>
  <c r="N3457" i="1"/>
  <c r="V3456" i="1"/>
  <c r="Q3456" i="1"/>
  <c r="P3456" i="1"/>
  <c r="O3456" i="1"/>
  <c r="N3456" i="1"/>
  <c r="I3456" i="1"/>
  <c r="V3455" i="1"/>
  <c r="Q3455" i="1"/>
  <c r="P3455" i="1"/>
  <c r="O3455" i="1"/>
  <c r="N3455" i="1"/>
  <c r="V3454" i="1"/>
  <c r="Q3454" i="1"/>
  <c r="P3454" i="1"/>
  <c r="O3454" i="1"/>
  <c r="N3454" i="1"/>
  <c r="V3453" i="1"/>
  <c r="Q3453" i="1"/>
  <c r="P3453" i="1"/>
  <c r="O3453" i="1"/>
  <c r="N3453" i="1"/>
  <c r="V3452" i="1"/>
  <c r="Q3452" i="1"/>
  <c r="P3452" i="1"/>
  <c r="O3452" i="1"/>
  <c r="N3452" i="1"/>
  <c r="V3451" i="1"/>
  <c r="Q3451" i="1"/>
  <c r="P3451" i="1"/>
  <c r="O3451" i="1"/>
  <c r="N3451" i="1"/>
  <c r="V3450" i="1"/>
  <c r="Q3450" i="1"/>
  <c r="P3450" i="1"/>
  <c r="O3450" i="1"/>
  <c r="N3450" i="1"/>
  <c r="V3449" i="1"/>
  <c r="Q3449" i="1"/>
  <c r="P3449" i="1"/>
  <c r="O3449" i="1"/>
  <c r="N3449" i="1"/>
  <c r="V3448" i="1"/>
  <c r="Q3448" i="1"/>
  <c r="P3448" i="1"/>
  <c r="O3448" i="1"/>
  <c r="N3448" i="1"/>
  <c r="V3447" i="1"/>
  <c r="Q3447" i="1"/>
  <c r="P3447" i="1"/>
  <c r="O3447" i="1"/>
  <c r="N3447" i="1"/>
  <c r="V3446" i="1"/>
  <c r="Q3446" i="1"/>
  <c r="P3446" i="1"/>
  <c r="O3446" i="1"/>
  <c r="N3446" i="1"/>
  <c r="V3445" i="1"/>
  <c r="Q3445" i="1"/>
  <c r="P3445" i="1"/>
  <c r="O3445" i="1"/>
  <c r="N3445" i="1"/>
  <c r="V3444" i="1"/>
  <c r="Q3444" i="1"/>
  <c r="P3444" i="1"/>
  <c r="O3444" i="1"/>
  <c r="N3444" i="1"/>
  <c r="V3443" i="1"/>
  <c r="Q3443" i="1"/>
  <c r="P3443" i="1"/>
  <c r="O3443" i="1"/>
  <c r="N3443" i="1"/>
  <c r="V3442" i="1"/>
  <c r="Q3442" i="1"/>
  <c r="P3442" i="1"/>
  <c r="O3442" i="1"/>
  <c r="N3442" i="1"/>
  <c r="V3441" i="1"/>
  <c r="Q3441" i="1"/>
  <c r="P3441" i="1"/>
  <c r="O3441" i="1"/>
  <c r="N3441" i="1"/>
  <c r="V3440" i="1"/>
  <c r="Q3440" i="1"/>
  <c r="P3440" i="1"/>
  <c r="O3440" i="1"/>
  <c r="N3440" i="1"/>
  <c r="V3439" i="1"/>
  <c r="Q3439" i="1"/>
  <c r="P3439" i="1"/>
  <c r="O3439" i="1"/>
  <c r="N3439" i="1"/>
  <c r="V3438" i="1"/>
  <c r="Q3438" i="1"/>
  <c r="P3438" i="1"/>
  <c r="O3438" i="1"/>
  <c r="N3438" i="1"/>
  <c r="V3437" i="1"/>
  <c r="Q3437" i="1"/>
  <c r="P3437" i="1"/>
  <c r="O3437" i="1"/>
  <c r="N3437" i="1"/>
  <c r="V3436" i="1"/>
  <c r="Q3436" i="1"/>
  <c r="P3436" i="1"/>
  <c r="O3436" i="1"/>
  <c r="N3436" i="1"/>
  <c r="V3435" i="1"/>
  <c r="Q3435" i="1"/>
  <c r="P3435" i="1"/>
  <c r="O3435" i="1"/>
  <c r="N3435" i="1"/>
  <c r="V3434" i="1"/>
  <c r="Q3434" i="1"/>
  <c r="P3434" i="1"/>
  <c r="O3434" i="1"/>
  <c r="N3434" i="1"/>
  <c r="V3433" i="1"/>
  <c r="Q3433" i="1"/>
  <c r="P3433" i="1"/>
  <c r="O3433" i="1"/>
  <c r="N3433" i="1"/>
  <c r="V3432" i="1"/>
  <c r="Q3432" i="1"/>
  <c r="P3432" i="1"/>
  <c r="O3432" i="1"/>
  <c r="N3432" i="1"/>
  <c r="V3431" i="1"/>
  <c r="Q3431" i="1"/>
  <c r="P3431" i="1"/>
  <c r="O3431" i="1"/>
  <c r="N3431" i="1"/>
  <c r="V3430" i="1"/>
  <c r="Q3430" i="1"/>
  <c r="P3430" i="1"/>
  <c r="O3430" i="1"/>
  <c r="N3430" i="1"/>
  <c r="V3429" i="1"/>
  <c r="Q3429" i="1"/>
  <c r="P3429" i="1"/>
  <c r="O3429" i="1"/>
  <c r="N3429" i="1"/>
  <c r="V3428" i="1"/>
  <c r="Q3428" i="1"/>
  <c r="P3428" i="1"/>
  <c r="O3428" i="1"/>
  <c r="N3428" i="1"/>
  <c r="V3427" i="1"/>
  <c r="Q3427" i="1"/>
  <c r="P3427" i="1"/>
  <c r="O3427" i="1"/>
  <c r="N3427" i="1"/>
  <c r="V3426" i="1"/>
  <c r="Q3426" i="1"/>
  <c r="P3426" i="1"/>
  <c r="O3426" i="1"/>
  <c r="N3426" i="1"/>
  <c r="V3425" i="1"/>
  <c r="Q3425" i="1"/>
  <c r="P3425" i="1"/>
  <c r="O3425" i="1"/>
  <c r="N3425" i="1"/>
  <c r="V3424" i="1"/>
  <c r="Q3424" i="1"/>
  <c r="P3424" i="1"/>
  <c r="O3424" i="1"/>
  <c r="N3424" i="1"/>
  <c r="V3423" i="1"/>
  <c r="Q3423" i="1"/>
  <c r="P3423" i="1"/>
  <c r="O3423" i="1"/>
  <c r="N3423" i="1"/>
  <c r="V3422" i="1"/>
  <c r="Q3422" i="1"/>
  <c r="P3422" i="1"/>
  <c r="O3422" i="1"/>
  <c r="N3422" i="1"/>
  <c r="V3421" i="1"/>
  <c r="Q3421" i="1"/>
  <c r="P3421" i="1"/>
  <c r="O3421" i="1"/>
  <c r="N3421" i="1"/>
  <c r="V3420" i="1"/>
  <c r="Q3420" i="1"/>
  <c r="P3420" i="1"/>
  <c r="O3420" i="1"/>
  <c r="N3420" i="1"/>
  <c r="V3419" i="1"/>
  <c r="Q3419" i="1"/>
  <c r="P3419" i="1"/>
  <c r="O3419" i="1"/>
  <c r="N3419" i="1"/>
  <c r="V3418" i="1"/>
  <c r="Q3418" i="1"/>
  <c r="P3418" i="1"/>
  <c r="O3418" i="1"/>
  <c r="N3418" i="1"/>
  <c r="V3417" i="1"/>
  <c r="Q3417" i="1"/>
  <c r="P3417" i="1"/>
  <c r="O3417" i="1"/>
  <c r="N3417" i="1"/>
  <c r="V3416" i="1"/>
  <c r="Q3416" i="1"/>
  <c r="P3416" i="1"/>
  <c r="O3416" i="1"/>
  <c r="N3416" i="1"/>
  <c r="V3415" i="1"/>
  <c r="Q3415" i="1"/>
  <c r="P3415" i="1"/>
  <c r="O3415" i="1"/>
  <c r="N3415" i="1"/>
  <c r="V3414" i="1"/>
  <c r="Q3414" i="1"/>
  <c r="P3414" i="1"/>
  <c r="O3414" i="1"/>
  <c r="N3414" i="1"/>
  <c r="V3413" i="1"/>
  <c r="Q3413" i="1"/>
  <c r="P3413" i="1"/>
  <c r="O3413" i="1"/>
  <c r="N3413" i="1"/>
  <c r="V3412" i="1"/>
  <c r="Q3412" i="1"/>
  <c r="P3412" i="1"/>
  <c r="O3412" i="1"/>
  <c r="N3412" i="1"/>
  <c r="V3411" i="1"/>
  <c r="Q3411" i="1"/>
  <c r="P3411" i="1"/>
  <c r="O3411" i="1"/>
  <c r="N3411" i="1"/>
  <c r="V3410" i="1"/>
  <c r="Q3410" i="1"/>
  <c r="P3410" i="1"/>
  <c r="O3410" i="1"/>
  <c r="N3410" i="1"/>
  <c r="V3409" i="1"/>
  <c r="Q3409" i="1"/>
  <c r="P3409" i="1"/>
  <c r="O3409" i="1"/>
  <c r="N3409" i="1"/>
  <c r="V3408" i="1"/>
  <c r="Q3408" i="1"/>
  <c r="P3408" i="1"/>
  <c r="O3408" i="1"/>
  <c r="N3408" i="1"/>
  <c r="V3407" i="1"/>
  <c r="Q3407" i="1"/>
  <c r="P3407" i="1"/>
  <c r="O3407" i="1"/>
  <c r="N3407" i="1"/>
  <c r="V3406" i="1"/>
  <c r="Q3406" i="1"/>
  <c r="P3406" i="1"/>
  <c r="O3406" i="1"/>
  <c r="N3406" i="1"/>
  <c r="V3405" i="1"/>
  <c r="Q3405" i="1"/>
  <c r="P3405" i="1"/>
  <c r="O3405" i="1"/>
  <c r="N3405" i="1"/>
  <c r="V3404" i="1"/>
  <c r="Q3404" i="1"/>
  <c r="P3404" i="1"/>
  <c r="O3404" i="1"/>
  <c r="N3404" i="1"/>
  <c r="V3403" i="1"/>
  <c r="Q3403" i="1"/>
  <c r="P3403" i="1"/>
  <c r="O3403" i="1"/>
  <c r="N3403" i="1"/>
  <c r="V3402" i="1"/>
  <c r="Q3402" i="1"/>
  <c r="P3402" i="1"/>
  <c r="O3402" i="1"/>
  <c r="N3402" i="1"/>
  <c r="V3401" i="1"/>
  <c r="Q3401" i="1"/>
  <c r="P3401" i="1"/>
  <c r="O3401" i="1"/>
  <c r="N3401" i="1"/>
  <c r="V3400" i="1"/>
  <c r="Q3400" i="1"/>
  <c r="P3400" i="1"/>
  <c r="O3400" i="1"/>
  <c r="N3400" i="1"/>
  <c r="V3399" i="1"/>
  <c r="Q3399" i="1"/>
  <c r="P3399" i="1"/>
  <c r="O3399" i="1"/>
  <c r="N3399" i="1"/>
  <c r="V3398" i="1"/>
  <c r="Q3398" i="1"/>
  <c r="P3398" i="1"/>
  <c r="O3398" i="1"/>
  <c r="N3398" i="1"/>
  <c r="V3397" i="1"/>
  <c r="Q3397" i="1"/>
  <c r="P3397" i="1"/>
  <c r="O3397" i="1"/>
  <c r="N3397" i="1"/>
  <c r="V3396" i="1"/>
  <c r="Q3396" i="1"/>
  <c r="P3396" i="1"/>
  <c r="O3396" i="1"/>
  <c r="N3396" i="1"/>
  <c r="V3395" i="1"/>
  <c r="Q3395" i="1"/>
  <c r="P3395" i="1"/>
  <c r="O3395" i="1"/>
  <c r="N3395" i="1"/>
  <c r="V3394" i="1"/>
  <c r="Q3394" i="1"/>
  <c r="P3394" i="1"/>
  <c r="O3394" i="1"/>
  <c r="N3394" i="1"/>
  <c r="V3393" i="1"/>
  <c r="Q3393" i="1"/>
  <c r="P3393" i="1"/>
  <c r="O3393" i="1"/>
  <c r="N3393" i="1"/>
  <c r="V3392" i="1"/>
  <c r="Q3392" i="1"/>
  <c r="P3392" i="1"/>
  <c r="O3392" i="1"/>
  <c r="N3392" i="1"/>
  <c r="V3391" i="1"/>
  <c r="Q3391" i="1"/>
  <c r="P3391" i="1"/>
  <c r="O3391" i="1"/>
  <c r="N3391" i="1"/>
  <c r="V3390" i="1"/>
  <c r="Q3390" i="1"/>
  <c r="P3390" i="1"/>
  <c r="O3390" i="1"/>
  <c r="N3390" i="1"/>
  <c r="V3389" i="1"/>
  <c r="Q3389" i="1"/>
  <c r="P3389" i="1"/>
  <c r="O3389" i="1"/>
  <c r="N3389" i="1"/>
  <c r="V3388" i="1"/>
  <c r="Q3388" i="1"/>
  <c r="P3388" i="1"/>
  <c r="O3388" i="1"/>
  <c r="N3388" i="1"/>
  <c r="V3387" i="1"/>
  <c r="Q3387" i="1"/>
  <c r="P3387" i="1"/>
  <c r="O3387" i="1"/>
  <c r="N3387" i="1"/>
  <c r="V3386" i="1"/>
  <c r="Q3386" i="1"/>
  <c r="P3386" i="1"/>
  <c r="O3386" i="1"/>
  <c r="N3386" i="1"/>
  <c r="V3385" i="1"/>
  <c r="Q3385" i="1"/>
  <c r="P3385" i="1"/>
  <c r="O3385" i="1"/>
  <c r="N3385" i="1"/>
  <c r="V3384" i="1"/>
  <c r="Q3384" i="1"/>
  <c r="P3384" i="1"/>
  <c r="O3384" i="1"/>
  <c r="N3384" i="1"/>
  <c r="V3383" i="1"/>
  <c r="Q3383" i="1"/>
  <c r="P3383" i="1"/>
  <c r="O3383" i="1"/>
  <c r="N3383" i="1"/>
  <c r="V3382" i="1"/>
  <c r="Q3382" i="1"/>
  <c r="P3382" i="1"/>
  <c r="O3382" i="1"/>
  <c r="N3382" i="1"/>
  <c r="V3381" i="1"/>
  <c r="Q3381" i="1"/>
  <c r="P3381" i="1"/>
  <c r="O3381" i="1"/>
  <c r="N3381" i="1"/>
  <c r="V3380" i="1"/>
  <c r="Q3380" i="1"/>
  <c r="P3380" i="1"/>
  <c r="O3380" i="1"/>
  <c r="N3380" i="1"/>
  <c r="V3379" i="1"/>
  <c r="Q3379" i="1"/>
  <c r="P3379" i="1"/>
  <c r="O3379" i="1"/>
  <c r="N3379" i="1"/>
  <c r="V3378" i="1"/>
  <c r="Q3378" i="1"/>
  <c r="P3378" i="1"/>
  <c r="O3378" i="1"/>
  <c r="N3378" i="1"/>
  <c r="V3377" i="1"/>
  <c r="Q3377" i="1"/>
  <c r="P3377" i="1"/>
  <c r="O3377" i="1"/>
  <c r="N3377" i="1"/>
  <c r="V3376" i="1"/>
  <c r="Q3376" i="1"/>
  <c r="P3376" i="1"/>
  <c r="O3376" i="1"/>
  <c r="N3376" i="1"/>
  <c r="V3375" i="1"/>
  <c r="Q3375" i="1"/>
  <c r="P3375" i="1"/>
  <c r="O3375" i="1"/>
  <c r="N3375" i="1"/>
  <c r="V3374" i="1"/>
  <c r="Q3374" i="1"/>
  <c r="P3374" i="1"/>
  <c r="O3374" i="1"/>
  <c r="N3374" i="1"/>
  <c r="V3373" i="1"/>
  <c r="Q3373" i="1"/>
  <c r="P3373" i="1"/>
  <c r="O3373" i="1"/>
  <c r="N3373" i="1"/>
  <c r="V3372" i="1"/>
  <c r="Q3372" i="1"/>
  <c r="P3372" i="1"/>
  <c r="O3372" i="1"/>
  <c r="N3372" i="1"/>
  <c r="V3371" i="1"/>
  <c r="Q3371" i="1"/>
  <c r="P3371" i="1"/>
  <c r="O3371" i="1"/>
  <c r="N3371" i="1"/>
  <c r="V3370" i="1"/>
  <c r="Q3370" i="1"/>
  <c r="P3370" i="1"/>
  <c r="O3370" i="1"/>
  <c r="N3370" i="1"/>
  <c r="V3369" i="1"/>
  <c r="Q3369" i="1"/>
  <c r="P3369" i="1"/>
  <c r="O3369" i="1"/>
  <c r="N3369" i="1"/>
  <c r="V3368" i="1"/>
  <c r="Q3368" i="1"/>
  <c r="P3368" i="1"/>
  <c r="O3368" i="1"/>
  <c r="N3368" i="1"/>
  <c r="V3367" i="1"/>
  <c r="Q3367" i="1"/>
  <c r="P3367" i="1"/>
  <c r="O3367" i="1"/>
  <c r="N3367" i="1"/>
  <c r="V3366" i="1"/>
  <c r="Q3366" i="1"/>
  <c r="P3366" i="1"/>
  <c r="O3366" i="1"/>
  <c r="N3366" i="1"/>
  <c r="V3365" i="1"/>
  <c r="Q3365" i="1"/>
  <c r="P3365" i="1"/>
  <c r="O3365" i="1"/>
  <c r="N3365" i="1"/>
  <c r="V3364" i="1"/>
  <c r="Q3364" i="1"/>
  <c r="P3364" i="1"/>
  <c r="O3364" i="1"/>
  <c r="N3364" i="1"/>
  <c r="V3363" i="1"/>
  <c r="Q3363" i="1"/>
  <c r="P3363" i="1"/>
  <c r="O3363" i="1"/>
  <c r="N3363" i="1"/>
  <c r="V3362" i="1"/>
  <c r="Q3362" i="1"/>
  <c r="P3362" i="1"/>
  <c r="O3362" i="1"/>
  <c r="N3362" i="1"/>
  <c r="V3361" i="1"/>
  <c r="Q3361" i="1"/>
  <c r="P3361" i="1"/>
  <c r="O3361" i="1"/>
  <c r="N3361" i="1"/>
  <c r="V3360" i="1"/>
  <c r="Q3360" i="1"/>
  <c r="P3360" i="1"/>
  <c r="O3360" i="1"/>
  <c r="N3360" i="1"/>
  <c r="V3359" i="1"/>
  <c r="Q3359" i="1"/>
  <c r="P3359" i="1"/>
  <c r="O3359" i="1"/>
  <c r="N3359" i="1"/>
  <c r="V3358" i="1"/>
  <c r="Q3358" i="1"/>
  <c r="P3358" i="1"/>
  <c r="O3358" i="1"/>
  <c r="N3358" i="1"/>
  <c r="V3357" i="1"/>
  <c r="Q3357" i="1"/>
  <c r="P3357" i="1"/>
  <c r="O3357" i="1"/>
  <c r="N3357" i="1"/>
  <c r="V3356" i="1"/>
  <c r="Q3356" i="1"/>
  <c r="P3356" i="1"/>
  <c r="O3356" i="1"/>
  <c r="N3356" i="1"/>
  <c r="V3355" i="1"/>
  <c r="Q3355" i="1"/>
  <c r="P3355" i="1"/>
  <c r="O3355" i="1"/>
  <c r="N3355" i="1"/>
  <c r="V3354" i="1"/>
  <c r="Q3354" i="1"/>
  <c r="P3354" i="1"/>
  <c r="O3354" i="1"/>
  <c r="N3354" i="1"/>
  <c r="V3353" i="1"/>
  <c r="Q3353" i="1"/>
  <c r="P3353" i="1"/>
  <c r="O3353" i="1"/>
  <c r="N3353" i="1"/>
  <c r="V3352" i="1"/>
  <c r="Q3352" i="1"/>
  <c r="P3352" i="1"/>
  <c r="O3352" i="1"/>
  <c r="N3352" i="1"/>
  <c r="V3351" i="1"/>
  <c r="Q3351" i="1"/>
  <c r="P3351" i="1"/>
  <c r="O3351" i="1"/>
  <c r="N3351" i="1"/>
  <c r="V3350" i="1"/>
  <c r="Q3350" i="1"/>
  <c r="P3350" i="1"/>
  <c r="O3350" i="1"/>
  <c r="N3350" i="1"/>
  <c r="V3349" i="1"/>
  <c r="Q3349" i="1"/>
  <c r="P3349" i="1"/>
  <c r="O3349" i="1"/>
  <c r="N3349" i="1"/>
  <c r="V3348" i="1"/>
  <c r="Q3348" i="1"/>
  <c r="P3348" i="1"/>
  <c r="O3348" i="1"/>
  <c r="N3348" i="1"/>
  <c r="V3347" i="1"/>
  <c r="Q3347" i="1"/>
  <c r="P3347" i="1"/>
  <c r="O3347" i="1"/>
  <c r="N3347" i="1"/>
  <c r="V3346" i="1"/>
  <c r="Q3346" i="1"/>
  <c r="P3346" i="1"/>
  <c r="O3346" i="1"/>
  <c r="N3346" i="1"/>
  <c r="V3345" i="1"/>
  <c r="Q3345" i="1"/>
  <c r="P3345" i="1"/>
  <c r="O3345" i="1"/>
  <c r="N3345" i="1"/>
  <c r="V3344" i="1"/>
  <c r="Q3344" i="1"/>
  <c r="P3344" i="1"/>
  <c r="O3344" i="1"/>
  <c r="N3344" i="1"/>
  <c r="V3343" i="1"/>
  <c r="Q3343" i="1"/>
  <c r="P3343" i="1"/>
  <c r="O3343" i="1"/>
  <c r="N3343" i="1"/>
  <c r="V3342" i="1"/>
  <c r="Q3342" i="1"/>
  <c r="P3342" i="1"/>
  <c r="O3342" i="1"/>
  <c r="N3342" i="1"/>
  <c r="V3341" i="1"/>
  <c r="Q3341" i="1"/>
  <c r="P3341" i="1"/>
  <c r="O3341" i="1"/>
  <c r="N3341" i="1"/>
  <c r="V3340" i="1"/>
  <c r="Q3340" i="1"/>
  <c r="P3340" i="1"/>
  <c r="O3340" i="1"/>
  <c r="N3340" i="1"/>
  <c r="V3339" i="1"/>
  <c r="Q3339" i="1"/>
  <c r="P3339" i="1"/>
  <c r="O3339" i="1"/>
  <c r="N3339" i="1"/>
  <c r="V3338" i="1"/>
  <c r="Q3338" i="1"/>
  <c r="P3338" i="1"/>
  <c r="O3338" i="1"/>
  <c r="N3338" i="1"/>
  <c r="V3337" i="1"/>
  <c r="Q3337" i="1"/>
  <c r="P3337" i="1"/>
  <c r="O3337" i="1"/>
  <c r="N3337" i="1"/>
  <c r="V3336" i="1"/>
  <c r="Q3336" i="1"/>
  <c r="P3336" i="1"/>
  <c r="O3336" i="1"/>
  <c r="N3336" i="1"/>
  <c r="V3335" i="1"/>
  <c r="Q3335" i="1"/>
  <c r="P3335" i="1"/>
  <c r="O3335" i="1"/>
  <c r="N3335" i="1"/>
  <c r="V3334" i="1"/>
  <c r="Q3334" i="1"/>
  <c r="P3334" i="1"/>
  <c r="O3334" i="1"/>
  <c r="N3334" i="1"/>
  <c r="V3333" i="1"/>
  <c r="Q3333" i="1"/>
  <c r="P3333" i="1"/>
  <c r="O3333" i="1"/>
  <c r="N3333" i="1"/>
  <c r="V3332" i="1"/>
  <c r="Q3332" i="1"/>
  <c r="P3332" i="1"/>
  <c r="O3332" i="1"/>
  <c r="N3332" i="1"/>
  <c r="V3331" i="1"/>
  <c r="Q3331" i="1"/>
  <c r="P3331" i="1"/>
  <c r="O3331" i="1"/>
  <c r="N3331" i="1"/>
  <c r="V3330" i="1"/>
  <c r="Q3330" i="1"/>
  <c r="P3330" i="1"/>
  <c r="O3330" i="1"/>
  <c r="N3330" i="1"/>
  <c r="V3329" i="1"/>
  <c r="Q3329" i="1"/>
  <c r="P3329" i="1"/>
  <c r="O3329" i="1"/>
  <c r="N3329" i="1"/>
  <c r="V3328" i="1"/>
  <c r="Q3328" i="1"/>
  <c r="P3328" i="1"/>
  <c r="O3328" i="1"/>
  <c r="N3328" i="1"/>
  <c r="V3327" i="1"/>
  <c r="Q3327" i="1"/>
  <c r="P3327" i="1"/>
  <c r="O3327" i="1"/>
  <c r="N3327" i="1"/>
  <c r="V3326" i="1"/>
  <c r="Q3326" i="1"/>
  <c r="P3326" i="1"/>
  <c r="O3326" i="1"/>
  <c r="N3326" i="1"/>
  <c r="V3325" i="1"/>
  <c r="Q3325" i="1"/>
  <c r="P3325" i="1"/>
  <c r="O3325" i="1"/>
  <c r="N3325" i="1"/>
  <c r="V3324" i="1"/>
  <c r="Q3324" i="1"/>
  <c r="P3324" i="1"/>
  <c r="O3324" i="1"/>
  <c r="N3324" i="1"/>
  <c r="V3323" i="1"/>
  <c r="Q3323" i="1"/>
  <c r="P3323" i="1"/>
  <c r="O3323" i="1"/>
  <c r="N3323" i="1"/>
  <c r="V3322" i="1"/>
  <c r="Q3322" i="1"/>
  <c r="P3322" i="1"/>
  <c r="O3322" i="1"/>
  <c r="N3322" i="1"/>
  <c r="V3321" i="1"/>
  <c r="Q3321" i="1"/>
  <c r="P3321" i="1"/>
  <c r="O3321" i="1"/>
  <c r="N3321" i="1"/>
  <c r="V3320" i="1"/>
  <c r="Q3320" i="1"/>
  <c r="P3320" i="1"/>
  <c r="O3320" i="1"/>
  <c r="N3320" i="1"/>
  <c r="V3319" i="1"/>
  <c r="Q3319" i="1"/>
  <c r="P3319" i="1"/>
  <c r="O3319" i="1"/>
  <c r="N3319" i="1"/>
  <c r="V3318" i="1"/>
  <c r="Q3318" i="1"/>
  <c r="P3318" i="1"/>
  <c r="O3318" i="1"/>
  <c r="N3318" i="1"/>
  <c r="V3317" i="1"/>
  <c r="Q3317" i="1"/>
  <c r="P3317" i="1"/>
  <c r="O3317" i="1"/>
  <c r="N3317" i="1"/>
  <c r="V3316" i="1"/>
  <c r="Q3316" i="1"/>
  <c r="P3316" i="1"/>
  <c r="O3316" i="1"/>
  <c r="N3316" i="1"/>
  <c r="V3315" i="1"/>
  <c r="Q3315" i="1"/>
  <c r="P3315" i="1"/>
  <c r="O3315" i="1"/>
  <c r="N3315" i="1"/>
  <c r="V3314" i="1"/>
  <c r="Q3314" i="1"/>
  <c r="P3314" i="1"/>
  <c r="O3314" i="1"/>
  <c r="N3314" i="1"/>
  <c r="V3313" i="1"/>
  <c r="Q3313" i="1"/>
  <c r="P3313" i="1"/>
  <c r="O3313" i="1"/>
  <c r="N3313" i="1"/>
  <c r="V3312" i="1"/>
  <c r="Q3312" i="1"/>
  <c r="P3312" i="1"/>
  <c r="O3312" i="1"/>
  <c r="N3312" i="1"/>
  <c r="V3311" i="1"/>
  <c r="Q3311" i="1"/>
  <c r="P3311" i="1"/>
  <c r="O3311" i="1"/>
  <c r="N3311" i="1"/>
  <c r="V3310" i="1"/>
  <c r="Q3310" i="1"/>
  <c r="P3310" i="1"/>
  <c r="O3310" i="1"/>
  <c r="N3310" i="1"/>
  <c r="V3309" i="1"/>
  <c r="Q3309" i="1"/>
  <c r="P3309" i="1"/>
  <c r="O3309" i="1"/>
  <c r="N3309" i="1"/>
  <c r="V3308" i="1"/>
  <c r="Q3308" i="1"/>
  <c r="P3308" i="1"/>
  <c r="O3308" i="1"/>
  <c r="N3308" i="1"/>
  <c r="V3307" i="1"/>
  <c r="Q3307" i="1"/>
  <c r="P3307" i="1"/>
  <c r="O3307" i="1"/>
  <c r="N3307" i="1"/>
  <c r="V3306" i="1"/>
  <c r="Q3306" i="1"/>
  <c r="P3306" i="1"/>
  <c r="O3306" i="1"/>
  <c r="N3306" i="1"/>
  <c r="V3305" i="1"/>
  <c r="Q3305" i="1"/>
  <c r="P3305" i="1"/>
  <c r="O3305" i="1"/>
  <c r="N3305" i="1"/>
  <c r="V3304" i="1"/>
  <c r="Q3304" i="1"/>
  <c r="P3304" i="1"/>
  <c r="O3304" i="1"/>
  <c r="N3304" i="1"/>
  <c r="V3303" i="1"/>
  <c r="Q3303" i="1"/>
  <c r="P3303" i="1"/>
  <c r="O3303" i="1"/>
  <c r="N3303" i="1"/>
  <c r="V3302" i="1"/>
  <c r="Q3302" i="1"/>
  <c r="P3302" i="1"/>
  <c r="O3302" i="1"/>
  <c r="N3302" i="1"/>
  <c r="V3301" i="1"/>
  <c r="Q3301" i="1"/>
  <c r="P3301" i="1"/>
  <c r="O3301" i="1"/>
  <c r="N3301" i="1"/>
  <c r="V3300" i="1"/>
  <c r="Q3300" i="1"/>
  <c r="P3300" i="1"/>
  <c r="O3300" i="1"/>
  <c r="N3300" i="1"/>
  <c r="V3299" i="1"/>
  <c r="Q3299" i="1"/>
  <c r="P3299" i="1"/>
  <c r="O3299" i="1"/>
  <c r="N3299" i="1"/>
  <c r="V3298" i="1"/>
  <c r="Q3298" i="1"/>
  <c r="P3298" i="1"/>
  <c r="O3298" i="1"/>
  <c r="N3298" i="1"/>
  <c r="V3297" i="1"/>
  <c r="Q3297" i="1"/>
  <c r="P3297" i="1"/>
  <c r="O3297" i="1"/>
  <c r="N3297" i="1"/>
  <c r="V3296" i="1"/>
  <c r="Q3296" i="1"/>
  <c r="P3296" i="1"/>
  <c r="O3296" i="1"/>
  <c r="N3296" i="1"/>
  <c r="V3295" i="1"/>
  <c r="Q3295" i="1"/>
  <c r="P3295" i="1"/>
  <c r="O3295" i="1"/>
  <c r="N3295" i="1"/>
  <c r="V3294" i="1"/>
  <c r="Q3294" i="1"/>
  <c r="P3294" i="1"/>
  <c r="O3294" i="1"/>
  <c r="N3294" i="1"/>
  <c r="V3293" i="1"/>
  <c r="Q3293" i="1"/>
  <c r="P3293" i="1"/>
  <c r="O3293" i="1"/>
  <c r="N3293" i="1"/>
  <c r="V3292" i="1"/>
  <c r="Q3292" i="1"/>
  <c r="P3292" i="1"/>
  <c r="O3292" i="1"/>
  <c r="N3292" i="1"/>
  <c r="V3291" i="1"/>
  <c r="Q3291" i="1"/>
  <c r="P3291" i="1"/>
  <c r="O3291" i="1"/>
  <c r="N3291" i="1"/>
  <c r="V3290" i="1"/>
  <c r="Q3290" i="1"/>
  <c r="P3290" i="1"/>
  <c r="O3290" i="1"/>
  <c r="N3290" i="1"/>
  <c r="V3289" i="1"/>
  <c r="Q3289" i="1"/>
  <c r="P3289" i="1"/>
  <c r="O3289" i="1"/>
  <c r="N3289" i="1"/>
  <c r="V3288" i="1"/>
  <c r="Q3288" i="1"/>
  <c r="P3288" i="1"/>
  <c r="O3288" i="1"/>
  <c r="N3288" i="1"/>
  <c r="V3287" i="1"/>
  <c r="Q3287" i="1"/>
  <c r="P3287" i="1"/>
  <c r="O3287" i="1"/>
  <c r="N3287" i="1"/>
  <c r="V3286" i="1"/>
  <c r="Q3286" i="1"/>
  <c r="P3286" i="1"/>
  <c r="O3286" i="1"/>
  <c r="N3286" i="1"/>
  <c r="V3285" i="1"/>
  <c r="Q3285" i="1"/>
  <c r="P3285" i="1"/>
  <c r="O3285" i="1"/>
  <c r="N3285" i="1"/>
  <c r="V3284" i="1"/>
  <c r="Q3284" i="1"/>
  <c r="P3284" i="1"/>
  <c r="O3284" i="1"/>
  <c r="N3284" i="1"/>
  <c r="V3283" i="1"/>
  <c r="Q3283" i="1"/>
  <c r="P3283" i="1"/>
  <c r="O3283" i="1"/>
  <c r="N3283" i="1"/>
  <c r="V3282" i="1"/>
  <c r="Q3282" i="1"/>
  <c r="P3282" i="1"/>
  <c r="O3282" i="1"/>
  <c r="N3282" i="1"/>
  <c r="V3281" i="1"/>
  <c r="Q3281" i="1"/>
  <c r="P3281" i="1"/>
  <c r="O3281" i="1"/>
  <c r="N3281" i="1"/>
  <c r="V3280" i="1"/>
  <c r="Q3280" i="1"/>
  <c r="P3280" i="1"/>
  <c r="O3280" i="1"/>
  <c r="N3280" i="1"/>
  <c r="V3279" i="1"/>
  <c r="Q3279" i="1"/>
  <c r="P3279" i="1"/>
  <c r="O3279" i="1"/>
  <c r="N3279" i="1"/>
  <c r="V3278" i="1"/>
  <c r="Q3278" i="1"/>
  <c r="P3278" i="1"/>
  <c r="O3278" i="1"/>
  <c r="N3278" i="1"/>
  <c r="V3277" i="1"/>
  <c r="Q3277" i="1"/>
  <c r="P3277" i="1"/>
  <c r="O3277" i="1"/>
  <c r="N3277" i="1"/>
  <c r="V3276" i="1"/>
  <c r="Q3276" i="1"/>
  <c r="P3276" i="1"/>
  <c r="O3276" i="1"/>
  <c r="N3276" i="1"/>
  <c r="V3275" i="1"/>
  <c r="Q3275" i="1"/>
  <c r="P3275" i="1"/>
  <c r="O3275" i="1"/>
  <c r="N3275" i="1"/>
  <c r="V3274" i="1"/>
  <c r="Q3274" i="1"/>
  <c r="P3274" i="1"/>
  <c r="O3274" i="1"/>
  <c r="N3274" i="1"/>
  <c r="V3273" i="1"/>
  <c r="Q3273" i="1"/>
  <c r="P3273" i="1"/>
  <c r="O3273" i="1"/>
  <c r="N3273" i="1"/>
  <c r="V3272" i="1"/>
  <c r="Q3272" i="1"/>
  <c r="P3272" i="1"/>
  <c r="O3272" i="1"/>
  <c r="N3272" i="1"/>
  <c r="V3271" i="1"/>
  <c r="Q3271" i="1"/>
  <c r="P3271" i="1"/>
  <c r="O3271" i="1"/>
  <c r="N3271" i="1"/>
  <c r="V3270" i="1"/>
  <c r="Q3270" i="1"/>
  <c r="P3270" i="1"/>
  <c r="O3270" i="1"/>
  <c r="N3270" i="1"/>
  <c r="V3269" i="1"/>
  <c r="Q3269" i="1"/>
  <c r="P3269" i="1"/>
  <c r="O3269" i="1"/>
  <c r="N3269" i="1"/>
  <c r="V3268" i="1"/>
  <c r="Q3268" i="1"/>
  <c r="P3268" i="1"/>
  <c r="O3268" i="1"/>
  <c r="N3268" i="1"/>
  <c r="V3267" i="1"/>
  <c r="Q3267" i="1"/>
  <c r="P3267" i="1"/>
  <c r="O3267" i="1"/>
  <c r="N3267" i="1"/>
  <c r="V3266" i="1"/>
  <c r="Q3266" i="1"/>
  <c r="P3266" i="1"/>
  <c r="O3266" i="1"/>
  <c r="N3266" i="1"/>
  <c r="V3265" i="1"/>
  <c r="Q3265" i="1"/>
  <c r="P3265" i="1"/>
  <c r="O3265" i="1"/>
  <c r="N3265" i="1"/>
  <c r="V3264" i="1"/>
  <c r="Q3264" i="1"/>
  <c r="P3264" i="1"/>
  <c r="O3264" i="1"/>
  <c r="N3264" i="1"/>
  <c r="V3263" i="1"/>
  <c r="Q3263" i="1"/>
  <c r="P3263" i="1"/>
  <c r="O3263" i="1"/>
  <c r="N3263" i="1"/>
  <c r="V3262" i="1"/>
  <c r="Q3262" i="1"/>
  <c r="P3262" i="1"/>
  <c r="O3262" i="1"/>
  <c r="N3262" i="1"/>
  <c r="V3261" i="1"/>
  <c r="Q3261" i="1"/>
  <c r="P3261" i="1"/>
  <c r="O3261" i="1"/>
  <c r="N3261" i="1"/>
  <c r="V3260" i="1"/>
  <c r="Q3260" i="1"/>
  <c r="P3260" i="1"/>
  <c r="O3260" i="1"/>
  <c r="N3260" i="1"/>
  <c r="V3259" i="1"/>
  <c r="Q3259" i="1"/>
  <c r="P3259" i="1"/>
  <c r="O3259" i="1"/>
  <c r="N3259" i="1"/>
  <c r="V3258" i="1"/>
  <c r="Q3258" i="1"/>
  <c r="P3258" i="1"/>
  <c r="O3258" i="1"/>
  <c r="N3258" i="1"/>
  <c r="V3257" i="1"/>
  <c r="Q3257" i="1"/>
  <c r="P3257" i="1"/>
  <c r="O3257" i="1"/>
  <c r="N3257" i="1"/>
  <c r="V3256" i="1"/>
  <c r="Q3256" i="1"/>
  <c r="P3256" i="1"/>
  <c r="O3256" i="1"/>
  <c r="N3256" i="1"/>
  <c r="V3255" i="1"/>
  <c r="Q3255" i="1"/>
  <c r="P3255" i="1"/>
  <c r="O3255" i="1"/>
  <c r="N3255" i="1"/>
  <c r="V3254" i="1"/>
  <c r="Q3254" i="1"/>
  <c r="P3254" i="1"/>
  <c r="O3254" i="1"/>
  <c r="N3254" i="1"/>
  <c r="V3253" i="1"/>
  <c r="Q3253" i="1"/>
  <c r="P3253" i="1"/>
  <c r="O3253" i="1"/>
  <c r="N3253" i="1"/>
  <c r="V3252" i="1"/>
  <c r="Q3252" i="1"/>
  <c r="P3252" i="1"/>
  <c r="O3252" i="1"/>
  <c r="N3252" i="1"/>
  <c r="V3251" i="1"/>
  <c r="Q3251" i="1"/>
  <c r="P3251" i="1"/>
  <c r="O3251" i="1"/>
  <c r="N3251" i="1"/>
  <c r="V3250" i="1"/>
  <c r="Q3250" i="1"/>
  <c r="P3250" i="1"/>
  <c r="O3250" i="1"/>
  <c r="N3250" i="1"/>
  <c r="V3249" i="1"/>
  <c r="Q3249" i="1"/>
  <c r="P3249" i="1"/>
  <c r="O3249" i="1"/>
  <c r="N3249" i="1"/>
  <c r="V3248" i="1"/>
  <c r="Q3248" i="1"/>
  <c r="P3248" i="1"/>
  <c r="O3248" i="1"/>
  <c r="N3248" i="1"/>
  <c r="V3247" i="1"/>
  <c r="Q3247" i="1"/>
  <c r="P3247" i="1"/>
  <c r="O3247" i="1"/>
  <c r="N3247" i="1"/>
  <c r="V3246" i="1"/>
  <c r="Q3246" i="1"/>
  <c r="P3246" i="1"/>
  <c r="O3246" i="1"/>
  <c r="N3246" i="1"/>
  <c r="V3245" i="1"/>
  <c r="Q3245" i="1"/>
  <c r="P3245" i="1"/>
  <c r="O3245" i="1"/>
  <c r="N3245" i="1"/>
  <c r="V3244" i="1"/>
  <c r="Q3244" i="1"/>
  <c r="P3244" i="1"/>
  <c r="O3244" i="1"/>
  <c r="N3244" i="1"/>
  <c r="V3243" i="1"/>
  <c r="Q3243" i="1"/>
  <c r="P3243" i="1"/>
  <c r="O3243" i="1"/>
  <c r="N3243" i="1"/>
  <c r="V3242" i="1"/>
  <c r="Q3242" i="1"/>
  <c r="P3242" i="1"/>
  <c r="O3242" i="1"/>
  <c r="N3242" i="1"/>
  <c r="V3241" i="1"/>
  <c r="Q3241" i="1"/>
  <c r="P3241" i="1"/>
  <c r="O3241" i="1"/>
  <c r="N3241" i="1"/>
  <c r="V3240" i="1"/>
  <c r="Q3240" i="1"/>
  <c r="P3240" i="1"/>
  <c r="O3240" i="1"/>
  <c r="N3240" i="1"/>
  <c r="V3239" i="1"/>
  <c r="Q3239" i="1"/>
  <c r="P3239" i="1"/>
  <c r="O3239" i="1"/>
  <c r="N3239" i="1"/>
  <c r="V3238" i="1"/>
  <c r="Q3238" i="1"/>
  <c r="P3238" i="1"/>
  <c r="O3238" i="1"/>
  <c r="N3238" i="1"/>
  <c r="V3237" i="1"/>
  <c r="Q3237" i="1"/>
  <c r="P3237" i="1"/>
  <c r="O3237" i="1"/>
  <c r="N3237" i="1"/>
  <c r="V3236" i="1"/>
  <c r="Q3236" i="1"/>
  <c r="P3236" i="1"/>
  <c r="O3236" i="1"/>
  <c r="N3236" i="1"/>
  <c r="V3235" i="1"/>
  <c r="Q3235" i="1"/>
  <c r="P3235" i="1"/>
  <c r="O3235" i="1"/>
  <c r="N3235" i="1"/>
  <c r="V3234" i="1"/>
  <c r="Q3234" i="1"/>
  <c r="P3234" i="1"/>
  <c r="O3234" i="1"/>
  <c r="N3234" i="1"/>
  <c r="V3233" i="1"/>
  <c r="Q3233" i="1"/>
  <c r="P3233" i="1"/>
  <c r="O3233" i="1"/>
  <c r="N3233" i="1"/>
  <c r="V3232" i="1"/>
  <c r="Q3232" i="1"/>
  <c r="P3232" i="1"/>
  <c r="O3232" i="1"/>
  <c r="N3232" i="1"/>
  <c r="V3231" i="1"/>
  <c r="Q3231" i="1"/>
  <c r="P3231" i="1"/>
  <c r="O3231" i="1"/>
  <c r="N3231" i="1"/>
  <c r="V3230" i="1"/>
  <c r="Q3230" i="1"/>
  <c r="P3230" i="1"/>
  <c r="O3230" i="1"/>
  <c r="N3230" i="1"/>
  <c r="V3229" i="1"/>
  <c r="Q3229" i="1"/>
  <c r="P3229" i="1"/>
  <c r="O3229" i="1"/>
  <c r="N3229" i="1"/>
  <c r="V3228" i="1"/>
  <c r="Q3228" i="1"/>
  <c r="P3228" i="1"/>
  <c r="O3228" i="1"/>
  <c r="N3228" i="1"/>
  <c r="V3227" i="1"/>
  <c r="Q3227" i="1"/>
  <c r="P3227" i="1"/>
  <c r="O3227" i="1"/>
  <c r="N3227" i="1"/>
  <c r="V3226" i="1"/>
  <c r="Q3226" i="1"/>
  <c r="P3226" i="1"/>
  <c r="O3226" i="1"/>
  <c r="N3226" i="1"/>
  <c r="V3225" i="1"/>
  <c r="Q3225" i="1"/>
  <c r="P3225" i="1"/>
  <c r="O3225" i="1"/>
  <c r="N3225" i="1"/>
  <c r="V3224" i="1"/>
  <c r="Q3224" i="1"/>
  <c r="P3224" i="1"/>
  <c r="O3224" i="1"/>
  <c r="N3224" i="1"/>
  <c r="V3223" i="1"/>
  <c r="Q3223" i="1"/>
  <c r="P3223" i="1"/>
  <c r="O3223" i="1"/>
  <c r="N3223" i="1"/>
  <c r="V3222" i="1"/>
  <c r="Q3222" i="1"/>
  <c r="P3222" i="1"/>
  <c r="O3222" i="1"/>
  <c r="N3222" i="1"/>
  <c r="V3221" i="1"/>
  <c r="Q3221" i="1"/>
  <c r="P3221" i="1"/>
  <c r="O3221" i="1"/>
  <c r="N3221" i="1"/>
  <c r="V3220" i="1"/>
  <c r="Q3220" i="1"/>
  <c r="P3220" i="1"/>
  <c r="O3220" i="1"/>
  <c r="V3219" i="1"/>
  <c r="Q3219" i="1"/>
  <c r="P3219" i="1"/>
  <c r="O3219" i="1"/>
  <c r="V3218" i="1"/>
  <c r="Q3218" i="1"/>
  <c r="P3218" i="1"/>
  <c r="O3218" i="1"/>
  <c r="V3217" i="1"/>
  <c r="Q3217" i="1"/>
  <c r="P3217" i="1"/>
  <c r="O3217" i="1"/>
  <c r="V3216" i="1"/>
  <c r="Q3216" i="1"/>
  <c r="P3216" i="1"/>
  <c r="O3216" i="1"/>
  <c r="V3215" i="1"/>
  <c r="Q3215" i="1"/>
  <c r="P3215" i="1"/>
  <c r="O3215" i="1"/>
  <c r="V3214" i="1"/>
  <c r="Q3214" i="1"/>
  <c r="P3214" i="1"/>
  <c r="O3214" i="1"/>
  <c r="V3213" i="1"/>
  <c r="Q3213" i="1"/>
  <c r="P3213" i="1"/>
  <c r="O3213" i="1"/>
  <c r="V3212" i="1"/>
  <c r="Q3212" i="1"/>
  <c r="P3212" i="1"/>
  <c r="O3212" i="1"/>
  <c r="V3211" i="1"/>
  <c r="Q3211" i="1"/>
  <c r="P3211" i="1"/>
  <c r="O3211" i="1"/>
  <c r="V3210" i="1"/>
  <c r="Q3210" i="1"/>
  <c r="P3210" i="1"/>
  <c r="O3210" i="1"/>
  <c r="V3209" i="1"/>
  <c r="Q3209" i="1"/>
  <c r="P3209" i="1"/>
  <c r="O3209" i="1"/>
  <c r="V3208" i="1"/>
  <c r="Q3208" i="1"/>
  <c r="P3208" i="1"/>
  <c r="O3208" i="1"/>
  <c r="V3207" i="1"/>
  <c r="Q3207" i="1"/>
  <c r="P3207" i="1"/>
  <c r="O3207" i="1"/>
  <c r="V3206" i="1"/>
  <c r="Q3206" i="1"/>
  <c r="P3206" i="1"/>
  <c r="O3206" i="1"/>
  <c r="V3205" i="1"/>
  <c r="Q3205" i="1"/>
  <c r="P3205" i="1"/>
  <c r="O3205" i="1"/>
  <c r="V3204" i="1"/>
  <c r="Q3204" i="1"/>
  <c r="P3204" i="1"/>
  <c r="O3204" i="1"/>
  <c r="V3203" i="1"/>
  <c r="Q3203" i="1"/>
  <c r="P3203" i="1"/>
  <c r="O3203" i="1"/>
  <c r="V3202" i="1"/>
  <c r="Q3202" i="1"/>
  <c r="P3202" i="1"/>
  <c r="O3202" i="1"/>
  <c r="V3201" i="1"/>
  <c r="Q3201" i="1"/>
  <c r="P3201" i="1"/>
  <c r="O3201" i="1"/>
  <c r="V3200" i="1"/>
  <c r="Q3200" i="1"/>
  <c r="P3200" i="1"/>
  <c r="O3200" i="1"/>
  <c r="V3199" i="1"/>
  <c r="Q3199" i="1"/>
  <c r="P3199" i="1"/>
  <c r="O3199" i="1"/>
  <c r="V3198" i="1"/>
  <c r="Q3198" i="1"/>
  <c r="P3198" i="1"/>
  <c r="O3198" i="1"/>
  <c r="V3197" i="1"/>
  <c r="Q3197" i="1"/>
  <c r="P3197" i="1"/>
  <c r="O3197" i="1"/>
  <c r="V3196" i="1"/>
  <c r="Q3196" i="1"/>
  <c r="P3196" i="1"/>
  <c r="O3196" i="1"/>
  <c r="V3195" i="1"/>
  <c r="Q3195" i="1"/>
  <c r="P3195" i="1"/>
  <c r="O3195" i="1"/>
  <c r="V3194" i="1"/>
  <c r="Q3194" i="1"/>
  <c r="P3194" i="1"/>
  <c r="O3194" i="1"/>
  <c r="V3193" i="1"/>
  <c r="Q3193" i="1"/>
  <c r="P3193" i="1"/>
  <c r="O3193" i="1"/>
  <c r="V3192" i="1"/>
  <c r="Q3192" i="1"/>
  <c r="P3192" i="1"/>
  <c r="O3192" i="1"/>
  <c r="V3191" i="1"/>
  <c r="Q3191" i="1"/>
  <c r="P3191" i="1"/>
  <c r="O3191" i="1"/>
  <c r="V3190" i="1"/>
  <c r="Q3190" i="1"/>
  <c r="P3190" i="1"/>
  <c r="O3190" i="1"/>
  <c r="V3189" i="1"/>
  <c r="Q3189" i="1"/>
  <c r="P3189" i="1"/>
  <c r="O3189" i="1"/>
  <c r="N3189" i="1"/>
  <c r="V3188" i="1"/>
  <c r="Q3188" i="1"/>
  <c r="P3188" i="1"/>
  <c r="O3188" i="1"/>
  <c r="N3188" i="1"/>
  <c r="V3187" i="1"/>
  <c r="Q3187" i="1"/>
  <c r="P3187" i="1"/>
  <c r="O3187" i="1"/>
  <c r="N3187" i="1"/>
  <c r="V3186" i="1"/>
  <c r="Q3186" i="1"/>
  <c r="P3186" i="1"/>
  <c r="O3186" i="1"/>
  <c r="N3186" i="1"/>
  <c r="V3185" i="1"/>
  <c r="Q3185" i="1"/>
  <c r="P3185" i="1"/>
  <c r="O3185" i="1"/>
  <c r="N3185" i="1"/>
  <c r="V3184" i="1"/>
  <c r="Q3184" i="1"/>
  <c r="P3184" i="1"/>
  <c r="O3184" i="1"/>
  <c r="N3184" i="1"/>
  <c r="V3183" i="1"/>
  <c r="Q3183" i="1"/>
  <c r="P3183" i="1"/>
  <c r="O3183" i="1"/>
  <c r="N3183" i="1"/>
  <c r="V3182" i="1"/>
  <c r="Q3182" i="1"/>
  <c r="P3182" i="1"/>
  <c r="O3182" i="1"/>
  <c r="N3182" i="1"/>
  <c r="V3181" i="1"/>
  <c r="Q3181" i="1"/>
  <c r="P3181" i="1"/>
  <c r="O3181" i="1"/>
  <c r="N3181" i="1"/>
  <c r="V3180" i="1"/>
  <c r="Q3180" i="1"/>
  <c r="P3180" i="1"/>
  <c r="O3180" i="1"/>
  <c r="N3180" i="1"/>
  <c r="V3179" i="1"/>
  <c r="Q3179" i="1"/>
  <c r="P3179" i="1"/>
  <c r="O3179" i="1"/>
  <c r="N3179" i="1"/>
  <c r="V3178" i="1"/>
  <c r="Q3178" i="1"/>
  <c r="P3178" i="1"/>
  <c r="O3178" i="1"/>
  <c r="N3178" i="1"/>
  <c r="V3177" i="1"/>
  <c r="Q3177" i="1"/>
  <c r="P3177" i="1"/>
  <c r="O3177" i="1"/>
  <c r="N3177" i="1"/>
  <c r="V3176" i="1"/>
  <c r="Q3176" i="1"/>
  <c r="P3176" i="1"/>
  <c r="O3176" i="1"/>
  <c r="N3176" i="1"/>
  <c r="V3175" i="1"/>
  <c r="Q3175" i="1"/>
  <c r="P3175" i="1"/>
  <c r="O3175" i="1"/>
  <c r="N3175" i="1"/>
  <c r="V3174" i="1"/>
  <c r="Q3174" i="1"/>
  <c r="P3174" i="1"/>
  <c r="O3174" i="1"/>
  <c r="N3174" i="1"/>
  <c r="V3173" i="1"/>
  <c r="Q3173" i="1"/>
  <c r="P3173" i="1"/>
  <c r="O3173" i="1"/>
  <c r="N3173" i="1"/>
  <c r="V3172" i="1"/>
  <c r="Q3172" i="1"/>
  <c r="P3172" i="1"/>
  <c r="O3172" i="1"/>
  <c r="N3172" i="1"/>
  <c r="V3171" i="1"/>
  <c r="Q3171" i="1"/>
  <c r="P3171" i="1"/>
  <c r="O3171" i="1"/>
  <c r="N3171" i="1"/>
  <c r="V3170" i="1"/>
  <c r="Q3170" i="1"/>
  <c r="P3170" i="1"/>
  <c r="O3170" i="1"/>
  <c r="N3170" i="1"/>
  <c r="V3169" i="1"/>
  <c r="Q3169" i="1"/>
  <c r="P3169" i="1"/>
  <c r="O3169" i="1"/>
  <c r="N3169" i="1"/>
  <c r="V3168" i="1"/>
  <c r="Q3168" i="1"/>
  <c r="P3168" i="1"/>
  <c r="O3168" i="1"/>
  <c r="N3168" i="1"/>
  <c r="V3167" i="1"/>
  <c r="Q3167" i="1"/>
  <c r="P3167" i="1"/>
  <c r="O3167" i="1"/>
  <c r="N3167" i="1"/>
  <c r="V3166" i="1"/>
  <c r="Q3166" i="1"/>
  <c r="P3166" i="1"/>
  <c r="O3166" i="1"/>
  <c r="N3166" i="1"/>
  <c r="V3165" i="1"/>
  <c r="Q3165" i="1"/>
  <c r="P3165" i="1"/>
  <c r="O3165" i="1"/>
  <c r="N3165" i="1"/>
  <c r="V3164" i="1"/>
  <c r="Q3164" i="1"/>
  <c r="P3164" i="1"/>
  <c r="O3164" i="1"/>
  <c r="N3164" i="1"/>
  <c r="V3163" i="1"/>
  <c r="Q3163" i="1"/>
  <c r="P3163" i="1"/>
  <c r="O3163" i="1"/>
  <c r="N3163" i="1"/>
  <c r="V3162" i="1"/>
  <c r="Q3162" i="1"/>
  <c r="P3162" i="1"/>
  <c r="O3162" i="1"/>
  <c r="N3162" i="1"/>
  <c r="V3161" i="1"/>
  <c r="Q3161" i="1"/>
  <c r="P3161" i="1"/>
  <c r="O3161" i="1"/>
  <c r="N3161" i="1"/>
  <c r="V3160" i="1"/>
  <c r="Q3160" i="1"/>
  <c r="P3160" i="1"/>
  <c r="O3160" i="1"/>
  <c r="N3160" i="1"/>
  <c r="V3159" i="1"/>
  <c r="Q3159" i="1"/>
  <c r="P3159" i="1"/>
  <c r="O3159" i="1"/>
  <c r="N3159" i="1"/>
  <c r="V3158" i="1"/>
  <c r="Q3158" i="1"/>
  <c r="P3158" i="1"/>
  <c r="O3158" i="1"/>
  <c r="N3158" i="1"/>
  <c r="V3157" i="1"/>
  <c r="Q3157" i="1"/>
  <c r="P3157" i="1"/>
  <c r="O3157" i="1"/>
  <c r="N3157" i="1"/>
  <c r="V3156" i="1"/>
  <c r="Q3156" i="1"/>
  <c r="P3156" i="1"/>
  <c r="O3156" i="1"/>
  <c r="N3156" i="1"/>
  <c r="V3155" i="1"/>
  <c r="Q3155" i="1"/>
  <c r="P3155" i="1"/>
  <c r="O3155" i="1"/>
  <c r="N3155" i="1"/>
  <c r="V3154" i="1"/>
  <c r="Q3154" i="1"/>
  <c r="P3154" i="1"/>
  <c r="O3154" i="1"/>
  <c r="N3154" i="1"/>
  <c r="V3153" i="1"/>
  <c r="Q3153" i="1"/>
  <c r="P3153" i="1"/>
  <c r="O3153" i="1"/>
  <c r="N3153" i="1"/>
  <c r="V3152" i="1"/>
  <c r="Q3152" i="1"/>
  <c r="P3152" i="1"/>
  <c r="O3152" i="1"/>
  <c r="N3152" i="1"/>
  <c r="V3151" i="1"/>
  <c r="Q3151" i="1"/>
  <c r="P3151" i="1"/>
  <c r="O3151" i="1"/>
  <c r="N3151" i="1"/>
  <c r="V3150" i="1"/>
  <c r="Q3150" i="1"/>
  <c r="P3150" i="1"/>
  <c r="O3150" i="1"/>
  <c r="N3150" i="1"/>
  <c r="V3149" i="1"/>
  <c r="Q3149" i="1"/>
  <c r="P3149" i="1"/>
  <c r="O3149" i="1"/>
  <c r="N3149" i="1"/>
  <c r="V3148" i="1"/>
  <c r="Q3148" i="1"/>
  <c r="P3148" i="1"/>
  <c r="O3148" i="1"/>
  <c r="N3148" i="1"/>
  <c r="V3147" i="1"/>
  <c r="Q3147" i="1"/>
  <c r="P3147" i="1"/>
  <c r="O3147" i="1"/>
  <c r="N3147" i="1"/>
  <c r="V3146" i="1"/>
  <c r="Q3146" i="1"/>
  <c r="P3146" i="1"/>
  <c r="O3146" i="1"/>
  <c r="N3146" i="1"/>
  <c r="V3145" i="1"/>
  <c r="Q3145" i="1"/>
  <c r="P3145" i="1"/>
  <c r="O3145" i="1"/>
  <c r="N3145" i="1"/>
  <c r="V3144" i="1"/>
  <c r="Q3144" i="1"/>
  <c r="P3144" i="1"/>
  <c r="O3144" i="1"/>
  <c r="N3144" i="1"/>
  <c r="V3143" i="1"/>
  <c r="Q3143" i="1"/>
  <c r="P3143" i="1"/>
  <c r="O3143" i="1"/>
  <c r="N3143" i="1"/>
  <c r="V3142" i="1"/>
  <c r="Q3142" i="1"/>
  <c r="P3142" i="1"/>
  <c r="O3142" i="1"/>
  <c r="N3142" i="1"/>
  <c r="V3141" i="1"/>
  <c r="Q3141" i="1"/>
  <c r="P3141" i="1"/>
  <c r="O3141" i="1"/>
  <c r="N3141" i="1"/>
  <c r="V3140" i="1"/>
  <c r="Q3140" i="1"/>
  <c r="P3140" i="1"/>
  <c r="O3140" i="1"/>
  <c r="N3140" i="1"/>
  <c r="V3139" i="1"/>
  <c r="Q3139" i="1"/>
  <c r="P3139" i="1"/>
  <c r="O3139" i="1"/>
  <c r="N3139" i="1"/>
  <c r="V3138" i="1"/>
  <c r="Q3138" i="1"/>
  <c r="P3138" i="1"/>
  <c r="O3138" i="1"/>
  <c r="N3138" i="1"/>
  <c r="V3137" i="1"/>
  <c r="Q3137" i="1"/>
  <c r="P3137" i="1"/>
  <c r="O3137" i="1"/>
  <c r="N3137" i="1"/>
  <c r="V3136" i="1"/>
  <c r="Q3136" i="1"/>
  <c r="P3136" i="1"/>
  <c r="O3136" i="1"/>
  <c r="N3136" i="1"/>
  <c r="V3135" i="1"/>
  <c r="Q3135" i="1"/>
  <c r="P3135" i="1"/>
  <c r="O3135" i="1"/>
  <c r="N3135" i="1"/>
  <c r="V3134" i="1"/>
  <c r="Q3134" i="1"/>
  <c r="P3134" i="1"/>
  <c r="O3134" i="1"/>
  <c r="N3134" i="1"/>
  <c r="V3133" i="1"/>
  <c r="Q3133" i="1"/>
  <c r="P3133" i="1"/>
  <c r="O3133" i="1"/>
  <c r="N3133" i="1"/>
  <c r="V3132" i="1"/>
  <c r="Q3132" i="1"/>
  <c r="P3132" i="1"/>
  <c r="O3132" i="1"/>
  <c r="N3132" i="1"/>
  <c r="V3131" i="1"/>
  <c r="Q3131" i="1"/>
  <c r="P3131" i="1"/>
  <c r="O3131" i="1"/>
  <c r="N3131" i="1"/>
  <c r="V3130" i="1"/>
  <c r="Q3130" i="1"/>
  <c r="P3130" i="1"/>
  <c r="O3130" i="1"/>
  <c r="N3130" i="1"/>
  <c r="V3129" i="1"/>
  <c r="Q3129" i="1"/>
  <c r="P3129" i="1"/>
  <c r="O3129" i="1"/>
  <c r="N3129" i="1"/>
  <c r="V3128" i="1"/>
  <c r="Q3128" i="1"/>
  <c r="P3128" i="1"/>
  <c r="O3128" i="1"/>
  <c r="N3128" i="1"/>
  <c r="V3127" i="1"/>
  <c r="Q3127" i="1"/>
  <c r="P3127" i="1"/>
  <c r="O3127" i="1"/>
  <c r="N3127" i="1"/>
  <c r="V3126" i="1"/>
  <c r="Q3126" i="1"/>
  <c r="P3126" i="1"/>
  <c r="O3126" i="1"/>
  <c r="N3126" i="1"/>
  <c r="V3125" i="1"/>
  <c r="Q3125" i="1"/>
  <c r="P3125" i="1"/>
  <c r="O3125" i="1"/>
  <c r="N3125" i="1"/>
  <c r="V3124" i="1"/>
  <c r="Q3124" i="1"/>
  <c r="P3124" i="1"/>
  <c r="O3124" i="1"/>
  <c r="N3124" i="1"/>
  <c r="V3123" i="1"/>
  <c r="Q3123" i="1"/>
  <c r="P3123" i="1"/>
  <c r="O3123" i="1"/>
  <c r="N3123" i="1"/>
  <c r="V3122" i="1"/>
  <c r="Q3122" i="1"/>
  <c r="P3122" i="1"/>
  <c r="O3122" i="1"/>
  <c r="N3122" i="1"/>
  <c r="V3121" i="1"/>
  <c r="Q3121" i="1"/>
  <c r="P3121" i="1"/>
  <c r="O3121" i="1"/>
  <c r="N3121" i="1"/>
  <c r="V3120" i="1"/>
  <c r="Q3120" i="1"/>
  <c r="P3120" i="1"/>
  <c r="O3120" i="1"/>
  <c r="N3120" i="1"/>
  <c r="V3119" i="1"/>
  <c r="Q3119" i="1"/>
  <c r="P3119" i="1"/>
  <c r="O3119" i="1"/>
  <c r="N3119" i="1"/>
  <c r="V3118" i="1"/>
  <c r="Q3118" i="1"/>
  <c r="P3118" i="1"/>
  <c r="O3118" i="1"/>
  <c r="N3118" i="1"/>
  <c r="V3117" i="1"/>
  <c r="Q3117" i="1"/>
  <c r="P3117" i="1"/>
  <c r="O3117" i="1"/>
  <c r="N3117" i="1"/>
  <c r="V3116" i="1"/>
  <c r="Q3116" i="1"/>
  <c r="P3116" i="1"/>
  <c r="O3116" i="1"/>
  <c r="N3116" i="1"/>
  <c r="V3115" i="1"/>
  <c r="Q3115" i="1"/>
  <c r="P3115" i="1"/>
  <c r="O3115" i="1"/>
  <c r="N3115" i="1"/>
  <c r="V3114" i="1"/>
  <c r="Q3114" i="1"/>
  <c r="P3114" i="1"/>
  <c r="O3114" i="1"/>
  <c r="N3114" i="1"/>
  <c r="V3113" i="1"/>
  <c r="Q3113" i="1"/>
  <c r="P3113" i="1"/>
  <c r="O3113" i="1"/>
  <c r="N3113" i="1"/>
  <c r="V3112" i="1"/>
  <c r="Q3112" i="1"/>
  <c r="P3112" i="1"/>
  <c r="O3112" i="1"/>
  <c r="N3112" i="1"/>
  <c r="V3111" i="1"/>
  <c r="Q3111" i="1"/>
  <c r="P3111" i="1"/>
  <c r="O3111" i="1"/>
  <c r="N3111" i="1"/>
  <c r="V3110" i="1"/>
  <c r="Q3110" i="1"/>
  <c r="P3110" i="1"/>
  <c r="O3110" i="1"/>
  <c r="N3110" i="1"/>
  <c r="V3109" i="1"/>
  <c r="Q3109" i="1"/>
  <c r="P3109" i="1"/>
  <c r="O3109" i="1"/>
  <c r="N3109" i="1"/>
  <c r="V3108" i="1"/>
  <c r="Q3108" i="1"/>
  <c r="P3108" i="1"/>
  <c r="O3108" i="1"/>
  <c r="N3108" i="1"/>
  <c r="V3107" i="1"/>
  <c r="Q3107" i="1"/>
  <c r="P3107" i="1"/>
  <c r="O3107" i="1"/>
  <c r="N3107" i="1"/>
  <c r="V3106" i="1"/>
  <c r="Q3106" i="1"/>
  <c r="P3106" i="1"/>
  <c r="O3106" i="1"/>
  <c r="N3106" i="1"/>
  <c r="V3105" i="1"/>
  <c r="Q3105" i="1"/>
  <c r="P3105" i="1"/>
  <c r="O3105" i="1"/>
  <c r="N3105" i="1"/>
  <c r="V3104" i="1"/>
  <c r="Q3104" i="1"/>
  <c r="P3104" i="1"/>
  <c r="O3104" i="1"/>
  <c r="N3104" i="1"/>
  <c r="V3103" i="1"/>
  <c r="Q3103" i="1"/>
  <c r="P3103" i="1"/>
  <c r="O3103" i="1"/>
  <c r="N3103" i="1"/>
  <c r="V3102" i="1"/>
  <c r="Q3102" i="1"/>
  <c r="P3102" i="1"/>
  <c r="O3102" i="1"/>
  <c r="N3102" i="1"/>
  <c r="V3101" i="1"/>
  <c r="Q3101" i="1"/>
  <c r="P3101" i="1"/>
  <c r="O3101" i="1"/>
  <c r="N3101" i="1"/>
  <c r="V3100" i="1"/>
  <c r="Q3100" i="1"/>
  <c r="P3100" i="1"/>
  <c r="O3100" i="1"/>
  <c r="N3100" i="1"/>
  <c r="V3099" i="1"/>
  <c r="Q3099" i="1"/>
  <c r="P3099" i="1"/>
  <c r="O3099" i="1"/>
  <c r="N3099" i="1"/>
  <c r="V3098" i="1"/>
  <c r="Q3098" i="1"/>
  <c r="P3098" i="1"/>
  <c r="O3098" i="1"/>
  <c r="N3098" i="1"/>
  <c r="V3097" i="1"/>
  <c r="Q3097" i="1"/>
  <c r="P3097" i="1"/>
  <c r="O3097" i="1"/>
  <c r="N3097" i="1"/>
  <c r="V3096" i="1"/>
  <c r="Q3096" i="1"/>
  <c r="P3096" i="1"/>
  <c r="O3096" i="1"/>
  <c r="N3096" i="1"/>
  <c r="V3095" i="1"/>
  <c r="Q3095" i="1"/>
  <c r="P3095" i="1"/>
  <c r="O3095" i="1"/>
  <c r="N3095" i="1"/>
  <c r="V3094" i="1"/>
  <c r="Q3094" i="1"/>
  <c r="P3094" i="1"/>
  <c r="O3094" i="1"/>
  <c r="N3094" i="1"/>
  <c r="V3093" i="1"/>
  <c r="Q3093" i="1"/>
  <c r="P3093" i="1"/>
  <c r="O3093" i="1"/>
  <c r="N3093" i="1"/>
  <c r="V3092" i="1"/>
  <c r="Q3092" i="1"/>
  <c r="P3092" i="1"/>
  <c r="O3092" i="1"/>
  <c r="N3092" i="1"/>
  <c r="V3091" i="1"/>
  <c r="Q3091" i="1"/>
  <c r="P3091" i="1"/>
  <c r="O3091" i="1"/>
  <c r="N3091" i="1"/>
  <c r="V3090" i="1"/>
  <c r="Q3090" i="1"/>
  <c r="P3090" i="1"/>
  <c r="O3090" i="1"/>
  <c r="N3090" i="1"/>
  <c r="V3089" i="1"/>
  <c r="Q3089" i="1"/>
  <c r="P3089" i="1"/>
  <c r="O3089" i="1"/>
  <c r="N3089" i="1"/>
  <c r="V3088" i="1"/>
  <c r="Q3088" i="1"/>
  <c r="P3088" i="1"/>
  <c r="O3088" i="1"/>
  <c r="N3088" i="1"/>
  <c r="V3087" i="1"/>
  <c r="Q3087" i="1"/>
  <c r="P3087" i="1"/>
  <c r="O3087" i="1"/>
  <c r="N3087" i="1"/>
  <c r="V3086" i="1"/>
  <c r="Q3086" i="1"/>
  <c r="P3086" i="1"/>
  <c r="O3086" i="1"/>
  <c r="N3086" i="1"/>
  <c r="V3085" i="1"/>
  <c r="Q3085" i="1"/>
  <c r="P3085" i="1"/>
  <c r="O3085" i="1"/>
  <c r="N3085" i="1"/>
  <c r="V3084" i="1"/>
  <c r="Q3084" i="1"/>
  <c r="P3084" i="1"/>
  <c r="O3084" i="1"/>
  <c r="N3084" i="1"/>
  <c r="V3083" i="1"/>
  <c r="Q3083" i="1"/>
  <c r="P3083" i="1"/>
  <c r="O3083" i="1"/>
  <c r="N3083" i="1"/>
  <c r="V3082" i="1"/>
  <c r="Q3082" i="1"/>
  <c r="P3082" i="1"/>
  <c r="O3082" i="1"/>
  <c r="N3082" i="1"/>
  <c r="V3081" i="1"/>
  <c r="Q3081" i="1"/>
  <c r="P3081" i="1"/>
  <c r="O3081" i="1"/>
  <c r="N3081" i="1"/>
  <c r="V3080" i="1"/>
  <c r="Q3080" i="1"/>
  <c r="P3080" i="1"/>
  <c r="O3080" i="1"/>
  <c r="N3080" i="1"/>
  <c r="V3079" i="1"/>
  <c r="Q3079" i="1"/>
  <c r="P3079" i="1"/>
  <c r="O3079" i="1"/>
  <c r="N3079" i="1"/>
  <c r="V3078" i="1"/>
  <c r="Q3078" i="1"/>
  <c r="P3078" i="1"/>
  <c r="O3078" i="1"/>
  <c r="N3078" i="1"/>
  <c r="V3077" i="1"/>
  <c r="Q3077" i="1"/>
  <c r="P3077" i="1"/>
  <c r="O3077" i="1"/>
  <c r="N3077" i="1"/>
  <c r="V3076" i="1"/>
  <c r="Q3076" i="1"/>
  <c r="P3076" i="1"/>
  <c r="O3076" i="1"/>
  <c r="N3076" i="1"/>
  <c r="V3075" i="1"/>
  <c r="Q3075" i="1"/>
  <c r="P3075" i="1"/>
  <c r="O3075" i="1"/>
  <c r="N3075" i="1"/>
  <c r="V3074" i="1"/>
  <c r="Q3074" i="1"/>
  <c r="P3074" i="1"/>
  <c r="O3074" i="1"/>
  <c r="N3074" i="1"/>
  <c r="V3073" i="1"/>
  <c r="Q3073" i="1"/>
  <c r="P3073" i="1"/>
  <c r="O3073" i="1"/>
  <c r="N3073" i="1"/>
  <c r="V3072" i="1"/>
  <c r="Q3072" i="1"/>
  <c r="P3072" i="1"/>
  <c r="O3072" i="1"/>
  <c r="N3072" i="1"/>
  <c r="V3071" i="1"/>
  <c r="Q3071" i="1"/>
  <c r="P3071" i="1"/>
  <c r="O3071" i="1"/>
  <c r="N3071" i="1"/>
  <c r="V3070" i="1"/>
  <c r="Q3070" i="1"/>
  <c r="P3070" i="1"/>
  <c r="O3070" i="1"/>
  <c r="N3070" i="1"/>
  <c r="V3069" i="1"/>
  <c r="Q3069" i="1"/>
  <c r="P3069" i="1"/>
  <c r="O3069" i="1"/>
  <c r="N3069" i="1"/>
  <c r="V3068" i="1"/>
  <c r="Q3068" i="1"/>
  <c r="P3068" i="1"/>
  <c r="O3068" i="1"/>
  <c r="N3068" i="1"/>
  <c r="V3067" i="1"/>
  <c r="Q3067" i="1"/>
  <c r="P3067" i="1"/>
  <c r="O3067" i="1"/>
  <c r="N3067" i="1"/>
  <c r="V3066" i="1"/>
  <c r="Q3066" i="1"/>
  <c r="P3066" i="1"/>
  <c r="O3066" i="1"/>
  <c r="N3066" i="1"/>
  <c r="V3065" i="1"/>
  <c r="Q3065" i="1"/>
  <c r="P3065" i="1"/>
  <c r="O3065" i="1"/>
  <c r="N3065" i="1"/>
  <c r="V3064" i="1"/>
  <c r="Q3064" i="1"/>
  <c r="P3064" i="1"/>
  <c r="O3064" i="1"/>
  <c r="N3064" i="1"/>
  <c r="V3063" i="1"/>
  <c r="Q3063" i="1"/>
  <c r="P3063" i="1"/>
  <c r="O3063" i="1"/>
  <c r="N3063" i="1"/>
  <c r="V3062" i="1"/>
  <c r="Q3062" i="1"/>
  <c r="P3062" i="1"/>
  <c r="O3062" i="1"/>
  <c r="N3062" i="1"/>
  <c r="V3061" i="1"/>
  <c r="Q3061" i="1"/>
  <c r="P3061" i="1"/>
  <c r="O3061" i="1"/>
  <c r="N3061" i="1"/>
  <c r="V3060" i="1"/>
  <c r="Q3060" i="1"/>
  <c r="P3060" i="1"/>
  <c r="O3060" i="1"/>
  <c r="N3060" i="1"/>
  <c r="V3059" i="1"/>
  <c r="Q3059" i="1"/>
  <c r="P3059" i="1"/>
  <c r="O3059" i="1"/>
  <c r="N3059" i="1"/>
  <c r="V3058" i="1"/>
  <c r="Q3058" i="1"/>
  <c r="P3058" i="1"/>
  <c r="O3058" i="1"/>
  <c r="N3058" i="1"/>
  <c r="V3057" i="1"/>
  <c r="Q3057" i="1"/>
  <c r="P3057" i="1"/>
  <c r="O3057" i="1"/>
  <c r="N3057" i="1"/>
  <c r="V3056" i="1"/>
  <c r="Q3056" i="1"/>
  <c r="P3056" i="1"/>
  <c r="O3056" i="1"/>
  <c r="N3056" i="1"/>
  <c r="V3055" i="1"/>
  <c r="Q3055" i="1"/>
  <c r="P3055" i="1"/>
  <c r="O3055" i="1"/>
  <c r="N3055" i="1"/>
  <c r="V3054" i="1"/>
  <c r="Q3054" i="1"/>
  <c r="P3054" i="1"/>
  <c r="O3054" i="1"/>
  <c r="N3054" i="1"/>
  <c r="V3053" i="1"/>
  <c r="Q3053" i="1"/>
  <c r="P3053" i="1"/>
  <c r="O3053" i="1"/>
  <c r="N3053" i="1"/>
  <c r="V3052" i="1"/>
  <c r="Q3052" i="1"/>
  <c r="P3052" i="1"/>
  <c r="O3052" i="1"/>
  <c r="N3052" i="1"/>
  <c r="V3051" i="1"/>
  <c r="Q3051" i="1"/>
  <c r="P3051" i="1"/>
  <c r="O3051" i="1"/>
  <c r="N3051" i="1"/>
  <c r="V3050" i="1"/>
  <c r="Q3050" i="1"/>
  <c r="P3050" i="1"/>
  <c r="O3050" i="1"/>
  <c r="N3050" i="1"/>
  <c r="V3049" i="1"/>
  <c r="Q3049" i="1"/>
  <c r="P3049" i="1"/>
  <c r="O3049" i="1"/>
  <c r="N3049" i="1"/>
  <c r="V3048" i="1"/>
  <c r="Q3048" i="1"/>
  <c r="P3048" i="1"/>
  <c r="O3048" i="1"/>
  <c r="N3048" i="1"/>
  <c r="V3047" i="1"/>
  <c r="Q3047" i="1"/>
  <c r="P3047" i="1"/>
  <c r="O3047" i="1"/>
  <c r="N3047" i="1"/>
  <c r="V3046" i="1"/>
  <c r="Q3046" i="1"/>
  <c r="P3046" i="1"/>
  <c r="O3046" i="1"/>
  <c r="N3046" i="1"/>
  <c r="V3045" i="1"/>
  <c r="Q3045" i="1"/>
  <c r="P3045" i="1"/>
  <c r="O3045" i="1"/>
  <c r="N3045" i="1"/>
  <c r="V3044" i="1"/>
  <c r="Q3044" i="1"/>
  <c r="P3044" i="1"/>
  <c r="O3044" i="1"/>
  <c r="N3044" i="1"/>
  <c r="V3043" i="1"/>
  <c r="Q3043" i="1"/>
  <c r="P3043" i="1"/>
  <c r="O3043" i="1"/>
  <c r="N3043" i="1"/>
  <c r="V3042" i="1"/>
  <c r="Q3042" i="1"/>
  <c r="P3042" i="1"/>
  <c r="O3042" i="1"/>
  <c r="N3042" i="1"/>
  <c r="V3041" i="1"/>
  <c r="Q3041" i="1"/>
  <c r="P3041" i="1"/>
  <c r="O3041" i="1"/>
  <c r="N3041" i="1"/>
  <c r="V3040" i="1"/>
  <c r="Q3040" i="1"/>
  <c r="P3040" i="1"/>
  <c r="O3040" i="1"/>
  <c r="N3040" i="1"/>
  <c r="V3039" i="1"/>
  <c r="Q3039" i="1"/>
  <c r="P3039" i="1"/>
  <c r="O3039" i="1"/>
  <c r="N3039" i="1"/>
  <c r="V3038" i="1"/>
  <c r="Q3038" i="1"/>
  <c r="P3038" i="1"/>
  <c r="O3038" i="1"/>
  <c r="N3038" i="1"/>
  <c r="V3037" i="1"/>
  <c r="Q3037" i="1"/>
  <c r="P3037" i="1"/>
  <c r="O3037" i="1"/>
  <c r="N3037" i="1"/>
  <c r="H3037" i="1"/>
  <c r="G3037" i="1"/>
  <c r="F3037" i="1"/>
  <c r="V3036" i="1"/>
  <c r="Q3036" i="1"/>
  <c r="P3036" i="1"/>
  <c r="O3036" i="1"/>
  <c r="N3036" i="1"/>
  <c r="H3036" i="1"/>
  <c r="G3036" i="1"/>
  <c r="F3036" i="1"/>
  <c r="E3036" i="1"/>
  <c r="D3036" i="1"/>
  <c r="V3035" i="1"/>
  <c r="Q3035" i="1"/>
  <c r="P3035" i="1"/>
  <c r="O3035" i="1"/>
  <c r="N3035" i="1"/>
  <c r="H3035" i="1"/>
  <c r="G3035" i="1"/>
  <c r="F3035" i="1"/>
  <c r="E3035" i="1"/>
  <c r="D3035" i="1"/>
  <c r="V3034" i="1"/>
  <c r="Q3034" i="1"/>
  <c r="P3034" i="1"/>
  <c r="O3034" i="1"/>
  <c r="N3034" i="1"/>
  <c r="H3034" i="1"/>
  <c r="G3034" i="1"/>
  <c r="F3034" i="1"/>
  <c r="E3034" i="1"/>
  <c r="D3034" i="1"/>
  <c r="V3033" i="1"/>
  <c r="Q3033" i="1"/>
  <c r="P3033" i="1"/>
  <c r="O3033" i="1"/>
  <c r="N3033" i="1"/>
  <c r="H3033" i="1"/>
  <c r="G3033" i="1"/>
  <c r="F3033" i="1"/>
  <c r="E3033" i="1"/>
  <c r="D3033" i="1"/>
  <c r="C3033" i="1"/>
  <c r="V3032" i="1"/>
  <c r="Q3032" i="1"/>
  <c r="P3032" i="1"/>
  <c r="O3032" i="1"/>
  <c r="N3032" i="1"/>
  <c r="H3032" i="1"/>
  <c r="G3032" i="1"/>
  <c r="F3032" i="1"/>
  <c r="E3032" i="1"/>
  <c r="D3032" i="1"/>
  <c r="C3032" i="1"/>
  <c r="V3031" i="1"/>
  <c r="Q3031" i="1"/>
  <c r="P3031" i="1"/>
  <c r="O3031" i="1"/>
  <c r="N3031" i="1"/>
  <c r="H3031" i="1"/>
  <c r="G3031" i="1"/>
  <c r="F3031" i="1"/>
  <c r="E3031" i="1"/>
  <c r="D3031" i="1"/>
  <c r="C3031" i="1"/>
  <c r="V3030" i="1"/>
  <c r="Q3030" i="1"/>
  <c r="P3030" i="1"/>
  <c r="O3030" i="1"/>
  <c r="N3030" i="1"/>
  <c r="H3030" i="1"/>
  <c r="G3030" i="1"/>
  <c r="F3030" i="1"/>
  <c r="E3030" i="1"/>
  <c r="D3030" i="1"/>
  <c r="C3030" i="1"/>
  <c r="V3029" i="1"/>
  <c r="Q3029" i="1"/>
  <c r="P3029" i="1"/>
  <c r="O3029" i="1"/>
  <c r="N3029" i="1"/>
  <c r="H3029" i="1"/>
  <c r="G3029" i="1"/>
  <c r="F3029" i="1"/>
  <c r="E3029" i="1"/>
  <c r="D3029" i="1"/>
  <c r="C3029" i="1"/>
  <c r="V3028" i="1"/>
  <c r="Q3028" i="1"/>
  <c r="P3028" i="1"/>
  <c r="O3028" i="1"/>
  <c r="N3028" i="1"/>
  <c r="I3028" i="1"/>
  <c r="H3028" i="1"/>
  <c r="G3028" i="1"/>
  <c r="F3028" i="1"/>
  <c r="E3028" i="1"/>
  <c r="D3028" i="1"/>
  <c r="C3028" i="1"/>
  <c r="V3027" i="1"/>
  <c r="Q3027" i="1"/>
  <c r="P3027" i="1"/>
  <c r="O3027" i="1"/>
  <c r="N3027" i="1"/>
  <c r="I3027" i="1"/>
  <c r="H3027" i="1"/>
  <c r="G3027" i="1"/>
  <c r="F3027" i="1"/>
  <c r="E3027" i="1"/>
  <c r="D3027" i="1"/>
  <c r="C3027" i="1"/>
  <c r="V3026" i="1"/>
  <c r="Q3026" i="1"/>
  <c r="P3026" i="1"/>
  <c r="O3026" i="1"/>
  <c r="N3026" i="1"/>
  <c r="I3026" i="1"/>
  <c r="H3026" i="1"/>
  <c r="G3026" i="1"/>
  <c r="F3026" i="1"/>
  <c r="E3026" i="1"/>
  <c r="D3026" i="1"/>
  <c r="C3026" i="1"/>
  <c r="V3025" i="1"/>
  <c r="Q3025" i="1"/>
  <c r="P3025" i="1"/>
  <c r="O3025" i="1"/>
  <c r="N3025" i="1"/>
  <c r="I3025" i="1"/>
  <c r="H3025" i="1"/>
  <c r="G3025" i="1"/>
  <c r="F3025" i="1"/>
  <c r="E3025" i="1"/>
  <c r="D3025" i="1"/>
  <c r="C3025" i="1"/>
  <c r="V3024" i="1"/>
  <c r="Q3024" i="1"/>
  <c r="P3024" i="1"/>
  <c r="O3024" i="1"/>
  <c r="N3024" i="1"/>
  <c r="I3024" i="1"/>
  <c r="H3024" i="1"/>
  <c r="G3024" i="1"/>
  <c r="F3024" i="1"/>
  <c r="E3024" i="1"/>
  <c r="D3024" i="1"/>
  <c r="C3024" i="1"/>
  <c r="V3023" i="1"/>
  <c r="Q3023" i="1"/>
  <c r="P3023" i="1"/>
  <c r="O3023" i="1"/>
  <c r="N3023" i="1"/>
  <c r="I3023" i="1"/>
  <c r="H3023" i="1"/>
  <c r="G3023" i="1"/>
  <c r="F3023" i="1"/>
  <c r="E3023" i="1"/>
  <c r="D3023" i="1"/>
  <c r="C3023" i="1"/>
  <c r="V3022" i="1"/>
  <c r="Q3022" i="1"/>
  <c r="P3022" i="1"/>
  <c r="O3022" i="1"/>
  <c r="N3022" i="1"/>
  <c r="I3022" i="1"/>
  <c r="H3022" i="1"/>
  <c r="G3022" i="1"/>
  <c r="F3022" i="1"/>
  <c r="E3022" i="1"/>
  <c r="D3022" i="1"/>
  <c r="C3022" i="1"/>
  <c r="V3021" i="1"/>
  <c r="Q3021" i="1"/>
  <c r="P3021" i="1"/>
  <c r="O3021" i="1"/>
  <c r="N3021" i="1"/>
  <c r="I3021" i="1"/>
  <c r="H3021" i="1"/>
  <c r="G3021" i="1"/>
  <c r="F3021" i="1"/>
  <c r="E3021" i="1"/>
  <c r="D3021" i="1"/>
  <c r="C3021" i="1"/>
  <c r="V3020" i="1"/>
  <c r="Q3020" i="1"/>
  <c r="P3020" i="1"/>
  <c r="O3020" i="1"/>
  <c r="N3020" i="1"/>
  <c r="I3020" i="1"/>
  <c r="H3020" i="1"/>
  <c r="G3020" i="1"/>
  <c r="F3020" i="1"/>
  <c r="E3020" i="1"/>
  <c r="D3020" i="1"/>
  <c r="C3020" i="1"/>
  <c r="V3019" i="1"/>
  <c r="Q3019" i="1"/>
  <c r="P3019" i="1"/>
  <c r="O3019" i="1"/>
  <c r="N3019" i="1"/>
  <c r="I3019" i="1"/>
  <c r="H3019" i="1"/>
  <c r="G3019" i="1"/>
  <c r="F3019" i="1"/>
  <c r="E3019" i="1"/>
  <c r="D3019" i="1"/>
  <c r="C3019" i="1"/>
  <c r="V3018" i="1"/>
  <c r="Q3018" i="1"/>
  <c r="P3018" i="1"/>
  <c r="O3018" i="1"/>
  <c r="N3018" i="1"/>
  <c r="I3018" i="1"/>
  <c r="H3018" i="1"/>
  <c r="G3018" i="1"/>
  <c r="F3018" i="1"/>
  <c r="E3018" i="1"/>
  <c r="D3018" i="1"/>
  <c r="C3018" i="1"/>
  <c r="V3017" i="1"/>
  <c r="Q3017" i="1"/>
  <c r="P3017" i="1"/>
  <c r="O3017" i="1"/>
  <c r="N3017" i="1"/>
  <c r="I3017" i="1"/>
  <c r="H3017" i="1"/>
  <c r="G3017" i="1"/>
  <c r="F3017" i="1"/>
  <c r="E3017" i="1"/>
  <c r="D3017" i="1"/>
  <c r="C3017" i="1"/>
  <c r="V3016" i="1"/>
  <c r="Q3016" i="1"/>
  <c r="P3016" i="1"/>
  <c r="O3016" i="1"/>
  <c r="N3016" i="1"/>
  <c r="I3016" i="1"/>
  <c r="H3016" i="1"/>
  <c r="G3016" i="1"/>
  <c r="F3016" i="1"/>
  <c r="E3016" i="1"/>
  <c r="D3016" i="1"/>
  <c r="C3016" i="1"/>
  <c r="V3015" i="1"/>
  <c r="Q3015" i="1"/>
  <c r="P3015" i="1"/>
  <c r="O3015" i="1"/>
  <c r="N3015" i="1"/>
  <c r="I3015" i="1"/>
  <c r="H3015" i="1"/>
  <c r="G3015" i="1"/>
  <c r="F3015" i="1"/>
  <c r="E3015" i="1"/>
  <c r="D3015" i="1"/>
  <c r="C3015" i="1"/>
  <c r="V3014" i="1"/>
  <c r="Q3014" i="1"/>
  <c r="P3014" i="1"/>
  <c r="O3014" i="1"/>
  <c r="N3014" i="1"/>
  <c r="I3014" i="1"/>
  <c r="H3014" i="1"/>
  <c r="G3014" i="1"/>
  <c r="F3014" i="1"/>
  <c r="E3014" i="1"/>
  <c r="D3014" i="1"/>
  <c r="C3014" i="1"/>
  <c r="V3013" i="1"/>
  <c r="Q3013" i="1"/>
  <c r="P3013" i="1"/>
  <c r="O3013" i="1"/>
  <c r="N3013" i="1"/>
  <c r="I3013" i="1"/>
  <c r="H3013" i="1"/>
  <c r="G3013" i="1"/>
  <c r="F3013" i="1"/>
  <c r="E3013" i="1"/>
  <c r="D3013" i="1"/>
  <c r="C3013" i="1"/>
  <c r="V3012" i="1"/>
  <c r="Q3012" i="1"/>
  <c r="P3012" i="1"/>
  <c r="O3012" i="1"/>
  <c r="N3012" i="1"/>
  <c r="I3012" i="1"/>
  <c r="H3012" i="1"/>
  <c r="G3012" i="1"/>
  <c r="F3012" i="1"/>
  <c r="E3012" i="1"/>
  <c r="D3012" i="1"/>
  <c r="C3012" i="1"/>
  <c r="V3011" i="1"/>
  <c r="Q3011" i="1"/>
  <c r="P3011" i="1"/>
  <c r="O3011" i="1"/>
  <c r="N3011" i="1"/>
  <c r="I3011" i="1"/>
  <c r="H3011" i="1"/>
  <c r="G3011" i="1"/>
  <c r="F3011" i="1"/>
  <c r="E3011" i="1"/>
  <c r="D3011" i="1"/>
  <c r="C3011" i="1"/>
  <c r="V3010" i="1"/>
  <c r="Q3010" i="1"/>
  <c r="P3010" i="1"/>
  <c r="O3010" i="1"/>
  <c r="N3010" i="1"/>
  <c r="I3010" i="1"/>
  <c r="H3010" i="1"/>
  <c r="G3010" i="1"/>
  <c r="F3010" i="1"/>
  <c r="E3010" i="1"/>
  <c r="D3010" i="1"/>
  <c r="C3010" i="1"/>
  <c r="V3009" i="1"/>
  <c r="Q3009" i="1"/>
  <c r="P3009" i="1"/>
  <c r="O3009" i="1"/>
  <c r="N3009" i="1"/>
  <c r="I3009" i="1"/>
  <c r="H3009" i="1"/>
  <c r="G3009" i="1"/>
  <c r="F3009" i="1"/>
  <c r="E3009" i="1"/>
  <c r="D3009" i="1"/>
  <c r="C3009" i="1"/>
  <c r="V3008" i="1"/>
  <c r="Q3008" i="1"/>
  <c r="P3008" i="1"/>
  <c r="O3008" i="1"/>
  <c r="N3008" i="1"/>
  <c r="I3008" i="1"/>
  <c r="H3008" i="1"/>
  <c r="G3008" i="1"/>
  <c r="F3008" i="1"/>
  <c r="E3008" i="1"/>
  <c r="D3008" i="1"/>
  <c r="C3008" i="1"/>
  <c r="V3007" i="1"/>
  <c r="Q3007" i="1"/>
  <c r="P3007" i="1"/>
  <c r="O3007" i="1"/>
  <c r="N3007" i="1"/>
  <c r="I3007" i="1"/>
  <c r="H3007" i="1"/>
  <c r="G3007" i="1"/>
  <c r="F3007" i="1"/>
  <c r="E3007" i="1"/>
  <c r="D3007" i="1"/>
  <c r="C3007" i="1"/>
  <c r="V3006" i="1"/>
  <c r="Q3006" i="1"/>
  <c r="P3006" i="1"/>
  <c r="O3006" i="1"/>
  <c r="N3006" i="1"/>
  <c r="I3006" i="1"/>
  <c r="H3006" i="1"/>
  <c r="G3006" i="1"/>
  <c r="F3006" i="1"/>
  <c r="E3006" i="1"/>
  <c r="D3006" i="1"/>
  <c r="C3006" i="1"/>
  <c r="V3005" i="1"/>
  <c r="Q3005" i="1"/>
  <c r="P3005" i="1"/>
  <c r="O3005" i="1"/>
  <c r="N3005" i="1"/>
  <c r="I3005" i="1"/>
  <c r="H3005" i="1"/>
  <c r="G3005" i="1"/>
  <c r="F3005" i="1"/>
  <c r="E3005" i="1"/>
  <c r="D3005" i="1"/>
  <c r="C3005" i="1"/>
  <c r="V3004" i="1"/>
  <c r="Q3004" i="1"/>
  <c r="P3004" i="1"/>
  <c r="O3004" i="1"/>
  <c r="N3004" i="1"/>
  <c r="I3004" i="1"/>
  <c r="H3004" i="1"/>
  <c r="G3004" i="1"/>
  <c r="F3004" i="1"/>
  <c r="E3004" i="1"/>
  <c r="D3004" i="1"/>
  <c r="C3004" i="1"/>
  <c r="V3003" i="1"/>
  <c r="Q3003" i="1"/>
  <c r="P3003" i="1"/>
  <c r="O3003" i="1"/>
  <c r="N3003" i="1"/>
  <c r="I3003" i="1"/>
  <c r="H3003" i="1"/>
  <c r="G3003" i="1"/>
  <c r="F3003" i="1"/>
  <c r="E3003" i="1"/>
  <c r="D3003" i="1"/>
  <c r="C3003" i="1"/>
  <c r="V3002" i="1"/>
  <c r="Q3002" i="1"/>
  <c r="P3002" i="1"/>
  <c r="O3002" i="1"/>
  <c r="N3002" i="1"/>
  <c r="I3002" i="1"/>
  <c r="H3002" i="1"/>
  <c r="G3002" i="1"/>
  <c r="F3002" i="1"/>
  <c r="E3002" i="1"/>
  <c r="D3002" i="1"/>
  <c r="C3002" i="1"/>
  <c r="V3001" i="1"/>
  <c r="Q3001" i="1"/>
  <c r="P3001" i="1"/>
  <c r="O3001" i="1"/>
  <c r="N3001" i="1"/>
  <c r="I3001" i="1"/>
  <c r="H3001" i="1"/>
  <c r="G3001" i="1"/>
  <c r="F3001" i="1"/>
  <c r="E3001" i="1"/>
  <c r="D3001" i="1"/>
  <c r="C3001" i="1"/>
  <c r="V3000" i="1"/>
  <c r="Q3000" i="1"/>
  <c r="P3000" i="1"/>
  <c r="O3000" i="1"/>
  <c r="N3000" i="1"/>
  <c r="I3000" i="1"/>
  <c r="H3000" i="1"/>
  <c r="G3000" i="1"/>
  <c r="F3000" i="1"/>
  <c r="E3000" i="1"/>
  <c r="D3000" i="1"/>
  <c r="C3000" i="1"/>
  <c r="V2999" i="1"/>
  <c r="Q2999" i="1"/>
  <c r="P2999" i="1"/>
  <c r="O2999" i="1"/>
  <c r="N2999" i="1"/>
  <c r="I2999" i="1"/>
  <c r="H2999" i="1"/>
  <c r="G2999" i="1"/>
  <c r="F2999" i="1"/>
  <c r="E2999" i="1"/>
  <c r="D2999" i="1"/>
  <c r="C2999" i="1"/>
  <c r="V2998" i="1"/>
  <c r="Q2998" i="1"/>
  <c r="P2998" i="1"/>
  <c r="O2998" i="1"/>
  <c r="N2998" i="1"/>
  <c r="I2998" i="1"/>
  <c r="H2998" i="1"/>
  <c r="G2998" i="1"/>
  <c r="F2998" i="1"/>
  <c r="E2998" i="1"/>
  <c r="D2998" i="1"/>
  <c r="C2998" i="1"/>
  <c r="V2997" i="1"/>
  <c r="Q2997" i="1"/>
  <c r="P2997" i="1"/>
  <c r="O2997" i="1"/>
  <c r="N2997" i="1"/>
  <c r="I2997" i="1"/>
  <c r="H2997" i="1"/>
  <c r="G2997" i="1"/>
  <c r="F2997" i="1"/>
  <c r="E2997" i="1"/>
  <c r="D2997" i="1"/>
  <c r="C2997" i="1"/>
  <c r="V2996" i="1"/>
  <c r="Q2996" i="1"/>
  <c r="P2996" i="1"/>
  <c r="O2996" i="1"/>
  <c r="N2996" i="1"/>
  <c r="I2996" i="1"/>
  <c r="H2996" i="1"/>
  <c r="G2996" i="1"/>
  <c r="F2996" i="1"/>
  <c r="E2996" i="1"/>
  <c r="D2996" i="1"/>
  <c r="V2995" i="1"/>
  <c r="Q2995" i="1"/>
  <c r="P2995" i="1"/>
  <c r="O2995" i="1"/>
  <c r="N2995" i="1"/>
  <c r="I2995" i="1"/>
  <c r="H2995" i="1"/>
  <c r="G2995" i="1"/>
  <c r="F2995" i="1"/>
  <c r="E2995" i="1"/>
  <c r="D2995" i="1"/>
  <c r="V2994" i="1"/>
  <c r="Q2994" i="1"/>
  <c r="P2994" i="1"/>
  <c r="O2994" i="1"/>
  <c r="N2994" i="1"/>
  <c r="I2994" i="1"/>
  <c r="H2994" i="1"/>
  <c r="G2994" i="1"/>
  <c r="F2994" i="1"/>
  <c r="E2994" i="1"/>
  <c r="D2994" i="1"/>
  <c r="V2993" i="1"/>
  <c r="Q2993" i="1"/>
  <c r="P2993" i="1"/>
  <c r="O2993" i="1"/>
  <c r="N2993" i="1"/>
  <c r="I2993" i="1"/>
  <c r="H2993" i="1"/>
  <c r="G2993" i="1"/>
  <c r="F2993" i="1"/>
  <c r="E2993" i="1"/>
  <c r="D2993" i="1"/>
  <c r="V2992" i="1"/>
  <c r="Q2992" i="1"/>
  <c r="P2992" i="1"/>
  <c r="O2992" i="1"/>
  <c r="N2992" i="1"/>
  <c r="I2992" i="1"/>
  <c r="H2992" i="1"/>
  <c r="G2992" i="1"/>
  <c r="F2992" i="1"/>
  <c r="E2992" i="1"/>
  <c r="D2992" i="1"/>
  <c r="V2991" i="1"/>
  <c r="Q2991" i="1"/>
  <c r="P2991" i="1"/>
  <c r="O2991" i="1"/>
  <c r="N2991" i="1"/>
  <c r="I2991" i="1"/>
  <c r="H2991" i="1"/>
  <c r="G2991" i="1"/>
  <c r="F2991" i="1"/>
  <c r="E2991" i="1"/>
  <c r="D2991" i="1"/>
  <c r="V2990" i="1"/>
  <c r="Q2990" i="1"/>
  <c r="P2990" i="1"/>
  <c r="O2990" i="1"/>
  <c r="N2990" i="1"/>
  <c r="I2990" i="1"/>
  <c r="H2990" i="1"/>
  <c r="G2990" i="1"/>
  <c r="F2990" i="1"/>
  <c r="E2990" i="1"/>
  <c r="D2990" i="1"/>
  <c r="V2989" i="1"/>
  <c r="Q2989" i="1"/>
  <c r="P2989" i="1"/>
  <c r="O2989" i="1"/>
  <c r="N2989" i="1"/>
  <c r="I2989" i="1"/>
  <c r="H2989" i="1"/>
  <c r="G2989" i="1"/>
  <c r="F2989" i="1"/>
  <c r="E2989" i="1"/>
  <c r="D2989" i="1"/>
  <c r="V2988" i="1"/>
  <c r="Q2988" i="1"/>
  <c r="P2988" i="1"/>
  <c r="O2988" i="1"/>
  <c r="N2988" i="1"/>
  <c r="I2988" i="1"/>
  <c r="H2988" i="1"/>
  <c r="G2988" i="1"/>
  <c r="F2988" i="1"/>
  <c r="E2988" i="1"/>
  <c r="D2988" i="1"/>
  <c r="V2987" i="1"/>
  <c r="Q2987" i="1"/>
  <c r="P2987" i="1"/>
  <c r="O2987" i="1"/>
  <c r="N2987" i="1"/>
  <c r="I2987" i="1"/>
  <c r="H2987" i="1"/>
  <c r="G2987" i="1"/>
  <c r="F2987" i="1"/>
  <c r="E2987" i="1"/>
  <c r="D2987" i="1"/>
  <c r="V2986" i="1"/>
  <c r="Q2986" i="1"/>
  <c r="P2986" i="1"/>
  <c r="O2986" i="1"/>
  <c r="N2986" i="1"/>
  <c r="I2986" i="1"/>
  <c r="H2986" i="1"/>
  <c r="G2986" i="1"/>
  <c r="F2986" i="1"/>
  <c r="E2986" i="1"/>
  <c r="D2986" i="1"/>
  <c r="V2985" i="1"/>
  <c r="Q2985" i="1"/>
  <c r="P2985" i="1"/>
  <c r="O2985" i="1"/>
  <c r="N2985" i="1"/>
  <c r="I2985" i="1"/>
  <c r="H2985" i="1"/>
  <c r="G2985" i="1"/>
  <c r="F2985" i="1"/>
  <c r="E2985" i="1"/>
  <c r="D2985" i="1"/>
  <c r="V2984" i="1"/>
  <c r="Q2984" i="1"/>
  <c r="P2984" i="1"/>
  <c r="O2984" i="1"/>
  <c r="N2984" i="1"/>
  <c r="I2984" i="1"/>
  <c r="H2984" i="1"/>
  <c r="G2984" i="1"/>
  <c r="F2984" i="1"/>
  <c r="E2984" i="1"/>
  <c r="D2984" i="1"/>
  <c r="V2983" i="1"/>
  <c r="Q2983" i="1"/>
  <c r="P2983" i="1"/>
  <c r="O2983" i="1"/>
  <c r="N2983" i="1"/>
  <c r="I2983" i="1"/>
  <c r="H2983" i="1"/>
  <c r="G2983" i="1"/>
  <c r="F2983" i="1"/>
  <c r="E2983" i="1"/>
  <c r="D2983" i="1"/>
  <c r="V2982" i="1"/>
  <c r="Q2982" i="1"/>
  <c r="P2982" i="1"/>
  <c r="O2982" i="1"/>
  <c r="N2982" i="1"/>
  <c r="I2982" i="1"/>
  <c r="H2982" i="1"/>
  <c r="G2982" i="1"/>
  <c r="F2982" i="1"/>
  <c r="E2982" i="1"/>
  <c r="D2982" i="1"/>
  <c r="V2981" i="1"/>
  <c r="Q2981" i="1"/>
  <c r="P2981" i="1"/>
  <c r="O2981" i="1"/>
  <c r="N2981" i="1"/>
  <c r="I2981" i="1"/>
  <c r="H2981" i="1"/>
  <c r="G2981" i="1"/>
  <c r="F2981" i="1"/>
  <c r="E2981" i="1"/>
  <c r="D2981" i="1"/>
  <c r="V2980" i="1"/>
  <c r="Q2980" i="1"/>
  <c r="P2980" i="1"/>
  <c r="O2980" i="1"/>
  <c r="N2980" i="1"/>
  <c r="I2980" i="1"/>
  <c r="H2980" i="1"/>
  <c r="G2980" i="1"/>
  <c r="F2980" i="1"/>
  <c r="E2980" i="1"/>
  <c r="V2979" i="1"/>
  <c r="Q2979" i="1"/>
  <c r="P2979" i="1"/>
  <c r="O2979" i="1"/>
  <c r="N2979" i="1"/>
  <c r="I2979" i="1"/>
  <c r="H2979" i="1"/>
  <c r="G2979" i="1"/>
  <c r="F2979" i="1"/>
  <c r="E2979" i="1"/>
  <c r="V2978" i="1"/>
  <c r="Q2978" i="1"/>
  <c r="P2978" i="1"/>
  <c r="O2978" i="1"/>
  <c r="N2978" i="1"/>
  <c r="I2978" i="1"/>
  <c r="H2978" i="1"/>
  <c r="G2978" i="1"/>
  <c r="F2978" i="1"/>
  <c r="E2978" i="1"/>
  <c r="V2977" i="1"/>
  <c r="Q2977" i="1"/>
  <c r="P2977" i="1"/>
  <c r="O2977" i="1"/>
  <c r="N2977" i="1"/>
  <c r="I2977" i="1"/>
  <c r="H2977" i="1"/>
  <c r="G2977" i="1"/>
  <c r="F2977" i="1"/>
  <c r="E2977" i="1"/>
  <c r="V2976" i="1"/>
  <c r="Q2976" i="1"/>
  <c r="P2976" i="1"/>
  <c r="O2976" i="1"/>
  <c r="N2976" i="1"/>
  <c r="I2976" i="1"/>
  <c r="H2976" i="1"/>
  <c r="G2976" i="1"/>
  <c r="F2976" i="1"/>
  <c r="E2976" i="1"/>
  <c r="V2975" i="1"/>
  <c r="Q2975" i="1"/>
  <c r="P2975" i="1"/>
  <c r="O2975" i="1"/>
  <c r="N2975" i="1"/>
  <c r="I2975" i="1"/>
  <c r="H2975" i="1"/>
  <c r="G2975" i="1"/>
  <c r="F2975" i="1"/>
  <c r="E2975" i="1"/>
  <c r="V2974" i="1"/>
  <c r="Q2974" i="1"/>
  <c r="P2974" i="1"/>
  <c r="O2974" i="1"/>
  <c r="N2974" i="1"/>
  <c r="I2974" i="1"/>
  <c r="H2974" i="1"/>
  <c r="G2974" i="1"/>
  <c r="F2974" i="1"/>
  <c r="E2974" i="1"/>
  <c r="V2973" i="1"/>
  <c r="Q2973" i="1"/>
  <c r="P2973" i="1"/>
  <c r="O2973" i="1"/>
  <c r="N2973" i="1"/>
  <c r="I2973" i="1"/>
  <c r="H2973" i="1"/>
  <c r="G2973" i="1"/>
  <c r="F2973" i="1"/>
  <c r="E2973" i="1"/>
  <c r="V2972" i="1"/>
  <c r="Q2972" i="1"/>
  <c r="P2972" i="1"/>
  <c r="O2972" i="1"/>
  <c r="N2972" i="1"/>
  <c r="I2972" i="1"/>
  <c r="H2972" i="1"/>
  <c r="G2972" i="1"/>
  <c r="F2972" i="1"/>
  <c r="E2972" i="1"/>
  <c r="V2971" i="1"/>
  <c r="Q2971" i="1"/>
  <c r="P2971" i="1"/>
  <c r="O2971" i="1"/>
  <c r="N2971" i="1"/>
  <c r="I2971" i="1"/>
  <c r="H2971" i="1"/>
  <c r="G2971" i="1"/>
  <c r="F2971" i="1"/>
  <c r="E2971" i="1"/>
  <c r="V2970" i="1"/>
  <c r="Q2970" i="1"/>
  <c r="P2970" i="1"/>
  <c r="O2970" i="1"/>
  <c r="N2970" i="1"/>
  <c r="I2970" i="1"/>
  <c r="H2970" i="1"/>
  <c r="G2970" i="1"/>
  <c r="F2970" i="1"/>
  <c r="E2970" i="1"/>
  <c r="V2969" i="1"/>
  <c r="Q2969" i="1"/>
  <c r="P2969" i="1"/>
  <c r="O2969" i="1"/>
  <c r="N2969" i="1"/>
  <c r="I2969" i="1"/>
  <c r="H2969" i="1"/>
  <c r="G2969" i="1"/>
  <c r="F2969" i="1"/>
  <c r="E2969" i="1"/>
  <c r="V2968" i="1"/>
  <c r="Q2968" i="1"/>
  <c r="P2968" i="1"/>
  <c r="O2968" i="1"/>
  <c r="N2968" i="1"/>
  <c r="I2968" i="1"/>
  <c r="H2968" i="1"/>
  <c r="G2968" i="1"/>
  <c r="F2968" i="1"/>
  <c r="E2968" i="1"/>
  <c r="D2968" i="1"/>
  <c r="V2967" i="1"/>
  <c r="Q2967" i="1"/>
  <c r="P2967" i="1"/>
  <c r="O2967" i="1"/>
  <c r="N2967" i="1"/>
  <c r="I2967" i="1"/>
  <c r="H2967" i="1"/>
  <c r="G2967" i="1"/>
  <c r="F2967" i="1"/>
  <c r="E2967" i="1"/>
  <c r="D2967" i="1"/>
  <c r="V2966" i="1"/>
  <c r="Q2966" i="1"/>
  <c r="P2966" i="1"/>
  <c r="O2966" i="1"/>
  <c r="N2966" i="1"/>
  <c r="I2966" i="1"/>
  <c r="H2966" i="1"/>
  <c r="G2966" i="1"/>
  <c r="F2966" i="1"/>
  <c r="E2966" i="1"/>
  <c r="D2966" i="1"/>
  <c r="V2965" i="1"/>
  <c r="Q2965" i="1"/>
  <c r="P2965" i="1"/>
  <c r="O2965" i="1"/>
  <c r="N2965" i="1"/>
  <c r="I2965" i="1"/>
  <c r="H2965" i="1"/>
  <c r="G2965" i="1"/>
  <c r="F2965" i="1"/>
  <c r="E2965" i="1"/>
  <c r="D2965" i="1"/>
  <c r="V2964" i="1"/>
  <c r="Q2964" i="1"/>
  <c r="P2964" i="1"/>
  <c r="O2964" i="1"/>
  <c r="N2964" i="1"/>
  <c r="I2964" i="1"/>
  <c r="H2964" i="1"/>
  <c r="G2964" i="1"/>
  <c r="F2964" i="1"/>
  <c r="E2964" i="1"/>
  <c r="D2964" i="1"/>
  <c r="V2963" i="1"/>
  <c r="Q2963" i="1"/>
  <c r="P2963" i="1"/>
  <c r="O2963" i="1"/>
  <c r="N2963" i="1"/>
  <c r="I2963" i="1"/>
  <c r="H2963" i="1"/>
  <c r="G2963" i="1"/>
  <c r="F2963" i="1"/>
  <c r="E2963" i="1"/>
  <c r="D2963" i="1"/>
  <c r="V2962" i="1"/>
  <c r="Q2962" i="1"/>
  <c r="P2962" i="1"/>
  <c r="O2962" i="1"/>
  <c r="N2962" i="1"/>
  <c r="I2962" i="1"/>
  <c r="H2962" i="1"/>
  <c r="G2962" i="1"/>
  <c r="F2962" i="1"/>
  <c r="E2962" i="1"/>
  <c r="D2962" i="1"/>
  <c r="V2961" i="1"/>
  <c r="Q2961" i="1"/>
  <c r="P2961" i="1"/>
  <c r="O2961" i="1"/>
  <c r="N2961" i="1"/>
  <c r="I2961" i="1"/>
  <c r="H2961" i="1"/>
  <c r="G2961" i="1"/>
  <c r="F2961" i="1"/>
  <c r="E2961" i="1"/>
  <c r="D2961" i="1"/>
  <c r="V2960" i="1"/>
  <c r="Q2960" i="1"/>
  <c r="P2960" i="1"/>
  <c r="O2960" i="1"/>
  <c r="N2960" i="1"/>
  <c r="I2960" i="1"/>
  <c r="H2960" i="1"/>
  <c r="G2960" i="1"/>
  <c r="F2960" i="1"/>
  <c r="E2960" i="1"/>
  <c r="D2960" i="1"/>
  <c r="V2959" i="1"/>
  <c r="Q2959" i="1"/>
  <c r="P2959" i="1"/>
  <c r="O2959" i="1"/>
  <c r="N2959" i="1"/>
  <c r="I2959" i="1"/>
  <c r="H2959" i="1"/>
  <c r="G2959" i="1"/>
  <c r="F2959" i="1"/>
  <c r="E2959" i="1"/>
  <c r="D2959" i="1"/>
  <c r="V2958" i="1"/>
  <c r="Q2958" i="1"/>
  <c r="P2958" i="1"/>
  <c r="O2958" i="1"/>
  <c r="N2958" i="1"/>
  <c r="I2958" i="1"/>
  <c r="H2958" i="1"/>
  <c r="G2958" i="1"/>
  <c r="F2958" i="1"/>
  <c r="E2958" i="1"/>
  <c r="D2958" i="1"/>
  <c r="V2957" i="1"/>
  <c r="Q2957" i="1"/>
  <c r="P2957" i="1"/>
  <c r="O2957" i="1"/>
  <c r="N2957" i="1"/>
  <c r="I2957" i="1"/>
  <c r="H2957" i="1"/>
  <c r="G2957" i="1"/>
  <c r="F2957" i="1"/>
  <c r="E2957" i="1"/>
  <c r="D2957" i="1"/>
  <c r="V2956" i="1"/>
  <c r="Q2956" i="1"/>
  <c r="P2956" i="1"/>
  <c r="O2956" i="1"/>
  <c r="N2956" i="1"/>
  <c r="I2956" i="1"/>
  <c r="H2956" i="1"/>
  <c r="G2956" i="1"/>
  <c r="F2956" i="1"/>
  <c r="E2956" i="1"/>
  <c r="D2956" i="1"/>
  <c r="V2955" i="1"/>
  <c r="Q2955" i="1"/>
  <c r="P2955" i="1"/>
  <c r="O2955" i="1"/>
  <c r="N2955" i="1"/>
  <c r="I2955" i="1"/>
  <c r="H2955" i="1"/>
  <c r="G2955" i="1"/>
  <c r="F2955" i="1"/>
  <c r="E2955" i="1"/>
  <c r="D2955" i="1"/>
  <c r="V2954" i="1"/>
  <c r="Q2954" i="1"/>
  <c r="P2954" i="1"/>
  <c r="O2954" i="1"/>
  <c r="N2954" i="1"/>
  <c r="I2954" i="1"/>
  <c r="H2954" i="1"/>
  <c r="G2954" i="1"/>
  <c r="F2954" i="1"/>
  <c r="E2954" i="1"/>
  <c r="D2954" i="1"/>
  <c r="V2953" i="1"/>
  <c r="Q2953" i="1"/>
  <c r="P2953" i="1"/>
  <c r="O2953" i="1"/>
  <c r="N2953" i="1"/>
  <c r="I2953" i="1"/>
  <c r="H2953" i="1"/>
  <c r="G2953" i="1"/>
  <c r="F2953" i="1"/>
  <c r="E2953" i="1"/>
  <c r="D2953" i="1"/>
  <c r="V2952" i="1"/>
  <c r="Q2952" i="1"/>
  <c r="P2952" i="1"/>
  <c r="O2952" i="1"/>
  <c r="N2952" i="1"/>
  <c r="I2952" i="1"/>
  <c r="H2952" i="1"/>
  <c r="G2952" i="1"/>
  <c r="F2952" i="1"/>
  <c r="E2952" i="1"/>
  <c r="D2952" i="1"/>
  <c r="V2951" i="1"/>
  <c r="Q2951" i="1"/>
  <c r="P2951" i="1"/>
  <c r="O2951" i="1"/>
  <c r="N2951" i="1"/>
  <c r="I2951" i="1"/>
  <c r="H2951" i="1"/>
  <c r="G2951" i="1"/>
  <c r="F2951" i="1"/>
  <c r="E2951" i="1"/>
  <c r="V2950" i="1"/>
  <c r="Q2950" i="1"/>
  <c r="P2950" i="1"/>
  <c r="O2950" i="1"/>
  <c r="N2950" i="1"/>
  <c r="I2950" i="1"/>
  <c r="H2950" i="1"/>
  <c r="G2950" i="1"/>
  <c r="F2950" i="1"/>
  <c r="E2950" i="1"/>
  <c r="V2949" i="1"/>
  <c r="Q2949" i="1"/>
  <c r="P2949" i="1"/>
  <c r="O2949" i="1"/>
  <c r="N2949" i="1"/>
  <c r="I2949" i="1"/>
  <c r="H2949" i="1"/>
  <c r="G2949" i="1"/>
  <c r="F2949" i="1"/>
  <c r="E2949" i="1"/>
  <c r="V2948" i="1"/>
  <c r="Q2948" i="1"/>
  <c r="P2948" i="1"/>
  <c r="O2948" i="1"/>
  <c r="N2948" i="1"/>
  <c r="I2948" i="1"/>
  <c r="H2948" i="1"/>
  <c r="G2948" i="1"/>
  <c r="F2948" i="1"/>
  <c r="E2948" i="1"/>
  <c r="V2947" i="1"/>
  <c r="Q2947" i="1"/>
  <c r="P2947" i="1"/>
  <c r="O2947" i="1"/>
  <c r="N2947" i="1"/>
  <c r="I2947" i="1"/>
  <c r="H2947" i="1"/>
  <c r="G2947" i="1"/>
  <c r="F2947" i="1"/>
  <c r="E2947" i="1"/>
  <c r="V2946" i="1"/>
  <c r="Q2946" i="1"/>
  <c r="P2946" i="1"/>
  <c r="O2946" i="1"/>
  <c r="N2946" i="1"/>
  <c r="I2946" i="1"/>
  <c r="H2946" i="1"/>
  <c r="G2946" i="1"/>
  <c r="F2946" i="1"/>
  <c r="E2946" i="1"/>
  <c r="V2945" i="1"/>
  <c r="Q2945" i="1"/>
  <c r="P2945" i="1"/>
  <c r="O2945" i="1"/>
  <c r="N2945" i="1"/>
  <c r="I2945" i="1"/>
  <c r="H2945" i="1"/>
  <c r="G2945" i="1"/>
  <c r="F2945" i="1"/>
  <c r="E2945" i="1"/>
  <c r="V2944" i="1"/>
  <c r="Q2944" i="1"/>
  <c r="P2944" i="1"/>
  <c r="O2944" i="1"/>
  <c r="N2944" i="1"/>
  <c r="I2944" i="1"/>
  <c r="H2944" i="1"/>
  <c r="G2944" i="1"/>
  <c r="F2944" i="1"/>
  <c r="E2944" i="1"/>
  <c r="V2943" i="1"/>
  <c r="Q2943" i="1"/>
  <c r="P2943" i="1"/>
  <c r="O2943" i="1"/>
  <c r="N2943" i="1"/>
  <c r="I2943" i="1"/>
  <c r="H2943" i="1"/>
  <c r="G2943" i="1"/>
  <c r="F2943" i="1"/>
  <c r="E2943" i="1"/>
  <c r="V2942" i="1"/>
  <c r="Q2942" i="1"/>
  <c r="P2942" i="1"/>
  <c r="O2942" i="1"/>
  <c r="N2942" i="1"/>
  <c r="I2942" i="1"/>
  <c r="H2942" i="1"/>
  <c r="G2942" i="1"/>
  <c r="F2942" i="1"/>
  <c r="E2942" i="1"/>
  <c r="V2941" i="1"/>
  <c r="Q2941" i="1"/>
  <c r="P2941" i="1"/>
  <c r="O2941" i="1"/>
  <c r="N2941" i="1"/>
  <c r="I2941" i="1"/>
  <c r="H2941" i="1"/>
  <c r="G2941" i="1"/>
  <c r="F2941" i="1"/>
  <c r="E2941" i="1"/>
  <c r="V2940" i="1"/>
  <c r="Q2940" i="1"/>
  <c r="P2940" i="1"/>
  <c r="O2940" i="1"/>
  <c r="N2940" i="1"/>
  <c r="I2940" i="1"/>
  <c r="H2940" i="1"/>
  <c r="G2940" i="1"/>
  <c r="F2940" i="1"/>
  <c r="E2940" i="1"/>
  <c r="V2939" i="1"/>
  <c r="Q2939" i="1"/>
  <c r="P2939" i="1"/>
  <c r="O2939" i="1"/>
  <c r="N2939" i="1"/>
  <c r="I2939" i="1"/>
  <c r="H2939" i="1"/>
  <c r="G2939" i="1"/>
  <c r="F2939" i="1"/>
  <c r="E2939" i="1"/>
  <c r="V2938" i="1"/>
  <c r="Q2938" i="1"/>
  <c r="P2938" i="1"/>
  <c r="O2938" i="1"/>
  <c r="N2938" i="1"/>
  <c r="I2938" i="1"/>
  <c r="H2938" i="1"/>
  <c r="G2938" i="1"/>
  <c r="F2938" i="1"/>
  <c r="V2937" i="1"/>
  <c r="Q2937" i="1"/>
  <c r="P2937" i="1"/>
  <c r="O2937" i="1"/>
  <c r="N2937" i="1"/>
  <c r="I2937" i="1"/>
  <c r="H2937" i="1"/>
  <c r="G2937" i="1"/>
  <c r="F2937" i="1"/>
  <c r="V2936" i="1"/>
  <c r="Q2936" i="1"/>
  <c r="P2936" i="1"/>
  <c r="O2936" i="1"/>
  <c r="N2936" i="1"/>
  <c r="I2936" i="1"/>
  <c r="H2936" i="1"/>
  <c r="G2936" i="1"/>
  <c r="F2936" i="1"/>
  <c r="V2935" i="1"/>
  <c r="Q2935" i="1"/>
  <c r="P2935" i="1"/>
  <c r="O2935" i="1"/>
  <c r="N2935" i="1"/>
  <c r="I2935" i="1"/>
  <c r="H2935" i="1"/>
  <c r="G2935" i="1"/>
  <c r="F2935" i="1"/>
  <c r="V2934" i="1"/>
  <c r="Q2934" i="1"/>
  <c r="P2934" i="1"/>
  <c r="O2934" i="1"/>
  <c r="N2934" i="1"/>
  <c r="I2934" i="1"/>
  <c r="H2934" i="1"/>
  <c r="G2934" i="1"/>
  <c r="F2934" i="1"/>
  <c r="V2933" i="1"/>
  <c r="Q2933" i="1"/>
  <c r="P2933" i="1"/>
  <c r="O2933" i="1"/>
  <c r="N2933" i="1"/>
  <c r="I2933" i="1"/>
  <c r="H2933" i="1"/>
  <c r="G2933" i="1"/>
  <c r="F2933" i="1"/>
  <c r="V2932" i="1"/>
  <c r="Q2932" i="1"/>
  <c r="P2932" i="1"/>
  <c r="O2932" i="1"/>
  <c r="N2932" i="1"/>
  <c r="I2932" i="1"/>
  <c r="H2932" i="1"/>
  <c r="G2932" i="1"/>
  <c r="F2932" i="1"/>
  <c r="V2931" i="1"/>
  <c r="Q2931" i="1"/>
  <c r="P2931" i="1"/>
  <c r="O2931" i="1"/>
  <c r="N2931" i="1"/>
  <c r="I2931" i="1"/>
  <c r="H2931" i="1"/>
  <c r="G2931" i="1"/>
  <c r="F2931" i="1"/>
  <c r="V2930" i="1"/>
  <c r="Q2930" i="1"/>
  <c r="P2930" i="1"/>
  <c r="O2930" i="1"/>
  <c r="N2930" i="1"/>
  <c r="I2930" i="1"/>
  <c r="H2930" i="1"/>
  <c r="G2930" i="1"/>
  <c r="F2930" i="1"/>
  <c r="V2929" i="1"/>
  <c r="Q2929" i="1"/>
  <c r="P2929" i="1"/>
  <c r="O2929" i="1"/>
  <c r="N2929" i="1"/>
  <c r="I2929" i="1"/>
  <c r="H2929" i="1"/>
  <c r="G2929" i="1"/>
  <c r="V2928" i="1"/>
  <c r="Q2928" i="1"/>
  <c r="P2928" i="1"/>
  <c r="O2928" i="1"/>
  <c r="N2928" i="1"/>
  <c r="I2928" i="1"/>
  <c r="H2928" i="1"/>
  <c r="G2928" i="1"/>
  <c r="V2927" i="1"/>
  <c r="Q2927" i="1"/>
  <c r="P2927" i="1"/>
  <c r="O2927" i="1"/>
  <c r="N2927" i="1"/>
  <c r="I2927" i="1"/>
  <c r="H2927" i="1"/>
  <c r="G2927" i="1"/>
  <c r="V2926" i="1"/>
  <c r="Q2926" i="1"/>
  <c r="P2926" i="1"/>
  <c r="O2926" i="1"/>
  <c r="N2926" i="1"/>
  <c r="I2926" i="1"/>
  <c r="H2926" i="1"/>
  <c r="G2926" i="1"/>
  <c r="V2925" i="1"/>
  <c r="Q2925" i="1"/>
  <c r="P2925" i="1"/>
  <c r="O2925" i="1"/>
  <c r="N2925" i="1"/>
  <c r="I2925" i="1"/>
  <c r="H2925" i="1"/>
  <c r="G2925" i="1"/>
  <c r="V2924" i="1"/>
  <c r="Q2924" i="1"/>
  <c r="P2924" i="1"/>
  <c r="O2924" i="1"/>
  <c r="N2924" i="1"/>
  <c r="I2924" i="1"/>
  <c r="H2924" i="1"/>
  <c r="V2923" i="1"/>
  <c r="Q2923" i="1"/>
  <c r="P2923" i="1"/>
  <c r="O2923" i="1"/>
  <c r="N2923" i="1"/>
  <c r="I2923" i="1"/>
  <c r="H2923" i="1"/>
  <c r="V2922" i="1"/>
  <c r="Q2922" i="1"/>
  <c r="P2922" i="1"/>
  <c r="O2922" i="1"/>
  <c r="N2922" i="1"/>
  <c r="H2922" i="1"/>
  <c r="V2921" i="1"/>
  <c r="Q2921" i="1"/>
  <c r="P2921" i="1"/>
  <c r="O2921" i="1"/>
  <c r="N2921" i="1"/>
  <c r="H2921" i="1"/>
  <c r="V2920" i="1"/>
  <c r="Q2920" i="1"/>
  <c r="P2920" i="1"/>
  <c r="O2920" i="1"/>
  <c r="N2920" i="1"/>
  <c r="H2920" i="1"/>
  <c r="V2919" i="1"/>
  <c r="Q2919" i="1"/>
  <c r="P2919" i="1"/>
  <c r="O2919" i="1"/>
  <c r="N2919" i="1"/>
  <c r="H2919" i="1"/>
  <c r="V2918" i="1"/>
  <c r="Q2918" i="1"/>
  <c r="P2918" i="1"/>
  <c r="O2918" i="1"/>
  <c r="N2918" i="1"/>
  <c r="H2918" i="1"/>
  <c r="V2917" i="1"/>
  <c r="Q2917" i="1"/>
  <c r="P2917" i="1"/>
  <c r="O2917" i="1"/>
  <c r="N2917" i="1"/>
  <c r="V2916" i="1"/>
  <c r="Q2916" i="1"/>
  <c r="P2916" i="1"/>
  <c r="O2916" i="1"/>
  <c r="N2916" i="1"/>
  <c r="V2915" i="1"/>
  <c r="Q2915" i="1"/>
  <c r="P2915" i="1"/>
  <c r="O2915" i="1"/>
  <c r="N2915" i="1"/>
  <c r="V2914" i="1"/>
  <c r="Q2914" i="1"/>
  <c r="P2914" i="1"/>
  <c r="O2914" i="1"/>
  <c r="N2914" i="1"/>
  <c r="V2913" i="1"/>
  <c r="Q2913" i="1"/>
  <c r="P2913" i="1"/>
  <c r="O2913" i="1"/>
  <c r="N2913" i="1"/>
  <c r="V2912" i="1"/>
  <c r="Q2912" i="1"/>
  <c r="P2912" i="1"/>
  <c r="O2912" i="1"/>
  <c r="N2912" i="1"/>
  <c r="V2911" i="1"/>
  <c r="Q2911" i="1"/>
  <c r="P2911" i="1"/>
  <c r="O2911" i="1"/>
  <c r="N2911" i="1"/>
  <c r="V2910" i="1"/>
  <c r="Q2910" i="1"/>
  <c r="P2910" i="1"/>
  <c r="O2910" i="1"/>
  <c r="N2910" i="1"/>
  <c r="V2909" i="1"/>
  <c r="Q2909" i="1"/>
  <c r="P2909" i="1"/>
  <c r="O2909" i="1"/>
  <c r="N2909" i="1"/>
  <c r="V2908" i="1"/>
  <c r="Q2908" i="1"/>
  <c r="P2908" i="1"/>
  <c r="O2908" i="1"/>
  <c r="N2908" i="1"/>
  <c r="V2907" i="1"/>
  <c r="Q2907" i="1"/>
  <c r="P2907" i="1"/>
  <c r="O2907" i="1"/>
  <c r="N2907" i="1"/>
  <c r="V2906" i="1"/>
  <c r="Q2906" i="1"/>
  <c r="P2906" i="1"/>
  <c r="O2906" i="1"/>
  <c r="N2906" i="1"/>
  <c r="V2905" i="1"/>
  <c r="Q2905" i="1"/>
  <c r="P2905" i="1"/>
  <c r="O2905" i="1"/>
  <c r="N2905" i="1"/>
  <c r="V2904" i="1"/>
  <c r="Q2904" i="1"/>
  <c r="P2904" i="1"/>
  <c r="O2904" i="1"/>
  <c r="N2904" i="1"/>
  <c r="V2903" i="1"/>
  <c r="Q2903" i="1"/>
  <c r="P2903" i="1"/>
  <c r="O2903" i="1"/>
  <c r="N2903" i="1"/>
  <c r="V2902" i="1"/>
  <c r="Q2902" i="1"/>
  <c r="P2902" i="1"/>
  <c r="O2902" i="1"/>
  <c r="N2902" i="1"/>
  <c r="V2901" i="1"/>
  <c r="Q2901" i="1"/>
  <c r="P2901" i="1"/>
  <c r="O2901" i="1"/>
  <c r="N2901" i="1"/>
  <c r="V2900" i="1"/>
  <c r="Q2900" i="1"/>
  <c r="P2900" i="1"/>
  <c r="O2900" i="1"/>
  <c r="N2900" i="1"/>
  <c r="V2899" i="1"/>
  <c r="Q2899" i="1"/>
  <c r="P2899" i="1"/>
  <c r="O2899" i="1"/>
  <c r="N2899" i="1"/>
  <c r="V2898" i="1"/>
  <c r="Q2898" i="1"/>
  <c r="P2898" i="1"/>
  <c r="O2898" i="1"/>
  <c r="N2898" i="1"/>
  <c r="V2897" i="1"/>
  <c r="Q2897" i="1"/>
  <c r="P2897" i="1"/>
  <c r="O2897" i="1"/>
  <c r="N2897" i="1"/>
  <c r="V2896" i="1"/>
  <c r="Q2896" i="1"/>
  <c r="P2896" i="1"/>
  <c r="O2896" i="1"/>
  <c r="N2896" i="1"/>
  <c r="V2895" i="1"/>
  <c r="Q2895" i="1"/>
  <c r="P2895" i="1"/>
  <c r="O2895" i="1"/>
  <c r="N2895" i="1"/>
  <c r="V2894" i="1"/>
  <c r="Q2894" i="1"/>
  <c r="P2894" i="1"/>
  <c r="O2894" i="1"/>
  <c r="N2894" i="1"/>
  <c r="V2893" i="1"/>
  <c r="Q2893" i="1"/>
  <c r="P2893" i="1"/>
  <c r="O2893" i="1"/>
  <c r="N2893" i="1"/>
  <c r="V2892" i="1"/>
  <c r="Q2892" i="1"/>
  <c r="P2892" i="1"/>
  <c r="O2892" i="1"/>
  <c r="N2892" i="1"/>
  <c r="V2891" i="1"/>
  <c r="Q2891" i="1"/>
  <c r="P2891" i="1"/>
  <c r="O2891" i="1"/>
  <c r="N2891" i="1"/>
  <c r="V2890" i="1"/>
  <c r="Q2890" i="1"/>
  <c r="P2890" i="1"/>
  <c r="O2890" i="1"/>
  <c r="N2890" i="1"/>
  <c r="V2889" i="1"/>
  <c r="Q2889" i="1"/>
  <c r="P2889" i="1"/>
  <c r="O2889" i="1"/>
  <c r="N2889" i="1"/>
  <c r="V2888" i="1"/>
  <c r="Q2888" i="1"/>
  <c r="P2888" i="1"/>
  <c r="O2888" i="1"/>
  <c r="N2888" i="1"/>
  <c r="V2887" i="1"/>
  <c r="Q2887" i="1"/>
  <c r="P2887" i="1"/>
  <c r="O2887" i="1"/>
  <c r="N2887" i="1"/>
  <c r="V2886" i="1"/>
  <c r="Q2886" i="1"/>
  <c r="P2886" i="1"/>
  <c r="O2886" i="1"/>
  <c r="N2886" i="1"/>
  <c r="V2885" i="1"/>
  <c r="Q2885" i="1"/>
  <c r="P2885" i="1"/>
  <c r="O2885" i="1"/>
  <c r="N2885" i="1"/>
  <c r="V2884" i="1"/>
  <c r="Q2884" i="1"/>
  <c r="P2884" i="1"/>
  <c r="O2884" i="1"/>
  <c r="N2884" i="1"/>
  <c r="V2883" i="1"/>
  <c r="Q2883" i="1"/>
  <c r="P2883" i="1"/>
  <c r="O2883" i="1"/>
  <c r="N2883" i="1"/>
  <c r="V2882" i="1"/>
  <c r="Q2882" i="1"/>
  <c r="P2882" i="1"/>
  <c r="O2882" i="1"/>
  <c r="N2882" i="1"/>
  <c r="V2881" i="1"/>
  <c r="Q2881" i="1"/>
  <c r="P2881" i="1"/>
  <c r="O2881" i="1"/>
  <c r="N2881" i="1"/>
  <c r="V2880" i="1"/>
  <c r="Q2880" i="1"/>
  <c r="P2880" i="1"/>
  <c r="O2880" i="1"/>
  <c r="N2880" i="1"/>
  <c r="V2879" i="1"/>
  <c r="Q2879" i="1"/>
  <c r="P2879" i="1"/>
  <c r="O2879" i="1"/>
  <c r="N2879" i="1"/>
  <c r="V2878" i="1"/>
  <c r="Q2878" i="1"/>
  <c r="P2878" i="1"/>
  <c r="O2878" i="1"/>
  <c r="N2878" i="1"/>
  <c r="V2877" i="1"/>
  <c r="Q2877" i="1"/>
  <c r="P2877" i="1"/>
  <c r="O2877" i="1"/>
  <c r="N2877" i="1"/>
  <c r="V2876" i="1"/>
  <c r="Q2876" i="1"/>
  <c r="P2876" i="1"/>
  <c r="O2876" i="1"/>
  <c r="N2876" i="1"/>
  <c r="V2875" i="1"/>
  <c r="Q2875" i="1"/>
  <c r="P2875" i="1"/>
  <c r="O2875" i="1"/>
  <c r="N2875" i="1"/>
  <c r="V2874" i="1"/>
  <c r="Q2874" i="1"/>
  <c r="P2874" i="1"/>
  <c r="O2874" i="1"/>
  <c r="N2874" i="1"/>
  <c r="V2873" i="1"/>
  <c r="Q2873" i="1"/>
  <c r="P2873" i="1"/>
  <c r="O2873" i="1"/>
  <c r="N2873" i="1"/>
  <c r="V2872" i="1"/>
  <c r="Q2872" i="1"/>
  <c r="P2872" i="1"/>
  <c r="O2872" i="1"/>
  <c r="N2872" i="1"/>
  <c r="V2871" i="1"/>
  <c r="Q2871" i="1"/>
  <c r="P2871" i="1"/>
  <c r="O2871" i="1"/>
  <c r="N2871" i="1"/>
  <c r="V2870" i="1"/>
  <c r="Q2870" i="1"/>
  <c r="P2870" i="1"/>
  <c r="O2870" i="1"/>
  <c r="N2870" i="1"/>
  <c r="V2869" i="1"/>
  <c r="Q2869" i="1"/>
  <c r="P2869" i="1"/>
  <c r="O2869" i="1"/>
  <c r="N2869" i="1"/>
  <c r="V2868" i="1"/>
  <c r="Q2868" i="1"/>
  <c r="P2868" i="1"/>
  <c r="O2868" i="1"/>
  <c r="N2868" i="1"/>
  <c r="V2867" i="1"/>
  <c r="Q2867" i="1"/>
  <c r="P2867" i="1"/>
  <c r="O2867" i="1"/>
  <c r="N2867" i="1"/>
  <c r="V2866" i="1"/>
  <c r="Q2866" i="1"/>
  <c r="P2866" i="1"/>
  <c r="O2866" i="1"/>
  <c r="N2866" i="1"/>
  <c r="V2865" i="1"/>
  <c r="Q2865" i="1"/>
  <c r="P2865" i="1"/>
  <c r="O2865" i="1"/>
  <c r="N2865" i="1"/>
  <c r="V2864" i="1"/>
  <c r="Q2864" i="1"/>
  <c r="P2864" i="1"/>
  <c r="O2864" i="1"/>
  <c r="N2864" i="1"/>
  <c r="V2863" i="1"/>
  <c r="Q2863" i="1"/>
  <c r="P2863" i="1"/>
  <c r="O2863" i="1"/>
  <c r="N2863" i="1"/>
  <c r="V2862" i="1"/>
  <c r="Q2862" i="1"/>
  <c r="P2862" i="1"/>
  <c r="O2862" i="1"/>
  <c r="N2862" i="1"/>
  <c r="V2861" i="1"/>
  <c r="Q2861" i="1"/>
  <c r="P2861" i="1"/>
  <c r="O2861" i="1"/>
  <c r="N2861" i="1"/>
  <c r="V2860" i="1"/>
  <c r="Q2860" i="1"/>
  <c r="P2860" i="1"/>
  <c r="O2860" i="1"/>
  <c r="N2860" i="1"/>
  <c r="V2859" i="1"/>
  <c r="Q2859" i="1"/>
  <c r="P2859" i="1"/>
  <c r="O2859" i="1"/>
  <c r="N2859" i="1"/>
  <c r="V2858" i="1"/>
  <c r="Q2858" i="1"/>
  <c r="P2858" i="1"/>
  <c r="O2858" i="1"/>
  <c r="N2858" i="1"/>
  <c r="V2857" i="1"/>
  <c r="Q2857" i="1"/>
  <c r="P2857" i="1"/>
  <c r="O2857" i="1"/>
  <c r="N2857" i="1"/>
  <c r="V2856" i="1"/>
  <c r="Q2856" i="1"/>
  <c r="P2856" i="1"/>
  <c r="O2856" i="1"/>
  <c r="N2856" i="1"/>
  <c r="V2855" i="1"/>
  <c r="Q2855" i="1"/>
  <c r="P2855" i="1"/>
  <c r="O2855" i="1"/>
  <c r="N2855" i="1"/>
  <c r="V2854" i="1"/>
  <c r="Q2854" i="1"/>
  <c r="P2854" i="1"/>
  <c r="O2854" i="1"/>
  <c r="N2854" i="1"/>
  <c r="V2853" i="1"/>
  <c r="Q2853" i="1"/>
  <c r="P2853" i="1"/>
  <c r="O2853" i="1"/>
  <c r="N2853" i="1"/>
  <c r="V2852" i="1"/>
  <c r="Q2852" i="1"/>
  <c r="P2852" i="1"/>
  <c r="O2852" i="1"/>
  <c r="N2852" i="1"/>
  <c r="V2851" i="1"/>
  <c r="Q2851" i="1"/>
  <c r="P2851" i="1"/>
  <c r="O2851" i="1"/>
  <c r="N2851" i="1"/>
  <c r="V2850" i="1"/>
  <c r="Q2850" i="1"/>
  <c r="P2850" i="1"/>
  <c r="O2850" i="1"/>
  <c r="N2850" i="1"/>
  <c r="V2849" i="1"/>
  <c r="Q2849" i="1"/>
  <c r="P2849" i="1"/>
  <c r="O2849" i="1"/>
  <c r="N2849" i="1"/>
  <c r="V2848" i="1"/>
  <c r="Q2848" i="1"/>
  <c r="P2848" i="1"/>
  <c r="O2848" i="1"/>
  <c r="N2848" i="1"/>
  <c r="V2847" i="1"/>
  <c r="Q2847" i="1"/>
  <c r="P2847" i="1"/>
  <c r="O2847" i="1"/>
  <c r="N2847" i="1"/>
  <c r="V2846" i="1"/>
  <c r="Q2846" i="1"/>
  <c r="P2846" i="1"/>
  <c r="O2846" i="1"/>
  <c r="N2846" i="1"/>
  <c r="V2845" i="1"/>
  <c r="Q2845" i="1"/>
  <c r="P2845" i="1"/>
  <c r="O2845" i="1"/>
  <c r="N2845" i="1"/>
  <c r="V2844" i="1"/>
  <c r="Q2844" i="1"/>
  <c r="P2844" i="1"/>
  <c r="O2844" i="1"/>
  <c r="N2844" i="1"/>
  <c r="V2843" i="1"/>
  <c r="Q2843" i="1"/>
  <c r="P2843" i="1"/>
  <c r="O2843" i="1"/>
  <c r="N2843" i="1"/>
  <c r="V2842" i="1"/>
  <c r="Q2842" i="1"/>
  <c r="P2842" i="1"/>
  <c r="O2842" i="1"/>
  <c r="N2842" i="1"/>
  <c r="V2841" i="1"/>
  <c r="Q2841" i="1"/>
  <c r="P2841" i="1"/>
  <c r="O2841" i="1"/>
  <c r="N2841" i="1"/>
  <c r="V2840" i="1"/>
  <c r="Q2840" i="1"/>
  <c r="P2840" i="1"/>
  <c r="O2840" i="1"/>
  <c r="N2840" i="1"/>
  <c r="V2839" i="1"/>
  <c r="Q2839" i="1"/>
  <c r="P2839" i="1"/>
  <c r="O2839" i="1"/>
  <c r="N2839" i="1"/>
  <c r="V2838" i="1"/>
  <c r="Q2838" i="1"/>
  <c r="P2838" i="1"/>
  <c r="O2838" i="1"/>
  <c r="N2838" i="1"/>
  <c r="V2837" i="1"/>
  <c r="Q2837" i="1"/>
  <c r="P2837" i="1"/>
  <c r="O2837" i="1"/>
  <c r="N2837" i="1"/>
  <c r="V2836" i="1"/>
  <c r="Q2836" i="1"/>
  <c r="P2836" i="1"/>
  <c r="O2836" i="1"/>
  <c r="N2836" i="1"/>
  <c r="V2835" i="1"/>
  <c r="Q2835" i="1"/>
  <c r="P2835" i="1"/>
  <c r="O2835" i="1"/>
  <c r="N2835" i="1"/>
  <c r="V2834" i="1"/>
  <c r="Q2834" i="1"/>
  <c r="P2834" i="1"/>
  <c r="O2834" i="1"/>
  <c r="N2834" i="1"/>
  <c r="V2833" i="1"/>
  <c r="Q2833" i="1"/>
  <c r="P2833" i="1"/>
  <c r="O2833" i="1"/>
  <c r="N2833" i="1"/>
  <c r="V2832" i="1"/>
  <c r="Q2832" i="1"/>
  <c r="P2832" i="1"/>
  <c r="O2832" i="1"/>
  <c r="N2832" i="1"/>
  <c r="V2831" i="1"/>
  <c r="Q2831" i="1"/>
  <c r="P2831" i="1"/>
  <c r="O2831" i="1"/>
  <c r="N2831" i="1"/>
  <c r="V2830" i="1"/>
  <c r="Q2830" i="1"/>
  <c r="P2830" i="1"/>
  <c r="O2830" i="1"/>
  <c r="N2830" i="1"/>
  <c r="V2829" i="1"/>
  <c r="Q2829" i="1"/>
  <c r="P2829" i="1"/>
  <c r="O2829" i="1"/>
  <c r="N2829" i="1"/>
  <c r="V2828" i="1"/>
  <c r="Q2828" i="1"/>
  <c r="P2828" i="1"/>
  <c r="O2828" i="1"/>
  <c r="N2828" i="1"/>
  <c r="V2827" i="1"/>
  <c r="Q2827" i="1"/>
  <c r="P2827" i="1"/>
  <c r="O2827" i="1"/>
  <c r="N2827" i="1"/>
  <c r="V2826" i="1"/>
  <c r="Q2826" i="1"/>
  <c r="P2826" i="1"/>
  <c r="O2826" i="1"/>
  <c r="N2826" i="1"/>
  <c r="V2825" i="1"/>
  <c r="Q2825" i="1"/>
  <c r="P2825" i="1"/>
  <c r="O2825" i="1"/>
  <c r="N2825" i="1"/>
  <c r="V2824" i="1"/>
  <c r="Q2824" i="1"/>
  <c r="P2824" i="1"/>
  <c r="O2824" i="1"/>
  <c r="N2824" i="1"/>
  <c r="V2823" i="1"/>
  <c r="Q2823" i="1"/>
  <c r="P2823" i="1"/>
  <c r="O2823" i="1"/>
  <c r="N2823" i="1"/>
  <c r="V2822" i="1"/>
  <c r="Q2822" i="1"/>
  <c r="P2822" i="1"/>
  <c r="O2822" i="1"/>
  <c r="N2822" i="1"/>
  <c r="V2821" i="1"/>
  <c r="Q2821" i="1"/>
  <c r="P2821" i="1"/>
  <c r="O2821" i="1"/>
  <c r="N2821" i="1"/>
  <c r="V2820" i="1"/>
  <c r="Q2820" i="1"/>
  <c r="P2820" i="1"/>
  <c r="O2820" i="1"/>
  <c r="N2820" i="1"/>
  <c r="V2819" i="1"/>
  <c r="Q2819" i="1"/>
  <c r="P2819" i="1"/>
  <c r="O2819" i="1"/>
  <c r="N2819" i="1"/>
  <c r="V2818" i="1"/>
  <c r="Q2818" i="1"/>
  <c r="P2818" i="1"/>
  <c r="O2818" i="1"/>
  <c r="V2817" i="1"/>
  <c r="Q2817" i="1"/>
  <c r="P2817" i="1"/>
  <c r="O2817" i="1"/>
  <c r="V2816" i="1"/>
  <c r="Q2816" i="1"/>
  <c r="P2816" i="1"/>
  <c r="O2816" i="1"/>
  <c r="V2815" i="1"/>
  <c r="Q2815" i="1"/>
  <c r="P2815" i="1"/>
  <c r="O2815" i="1"/>
  <c r="V2814" i="1"/>
  <c r="Q2814" i="1"/>
  <c r="P2814" i="1"/>
  <c r="O2814" i="1"/>
  <c r="V2813" i="1"/>
  <c r="Q2813" i="1"/>
  <c r="P2813" i="1"/>
  <c r="O2813" i="1"/>
  <c r="V2812" i="1"/>
  <c r="Q2812" i="1"/>
  <c r="P2812" i="1"/>
  <c r="O2812" i="1"/>
  <c r="V2811" i="1"/>
  <c r="Q2811" i="1"/>
  <c r="P2811" i="1"/>
  <c r="O2811" i="1"/>
  <c r="V2810" i="1"/>
  <c r="Q2810" i="1"/>
  <c r="P2810" i="1"/>
  <c r="O2810" i="1"/>
  <c r="V2809" i="1"/>
  <c r="Q2809" i="1"/>
  <c r="P2809" i="1"/>
  <c r="O2809" i="1"/>
  <c r="V2808" i="1"/>
  <c r="Q2808" i="1"/>
  <c r="P2808" i="1"/>
  <c r="O2808" i="1"/>
  <c r="V2807" i="1"/>
  <c r="Q2807" i="1"/>
  <c r="P2807" i="1"/>
  <c r="O2807" i="1"/>
  <c r="V2806" i="1"/>
  <c r="Q2806" i="1"/>
  <c r="P2806" i="1"/>
  <c r="O2806" i="1"/>
  <c r="V2805" i="1"/>
  <c r="Q2805" i="1"/>
  <c r="P2805" i="1"/>
  <c r="O2805" i="1"/>
  <c r="V2804" i="1"/>
  <c r="Q2804" i="1"/>
  <c r="P2804" i="1"/>
  <c r="O2804" i="1"/>
  <c r="V2803" i="1"/>
  <c r="Q2803" i="1"/>
  <c r="P2803" i="1"/>
  <c r="O2803" i="1"/>
  <c r="V2802" i="1"/>
  <c r="Q2802" i="1"/>
  <c r="P2802" i="1"/>
  <c r="O2802" i="1"/>
  <c r="V2801" i="1"/>
  <c r="Q2801" i="1"/>
  <c r="P2801" i="1"/>
  <c r="O2801" i="1"/>
  <c r="V2800" i="1"/>
  <c r="Q2800" i="1"/>
  <c r="P2800" i="1"/>
  <c r="O2800" i="1"/>
  <c r="V2799" i="1"/>
  <c r="Q2799" i="1"/>
  <c r="P2799" i="1"/>
  <c r="O2799" i="1"/>
  <c r="V2798" i="1"/>
  <c r="Q2798" i="1"/>
  <c r="P2798" i="1"/>
  <c r="O2798" i="1"/>
  <c r="V2797" i="1"/>
  <c r="Q2797" i="1"/>
  <c r="P2797" i="1"/>
  <c r="O2797" i="1"/>
  <c r="V2796" i="1"/>
  <c r="Q2796" i="1"/>
  <c r="P2796" i="1"/>
  <c r="O2796" i="1"/>
  <c r="V2795" i="1"/>
  <c r="Q2795" i="1"/>
  <c r="P2795" i="1"/>
  <c r="O2795" i="1"/>
  <c r="V2794" i="1"/>
  <c r="Q2794" i="1"/>
  <c r="P2794" i="1"/>
  <c r="O2794" i="1"/>
  <c r="V2793" i="1"/>
  <c r="Q2793" i="1"/>
  <c r="P2793" i="1"/>
  <c r="O2793" i="1"/>
  <c r="V2792" i="1"/>
  <c r="Q2792" i="1"/>
  <c r="P2792" i="1"/>
  <c r="O2792" i="1"/>
  <c r="V2791" i="1"/>
  <c r="Q2791" i="1"/>
  <c r="P2791" i="1"/>
  <c r="O2791" i="1"/>
  <c r="V2790" i="1"/>
  <c r="Q2790" i="1"/>
  <c r="P2790" i="1"/>
  <c r="O2790" i="1"/>
  <c r="V2789" i="1"/>
  <c r="Q2789" i="1"/>
  <c r="P2789" i="1"/>
  <c r="O2789" i="1"/>
  <c r="V2788" i="1"/>
  <c r="Q2788" i="1"/>
  <c r="P2788" i="1"/>
  <c r="O2788" i="1"/>
  <c r="V2787" i="1"/>
  <c r="Q2787" i="1"/>
  <c r="P2787" i="1"/>
  <c r="O2787" i="1"/>
  <c r="V2786" i="1"/>
  <c r="Q2786" i="1"/>
  <c r="P2786" i="1"/>
  <c r="O2786" i="1"/>
  <c r="V2785" i="1"/>
  <c r="Q2785" i="1"/>
  <c r="P2785" i="1"/>
  <c r="O2785" i="1"/>
  <c r="V2784" i="1"/>
  <c r="Q2784" i="1"/>
  <c r="P2784" i="1"/>
  <c r="O2784" i="1"/>
  <c r="V2783" i="1"/>
  <c r="Q2783" i="1"/>
  <c r="P2783" i="1"/>
  <c r="O2783" i="1"/>
  <c r="V2782" i="1"/>
  <c r="Q2782" i="1"/>
  <c r="P2782" i="1"/>
  <c r="O2782" i="1"/>
  <c r="V2781" i="1"/>
  <c r="Q2781" i="1"/>
  <c r="P2781" i="1"/>
  <c r="O2781" i="1"/>
  <c r="V2780" i="1"/>
  <c r="Q2780" i="1"/>
  <c r="P2780" i="1"/>
  <c r="O2780" i="1"/>
  <c r="V2779" i="1"/>
  <c r="Q2779" i="1"/>
  <c r="P2779" i="1"/>
  <c r="O2779" i="1"/>
  <c r="V2778" i="1"/>
  <c r="Q2778" i="1"/>
  <c r="P2778" i="1"/>
  <c r="O2778" i="1"/>
  <c r="V2777" i="1"/>
  <c r="Q2777" i="1"/>
  <c r="P2777" i="1"/>
  <c r="O2777" i="1"/>
  <c r="V2776" i="1"/>
  <c r="Q2776" i="1"/>
  <c r="P2776" i="1"/>
  <c r="O2776" i="1"/>
  <c r="V2775" i="1"/>
  <c r="Q2775" i="1"/>
  <c r="P2775" i="1"/>
  <c r="O2775" i="1"/>
  <c r="V2774" i="1"/>
  <c r="Q2774" i="1"/>
  <c r="P2774" i="1"/>
  <c r="O2774" i="1"/>
  <c r="V2773" i="1"/>
  <c r="Q2773" i="1"/>
  <c r="P2773" i="1"/>
  <c r="O2773" i="1"/>
  <c r="V2772" i="1"/>
  <c r="Q2772" i="1"/>
  <c r="P2772" i="1"/>
  <c r="O2772" i="1"/>
  <c r="V2771" i="1"/>
  <c r="Q2771" i="1"/>
  <c r="P2771" i="1"/>
  <c r="O2771" i="1"/>
  <c r="V2770" i="1"/>
  <c r="Q2770" i="1"/>
  <c r="P2770" i="1"/>
  <c r="O2770" i="1"/>
  <c r="V2769" i="1"/>
  <c r="Q2769" i="1"/>
  <c r="P2769" i="1"/>
  <c r="O2769" i="1"/>
  <c r="V2768" i="1"/>
  <c r="Q2768" i="1"/>
  <c r="P2768" i="1"/>
  <c r="O2768" i="1"/>
  <c r="V2767" i="1"/>
  <c r="Q2767" i="1"/>
  <c r="P2767" i="1"/>
  <c r="O2767" i="1"/>
  <c r="V2766" i="1"/>
  <c r="Q2766" i="1"/>
  <c r="P2766" i="1"/>
  <c r="O2766" i="1"/>
  <c r="V2765" i="1"/>
  <c r="Q2765" i="1"/>
  <c r="P2765" i="1"/>
  <c r="O2765" i="1"/>
  <c r="V2764" i="1"/>
  <c r="Q2764" i="1"/>
  <c r="P2764" i="1"/>
  <c r="O2764" i="1"/>
  <c r="V2763" i="1"/>
  <c r="Q2763" i="1"/>
  <c r="P2763" i="1"/>
  <c r="O2763" i="1"/>
  <c r="V2762" i="1"/>
  <c r="Q2762" i="1"/>
  <c r="P2762" i="1"/>
  <c r="O2762" i="1"/>
  <c r="V2761" i="1"/>
  <c r="Q2761" i="1"/>
  <c r="P2761" i="1"/>
  <c r="O2761" i="1"/>
  <c r="V2760" i="1"/>
  <c r="Q2760" i="1"/>
  <c r="P2760" i="1"/>
  <c r="O2760" i="1"/>
  <c r="V2759" i="1"/>
  <c r="Q2759" i="1"/>
  <c r="P2759" i="1"/>
  <c r="O2759" i="1"/>
  <c r="V2758" i="1"/>
  <c r="Q2758" i="1"/>
  <c r="P2758" i="1"/>
  <c r="O2758" i="1"/>
  <c r="V2757" i="1"/>
  <c r="Q2757" i="1"/>
  <c r="P2757" i="1"/>
  <c r="O2757" i="1"/>
  <c r="V2756" i="1"/>
  <c r="Q2756" i="1"/>
  <c r="P2756" i="1"/>
  <c r="O2756" i="1"/>
  <c r="V2755" i="1"/>
  <c r="Q2755" i="1"/>
  <c r="P2755" i="1"/>
  <c r="O2755" i="1"/>
  <c r="V2754" i="1"/>
  <c r="Q2754" i="1"/>
  <c r="P2754" i="1"/>
  <c r="O2754" i="1"/>
  <c r="V2753" i="1"/>
  <c r="Q2753" i="1"/>
  <c r="P2753" i="1"/>
  <c r="O2753" i="1"/>
  <c r="V2752" i="1"/>
  <c r="Q2752" i="1"/>
  <c r="P2752" i="1"/>
  <c r="O2752" i="1"/>
  <c r="V2751" i="1"/>
  <c r="Q2751" i="1"/>
  <c r="P2751" i="1"/>
  <c r="O2751" i="1"/>
  <c r="V2750" i="1"/>
  <c r="Q2750" i="1"/>
  <c r="P2750" i="1"/>
  <c r="O2750" i="1"/>
  <c r="V2749" i="1"/>
  <c r="Q2749" i="1"/>
  <c r="P2749" i="1"/>
  <c r="O2749" i="1"/>
  <c r="V2748" i="1"/>
  <c r="Q2748" i="1"/>
  <c r="P2748" i="1"/>
  <c r="O2748" i="1"/>
  <c r="V2747" i="1"/>
  <c r="Q2747" i="1"/>
  <c r="P2747" i="1"/>
  <c r="O2747" i="1"/>
  <c r="V2746" i="1"/>
  <c r="Q2746" i="1"/>
  <c r="P2746" i="1"/>
  <c r="O2746" i="1"/>
  <c r="V2745" i="1"/>
  <c r="Q2745" i="1"/>
  <c r="P2745" i="1"/>
  <c r="O2745" i="1"/>
  <c r="V2744" i="1"/>
  <c r="Q2744" i="1"/>
  <c r="P2744" i="1"/>
  <c r="O2744" i="1"/>
  <c r="V2743" i="1"/>
  <c r="Q2743" i="1"/>
  <c r="P2743" i="1"/>
  <c r="O2743" i="1"/>
  <c r="V2742" i="1"/>
  <c r="Q2742" i="1"/>
  <c r="P2742" i="1"/>
  <c r="O2742" i="1"/>
  <c r="V2741" i="1"/>
  <c r="Q2741" i="1"/>
  <c r="P2741" i="1"/>
  <c r="O2741" i="1"/>
  <c r="V2740" i="1"/>
  <c r="Q2740" i="1"/>
  <c r="P2740" i="1"/>
  <c r="O2740" i="1"/>
  <c r="V2739" i="1"/>
  <c r="Q2739" i="1"/>
  <c r="P2739" i="1"/>
  <c r="O2739" i="1"/>
  <c r="V2738" i="1"/>
  <c r="Q2738" i="1"/>
  <c r="P2738" i="1"/>
  <c r="O2738" i="1"/>
  <c r="V2737" i="1"/>
  <c r="Q2737" i="1"/>
  <c r="P2737" i="1"/>
  <c r="O2737" i="1"/>
  <c r="V2736" i="1"/>
  <c r="Q2736" i="1"/>
  <c r="P2736" i="1"/>
  <c r="O2736" i="1"/>
  <c r="V2735" i="1"/>
  <c r="Q2735" i="1"/>
  <c r="P2735" i="1"/>
  <c r="O2735" i="1"/>
  <c r="V2734" i="1"/>
  <c r="Q2734" i="1"/>
  <c r="P2734" i="1"/>
  <c r="O2734" i="1"/>
  <c r="V2733" i="1"/>
  <c r="Q2733" i="1"/>
  <c r="P2733" i="1"/>
  <c r="O2733" i="1"/>
  <c r="V2732" i="1"/>
  <c r="Q2732" i="1"/>
  <c r="P2732" i="1"/>
  <c r="O2732" i="1"/>
  <c r="V2731" i="1"/>
  <c r="Q2731" i="1"/>
  <c r="P2731" i="1"/>
  <c r="O2731" i="1"/>
  <c r="V2730" i="1"/>
  <c r="Q2730" i="1"/>
  <c r="P2730" i="1"/>
  <c r="O2730" i="1"/>
  <c r="V2729" i="1"/>
  <c r="Q2729" i="1"/>
  <c r="P2729" i="1"/>
  <c r="O2729" i="1"/>
  <c r="V2728" i="1"/>
  <c r="Q2728" i="1"/>
  <c r="P2728" i="1"/>
  <c r="O2728" i="1"/>
  <c r="V2727" i="1"/>
  <c r="Q2727" i="1"/>
  <c r="P2727" i="1"/>
  <c r="O2727" i="1"/>
  <c r="V2726" i="1"/>
  <c r="Q2726" i="1"/>
  <c r="P2726" i="1"/>
  <c r="O2726" i="1"/>
  <c r="V2725" i="1"/>
  <c r="Q2725" i="1"/>
  <c r="P2725" i="1"/>
  <c r="O2725" i="1"/>
  <c r="V2724" i="1"/>
  <c r="Q2724" i="1"/>
  <c r="P2724" i="1"/>
  <c r="O2724" i="1"/>
  <c r="V2723" i="1"/>
  <c r="Q2723" i="1"/>
  <c r="P2723" i="1"/>
  <c r="O2723" i="1"/>
  <c r="V2722" i="1"/>
  <c r="Q2722" i="1"/>
  <c r="P2722" i="1"/>
  <c r="O2722" i="1"/>
  <c r="V2721" i="1"/>
  <c r="Q2721" i="1"/>
  <c r="P2721" i="1"/>
  <c r="O2721" i="1"/>
  <c r="V2720" i="1"/>
  <c r="Q2720" i="1"/>
  <c r="P2720" i="1"/>
  <c r="O2720" i="1"/>
  <c r="V2719" i="1"/>
  <c r="Q2719" i="1"/>
  <c r="P2719" i="1"/>
  <c r="O2719" i="1"/>
  <c r="V2718" i="1"/>
  <c r="Q2718" i="1"/>
  <c r="P2718" i="1"/>
  <c r="O2718" i="1"/>
  <c r="V2717" i="1"/>
  <c r="Q2717" i="1"/>
  <c r="P2717" i="1"/>
  <c r="O2717" i="1"/>
  <c r="V2716" i="1"/>
  <c r="Q2716" i="1"/>
  <c r="P2716" i="1"/>
  <c r="O2716" i="1"/>
  <c r="V2715" i="1"/>
  <c r="Q2715" i="1"/>
  <c r="P2715" i="1"/>
  <c r="O2715" i="1"/>
  <c r="V2714" i="1"/>
  <c r="Q2714" i="1"/>
  <c r="P2714" i="1"/>
  <c r="O2714" i="1"/>
  <c r="V2713" i="1"/>
  <c r="Q2713" i="1"/>
  <c r="P2713" i="1"/>
  <c r="O2713" i="1"/>
  <c r="V2712" i="1"/>
  <c r="Q2712" i="1"/>
  <c r="P2712" i="1"/>
  <c r="O2712" i="1"/>
  <c r="V2711" i="1"/>
  <c r="Q2711" i="1"/>
  <c r="P2711" i="1"/>
  <c r="O2711" i="1"/>
  <c r="V2710" i="1"/>
  <c r="Q2710" i="1"/>
  <c r="P2710" i="1"/>
  <c r="O2710" i="1"/>
  <c r="V2709" i="1"/>
  <c r="Q2709" i="1"/>
  <c r="P2709" i="1"/>
  <c r="O2709" i="1"/>
  <c r="V2708" i="1"/>
  <c r="Q2708" i="1"/>
  <c r="P2708" i="1"/>
  <c r="O2708" i="1"/>
  <c r="V2707" i="1"/>
  <c r="Q2707" i="1"/>
  <c r="P2707" i="1"/>
  <c r="O2707" i="1"/>
  <c r="V2706" i="1"/>
  <c r="Q2706" i="1"/>
  <c r="P2706" i="1"/>
  <c r="O2706" i="1"/>
  <c r="V2705" i="1"/>
  <c r="Q2705" i="1"/>
  <c r="P2705" i="1"/>
  <c r="O2705" i="1"/>
  <c r="V2704" i="1"/>
  <c r="Q2704" i="1"/>
  <c r="P2704" i="1"/>
  <c r="O2704" i="1"/>
  <c r="V2703" i="1"/>
  <c r="Q2703" i="1"/>
  <c r="P2703" i="1"/>
  <c r="O2703" i="1"/>
  <c r="V2702" i="1"/>
  <c r="Q2702" i="1"/>
  <c r="P2702" i="1"/>
  <c r="O2702" i="1"/>
  <c r="V2701" i="1"/>
  <c r="Q2701" i="1"/>
  <c r="P2701" i="1"/>
  <c r="O2701" i="1"/>
  <c r="V2700" i="1"/>
  <c r="Q2700" i="1"/>
  <c r="P2700" i="1"/>
  <c r="O2700" i="1"/>
  <c r="V2699" i="1"/>
  <c r="Q2699" i="1"/>
  <c r="P2699" i="1"/>
  <c r="O2699" i="1"/>
  <c r="V2698" i="1"/>
  <c r="Q2698" i="1"/>
  <c r="P2698" i="1"/>
  <c r="O2698" i="1"/>
  <c r="V2697" i="1"/>
  <c r="Q2697" i="1"/>
  <c r="P2697" i="1"/>
  <c r="O2697" i="1"/>
  <c r="V2696" i="1"/>
  <c r="Q2696" i="1"/>
  <c r="P2696" i="1"/>
  <c r="O2696" i="1"/>
  <c r="V2695" i="1"/>
  <c r="Q2695" i="1"/>
  <c r="P2695" i="1"/>
  <c r="O2695" i="1"/>
  <c r="V2694" i="1"/>
  <c r="Q2694" i="1"/>
  <c r="P2694" i="1"/>
  <c r="O2694" i="1"/>
  <c r="V2693" i="1"/>
  <c r="Q2693" i="1"/>
  <c r="P2693" i="1"/>
  <c r="O2693" i="1"/>
  <c r="V2692" i="1"/>
  <c r="Q2692" i="1"/>
  <c r="P2692" i="1"/>
  <c r="O2692" i="1"/>
  <c r="V2691" i="1"/>
  <c r="Q2691" i="1"/>
  <c r="P2691" i="1"/>
  <c r="O2691" i="1"/>
  <c r="V2690" i="1"/>
  <c r="Q2690" i="1"/>
  <c r="P2690" i="1"/>
  <c r="O2690" i="1"/>
  <c r="V2689" i="1"/>
  <c r="Q2689" i="1"/>
  <c r="P2689" i="1"/>
  <c r="O2689" i="1"/>
  <c r="V2688" i="1"/>
  <c r="Q2688" i="1"/>
  <c r="P2688" i="1"/>
  <c r="O2688" i="1"/>
  <c r="V2687" i="1"/>
  <c r="Q2687" i="1"/>
  <c r="P2687" i="1"/>
  <c r="O2687" i="1"/>
  <c r="V2686" i="1"/>
  <c r="Q2686" i="1"/>
  <c r="P2686" i="1"/>
  <c r="O2686" i="1"/>
  <c r="V2685" i="1"/>
  <c r="Q2685" i="1"/>
  <c r="P2685" i="1"/>
  <c r="O2685" i="1"/>
  <c r="V2684" i="1"/>
  <c r="Q2684" i="1"/>
  <c r="P2684" i="1"/>
  <c r="O2684" i="1"/>
  <c r="V2683" i="1"/>
  <c r="Q2683" i="1"/>
  <c r="P2683" i="1"/>
  <c r="O2683" i="1"/>
  <c r="V2682" i="1"/>
  <c r="Q2682" i="1"/>
  <c r="P2682" i="1"/>
  <c r="O2682" i="1"/>
  <c r="V2681" i="1"/>
  <c r="Q2681" i="1"/>
  <c r="P2681" i="1"/>
  <c r="O2681" i="1"/>
  <c r="V2680" i="1"/>
  <c r="Q2680" i="1"/>
  <c r="P2680" i="1"/>
  <c r="O2680" i="1"/>
  <c r="V2679" i="1"/>
  <c r="Q2679" i="1"/>
  <c r="P2679" i="1"/>
  <c r="O2679" i="1"/>
  <c r="V2678" i="1"/>
  <c r="Q2678" i="1"/>
  <c r="P2678" i="1"/>
  <c r="O2678" i="1"/>
  <c r="V2677" i="1"/>
  <c r="Q2677" i="1"/>
  <c r="P2677" i="1"/>
  <c r="O2677" i="1"/>
  <c r="V2676" i="1"/>
  <c r="Q2676" i="1"/>
  <c r="P2676" i="1"/>
  <c r="O2676" i="1"/>
  <c r="V2675" i="1"/>
  <c r="Q2675" i="1"/>
  <c r="P2675" i="1"/>
  <c r="O2675" i="1"/>
  <c r="V2674" i="1"/>
  <c r="Q2674" i="1"/>
  <c r="P2674" i="1"/>
  <c r="O2674" i="1"/>
  <c r="V2673" i="1"/>
  <c r="Q2673" i="1"/>
  <c r="P2673" i="1"/>
  <c r="O2673" i="1"/>
  <c r="V2672" i="1"/>
  <c r="Q2672" i="1"/>
  <c r="P2672" i="1"/>
  <c r="O2672" i="1"/>
  <c r="V2671" i="1"/>
  <c r="Q2671" i="1"/>
  <c r="P2671" i="1"/>
  <c r="O2671" i="1"/>
  <c r="V2670" i="1"/>
  <c r="Q2670" i="1"/>
  <c r="P2670" i="1"/>
  <c r="O2670" i="1"/>
  <c r="V2669" i="1"/>
  <c r="Q2669" i="1"/>
  <c r="P2669" i="1"/>
  <c r="O2669" i="1"/>
  <c r="V2668" i="1"/>
  <c r="Q2668" i="1"/>
  <c r="P2668" i="1"/>
  <c r="O2668" i="1"/>
  <c r="V2667" i="1"/>
  <c r="Q2667" i="1"/>
  <c r="P2667" i="1"/>
  <c r="O2667" i="1"/>
  <c r="V2666" i="1"/>
  <c r="Q2666" i="1"/>
  <c r="P2666" i="1"/>
  <c r="O2666" i="1"/>
  <c r="V2665" i="1"/>
  <c r="Q2665" i="1"/>
  <c r="P2665" i="1"/>
  <c r="O2665" i="1"/>
  <c r="V2664" i="1"/>
  <c r="Q2664" i="1"/>
  <c r="P2664" i="1"/>
  <c r="O2664" i="1"/>
  <c r="V2663" i="1"/>
  <c r="Q2663" i="1"/>
  <c r="P2663" i="1"/>
  <c r="O2663" i="1"/>
  <c r="V2662" i="1"/>
  <c r="Q2662" i="1"/>
  <c r="P2662" i="1"/>
  <c r="O2662" i="1"/>
  <c r="V2661" i="1"/>
  <c r="Q2661" i="1"/>
  <c r="P2661" i="1"/>
  <c r="O2661" i="1"/>
  <c r="V2660" i="1"/>
  <c r="Q2660" i="1"/>
  <c r="P2660" i="1"/>
  <c r="O2660" i="1"/>
  <c r="V2659" i="1"/>
  <c r="Q2659" i="1"/>
  <c r="P2659" i="1"/>
  <c r="O2659" i="1"/>
  <c r="V2658" i="1"/>
  <c r="Q2658" i="1"/>
  <c r="P2658" i="1"/>
  <c r="O2658" i="1"/>
  <c r="V2657" i="1"/>
  <c r="Q2657" i="1"/>
  <c r="P2657" i="1"/>
  <c r="O2657" i="1"/>
  <c r="V2656" i="1"/>
  <c r="Q2656" i="1"/>
  <c r="P2656" i="1"/>
  <c r="O2656" i="1"/>
  <c r="V2655" i="1"/>
  <c r="Q2655" i="1"/>
  <c r="P2655" i="1"/>
  <c r="O2655" i="1"/>
  <c r="V2654" i="1"/>
  <c r="Q2654" i="1"/>
  <c r="P2654" i="1"/>
  <c r="O2654" i="1"/>
  <c r="V2653" i="1"/>
  <c r="Q2653" i="1"/>
  <c r="P2653" i="1"/>
  <c r="O2653" i="1"/>
  <c r="V2652" i="1"/>
  <c r="Q2652" i="1"/>
  <c r="P2652" i="1"/>
  <c r="O2652" i="1"/>
  <c r="V2651" i="1"/>
  <c r="Q2651" i="1"/>
  <c r="P2651" i="1"/>
  <c r="O2651" i="1"/>
  <c r="V2650" i="1"/>
  <c r="Q2650" i="1"/>
  <c r="P2650" i="1"/>
  <c r="O2650" i="1"/>
  <c r="V2649" i="1"/>
  <c r="Q2649" i="1"/>
  <c r="P2649" i="1"/>
  <c r="O2649" i="1"/>
  <c r="V2648" i="1"/>
  <c r="Q2648" i="1"/>
  <c r="P2648" i="1"/>
  <c r="O2648" i="1"/>
  <c r="V2647" i="1"/>
  <c r="Q2647" i="1"/>
  <c r="P2647" i="1"/>
  <c r="O2647" i="1"/>
  <c r="V2646" i="1"/>
  <c r="Q2646" i="1"/>
  <c r="P2646" i="1"/>
  <c r="O2646" i="1"/>
  <c r="V2645" i="1"/>
  <c r="Q2645" i="1"/>
  <c r="P2645" i="1"/>
  <c r="O2645" i="1"/>
  <c r="V2644" i="1"/>
  <c r="Q2644" i="1"/>
  <c r="P2644" i="1"/>
  <c r="O2644" i="1"/>
  <c r="V2643" i="1"/>
  <c r="Q2643" i="1"/>
  <c r="P2643" i="1"/>
  <c r="O2643" i="1"/>
  <c r="V2642" i="1"/>
  <c r="Q2642" i="1"/>
  <c r="P2642" i="1"/>
  <c r="O2642" i="1"/>
  <c r="V2641" i="1"/>
  <c r="Q2641" i="1"/>
  <c r="P2641" i="1"/>
  <c r="O2641" i="1"/>
  <c r="V2640" i="1"/>
  <c r="Q2640" i="1"/>
  <c r="P2640" i="1"/>
  <c r="O2640" i="1"/>
  <c r="V2639" i="1"/>
  <c r="Q2639" i="1"/>
  <c r="P2639" i="1"/>
  <c r="O2639" i="1"/>
  <c r="V2638" i="1"/>
  <c r="Q2638" i="1"/>
  <c r="P2638" i="1"/>
  <c r="O2638" i="1"/>
  <c r="V2637" i="1"/>
  <c r="Q2637" i="1"/>
  <c r="P2637" i="1"/>
  <c r="O2637" i="1"/>
  <c r="V2636" i="1"/>
  <c r="Q2636" i="1"/>
  <c r="P2636" i="1"/>
  <c r="O2636" i="1"/>
  <c r="V2635" i="1"/>
  <c r="Q2635" i="1"/>
  <c r="P2635" i="1"/>
  <c r="O2635" i="1"/>
  <c r="V2634" i="1"/>
  <c r="Q2634" i="1"/>
  <c r="P2634" i="1"/>
  <c r="O2634" i="1"/>
  <c r="V2633" i="1"/>
  <c r="Q2633" i="1"/>
  <c r="P2633" i="1"/>
  <c r="O2633" i="1"/>
  <c r="V2632" i="1"/>
  <c r="Q2632" i="1"/>
  <c r="P2632" i="1"/>
  <c r="O2632" i="1"/>
  <c r="V2631" i="1"/>
  <c r="Q2631" i="1"/>
  <c r="P2631" i="1"/>
  <c r="O2631" i="1"/>
  <c r="V2630" i="1"/>
  <c r="Q2630" i="1"/>
  <c r="P2630" i="1"/>
  <c r="O2630" i="1"/>
  <c r="V2629" i="1"/>
  <c r="Q2629" i="1"/>
  <c r="P2629" i="1"/>
  <c r="O2629" i="1"/>
  <c r="V2628" i="1"/>
  <c r="Q2628" i="1"/>
  <c r="P2628" i="1"/>
  <c r="O2628" i="1"/>
  <c r="V2627" i="1"/>
  <c r="Q2627" i="1"/>
  <c r="P2627" i="1"/>
  <c r="O2627" i="1"/>
  <c r="V2626" i="1"/>
  <c r="Q2626" i="1"/>
  <c r="P2626" i="1"/>
  <c r="O2626" i="1"/>
  <c r="V2625" i="1"/>
  <c r="Q2625" i="1"/>
  <c r="P2625" i="1"/>
  <c r="O2625" i="1"/>
  <c r="V2624" i="1"/>
  <c r="Q2624" i="1"/>
  <c r="P2624" i="1"/>
  <c r="O2624" i="1"/>
  <c r="V2623" i="1"/>
  <c r="Q2623" i="1"/>
  <c r="P2623" i="1"/>
  <c r="O2623" i="1"/>
  <c r="V2622" i="1"/>
  <c r="Q2622" i="1"/>
  <c r="P2622" i="1"/>
  <c r="O2622" i="1"/>
  <c r="V2621" i="1"/>
  <c r="Q2621" i="1"/>
  <c r="P2621" i="1"/>
  <c r="O2621" i="1"/>
  <c r="V2620" i="1"/>
  <c r="Q2620" i="1"/>
  <c r="P2620" i="1"/>
  <c r="O2620" i="1"/>
  <c r="V2619" i="1"/>
  <c r="Q2619" i="1"/>
  <c r="P2619" i="1"/>
  <c r="O2619" i="1"/>
  <c r="V2618" i="1"/>
  <c r="Q2618" i="1"/>
  <c r="P2618" i="1"/>
  <c r="O2618" i="1"/>
  <c r="V2617" i="1"/>
  <c r="Q2617" i="1"/>
  <c r="P2617" i="1"/>
  <c r="O2617" i="1"/>
  <c r="V2616" i="1"/>
  <c r="Q2616" i="1"/>
  <c r="P2616" i="1"/>
  <c r="O2616" i="1"/>
  <c r="V2615" i="1"/>
  <c r="Q2615" i="1"/>
  <c r="P2615" i="1"/>
  <c r="O2615" i="1"/>
  <c r="V2614" i="1"/>
  <c r="Q2614" i="1"/>
  <c r="P2614" i="1"/>
  <c r="O2614" i="1"/>
  <c r="V2613" i="1"/>
  <c r="Q2613" i="1"/>
  <c r="P2613" i="1"/>
  <c r="O2613" i="1"/>
  <c r="V2612" i="1"/>
  <c r="Q2612" i="1"/>
  <c r="P2612" i="1"/>
  <c r="O2612" i="1"/>
  <c r="V2611" i="1"/>
  <c r="Q2611" i="1"/>
  <c r="P2611" i="1"/>
  <c r="O2611" i="1"/>
  <c r="V2610" i="1"/>
  <c r="Q2610" i="1"/>
  <c r="P2610" i="1"/>
  <c r="O2610" i="1"/>
  <c r="V2609" i="1"/>
  <c r="Q2609" i="1"/>
  <c r="P2609" i="1"/>
  <c r="O2609" i="1"/>
  <c r="V2608" i="1"/>
  <c r="Q2608" i="1"/>
  <c r="P2608" i="1"/>
  <c r="O2608" i="1"/>
  <c r="V2607" i="1"/>
  <c r="Q2607" i="1"/>
  <c r="P2607" i="1"/>
  <c r="O2607" i="1"/>
  <c r="V2606" i="1"/>
  <c r="Q2606" i="1"/>
  <c r="P2606" i="1"/>
  <c r="O2606" i="1"/>
  <c r="V2605" i="1"/>
  <c r="Q2605" i="1"/>
  <c r="P2605" i="1"/>
  <c r="O2605" i="1"/>
  <c r="V2604" i="1"/>
  <c r="Q2604" i="1"/>
  <c r="P2604" i="1"/>
  <c r="O2604" i="1"/>
  <c r="V2603" i="1"/>
  <c r="Q2603" i="1"/>
  <c r="P2603" i="1"/>
  <c r="O2603" i="1"/>
  <c r="V2602" i="1"/>
  <c r="Q2602" i="1"/>
  <c r="P2602" i="1"/>
  <c r="O2602" i="1"/>
  <c r="V2601" i="1"/>
  <c r="Q2601" i="1"/>
  <c r="P2601" i="1"/>
  <c r="O2601" i="1"/>
  <c r="V2600" i="1"/>
  <c r="Q2600" i="1"/>
  <c r="P2600" i="1"/>
  <c r="O2600" i="1"/>
  <c r="V2599" i="1"/>
  <c r="Q2599" i="1"/>
  <c r="P2599" i="1"/>
  <c r="O2599" i="1"/>
  <c r="V2598" i="1"/>
  <c r="Q2598" i="1"/>
  <c r="P2598" i="1"/>
  <c r="O2598" i="1"/>
  <c r="V2597" i="1"/>
  <c r="Q2597" i="1"/>
  <c r="P2597" i="1"/>
  <c r="O2597" i="1"/>
  <c r="V2596" i="1"/>
  <c r="Q2596" i="1"/>
  <c r="P2596" i="1"/>
  <c r="O2596" i="1"/>
  <c r="V2595" i="1"/>
  <c r="Q2595" i="1"/>
  <c r="P2595" i="1"/>
  <c r="O2595" i="1"/>
  <c r="V2594" i="1"/>
  <c r="Q2594" i="1"/>
  <c r="P2594" i="1"/>
  <c r="O2594" i="1"/>
  <c r="V2593" i="1"/>
  <c r="Q2593" i="1"/>
  <c r="P2593" i="1"/>
  <c r="O2593" i="1"/>
  <c r="V2592" i="1"/>
  <c r="Q2592" i="1"/>
  <c r="P2592" i="1"/>
  <c r="O2592" i="1"/>
  <c r="V2591" i="1"/>
  <c r="Q2591" i="1"/>
  <c r="P2591" i="1"/>
  <c r="O2591" i="1"/>
  <c r="V2590" i="1"/>
  <c r="Q2590" i="1"/>
  <c r="P2590" i="1"/>
  <c r="O2590" i="1"/>
  <c r="V2589" i="1"/>
  <c r="Q2589" i="1"/>
  <c r="P2589" i="1"/>
  <c r="O2589" i="1"/>
  <c r="V2588" i="1"/>
  <c r="Q2588" i="1"/>
  <c r="P2588" i="1"/>
  <c r="O2588" i="1"/>
  <c r="V2587" i="1"/>
  <c r="Q2587" i="1"/>
  <c r="P2587" i="1"/>
  <c r="O2587" i="1"/>
  <c r="V2586" i="1"/>
  <c r="Q2586" i="1"/>
  <c r="P2586" i="1"/>
  <c r="O2586" i="1"/>
  <c r="V2585" i="1"/>
  <c r="Q2585" i="1"/>
  <c r="P2585" i="1"/>
  <c r="O2585" i="1"/>
  <c r="V2584" i="1"/>
  <c r="Q2584" i="1"/>
  <c r="P2584" i="1"/>
  <c r="O2584" i="1"/>
  <c r="V2583" i="1"/>
  <c r="Q2583" i="1"/>
  <c r="P2583" i="1"/>
  <c r="O2583" i="1"/>
  <c r="V2582" i="1"/>
  <c r="Q2582" i="1"/>
  <c r="P2582" i="1"/>
  <c r="O2582" i="1"/>
  <c r="V2581" i="1"/>
  <c r="Q2581" i="1"/>
  <c r="P2581" i="1"/>
  <c r="O2581" i="1"/>
  <c r="V2580" i="1"/>
  <c r="Q2580" i="1"/>
  <c r="P2580" i="1"/>
  <c r="O2580" i="1"/>
  <c r="V2579" i="1"/>
  <c r="Q2579" i="1"/>
  <c r="P2579" i="1"/>
  <c r="O2579" i="1"/>
  <c r="V2578" i="1"/>
  <c r="Q2578" i="1"/>
  <c r="P2578" i="1"/>
  <c r="O2578" i="1"/>
  <c r="V2577" i="1"/>
  <c r="Q2577" i="1"/>
  <c r="P2577" i="1"/>
  <c r="O2577" i="1"/>
  <c r="V2576" i="1"/>
  <c r="Q2576" i="1"/>
  <c r="P2576" i="1"/>
  <c r="O2576" i="1"/>
  <c r="V2575" i="1"/>
  <c r="Q2575" i="1"/>
  <c r="P2575" i="1"/>
  <c r="O2575" i="1"/>
  <c r="V2574" i="1"/>
  <c r="Q2574" i="1"/>
  <c r="P2574" i="1"/>
  <c r="O2574" i="1"/>
  <c r="V2573" i="1"/>
  <c r="Q2573" i="1"/>
  <c r="P2573" i="1"/>
  <c r="O2573" i="1"/>
  <c r="V2572" i="1"/>
  <c r="Q2572" i="1"/>
  <c r="P2572" i="1"/>
  <c r="O2572" i="1"/>
  <c r="V2571" i="1"/>
  <c r="Q2571" i="1"/>
  <c r="P2571" i="1"/>
  <c r="O2571" i="1"/>
  <c r="V2570" i="1"/>
  <c r="Q2570" i="1"/>
  <c r="P2570" i="1"/>
  <c r="O2570" i="1"/>
  <c r="V2569" i="1"/>
  <c r="Q2569" i="1"/>
  <c r="P2569" i="1"/>
  <c r="O2569" i="1"/>
  <c r="V2568" i="1"/>
  <c r="Q2568" i="1"/>
  <c r="P2568" i="1"/>
  <c r="O2568" i="1"/>
  <c r="V2567" i="1"/>
  <c r="Q2567" i="1"/>
  <c r="P2567" i="1"/>
  <c r="O2567" i="1"/>
  <c r="V2566" i="1"/>
  <c r="Q2566" i="1"/>
  <c r="P2566" i="1"/>
  <c r="O2566" i="1"/>
  <c r="V2565" i="1"/>
  <c r="Q2565" i="1"/>
  <c r="P2565" i="1"/>
  <c r="O2565" i="1"/>
  <c r="V2564" i="1"/>
  <c r="Q2564" i="1"/>
  <c r="P2564" i="1"/>
  <c r="O2564" i="1"/>
  <c r="V2563" i="1"/>
  <c r="Q2563" i="1"/>
  <c r="P2563" i="1"/>
  <c r="O2563" i="1"/>
  <c r="V2562" i="1"/>
  <c r="Q2562" i="1"/>
  <c r="P2562" i="1"/>
  <c r="O2562" i="1"/>
  <c r="V2561" i="1"/>
  <c r="Q2561" i="1"/>
  <c r="P2561" i="1"/>
  <c r="O2561" i="1"/>
  <c r="V2560" i="1"/>
  <c r="Q2560" i="1"/>
  <c r="P2560" i="1"/>
  <c r="O2560" i="1"/>
  <c r="V2559" i="1"/>
  <c r="Q2559" i="1"/>
  <c r="P2559" i="1"/>
  <c r="O2559" i="1"/>
  <c r="V2558" i="1"/>
  <c r="Q2558" i="1"/>
  <c r="P2558" i="1"/>
  <c r="O2558" i="1"/>
  <c r="V2557" i="1"/>
  <c r="Q2557" i="1"/>
  <c r="P2557" i="1"/>
  <c r="O2557" i="1"/>
  <c r="V2556" i="1"/>
  <c r="Q2556" i="1"/>
  <c r="P2556" i="1"/>
  <c r="O2556" i="1"/>
  <c r="V2555" i="1"/>
  <c r="Q2555" i="1"/>
  <c r="P2555" i="1"/>
  <c r="O2555" i="1"/>
  <c r="V2554" i="1"/>
  <c r="Q2554" i="1"/>
  <c r="P2554" i="1"/>
  <c r="O2554" i="1"/>
  <c r="V2553" i="1"/>
  <c r="Q2553" i="1"/>
  <c r="P2553" i="1"/>
  <c r="O2553" i="1"/>
  <c r="V2552" i="1"/>
  <c r="Q2552" i="1"/>
  <c r="P2552" i="1"/>
  <c r="O2552" i="1"/>
  <c r="V2551" i="1"/>
  <c r="Q2551" i="1"/>
  <c r="P2551" i="1"/>
  <c r="O2551" i="1"/>
  <c r="V2550" i="1"/>
  <c r="Q2550" i="1"/>
  <c r="P2550" i="1"/>
  <c r="O2550" i="1"/>
  <c r="V2549" i="1"/>
  <c r="Q2549" i="1"/>
  <c r="P2549" i="1"/>
  <c r="O2549" i="1"/>
  <c r="V2548" i="1"/>
  <c r="Q2548" i="1"/>
  <c r="P2548" i="1"/>
  <c r="O2548" i="1"/>
  <c r="V2547" i="1"/>
  <c r="Q2547" i="1"/>
  <c r="P2547" i="1"/>
  <c r="O2547" i="1"/>
  <c r="V2546" i="1"/>
  <c r="Q2546" i="1"/>
  <c r="P2546" i="1"/>
  <c r="O2546" i="1"/>
  <c r="V2545" i="1"/>
  <c r="Q2545" i="1"/>
  <c r="P2545" i="1"/>
  <c r="O2545" i="1"/>
  <c r="V2544" i="1"/>
  <c r="Q2544" i="1"/>
  <c r="P2544" i="1"/>
  <c r="O2544" i="1"/>
  <c r="V2543" i="1"/>
  <c r="Q2543" i="1"/>
  <c r="P2543" i="1"/>
  <c r="O2543" i="1"/>
  <c r="V2542" i="1"/>
  <c r="Q2542" i="1"/>
  <c r="P2542" i="1"/>
  <c r="O2542" i="1"/>
  <c r="V2541" i="1"/>
  <c r="Q2541" i="1"/>
  <c r="P2541" i="1"/>
  <c r="O2541" i="1"/>
  <c r="V2540" i="1"/>
  <c r="Q2540" i="1"/>
  <c r="P2540" i="1"/>
  <c r="O2540" i="1"/>
  <c r="V2539" i="1"/>
  <c r="Q2539" i="1"/>
  <c r="P2539" i="1"/>
  <c r="O2539" i="1"/>
  <c r="V2538" i="1"/>
  <c r="Q2538" i="1"/>
  <c r="P2538" i="1"/>
  <c r="O2538" i="1"/>
  <c r="V2537" i="1"/>
  <c r="Q2537" i="1"/>
  <c r="P2537" i="1"/>
  <c r="O2537" i="1"/>
  <c r="V2536" i="1"/>
  <c r="Q2536" i="1"/>
  <c r="P2536" i="1"/>
  <c r="O2536" i="1"/>
  <c r="V2535" i="1"/>
  <c r="Q2535" i="1"/>
  <c r="P2535" i="1"/>
  <c r="O2535" i="1"/>
  <c r="V2534" i="1"/>
  <c r="Q2534" i="1"/>
  <c r="P2534" i="1"/>
  <c r="O2534" i="1"/>
  <c r="V2533" i="1"/>
  <c r="Q2533" i="1"/>
  <c r="P2533" i="1"/>
  <c r="O2533" i="1"/>
  <c r="V2532" i="1"/>
  <c r="Q2532" i="1"/>
  <c r="P2532" i="1"/>
  <c r="O2532" i="1"/>
  <c r="V2531" i="1"/>
  <c r="Q2531" i="1"/>
  <c r="P2531" i="1"/>
  <c r="O2531" i="1"/>
  <c r="V2530" i="1"/>
  <c r="Q2530" i="1"/>
  <c r="P2530" i="1"/>
  <c r="O2530" i="1"/>
  <c r="V2529" i="1"/>
  <c r="Q2529" i="1"/>
  <c r="P2529" i="1"/>
  <c r="O2529" i="1"/>
  <c r="V2528" i="1"/>
  <c r="Q2528" i="1"/>
  <c r="P2528" i="1"/>
  <c r="O2528" i="1"/>
  <c r="V2527" i="1"/>
  <c r="Q2527" i="1"/>
  <c r="P2527" i="1"/>
  <c r="O2527" i="1"/>
  <c r="V2526" i="1"/>
  <c r="Q2526" i="1"/>
  <c r="P2526" i="1"/>
  <c r="O2526" i="1"/>
  <c r="V2525" i="1"/>
  <c r="Q2525" i="1"/>
  <c r="P2525" i="1"/>
  <c r="O2525" i="1"/>
  <c r="V2524" i="1"/>
  <c r="Q2524" i="1"/>
  <c r="P2524" i="1"/>
  <c r="O2524" i="1"/>
  <c r="V2523" i="1"/>
  <c r="Q2523" i="1"/>
  <c r="P2523" i="1"/>
  <c r="O2523" i="1"/>
  <c r="V2522" i="1"/>
  <c r="Q2522" i="1"/>
  <c r="P2522" i="1"/>
  <c r="O2522" i="1"/>
  <c r="V2521" i="1"/>
  <c r="Q2521" i="1"/>
  <c r="P2521" i="1"/>
  <c r="O2521" i="1"/>
  <c r="V2520" i="1"/>
  <c r="Q2520" i="1"/>
  <c r="P2520" i="1"/>
  <c r="O2520" i="1"/>
  <c r="V2519" i="1"/>
  <c r="Q2519" i="1"/>
  <c r="P2519" i="1"/>
  <c r="O2519" i="1"/>
  <c r="V2518" i="1"/>
  <c r="Q2518" i="1"/>
  <c r="P2518" i="1"/>
  <c r="O2518" i="1"/>
  <c r="V2517" i="1"/>
  <c r="Q2517" i="1"/>
  <c r="P2517" i="1"/>
  <c r="O2517" i="1"/>
  <c r="V2516" i="1"/>
  <c r="Q2516" i="1"/>
  <c r="P2516" i="1"/>
  <c r="O2516" i="1"/>
  <c r="V2515" i="1"/>
  <c r="Q2515" i="1"/>
  <c r="P2515" i="1"/>
  <c r="O2515" i="1"/>
  <c r="V2514" i="1"/>
  <c r="Q2514" i="1"/>
  <c r="P2514" i="1"/>
  <c r="O2514" i="1"/>
  <c r="V2513" i="1"/>
  <c r="Q2513" i="1"/>
  <c r="P2513" i="1"/>
  <c r="O2513" i="1"/>
  <c r="V2512" i="1"/>
  <c r="Q2512" i="1"/>
  <c r="P2512" i="1"/>
  <c r="O2512" i="1"/>
  <c r="V2511" i="1"/>
  <c r="Q2511" i="1"/>
  <c r="P2511" i="1"/>
  <c r="O2511" i="1"/>
  <c r="V2510" i="1"/>
  <c r="Q2510" i="1"/>
  <c r="P2510" i="1"/>
  <c r="O2510" i="1"/>
  <c r="V2509" i="1"/>
  <c r="Q2509" i="1"/>
  <c r="P2509" i="1"/>
  <c r="O2509" i="1"/>
  <c r="V2508" i="1"/>
  <c r="Q2508" i="1"/>
  <c r="P2508" i="1"/>
  <c r="O2508" i="1"/>
  <c r="V2507" i="1"/>
  <c r="Q2507" i="1"/>
  <c r="P2507" i="1"/>
  <c r="O2507" i="1"/>
  <c r="V2506" i="1"/>
  <c r="Q2506" i="1"/>
  <c r="P2506" i="1"/>
  <c r="O2506" i="1"/>
  <c r="V2505" i="1"/>
  <c r="Q2505" i="1"/>
  <c r="P2505" i="1"/>
  <c r="O2505" i="1"/>
  <c r="V2504" i="1"/>
  <c r="Q2504" i="1"/>
  <c r="P2504" i="1"/>
  <c r="O2504" i="1"/>
  <c r="V2503" i="1"/>
  <c r="Q2503" i="1"/>
  <c r="P2503" i="1"/>
  <c r="O2503" i="1"/>
  <c r="V2502" i="1"/>
  <c r="Q2502" i="1"/>
  <c r="P2502" i="1"/>
  <c r="O2502" i="1"/>
  <c r="V2501" i="1"/>
  <c r="Q2501" i="1"/>
  <c r="P2501" i="1"/>
  <c r="O2501" i="1"/>
  <c r="V2500" i="1"/>
  <c r="Q2500" i="1"/>
  <c r="P2500" i="1"/>
  <c r="O2500" i="1"/>
  <c r="V2499" i="1"/>
  <c r="Q2499" i="1"/>
  <c r="P2499" i="1"/>
  <c r="O2499" i="1"/>
  <c r="V2498" i="1"/>
  <c r="Q2498" i="1"/>
  <c r="P2498" i="1"/>
  <c r="O2498" i="1"/>
  <c r="V2497" i="1"/>
  <c r="Q2497" i="1"/>
  <c r="P2497" i="1"/>
  <c r="O2497" i="1"/>
  <c r="V2496" i="1"/>
  <c r="Q2496" i="1"/>
  <c r="P2496" i="1"/>
  <c r="O2496" i="1"/>
  <c r="V2495" i="1"/>
  <c r="Q2495" i="1"/>
  <c r="P2495" i="1"/>
  <c r="O2495" i="1"/>
  <c r="V2494" i="1"/>
  <c r="Q2494" i="1"/>
  <c r="P2494" i="1"/>
  <c r="O2494" i="1"/>
  <c r="V2493" i="1"/>
  <c r="Q2493" i="1"/>
  <c r="P2493" i="1"/>
  <c r="O2493" i="1"/>
  <c r="V2492" i="1"/>
  <c r="Q2492" i="1"/>
  <c r="P2492" i="1"/>
  <c r="O2492" i="1"/>
  <c r="V2491" i="1"/>
  <c r="Q2491" i="1"/>
  <c r="P2491" i="1"/>
  <c r="O2491" i="1"/>
  <c r="V2490" i="1"/>
  <c r="Q2490" i="1"/>
  <c r="P2490" i="1"/>
  <c r="O2490" i="1"/>
  <c r="V2489" i="1"/>
  <c r="Q2489" i="1"/>
  <c r="P2489" i="1"/>
  <c r="O2489" i="1"/>
  <c r="V2488" i="1"/>
  <c r="Q2488" i="1"/>
  <c r="P2488" i="1"/>
  <c r="O2488" i="1"/>
  <c r="V2487" i="1"/>
  <c r="Q2487" i="1"/>
  <c r="P2487" i="1"/>
  <c r="O2487" i="1"/>
  <c r="V2486" i="1"/>
  <c r="Q2486" i="1"/>
  <c r="P2486" i="1"/>
  <c r="O2486" i="1"/>
  <c r="V2485" i="1"/>
  <c r="Q2485" i="1"/>
  <c r="P2485" i="1"/>
  <c r="O2485" i="1"/>
  <c r="V2484" i="1"/>
  <c r="Q2484" i="1"/>
  <c r="P2484" i="1"/>
  <c r="O2484" i="1"/>
  <c r="V2483" i="1"/>
  <c r="Q2483" i="1"/>
  <c r="P2483" i="1"/>
  <c r="O2483" i="1"/>
  <c r="V2482" i="1"/>
  <c r="Q2482" i="1"/>
  <c r="P2482" i="1"/>
  <c r="O2482" i="1"/>
  <c r="V2481" i="1"/>
  <c r="Q2481" i="1"/>
  <c r="P2481" i="1"/>
  <c r="O2481" i="1"/>
  <c r="V2480" i="1"/>
  <c r="Q2480" i="1"/>
  <c r="P2480" i="1"/>
  <c r="O2480" i="1"/>
  <c r="V2479" i="1"/>
  <c r="Q2479" i="1"/>
  <c r="P2479" i="1"/>
  <c r="O2479" i="1"/>
  <c r="V2478" i="1"/>
  <c r="Q2478" i="1"/>
  <c r="P2478" i="1"/>
  <c r="O2478" i="1"/>
  <c r="V2477" i="1"/>
  <c r="Q2477" i="1"/>
  <c r="P2477" i="1"/>
  <c r="O2477" i="1"/>
  <c r="V2476" i="1"/>
  <c r="Q2476" i="1"/>
  <c r="P2476" i="1"/>
  <c r="O2476" i="1"/>
  <c r="V2475" i="1"/>
  <c r="Q2475" i="1"/>
  <c r="P2475" i="1"/>
  <c r="O2475" i="1"/>
  <c r="V2474" i="1"/>
  <c r="Q2474" i="1"/>
  <c r="P2474" i="1"/>
  <c r="O2474" i="1"/>
  <c r="V2473" i="1"/>
  <c r="Q2473" i="1"/>
  <c r="P2473" i="1"/>
  <c r="O2473" i="1"/>
  <c r="V2472" i="1"/>
  <c r="Q2472" i="1"/>
  <c r="P2472" i="1"/>
  <c r="O2472" i="1"/>
  <c r="V2471" i="1"/>
  <c r="Q2471" i="1"/>
  <c r="P2471" i="1"/>
  <c r="O2471" i="1"/>
  <c r="V2470" i="1"/>
  <c r="Q2470" i="1"/>
  <c r="P2470" i="1"/>
  <c r="O2470" i="1"/>
  <c r="V2469" i="1"/>
  <c r="Q2469" i="1"/>
  <c r="P2469" i="1"/>
  <c r="O2469" i="1"/>
  <c r="V2468" i="1"/>
  <c r="Q2468" i="1"/>
  <c r="P2468" i="1"/>
  <c r="O2468" i="1"/>
  <c r="V2467" i="1"/>
  <c r="Q2467" i="1"/>
  <c r="P2467" i="1"/>
  <c r="O2467" i="1"/>
  <c r="V2466" i="1"/>
  <c r="Q2466" i="1"/>
  <c r="P2466" i="1"/>
  <c r="O2466" i="1"/>
  <c r="V2465" i="1"/>
  <c r="Q2465" i="1"/>
  <c r="P2465" i="1"/>
  <c r="O2465" i="1"/>
  <c r="V2464" i="1"/>
  <c r="Q2464" i="1"/>
  <c r="P2464" i="1"/>
  <c r="O2464" i="1"/>
  <c r="V2463" i="1"/>
  <c r="Q2463" i="1"/>
  <c r="P2463" i="1"/>
  <c r="O2463" i="1"/>
  <c r="V2462" i="1"/>
  <c r="Q2462" i="1"/>
  <c r="P2462" i="1"/>
  <c r="O2462" i="1"/>
  <c r="V2461" i="1"/>
  <c r="Q2461" i="1"/>
  <c r="P2461" i="1"/>
  <c r="O2461" i="1"/>
  <c r="V2460" i="1"/>
  <c r="Q2460" i="1"/>
  <c r="P2460" i="1"/>
  <c r="O2460" i="1"/>
  <c r="V2459" i="1"/>
  <c r="Q2459" i="1"/>
  <c r="P2459" i="1"/>
  <c r="O2459" i="1"/>
  <c r="V2458" i="1"/>
  <c r="Q2458" i="1"/>
  <c r="P2458" i="1"/>
  <c r="O2458" i="1"/>
  <c r="V2457" i="1"/>
  <c r="Q2457" i="1"/>
  <c r="P2457" i="1"/>
  <c r="O2457" i="1"/>
  <c r="V2456" i="1"/>
  <c r="Q2456" i="1"/>
  <c r="P2456" i="1"/>
  <c r="O2456" i="1"/>
  <c r="V2455" i="1"/>
  <c r="Q2455" i="1"/>
  <c r="P2455" i="1"/>
  <c r="O2455" i="1"/>
  <c r="V2454" i="1"/>
  <c r="Q2454" i="1"/>
  <c r="P2454" i="1"/>
  <c r="O2454" i="1"/>
  <c r="V2453" i="1"/>
  <c r="Q2453" i="1"/>
  <c r="P2453" i="1"/>
  <c r="O2453" i="1"/>
  <c r="V2452" i="1"/>
  <c r="Q2452" i="1"/>
  <c r="P2452" i="1"/>
  <c r="O2452" i="1"/>
  <c r="V2451" i="1"/>
  <c r="Q2451" i="1"/>
  <c r="P2451" i="1"/>
  <c r="O2451" i="1"/>
  <c r="V2450" i="1"/>
  <c r="Q2450" i="1"/>
  <c r="P2450" i="1"/>
  <c r="O2450" i="1"/>
  <c r="V2449" i="1"/>
  <c r="Q2449" i="1"/>
  <c r="P2449" i="1"/>
  <c r="O2449" i="1"/>
  <c r="V2448" i="1"/>
  <c r="Q2448" i="1"/>
  <c r="P2448" i="1"/>
  <c r="O2448" i="1"/>
  <c r="V2447" i="1"/>
  <c r="Q2447" i="1"/>
  <c r="P2447" i="1"/>
  <c r="O2447" i="1"/>
  <c r="V2446" i="1"/>
  <c r="Q2446" i="1"/>
  <c r="P2446" i="1"/>
  <c r="O2446" i="1"/>
  <c r="V2445" i="1"/>
  <c r="Q2445" i="1"/>
  <c r="P2445" i="1"/>
  <c r="O2445" i="1"/>
  <c r="V2444" i="1"/>
  <c r="Q2444" i="1"/>
  <c r="P2444" i="1"/>
  <c r="O2444" i="1"/>
  <c r="V2443" i="1"/>
  <c r="Q2443" i="1"/>
  <c r="P2443" i="1"/>
  <c r="O2443" i="1"/>
  <c r="V2442" i="1"/>
  <c r="Q2442" i="1"/>
  <c r="P2442" i="1"/>
  <c r="O2442" i="1"/>
  <c r="V2441" i="1"/>
  <c r="Q2441" i="1"/>
  <c r="P2441" i="1"/>
  <c r="O2441" i="1"/>
  <c r="V2440" i="1"/>
  <c r="Q2440" i="1"/>
  <c r="P2440" i="1"/>
  <c r="O2440" i="1"/>
  <c r="V2439" i="1"/>
  <c r="Q2439" i="1"/>
  <c r="P2439" i="1"/>
  <c r="O2439" i="1"/>
  <c r="V2438" i="1"/>
  <c r="Q2438" i="1"/>
  <c r="P2438" i="1"/>
  <c r="O2438" i="1"/>
  <c r="V2437" i="1"/>
  <c r="Q2437" i="1"/>
  <c r="P2437" i="1"/>
  <c r="O2437" i="1"/>
  <c r="V2436" i="1"/>
  <c r="Q2436" i="1"/>
  <c r="P2436" i="1"/>
  <c r="O2436" i="1"/>
  <c r="V2435" i="1"/>
  <c r="Q2435" i="1"/>
  <c r="P2435" i="1"/>
  <c r="O2435" i="1"/>
  <c r="V2434" i="1"/>
  <c r="Q2434" i="1"/>
  <c r="P2434" i="1"/>
  <c r="O2434" i="1"/>
  <c r="V2433" i="1"/>
  <c r="Q2433" i="1"/>
  <c r="P2433" i="1"/>
  <c r="O2433" i="1"/>
  <c r="V2432" i="1"/>
  <c r="Q2432" i="1"/>
  <c r="P2432" i="1"/>
  <c r="O2432" i="1"/>
  <c r="V2431" i="1"/>
  <c r="Q2431" i="1"/>
  <c r="P2431" i="1"/>
  <c r="O2431" i="1"/>
  <c r="V2430" i="1"/>
  <c r="Q2430" i="1"/>
  <c r="P2430" i="1"/>
  <c r="O2430" i="1"/>
  <c r="V2429" i="1"/>
  <c r="Q2429" i="1"/>
  <c r="P2429" i="1"/>
  <c r="O2429" i="1"/>
  <c r="V2428" i="1"/>
  <c r="Q2428" i="1"/>
  <c r="P2428" i="1"/>
  <c r="O2428" i="1"/>
  <c r="V2427" i="1"/>
  <c r="Q2427" i="1"/>
  <c r="P2427" i="1"/>
  <c r="O2427" i="1"/>
  <c r="V2426" i="1"/>
  <c r="Q2426" i="1"/>
  <c r="P2426" i="1"/>
  <c r="O2426" i="1"/>
  <c r="V2425" i="1"/>
  <c r="Q2425" i="1"/>
  <c r="P2425" i="1"/>
  <c r="O2425" i="1"/>
  <c r="V2424" i="1"/>
  <c r="Q2424" i="1"/>
  <c r="P2424" i="1"/>
  <c r="O2424" i="1"/>
  <c r="V2423" i="1"/>
  <c r="Q2423" i="1"/>
  <c r="P2423" i="1"/>
  <c r="O2423" i="1"/>
  <c r="V2422" i="1"/>
  <c r="Q2422" i="1"/>
  <c r="P2422" i="1"/>
  <c r="O2422" i="1"/>
  <c r="V2421" i="1"/>
  <c r="Q2421" i="1"/>
  <c r="P2421" i="1"/>
  <c r="O2421" i="1"/>
  <c r="V2420" i="1"/>
  <c r="Q2420" i="1"/>
  <c r="P2420" i="1"/>
  <c r="O2420" i="1"/>
  <c r="V2419" i="1"/>
  <c r="Q2419" i="1"/>
  <c r="P2419" i="1"/>
  <c r="O2419" i="1"/>
  <c r="V2418" i="1"/>
  <c r="Q2418" i="1"/>
  <c r="P2418" i="1"/>
  <c r="O2418" i="1"/>
  <c r="V2417" i="1"/>
  <c r="Q2417" i="1"/>
  <c r="P2417" i="1"/>
  <c r="O2417" i="1"/>
  <c r="V2416" i="1"/>
  <c r="Q2416" i="1"/>
  <c r="P2416" i="1"/>
  <c r="O2416" i="1"/>
  <c r="V2415" i="1"/>
  <c r="Q2415" i="1"/>
  <c r="P2415" i="1"/>
  <c r="O2415" i="1"/>
  <c r="V2414" i="1"/>
  <c r="Q2414" i="1"/>
  <c r="P2414" i="1"/>
  <c r="O2414" i="1"/>
  <c r="V2413" i="1"/>
  <c r="Q2413" i="1"/>
  <c r="P2413" i="1"/>
  <c r="O2413" i="1"/>
  <c r="V2412" i="1"/>
  <c r="Q2412" i="1"/>
  <c r="P2412" i="1"/>
  <c r="O2412" i="1"/>
  <c r="V2411" i="1"/>
  <c r="Q2411" i="1"/>
  <c r="P2411" i="1"/>
  <c r="O2411" i="1"/>
  <c r="V2410" i="1"/>
  <c r="Q2410" i="1"/>
  <c r="P2410" i="1"/>
  <c r="O2410" i="1"/>
  <c r="V2409" i="1"/>
  <c r="Q2409" i="1"/>
  <c r="P2409" i="1"/>
  <c r="O2409" i="1"/>
  <c r="V2408" i="1"/>
  <c r="Q2408" i="1"/>
  <c r="P2408" i="1"/>
  <c r="O2408" i="1"/>
  <c r="V2407" i="1"/>
  <c r="Q2407" i="1"/>
  <c r="P2407" i="1"/>
  <c r="O2407" i="1"/>
  <c r="V2406" i="1"/>
  <c r="Q2406" i="1"/>
  <c r="P2406" i="1"/>
  <c r="O2406" i="1"/>
  <c r="V2405" i="1"/>
  <c r="Q2405" i="1"/>
  <c r="P2405" i="1"/>
  <c r="O2405" i="1"/>
  <c r="V2404" i="1"/>
  <c r="Q2404" i="1"/>
  <c r="P2404" i="1"/>
  <c r="O2404" i="1"/>
  <c r="V2403" i="1"/>
  <c r="Q2403" i="1"/>
  <c r="P2403" i="1"/>
  <c r="O2403" i="1"/>
  <c r="V2402" i="1"/>
  <c r="Q2402" i="1"/>
  <c r="P2402" i="1"/>
  <c r="O2402" i="1"/>
  <c r="V2401" i="1"/>
  <c r="Q2401" i="1"/>
  <c r="P2401" i="1"/>
  <c r="O2401" i="1"/>
  <c r="V2400" i="1"/>
  <c r="Q2400" i="1"/>
  <c r="P2400" i="1"/>
  <c r="O2400" i="1"/>
  <c r="V2399" i="1"/>
  <c r="Q2399" i="1"/>
  <c r="P2399" i="1"/>
  <c r="O2399" i="1"/>
  <c r="V2398" i="1"/>
  <c r="Q2398" i="1"/>
  <c r="P2398" i="1"/>
  <c r="O2398" i="1"/>
  <c r="V2397" i="1"/>
  <c r="Q2397" i="1"/>
  <c r="P2397" i="1"/>
  <c r="O2397" i="1"/>
  <c r="V2396" i="1"/>
  <c r="Q2396" i="1"/>
  <c r="P2396" i="1"/>
  <c r="O2396" i="1"/>
  <c r="V2395" i="1"/>
  <c r="Q2395" i="1"/>
  <c r="P2395" i="1"/>
  <c r="O2395" i="1"/>
  <c r="V2394" i="1"/>
  <c r="Q2394" i="1"/>
  <c r="P2394" i="1"/>
  <c r="O2394" i="1"/>
  <c r="V2393" i="1"/>
  <c r="Q2393" i="1"/>
  <c r="P2393" i="1"/>
  <c r="O2393" i="1"/>
  <c r="V2392" i="1"/>
  <c r="Q2392" i="1"/>
  <c r="P2392" i="1"/>
  <c r="O2392" i="1"/>
  <c r="V2391" i="1"/>
  <c r="Q2391" i="1"/>
  <c r="P2391" i="1"/>
  <c r="O2391" i="1"/>
  <c r="V2390" i="1"/>
  <c r="Q2390" i="1"/>
  <c r="P2390" i="1"/>
  <c r="O2390" i="1"/>
  <c r="V2389" i="1"/>
  <c r="Q2389" i="1"/>
  <c r="P2389" i="1"/>
  <c r="O2389" i="1"/>
  <c r="V2388" i="1"/>
  <c r="Q2388" i="1"/>
  <c r="P2388" i="1"/>
  <c r="O2388" i="1"/>
  <c r="V2387" i="1"/>
  <c r="Q2387" i="1"/>
  <c r="P2387" i="1"/>
  <c r="O2387" i="1"/>
  <c r="V2386" i="1"/>
  <c r="Q2386" i="1"/>
  <c r="P2386" i="1"/>
  <c r="O2386" i="1"/>
  <c r="V2385" i="1"/>
  <c r="Q2385" i="1"/>
  <c r="P2385" i="1"/>
  <c r="O2385" i="1"/>
  <c r="V2384" i="1"/>
  <c r="Q2384" i="1"/>
  <c r="P2384" i="1"/>
  <c r="O2384" i="1"/>
  <c r="V2383" i="1"/>
  <c r="Q2383" i="1"/>
  <c r="P2383" i="1"/>
  <c r="O2383" i="1"/>
  <c r="V2382" i="1"/>
  <c r="Q2382" i="1"/>
  <c r="P2382" i="1"/>
  <c r="O2382" i="1"/>
  <c r="V2381" i="1"/>
  <c r="Q2381" i="1"/>
  <c r="P2381" i="1"/>
  <c r="O2381" i="1"/>
  <c r="V2380" i="1"/>
  <c r="Q2380" i="1"/>
  <c r="P2380" i="1"/>
  <c r="O2380" i="1"/>
  <c r="V2379" i="1"/>
  <c r="Q2379" i="1"/>
  <c r="P2379" i="1"/>
  <c r="O2379" i="1"/>
  <c r="V2378" i="1"/>
  <c r="Q2378" i="1"/>
  <c r="P2378" i="1"/>
  <c r="O2378" i="1"/>
  <c r="V2377" i="1"/>
  <c r="Q2377" i="1"/>
  <c r="P2377" i="1"/>
  <c r="O2377" i="1"/>
  <c r="V2376" i="1"/>
  <c r="Q2376" i="1"/>
  <c r="P2376" i="1"/>
  <c r="O2376" i="1"/>
  <c r="V2375" i="1"/>
  <c r="Q2375" i="1"/>
  <c r="P2375" i="1"/>
  <c r="O2375" i="1"/>
  <c r="V2374" i="1"/>
  <c r="Q2374" i="1"/>
  <c r="P2374" i="1"/>
  <c r="O2374" i="1"/>
  <c r="V2373" i="1"/>
  <c r="Q2373" i="1"/>
  <c r="P2373" i="1"/>
  <c r="O2373" i="1"/>
  <c r="V2372" i="1"/>
  <c r="Q2372" i="1"/>
  <c r="P2372" i="1"/>
  <c r="O2372" i="1"/>
  <c r="V2371" i="1"/>
  <c r="Q2371" i="1"/>
  <c r="P2371" i="1"/>
  <c r="O2371" i="1"/>
  <c r="V2370" i="1"/>
  <c r="Q2370" i="1"/>
  <c r="P2370" i="1"/>
  <c r="O2370" i="1"/>
  <c r="V2369" i="1"/>
  <c r="Q2369" i="1"/>
  <c r="P2369" i="1"/>
  <c r="O2369" i="1"/>
  <c r="V2368" i="1"/>
  <c r="Q2368" i="1"/>
  <c r="P2368" i="1"/>
  <c r="O2368" i="1"/>
  <c r="V2367" i="1"/>
  <c r="Q2367" i="1"/>
  <c r="P2367" i="1"/>
  <c r="O2367" i="1"/>
  <c r="V2366" i="1"/>
  <c r="Q2366" i="1"/>
  <c r="P2366" i="1"/>
  <c r="O2366" i="1"/>
  <c r="V2365" i="1"/>
  <c r="Q2365" i="1"/>
  <c r="P2365" i="1"/>
  <c r="O2365" i="1"/>
  <c r="V2364" i="1"/>
  <c r="Q2364" i="1"/>
  <c r="P2364" i="1"/>
  <c r="O2364" i="1"/>
  <c r="V2363" i="1"/>
  <c r="Q2363" i="1"/>
  <c r="P2363" i="1"/>
  <c r="O2363" i="1"/>
  <c r="V2362" i="1"/>
  <c r="Q2362" i="1"/>
  <c r="P2362" i="1"/>
  <c r="O2362" i="1"/>
  <c r="V2361" i="1"/>
  <c r="Q2361" i="1"/>
  <c r="P2361" i="1"/>
  <c r="O2361" i="1"/>
  <c r="V2360" i="1"/>
  <c r="Q2360" i="1"/>
  <c r="P2360" i="1"/>
  <c r="O2360" i="1"/>
  <c r="V2359" i="1"/>
  <c r="Q2359" i="1"/>
  <c r="P2359" i="1"/>
  <c r="O2359" i="1"/>
  <c r="V2358" i="1"/>
  <c r="Q2358" i="1"/>
  <c r="P2358" i="1"/>
  <c r="O2358" i="1"/>
  <c r="V2357" i="1"/>
  <c r="Q2357" i="1"/>
  <c r="P2357" i="1"/>
  <c r="O2357" i="1"/>
  <c r="V2356" i="1"/>
  <c r="Q2356" i="1"/>
  <c r="P2356" i="1"/>
  <c r="O2356" i="1"/>
  <c r="V2355" i="1"/>
  <c r="Q2355" i="1"/>
  <c r="P2355" i="1"/>
  <c r="O2355" i="1"/>
  <c r="V2354" i="1"/>
  <c r="Q2354" i="1"/>
  <c r="P2354" i="1"/>
  <c r="O2354" i="1"/>
  <c r="V2353" i="1"/>
  <c r="Q2353" i="1"/>
  <c r="P2353" i="1"/>
  <c r="O2353" i="1"/>
  <c r="V2352" i="1"/>
  <c r="Q2352" i="1"/>
  <c r="P2352" i="1"/>
  <c r="O2352" i="1"/>
  <c r="V2351" i="1"/>
  <c r="Q2351" i="1"/>
  <c r="P2351" i="1"/>
  <c r="O2351" i="1"/>
  <c r="V2350" i="1"/>
  <c r="Q2350" i="1"/>
  <c r="P2350" i="1"/>
  <c r="O2350" i="1"/>
  <c r="V2349" i="1"/>
  <c r="Q2349" i="1"/>
  <c r="P2349" i="1"/>
  <c r="O2349" i="1"/>
  <c r="V2348" i="1"/>
  <c r="Q2348" i="1"/>
  <c r="P2348" i="1"/>
  <c r="O2348" i="1"/>
  <c r="V2347" i="1"/>
  <c r="Q2347" i="1"/>
  <c r="P2347" i="1"/>
  <c r="O2347" i="1"/>
  <c r="V2346" i="1"/>
  <c r="Q2346" i="1"/>
  <c r="P2346" i="1"/>
  <c r="O2346" i="1"/>
  <c r="V2345" i="1"/>
  <c r="Q2345" i="1"/>
  <c r="P2345" i="1"/>
  <c r="O2345" i="1"/>
  <c r="V2344" i="1"/>
  <c r="Q2344" i="1"/>
  <c r="P2344" i="1"/>
  <c r="O2344" i="1"/>
  <c r="V2343" i="1"/>
  <c r="Q2343" i="1"/>
  <c r="P2343" i="1"/>
  <c r="O2343" i="1"/>
  <c r="V2342" i="1"/>
  <c r="Q2342" i="1"/>
  <c r="P2342" i="1"/>
  <c r="O2342" i="1"/>
  <c r="V2341" i="1"/>
  <c r="Q2341" i="1"/>
  <c r="P2341" i="1"/>
  <c r="O2341" i="1"/>
  <c r="V2340" i="1"/>
  <c r="Q2340" i="1"/>
  <c r="P2340" i="1"/>
  <c r="O2340" i="1"/>
  <c r="V2339" i="1"/>
  <c r="Q2339" i="1"/>
  <c r="P2339" i="1"/>
  <c r="O2339" i="1"/>
  <c r="V2338" i="1"/>
  <c r="Q2338" i="1"/>
  <c r="P2338" i="1"/>
  <c r="O2338" i="1"/>
  <c r="V2337" i="1"/>
  <c r="Q2337" i="1"/>
  <c r="P2337" i="1"/>
  <c r="O2337" i="1"/>
  <c r="V2336" i="1"/>
  <c r="Q2336" i="1"/>
  <c r="P2336" i="1"/>
  <c r="O2336" i="1"/>
  <c r="V2335" i="1"/>
  <c r="Q2335" i="1"/>
  <c r="P2335" i="1"/>
  <c r="O2335" i="1"/>
  <c r="V2334" i="1"/>
  <c r="Q2334" i="1"/>
  <c r="P2334" i="1"/>
  <c r="O2334" i="1"/>
  <c r="V2333" i="1"/>
  <c r="Q2333" i="1"/>
  <c r="P2333" i="1"/>
  <c r="O2333" i="1"/>
  <c r="V2332" i="1"/>
  <c r="Q2332" i="1"/>
  <c r="P2332" i="1"/>
  <c r="O2332" i="1"/>
  <c r="V2331" i="1"/>
  <c r="Q2331" i="1"/>
  <c r="P2331" i="1"/>
  <c r="O2331" i="1"/>
  <c r="V2330" i="1"/>
  <c r="Q2330" i="1"/>
  <c r="P2330" i="1"/>
  <c r="O2330" i="1"/>
  <c r="V2329" i="1"/>
  <c r="Q2329" i="1"/>
  <c r="P2329" i="1"/>
  <c r="O2329" i="1"/>
  <c r="V2328" i="1"/>
  <c r="Q2328" i="1"/>
  <c r="P2328" i="1"/>
  <c r="O2328" i="1"/>
  <c r="V2327" i="1"/>
  <c r="Q2327" i="1"/>
  <c r="P2327" i="1"/>
  <c r="O2327" i="1"/>
  <c r="V2326" i="1"/>
  <c r="Q2326" i="1"/>
  <c r="P2326" i="1"/>
  <c r="O2326" i="1"/>
  <c r="V2325" i="1"/>
  <c r="Q2325" i="1"/>
  <c r="P2325" i="1"/>
  <c r="O2325" i="1"/>
  <c r="V2324" i="1"/>
  <c r="Q2324" i="1"/>
  <c r="P2324" i="1"/>
  <c r="O2324" i="1"/>
  <c r="V2323" i="1"/>
  <c r="Q2323" i="1"/>
  <c r="P2323" i="1"/>
  <c r="O2323" i="1"/>
  <c r="V2322" i="1"/>
  <c r="Q2322" i="1"/>
  <c r="P2322" i="1"/>
  <c r="O2322" i="1"/>
  <c r="V2321" i="1"/>
  <c r="Q2321" i="1"/>
  <c r="P2321" i="1"/>
  <c r="O2321" i="1"/>
  <c r="V2320" i="1"/>
  <c r="Q2320" i="1"/>
  <c r="P2320" i="1"/>
  <c r="O2320" i="1"/>
  <c r="V2319" i="1"/>
  <c r="Q2319" i="1"/>
  <c r="P2319" i="1"/>
  <c r="O2319" i="1"/>
  <c r="V2318" i="1"/>
  <c r="Q2318" i="1"/>
  <c r="P2318" i="1"/>
  <c r="O2318" i="1"/>
  <c r="V2317" i="1"/>
  <c r="Q2317" i="1"/>
  <c r="P2317" i="1"/>
  <c r="O2317" i="1"/>
  <c r="V2316" i="1"/>
  <c r="Q2316" i="1"/>
  <c r="P2316" i="1"/>
  <c r="O2316" i="1"/>
  <c r="V2315" i="1"/>
  <c r="Q2315" i="1"/>
  <c r="P2315" i="1"/>
  <c r="O2315" i="1"/>
  <c r="V2314" i="1"/>
  <c r="Q2314" i="1"/>
  <c r="P2314" i="1"/>
  <c r="O2314" i="1"/>
  <c r="V2313" i="1"/>
  <c r="Q2313" i="1"/>
  <c r="P2313" i="1"/>
  <c r="O2313" i="1"/>
  <c r="V2312" i="1"/>
  <c r="Q2312" i="1"/>
  <c r="P2312" i="1"/>
  <c r="O2312" i="1"/>
  <c r="V2311" i="1"/>
  <c r="Q2311" i="1"/>
  <c r="P2311" i="1"/>
  <c r="O2311" i="1"/>
  <c r="V2310" i="1"/>
  <c r="Q2310" i="1"/>
  <c r="P2310" i="1"/>
  <c r="O2310" i="1"/>
  <c r="V2309" i="1"/>
  <c r="Q2309" i="1"/>
  <c r="P2309" i="1"/>
  <c r="O2309" i="1"/>
  <c r="V2308" i="1"/>
  <c r="Q2308" i="1"/>
  <c r="P2308" i="1"/>
  <c r="O2308" i="1"/>
  <c r="V2307" i="1"/>
  <c r="Q2307" i="1"/>
  <c r="P2307" i="1"/>
  <c r="O2307" i="1"/>
  <c r="V2306" i="1"/>
  <c r="Q2306" i="1"/>
  <c r="P2306" i="1"/>
  <c r="O2306" i="1"/>
  <c r="V2305" i="1"/>
  <c r="Q2305" i="1"/>
  <c r="P2305" i="1"/>
  <c r="O2305" i="1"/>
  <c r="V2304" i="1"/>
  <c r="Q2304" i="1"/>
  <c r="P2304" i="1"/>
  <c r="O2304" i="1"/>
  <c r="V2303" i="1"/>
  <c r="Q2303" i="1"/>
  <c r="P2303" i="1"/>
  <c r="O2303" i="1"/>
  <c r="V2302" i="1"/>
  <c r="Q2302" i="1"/>
  <c r="P2302" i="1"/>
  <c r="O2302" i="1"/>
  <c r="V2301" i="1"/>
  <c r="Q2301" i="1"/>
  <c r="P2301" i="1"/>
  <c r="O2301" i="1"/>
  <c r="V2300" i="1"/>
  <c r="Q2300" i="1"/>
  <c r="P2300" i="1"/>
  <c r="O2300" i="1"/>
  <c r="V2299" i="1"/>
  <c r="Q2299" i="1"/>
  <c r="P2299" i="1"/>
  <c r="O2299" i="1"/>
  <c r="V2298" i="1"/>
  <c r="Q2298" i="1"/>
  <c r="P2298" i="1"/>
  <c r="O2298" i="1"/>
  <c r="V2297" i="1"/>
  <c r="Q2297" i="1"/>
  <c r="P2297" i="1"/>
  <c r="O2297" i="1"/>
  <c r="V2296" i="1"/>
  <c r="Q2296" i="1"/>
  <c r="P2296" i="1"/>
  <c r="O2296" i="1"/>
  <c r="V2295" i="1"/>
  <c r="Q2295" i="1"/>
  <c r="P2295" i="1"/>
  <c r="O2295" i="1"/>
  <c r="V2294" i="1"/>
  <c r="Q2294" i="1"/>
  <c r="P2294" i="1"/>
  <c r="O2294" i="1"/>
  <c r="V2293" i="1"/>
  <c r="Q2293" i="1"/>
  <c r="P2293" i="1"/>
  <c r="O2293" i="1"/>
  <c r="V2292" i="1"/>
  <c r="Q2292" i="1"/>
  <c r="P2292" i="1"/>
  <c r="O2292" i="1"/>
  <c r="V2291" i="1"/>
  <c r="Q2291" i="1"/>
  <c r="P2291" i="1"/>
  <c r="O2291" i="1"/>
  <c r="V2290" i="1"/>
  <c r="Q2290" i="1"/>
  <c r="P2290" i="1"/>
  <c r="O2290" i="1"/>
  <c r="V2289" i="1"/>
  <c r="Q2289" i="1"/>
  <c r="P2289" i="1"/>
  <c r="O2289" i="1"/>
  <c r="V2288" i="1"/>
  <c r="Q2288" i="1"/>
  <c r="P2288" i="1"/>
  <c r="O2288" i="1"/>
  <c r="V2287" i="1"/>
  <c r="Q2287" i="1"/>
  <c r="P2287" i="1"/>
  <c r="O2287" i="1"/>
  <c r="V2286" i="1"/>
  <c r="Q2286" i="1"/>
  <c r="P2286" i="1"/>
  <c r="O2286" i="1"/>
  <c r="N2286" i="1"/>
  <c r="V2285" i="1"/>
  <c r="Q2285" i="1"/>
  <c r="P2285" i="1"/>
  <c r="O2285" i="1"/>
  <c r="N2285" i="1"/>
  <c r="V2284" i="1"/>
  <c r="Q2284" i="1"/>
  <c r="P2284" i="1"/>
  <c r="O2284" i="1"/>
  <c r="N2284" i="1"/>
  <c r="V2283" i="1"/>
  <c r="Q2283" i="1"/>
  <c r="P2283" i="1"/>
  <c r="O2283" i="1"/>
  <c r="N2283" i="1"/>
  <c r="V2282" i="1"/>
  <c r="Q2282" i="1"/>
  <c r="P2282" i="1"/>
  <c r="O2282" i="1"/>
  <c r="N2282" i="1"/>
  <c r="V2281" i="1"/>
  <c r="Q2281" i="1"/>
  <c r="P2281" i="1"/>
  <c r="O2281" i="1"/>
  <c r="N2281" i="1"/>
  <c r="V2280" i="1"/>
  <c r="Q2280" i="1"/>
  <c r="P2280" i="1"/>
  <c r="O2280" i="1"/>
  <c r="N2280" i="1"/>
  <c r="V2279" i="1"/>
  <c r="Q2279" i="1"/>
  <c r="P2279" i="1"/>
  <c r="O2279" i="1"/>
  <c r="N2279" i="1"/>
  <c r="V2278" i="1"/>
  <c r="Q2278" i="1"/>
  <c r="P2278" i="1"/>
  <c r="O2278" i="1"/>
  <c r="N2278" i="1"/>
  <c r="V2277" i="1"/>
  <c r="Q2277" i="1"/>
  <c r="P2277" i="1"/>
  <c r="O2277" i="1"/>
  <c r="N2277" i="1"/>
  <c r="V2276" i="1"/>
  <c r="Q2276" i="1"/>
  <c r="P2276" i="1"/>
  <c r="O2276" i="1"/>
  <c r="N2276" i="1"/>
  <c r="V2275" i="1"/>
  <c r="Q2275" i="1"/>
  <c r="P2275" i="1"/>
  <c r="O2275" i="1"/>
  <c r="N2275" i="1"/>
  <c r="V2274" i="1"/>
  <c r="Q2274" i="1"/>
  <c r="P2274" i="1"/>
  <c r="O2274" i="1"/>
  <c r="N2274" i="1"/>
  <c r="V2273" i="1"/>
  <c r="Q2273" i="1"/>
  <c r="P2273" i="1"/>
  <c r="O2273" i="1"/>
  <c r="N2273" i="1"/>
  <c r="V2272" i="1"/>
  <c r="Q2272" i="1"/>
  <c r="P2272" i="1"/>
  <c r="O2272" i="1"/>
  <c r="N2272" i="1"/>
  <c r="V2271" i="1"/>
  <c r="Q2271" i="1"/>
  <c r="P2271" i="1"/>
  <c r="O2271" i="1"/>
  <c r="N2271" i="1"/>
  <c r="V2270" i="1"/>
  <c r="Q2270" i="1"/>
  <c r="P2270" i="1"/>
  <c r="O2270" i="1"/>
  <c r="N2270" i="1"/>
  <c r="V2269" i="1"/>
  <c r="Q2269" i="1"/>
  <c r="P2269" i="1"/>
  <c r="O2269" i="1"/>
  <c r="N2269" i="1"/>
  <c r="V2268" i="1"/>
  <c r="Q2268" i="1"/>
  <c r="P2268" i="1"/>
  <c r="O2268" i="1"/>
  <c r="N2268" i="1"/>
  <c r="V2267" i="1"/>
  <c r="Q2267" i="1"/>
  <c r="P2267" i="1"/>
  <c r="O2267" i="1"/>
  <c r="N2267" i="1"/>
  <c r="V2266" i="1"/>
  <c r="Q2266" i="1"/>
  <c r="P2266" i="1"/>
  <c r="O2266" i="1"/>
  <c r="N2266" i="1"/>
  <c r="V2265" i="1"/>
  <c r="Q2265" i="1"/>
  <c r="P2265" i="1"/>
  <c r="O2265" i="1"/>
  <c r="N2265" i="1"/>
  <c r="V2264" i="1"/>
  <c r="Q2264" i="1"/>
  <c r="P2264" i="1"/>
  <c r="O2264" i="1"/>
  <c r="N2264" i="1"/>
  <c r="V2263" i="1"/>
  <c r="Q2263" i="1"/>
  <c r="P2263" i="1"/>
  <c r="O2263" i="1"/>
  <c r="N2263" i="1"/>
  <c r="V2262" i="1"/>
  <c r="Q2262" i="1"/>
  <c r="P2262" i="1"/>
  <c r="O2262" i="1"/>
  <c r="N2262" i="1"/>
  <c r="V2261" i="1"/>
  <c r="Q2261" i="1"/>
  <c r="P2261" i="1"/>
  <c r="O2261" i="1"/>
  <c r="N2261" i="1"/>
  <c r="V2260" i="1"/>
  <c r="Q2260" i="1"/>
  <c r="P2260" i="1"/>
  <c r="O2260" i="1"/>
  <c r="N2260" i="1"/>
  <c r="V2259" i="1"/>
  <c r="Q2259" i="1"/>
  <c r="P2259" i="1"/>
  <c r="O2259" i="1"/>
  <c r="N2259" i="1"/>
  <c r="V2258" i="1"/>
  <c r="Q2258" i="1"/>
  <c r="P2258" i="1"/>
  <c r="O2258" i="1"/>
  <c r="N2258" i="1"/>
  <c r="V2257" i="1"/>
  <c r="Q2257" i="1"/>
  <c r="P2257" i="1"/>
  <c r="O2257" i="1"/>
  <c r="N2257" i="1"/>
  <c r="V2256" i="1"/>
  <c r="Q2256" i="1"/>
  <c r="P2256" i="1"/>
  <c r="O2256" i="1"/>
  <c r="N2256" i="1"/>
  <c r="V2255" i="1"/>
  <c r="Q2255" i="1"/>
  <c r="P2255" i="1"/>
  <c r="O2255" i="1"/>
  <c r="N2255" i="1"/>
  <c r="V2254" i="1"/>
  <c r="Q2254" i="1"/>
  <c r="P2254" i="1"/>
  <c r="O2254" i="1"/>
  <c r="N2254" i="1"/>
  <c r="V2253" i="1"/>
  <c r="Q2253" i="1"/>
  <c r="P2253" i="1"/>
  <c r="O2253" i="1"/>
  <c r="N2253" i="1"/>
  <c r="V2252" i="1"/>
  <c r="Q2252" i="1"/>
  <c r="P2252" i="1"/>
  <c r="O2252" i="1"/>
  <c r="N2252" i="1"/>
  <c r="V2251" i="1"/>
  <c r="Q2251" i="1"/>
  <c r="P2251" i="1"/>
  <c r="O2251" i="1"/>
  <c r="N2251" i="1"/>
  <c r="V2250" i="1"/>
  <c r="Q2250" i="1"/>
  <c r="P2250" i="1"/>
  <c r="O2250" i="1"/>
  <c r="N2250" i="1"/>
  <c r="V2249" i="1"/>
  <c r="Q2249" i="1"/>
  <c r="P2249" i="1"/>
  <c r="O2249" i="1"/>
  <c r="N2249" i="1"/>
  <c r="V2248" i="1"/>
  <c r="Q2248" i="1"/>
  <c r="P2248" i="1"/>
  <c r="O2248" i="1"/>
  <c r="N2248" i="1"/>
  <c r="V2247" i="1"/>
  <c r="Q2247" i="1"/>
  <c r="P2247" i="1"/>
  <c r="O2247" i="1"/>
  <c r="N2247" i="1"/>
  <c r="V2246" i="1"/>
  <c r="Q2246" i="1"/>
  <c r="P2246" i="1"/>
  <c r="O2246" i="1"/>
  <c r="N2246" i="1"/>
  <c r="V2245" i="1"/>
  <c r="Q2245" i="1"/>
  <c r="P2245" i="1"/>
  <c r="O2245" i="1"/>
  <c r="N2245" i="1"/>
  <c r="V2244" i="1"/>
  <c r="Q2244" i="1"/>
  <c r="P2244" i="1"/>
  <c r="O2244" i="1"/>
  <c r="N2244" i="1"/>
  <c r="V2243" i="1"/>
  <c r="Q2243" i="1"/>
  <c r="P2243" i="1"/>
  <c r="O2243" i="1"/>
  <c r="N2243" i="1"/>
  <c r="V2242" i="1"/>
  <c r="Q2242" i="1"/>
  <c r="P2242" i="1"/>
  <c r="O2242" i="1"/>
  <c r="N2242" i="1"/>
  <c r="V2241" i="1"/>
  <c r="Q2241" i="1"/>
  <c r="P2241" i="1"/>
  <c r="O2241" i="1"/>
  <c r="N2241" i="1"/>
  <c r="V2240" i="1"/>
  <c r="Q2240" i="1"/>
  <c r="P2240" i="1"/>
  <c r="O2240" i="1"/>
  <c r="N2240" i="1"/>
  <c r="I2240" i="1"/>
  <c r="V2239" i="1"/>
  <c r="Q2239" i="1"/>
  <c r="P2239" i="1"/>
  <c r="O2239" i="1"/>
  <c r="N2239" i="1"/>
  <c r="I2239" i="1"/>
  <c r="V2238" i="1"/>
  <c r="Q2238" i="1"/>
  <c r="P2238" i="1"/>
  <c r="O2238" i="1"/>
  <c r="N2238" i="1"/>
  <c r="I2238" i="1"/>
  <c r="H2238" i="1"/>
  <c r="V2237" i="1"/>
  <c r="Q2237" i="1"/>
  <c r="P2237" i="1"/>
  <c r="O2237" i="1"/>
  <c r="N2237" i="1"/>
  <c r="I2237" i="1"/>
  <c r="H2237" i="1"/>
  <c r="V2236" i="1"/>
  <c r="Q2236" i="1"/>
  <c r="P2236" i="1"/>
  <c r="O2236" i="1"/>
  <c r="N2236" i="1"/>
  <c r="I2236" i="1"/>
  <c r="H2236" i="1"/>
  <c r="V2235" i="1"/>
  <c r="Q2235" i="1"/>
  <c r="P2235" i="1"/>
  <c r="O2235" i="1"/>
  <c r="N2235" i="1"/>
  <c r="I2235" i="1"/>
  <c r="H2235" i="1"/>
  <c r="V2234" i="1"/>
  <c r="Q2234" i="1"/>
  <c r="P2234" i="1"/>
  <c r="O2234" i="1"/>
  <c r="N2234" i="1"/>
  <c r="I2234" i="1"/>
  <c r="H2234" i="1"/>
  <c r="V2233" i="1"/>
  <c r="Q2233" i="1"/>
  <c r="P2233" i="1"/>
  <c r="O2233" i="1"/>
  <c r="N2233" i="1"/>
  <c r="I2233" i="1"/>
  <c r="H2233" i="1"/>
  <c r="V2232" i="1"/>
  <c r="Q2232" i="1"/>
  <c r="P2232" i="1"/>
  <c r="O2232" i="1"/>
  <c r="N2232" i="1"/>
  <c r="I2232" i="1"/>
  <c r="H2232" i="1"/>
  <c r="V2231" i="1"/>
  <c r="Q2231" i="1"/>
  <c r="P2231" i="1"/>
  <c r="O2231" i="1"/>
  <c r="N2231" i="1"/>
  <c r="I2231" i="1"/>
  <c r="H2231" i="1"/>
  <c r="V2230" i="1"/>
  <c r="Q2230" i="1"/>
  <c r="P2230" i="1"/>
  <c r="O2230" i="1"/>
  <c r="N2230" i="1"/>
  <c r="I2230" i="1"/>
  <c r="H2230" i="1"/>
  <c r="V2229" i="1"/>
  <c r="Q2229" i="1"/>
  <c r="P2229" i="1"/>
  <c r="O2229" i="1"/>
  <c r="N2229" i="1"/>
  <c r="I2229" i="1"/>
  <c r="H2229" i="1"/>
  <c r="V2228" i="1"/>
  <c r="Q2228" i="1"/>
  <c r="P2228" i="1"/>
  <c r="O2228" i="1"/>
  <c r="N2228" i="1"/>
  <c r="I2228" i="1"/>
  <c r="V2227" i="1"/>
  <c r="Q2227" i="1"/>
  <c r="P2227" i="1"/>
  <c r="O2227" i="1"/>
  <c r="N2227" i="1"/>
  <c r="I2227" i="1"/>
  <c r="V2226" i="1"/>
  <c r="Q2226" i="1"/>
  <c r="P2226" i="1"/>
  <c r="O2226" i="1"/>
  <c r="N2226" i="1"/>
  <c r="V2225" i="1"/>
  <c r="Q2225" i="1"/>
  <c r="P2225" i="1"/>
  <c r="O2225" i="1"/>
  <c r="N2225" i="1"/>
  <c r="V2224" i="1"/>
  <c r="Q2224" i="1"/>
  <c r="P2224" i="1"/>
  <c r="O2224" i="1"/>
  <c r="N2224" i="1"/>
  <c r="V2223" i="1"/>
  <c r="Q2223" i="1"/>
  <c r="P2223" i="1"/>
  <c r="O2223" i="1"/>
  <c r="N2223" i="1"/>
  <c r="V2222" i="1"/>
  <c r="Q2222" i="1"/>
  <c r="P2222" i="1"/>
  <c r="O2222" i="1"/>
  <c r="N2222" i="1"/>
  <c r="V2221" i="1"/>
  <c r="Q2221" i="1"/>
  <c r="P2221" i="1"/>
  <c r="O2221" i="1"/>
  <c r="V2220" i="1"/>
  <c r="Q2220" i="1"/>
  <c r="P2220" i="1"/>
  <c r="O2220" i="1"/>
  <c r="V2219" i="1"/>
  <c r="Q2219" i="1"/>
  <c r="P2219" i="1"/>
  <c r="O2219" i="1"/>
  <c r="V2218" i="1"/>
  <c r="Q2218" i="1"/>
  <c r="P2218" i="1"/>
  <c r="O2218" i="1"/>
  <c r="V2217" i="1"/>
  <c r="Q2217" i="1"/>
  <c r="P2217" i="1"/>
  <c r="O2217" i="1"/>
  <c r="V2216" i="1"/>
  <c r="Q2216" i="1"/>
  <c r="P2216" i="1"/>
  <c r="O2216" i="1"/>
  <c r="V2215" i="1"/>
  <c r="Q2215" i="1"/>
  <c r="P2215" i="1"/>
  <c r="O2215" i="1"/>
  <c r="V2214" i="1"/>
  <c r="Q2214" i="1"/>
  <c r="P2214" i="1"/>
  <c r="O2214" i="1"/>
  <c r="V2213" i="1"/>
  <c r="Q2213" i="1"/>
  <c r="P2213" i="1"/>
  <c r="O2213" i="1"/>
  <c r="V2212" i="1"/>
  <c r="Q2212" i="1"/>
  <c r="P2212" i="1"/>
  <c r="O2212" i="1"/>
  <c r="V2211" i="1"/>
  <c r="Q2211" i="1"/>
  <c r="P2211" i="1"/>
  <c r="O2211" i="1"/>
  <c r="V2210" i="1"/>
  <c r="Q2210" i="1"/>
  <c r="P2210" i="1"/>
  <c r="O2210" i="1"/>
  <c r="V2209" i="1"/>
  <c r="Q2209" i="1"/>
  <c r="P2209" i="1"/>
  <c r="O2209" i="1"/>
  <c r="V2208" i="1"/>
  <c r="Q2208" i="1"/>
  <c r="P2208" i="1"/>
  <c r="O2208" i="1"/>
  <c r="V2207" i="1"/>
  <c r="Q2207" i="1"/>
  <c r="P2207" i="1"/>
  <c r="O2207" i="1"/>
  <c r="V2206" i="1"/>
  <c r="Q2206" i="1"/>
  <c r="P2206" i="1"/>
  <c r="O2206" i="1"/>
  <c r="V2205" i="1"/>
  <c r="Q2205" i="1"/>
  <c r="P2205" i="1"/>
  <c r="O2205" i="1"/>
  <c r="V2204" i="1"/>
  <c r="Q2204" i="1"/>
  <c r="P2204" i="1"/>
  <c r="O2204" i="1"/>
  <c r="V2203" i="1"/>
  <c r="Q2203" i="1"/>
  <c r="P2203" i="1"/>
  <c r="O2203" i="1"/>
  <c r="V2202" i="1"/>
  <c r="Q2202" i="1"/>
  <c r="P2202" i="1"/>
  <c r="O2202" i="1"/>
  <c r="V2201" i="1"/>
  <c r="Q2201" i="1"/>
  <c r="P2201" i="1"/>
  <c r="O2201" i="1"/>
  <c r="V2200" i="1"/>
  <c r="Q2200" i="1"/>
  <c r="P2200" i="1"/>
  <c r="O2200" i="1"/>
  <c r="V2199" i="1"/>
  <c r="Q2199" i="1"/>
  <c r="P2199" i="1"/>
  <c r="O2199" i="1"/>
  <c r="V2198" i="1"/>
  <c r="Q2198" i="1"/>
  <c r="P2198" i="1"/>
  <c r="O2198" i="1"/>
  <c r="V2197" i="1"/>
  <c r="Q2197" i="1"/>
  <c r="P2197" i="1"/>
  <c r="O2197" i="1"/>
  <c r="V2196" i="1"/>
  <c r="Q2196" i="1"/>
  <c r="P2196" i="1"/>
  <c r="O2196" i="1"/>
  <c r="V2195" i="1"/>
  <c r="Q2195" i="1"/>
  <c r="P2195" i="1"/>
  <c r="O2195" i="1"/>
  <c r="V2194" i="1"/>
  <c r="Q2194" i="1"/>
  <c r="P2194" i="1"/>
  <c r="O2194" i="1"/>
  <c r="V2193" i="1"/>
  <c r="Q2193" i="1"/>
  <c r="P2193" i="1"/>
  <c r="O2193" i="1"/>
  <c r="V2192" i="1"/>
  <c r="Q2192" i="1"/>
  <c r="P2192" i="1"/>
  <c r="O2192" i="1"/>
  <c r="V2191" i="1"/>
  <c r="Q2191" i="1"/>
  <c r="P2191" i="1"/>
  <c r="O2191" i="1"/>
  <c r="V2190" i="1"/>
  <c r="Q2190" i="1"/>
  <c r="P2190" i="1"/>
  <c r="O2190" i="1"/>
  <c r="V2189" i="1"/>
  <c r="Q2189" i="1"/>
  <c r="P2189" i="1"/>
  <c r="O2189" i="1"/>
  <c r="V2188" i="1"/>
  <c r="Q2188" i="1"/>
  <c r="P2188" i="1"/>
  <c r="O2188" i="1"/>
  <c r="V2187" i="1"/>
  <c r="Q2187" i="1"/>
  <c r="P2187" i="1"/>
  <c r="O2187" i="1"/>
  <c r="V2186" i="1"/>
  <c r="Q2186" i="1"/>
  <c r="P2186" i="1"/>
  <c r="O2186" i="1"/>
  <c r="V2185" i="1"/>
  <c r="Q2185" i="1"/>
  <c r="P2185" i="1"/>
  <c r="O2185" i="1"/>
  <c r="V2184" i="1"/>
  <c r="Q2184" i="1"/>
  <c r="P2184" i="1"/>
  <c r="O2184" i="1"/>
  <c r="V2183" i="1"/>
  <c r="Q2183" i="1"/>
  <c r="P2183" i="1"/>
  <c r="O2183" i="1"/>
  <c r="V2182" i="1"/>
  <c r="Q2182" i="1"/>
  <c r="P2182" i="1"/>
  <c r="O2182" i="1"/>
  <c r="V2181" i="1"/>
  <c r="Q2181" i="1"/>
  <c r="P2181" i="1"/>
  <c r="O2181" i="1"/>
  <c r="V2180" i="1"/>
  <c r="Q2180" i="1"/>
  <c r="P2180" i="1"/>
  <c r="O2180" i="1"/>
  <c r="V2179" i="1"/>
  <c r="Q2179" i="1"/>
  <c r="P2179" i="1"/>
  <c r="O2179" i="1"/>
  <c r="V2178" i="1"/>
  <c r="Q2178" i="1"/>
  <c r="P2178" i="1"/>
  <c r="O2178" i="1"/>
  <c r="V2177" i="1"/>
  <c r="Q2177" i="1"/>
  <c r="P2177" i="1"/>
  <c r="O2177" i="1"/>
  <c r="V2176" i="1"/>
  <c r="Q2176" i="1"/>
  <c r="P2176" i="1"/>
  <c r="O2176" i="1"/>
  <c r="V2175" i="1"/>
  <c r="Q2175" i="1"/>
  <c r="P2175" i="1"/>
  <c r="O2175" i="1"/>
  <c r="V2174" i="1"/>
  <c r="Q2174" i="1"/>
  <c r="P2174" i="1"/>
  <c r="O2174" i="1"/>
  <c r="V2173" i="1"/>
  <c r="Q2173" i="1"/>
  <c r="P2173" i="1"/>
  <c r="O2173" i="1"/>
  <c r="V2172" i="1"/>
  <c r="Q2172" i="1"/>
  <c r="P2172" i="1"/>
  <c r="O2172" i="1"/>
  <c r="V2171" i="1"/>
  <c r="Q2171" i="1"/>
  <c r="P2171" i="1"/>
  <c r="O2171" i="1"/>
  <c r="V2170" i="1"/>
  <c r="Q2170" i="1"/>
  <c r="P2170" i="1"/>
  <c r="O2170" i="1"/>
  <c r="V2169" i="1"/>
  <c r="Q2169" i="1"/>
  <c r="P2169" i="1"/>
  <c r="O2169" i="1"/>
  <c r="V2168" i="1"/>
  <c r="Q2168" i="1"/>
  <c r="P2168" i="1"/>
  <c r="O2168" i="1"/>
  <c r="V2167" i="1"/>
  <c r="Q2167" i="1"/>
  <c r="P2167" i="1"/>
  <c r="O2167" i="1"/>
  <c r="V2166" i="1"/>
  <c r="Q2166" i="1"/>
  <c r="P2166" i="1"/>
  <c r="O2166" i="1"/>
  <c r="V2165" i="1"/>
  <c r="Q2165" i="1"/>
  <c r="P2165" i="1"/>
  <c r="O2165" i="1"/>
  <c r="V2164" i="1"/>
  <c r="Q2164" i="1"/>
  <c r="P2164" i="1"/>
  <c r="O2164" i="1"/>
  <c r="V2163" i="1"/>
  <c r="Q2163" i="1"/>
  <c r="P2163" i="1"/>
  <c r="O2163" i="1"/>
  <c r="V2162" i="1"/>
  <c r="Q2162" i="1"/>
  <c r="P2162" i="1"/>
  <c r="O2162" i="1"/>
  <c r="V2161" i="1"/>
  <c r="Q2161" i="1"/>
  <c r="P2161" i="1"/>
  <c r="O2161" i="1"/>
  <c r="V2160" i="1"/>
  <c r="Q2160" i="1"/>
  <c r="P2160" i="1"/>
  <c r="O2160" i="1"/>
  <c r="V2159" i="1"/>
  <c r="Q2159" i="1"/>
  <c r="P2159" i="1"/>
  <c r="O2159" i="1"/>
  <c r="V2158" i="1"/>
  <c r="Q2158" i="1"/>
  <c r="P2158" i="1"/>
  <c r="O2158" i="1"/>
  <c r="V2157" i="1"/>
  <c r="Q2157" i="1"/>
  <c r="P2157" i="1"/>
  <c r="O2157" i="1"/>
  <c r="V2156" i="1"/>
  <c r="Q2156" i="1"/>
  <c r="P2156" i="1"/>
  <c r="O2156" i="1"/>
  <c r="V2155" i="1"/>
  <c r="Q2155" i="1"/>
  <c r="P2155" i="1"/>
  <c r="O2155" i="1"/>
  <c r="V2154" i="1"/>
  <c r="Q2154" i="1"/>
  <c r="P2154" i="1"/>
  <c r="O2154" i="1"/>
  <c r="V2153" i="1"/>
  <c r="Q2153" i="1"/>
  <c r="P2153" i="1"/>
  <c r="O2153" i="1"/>
  <c r="V2152" i="1"/>
  <c r="Q2152" i="1"/>
  <c r="P2152" i="1"/>
  <c r="O2152" i="1"/>
  <c r="V2151" i="1"/>
  <c r="Q2151" i="1"/>
  <c r="P2151" i="1"/>
  <c r="O2151" i="1"/>
  <c r="V2150" i="1"/>
  <c r="Q2150" i="1"/>
  <c r="P2150" i="1"/>
  <c r="O2150" i="1"/>
  <c r="V2149" i="1"/>
  <c r="Q2149" i="1"/>
  <c r="P2149" i="1"/>
  <c r="O2149" i="1"/>
  <c r="V2148" i="1"/>
  <c r="Q2148" i="1"/>
  <c r="P2148" i="1"/>
  <c r="O2148" i="1"/>
  <c r="V2147" i="1"/>
  <c r="Q2147" i="1"/>
  <c r="P2147" i="1"/>
  <c r="O2147" i="1"/>
  <c r="V2146" i="1"/>
  <c r="Q2146" i="1"/>
  <c r="P2146" i="1"/>
  <c r="O2146" i="1"/>
  <c r="V2145" i="1"/>
  <c r="Q2145" i="1"/>
  <c r="P2145" i="1"/>
  <c r="O2145" i="1"/>
  <c r="V2144" i="1"/>
  <c r="Q2144" i="1"/>
  <c r="P2144" i="1"/>
  <c r="O2144" i="1"/>
  <c r="V2143" i="1"/>
  <c r="Q2143" i="1"/>
  <c r="P2143" i="1"/>
  <c r="O2143" i="1"/>
  <c r="V2142" i="1"/>
  <c r="Q2142" i="1"/>
  <c r="P2142" i="1"/>
  <c r="O2142" i="1"/>
  <c r="V2141" i="1"/>
  <c r="Q2141" i="1"/>
  <c r="P2141" i="1"/>
  <c r="O2141" i="1"/>
  <c r="V2140" i="1"/>
  <c r="Q2140" i="1"/>
  <c r="P2140" i="1"/>
  <c r="O2140" i="1"/>
  <c r="V2139" i="1"/>
  <c r="Q2139" i="1"/>
  <c r="P2139" i="1"/>
  <c r="O2139" i="1"/>
  <c r="V2138" i="1"/>
  <c r="Q2138" i="1"/>
  <c r="P2138" i="1"/>
  <c r="O2138" i="1"/>
  <c r="V2137" i="1"/>
  <c r="Q2137" i="1"/>
  <c r="P2137" i="1"/>
  <c r="O2137" i="1"/>
  <c r="V2136" i="1"/>
  <c r="Q2136" i="1"/>
  <c r="P2136" i="1"/>
  <c r="O2136" i="1"/>
  <c r="V2135" i="1"/>
  <c r="Q2135" i="1"/>
  <c r="P2135" i="1"/>
  <c r="O2135" i="1"/>
  <c r="V2134" i="1"/>
  <c r="Q2134" i="1"/>
  <c r="P2134" i="1"/>
  <c r="O2134" i="1"/>
  <c r="V2133" i="1"/>
  <c r="Q2133" i="1"/>
  <c r="P2133" i="1"/>
  <c r="O2133" i="1"/>
  <c r="V2132" i="1"/>
  <c r="Q2132" i="1"/>
  <c r="P2132" i="1"/>
  <c r="O2132" i="1"/>
  <c r="V2131" i="1"/>
  <c r="Q2131" i="1"/>
  <c r="P2131" i="1"/>
  <c r="O2131" i="1"/>
  <c r="V2130" i="1"/>
  <c r="Q2130" i="1"/>
  <c r="P2130" i="1"/>
  <c r="O2130" i="1"/>
  <c r="V2129" i="1"/>
  <c r="Q2129" i="1"/>
  <c r="P2129" i="1"/>
  <c r="O2129" i="1"/>
  <c r="V2128" i="1"/>
  <c r="Q2128" i="1"/>
  <c r="P2128" i="1"/>
  <c r="O2128" i="1"/>
  <c r="V2127" i="1"/>
  <c r="Q2127" i="1"/>
  <c r="P2127" i="1"/>
  <c r="O2127" i="1"/>
  <c r="V2126" i="1"/>
  <c r="Q2126" i="1"/>
  <c r="P2126" i="1"/>
  <c r="O2126" i="1"/>
  <c r="V2125" i="1"/>
  <c r="Q2125" i="1"/>
  <c r="P2125" i="1"/>
  <c r="O2125" i="1"/>
  <c r="V2124" i="1"/>
  <c r="Q2124" i="1"/>
  <c r="P2124" i="1"/>
  <c r="O2124" i="1"/>
  <c r="V2123" i="1"/>
  <c r="Q2123" i="1"/>
  <c r="P2123" i="1"/>
  <c r="O2123" i="1"/>
  <c r="V2122" i="1"/>
  <c r="Q2122" i="1"/>
  <c r="P2122" i="1"/>
  <c r="O2122" i="1"/>
  <c r="V2121" i="1"/>
  <c r="Q2121" i="1"/>
  <c r="P2121" i="1"/>
  <c r="O2121" i="1"/>
  <c r="V2120" i="1"/>
  <c r="Q2120" i="1"/>
  <c r="P2120" i="1"/>
  <c r="O2120" i="1"/>
  <c r="V2119" i="1"/>
  <c r="Q2119" i="1"/>
  <c r="P2119" i="1"/>
  <c r="O2119" i="1"/>
  <c r="V2118" i="1"/>
  <c r="Q2118" i="1"/>
  <c r="P2118" i="1"/>
  <c r="O2118" i="1"/>
  <c r="V2117" i="1"/>
  <c r="Q2117" i="1"/>
  <c r="P2117" i="1"/>
  <c r="O2117" i="1"/>
  <c r="V2116" i="1"/>
  <c r="Q2116" i="1"/>
  <c r="P2116" i="1"/>
  <c r="O2116" i="1"/>
  <c r="V2115" i="1"/>
  <c r="Q2115" i="1"/>
  <c r="P2115" i="1"/>
  <c r="O2115" i="1"/>
  <c r="V2114" i="1"/>
  <c r="Q2114" i="1"/>
  <c r="P2114" i="1"/>
  <c r="O2114" i="1"/>
  <c r="V2113" i="1"/>
  <c r="Q2113" i="1"/>
  <c r="P2113" i="1"/>
  <c r="O2113" i="1"/>
  <c r="V2112" i="1"/>
  <c r="Q2112" i="1"/>
  <c r="P2112" i="1"/>
  <c r="O2112" i="1"/>
  <c r="V2111" i="1"/>
  <c r="Q2111" i="1"/>
  <c r="P2111" i="1"/>
  <c r="O2111" i="1"/>
  <c r="V2110" i="1"/>
  <c r="Q2110" i="1"/>
  <c r="P2110" i="1"/>
  <c r="O2110" i="1"/>
  <c r="V2109" i="1"/>
  <c r="Q2109" i="1"/>
  <c r="P2109" i="1"/>
  <c r="O2109" i="1"/>
  <c r="V2108" i="1"/>
  <c r="Q2108" i="1"/>
  <c r="P2108" i="1"/>
  <c r="O2108" i="1"/>
  <c r="V2107" i="1"/>
  <c r="Q2107" i="1"/>
  <c r="P2107" i="1"/>
  <c r="O2107" i="1"/>
  <c r="V2106" i="1"/>
  <c r="Q2106" i="1"/>
  <c r="P2106" i="1"/>
  <c r="O2106" i="1"/>
  <c r="V2105" i="1"/>
  <c r="Q2105" i="1"/>
  <c r="P2105" i="1"/>
  <c r="O2105" i="1"/>
  <c r="V2104" i="1"/>
  <c r="Q2104" i="1"/>
  <c r="P2104" i="1"/>
  <c r="O2104" i="1"/>
  <c r="V2103" i="1"/>
  <c r="Q2103" i="1"/>
  <c r="P2103" i="1"/>
  <c r="O2103" i="1"/>
  <c r="V2102" i="1"/>
  <c r="Q2102" i="1"/>
  <c r="P2102" i="1"/>
  <c r="O2102" i="1"/>
  <c r="V2101" i="1"/>
  <c r="Q2101" i="1"/>
  <c r="P2101" i="1"/>
  <c r="O2101" i="1"/>
  <c r="V2100" i="1"/>
  <c r="Q2100" i="1"/>
  <c r="P2100" i="1"/>
  <c r="O2100" i="1"/>
  <c r="V2099" i="1"/>
  <c r="Q2099" i="1"/>
  <c r="P2099" i="1"/>
  <c r="O2099" i="1"/>
  <c r="V2098" i="1"/>
  <c r="Q2098" i="1"/>
  <c r="P2098" i="1"/>
  <c r="O2098" i="1"/>
  <c r="V2097" i="1"/>
  <c r="Q2097" i="1"/>
  <c r="P2097" i="1"/>
  <c r="O2097" i="1"/>
  <c r="V2096" i="1"/>
  <c r="Q2096" i="1"/>
  <c r="P2096" i="1"/>
  <c r="O2096" i="1"/>
  <c r="V2095" i="1"/>
  <c r="Q2095" i="1"/>
  <c r="P2095" i="1"/>
  <c r="O2095" i="1"/>
  <c r="V2094" i="1"/>
  <c r="Q2094" i="1"/>
  <c r="P2094" i="1"/>
  <c r="O2094" i="1"/>
  <c r="V2093" i="1"/>
  <c r="Q2093" i="1"/>
  <c r="P2093" i="1"/>
  <c r="O2093" i="1"/>
  <c r="V2092" i="1"/>
  <c r="Q2092" i="1"/>
  <c r="P2092" i="1"/>
  <c r="O2092" i="1"/>
  <c r="V2091" i="1"/>
  <c r="Q2091" i="1"/>
  <c r="P2091" i="1"/>
  <c r="O2091" i="1"/>
  <c r="V2090" i="1"/>
  <c r="Q2090" i="1"/>
  <c r="P2090" i="1"/>
  <c r="O2090" i="1"/>
  <c r="V2089" i="1"/>
  <c r="Q2089" i="1"/>
  <c r="P2089" i="1"/>
  <c r="O2089" i="1"/>
  <c r="V2088" i="1"/>
  <c r="Q2088" i="1"/>
  <c r="P2088" i="1"/>
  <c r="O2088" i="1"/>
  <c r="V2087" i="1"/>
  <c r="Q2087" i="1"/>
  <c r="P2087" i="1"/>
  <c r="O2087" i="1"/>
  <c r="V2086" i="1"/>
  <c r="Q2086" i="1"/>
  <c r="P2086" i="1"/>
  <c r="O2086" i="1"/>
  <c r="V2085" i="1"/>
  <c r="Q2085" i="1"/>
  <c r="P2085" i="1"/>
  <c r="O2085" i="1"/>
  <c r="V2084" i="1"/>
  <c r="Q2084" i="1"/>
  <c r="P2084" i="1"/>
  <c r="O2084" i="1"/>
  <c r="V2083" i="1"/>
  <c r="Q2083" i="1"/>
  <c r="P2083" i="1"/>
  <c r="O2083" i="1"/>
  <c r="V2082" i="1"/>
  <c r="Q2082" i="1"/>
  <c r="P2082" i="1"/>
  <c r="O2082" i="1"/>
  <c r="V2081" i="1"/>
  <c r="Q2081" i="1"/>
  <c r="P2081" i="1"/>
  <c r="O2081" i="1"/>
  <c r="V2080" i="1"/>
  <c r="Q2080" i="1"/>
  <c r="P2080" i="1"/>
  <c r="O2080" i="1"/>
  <c r="V2079" i="1"/>
  <c r="Q2079" i="1"/>
  <c r="P2079" i="1"/>
  <c r="O2079" i="1"/>
  <c r="V2078" i="1"/>
  <c r="Q2078" i="1"/>
  <c r="P2078" i="1"/>
  <c r="O2078" i="1"/>
  <c r="V2077" i="1"/>
  <c r="Q2077" i="1"/>
  <c r="P2077" i="1"/>
  <c r="O2077" i="1"/>
  <c r="V2076" i="1"/>
  <c r="Q2076" i="1"/>
  <c r="P2076" i="1"/>
  <c r="O2076" i="1"/>
  <c r="V2075" i="1"/>
  <c r="Q2075" i="1"/>
  <c r="P2075" i="1"/>
  <c r="O2075" i="1"/>
  <c r="V2074" i="1"/>
  <c r="Q2074" i="1"/>
  <c r="P2074" i="1"/>
  <c r="O2074" i="1"/>
  <c r="V2073" i="1"/>
  <c r="Q2073" i="1"/>
  <c r="P2073" i="1"/>
  <c r="O2073" i="1"/>
  <c r="V2072" i="1"/>
  <c r="Q2072" i="1"/>
  <c r="P2072" i="1"/>
  <c r="O2072" i="1"/>
  <c r="V2071" i="1"/>
  <c r="Q2071" i="1"/>
  <c r="P2071" i="1"/>
  <c r="O2071" i="1"/>
  <c r="V2070" i="1"/>
  <c r="Q2070" i="1"/>
  <c r="P2070" i="1"/>
  <c r="O2070" i="1"/>
  <c r="V2069" i="1"/>
  <c r="Q2069" i="1"/>
  <c r="P2069" i="1"/>
  <c r="O2069" i="1"/>
  <c r="V2068" i="1"/>
  <c r="Q2068" i="1"/>
  <c r="P2068" i="1"/>
  <c r="O2068" i="1"/>
  <c r="V2067" i="1"/>
  <c r="Q2067" i="1"/>
  <c r="P2067" i="1"/>
  <c r="O2067" i="1"/>
  <c r="V2066" i="1"/>
  <c r="Q2066" i="1"/>
  <c r="P2066" i="1"/>
  <c r="O2066" i="1"/>
  <c r="V2065" i="1"/>
  <c r="Q2065" i="1"/>
  <c r="P2065" i="1"/>
  <c r="O2065" i="1"/>
  <c r="V2064" i="1"/>
  <c r="Q2064" i="1"/>
  <c r="P2064" i="1"/>
  <c r="O2064" i="1"/>
  <c r="V2063" i="1"/>
  <c r="Q2063" i="1"/>
  <c r="P2063" i="1"/>
  <c r="O2063" i="1"/>
  <c r="V2062" i="1"/>
  <c r="Q2062" i="1"/>
  <c r="P2062" i="1"/>
  <c r="O2062" i="1"/>
  <c r="V2061" i="1"/>
  <c r="Q2061" i="1"/>
  <c r="P2061" i="1"/>
  <c r="O2061" i="1"/>
  <c r="V2060" i="1"/>
  <c r="Q2060" i="1"/>
  <c r="P2060" i="1"/>
  <c r="O2060" i="1"/>
  <c r="V2059" i="1"/>
  <c r="Q2059" i="1"/>
  <c r="P2059" i="1"/>
  <c r="O2059" i="1"/>
  <c r="V2058" i="1"/>
  <c r="Q2058" i="1"/>
  <c r="P2058" i="1"/>
  <c r="O2058" i="1"/>
  <c r="V2057" i="1"/>
  <c r="Q2057" i="1"/>
  <c r="P2057" i="1"/>
  <c r="O2057" i="1"/>
  <c r="V2056" i="1"/>
  <c r="Q2056" i="1"/>
  <c r="P2056" i="1"/>
  <c r="O2056" i="1"/>
  <c r="V2055" i="1"/>
  <c r="Q2055" i="1"/>
  <c r="P2055" i="1"/>
  <c r="O2055" i="1"/>
  <c r="V2054" i="1"/>
  <c r="Q2054" i="1"/>
  <c r="P2054" i="1"/>
  <c r="O2054" i="1"/>
  <c r="V2053" i="1"/>
  <c r="Q2053" i="1"/>
  <c r="P2053" i="1"/>
  <c r="O2053" i="1"/>
  <c r="V2052" i="1"/>
  <c r="Q2052" i="1"/>
  <c r="P2052" i="1"/>
  <c r="O2052" i="1"/>
  <c r="V2051" i="1"/>
  <c r="Q2051" i="1"/>
  <c r="P2051" i="1"/>
  <c r="O2051" i="1"/>
  <c r="V2050" i="1"/>
  <c r="Q2050" i="1"/>
  <c r="P2050" i="1"/>
  <c r="O2050" i="1"/>
  <c r="V2049" i="1"/>
  <c r="Q2049" i="1"/>
  <c r="P2049" i="1"/>
  <c r="O2049" i="1"/>
  <c r="V2048" i="1"/>
  <c r="Q2048" i="1"/>
  <c r="P2048" i="1"/>
  <c r="O2048" i="1"/>
  <c r="V2047" i="1"/>
  <c r="Q2047" i="1"/>
  <c r="P2047" i="1"/>
  <c r="O2047" i="1"/>
  <c r="V2046" i="1"/>
  <c r="Q2046" i="1"/>
  <c r="P2046" i="1"/>
  <c r="O2046" i="1"/>
  <c r="V2045" i="1"/>
  <c r="Q2045" i="1"/>
  <c r="P2045" i="1"/>
  <c r="O2045" i="1"/>
  <c r="V2044" i="1"/>
  <c r="Q2044" i="1"/>
  <c r="P2044" i="1"/>
  <c r="O2044" i="1"/>
  <c r="V2043" i="1"/>
  <c r="Q2043" i="1"/>
  <c r="P2043" i="1"/>
  <c r="O2043" i="1"/>
  <c r="V2042" i="1"/>
  <c r="Q2042" i="1"/>
  <c r="P2042" i="1"/>
  <c r="O2042" i="1"/>
  <c r="V2041" i="1"/>
  <c r="Q2041" i="1"/>
  <c r="P2041" i="1"/>
  <c r="O2041" i="1"/>
  <c r="V2040" i="1"/>
  <c r="Q2040" i="1"/>
  <c r="P2040" i="1"/>
  <c r="O2040" i="1"/>
  <c r="V2039" i="1"/>
  <c r="Q2039" i="1"/>
  <c r="P2039" i="1"/>
  <c r="O2039" i="1"/>
  <c r="V2038" i="1"/>
  <c r="Q2038" i="1"/>
  <c r="P2038" i="1"/>
  <c r="O2038" i="1"/>
  <c r="V2037" i="1"/>
  <c r="Q2037" i="1"/>
  <c r="P2037" i="1"/>
  <c r="O2037" i="1"/>
  <c r="V2036" i="1"/>
  <c r="Q2036" i="1"/>
  <c r="P2036" i="1"/>
  <c r="O2036" i="1"/>
  <c r="V2035" i="1"/>
  <c r="Q2035" i="1"/>
  <c r="P2035" i="1"/>
  <c r="O2035" i="1"/>
  <c r="V2034" i="1"/>
  <c r="Q2034" i="1"/>
  <c r="P2034" i="1"/>
  <c r="O2034" i="1"/>
  <c r="V2033" i="1"/>
  <c r="Q2033" i="1"/>
  <c r="P2033" i="1"/>
  <c r="O2033" i="1"/>
  <c r="V2032" i="1"/>
  <c r="Q2032" i="1"/>
  <c r="P2032" i="1"/>
  <c r="O2032" i="1"/>
  <c r="V2031" i="1"/>
  <c r="Q2031" i="1"/>
  <c r="P2031" i="1"/>
  <c r="O2031" i="1"/>
  <c r="V2030" i="1"/>
  <c r="Q2030" i="1"/>
  <c r="P2030" i="1"/>
  <c r="O2030" i="1"/>
  <c r="V2029" i="1"/>
  <c r="Q2029" i="1"/>
  <c r="P2029" i="1"/>
  <c r="O2029" i="1"/>
  <c r="V2028" i="1"/>
  <c r="Q2028" i="1"/>
  <c r="P2028" i="1"/>
  <c r="O2028" i="1"/>
  <c r="V2027" i="1"/>
  <c r="Q2027" i="1"/>
  <c r="P2027" i="1"/>
  <c r="O2027" i="1"/>
  <c r="V2026" i="1"/>
  <c r="Q2026" i="1"/>
  <c r="P2026" i="1"/>
  <c r="O2026" i="1"/>
  <c r="V2025" i="1"/>
  <c r="Q2025" i="1"/>
  <c r="P2025" i="1"/>
  <c r="O2025" i="1"/>
  <c r="V2024" i="1"/>
  <c r="Q2024" i="1"/>
  <c r="P2024" i="1"/>
  <c r="O2024" i="1"/>
  <c r="V2023" i="1"/>
  <c r="Q2023" i="1"/>
  <c r="P2023" i="1"/>
  <c r="O2023" i="1"/>
  <c r="V2022" i="1"/>
  <c r="Q2022" i="1"/>
  <c r="P2022" i="1"/>
  <c r="O2022" i="1"/>
  <c r="V2021" i="1"/>
  <c r="Q2021" i="1"/>
  <c r="P2021" i="1"/>
  <c r="O2021" i="1"/>
  <c r="V2020" i="1"/>
  <c r="Q2020" i="1"/>
  <c r="P2020" i="1"/>
  <c r="O2020" i="1"/>
  <c r="V2019" i="1"/>
  <c r="Q2019" i="1"/>
  <c r="P2019" i="1"/>
  <c r="O2019" i="1"/>
  <c r="V2018" i="1"/>
  <c r="Q2018" i="1"/>
  <c r="P2018" i="1"/>
  <c r="O2018" i="1"/>
  <c r="V2017" i="1"/>
  <c r="Q2017" i="1"/>
  <c r="P2017" i="1"/>
  <c r="O2017" i="1"/>
  <c r="V2016" i="1"/>
  <c r="Q2016" i="1"/>
  <c r="P2016" i="1"/>
  <c r="O2016" i="1"/>
  <c r="V2015" i="1"/>
  <c r="Q2015" i="1"/>
  <c r="P2015" i="1"/>
  <c r="O2015" i="1"/>
  <c r="V2014" i="1"/>
  <c r="Q2014" i="1"/>
  <c r="P2014" i="1"/>
  <c r="O2014" i="1"/>
  <c r="V2013" i="1"/>
  <c r="Q2013" i="1"/>
  <c r="P2013" i="1"/>
  <c r="O2013" i="1"/>
  <c r="V2012" i="1"/>
  <c r="Q2012" i="1"/>
  <c r="P2012" i="1"/>
  <c r="O2012" i="1"/>
  <c r="V2011" i="1"/>
  <c r="Q2011" i="1"/>
  <c r="P2011" i="1"/>
  <c r="O2011" i="1"/>
  <c r="V2010" i="1"/>
  <c r="Q2010" i="1"/>
  <c r="P2010" i="1"/>
  <c r="O2010" i="1"/>
  <c r="V2009" i="1"/>
  <c r="Q2009" i="1"/>
  <c r="P2009" i="1"/>
  <c r="O2009" i="1"/>
  <c r="V2008" i="1"/>
  <c r="Q2008" i="1"/>
  <c r="P2008" i="1"/>
  <c r="O2008" i="1"/>
  <c r="V2007" i="1"/>
  <c r="Q2007" i="1"/>
  <c r="P2007" i="1"/>
  <c r="O2007" i="1"/>
  <c r="V2006" i="1"/>
  <c r="Q2006" i="1"/>
  <c r="P2006" i="1"/>
  <c r="O2006" i="1"/>
  <c r="V2005" i="1"/>
  <c r="Q2005" i="1"/>
  <c r="P2005" i="1"/>
  <c r="O2005" i="1"/>
  <c r="V2004" i="1"/>
  <c r="Q2004" i="1"/>
  <c r="P2004" i="1"/>
  <c r="O2004" i="1"/>
  <c r="V2003" i="1"/>
  <c r="Q2003" i="1"/>
  <c r="P2003" i="1"/>
  <c r="O2003" i="1"/>
  <c r="V2002" i="1"/>
  <c r="Q2002" i="1"/>
  <c r="P2002" i="1"/>
  <c r="O2002" i="1"/>
  <c r="V2001" i="1"/>
  <c r="Q2001" i="1"/>
  <c r="P2001" i="1"/>
  <c r="O2001" i="1"/>
  <c r="V2000" i="1"/>
  <c r="Q2000" i="1"/>
  <c r="P2000" i="1"/>
  <c r="O2000" i="1"/>
  <c r="V1999" i="1"/>
  <c r="Q1999" i="1"/>
  <c r="P1999" i="1"/>
  <c r="O1999" i="1"/>
  <c r="V1998" i="1"/>
  <c r="Q1998" i="1"/>
  <c r="P1998" i="1"/>
  <c r="O1998" i="1"/>
  <c r="V1997" i="1"/>
  <c r="Q1997" i="1"/>
  <c r="P1997" i="1"/>
  <c r="O1997" i="1"/>
  <c r="V1996" i="1"/>
  <c r="Q1996" i="1"/>
  <c r="P1996" i="1"/>
  <c r="O1996" i="1"/>
  <c r="V1995" i="1"/>
  <c r="Q1995" i="1"/>
  <c r="P1995" i="1"/>
  <c r="O1995" i="1"/>
  <c r="V1994" i="1"/>
  <c r="Q1994" i="1"/>
  <c r="P1994" i="1"/>
  <c r="O1994" i="1"/>
  <c r="V1993" i="1"/>
  <c r="Q1993" i="1"/>
  <c r="P1993" i="1"/>
  <c r="O1993" i="1"/>
  <c r="V1992" i="1"/>
  <c r="Q1992" i="1"/>
  <c r="P1992" i="1"/>
  <c r="O1992" i="1"/>
  <c r="V1991" i="1"/>
  <c r="Q1991" i="1"/>
  <c r="P1991" i="1"/>
  <c r="O1991" i="1"/>
  <c r="V1990" i="1"/>
  <c r="Q1990" i="1"/>
  <c r="P1990" i="1"/>
  <c r="O1990" i="1"/>
  <c r="V1989" i="1"/>
  <c r="Q1989" i="1"/>
  <c r="P1989" i="1"/>
  <c r="O1989" i="1"/>
  <c r="V1988" i="1"/>
  <c r="Q1988" i="1"/>
  <c r="P1988" i="1"/>
  <c r="O1988" i="1"/>
  <c r="V1987" i="1"/>
  <c r="Q1987" i="1"/>
  <c r="P1987" i="1"/>
  <c r="O1987" i="1"/>
  <c r="V1986" i="1"/>
  <c r="Q1986" i="1"/>
  <c r="P1986" i="1"/>
  <c r="O1986" i="1"/>
  <c r="V1985" i="1"/>
  <c r="Q1985" i="1"/>
  <c r="P1985" i="1"/>
  <c r="O1985" i="1"/>
  <c r="V1984" i="1"/>
  <c r="Q1984" i="1"/>
  <c r="P1984" i="1"/>
  <c r="O1984" i="1"/>
  <c r="V1983" i="1"/>
  <c r="Q1983" i="1"/>
  <c r="P1983" i="1"/>
  <c r="O1983" i="1"/>
  <c r="V1982" i="1"/>
  <c r="Q1982" i="1"/>
  <c r="P1982" i="1"/>
  <c r="O1982" i="1"/>
  <c r="V1981" i="1"/>
  <c r="Q1981" i="1"/>
  <c r="P1981" i="1"/>
  <c r="O1981" i="1"/>
  <c r="V1980" i="1"/>
  <c r="Q1980" i="1"/>
  <c r="P1980" i="1"/>
  <c r="O1980" i="1"/>
  <c r="V1979" i="1"/>
  <c r="Q1979" i="1"/>
  <c r="P1979" i="1"/>
  <c r="O1979" i="1"/>
  <c r="V1978" i="1"/>
  <c r="Q1978" i="1"/>
  <c r="P1978" i="1"/>
  <c r="O1978" i="1"/>
  <c r="V1977" i="1"/>
  <c r="Q1977" i="1"/>
  <c r="P1977" i="1"/>
  <c r="O1977" i="1"/>
  <c r="V1976" i="1"/>
  <c r="Q1976" i="1"/>
  <c r="P1976" i="1"/>
  <c r="O1976" i="1"/>
  <c r="V1975" i="1"/>
  <c r="Q1975" i="1"/>
  <c r="P1975" i="1"/>
  <c r="O1975" i="1"/>
  <c r="V1974" i="1"/>
  <c r="Q1974" i="1"/>
  <c r="P1974" i="1"/>
  <c r="O1974" i="1"/>
  <c r="V1973" i="1"/>
  <c r="Q1973" i="1"/>
  <c r="P1973" i="1"/>
  <c r="O1973" i="1"/>
  <c r="V1972" i="1"/>
  <c r="Q1972" i="1"/>
  <c r="P1972" i="1"/>
  <c r="O1972" i="1"/>
  <c r="V1971" i="1"/>
  <c r="Q1971" i="1"/>
  <c r="P1971" i="1"/>
  <c r="O1971" i="1"/>
  <c r="V1970" i="1"/>
  <c r="Q1970" i="1"/>
  <c r="P1970" i="1"/>
  <c r="O1970" i="1"/>
  <c r="V1969" i="1"/>
  <c r="Q1969" i="1"/>
  <c r="P1969" i="1"/>
  <c r="O1969" i="1"/>
  <c r="V1968" i="1"/>
  <c r="Q1968" i="1"/>
  <c r="P1968" i="1"/>
  <c r="O1968" i="1"/>
  <c r="V1967" i="1"/>
  <c r="Q1967" i="1"/>
  <c r="P1967" i="1"/>
  <c r="O1967" i="1"/>
  <c r="V1966" i="1"/>
  <c r="Q1966" i="1"/>
  <c r="P1966" i="1"/>
  <c r="O1966" i="1"/>
  <c r="V1965" i="1"/>
  <c r="Q1965" i="1"/>
  <c r="P1965" i="1"/>
  <c r="O1965" i="1"/>
  <c r="V1964" i="1"/>
  <c r="Q1964" i="1"/>
  <c r="P1964" i="1"/>
  <c r="O1964" i="1"/>
  <c r="V1963" i="1"/>
  <c r="Q1963" i="1"/>
  <c r="P1963" i="1"/>
  <c r="O1963" i="1"/>
  <c r="V1962" i="1"/>
  <c r="Q1962" i="1"/>
  <c r="P1962" i="1"/>
  <c r="O1962" i="1"/>
  <c r="V1961" i="1"/>
  <c r="Q1961" i="1"/>
  <c r="P1961" i="1"/>
  <c r="O1961" i="1"/>
  <c r="V1960" i="1"/>
  <c r="Q1960" i="1"/>
  <c r="P1960" i="1"/>
  <c r="O1960" i="1"/>
  <c r="V1959" i="1"/>
  <c r="Q1959" i="1"/>
  <c r="P1959" i="1"/>
  <c r="O1959" i="1"/>
  <c r="V1958" i="1"/>
  <c r="Q1958" i="1"/>
  <c r="P1958" i="1"/>
  <c r="O1958" i="1"/>
  <c r="V1957" i="1"/>
  <c r="Q1957" i="1"/>
  <c r="P1957" i="1"/>
  <c r="O1957" i="1"/>
  <c r="V1956" i="1"/>
  <c r="Q1956" i="1"/>
  <c r="P1956" i="1"/>
  <c r="O1956" i="1"/>
  <c r="V1955" i="1"/>
  <c r="Q1955" i="1"/>
  <c r="P1955" i="1"/>
  <c r="O1955" i="1"/>
  <c r="V1954" i="1"/>
  <c r="Q1954" i="1"/>
  <c r="P1954" i="1"/>
  <c r="O1954" i="1"/>
  <c r="V1953" i="1"/>
  <c r="Q1953" i="1"/>
  <c r="P1953" i="1"/>
  <c r="O1953" i="1"/>
  <c r="V1952" i="1"/>
  <c r="Q1952" i="1"/>
  <c r="P1952" i="1"/>
  <c r="O1952" i="1"/>
  <c r="V1951" i="1"/>
  <c r="Q1951" i="1"/>
  <c r="P1951" i="1"/>
  <c r="O1951" i="1"/>
  <c r="V1950" i="1"/>
  <c r="Q1950" i="1"/>
  <c r="P1950" i="1"/>
  <c r="O1950" i="1"/>
  <c r="V1949" i="1"/>
  <c r="Q1949" i="1"/>
  <c r="P1949" i="1"/>
  <c r="O1949" i="1"/>
  <c r="V1948" i="1"/>
  <c r="Q1948" i="1"/>
  <c r="P1948" i="1"/>
  <c r="O1948" i="1"/>
  <c r="V1947" i="1"/>
  <c r="Q1947" i="1"/>
  <c r="P1947" i="1"/>
  <c r="O1947" i="1"/>
  <c r="V1946" i="1"/>
  <c r="Q1946" i="1"/>
  <c r="P1946" i="1"/>
  <c r="O1946" i="1"/>
  <c r="V1945" i="1"/>
  <c r="Q1945" i="1"/>
  <c r="P1945" i="1"/>
  <c r="O1945" i="1"/>
  <c r="V1944" i="1"/>
  <c r="Q1944" i="1"/>
  <c r="P1944" i="1"/>
  <c r="O1944" i="1"/>
  <c r="V1943" i="1"/>
  <c r="Q1943" i="1"/>
  <c r="P1943" i="1"/>
  <c r="O1943" i="1"/>
  <c r="V1942" i="1"/>
  <c r="Q1942" i="1"/>
  <c r="P1942" i="1"/>
  <c r="O1942" i="1"/>
  <c r="V1941" i="1"/>
  <c r="Q1941" i="1"/>
  <c r="P1941" i="1"/>
  <c r="O1941" i="1"/>
  <c r="V1940" i="1"/>
  <c r="Q1940" i="1"/>
  <c r="P1940" i="1"/>
  <c r="O1940" i="1"/>
  <c r="V1939" i="1"/>
  <c r="Q1939" i="1"/>
  <c r="P1939" i="1"/>
  <c r="O1939" i="1"/>
  <c r="V1938" i="1"/>
  <c r="Q1938" i="1"/>
  <c r="P1938" i="1"/>
  <c r="O1938" i="1"/>
  <c r="V1937" i="1"/>
  <c r="Q1937" i="1"/>
  <c r="P1937" i="1"/>
  <c r="O1937" i="1"/>
  <c r="V1936" i="1"/>
  <c r="Q1936" i="1"/>
  <c r="P1936" i="1"/>
  <c r="O1936" i="1"/>
  <c r="V1935" i="1"/>
  <c r="Q1935" i="1"/>
  <c r="P1935" i="1"/>
  <c r="O1935" i="1"/>
  <c r="V1934" i="1"/>
  <c r="Q1934" i="1"/>
  <c r="P1934" i="1"/>
  <c r="O1934" i="1"/>
  <c r="V1933" i="1"/>
  <c r="Q1933" i="1"/>
  <c r="P1933" i="1"/>
  <c r="O1933" i="1"/>
  <c r="V1932" i="1"/>
  <c r="Q1932" i="1"/>
  <c r="P1932" i="1"/>
  <c r="O1932" i="1"/>
  <c r="V1931" i="1"/>
  <c r="Q1931" i="1"/>
  <c r="P1931" i="1"/>
  <c r="O1931" i="1"/>
  <c r="V1930" i="1"/>
  <c r="Q1930" i="1"/>
  <c r="P1930" i="1"/>
  <c r="O1930" i="1"/>
  <c r="V1929" i="1"/>
  <c r="Q1929" i="1"/>
  <c r="P1929" i="1"/>
  <c r="O1929" i="1"/>
  <c r="V1928" i="1"/>
  <c r="Q1928" i="1"/>
  <c r="P1928" i="1"/>
  <c r="O1928" i="1"/>
  <c r="V1927" i="1"/>
  <c r="Q1927" i="1"/>
  <c r="P1927" i="1"/>
  <c r="O1927" i="1"/>
  <c r="V1926" i="1"/>
  <c r="Q1926" i="1"/>
  <c r="P1926" i="1"/>
  <c r="O1926" i="1"/>
  <c r="V1925" i="1"/>
  <c r="Q1925" i="1"/>
  <c r="P1925" i="1"/>
  <c r="O1925" i="1"/>
  <c r="V1924" i="1"/>
  <c r="Q1924" i="1"/>
  <c r="P1924" i="1"/>
  <c r="O1924" i="1"/>
  <c r="V1923" i="1"/>
  <c r="Q1923" i="1"/>
  <c r="P1923" i="1"/>
  <c r="O1923" i="1"/>
  <c r="V1922" i="1"/>
  <c r="Q1922" i="1"/>
  <c r="P1922" i="1"/>
  <c r="O1922" i="1"/>
  <c r="V1921" i="1"/>
  <c r="Q1921" i="1"/>
  <c r="P1921" i="1"/>
  <c r="O1921" i="1"/>
  <c r="V1920" i="1"/>
  <c r="Q1920" i="1"/>
  <c r="P1920" i="1"/>
  <c r="O1920" i="1"/>
  <c r="V1919" i="1"/>
  <c r="Q1919" i="1"/>
  <c r="P1919" i="1"/>
  <c r="O1919" i="1"/>
  <c r="V1918" i="1"/>
  <c r="Q1918" i="1"/>
  <c r="P1918" i="1"/>
  <c r="O1918" i="1"/>
  <c r="V1917" i="1"/>
  <c r="Q1917" i="1"/>
  <c r="P1917" i="1"/>
  <c r="O1917" i="1"/>
  <c r="V1916" i="1"/>
  <c r="Q1916" i="1"/>
  <c r="P1916" i="1"/>
  <c r="O1916" i="1"/>
  <c r="V1915" i="1"/>
  <c r="Q1915" i="1"/>
  <c r="P1915" i="1"/>
  <c r="O1915" i="1"/>
  <c r="V1914" i="1"/>
  <c r="Q1914" i="1"/>
  <c r="P1914" i="1"/>
  <c r="O1914" i="1"/>
  <c r="V1913" i="1"/>
  <c r="Q1913" i="1"/>
  <c r="P1913" i="1"/>
  <c r="O1913" i="1"/>
  <c r="V1912" i="1"/>
  <c r="Q1912" i="1"/>
  <c r="P1912" i="1"/>
  <c r="O1912" i="1"/>
  <c r="V1911" i="1"/>
  <c r="Q1911" i="1"/>
  <c r="P1911" i="1"/>
  <c r="O1911" i="1"/>
  <c r="V1910" i="1"/>
  <c r="Q1910" i="1"/>
  <c r="P1910" i="1"/>
  <c r="O1910" i="1"/>
  <c r="V1909" i="1"/>
  <c r="Q1909" i="1"/>
  <c r="P1909" i="1"/>
  <c r="O1909" i="1"/>
  <c r="V1908" i="1"/>
  <c r="Q1908" i="1"/>
  <c r="P1908" i="1"/>
  <c r="O1908" i="1"/>
  <c r="V1907" i="1"/>
  <c r="Q1907" i="1"/>
  <c r="P1907" i="1"/>
  <c r="O1907" i="1"/>
  <c r="V1906" i="1"/>
  <c r="Q1906" i="1"/>
  <c r="P1906" i="1"/>
  <c r="O1906" i="1"/>
  <c r="V1905" i="1"/>
  <c r="Q1905" i="1"/>
  <c r="P1905" i="1"/>
  <c r="O1905" i="1"/>
  <c r="V1904" i="1"/>
  <c r="Q1904" i="1"/>
  <c r="P1904" i="1"/>
  <c r="O1904" i="1"/>
  <c r="V1903" i="1"/>
  <c r="Q1903" i="1"/>
  <c r="P1903" i="1"/>
  <c r="O1903" i="1"/>
  <c r="V1902" i="1"/>
  <c r="Q1902" i="1"/>
  <c r="P1902" i="1"/>
  <c r="O1902" i="1"/>
  <c r="V1901" i="1"/>
  <c r="Q1901" i="1"/>
  <c r="P1901" i="1"/>
  <c r="O1901" i="1"/>
  <c r="V1900" i="1"/>
  <c r="Q1900" i="1"/>
  <c r="P1900" i="1"/>
  <c r="O1900" i="1"/>
  <c r="V1899" i="1"/>
  <c r="Q1899" i="1"/>
  <c r="P1899" i="1"/>
  <c r="O1899" i="1"/>
  <c r="V1898" i="1"/>
  <c r="Q1898" i="1"/>
  <c r="P1898" i="1"/>
  <c r="O1898" i="1"/>
  <c r="V1897" i="1"/>
  <c r="Q1897" i="1"/>
  <c r="P1897" i="1"/>
  <c r="O1897" i="1"/>
  <c r="V1896" i="1"/>
  <c r="Q1896" i="1"/>
  <c r="P1896" i="1"/>
  <c r="O1896" i="1"/>
  <c r="V1895" i="1"/>
  <c r="Q1895" i="1"/>
  <c r="P1895" i="1"/>
  <c r="O1895" i="1"/>
  <c r="V1894" i="1"/>
  <c r="Q1894" i="1"/>
  <c r="P1894" i="1"/>
  <c r="O1894" i="1"/>
  <c r="V1893" i="1"/>
  <c r="Q1893" i="1"/>
  <c r="P1893" i="1"/>
  <c r="O1893" i="1"/>
  <c r="V1892" i="1"/>
  <c r="Q1892" i="1"/>
  <c r="P1892" i="1"/>
  <c r="O1892" i="1"/>
  <c r="V1891" i="1"/>
  <c r="Q1891" i="1"/>
  <c r="P1891" i="1"/>
  <c r="O1891" i="1"/>
  <c r="V1890" i="1"/>
  <c r="Q1890" i="1"/>
  <c r="P1890" i="1"/>
  <c r="O1890" i="1"/>
  <c r="V1889" i="1"/>
  <c r="Q1889" i="1"/>
  <c r="P1889" i="1"/>
  <c r="O1889" i="1"/>
  <c r="V1888" i="1"/>
  <c r="Q1888" i="1"/>
  <c r="P1888" i="1"/>
  <c r="O1888" i="1"/>
  <c r="V1887" i="1"/>
  <c r="Q1887" i="1"/>
  <c r="P1887" i="1"/>
  <c r="O1887" i="1"/>
  <c r="V1886" i="1"/>
  <c r="Q1886" i="1"/>
  <c r="P1886" i="1"/>
  <c r="O1886" i="1"/>
  <c r="V1885" i="1"/>
  <c r="Q1885" i="1"/>
  <c r="P1885" i="1"/>
  <c r="O1885" i="1"/>
  <c r="V1884" i="1"/>
  <c r="Q1884" i="1"/>
  <c r="P1884" i="1"/>
  <c r="O1884" i="1"/>
  <c r="V1883" i="1"/>
  <c r="Q1883" i="1"/>
  <c r="P1883" i="1"/>
  <c r="O1883" i="1"/>
  <c r="V1882" i="1"/>
  <c r="Q1882" i="1"/>
  <c r="P1882" i="1"/>
  <c r="O1882" i="1"/>
  <c r="V1881" i="1"/>
  <c r="Q1881" i="1"/>
  <c r="P1881" i="1"/>
  <c r="O1881" i="1"/>
  <c r="V1880" i="1"/>
  <c r="Q1880" i="1"/>
  <c r="P1880" i="1"/>
  <c r="O1880" i="1"/>
  <c r="V1879" i="1"/>
  <c r="Q1879" i="1"/>
  <c r="P1879" i="1"/>
  <c r="O1879" i="1"/>
  <c r="V1878" i="1"/>
  <c r="Q1878" i="1"/>
  <c r="P1878" i="1"/>
  <c r="O1878" i="1"/>
  <c r="V1877" i="1"/>
  <c r="Q1877" i="1"/>
  <c r="P1877" i="1"/>
  <c r="O1877" i="1"/>
  <c r="V1876" i="1"/>
  <c r="Q1876" i="1"/>
  <c r="P1876" i="1"/>
  <c r="O1876" i="1"/>
  <c r="V1875" i="1"/>
  <c r="Q1875" i="1"/>
  <c r="P1875" i="1"/>
  <c r="O1875" i="1"/>
  <c r="V1874" i="1"/>
  <c r="Q1874" i="1"/>
  <c r="P1874" i="1"/>
  <c r="O1874" i="1"/>
  <c r="V1873" i="1"/>
  <c r="Q1873" i="1"/>
  <c r="P1873" i="1"/>
  <c r="O1873" i="1"/>
  <c r="V1872" i="1"/>
  <c r="Q1872" i="1"/>
  <c r="P1872" i="1"/>
  <c r="O1872" i="1"/>
  <c r="V1871" i="1"/>
  <c r="Q1871" i="1"/>
  <c r="P1871" i="1"/>
  <c r="O1871" i="1"/>
  <c r="V1870" i="1"/>
  <c r="Q1870" i="1"/>
  <c r="P1870" i="1"/>
  <c r="O1870" i="1"/>
  <c r="V1869" i="1"/>
  <c r="Q1869" i="1"/>
  <c r="P1869" i="1"/>
  <c r="O1869" i="1"/>
  <c r="V1868" i="1"/>
  <c r="Q1868" i="1"/>
  <c r="P1868" i="1"/>
  <c r="O1868" i="1"/>
  <c r="V1867" i="1"/>
  <c r="Q1867" i="1"/>
  <c r="P1867" i="1"/>
  <c r="O1867" i="1"/>
  <c r="V1866" i="1"/>
  <c r="Q1866" i="1"/>
  <c r="P1866" i="1"/>
  <c r="O1866" i="1"/>
  <c r="V1865" i="1"/>
  <c r="Q1865" i="1"/>
  <c r="P1865" i="1"/>
  <c r="O1865" i="1"/>
  <c r="V1864" i="1"/>
  <c r="Q1864" i="1"/>
  <c r="P1864" i="1"/>
  <c r="O1864" i="1"/>
  <c r="V1863" i="1"/>
  <c r="Q1863" i="1"/>
  <c r="P1863" i="1"/>
  <c r="O1863" i="1"/>
  <c r="V1862" i="1"/>
  <c r="Q1862" i="1"/>
  <c r="P1862" i="1"/>
  <c r="O1862" i="1"/>
  <c r="V1861" i="1"/>
  <c r="Q1861" i="1"/>
  <c r="P1861" i="1"/>
  <c r="O1861" i="1"/>
  <c r="V1860" i="1"/>
  <c r="Q1860" i="1"/>
  <c r="P1860" i="1"/>
  <c r="O1860" i="1"/>
  <c r="V1859" i="1"/>
  <c r="Q1859" i="1"/>
  <c r="P1859" i="1"/>
  <c r="O1859" i="1"/>
  <c r="V1858" i="1"/>
  <c r="Q1858" i="1"/>
  <c r="P1858" i="1"/>
  <c r="O1858" i="1"/>
  <c r="V1857" i="1"/>
  <c r="Q1857" i="1"/>
  <c r="P1857" i="1"/>
  <c r="O1857" i="1"/>
  <c r="V1856" i="1"/>
  <c r="Q1856" i="1"/>
  <c r="P1856" i="1"/>
  <c r="O1856" i="1"/>
  <c r="V1855" i="1"/>
  <c r="Q1855" i="1"/>
  <c r="P1855" i="1"/>
  <c r="O1855" i="1"/>
  <c r="V1854" i="1"/>
  <c r="Q1854" i="1"/>
  <c r="P1854" i="1"/>
  <c r="O1854" i="1"/>
  <c r="V1853" i="1"/>
  <c r="Q1853" i="1"/>
  <c r="P1853" i="1"/>
  <c r="O1853" i="1"/>
  <c r="V1852" i="1"/>
  <c r="Q1852" i="1"/>
  <c r="P1852" i="1"/>
  <c r="O1852" i="1"/>
  <c r="V1851" i="1"/>
  <c r="Q1851" i="1"/>
  <c r="P1851" i="1"/>
  <c r="O1851" i="1"/>
  <c r="V1850" i="1"/>
  <c r="Q1850" i="1"/>
  <c r="P1850" i="1"/>
  <c r="O1850" i="1"/>
  <c r="V1849" i="1"/>
  <c r="Q1849" i="1"/>
  <c r="P1849" i="1"/>
  <c r="O1849" i="1"/>
  <c r="V1848" i="1"/>
  <c r="Q1848" i="1"/>
  <c r="P1848" i="1"/>
  <c r="O1848" i="1"/>
  <c r="V1847" i="1"/>
  <c r="Q1847" i="1"/>
  <c r="P1847" i="1"/>
  <c r="O1847" i="1"/>
  <c r="V1846" i="1"/>
  <c r="Q1846" i="1"/>
  <c r="P1846" i="1"/>
  <c r="O1846" i="1"/>
  <c r="V1845" i="1"/>
  <c r="Q1845" i="1"/>
  <c r="P1845" i="1"/>
  <c r="O1845" i="1"/>
  <c r="V1844" i="1"/>
  <c r="Q1844" i="1"/>
  <c r="P1844" i="1"/>
  <c r="O1844" i="1"/>
  <c r="V1843" i="1"/>
  <c r="Q1843" i="1"/>
  <c r="P1843" i="1"/>
  <c r="O1843" i="1"/>
  <c r="V1842" i="1"/>
  <c r="Q1842" i="1"/>
  <c r="P1842" i="1"/>
  <c r="O1842" i="1"/>
  <c r="V1841" i="1"/>
  <c r="Q1841" i="1"/>
  <c r="P1841" i="1"/>
  <c r="O1841" i="1"/>
  <c r="V1840" i="1"/>
  <c r="Q1840" i="1"/>
  <c r="P1840" i="1"/>
  <c r="O1840" i="1"/>
  <c r="V1839" i="1"/>
  <c r="Q1839" i="1"/>
  <c r="P1839" i="1"/>
  <c r="O1839" i="1"/>
  <c r="V1838" i="1"/>
  <c r="Q1838" i="1"/>
  <c r="P1838" i="1"/>
  <c r="O1838" i="1"/>
  <c r="V1837" i="1"/>
  <c r="Q1837" i="1"/>
  <c r="P1837" i="1"/>
  <c r="O1837" i="1"/>
  <c r="V1836" i="1"/>
  <c r="Q1836" i="1"/>
  <c r="P1836" i="1"/>
  <c r="O1836" i="1"/>
  <c r="V1835" i="1"/>
  <c r="Q1835" i="1"/>
  <c r="P1835" i="1"/>
  <c r="O1835" i="1"/>
  <c r="V1834" i="1"/>
  <c r="Q1834" i="1"/>
  <c r="P1834" i="1"/>
  <c r="O1834" i="1"/>
  <c r="V1833" i="1"/>
  <c r="Q1833" i="1"/>
  <c r="P1833" i="1"/>
  <c r="O1833" i="1"/>
  <c r="V1832" i="1"/>
  <c r="Q1832" i="1"/>
  <c r="P1832" i="1"/>
  <c r="O1832" i="1"/>
  <c r="V1831" i="1"/>
  <c r="Q1831" i="1"/>
  <c r="P1831" i="1"/>
  <c r="O1831" i="1"/>
  <c r="V1830" i="1"/>
  <c r="Q1830" i="1"/>
  <c r="P1830" i="1"/>
  <c r="O1830" i="1"/>
  <c r="V1829" i="1"/>
  <c r="Q1829" i="1"/>
  <c r="P1829" i="1"/>
  <c r="O1829" i="1"/>
  <c r="V1828" i="1"/>
  <c r="Q1828" i="1"/>
  <c r="P1828" i="1"/>
  <c r="O1828" i="1"/>
  <c r="V1827" i="1"/>
  <c r="Q1827" i="1"/>
  <c r="P1827" i="1"/>
  <c r="O1827" i="1"/>
  <c r="V1826" i="1"/>
  <c r="Q1826" i="1"/>
  <c r="P1826" i="1"/>
  <c r="O1826" i="1"/>
  <c r="V1825" i="1"/>
  <c r="Q1825" i="1"/>
  <c r="P1825" i="1"/>
  <c r="O1825" i="1"/>
  <c r="V1824" i="1"/>
  <c r="Q1824" i="1"/>
  <c r="P1824" i="1"/>
  <c r="O1824" i="1"/>
  <c r="V1823" i="1"/>
  <c r="Q1823" i="1"/>
  <c r="P1823" i="1"/>
  <c r="O1823" i="1"/>
  <c r="V1822" i="1"/>
  <c r="Q1822" i="1"/>
  <c r="P1822" i="1"/>
  <c r="O1822" i="1"/>
  <c r="V1821" i="1"/>
  <c r="Q1821" i="1"/>
  <c r="P1821" i="1"/>
  <c r="O1821" i="1"/>
  <c r="V1820" i="1"/>
  <c r="Q1820" i="1"/>
  <c r="P1820" i="1"/>
  <c r="O1820" i="1"/>
  <c r="V1819" i="1"/>
  <c r="Q1819" i="1"/>
  <c r="P1819" i="1"/>
  <c r="O1819" i="1"/>
  <c r="V1818" i="1"/>
  <c r="Q1818" i="1"/>
  <c r="P1818" i="1"/>
  <c r="O1818" i="1"/>
  <c r="V1817" i="1"/>
  <c r="Q1817" i="1"/>
  <c r="P1817" i="1"/>
  <c r="O1817" i="1"/>
  <c r="V1816" i="1"/>
  <c r="Q1816" i="1"/>
  <c r="P1816" i="1"/>
  <c r="O1816" i="1"/>
  <c r="V1815" i="1"/>
  <c r="Q1815" i="1"/>
  <c r="P1815" i="1"/>
  <c r="O1815" i="1"/>
  <c r="V1814" i="1"/>
  <c r="Q1814" i="1"/>
  <c r="P1814" i="1"/>
  <c r="O1814" i="1"/>
  <c r="V1813" i="1"/>
  <c r="Q1813" i="1"/>
  <c r="P1813" i="1"/>
  <c r="O1813" i="1"/>
  <c r="V1812" i="1"/>
  <c r="Q1812" i="1"/>
  <c r="P1812" i="1"/>
  <c r="O1812" i="1"/>
  <c r="V1811" i="1"/>
  <c r="Q1811" i="1"/>
  <c r="P1811" i="1"/>
  <c r="O1811" i="1"/>
  <c r="V1810" i="1"/>
  <c r="Q1810" i="1"/>
  <c r="P1810" i="1"/>
  <c r="O1810" i="1"/>
  <c r="V1809" i="1"/>
  <c r="Q1809" i="1"/>
  <c r="P1809" i="1"/>
  <c r="O1809" i="1"/>
  <c r="V1808" i="1"/>
  <c r="Q1808" i="1"/>
  <c r="P1808" i="1"/>
  <c r="O1808" i="1"/>
  <c r="V1807" i="1"/>
  <c r="Q1807" i="1"/>
  <c r="P1807" i="1"/>
  <c r="O1807" i="1"/>
  <c r="V1806" i="1"/>
  <c r="Q1806" i="1"/>
  <c r="P1806" i="1"/>
  <c r="O1806" i="1"/>
  <c r="V1805" i="1"/>
  <c r="Q1805" i="1"/>
  <c r="P1805" i="1"/>
  <c r="O1805" i="1"/>
  <c r="V1804" i="1"/>
  <c r="Q1804" i="1"/>
  <c r="P1804" i="1"/>
  <c r="O1804" i="1"/>
  <c r="V1803" i="1"/>
  <c r="Q1803" i="1"/>
  <c r="P1803" i="1"/>
  <c r="O1803" i="1"/>
  <c r="V1802" i="1"/>
  <c r="Q1802" i="1"/>
  <c r="P1802" i="1"/>
  <c r="O1802" i="1"/>
  <c r="V1801" i="1"/>
  <c r="Q1801" i="1"/>
  <c r="P1801" i="1"/>
  <c r="O1801" i="1"/>
  <c r="V1800" i="1"/>
  <c r="Q1800" i="1"/>
  <c r="P1800" i="1"/>
  <c r="O1800" i="1"/>
  <c r="V1799" i="1"/>
  <c r="Q1799" i="1"/>
  <c r="P1799" i="1"/>
  <c r="O1799" i="1"/>
  <c r="V1798" i="1"/>
  <c r="Q1798" i="1"/>
  <c r="P1798" i="1"/>
  <c r="O1798" i="1"/>
  <c r="V1797" i="1"/>
  <c r="Q1797" i="1"/>
  <c r="P1797" i="1"/>
  <c r="O1797" i="1"/>
  <c r="V1796" i="1"/>
  <c r="Q1796" i="1"/>
  <c r="P1796" i="1"/>
  <c r="O1796" i="1"/>
  <c r="V1795" i="1"/>
  <c r="Q1795" i="1"/>
  <c r="P1795" i="1"/>
  <c r="O1795" i="1"/>
  <c r="V1794" i="1"/>
  <c r="Q1794" i="1"/>
  <c r="P1794" i="1"/>
  <c r="O1794" i="1"/>
  <c r="V1793" i="1"/>
  <c r="Q1793" i="1"/>
  <c r="P1793" i="1"/>
  <c r="O1793" i="1"/>
  <c r="V1792" i="1"/>
  <c r="Q1792" i="1"/>
  <c r="P1792" i="1"/>
  <c r="O1792" i="1"/>
  <c r="V1791" i="1"/>
  <c r="Q1791" i="1"/>
  <c r="P1791" i="1"/>
  <c r="O1791" i="1"/>
  <c r="V1790" i="1"/>
  <c r="Q1790" i="1"/>
  <c r="P1790" i="1"/>
  <c r="O1790" i="1"/>
  <c r="V1789" i="1"/>
  <c r="Q1789" i="1"/>
  <c r="P1789" i="1"/>
  <c r="O1789" i="1"/>
  <c r="V1788" i="1"/>
  <c r="Q1788" i="1"/>
  <c r="P1788" i="1"/>
  <c r="O1788" i="1"/>
  <c r="V1787" i="1"/>
  <c r="Q1787" i="1"/>
  <c r="P1787" i="1"/>
  <c r="O1787" i="1"/>
  <c r="V1786" i="1"/>
  <c r="Q1786" i="1"/>
  <c r="P1786" i="1"/>
  <c r="O1786" i="1"/>
  <c r="V1785" i="1"/>
  <c r="Q1785" i="1"/>
  <c r="P1785" i="1"/>
  <c r="O1785" i="1"/>
  <c r="V1784" i="1"/>
  <c r="Q1784" i="1"/>
  <c r="P1784" i="1"/>
  <c r="O1784" i="1"/>
  <c r="V1783" i="1"/>
  <c r="Q1783" i="1"/>
  <c r="P1783" i="1"/>
  <c r="O1783" i="1"/>
  <c r="V1782" i="1"/>
  <c r="Q1782" i="1"/>
  <c r="P1782" i="1"/>
  <c r="O1782" i="1"/>
  <c r="V1781" i="1"/>
  <c r="Q1781" i="1"/>
  <c r="P1781" i="1"/>
  <c r="O1781" i="1"/>
  <c r="V1780" i="1"/>
  <c r="Q1780" i="1"/>
  <c r="P1780" i="1"/>
  <c r="O1780" i="1"/>
  <c r="V1779" i="1"/>
  <c r="Q1779" i="1"/>
  <c r="P1779" i="1"/>
  <c r="O1779" i="1"/>
  <c r="V1778" i="1"/>
  <c r="Q1778" i="1"/>
  <c r="P1778" i="1"/>
  <c r="O1778" i="1"/>
  <c r="V1777" i="1"/>
  <c r="Q1777" i="1"/>
  <c r="P1777" i="1"/>
  <c r="O1777" i="1"/>
  <c r="V1776" i="1"/>
  <c r="Q1776" i="1"/>
  <c r="P1776" i="1"/>
  <c r="O1776" i="1"/>
  <c r="V1775" i="1"/>
  <c r="Q1775" i="1"/>
  <c r="P1775" i="1"/>
  <c r="O1775" i="1"/>
  <c r="V1774" i="1"/>
  <c r="Q1774" i="1"/>
  <c r="P1774" i="1"/>
  <c r="O1774" i="1"/>
  <c r="V1773" i="1"/>
  <c r="Q1773" i="1"/>
  <c r="P1773" i="1"/>
  <c r="O1773" i="1"/>
  <c r="V1772" i="1"/>
  <c r="Q1772" i="1"/>
  <c r="P1772" i="1"/>
  <c r="O1772" i="1"/>
  <c r="V1771" i="1"/>
  <c r="Q1771" i="1"/>
  <c r="P1771" i="1"/>
  <c r="O1771" i="1"/>
  <c r="V1770" i="1"/>
  <c r="Q1770" i="1"/>
  <c r="P1770" i="1"/>
  <c r="O1770" i="1"/>
  <c r="V1769" i="1"/>
  <c r="Q1769" i="1"/>
  <c r="P1769" i="1"/>
  <c r="O1769" i="1"/>
  <c r="V1768" i="1"/>
  <c r="Q1768" i="1"/>
  <c r="P1768" i="1"/>
  <c r="O1768" i="1"/>
  <c r="V1767" i="1"/>
  <c r="Q1767" i="1"/>
  <c r="P1767" i="1"/>
  <c r="O1767" i="1"/>
  <c r="V1766" i="1"/>
  <c r="Q1766" i="1"/>
  <c r="P1766" i="1"/>
  <c r="O1766" i="1"/>
  <c r="V1765" i="1"/>
  <c r="Q1765" i="1"/>
  <c r="P1765" i="1"/>
  <c r="O1765" i="1"/>
  <c r="V1764" i="1"/>
  <c r="Q1764" i="1"/>
  <c r="P1764" i="1"/>
  <c r="O1764" i="1"/>
  <c r="V1763" i="1"/>
  <c r="Q1763" i="1"/>
  <c r="P1763" i="1"/>
  <c r="O1763" i="1"/>
  <c r="V1762" i="1"/>
  <c r="Q1762" i="1"/>
  <c r="P1762" i="1"/>
  <c r="O1762" i="1"/>
  <c r="V1761" i="1"/>
  <c r="Q1761" i="1"/>
  <c r="P1761" i="1"/>
  <c r="O1761" i="1"/>
  <c r="V1760" i="1"/>
  <c r="Q1760" i="1"/>
  <c r="P1760" i="1"/>
  <c r="O1760" i="1"/>
  <c r="V1759" i="1"/>
  <c r="Q1759" i="1"/>
  <c r="P1759" i="1"/>
  <c r="O1759" i="1"/>
  <c r="V1758" i="1"/>
  <c r="Q1758" i="1"/>
  <c r="P1758" i="1"/>
  <c r="O1758" i="1"/>
  <c r="V1757" i="1"/>
  <c r="Q1757" i="1"/>
  <c r="P1757" i="1"/>
  <c r="O1757" i="1"/>
  <c r="V1756" i="1"/>
  <c r="Q1756" i="1"/>
  <c r="P1756" i="1"/>
  <c r="O1756" i="1"/>
  <c r="V1755" i="1"/>
  <c r="Q1755" i="1"/>
  <c r="P1755" i="1"/>
  <c r="O1755" i="1"/>
  <c r="V1754" i="1"/>
  <c r="Q1754" i="1"/>
  <c r="P1754" i="1"/>
  <c r="O1754" i="1"/>
  <c r="V1753" i="1"/>
  <c r="Q1753" i="1"/>
  <c r="P1753" i="1"/>
  <c r="O1753" i="1"/>
  <c r="V1752" i="1"/>
  <c r="Q1752" i="1"/>
  <c r="P1752" i="1"/>
  <c r="O1752" i="1"/>
  <c r="V1751" i="1"/>
  <c r="Q1751" i="1"/>
  <c r="P1751" i="1"/>
  <c r="O1751" i="1"/>
  <c r="V1750" i="1"/>
  <c r="Q1750" i="1"/>
  <c r="P1750" i="1"/>
  <c r="O1750" i="1"/>
  <c r="V1749" i="1"/>
  <c r="Q1749" i="1"/>
  <c r="P1749" i="1"/>
  <c r="O1749" i="1"/>
  <c r="V1748" i="1"/>
  <c r="Q1748" i="1"/>
  <c r="P1748" i="1"/>
  <c r="O1748" i="1"/>
  <c r="V1747" i="1"/>
  <c r="Q1747" i="1"/>
  <c r="P1747" i="1"/>
  <c r="O1747" i="1"/>
  <c r="V1746" i="1"/>
  <c r="Q1746" i="1"/>
  <c r="P1746" i="1"/>
  <c r="O1746" i="1"/>
  <c r="V1745" i="1"/>
  <c r="Q1745" i="1"/>
  <c r="P1745" i="1"/>
  <c r="O1745" i="1"/>
  <c r="V1744" i="1"/>
  <c r="Q1744" i="1"/>
  <c r="P1744" i="1"/>
  <c r="O1744" i="1"/>
  <c r="V1743" i="1"/>
  <c r="Q1743" i="1"/>
  <c r="P1743" i="1"/>
  <c r="O1743" i="1"/>
  <c r="V1742" i="1"/>
  <c r="Q1742" i="1"/>
  <c r="P1742" i="1"/>
  <c r="O1742" i="1"/>
  <c r="V1741" i="1"/>
  <c r="Q1741" i="1"/>
  <c r="P1741" i="1"/>
  <c r="O1741" i="1"/>
  <c r="V1740" i="1"/>
  <c r="Q1740" i="1"/>
  <c r="P1740" i="1"/>
  <c r="O1740" i="1"/>
  <c r="V1739" i="1"/>
  <c r="Q1739" i="1"/>
  <c r="P1739" i="1"/>
  <c r="O1739" i="1"/>
  <c r="V1738" i="1"/>
  <c r="Q1738" i="1"/>
  <c r="P1738" i="1"/>
  <c r="O1738" i="1"/>
  <c r="V1737" i="1"/>
  <c r="Q1737" i="1"/>
  <c r="P1737" i="1"/>
  <c r="O1737" i="1"/>
  <c r="V1736" i="1"/>
  <c r="Q1736" i="1"/>
  <c r="P1736" i="1"/>
  <c r="O1736" i="1"/>
  <c r="V1735" i="1"/>
  <c r="Q1735" i="1"/>
  <c r="P1735" i="1"/>
  <c r="O1735" i="1"/>
  <c r="V1734" i="1"/>
  <c r="Q1734" i="1"/>
  <c r="P1734" i="1"/>
  <c r="O1734" i="1"/>
  <c r="V1733" i="1"/>
  <c r="Q1733" i="1"/>
  <c r="P1733" i="1"/>
  <c r="O1733" i="1"/>
  <c r="V1732" i="1"/>
  <c r="Q1732" i="1"/>
  <c r="P1732" i="1"/>
  <c r="O1732" i="1"/>
  <c r="V1731" i="1"/>
  <c r="Q1731" i="1"/>
  <c r="P1731" i="1"/>
  <c r="O1731" i="1"/>
  <c r="V1730" i="1"/>
  <c r="Q1730" i="1"/>
  <c r="P1730" i="1"/>
  <c r="O1730" i="1"/>
  <c r="V1729" i="1"/>
  <c r="Q1729" i="1"/>
  <c r="P1729" i="1"/>
  <c r="O1729" i="1"/>
  <c r="V1728" i="1"/>
  <c r="Q1728" i="1"/>
  <c r="P1728" i="1"/>
  <c r="O1728" i="1"/>
  <c r="V1727" i="1"/>
  <c r="Q1727" i="1"/>
  <c r="P1727" i="1"/>
  <c r="O1727" i="1"/>
  <c r="V1726" i="1"/>
  <c r="Q1726" i="1"/>
  <c r="P1726" i="1"/>
  <c r="O1726" i="1"/>
  <c r="V1725" i="1"/>
  <c r="Q1725" i="1"/>
  <c r="P1725" i="1"/>
  <c r="O1725" i="1"/>
  <c r="V1724" i="1"/>
  <c r="Q1724" i="1"/>
  <c r="P1724" i="1"/>
  <c r="O1724" i="1"/>
  <c r="V1723" i="1"/>
  <c r="Q1723" i="1"/>
  <c r="P1723" i="1"/>
  <c r="O1723" i="1"/>
  <c r="V1722" i="1"/>
  <c r="Q1722" i="1"/>
  <c r="P1722" i="1"/>
  <c r="O1722" i="1"/>
  <c r="V1721" i="1"/>
  <c r="Q1721" i="1"/>
  <c r="P1721" i="1"/>
  <c r="O1721" i="1"/>
  <c r="V1720" i="1"/>
  <c r="Q1720" i="1"/>
  <c r="P1720" i="1"/>
  <c r="O1720" i="1"/>
  <c r="V1719" i="1"/>
  <c r="Q1719" i="1"/>
  <c r="P1719" i="1"/>
  <c r="O1719" i="1"/>
  <c r="V1718" i="1"/>
  <c r="Q1718" i="1"/>
  <c r="P1718" i="1"/>
  <c r="O1718" i="1"/>
  <c r="V1717" i="1"/>
  <c r="Q1717" i="1"/>
  <c r="P1717" i="1"/>
  <c r="O1717" i="1"/>
  <c r="V1716" i="1"/>
  <c r="Q1716" i="1"/>
  <c r="P1716" i="1"/>
  <c r="O1716" i="1"/>
  <c r="V1715" i="1"/>
  <c r="Q1715" i="1"/>
  <c r="P1715" i="1"/>
  <c r="O1715" i="1"/>
  <c r="V1714" i="1"/>
  <c r="Q1714" i="1"/>
  <c r="P1714" i="1"/>
  <c r="O1714" i="1"/>
  <c r="V1713" i="1"/>
  <c r="Q1713" i="1"/>
  <c r="P1713" i="1"/>
  <c r="O1713" i="1"/>
  <c r="V1712" i="1"/>
  <c r="Q1712" i="1"/>
  <c r="P1712" i="1"/>
  <c r="O1712" i="1"/>
  <c r="V1711" i="1"/>
  <c r="Q1711" i="1"/>
  <c r="P1711" i="1"/>
  <c r="O1711" i="1"/>
  <c r="V1710" i="1"/>
  <c r="Q1710" i="1"/>
  <c r="P1710" i="1"/>
  <c r="O1710" i="1"/>
  <c r="V1709" i="1"/>
  <c r="Q1709" i="1"/>
  <c r="P1709" i="1"/>
  <c r="O1709" i="1"/>
  <c r="V1708" i="1"/>
  <c r="Q1708" i="1"/>
  <c r="P1708" i="1"/>
  <c r="O1708" i="1"/>
  <c r="V1707" i="1"/>
  <c r="Q1707" i="1"/>
  <c r="P1707" i="1"/>
  <c r="O1707" i="1"/>
  <c r="V1706" i="1"/>
  <c r="Q1706" i="1"/>
  <c r="P1706" i="1"/>
  <c r="O1706" i="1"/>
  <c r="V1705" i="1"/>
  <c r="Q1705" i="1"/>
  <c r="P1705" i="1"/>
  <c r="O1705" i="1"/>
  <c r="V1704" i="1"/>
  <c r="Q1704" i="1"/>
  <c r="P1704" i="1"/>
  <c r="O1704" i="1"/>
  <c r="V1703" i="1"/>
  <c r="Q1703" i="1"/>
  <c r="P1703" i="1"/>
  <c r="O1703" i="1"/>
  <c r="V1702" i="1"/>
  <c r="Q1702" i="1"/>
  <c r="P1702" i="1"/>
  <c r="O1702" i="1"/>
  <c r="V1701" i="1"/>
  <c r="Q1701" i="1"/>
  <c r="P1701" i="1"/>
  <c r="O1701" i="1"/>
  <c r="V1700" i="1"/>
  <c r="Q1700" i="1"/>
  <c r="P1700" i="1"/>
  <c r="O1700" i="1"/>
  <c r="V1699" i="1"/>
  <c r="Q1699" i="1"/>
  <c r="P1699" i="1"/>
  <c r="O1699" i="1"/>
  <c r="V1698" i="1"/>
  <c r="Q1698" i="1"/>
  <c r="P1698" i="1"/>
  <c r="O1698" i="1"/>
  <c r="V1697" i="1"/>
  <c r="Q1697" i="1"/>
  <c r="P1697" i="1"/>
  <c r="O1697" i="1"/>
  <c r="V1696" i="1"/>
  <c r="Q1696" i="1"/>
  <c r="P1696" i="1"/>
  <c r="O1696" i="1"/>
  <c r="V1695" i="1"/>
  <c r="Q1695" i="1"/>
  <c r="P1695" i="1"/>
  <c r="O1695" i="1"/>
  <c r="V1694" i="1"/>
  <c r="Q1694" i="1"/>
  <c r="P1694" i="1"/>
  <c r="O1694" i="1"/>
  <c r="V1693" i="1"/>
  <c r="Q1693" i="1"/>
  <c r="P1693" i="1"/>
  <c r="O1693" i="1"/>
  <c r="V1692" i="1"/>
  <c r="Q1692" i="1"/>
  <c r="P1692" i="1"/>
  <c r="O1692" i="1"/>
  <c r="V1691" i="1"/>
  <c r="Q1691" i="1"/>
  <c r="P1691" i="1"/>
  <c r="O1691" i="1"/>
  <c r="V1690" i="1"/>
  <c r="Q1690" i="1"/>
  <c r="P1690" i="1"/>
  <c r="O1690" i="1"/>
  <c r="V1689" i="1"/>
  <c r="Q1689" i="1"/>
  <c r="P1689" i="1"/>
  <c r="O1689" i="1"/>
  <c r="V1688" i="1"/>
  <c r="Q1688" i="1"/>
  <c r="P1688" i="1"/>
  <c r="O1688" i="1"/>
  <c r="V1687" i="1"/>
  <c r="Q1687" i="1"/>
  <c r="P1687" i="1"/>
  <c r="O1687" i="1"/>
  <c r="V1686" i="1"/>
  <c r="Q1686" i="1"/>
  <c r="P1686" i="1"/>
  <c r="O1686" i="1"/>
  <c r="V1685" i="1"/>
  <c r="Q1685" i="1"/>
  <c r="P1685" i="1"/>
  <c r="O1685" i="1"/>
  <c r="V1684" i="1"/>
  <c r="Q1684" i="1"/>
  <c r="P1684" i="1"/>
  <c r="O1684" i="1"/>
  <c r="V1683" i="1"/>
  <c r="Q1683" i="1"/>
  <c r="P1683" i="1"/>
  <c r="O1683" i="1"/>
  <c r="V1682" i="1"/>
  <c r="Q1682" i="1"/>
  <c r="P1682" i="1"/>
  <c r="O1682" i="1"/>
  <c r="V1681" i="1"/>
  <c r="Q1681" i="1"/>
  <c r="P1681" i="1"/>
  <c r="O1681" i="1"/>
  <c r="V1680" i="1"/>
  <c r="Q1680" i="1"/>
  <c r="P1680" i="1"/>
  <c r="O1680" i="1"/>
  <c r="V1679" i="1"/>
  <c r="Q1679" i="1"/>
  <c r="P1679" i="1"/>
  <c r="O1679" i="1"/>
  <c r="V1678" i="1"/>
  <c r="Q1678" i="1"/>
  <c r="P1678" i="1"/>
  <c r="O1678" i="1"/>
  <c r="V1677" i="1"/>
  <c r="Q1677" i="1"/>
  <c r="P1677" i="1"/>
  <c r="O1677" i="1"/>
  <c r="V1676" i="1"/>
  <c r="Q1676" i="1"/>
  <c r="P1676" i="1"/>
  <c r="O1676" i="1"/>
  <c r="V1675" i="1"/>
  <c r="Q1675" i="1"/>
  <c r="P1675" i="1"/>
  <c r="O1675" i="1"/>
  <c r="V1674" i="1"/>
  <c r="Q1674" i="1"/>
  <c r="P1674" i="1"/>
  <c r="O1674" i="1"/>
  <c r="V1673" i="1"/>
  <c r="Q1673" i="1"/>
  <c r="P1673" i="1"/>
  <c r="O1673" i="1"/>
  <c r="V1672" i="1"/>
  <c r="Q1672" i="1"/>
  <c r="P1672" i="1"/>
  <c r="O1672" i="1"/>
  <c r="V1671" i="1"/>
  <c r="Q1671" i="1"/>
  <c r="P1671" i="1"/>
  <c r="O1671" i="1"/>
  <c r="V1670" i="1"/>
  <c r="Q1670" i="1"/>
  <c r="P1670" i="1"/>
  <c r="O1670" i="1"/>
  <c r="V1669" i="1"/>
  <c r="Q1669" i="1"/>
  <c r="P1669" i="1"/>
  <c r="O1669" i="1"/>
  <c r="V1668" i="1"/>
  <c r="Q1668" i="1"/>
  <c r="P1668" i="1"/>
  <c r="O1668" i="1"/>
  <c r="V1667" i="1"/>
  <c r="Q1667" i="1"/>
  <c r="P1667" i="1"/>
  <c r="O1667" i="1"/>
  <c r="V1666" i="1"/>
  <c r="Q1666" i="1"/>
  <c r="P1666" i="1"/>
  <c r="O1666" i="1"/>
  <c r="V1665" i="1"/>
  <c r="Q1665" i="1"/>
  <c r="P1665" i="1"/>
  <c r="O1665" i="1"/>
  <c r="V1664" i="1"/>
  <c r="Q1664" i="1"/>
  <c r="P1664" i="1"/>
  <c r="O1664" i="1"/>
  <c r="V1663" i="1"/>
  <c r="Q1663" i="1"/>
  <c r="P1663" i="1"/>
  <c r="O1663" i="1"/>
  <c r="V1662" i="1"/>
  <c r="Q1662" i="1"/>
  <c r="P1662" i="1"/>
  <c r="O1662" i="1"/>
  <c r="V1661" i="1"/>
  <c r="Q1661" i="1"/>
  <c r="P1661" i="1"/>
  <c r="O1661" i="1"/>
  <c r="V1660" i="1"/>
  <c r="Q1660" i="1"/>
  <c r="P1660" i="1"/>
  <c r="O1660" i="1"/>
  <c r="V1659" i="1"/>
  <c r="Q1659" i="1"/>
  <c r="P1659" i="1"/>
  <c r="O1659" i="1"/>
  <c r="V1658" i="1"/>
  <c r="Q1658" i="1"/>
  <c r="P1658" i="1"/>
  <c r="O1658" i="1"/>
  <c r="V1657" i="1"/>
  <c r="Q1657" i="1"/>
  <c r="P1657" i="1"/>
  <c r="O1657" i="1"/>
  <c r="V1656" i="1"/>
  <c r="Q1656" i="1"/>
  <c r="P1656" i="1"/>
  <c r="O1656" i="1"/>
  <c r="V1655" i="1"/>
  <c r="Q1655" i="1"/>
  <c r="P1655" i="1"/>
  <c r="O1655" i="1"/>
  <c r="V1654" i="1"/>
  <c r="Q1654" i="1"/>
  <c r="P1654" i="1"/>
  <c r="O1654" i="1"/>
  <c r="V1653" i="1"/>
  <c r="Q1653" i="1"/>
  <c r="P1653" i="1"/>
  <c r="O1653" i="1"/>
  <c r="V1652" i="1"/>
  <c r="Q1652" i="1"/>
  <c r="P1652" i="1"/>
  <c r="O1652" i="1"/>
  <c r="V1651" i="1"/>
  <c r="Q1651" i="1"/>
  <c r="P1651" i="1"/>
  <c r="O1651" i="1"/>
  <c r="V1650" i="1"/>
  <c r="Q1650" i="1"/>
  <c r="P1650" i="1"/>
  <c r="O1650" i="1"/>
  <c r="V1649" i="1"/>
  <c r="Q1649" i="1"/>
  <c r="P1649" i="1"/>
  <c r="O1649" i="1"/>
  <c r="V1648" i="1"/>
  <c r="Q1648" i="1"/>
  <c r="P1648" i="1"/>
  <c r="O1648" i="1"/>
  <c r="V1647" i="1"/>
  <c r="Q1647" i="1"/>
  <c r="P1647" i="1"/>
  <c r="O1647" i="1"/>
  <c r="V1646" i="1"/>
  <c r="Q1646" i="1"/>
  <c r="P1646" i="1"/>
  <c r="O1646" i="1"/>
  <c r="V1645" i="1"/>
  <c r="Q1645" i="1"/>
  <c r="P1645" i="1"/>
  <c r="O1645" i="1"/>
  <c r="V1644" i="1"/>
  <c r="Q1644" i="1"/>
  <c r="P1644" i="1"/>
  <c r="O1644" i="1"/>
  <c r="V1643" i="1"/>
  <c r="Q1643" i="1"/>
  <c r="P1643" i="1"/>
  <c r="O1643" i="1"/>
  <c r="V1642" i="1"/>
  <c r="Q1642" i="1"/>
  <c r="P1642" i="1"/>
  <c r="O1642" i="1"/>
  <c r="V1641" i="1"/>
  <c r="Q1641" i="1"/>
  <c r="P1641" i="1"/>
  <c r="O1641" i="1"/>
  <c r="V1640" i="1"/>
  <c r="Q1640" i="1"/>
  <c r="P1640" i="1"/>
  <c r="O1640" i="1"/>
  <c r="V1639" i="1"/>
  <c r="Q1639" i="1"/>
  <c r="P1639" i="1"/>
  <c r="O1639" i="1"/>
  <c r="V1638" i="1"/>
  <c r="Q1638" i="1"/>
  <c r="P1638" i="1"/>
  <c r="O1638" i="1"/>
  <c r="V1637" i="1"/>
  <c r="Q1637" i="1"/>
  <c r="P1637" i="1"/>
  <c r="O1637" i="1"/>
  <c r="V1636" i="1"/>
  <c r="Q1636" i="1"/>
  <c r="P1636" i="1"/>
  <c r="O1636" i="1"/>
  <c r="V1635" i="1"/>
  <c r="Q1635" i="1"/>
  <c r="P1635" i="1"/>
  <c r="O1635" i="1"/>
  <c r="V1634" i="1"/>
  <c r="Q1634" i="1"/>
  <c r="P1634" i="1"/>
  <c r="O1634" i="1"/>
  <c r="V1633" i="1"/>
  <c r="Q1633" i="1"/>
  <c r="P1633" i="1"/>
  <c r="O1633" i="1"/>
  <c r="V1632" i="1"/>
  <c r="Q1632" i="1"/>
  <c r="P1632" i="1"/>
  <c r="O1632" i="1"/>
  <c r="V1631" i="1"/>
  <c r="Q1631" i="1"/>
  <c r="P1631" i="1"/>
  <c r="O1631" i="1"/>
  <c r="V1630" i="1"/>
  <c r="Q1630" i="1"/>
  <c r="P1630" i="1"/>
  <c r="O1630" i="1"/>
  <c r="V1629" i="1"/>
  <c r="Q1629" i="1"/>
  <c r="P1629" i="1"/>
  <c r="O1629" i="1"/>
  <c r="V1628" i="1"/>
  <c r="Q1628" i="1"/>
  <c r="P1628" i="1"/>
  <c r="O1628" i="1"/>
  <c r="V1627" i="1"/>
  <c r="Q1627" i="1"/>
  <c r="P1627" i="1"/>
  <c r="O1627" i="1"/>
  <c r="V1626" i="1"/>
  <c r="Q1626" i="1"/>
  <c r="P1626" i="1"/>
  <c r="O1626" i="1"/>
  <c r="V1625" i="1"/>
  <c r="Q1625" i="1"/>
  <c r="P1625" i="1"/>
  <c r="O1625" i="1"/>
  <c r="V1624" i="1"/>
  <c r="Q1624" i="1"/>
  <c r="P1624" i="1"/>
  <c r="O1624" i="1"/>
  <c r="V1623" i="1"/>
  <c r="Q1623" i="1"/>
  <c r="P1623" i="1"/>
  <c r="O1623" i="1"/>
  <c r="V1622" i="1"/>
  <c r="Q1622" i="1"/>
  <c r="P1622" i="1"/>
  <c r="O1622" i="1"/>
  <c r="V1621" i="1"/>
  <c r="Q1621" i="1"/>
  <c r="P1621" i="1"/>
  <c r="O1621" i="1"/>
  <c r="V1620" i="1"/>
  <c r="Q1620" i="1"/>
  <c r="P1620" i="1"/>
  <c r="O1620" i="1"/>
  <c r="V1619" i="1"/>
  <c r="Q1619" i="1"/>
  <c r="P1619" i="1"/>
  <c r="O1619" i="1"/>
  <c r="V1618" i="1"/>
  <c r="Q1618" i="1"/>
  <c r="P1618" i="1"/>
  <c r="O1618" i="1"/>
  <c r="V1617" i="1"/>
  <c r="Q1617" i="1"/>
  <c r="P1617" i="1"/>
  <c r="O1617" i="1"/>
  <c r="V1616" i="1"/>
  <c r="Q1616" i="1"/>
  <c r="P1616" i="1"/>
  <c r="O1616" i="1"/>
  <c r="V1615" i="1"/>
  <c r="Q1615" i="1"/>
  <c r="P1615" i="1"/>
  <c r="O1615" i="1"/>
  <c r="V1614" i="1"/>
  <c r="Q1614" i="1"/>
  <c r="P1614" i="1"/>
  <c r="O1614" i="1"/>
  <c r="V1613" i="1"/>
  <c r="Q1613" i="1"/>
  <c r="P1613" i="1"/>
  <c r="O1613" i="1"/>
  <c r="V1612" i="1"/>
  <c r="Q1612" i="1"/>
  <c r="P1612" i="1"/>
  <c r="O1612" i="1"/>
  <c r="V1611" i="1"/>
  <c r="Q1611" i="1"/>
  <c r="P1611" i="1"/>
  <c r="O1611" i="1"/>
  <c r="V1610" i="1"/>
  <c r="Q1610" i="1"/>
  <c r="P1610" i="1"/>
  <c r="O1610" i="1"/>
  <c r="V1609" i="1"/>
  <c r="Q1609" i="1"/>
  <c r="P1609" i="1"/>
  <c r="O1609" i="1"/>
  <c r="V1608" i="1"/>
  <c r="Q1608" i="1"/>
  <c r="P1608" i="1"/>
  <c r="O1608" i="1"/>
  <c r="V1607" i="1"/>
  <c r="Q1607" i="1"/>
  <c r="P1607" i="1"/>
  <c r="O1607" i="1"/>
  <c r="V1606" i="1"/>
  <c r="Q1606" i="1"/>
  <c r="P1606" i="1"/>
  <c r="O1606" i="1"/>
  <c r="V1605" i="1"/>
  <c r="Q1605" i="1"/>
  <c r="P1605" i="1"/>
  <c r="O1605" i="1"/>
  <c r="V1604" i="1"/>
  <c r="Q1604" i="1"/>
  <c r="P1604" i="1"/>
  <c r="O1604" i="1"/>
  <c r="V1603" i="1"/>
  <c r="Q1603" i="1"/>
  <c r="P1603" i="1"/>
  <c r="O1603" i="1"/>
  <c r="V1602" i="1"/>
  <c r="Q1602" i="1"/>
  <c r="P1602" i="1"/>
  <c r="O1602" i="1"/>
  <c r="V1601" i="1"/>
  <c r="Q1601" i="1"/>
  <c r="P1601" i="1"/>
  <c r="O1601" i="1"/>
  <c r="V1600" i="1"/>
  <c r="Q1600" i="1"/>
  <c r="P1600" i="1"/>
  <c r="O1600" i="1"/>
  <c r="V1599" i="1"/>
  <c r="Q1599" i="1"/>
  <c r="P1599" i="1"/>
  <c r="O1599" i="1"/>
  <c r="V1598" i="1"/>
  <c r="Q1598" i="1"/>
  <c r="P1598" i="1"/>
  <c r="O1598" i="1"/>
  <c r="V1597" i="1"/>
  <c r="Q1597" i="1"/>
  <c r="P1597" i="1"/>
  <c r="O1597" i="1"/>
  <c r="V1596" i="1"/>
  <c r="Q1596" i="1"/>
  <c r="P1596" i="1"/>
  <c r="O1596" i="1"/>
  <c r="V1595" i="1"/>
  <c r="Q1595" i="1"/>
  <c r="P1595" i="1"/>
  <c r="O1595" i="1"/>
  <c r="V1594" i="1"/>
  <c r="Q1594" i="1"/>
  <c r="P1594" i="1"/>
  <c r="O1594" i="1"/>
  <c r="V1593" i="1"/>
  <c r="Q1593" i="1"/>
  <c r="P1593" i="1"/>
  <c r="O1593" i="1"/>
  <c r="V1592" i="1"/>
  <c r="Q1592" i="1"/>
  <c r="P1592" i="1"/>
  <c r="O1592" i="1"/>
  <c r="V1591" i="1"/>
  <c r="Q1591" i="1"/>
  <c r="P1591" i="1"/>
  <c r="O1591" i="1"/>
  <c r="V1590" i="1"/>
  <c r="Q1590" i="1"/>
  <c r="P1590" i="1"/>
  <c r="O1590" i="1"/>
  <c r="V1589" i="1"/>
  <c r="Q1589" i="1"/>
  <c r="P1589" i="1"/>
  <c r="O1589" i="1"/>
  <c r="V1588" i="1"/>
  <c r="Q1588" i="1"/>
  <c r="P1588" i="1"/>
  <c r="O1588" i="1"/>
  <c r="V1587" i="1"/>
  <c r="Q1587" i="1"/>
  <c r="P1587" i="1"/>
  <c r="O1587" i="1"/>
  <c r="V1586" i="1"/>
  <c r="Q1586" i="1"/>
  <c r="P1586" i="1"/>
  <c r="O1586" i="1"/>
  <c r="V1585" i="1"/>
  <c r="Q1585" i="1"/>
  <c r="P1585" i="1"/>
  <c r="O1585" i="1"/>
  <c r="V1584" i="1"/>
  <c r="Q1584" i="1"/>
  <c r="P1584" i="1"/>
  <c r="O1584" i="1"/>
  <c r="V1583" i="1"/>
  <c r="Q1583" i="1"/>
  <c r="P1583" i="1"/>
  <c r="O1583" i="1"/>
  <c r="V1582" i="1"/>
  <c r="Q1582" i="1"/>
  <c r="P1582" i="1"/>
  <c r="O1582" i="1"/>
  <c r="N1582" i="1"/>
  <c r="V1581" i="1"/>
  <c r="Q1581" i="1"/>
  <c r="P1581" i="1"/>
  <c r="O1581" i="1"/>
  <c r="N1581" i="1"/>
  <c r="V1580" i="1"/>
  <c r="Q1580" i="1"/>
  <c r="P1580" i="1"/>
  <c r="O1580" i="1"/>
  <c r="N1580" i="1"/>
  <c r="V1579" i="1"/>
  <c r="Q1579" i="1"/>
  <c r="P1579" i="1"/>
  <c r="O1579" i="1"/>
  <c r="N1579" i="1"/>
  <c r="V1578" i="1"/>
  <c r="Q1578" i="1"/>
  <c r="P1578" i="1"/>
  <c r="O1578" i="1"/>
  <c r="N1578" i="1"/>
  <c r="V1577" i="1"/>
  <c r="Q1577" i="1"/>
  <c r="P1577" i="1"/>
  <c r="O1577" i="1"/>
  <c r="N1577" i="1"/>
  <c r="V1576" i="1"/>
  <c r="Q1576" i="1"/>
  <c r="P1576" i="1"/>
  <c r="O1576" i="1"/>
  <c r="N1576" i="1"/>
  <c r="V1575" i="1"/>
  <c r="Q1575" i="1"/>
  <c r="P1575" i="1"/>
  <c r="O1575" i="1"/>
  <c r="N1575" i="1"/>
  <c r="V1574" i="1"/>
  <c r="Q1574" i="1"/>
  <c r="P1574" i="1"/>
  <c r="O1574" i="1"/>
  <c r="N1574" i="1"/>
  <c r="V1573" i="1"/>
  <c r="Q1573" i="1"/>
  <c r="P1573" i="1"/>
  <c r="O1573" i="1"/>
  <c r="N1573" i="1"/>
  <c r="V1572" i="1"/>
  <c r="Q1572" i="1"/>
  <c r="P1572" i="1"/>
  <c r="O1572" i="1"/>
  <c r="N1572" i="1"/>
  <c r="V1571" i="1"/>
  <c r="Q1571" i="1"/>
  <c r="P1571" i="1"/>
  <c r="O1571" i="1"/>
  <c r="N1571" i="1"/>
  <c r="V1570" i="1"/>
  <c r="Q1570" i="1"/>
  <c r="P1570" i="1"/>
  <c r="O1570" i="1"/>
  <c r="N1570" i="1"/>
  <c r="V1569" i="1"/>
  <c r="Q1569" i="1"/>
  <c r="P1569" i="1"/>
  <c r="O1569" i="1"/>
  <c r="N1569" i="1"/>
  <c r="V1568" i="1"/>
  <c r="Q1568" i="1"/>
  <c r="P1568" i="1"/>
  <c r="O1568" i="1"/>
  <c r="N1568" i="1"/>
  <c r="V1567" i="1"/>
  <c r="Q1567" i="1"/>
  <c r="P1567" i="1"/>
  <c r="O1567" i="1"/>
  <c r="N1567" i="1"/>
  <c r="V1566" i="1"/>
  <c r="Q1566" i="1"/>
  <c r="P1566" i="1"/>
  <c r="O1566" i="1"/>
  <c r="N1566" i="1"/>
  <c r="V1565" i="1"/>
  <c r="Q1565" i="1"/>
  <c r="P1565" i="1"/>
  <c r="O1565" i="1"/>
  <c r="N1565" i="1"/>
  <c r="V1564" i="1"/>
  <c r="Q1564" i="1"/>
  <c r="P1564" i="1"/>
  <c r="O1564" i="1"/>
  <c r="N1564" i="1"/>
  <c r="V1563" i="1"/>
  <c r="Q1563" i="1"/>
  <c r="P1563" i="1"/>
  <c r="O1563" i="1"/>
  <c r="N1563" i="1"/>
  <c r="V1562" i="1"/>
  <c r="Q1562" i="1"/>
  <c r="P1562" i="1"/>
  <c r="O1562" i="1"/>
  <c r="N1562" i="1"/>
  <c r="V1561" i="1"/>
  <c r="Q1561" i="1"/>
  <c r="P1561" i="1"/>
  <c r="O1561" i="1"/>
  <c r="N1561" i="1"/>
  <c r="V1560" i="1"/>
  <c r="Q1560" i="1"/>
  <c r="P1560" i="1"/>
  <c r="O1560" i="1"/>
  <c r="N1560" i="1"/>
  <c r="V1559" i="1"/>
  <c r="Q1559" i="1"/>
  <c r="P1559" i="1"/>
  <c r="O1559" i="1"/>
  <c r="N1559" i="1"/>
  <c r="V1558" i="1"/>
  <c r="Q1558" i="1"/>
  <c r="P1558" i="1"/>
  <c r="O1558" i="1"/>
  <c r="N1558" i="1"/>
  <c r="V1557" i="1"/>
  <c r="Q1557" i="1"/>
  <c r="P1557" i="1"/>
  <c r="O1557" i="1"/>
  <c r="N1557" i="1"/>
  <c r="V1556" i="1"/>
  <c r="Q1556" i="1"/>
  <c r="P1556" i="1"/>
  <c r="O1556" i="1"/>
  <c r="N1556" i="1"/>
  <c r="V1555" i="1"/>
  <c r="Q1555" i="1"/>
  <c r="P1555" i="1"/>
  <c r="O1555" i="1"/>
  <c r="N1555" i="1"/>
  <c r="V1554" i="1"/>
  <c r="Q1554" i="1"/>
  <c r="P1554" i="1"/>
  <c r="O1554" i="1"/>
  <c r="N1554" i="1"/>
  <c r="V1553" i="1"/>
  <c r="Q1553" i="1"/>
  <c r="P1553" i="1"/>
  <c r="O1553" i="1"/>
  <c r="N1553" i="1"/>
  <c r="V1552" i="1"/>
  <c r="Q1552" i="1"/>
  <c r="P1552" i="1"/>
  <c r="O1552" i="1"/>
  <c r="N1552" i="1"/>
  <c r="V1551" i="1"/>
  <c r="Q1551" i="1"/>
  <c r="P1551" i="1"/>
  <c r="O1551" i="1"/>
  <c r="N1551" i="1"/>
  <c r="V1550" i="1"/>
  <c r="Q1550" i="1"/>
  <c r="P1550" i="1"/>
  <c r="O1550" i="1"/>
  <c r="N1550" i="1"/>
  <c r="V1549" i="1"/>
  <c r="Q1549" i="1"/>
  <c r="P1549" i="1"/>
  <c r="O1549" i="1"/>
  <c r="N1549" i="1"/>
  <c r="V1548" i="1"/>
  <c r="Q1548" i="1"/>
  <c r="P1548" i="1"/>
  <c r="O1548" i="1"/>
  <c r="N1548" i="1"/>
  <c r="V1547" i="1"/>
  <c r="Q1547" i="1"/>
  <c r="P1547" i="1"/>
  <c r="O1547" i="1"/>
  <c r="N1547" i="1"/>
  <c r="V1546" i="1"/>
  <c r="Q1546" i="1"/>
  <c r="P1546" i="1"/>
  <c r="O1546" i="1"/>
  <c r="N1546" i="1"/>
  <c r="V1545" i="1"/>
  <c r="Q1545" i="1"/>
  <c r="P1545" i="1"/>
  <c r="O1545" i="1"/>
  <c r="N1545" i="1"/>
  <c r="V1544" i="1"/>
  <c r="Q1544" i="1"/>
  <c r="P1544" i="1"/>
  <c r="O1544" i="1"/>
  <c r="N1544" i="1"/>
  <c r="V1543" i="1"/>
  <c r="Q1543" i="1"/>
  <c r="P1543" i="1"/>
  <c r="O1543" i="1"/>
  <c r="N1543" i="1"/>
  <c r="V1542" i="1"/>
  <c r="Q1542" i="1"/>
  <c r="P1542" i="1"/>
  <c r="O1542" i="1"/>
  <c r="N1542" i="1"/>
  <c r="V1541" i="1"/>
  <c r="Q1541" i="1"/>
  <c r="P1541" i="1"/>
  <c r="O1541" i="1"/>
  <c r="N1541" i="1"/>
  <c r="V1540" i="1"/>
  <c r="Q1540" i="1"/>
  <c r="P1540" i="1"/>
  <c r="O1540" i="1"/>
  <c r="N1540" i="1"/>
  <c r="V1539" i="1"/>
  <c r="Q1539" i="1"/>
  <c r="P1539" i="1"/>
  <c r="O1539" i="1"/>
  <c r="N1539" i="1"/>
  <c r="V1538" i="1"/>
  <c r="Q1538" i="1"/>
  <c r="P1538" i="1"/>
  <c r="O1538" i="1"/>
  <c r="N1538" i="1"/>
  <c r="V1537" i="1"/>
  <c r="Q1537" i="1"/>
  <c r="P1537" i="1"/>
  <c r="O1537" i="1"/>
  <c r="N1537" i="1"/>
  <c r="V1536" i="1"/>
  <c r="Q1536" i="1"/>
  <c r="P1536" i="1"/>
  <c r="O1536" i="1"/>
  <c r="N1536" i="1"/>
  <c r="V1535" i="1"/>
  <c r="Q1535" i="1"/>
  <c r="P1535" i="1"/>
  <c r="O1535" i="1"/>
  <c r="N1535" i="1"/>
  <c r="V1534" i="1"/>
  <c r="Q1534" i="1"/>
  <c r="P1534" i="1"/>
  <c r="O1534" i="1"/>
  <c r="N1534" i="1"/>
  <c r="V1533" i="1"/>
  <c r="Q1533" i="1"/>
  <c r="P1533" i="1"/>
  <c r="O1533" i="1"/>
  <c r="N1533" i="1"/>
  <c r="V1532" i="1"/>
  <c r="Q1532" i="1"/>
  <c r="P1532" i="1"/>
  <c r="O1532" i="1"/>
  <c r="N1532" i="1"/>
  <c r="V1531" i="1"/>
  <c r="Q1531" i="1"/>
  <c r="P1531" i="1"/>
  <c r="O1531" i="1"/>
  <c r="N1531" i="1"/>
  <c r="V1530" i="1"/>
  <c r="Q1530" i="1"/>
  <c r="P1530" i="1"/>
  <c r="O1530" i="1"/>
  <c r="N1530" i="1"/>
  <c r="V1529" i="1"/>
  <c r="Q1529" i="1"/>
  <c r="P1529" i="1"/>
  <c r="O1529" i="1"/>
  <c r="N1529" i="1"/>
  <c r="V1528" i="1"/>
  <c r="Q1528" i="1"/>
  <c r="P1528" i="1"/>
  <c r="O1528" i="1"/>
  <c r="N1528" i="1"/>
  <c r="V1527" i="1"/>
  <c r="Q1527" i="1"/>
  <c r="P1527" i="1"/>
  <c r="O1527" i="1"/>
  <c r="N1527" i="1"/>
  <c r="V1526" i="1"/>
  <c r="Q1526" i="1"/>
  <c r="P1526" i="1"/>
  <c r="O1526" i="1"/>
  <c r="N1526" i="1"/>
  <c r="V1525" i="1"/>
  <c r="Q1525" i="1"/>
  <c r="P1525" i="1"/>
  <c r="O1525" i="1"/>
  <c r="N1525" i="1"/>
  <c r="V1524" i="1"/>
  <c r="Q1524" i="1"/>
  <c r="P1524" i="1"/>
  <c r="O1524" i="1"/>
  <c r="N1524" i="1"/>
  <c r="V1523" i="1"/>
  <c r="Q1523" i="1"/>
  <c r="P1523" i="1"/>
  <c r="O1523" i="1"/>
  <c r="N1523" i="1"/>
  <c r="V1522" i="1"/>
  <c r="Q1522" i="1"/>
  <c r="P1522" i="1"/>
  <c r="O1522" i="1"/>
  <c r="N1522" i="1"/>
  <c r="V1521" i="1"/>
  <c r="Q1521" i="1"/>
  <c r="P1521" i="1"/>
  <c r="O1521" i="1"/>
  <c r="N1521" i="1"/>
  <c r="V1520" i="1"/>
  <c r="Q1520" i="1"/>
  <c r="P1520" i="1"/>
  <c r="O1520" i="1"/>
  <c r="N1520" i="1"/>
  <c r="V1519" i="1"/>
  <c r="Q1519" i="1"/>
  <c r="P1519" i="1"/>
  <c r="O1519" i="1"/>
  <c r="N1519" i="1"/>
  <c r="V1518" i="1"/>
  <c r="Q1518" i="1"/>
  <c r="P1518" i="1"/>
  <c r="O1518" i="1"/>
  <c r="N1518" i="1"/>
  <c r="V1517" i="1"/>
  <c r="Q1517" i="1"/>
  <c r="P1517" i="1"/>
  <c r="O1517" i="1"/>
  <c r="N1517" i="1"/>
  <c r="V1516" i="1"/>
  <c r="Q1516" i="1"/>
  <c r="P1516" i="1"/>
  <c r="O1516" i="1"/>
  <c r="N1516" i="1"/>
  <c r="V1515" i="1"/>
  <c r="Q1515" i="1"/>
  <c r="P1515" i="1"/>
  <c r="O1515" i="1"/>
  <c r="N1515" i="1"/>
  <c r="V1514" i="1"/>
  <c r="Q1514" i="1"/>
  <c r="P1514" i="1"/>
  <c r="O1514" i="1"/>
  <c r="N1514" i="1"/>
  <c r="V1513" i="1"/>
  <c r="Q1513" i="1"/>
  <c r="P1513" i="1"/>
  <c r="O1513" i="1"/>
  <c r="N1513" i="1"/>
  <c r="V1512" i="1"/>
  <c r="Q1512" i="1"/>
  <c r="P1512" i="1"/>
  <c r="O1512" i="1"/>
  <c r="N1512" i="1"/>
  <c r="V1511" i="1"/>
  <c r="Q1511" i="1"/>
  <c r="P1511" i="1"/>
  <c r="O1511" i="1"/>
  <c r="N1511" i="1"/>
  <c r="V1510" i="1"/>
  <c r="Q1510" i="1"/>
  <c r="P1510" i="1"/>
  <c r="O1510" i="1"/>
  <c r="N1510" i="1"/>
  <c r="V1509" i="1"/>
  <c r="Q1509" i="1"/>
  <c r="P1509" i="1"/>
  <c r="O1509" i="1"/>
  <c r="N1509" i="1"/>
  <c r="V1508" i="1"/>
  <c r="Q1508" i="1"/>
  <c r="P1508" i="1"/>
  <c r="O1508" i="1"/>
  <c r="N1508" i="1"/>
  <c r="V1507" i="1"/>
  <c r="Q1507" i="1"/>
  <c r="P1507" i="1"/>
  <c r="O1507" i="1"/>
  <c r="N1507" i="1"/>
  <c r="V1506" i="1"/>
  <c r="Q1506" i="1"/>
  <c r="P1506" i="1"/>
  <c r="O1506" i="1"/>
  <c r="N1506" i="1"/>
  <c r="V1505" i="1"/>
  <c r="Q1505" i="1"/>
  <c r="P1505" i="1"/>
  <c r="O1505" i="1"/>
  <c r="N1505" i="1"/>
  <c r="V1504" i="1"/>
  <c r="Q1504" i="1"/>
  <c r="P1504" i="1"/>
  <c r="O1504" i="1"/>
  <c r="N1504" i="1"/>
  <c r="V1503" i="1"/>
  <c r="Q1503" i="1"/>
  <c r="P1503" i="1"/>
  <c r="O1503" i="1"/>
  <c r="N1503" i="1"/>
  <c r="V1502" i="1"/>
  <c r="Q1502" i="1"/>
  <c r="P1502" i="1"/>
  <c r="O1502" i="1"/>
  <c r="N1502" i="1"/>
  <c r="V1501" i="1"/>
  <c r="Q1501" i="1"/>
  <c r="P1501" i="1"/>
  <c r="O1501" i="1"/>
  <c r="N1501" i="1"/>
  <c r="V1500" i="1"/>
  <c r="Q1500" i="1"/>
  <c r="P1500" i="1"/>
  <c r="O1500" i="1"/>
  <c r="N1500" i="1"/>
  <c r="V1499" i="1"/>
  <c r="Q1499" i="1"/>
  <c r="P1499" i="1"/>
  <c r="O1499" i="1"/>
  <c r="N1499" i="1"/>
  <c r="V1498" i="1"/>
  <c r="Q1498" i="1"/>
  <c r="P1498" i="1"/>
  <c r="O1498" i="1"/>
  <c r="N1498" i="1"/>
  <c r="V1497" i="1"/>
  <c r="Q1497" i="1"/>
  <c r="P1497" i="1"/>
  <c r="O1497" i="1"/>
  <c r="N1497" i="1"/>
  <c r="V1496" i="1"/>
  <c r="Q1496" i="1"/>
  <c r="P1496" i="1"/>
  <c r="O1496" i="1"/>
  <c r="N1496" i="1"/>
  <c r="V1495" i="1"/>
  <c r="Q1495" i="1"/>
  <c r="P1495" i="1"/>
  <c r="O1495" i="1"/>
  <c r="N1495" i="1"/>
  <c r="V1494" i="1"/>
  <c r="Q1494" i="1"/>
  <c r="P1494" i="1"/>
  <c r="O1494" i="1"/>
  <c r="N1494" i="1"/>
  <c r="V1493" i="1"/>
  <c r="Q1493" i="1"/>
  <c r="P1493" i="1"/>
  <c r="O1493" i="1"/>
  <c r="N1493" i="1"/>
  <c r="V1492" i="1"/>
  <c r="Q1492" i="1"/>
  <c r="P1492" i="1"/>
  <c r="O1492" i="1"/>
  <c r="N1492" i="1"/>
  <c r="V1491" i="1"/>
  <c r="Q1491" i="1"/>
  <c r="P1491" i="1"/>
  <c r="O1491" i="1"/>
  <c r="N1491" i="1"/>
  <c r="V1490" i="1"/>
  <c r="Q1490" i="1"/>
  <c r="P1490" i="1"/>
  <c r="O1490" i="1"/>
  <c r="N1490" i="1"/>
  <c r="V1489" i="1"/>
  <c r="Q1489" i="1"/>
  <c r="P1489" i="1"/>
  <c r="O1489" i="1"/>
  <c r="N1489" i="1"/>
  <c r="V1488" i="1"/>
  <c r="Q1488" i="1"/>
  <c r="P1488" i="1"/>
  <c r="O1488" i="1"/>
  <c r="N1488" i="1"/>
  <c r="V1487" i="1"/>
  <c r="Q1487" i="1"/>
  <c r="P1487" i="1"/>
  <c r="O1487" i="1"/>
  <c r="N1487" i="1"/>
  <c r="V1486" i="1"/>
  <c r="Q1486" i="1"/>
  <c r="P1486" i="1"/>
  <c r="O1486" i="1"/>
  <c r="N1486" i="1"/>
  <c r="V1485" i="1"/>
  <c r="Q1485" i="1"/>
  <c r="P1485" i="1"/>
  <c r="O1485" i="1"/>
  <c r="N1485" i="1"/>
  <c r="V1484" i="1"/>
  <c r="Q1484" i="1"/>
  <c r="P1484" i="1"/>
  <c r="O1484" i="1"/>
  <c r="N1484" i="1"/>
  <c r="V1483" i="1"/>
  <c r="Q1483" i="1"/>
  <c r="P1483" i="1"/>
  <c r="O1483" i="1"/>
  <c r="N1483" i="1"/>
  <c r="V1482" i="1"/>
  <c r="Q1482" i="1"/>
  <c r="P1482" i="1"/>
  <c r="O1482" i="1"/>
  <c r="N1482" i="1"/>
  <c r="V1481" i="1"/>
  <c r="Q1481" i="1"/>
  <c r="P1481" i="1"/>
  <c r="O1481" i="1"/>
  <c r="N1481" i="1"/>
  <c r="V1480" i="1"/>
  <c r="Q1480" i="1"/>
  <c r="P1480" i="1"/>
  <c r="O1480" i="1"/>
  <c r="N1480" i="1"/>
  <c r="V1479" i="1"/>
  <c r="Q1479" i="1"/>
  <c r="P1479" i="1"/>
  <c r="O1479" i="1"/>
  <c r="N1479" i="1"/>
  <c r="V1478" i="1"/>
  <c r="Q1478" i="1"/>
  <c r="P1478" i="1"/>
  <c r="O1478" i="1"/>
  <c r="N1478" i="1"/>
  <c r="V1477" i="1"/>
  <c r="Q1477" i="1"/>
  <c r="P1477" i="1"/>
  <c r="O1477" i="1"/>
  <c r="N1477" i="1"/>
  <c r="V1476" i="1"/>
  <c r="Q1476" i="1"/>
  <c r="P1476" i="1"/>
  <c r="O1476" i="1"/>
  <c r="N1476" i="1"/>
  <c r="V1475" i="1"/>
  <c r="Q1475" i="1"/>
  <c r="P1475" i="1"/>
  <c r="O1475" i="1"/>
  <c r="N1475" i="1"/>
  <c r="V1474" i="1"/>
  <c r="Q1474" i="1"/>
  <c r="P1474" i="1"/>
  <c r="O1474" i="1"/>
  <c r="N1474" i="1"/>
  <c r="V1473" i="1"/>
  <c r="Q1473" i="1"/>
  <c r="P1473" i="1"/>
  <c r="O1473" i="1"/>
  <c r="N1473" i="1"/>
  <c r="V1472" i="1"/>
  <c r="Q1472" i="1"/>
  <c r="P1472" i="1"/>
  <c r="O1472" i="1"/>
  <c r="N1472" i="1"/>
  <c r="V1471" i="1"/>
  <c r="Q1471" i="1"/>
  <c r="P1471" i="1"/>
  <c r="O1471" i="1"/>
  <c r="N1471" i="1"/>
  <c r="V1470" i="1"/>
  <c r="Q1470" i="1"/>
  <c r="P1470" i="1"/>
  <c r="O1470" i="1"/>
  <c r="N1470" i="1"/>
  <c r="V1469" i="1"/>
  <c r="Q1469" i="1"/>
  <c r="P1469" i="1"/>
  <c r="O1469" i="1"/>
  <c r="N1469" i="1"/>
  <c r="V1468" i="1"/>
  <c r="Q1468" i="1"/>
  <c r="P1468" i="1"/>
  <c r="O1468" i="1"/>
  <c r="N1468" i="1"/>
  <c r="V1467" i="1"/>
  <c r="Q1467" i="1"/>
  <c r="P1467" i="1"/>
  <c r="O1467" i="1"/>
  <c r="N1467" i="1"/>
  <c r="V1466" i="1"/>
  <c r="Q1466" i="1"/>
  <c r="P1466" i="1"/>
  <c r="O1466" i="1"/>
  <c r="N1466" i="1"/>
  <c r="V1465" i="1"/>
  <c r="Q1465" i="1"/>
  <c r="P1465" i="1"/>
  <c r="O1465" i="1"/>
  <c r="N1465" i="1"/>
  <c r="V1464" i="1"/>
  <c r="Q1464" i="1"/>
  <c r="P1464" i="1"/>
  <c r="O1464" i="1"/>
  <c r="N1464" i="1"/>
  <c r="V1463" i="1"/>
  <c r="Q1463" i="1"/>
  <c r="P1463" i="1"/>
  <c r="O1463" i="1"/>
  <c r="N1463" i="1"/>
  <c r="V1462" i="1"/>
  <c r="Q1462" i="1"/>
  <c r="P1462" i="1"/>
  <c r="O1462" i="1"/>
  <c r="N1462" i="1"/>
  <c r="V1461" i="1"/>
  <c r="Q1461" i="1"/>
  <c r="P1461" i="1"/>
  <c r="O1461" i="1"/>
  <c r="N1461" i="1"/>
  <c r="V1460" i="1"/>
  <c r="Q1460" i="1"/>
  <c r="P1460" i="1"/>
  <c r="O1460" i="1"/>
  <c r="N1460" i="1"/>
  <c r="V1459" i="1"/>
  <c r="Q1459" i="1"/>
  <c r="P1459" i="1"/>
  <c r="O1459" i="1"/>
  <c r="N1459" i="1"/>
  <c r="V1458" i="1"/>
  <c r="Q1458" i="1"/>
  <c r="P1458" i="1"/>
  <c r="O1458" i="1"/>
  <c r="N1458" i="1"/>
  <c r="V1457" i="1"/>
  <c r="Q1457" i="1"/>
  <c r="P1457" i="1"/>
  <c r="O1457" i="1"/>
  <c r="N1457" i="1"/>
  <c r="V1456" i="1"/>
  <c r="Q1456" i="1"/>
  <c r="P1456" i="1"/>
  <c r="O1456" i="1"/>
  <c r="N1456" i="1"/>
  <c r="V1455" i="1"/>
  <c r="Q1455" i="1"/>
  <c r="P1455" i="1"/>
  <c r="O1455" i="1"/>
  <c r="N1455" i="1"/>
  <c r="V1454" i="1"/>
  <c r="Q1454" i="1"/>
  <c r="P1454" i="1"/>
  <c r="O1454" i="1"/>
  <c r="N1454" i="1"/>
  <c r="V1453" i="1"/>
  <c r="Q1453" i="1"/>
  <c r="P1453" i="1"/>
  <c r="O1453" i="1"/>
  <c r="N1453" i="1"/>
  <c r="V1452" i="1"/>
  <c r="Q1452" i="1"/>
  <c r="P1452" i="1"/>
  <c r="O1452" i="1"/>
  <c r="N1452" i="1"/>
  <c r="V1451" i="1"/>
  <c r="Q1451" i="1"/>
  <c r="P1451" i="1"/>
  <c r="O1451" i="1"/>
  <c r="N1451" i="1"/>
  <c r="V1450" i="1"/>
  <c r="Q1450" i="1"/>
  <c r="P1450" i="1"/>
  <c r="O1450" i="1"/>
  <c r="N1450" i="1"/>
  <c r="V1449" i="1"/>
  <c r="Q1449" i="1"/>
  <c r="P1449" i="1"/>
  <c r="O1449" i="1"/>
  <c r="N1449" i="1"/>
  <c r="V1448" i="1"/>
  <c r="Q1448" i="1"/>
  <c r="P1448" i="1"/>
  <c r="O1448" i="1"/>
  <c r="N1448" i="1"/>
  <c r="V1447" i="1"/>
  <c r="Q1447" i="1"/>
  <c r="P1447" i="1"/>
  <c r="O1447" i="1"/>
  <c r="N1447" i="1"/>
  <c r="V1446" i="1"/>
  <c r="Q1446" i="1"/>
  <c r="P1446" i="1"/>
  <c r="O1446" i="1"/>
  <c r="N1446" i="1"/>
  <c r="V1445" i="1"/>
  <c r="Q1445" i="1"/>
  <c r="P1445" i="1"/>
  <c r="O1445" i="1"/>
  <c r="N1445" i="1"/>
  <c r="V1444" i="1"/>
  <c r="Q1444" i="1"/>
  <c r="P1444" i="1"/>
  <c r="O1444" i="1"/>
  <c r="N1444" i="1"/>
  <c r="V1443" i="1"/>
  <c r="Q1443" i="1"/>
  <c r="P1443" i="1"/>
  <c r="O1443" i="1"/>
  <c r="N1443" i="1"/>
  <c r="V1442" i="1"/>
  <c r="Q1442" i="1"/>
  <c r="P1442" i="1"/>
  <c r="O1442" i="1"/>
  <c r="N1442" i="1"/>
  <c r="V1441" i="1"/>
  <c r="Q1441" i="1"/>
  <c r="P1441" i="1"/>
  <c r="O1441" i="1"/>
  <c r="N1441" i="1"/>
  <c r="V1440" i="1"/>
  <c r="Q1440" i="1"/>
  <c r="P1440" i="1"/>
  <c r="O1440" i="1"/>
  <c r="N1440" i="1"/>
  <c r="V1439" i="1"/>
  <c r="Q1439" i="1"/>
  <c r="P1439" i="1"/>
  <c r="O1439" i="1"/>
  <c r="N1439" i="1"/>
  <c r="V1438" i="1"/>
  <c r="Q1438" i="1"/>
  <c r="P1438" i="1"/>
  <c r="O1438" i="1"/>
  <c r="N1438" i="1"/>
  <c r="V1437" i="1"/>
  <c r="Q1437" i="1"/>
  <c r="P1437" i="1"/>
  <c r="O1437" i="1"/>
  <c r="N1437" i="1"/>
  <c r="V1436" i="1"/>
  <c r="Q1436" i="1"/>
  <c r="P1436" i="1"/>
  <c r="O1436" i="1"/>
  <c r="N1436" i="1"/>
  <c r="V1435" i="1"/>
  <c r="Q1435" i="1"/>
  <c r="P1435" i="1"/>
  <c r="O1435" i="1"/>
  <c r="N1435" i="1"/>
  <c r="V1434" i="1"/>
  <c r="Q1434" i="1"/>
  <c r="P1434" i="1"/>
  <c r="O1434" i="1"/>
  <c r="N1434" i="1"/>
  <c r="V1433" i="1"/>
  <c r="Q1433" i="1"/>
  <c r="P1433" i="1"/>
  <c r="O1433" i="1"/>
  <c r="N1433" i="1"/>
  <c r="V1432" i="1"/>
  <c r="Q1432" i="1"/>
  <c r="P1432" i="1"/>
  <c r="O1432" i="1"/>
  <c r="N1432" i="1"/>
  <c r="V1431" i="1"/>
  <c r="Q1431" i="1"/>
  <c r="P1431" i="1"/>
  <c r="O1431" i="1"/>
  <c r="N1431" i="1"/>
  <c r="V1430" i="1"/>
  <c r="Q1430" i="1"/>
  <c r="P1430" i="1"/>
  <c r="O1430" i="1"/>
  <c r="N1430" i="1"/>
  <c r="V1429" i="1"/>
  <c r="Q1429" i="1"/>
  <c r="P1429" i="1"/>
  <c r="O1429" i="1"/>
  <c r="N1429" i="1"/>
  <c r="V1428" i="1"/>
  <c r="Q1428" i="1"/>
  <c r="P1428" i="1"/>
  <c r="O1428" i="1"/>
  <c r="N1428" i="1"/>
  <c r="V1427" i="1"/>
  <c r="Q1427" i="1"/>
  <c r="P1427" i="1"/>
  <c r="O1427" i="1"/>
  <c r="N1427" i="1"/>
  <c r="V1426" i="1"/>
  <c r="Q1426" i="1"/>
  <c r="P1426" i="1"/>
  <c r="O1426" i="1"/>
  <c r="N1426" i="1"/>
  <c r="V1425" i="1"/>
  <c r="Q1425" i="1"/>
  <c r="P1425" i="1"/>
  <c r="O1425" i="1"/>
  <c r="N1425" i="1"/>
  <c r="V1424" i="1"/>
  <c r="Q1424" i="1"/>
  <c r="P1424" i="1"/>
  <c r="O1424" i="1"/>
  <c r="N1424" i="1"/>
  <c r="V1423" i="1"/>
  <c r="Q1423" i="1"/>
  <c r="P1423" i="1"/>
  <c r="O1423" i="1"/>
  <c r="N1423" i="1"/>
  <c r="V1422" i="1"/>
  <c r="Q1422" i="1"/>
  <c r="P1422" i="1"/>
  <c r="O1422" i="1"/>
  <c r="N1422" i="1"/>
  <c r="V1421" i="1"/>
  <c r="Q1421" i="1"/>
  <c r="P1421" i="1"/>
  <c r="O1421" i="1"/>
  <c r="N1421" i="1"/>
  <c r="V1420" i="1"/>
  <c r="Q1420" i="1"/>
  <c r="P1420" i="1"/>
  <c r="O1420" i="1"/>
  <c r="N1420" i="1"/>
  <c r="V1419" i="1"/>
  <c r="Q1419" i="1"/>
  <c r="P1419" i="1"/>
  <c r="O1419" i="1"/>
  <c r="N1419" i="1"/>
  <c r="V1418" i="1"/>
  <c r="Q1418" i="1"/>
  <c r="P1418" i="1"/>
  <c r="O1418" i="1"/>
  <c r="N1418" i="1"/>
  <c r="V1417" i="1"/>
  <c r="Q1417" i="1"/>
  <c r="P1417" i="1"/>
  <c r="O1417" i="1"/>
  <c r="N1417" i="1"/>
  <c r="V1416" i="1"/>
  <c r="Q1416" i="1"/>
  <c r="P1416" i="1"/>
  <c r="O1416" i="1"/>
  <c r="N1416" i="1"/>
  <c r="V1415" i="1"/>
  <c r="Q1415" i="1"/>
  <c r="P1415" i="1"/>
  <c r="O1415" i="1"/>
  <c r="N1415" i="1"/>
  <c r="V1414" i="1"/>
  <c r="Q1414" i="1"/>
  <c r="P1414" i="1"/>
  <c r="O1414" i="1"/>
  <c r="N1414" i="1"/>
  <c r="V1413" i="1"/>
  <c r="Q1413" i="1"/>
  <c r="P1413" i="1"/>
  <c r="O1413" i="1"/>
  <c r="N1413" i="1"/>
  <c r="V1412" i="1"/>
  <c r="Q1412" i="1"/>
  <c r="P1412" i="1"/>
  <c r="O1412" i="1"/>
  <c r="N1412" i="1"/>
  <c r="V1411" i="1"/>
  <c r="Q1411" i="1"/>
  <c r="P1411" i="1"/>
  <c r="O1411" i="1"/>
  <c r="N1411" i="1"/>
  <c r="V1410" i="1"/>
  <c r="Q1410" i="1"/>
  <c r="P1410" i="1"/>
  <c r="O1410" i="1"/>
  <c r="N1410" i="1"/>
  <c r="V1409" i="1"/>
  <c r="Q1409" i="1"/>
  <c r="P1409" i="1"/>
  <c r="O1409" i="1"/>
  <c r="N1409" i="1"/>
  <c r="V1408" i="1"/>
  <c r="Q1408" i="1"/>
  <c r="P1408" i="1"/>
  <c r="O1408" i="1"/>
  <c r="N1408" i="1"/>
  <c r="V1407" i="1"/>
  <c r="Q1407" i="1"/>
  <c r="P1407" i="1"/>
  <c r="O1407" i="1"/>
  <c r="N1407" i="1"/>
  <c r="V1406" i="1"/>
  <c r="Q1406" i="1"/>
  <c r="P1406" i="1"/>
  <c r="O1406" i="1"/>
  <c r="N1406" i="1"/>
  <c r="V1405" i="1"/>
  <c r="Q1405" i="1"/>
  <c r="P1405" i="1"/>
  <c r="O1405" i="1"/>
  <c r="N1405" i="1"/>
  <c r="V1404" i="1"/>
  <c r="Q1404" i="1"/>
  <c r="P1404" i="1"/>
  <c r="O1404" i="1"/>
  <c r="N1404" i="1"/>
  <c r="V1403" i="1"/>
  <c r="Q1403" i="1"/>
  <c r="P1403" i="1"/>
  <c r="O1403" i="1"/>
  <c r="N1403" i="1"/>
  <c r="V1402" i="1"/>
  <c r="Q1402" i="1"/>
  <c r="P1402" i="1"/>
  <c r="O1402" i="1"/>
  <c r="N1402" i="1"/>
  <c r="V1401" i="1"/>
  <c r="Q1401" i="1"/>
  <c r="P1401" i="1"/>
  <c r="O1401" i="1"/>
  <c r="N1401" i="1"/>
  <c r="V1400" i="1"/>
  <c r="Q1400" i="1"/>
  <c r="P1400" i="1"/>
  <c r="O1400" i="1"/>
  <c r="N1400" i="1"/>
  <c r="V1399" i="1"/>
  <c r="Q1399" i="1"/>
  <c r="P1399" i="1"/>
  <c r="O1399" i="1"/>
  <c r="N1399" i="1"/>
  <c r="V1398" i="1"/>
  <c r="Q1398" i="1"/>
  <c r="P1398" i="1"/>
  <c r="O1398" i="1"/>
  <c r="N1398" i="1"/>
  <c r="V1397" i="1"/>
  <c r="Q1397" i="1"/>
  <c r="P1397" i="1"/>
  <c r="O1397" i="1"/>
  <c r="N1397" i="1"/>
  <c r="V1396" i="1"/>
  <c r="Q1396" i="1"/>
  <c r="P1396" i="1"/>
  <c r="O1396" i="1"/>
  <c r="N1396" i="1"/>
  <c r="V1395" i="1"/>
  <c r="Q1395" i="1"/>
  <c r="P1395" i="1"/>
  <c r="O1395" i="1"/>
  <c r="N1395" i="1"/>
  <c r="V1394" i="1"/>
  <c r="Q1394" i="1"/>
  <c r="P1394" i="1"/>
  <c r="O1394" i="1"/>
  <c r="N1394" i="1"/>
  <c r="V1393" i="1"/>
  <c r="Q1393" i="1"/>
  <c r="P1393" i="1"/>
  <c r="O1393" i="1"/>
  <c r="N1393" i="1"/>
  <c r="V1392" i="1"/>
  <c r="Q1392" i="1"/>
  <c r="P1392" i="1"/>
  <c r="O1392" i="1"/>
  <c r="N1392" i="1"/>
  <c r="V1391" i="1"/>
  <c r="Q1391" i="1"/>
  <c r="P1391" i="1"/>
  <c r="O1391" i="1"/>
  <c r="N1391" i="1"/>
  <c r="V1390" i="1"/>
  <c r="Q1390" i="1"/>
  <c r="P1390" i="1"/>
  <c r="O1390" i="1"/>
  <c r="N1390" i="1"/>
  <c r="V1389" i="1"/>
  <c r="Q1389" i="1"/>
  <c r="P1389" i="1"/>
  <c r="O1389" i="1"/>
  <c r="N1389" i="1"/>
  <c r="V1388" i="1"/>
  <c r="Q1388" i="1"/>
  <c r="P1388" i="1"/>
  <c r="O1388" i="1"/>
  <c r="N1388" i="1"/>
  <c r="V1387" i="1"/>
  <c r="Q1387" i="1"/>
  <c r="P1387" i="1"/>
  <c r="O1387" i="1"/>
  <c r="N1387" i="1"/>
  <c r="V1386" i="1"/>
  <c r="Q1386" i="1"/>
  <c r="P1386" i="1"/>
  <c r="O1386" i="1"/>
  <c r="N1386" i="1"/>
  <c r="V1385" i="1"/>
  <c r="Q1385" i="1"/>
  <c r="P1385" i="1"/>
  <c r="O1385" i="1"/>
  <c r="N1385" i="1"/>
  <c r="V1384" i="1"/>
  <c r="Q1384" i="1"/>
  <c r="P1384" i="1"/>
  <c r="O1384" i="1"/>
  <c r="N1384" i="1"/>
  <c r="V1383" i="1"/>
  <c r="Q1383" i="1"/>
  <c r="P1383" i="1"/>
  <c r="O1383" i="1"/>
  <c r="N1383" i="1"/>
  <c r="V1382" i="1"/>
  <c r="Q1382" i="1"/>
  <c r="P1382" i="1"/>
  <c r="O1382" i="1"/>
  <c r="N1382" i="1"/>
  <c r="V1381" i="1"/>
  <c r="Q1381" i="1"/>
  <c r="P1381" i="1"/>
  <c r="O1381" i="1"/>
  <c r="N1381" i="1"/>
  <c r="V1380" i="1"/>
  <c r="Q1380" i="1"/>
  <c r="P1380" i="1"/>
  <c r="O1380" i="1"/>
  <c r="N1380" i="1"/>
  <c r="V1379" i="1"/>
  <c r="Q1379" i="1"/>
  <c r="P1379" i="1"/>
  <c r="O1379" i="1"/>
  <c r="N1379" i="1"/>
  <c r="V1378" i="1"/>
  <c r="Q1378" i="1"/>
  <c r="P1378" i="1"/>
  <c r="O1378" i="1"/>
  <c r="N1378" i="1"/>
  <c r="V1377" i="1"/>
  <c r="Q1377" i="1"/>
  <c r="P1377" i="1"/>
  <c r="O1377" i="1"/>
  <c r="N1377" i="1"/>
  <c r="V1376" i="1"/>
  <c r="Q1376" i="1"/>
  <c r="P1376" i="1"/>
  <c r="O1376" i="1"/>
  <c r="N1376" i="1"/>
  <c r="V1375" i="1"/>
  <c r="Q1375" i="1"/>
  <c r="P1375" i="1"/>
  <c r="O1375" i="1"/>
  <c r="N1375" i="1"/>
  <c r="V1374" i="1"/>
  <c r="Q1374" i="1"/>
  <c r="P1374" i="1"/>
  <c r="O1374" i="1"/>
  <c r="N1374" i="1"/>
  <c r="V1373" i="1"/>
  <c r="Q1373" i="1"/>
  <c r="P1373" i="1"/>
  <c r="O1373" i="1"/>
  <c r="N1373" i="1"/>
  <c r="V1372" i="1"/>
  <c r="Q1372" i="1"/>
  <c r="P1372" i="1"/>
  <c r="O1372" i="1"/>
  <c r="N1372" i="1"/>
  <c r="V1371" i="1"/>
  <c r="Q1371" i="1"/>
  <c r="P1371" i="1"/>
  <c r="O1371" i="1"/>
  <c r="N1371" i="1"/>
  <c r="V1370" i="1"/>
  <c r="Q1370" i="1"/>
  <c r="P1370" i="1"/>
  <c r="O1370" i="1"/>
  <c r="N1370" i="1"/>
  <c r="V1369" i="1"/>
  <c r="Q1369" i="1"/>
  <c r="P1369" i="1"/>
  <c r="O1369" i="1"/>
  <c r="N1369" i="1"/>
  <c r="V1368" i="1"/>
  <c r="Q1368" i="1"/>
  <c r="P1368" i="1"/>
  <c r="O1368" i="1"/>
  <c r="N1368" i="1"/>
  <c r="V1367" i="1"/>
  <c r="Q1367" i="1"/>
  <c r="P1367" i="1"/>
  <c r="O1367" i="1"/>
  <c r="N1367" i="1"/>
  <c r="V1366" i="1"/>
  <c r="Q1366" i="1"/>
  <c r="P1366" i="1"/>
  <c r="O1366" i="1"/>
  <c r="N1366" i="1"/>
  <c r="V1365" i="1"/>
  <c r="Q1365" i="1"/>
  <c r="P1365" i="1"/>
  <c r="O1365" i="1"/>
  <c r="N1365" i="1"/>
  <c r="V1364" i="1"/>
  <c r="Q1364" i="1"/>
  <c r="P1364" i="1"/>
  <c r="O1364" i="1"/>
  <c r="N1364" i="1"/>
  <c r="V1363" i="1"/>
  <c r="Q1363" i="1"/>
  <c r="P1363" i="1"/>
  <c r="O1363" i="1"/>
  <c r="N1363" i="1"/>
  <c r="V1362" i="1"/>
  <c r="Q1362" i="1"/>
  <c r="P1362" i="1"/>
  <c r="O1362" i="1"/>
  <c r="N1362" i="1"/>
  <c r="V1361" i="1"/>
  <c r="Q1361" i="1"/>
  <c r="P1361" i="1"/>
  <c r="O1361" i="1"/>
  <c r="N1361" i="1"/>
  <c r="V1360" i="1"/>
  <c r="Q1360" i="1"/>
  <c r="P1360" i="1"/>
  <c r="O1360" i="1"/>
  <c r="N1360" i="1"/>
  <c r="V1359" i="1"/>
  <c r="Q1359" i="1"/>
  <c r="P1359" i="1"/>
  <c r="O1359" i="1"/>
  <c r="N1359" i="1"/>
  <c r="V1358" i="1"/>
  <c r="Q1358" i="1"/>
  <c r="P1358" i="1"/>
  <c r="O1358" i="1"/>
  <c r="N1358" i="1"/>
  <c r="V1357" i="1"/>
  <c r="Q1357" i="1"/>
  <c r="P1357" i="1"/>
  <c r="O1357" i="1"/>
  <c r="N1357" i="1"/>
  <c r="V1356" i="1"/>
  <c r="Q1356" i="1"/>
  <c r="P1356" i="1"/>
  <c r="O1356" i="1"/>
  <c r="N1356" i="1"/>
  <c r="V1355" i="1"/>
  <c r="Q1355" i="1"/>
  <c r="P1355" i="1"/>
  <c r="O1355" i="1"/>
  <c r="N1355" i="1"/>
  <c r="V1354" i="1"/>
  <c r="Q1354" i="1"/>
  <c r="P1354" i="1"/>
  <c r="O1354" i="1"/>
  <c r="N1354" i="1"/>
  <c r="V1353" i="1"/>
  <c r="Q1353" i="1"/>
  <c r="P1353" i="1"/>
  <c r="O1353" i="1"/>
  <c r="N1353" i="1"/>
  <c r="V1352" i="1"/>
  <c r="Q1352" i="1"/>
  <c r="P1352" i="1"/>
  <c r="O1352" i="1"/>
  <c r="N1352" i="1"/>
  <c r="V1351" i="1"/>
  <c r="Q1351" i="1"/>
  <c r="P1351" i="1"/>
  <c r="O1351" i="1"/>
  <c r="N1351" i="1"/>
  <c r="V1350" i="1"/>
  <c r="Q1350" i="1"/>
  <c r="P1350" i="1"/>
  <c r="O1350" i="1"/>
  <c r="N1350" i="1"/>
  <c r="V1349" i="1"/>
  <c r="Q1349" i="1"/>
  <c r="P1349" i="1"/>
  <c r="O1349" i="1"/>
  <c r="N1349" i="1"/>
  <c r="V1348" i="1"/>
  <c r="Q1348" i="1"/>
  <c r="P1348" i="1"/>
  <c r="O1348" i="1"/>
  <c r="N1348" i="1"/>
  <c r="V1347" i="1"/>
  <c r="Q1347" i="1"/>
  <c r="P1347" i="1"/>
  <c r="O1347" i="1"/>
  <c r="N1347" i="1"/>
  <c r="V1346" i="1"/>
  <c r="Q1346" i="1"/>
  <c r="P1346" i="1"/>
  <c r="O1346" i="1"/>
  <c r="N1346" i="1"/>
  <c r="V1345" i="1"/>
  <c r="Q1345" i="1"/>
  <c r="P1345" i="1"/>
  <c r="O1345" i="1"/>
  <c r="N1345" i="1"/>
  <c r="V1344" i="1"/>
  <c r="Q1344" i="1"/>
  <c r="P1344" i="1"/>
  <c r="O1344" i="1"/>
  <c r="N1344" i="1"/>
  <c r="V1343" i="1"/>
  <c r="Q1343" i="1"/>
  <c r="P1343" i="1"/>
  <c r="O1343" i="1"/>
  <c r="N1343" i="1"/>
  <c r="V1342" i="1"/>
  <c r="Q1342" i="1"/>
  <c r="P1342" i="1"/>
  <c r="O1342" i="1"/>
  <c r="N1342" i="1"/>
  <c r="V1341" i="1"/>
  <c r="Q1341" i="1"/>
  <c r="P1341" i="1"/>
  <c r="O1341" i="1"/>
  <c r="N1341" i="1"/>
  <c r="V1340" i="1"/>
  <c r="Q1340" i="1"/>
  <c r="P1340" i="1"/>
  <c r="O1340" i="1"/>
  <c r="N1340" i="1"/>
  <c r="V1339" i="1"/>
  <c r="Q1339" i="1"/>
  <c r="P1339" i="1"/>
  <c r="O1339" i="1"/>
  <c r="N1339" i="1"/>
  <c r="V1338" i="1"/>
  <c r="Q1338" i="1"/>
  <c r="P1338" i="1"/>
  <c r="O1338" i="1"/>
  <c r="N1338" i="1"/>
  <c r="V1337" i="1"/>
  <c r="Q1337" i="1"/>
  <c r="P1337" i="1"/>
  <c r="O1337" i="1"/>
  <c r="N1337" i="1"/>
  <c r="V1336" i="1"/>
  <c r="Q1336" i="1"/>
  <c r="P1336" i="1"/>
  <c r="O1336" i="1"/>
  <c r="N1336" i="1"/>
  <c r="V1335" i="1"/>
  <c r="Q1335" i="1"/>
  <c r="P1335" i="1"/>
  <c r="O1335" i="1"/>
  <c r="N1335" i="1"/>
  <c r="V1334" i="1"/>
  <c r="Q1334" i="1"/>
  <c r="P1334" i="1"/>
  <c r="O1334" i="1"/>
  <c r="N1334" i="1"/>
  <c r="V1333" i="1"/>
  <c r="Q1333" i="1"/>
  <c r="P1333" i="1"/>
  <c r="O1333" i="1"/>
  <c r="N1333" i="1"/>
  <c r="V1332" i="1"/>
  <c r="Q1332" i="1"/>
  <c r="P1332" i="1"/>
  <c r="O1332" i="1"/>
  <c r="N1332" i="1"/>
  <c r="V1331" i="1"/>
  <c r="Q1331" i="1"/>
  <c r="P1331" i="1"/>
  <c r="O1331" i="1"/>
  <c r="N1331" i="1"/>
  <c r="V1330" i="1"/>
  <c r="Q1330" i="1"/>
  <c r="P1330" i="1"/>
  <c r="O1330" i="1"/>
  <c r="N1330" i="1"/>
  <c r="V1329" i="1"/>
  <c r="Q1329" i="1"/>
  <c r="P1329" i="1"/>
  <c r="O1329" i="1"/>
  <c r="N1329" i="1"/>
  <c r="V1328" i="1"/>
  <c r="Q1328" i="1"/>
  <c r="P1328" i="1"/>
  <c r="O1328" i="1"/>
  <c r="N1328" i="1"/>
  <c r="V1327" i="1"/>
  <c r="Q1327" i="1"/>
  <c r="P1327" i="1"/>
  <c r="O1327" i="1"/>
  <c r="N1327" i="1"/>
  <c r="V1326" i="1"/>
  <c r="Q1326" i="1"/>
  <c r="P1326" i="1"/>
  <c r="O1326" i="1"/>
  <c r="N1326" i="1"/>
  <c r="V1325" i="1"/>
  <c r="Q1325" i="1"/>
  <c r="P1325" i="1"/>
  <c r="O1325" i="1"/>
  <c r="N1325" i="1"/>
  <c r="V1324" i="1"/>
  <c r="Q1324" i="1"/>
  <c r="P1324" i="1"/>
  <c r="O1324" i="1"/>
  <c r="N1324" i="1"/>
  <c r="V1323" i="1"/>
  <c r="Q1323" i="1"/>
  <c r="P1323" i="1"/>
  <c r="O1323" i="1"/>
  <c r="N1323" i="1"/>
  <c r="V1322" i="1"/>
  <c r="Q1322" i="1"/>
  <c r="P1322" i="1"/>
  <c r="O1322" i="1"/>
  <c r="N1322" i="1"/>
  <c r="V1321" i="1"/>
  <c r="Q1321" i="1"/>
  <c r="P1321" i="1"/>
  <c r="O1321" i="1"/>
  <c r="N1321" i="1"/>
  <c r="V1320" i="1"/>
  <c r="Q1320" i="1"/>
  <c r="P1320" i="1"/>
  <c r="O1320" i="1"/>
  <c r="N1320" i="1"/>
  <c r="V1319" i="1"/>
  <c r="Q1319" i="1"/>
  <c r="P1319" i="1"/>
  <c r="O1319" i="1"/>
  <c r="N1319" i="1"/>
  <c r="V1318" i="1"/>
  <c r="Q1318" i="1"/>
  <c r="P1318" i="1"/>
  <c r="O1318" i="1"/>
  <c r="N1318" i="1"/>
  <c r="V1317" i="1"/>
  <c r="Q1317" i="1"/>
  <c r="P1317" i="1"/>
  <c r="O1317" i="1"/>
  <c r="N1317" i="1"/>
  <c r="V1316" i="1"/>
  <c r="Q1316" i="1"/>
  <c r="P1316" i="1"/>
  <c r="O1316" i="1"/>
  <c r="N1316" i="1"/>
  <c r="V1315" i="1"/>
  <c r="Q1315" i="1"/>
  <c r="P1315" i="1"/>
  <c r="O1315" i="1"/>
  <c r="N1315" i="1"/>
  <c r="V1314" i="1"/>
  <c r="Q1314" i="1"/>
  <c r="P1314" i="1"/>
  <c r="O1314" i="1"/>
  <c r="N1314" i="1"/>
  <c r="V1313" i="1"/>
  <c r="Q1313" i="1"/>
  <c r="P1313" i="1"/>
  <c r="O1313" i="1"/>
  <c r="N1313" i="1"/>
  <c r="V1312" i="1"/>
  <c r="Q1312" i="1"/>
  <c r="P1312" i="1"/>
  <c r="O1312" i="1"/>
  <c r="N1312" i="1"/>
  <c r="V1311" i="1"/>
  <c r="Q1311" i="1"/>
  <c r="P1311" i="1"/>
  <c r="O1311" i="1"/>
  <c r="N1311" i="1"/>
  <c r="V1310" i="1"/>
  <c r="Q1310" i="1"/>
  <c r="P1310" i="1"/>
  <c r="O1310" i="1"/>
  <c r="N1310" i="1"/>
  <c r="V1309" i="1"/>
  <c r="Q1309" i="1"/>
  <c r="P1309" i="1"/>
  <c r="O1309" i="1"/>
  <c r="N1309" i="1"/>
  <c r="V1308" i="1"/>
  <c r="Q1308" i="1"/>
  <c r="P1308" i="1"/>
  <c r="O1308" i="1"/>
  <c r="N1308" i="1"/>
  <c r="V1307" i="1"/>
  <c r="Q1307" i="1"/>
  <c r="P1307" i="1"/>
  <c r="O1307" i="1"/>
  <c r="N1307" i="1"/>
  <c r="V1306" i="1"/>
  <c r="Q1306" i="1"/>
  <c r="P1306" i="1"/>
  <c r="O1306" i="1"/>
  <c r="N1306" i="1"/>
  <c r="V1305" i="1"/>
  <c r="Q1305" i="1"/>
  <c r="P1305" i="1"/>
  <c r="O1305" i="1"/>
  <c r="N1305" i="1"/>
  <c r="V1304" i="1"/>
  <c r="Q1304" i="1"/>
  <c r="P1304" i="1"/>
  <c r="O1304" i="1"/>
  <c r="N1304" i="1"/>
  <c r="V1303" i="1"/>
  <c r="Q1303" i="1"/>
  <c r="P1303" i="1"/>
  <c r="O1303" i="1"/>
  <c r="N1303" i="1"/>
  <c r="V1302" i="1"/>
  <c r="Q1302" i="1"/>
  <c r="P1302" i="1"/>
  <c r="O1302" i="1"/>
  <c r="N1302" i="1"/>
  <c r="V1301" i="1"/>
  <c r="Q1301" i="1"/>
  <c r="P1301" i="1"/>
  <c r="O1301" i="1"/>
  <c r="N1301" i="1"/>
  <c r="V1300" i="1"/>
  <c r="Q1300" i="1"/>
  <c r="P1300" i="1"/>
  <c r="O1300" i="1"/>
  <c r="N1300" i="1"/>
  <c r="V1299" i="1"/>
  <c r="Q1299" i="1"/>
  <c r="P1299" i="1"/>
  <c r="O1299" i="1"/>
  <c r="N1299" i="1"/>
  <c r="V1298" i="1"/>
  <c r="Q1298" i="1"/>
  <c r="P1298" i="1"/>
  <c r="O1298" i="1"/>
  <c r="N1298" i="1"/>
  <c r="V1297" i="1"/>
  <c r="Q1297" i="1"/>
  <c r="P1297" i="1"/>
  <c r="O1297" i="1"/>
  <c r="N1297" i="1"/>
  <c r="V1296" i="1"/>
  <c r="Q1296" i="1"/>
  <c r="P1296" i="1"/>
  <c r="O1296" i="1"/>
  <c r="N1296" i="1"/>
  <c r="V1295" i="1"/>
  <c r="Q1295" i="1"/>
  <c r="P1295" i="1"/>
  <c r="O1295" i="1"/>
  <c r="N1295" i="1"/>
  <c r="V1294" i="1"/>
  <c r="Q1294" i="1"/>
  <c r="P1294" i="1"/>
  <c r="O1294" i="1"/>
  <c r="N1294" i="1"/>
  <c r="V1293" i="1"/>
  <c r="Q1293" i="1"/>
  <c r="P1293" i="1"/>
  <c r="O1293" i="1"/>
  <c r="N1293" i="1"/>
  <c r="V1292" i="1"/>
  <c r="Q1292" i="1"/>
  <c r="P1292" i="1"/>
  <c r="O1292" i="1"/>
  <c r="N1292" i="1"/>
  <c r="V1291" i="1"/>
  <c r="Q1291" i="1"/>
  <c r="P1291" i="1"/>
  <c r="O1291" i="1"/>
  <c r="N1291" i="1"/>
  <c r="V1290" i="1"/>
  <c r="Q1290" i="1"/>
  <c r="P1290" i="1"/>
  <c r="O1290" i="1"/>
  <c r="N1290" i="1"/>
  <c r="V1289" i="1"/>
  <c r="Q1289" i="1"/>
  <c r="P1289" i="1"/>
  <c r="O1289" i="1"/>
  <c r="N1289" i="1"/>
  <c r="V1288" i="1"/>
  <c r="Q1288" i="1"/>
  <c r="P1288" i="1"/>
  <c r="O1288" i="1"/>
  <c r="N1288" i="1"/>
  <c r="V1287" i="1"/>
  <c r="Q1287" i="1"/>
  <c r="P1287" i="1"/>
  <c r="O1287" i="1"/>
  <c r="N1287" i="1"/>
  <c r="V1286" i="1"/>
  <c r="Q1286" i="1"/>
  <c r="P1286" i="1"/>
  <c r="O1286" i="1"/>
  <c r="N1286" i="1"/>
  <c r="V1285" i="1"/>
  <c r="Q1285" i="1"/>
  <c r="P1285" i="1"/>
  <c r="O1285" i="1"/>
  <c r="N1285" i="1"/>
  <c r="V1284" i="1"/>
  <c r="Q1284" i="1"/>
  <c r="P1284" i="1"/>
  <c r="O1284" i="1"/>
  <c r="N1284" i="1"/>
  <c r="V1283" i="1"/>
  <c r="Q1283" i="1"/>
  <c r="P1283" i="1"/>
  <c r="O1283" i="1"/>
  <c r="N1283" i="1"/>
  <c r="V1282" i="1"/>
  <c r="Q1282" i="1"/>
  <c r="P1282" i="1"/>
  <c r="O1282" i="1"/>
  <c r="N1282" i="1"/>
  <c r="V1281" i="1"/>
  <c r="Q1281" i="1"/>
  <c r="P1281" i="1"/>
  <c r="O1281" i="1"/>
  <c r="N1281" i="1"/>
  <c r="V1280" i="1"/>
  <c r="Q1280" i="1"/>
  <c r="P1280" i="1"/>
  <c r="O1280" i="1"/>
  <c r="N1280" i="1"/>
  <c r="V1279" i="1"/>
  <c r="Q1279" i="1"/>
  <c r="P1279" i="1"/>
  <c r="O1279" i="1"/>
  <c r="N1279" i="1"/>
  <c r="V1278" i="1"/>
  <c r="Q1278" i="1"/>
  <c r="P1278" i="1"/>
  <c r="O1278" i="1"/>
  <c r="N1278" i="1"/>
  <c r="V1277" i="1"/>
  <c r="Q1277" i="1"/>
  <c r="P1277" i="1"/>
  <c r="O1277" i="1"/>
  <c r="N1277" i="1"/>
  <c r="V1276" i="1"/>
  <c r="Q1276" i="1"/>
  <c r="P1276" i="1"/>
  <c r="O1276" i="1"/>
  <c r="N1276" i="1"/>
  <c r="V1275" i="1"/>
  <c r="Q1275" i="1"/>
  <c r="P1275" i="1"/>
  <c r="O1275" i="1"/>
  <c r="N1275" i="1"/>
  <c r="V1274" i="1"/>
  <c r="Q1274" i="1"/>
  <c r="P1274" i="1"/>
  <c r="O1274" i="1"/>
  <c r="N1274" i="1"/>
  <c r="V1273" i="1"/>
  <c r="Q1273" i="1"/>
  <c r="P1273" i="1"/>
  <c r="O1273" i="1"/>
  <c r="N1273" i="1"/>
  <c r="V1272" i="1"/>
  <c r="Q1272" i="1"/>
  <c r="P1272" i="1"/>
  <c r="O1272" i="1"/>
  <c r="N1272" i="1"/>
  <c r="V1271" i="1"/>
  <c r="Q1271" i="1"/>
  <c r="P1271" i="1"/>
  <c r="O1271" i="1"/>
  <c r="N1271" i="1"/>
  <c r="V1270" i="1"/>
  <c r="Q1270" i="1"/>
  <c r="P1270" i="1"/>
  <c r="O1270" i="1"/>
  <c r="N1270" i="1"/>
  <c r="V1269" i="1"/>
  <c r="Q1269" i="1"/>
  <c r="P1269" i="1"/>
  <c r="O1269" i="1"/>
  <c r="N1269" i="1"/>
  <c r="V1268" i="1"/>
  <c r="Q1268" i="1"/>
  <c r="P1268" i="1"/>
  <c r="O1268" i="1"/>
  <c r="N1268" i="1"/>
  <c r="V1267" i="1"/>
  <c r="Q1267" i="1"/>
  <c r="P1267" i="1"/>
  <c r="O1267" i="1"/>
  <c r="N1267" i="1"/>
  <c r="V1266" i="1"/>
  <c r="Q1266" i="1"/>
  <c r="P1266" i="1"/>
  <c r="O1266" i="1"/>
  <c r="N1266" i="1"/>
  <c r="V1265" i="1"/>
  <c r="Q1265" i="1"/>
  <c r="P1265" i="1"/>
  <c r="O1265" i="1"/>
  <c r="N1265" i="1"/>
  <c r="V1264" i="1"/>
  <c r="Q1264" i="1"/>
  <c r="P1264" i="1"/>
  <c r="O1264" i="1"/>
  <c r="N1264" i="1"/>
  <c r="V1263" i="1"/>
  <c r="Q1263" i="1"/>
  <c r="P1263" i="1"/>
  <c r="O1263" i="1"/>
  <c r="N1263" i="1"/>
  <c r="V1262" i="1"/>
  <c r="Q1262" i="1"/>
  <c r="P1262" i="1"/>
  <c r="O1262" i="1"/>
  <c r="N1262" i="1"/>
  <c r="V1261" i="1"/>
  <c r="Q1261" i="1"/>
  <c r="P1261" i="1"/>
  <c r="O1261" i="1"/>
  <c r="N1261" i="1"/>
  <c r="V1260" i="1"/>
  <c r="Q1260" i="1"/>
  <c r="P1260" i="1"/>
  <c r="O1260" i="1"/>
  <c r="N1260" i="1"/>
  <c r="V1259" i="1"/>
  <c r="Q1259" i="1"/>
  <c r="P1259" i="1"/>
  <c r="O1259" i="1"/>
  <c r="N1259" i="1"/>
  <c r="V1258" i="1"/>
  <c r="Q1258" i="1"/>
  <c r="P1258" i="1"/>
  <c r="O1258" i="1"/>
  <c r="N1258" i="1"/>
  <c r="V1257" i="1"/>
  <c r="Q1257" i="1"/>
  <c r="P1257" i="1"/>
  <c r="O1257" i="1"/>
  <c r="N1257" i="1"/>
  <c r="V1256" i="1"/>
  <c r="Q1256" i="1"/>
  <c r="P1256" i="1"/>
  <c r="O1256" i="1"/>
  <c r="N1256" i="1"/>
  <c r="V1255" i="1"/>
  <c r="Q1255" i="1"/>
  <c r="P1255" i="1"/>
  <c r="O1255" i="1"/>
  <c r="N1255" i="1"/>
  <c r="V1254" i="1"/>
  <c r="Q1254" i="1"/>
  <c r="P1254" i="1"/>
  <c r="O1254" i="1"/>
  <c r="N1254" i="1"/>
  <c r="V1253" i="1"/>
  <c r="Q1253" i="1"/>
  <c r="P1253" i="1"/>
  <c r="O1253" i="1"/>
  <c r="N1253" i="1"/>
  <c r="V1252" i="1"/>
  <c r="Q1252" i="1"/>
  <c r="P1252" i="1"/>
  <c r="O1252" i="1"/>
  <c r="N1252" i="1"/>
  <c r="V1251" i="1"/>
  <c r="Q1251" i="1"/>
  <c r="P1251" i="1"/>
  <c r="O1251" i="1"/>
  <c r="N1251" i="1"/>
  <c r="V1250" i="1"/>
  <c r="Q1250" i="1"/>
  <c r="P1250" i="1"/>
  <c r="O1250" i="1"/>
  <c r="N1250" i="1"/>
  <c r="V1249" i="1"/>
  <c r="Q1249" i="1"/>
  <c r="P1249" i="1"/>
  <c r="O1249" i="1"/>
  <c r="N1249" i="1"/>
  <c r="V1248" i="1"/>
  <c r="Q1248" i="1"/>
  <c r="P1248" i="1"/>
  <c r="O1248" i="1"/>
  <c r="N1248" i="1"/>
  <c r="V1247" i="1"/>
  <c r="Q1247" i="1"/>
  <c r="P1247" i="1"/>
  <c r="O1247" i="1"/>
  <c r="N1247" i="1"/>
  <c r="V1246" i="1"/>
  <c r="Q1246" i="1"/>
  <c r="P1246" i="1"/>
  <c r="O1246" i="1"/>
  <c r="N1246" i="1"/>
  <c r="V1245" i="1"/>
  <c r="Q1245" i="1"/>
  <c r="P1245" i="1"/>
  <c r="O1245" i="1"/>
  <c r="N1245" i="1"/>
  <c r="V1244" i="1"/>
  <c r="Q1244" i="1"/>
  <c r="P1244" i="1"/>
  <c r="O1244" i="1"/>
  <c r="N1244" i="1"/>
  <c r="V1243" i="1"/>
  <c r="Q1243" i="1"/>
  <c r="P1243" i="1"/>
  <c r="O1243" i="1"/>
  <c r="N1243" i="1"/>
  <c r="V1242" i="1"/>
  <c r="Q1242" i="1"/>
  <c r="P1242" i="1"/>
  <c r="O1242" i="1"/>
  <c r="N1242" i="1"/>
  <c r="V1241" i="1"/>
  <c r="Q1241" i="1"/>
  <c r="P1241" i="1"/>
  <c r="O1241" i="1"/>
  <c r="N1241" i="1"/>
  <c r="V1240" i="1"/>
  <c r="Q1240" i="1"/>
  <c r="P1240" i="1"/>
  <c r="O1240" i="1"/>
  <c r="N1240" i="1"/>
  <c r="V1239" i="1"/>
  <c r="Q1239" i="1"/>
  <c r="P1239" i="1"/>
  <c r="O1239" i="1"/>
  <c r="N1239" i="1"/>
  <c r="V1238" i="1"/>
  <c r="Q1238" i="1"/>
  <c r="P1238" i="1"/>
  <c r="O1238" i="1"/>
  <c r="N1238" i="1"/>
  <c r="V1237" i="1"/>
  <c r="Q1237" i="1"/>
  <c r="P1237" i="1"/>
  <c r="O1237" i="1"/>
  <c r="N1237" i="1"/>
  <c r="V1236" i="1"/>
  <c r="Q1236" i="1"/>
  <c r="P1236" i="1"/>
  <c r="O1236" i="1"/>
  <c r="N1236" i="1"/>
  <c r="V1235" i="1"/>
  <c r="Q1235" i="1"/>
  <c r="P1235" i="1"/>
  <c r="O1235" i="1"/>
  <c r="N1235" i="1"/>
  <c r="V1234" i="1"/>
  <c r="Q1234" i="1"/>
  <c r="P1234" i="1"/>
  <c r="O1234" i="1"/>
  <c r="N1234" i="1"/>
  <c r="V1233" i="1"/>
  <c r="Q1233" i="1"/>
  <c r="P1233" i="1"/>
  <c r="O1233" i="1"/>
  <c r="V1232" i="1"/>
  <c r="Q1232" i="1"/>
  <c r="P1232" i="1"/>
  <c r="O1232" i="1"/>
  <c r="V1231" i="1"/>
  <c r="Q1231" i="1"/>
  <c r="P1231" i="1"/>
  <c r="O1231" i="1"/>
  <c r="V1230" i="1"/>
  <c r="Q1230" i="1"/>
  <c r="P1230" i="1"/>
  <c r="O1230" i="1"/>
  <c r="V1229" i="1"/>
  <c r="Q1229" i="1"/>
  <c r="P1229" i="1"/>
  <c r="O1229" i="1"/>
  <c r="V1228" i="1"/>
  <c r="Q1228" i="1"/>
  <c r="P1228" i="1"/>
  <c r="O1228" i="1"/>
  <c r="V1227" i="1"/>
  <c r="Q1227" i="1"/>
  <c r="P1227" i="1"/>
  <c r="O1227" i="1"/>
  <c r="V1226" i="1"/>
  <c r="Q1226" i="1"/>
  <c r="P1226" i="1"/>
  <c r="O1226" i="1"/>
  <c r="V1225" i="1"/>
  <c r="Q1225" i="1"/>
  <c r="P1225" i="1"/>
  <c r="O1225" i="1"/>
  <c r="V1224" i="1"/>
  <c r="Q1224" i="1"/>
  <c r="P1224" i="1"/>
  <c r="O1224" i="1"/>
  <c r="V1223" i="1"/>
  <c r="Q1223" i="1"/>
  <c r="P1223" i="1"/>
  <c r="O1223" i="1"/>
  <c r="V1222" i="1"/>
  <c r="Q1222" i="1"/>
  <c r="P1222" i="1"/>
  <c r="O1222" i="1"/>
  <c r="V1221" i="1"/>
  <c r="Q1221" i="1"/>
  <c r="P1221" i="1"/>
  <c r="O1221" i="1"/>
  <c r="V1220" i="1"/>
  <c r="Q1220" i="1"/>
  <c r="P1220" i="1"/>
  <c r="O1220" i="1"/>
  <c r="V1219" i="1"/>
  <c r="Q1219" i="1"/>
  <c r="P1219" i="1"/>
  <c r="O1219" i="1"/>
  <c r="V1218" i="1"/>
  <c r="Q1218" i="1"/>
  <c r="P1218" i="1"/>
  <c r="O1218" i="1"/>
  <c r="V1217" i="1"/>
  <c r="Q1217" i="1"/>
  <c r="P1217" i="1"/>
  <c r="O1217" i="1"/>
  <c r="V1216" i="1"/>
  <c r="Q1216" i="1"/>
  <c r="P1216" i="1"/>
  <c r="O1216" i="1"/>
  <c r="V1215" i="1"/>
  <c r="Q1215" i="1"/>
  <c r="P1215" i="1"/>
  <c r="O1215" i="1"/>
  <c r="V1214" i="1"/>
  <c r="Q1214" i="1"/>
  <c r="P1214" i="1"/>
  <c r="O1214" i="1"/>
  <c r="V1213" i="1"/>
  <c r="Q1213" i="1"/>
  <c r="P1213" i="1"/>
  <c r="O1213" i="1"/>
  <c r="V1212" i="1"/>
  <c r="Q1212" i="1"/>
  <c r="P1212" i="1"/>
  <c r="O1212" i="1"/>
  <c r="V1211" i="1"/>
  <c r="Q1211" i="1"/>
  <c r="P1211" i="1"/>
  <c r="O1211" i="1"/>
  <c r="V1210" i="1"/>
  <c r="Q1210" i="1"/>
  <c r="P1210" i="1"/>
  <c r="O1210" i="1"/>
  <c r="V1209" i="1"/>
  <c r="Q1209" i="1"/>
  <c r="P1209" i="1"/>
  <c r="O1209" i="1"/>
  <c r="V1208" i="1"/>
  <c r="Q1208" i="1"/>
  <c r="P1208" i="1"/>
  <c r="O1208" i="1"/>
  <c r="V1207" i="1"/>
  <c r="Q1207" i="1"/>
  <c r="P1207" i="1"/>
  <c r="O1207" i="1"/>
  <c r="V1206" i="1"/>
  <c r="Q1206" i="1"/>
  <c r="P1206" i="1"/>
  <c r="O1206" i="1"/>
  <c r="V1205" i="1"/>
  <c r="Q1205" i="1"/>
  <c r="P1205" i="1"/>
  <c r="O1205" i="1"/>
  <c r="V1204" i="1"/>
  <c r="Q1204" i="1"/>
  <c r="P1204" i="1"/>
  <c r="O1204" i="1"/>
  <c r="V1203" i="1"/>
  <c r="Q1203" i="1"/>
  <c r="P1203" i="1"/>
  <c r="O1203" i="1"/>
  <c r="V1202" i="1"/>
  <c r="Q1202" i="1"/>
  <c r="P1202" i="1"/>
  <c r="O1202" i="1"/>
  <c r="V1201" i="1"/>
  <c r="Q1201" i="1"/>
  <c r="P1201" i="1"/>
  <c r="O1201" i="1"/>
  <c r="V1200" i="1"/>
  <c r="Q1200" i="1"/>
  <c r="P1200" i="1"/>
  <c r="O1200" i="1"/>
  <c r="V1199" i="1"/>
  <c r="Q1199" i="1"/>
  <c r="P1199" i="1"/>
  <c r="O1199" i="1"/>
  <c r="V1198" i="1"/>
  <c r="Q1198" i="1"/>
  <c r="P1198" i="1"/>
  <c r="O1198" i="1"/>
  <c r="V1197" i="1"/>
  <c r="Q1197" i="1"/>
  <c r="P1197" i="1"/>
  <c r="O1197" i="1"/>
  <c r="V1196" i="1"/>
  <c r="Q1196" i="1"/>
  <c r="P1196" i="1"/>
  <c r="O1196" i="1"/>
  <c r="V1195" i="1"/>
  <c r="Q1195" i="1"/>
  <c r="P1195" i="1"/>
  <c r="O1195" i="1"/>
  <c r="V1194" i="1"/>
  <c r="Q1194" i="1"/>
  <c r="P1194" i="1"/>
  <c r="O1194" i="1"/>
  <c r="V1193" i="1"/>
  <c r="Q1193" i="1"/>
  <c r="P1193" i="1"/>
  <c r="O1193" i="1"/>
  <c r="V1192" i="1"/>
  <c r="Q1192" i="1"/>
  <c r="P1192" i="1"/>
  <c r="O1192" i="1"/>
  <c r="V1191" i="1"/>
  <c r="Q1191" i="1"/>
  <c r="P1191" i="1"/>
  <c r="O1191" i="1"/>
  <c r="V1190" i="1"/>
  <c r="Q1190" i="1"/>
  <c r="P1190" i="1"/>
  <c r="O1190" i="1"/>
  <c r="V1189" i="1"/>
  <c r="Q1189" i="1"/>
  <c r="P1189" i="1"/>
  <c r="O1189" i="1"/>
  <c r="V1188" i="1"/>
  <c r="Q1188" i="1"/>
  <c r="P1188" i="1"/>
  <c r="O1188" i="1"/>
  <c r="V1187" i="1"/>
  <c r="Q1187" i="1"/>
  <c r="P1187" i="1"/>
  <c r="O1187" i="1"/>
  <c r="V1186" i="1"/>
  <c r="Q1186" i="1"/>
  <c r="P1186" i="1"/>
  <c r="O1186" i="1"/>
  <c r="V1185" i="1"/>
  <c r="Q1185" i="1"/>
  <c r="P1185" i="1"/>
  <c r="O1185" i="1"/>
  <c r="V1184" i="1"/>
  <c r="Q1184" i="1"/>
  <c r="P1184" i="1"/>
  <c r="O1184" i="1"/>
  <c r="V1183" i="1"/>
  <c r="Q1183" i="1"/>
  <c r="P1183" i="1"/>
  <c r="O1183" i="1"/>
  <c r="V1182" i="1"/>
  <c r="Q1182" i="1"/>
  <c r="P1182" i="1"/>
  <c r="O1182" i="1"/>
  <c r="V1181" i="1"/>
  <c r="Q1181" i="1"/>
  <c r="P1181" i="1"/>
  <c r="O1181" i="1"/>
  <c r="V1180" i="1"/>
  <c r="Q1180" i="1"/>
  <c r="P1180" i="1"/>
  <c r="O1180" i="1"/>
  <c r="V1179" i="1"/>
  <c r="Q1179" i="1"/>
  <c r="P1179" i="1"/>
  <c r="O1179" i="1"/>
  <c r="V1178" i="1"/>
  <c r="Q1178" i="1"/>
  <c r="P1178" i="1"/>
  <c r="O1178" i="1"/>
  <c r="V1177" i="1"/>
  <c r="Q1177" i="1"/>
  <c r="P1177" i="1"/>
  <c r="O1177" i="1"/>
  <c r="V1176" i="1"/>
  <c r="Q1176" i="1"/>
  <c r="P1176" i="1"/>
  <c r="O1176" i="1"/>
  <c r="V1175" i="1"/>
  <c r="Q1175" i="1"/>
  <c r="P1175" i="1"/>
  <c r="O1175" i="1"/>
  <c r="V1174" i="1"/>
  <c r="Q1174" i="1"/>
  <c r="P1174" i="1"/>
  <c r="O1174" i="1"/>
  <c r="V1173" i="1"/>
  <c r="Q1173" i="1"/>
  <c r="P1173" i="1"/>
  <c r="O1173" i="1"/>
  <c r="V1172" i="1"/>
  <c r="Q1172" i="1"/>
  <c r="P1172" i="1"/>
  <c r="O1172" i="1"/>
  <c r="V1171" i="1"/>
  <c r="Q1171" i="1"/>
  <c r="P1171" i="1"/>
  <c r="O1171" i="1"/>
  <c r="V1170" i="1"/>
  <c r="Q1170" i="1"/>
  <c r="P1170" i="1"/>
  <c r="O1170" i="1"/>
  <c r="V1169" i="1"/>
  <c r="Q1169" i="1"/>
  <c r="P1169" i="1"/>
  <c r="O1169" i="1"/>
  <c r="V1168" i="1"/>
  <c r="Q1168" i="1"/>
  <c r="P1168" i="1"/>
  <c r="O1168" i="1"/>
  <c r="V1167" i="1"/>
  <c r="Q1167" i="1"/>
  <c r="P1167" i="1"/>
  <c r="O1167" i="1"/>
  <c r="V1166" i="1"/>
  <c r="Q1166" i="1"/>
  <c r="P1166" i="1"/>
  <c r="O1166" i="1"/>
  <c r="V1165" i="1"/>
  <c r="Q1165" i="1"/>
  <c r="P1165" i="1"/>
  <c r="O1165" i="1"/>
  <c r="V1164" i="1"/>
  <c r="Q1164" i="1"/>
  <c r="P1164" i="1"/>
  <c r="O1164" i="1"/>
  <c r="V1163" i="1"/>
  <c r="Q1163" i="1"/>
  <c r="P1163" i="1"/>
  <c r="O1163" i="1"/>
  <c r="V1162" i="1"/>
  <c r="Q1162" i="1"/>
  <c r="P1162" i="1"/>
  <c r="O1162" i="1"/>
  <c r="V1161" i="1"/>
  <c r="Q1161" i="1"/>
  <c r="P1161" i="1"/>
  <c r="O1161" i="1"/>
  <c r="V1160" i="1"/>
  <c r="Q1160" i="1"/>
  <c r="P1160" i="1"/>
  <c r="O1160" i="1"/>
  <c r="V1159" i="1"/>
  <c r="Q1159" i="1"/>
  <c r="P1159" i="1"/>
  <c r="O1159" i="1"/>
  <c r="V1158" i="1"/>
  <c r="Q1158" i="1"/>
  <c r="P1158" i="1"/>
  <c r="O1158" i="1"/>
  <c r="V1157" i="1"/>
  <c r="Q1157" i="1"/>
  <c r="P1157" i="1"/>
  <c r="O1157" i="1"/>
  <c r="V1156" i="1"/>
  <c r="Q1156" i="1"/>
  <c r="P1156" i="1"/>
  <c r="O1156" i="1"/>
  <c r="V1155" i="1"/>
  <c r="Q1155" i="1"/>
  <c r="P1155" i="1"/>
  <c r="O1155" i="1"/>
  <c r="V1154" i="1"/>
  <c r="Q1154" i="1"/>
  <c r="P1154" i="1"/>
  <c r="O1154" i="1"/>
  <c r="V1153" i="1"/>
  <c r="Q1153" i="1"/>
  <c r="P1153" i="1"/>
  <c r="O1153" i="1"/>
  <c r="V1152" i="1"/>
  <c r="Q1152" i="1"/>
  <c r="P1152" i="1"/>
  <c r="O1152" i="1"/>
  <c r="V1151" i="1"/>
  <c r="Q1151" i="1"/>
  <c r="P1151" i="1"/>
  <c r="O1151" i="1"/>
  <c r="V1150" i="1"/>
  <c r="Q1150" i="1"/>
  <c r="P1150" i="1"/>
  <c r="O1150" i="1"/>
  <c r="V1149" i="1"/>
  <c r="Q1149" i="1"/>
  <c r="P1149" i="1"/>
  <c r="O1149" i="1"/>
  <c r="V1148" i="1"/>
  <c r="Q1148" i="1"/>
  <c r="P1148" i="1"/>
  <c r="O1148" i="1"/>
  <c r="V1147" i="1"/>
  <c r="Q1147" i="1"/>
  <c r="P1147" i="1"/>
  <c r="O1147" i="1"/>
  <c r="V1146" i="1"/>
  <c r="Q1146" i="1"/>
  <c r="P1146" i="1"/>
  <c r="O1146" i="1"/>
  <c r="V1145" i="1"/>
  <c r="Q1145" i="1"/>
  <c r="P1145" i="1"/>
  <c r="O1145" i="1"/>
  <c r="V1144" i="1"/>
  <c r="Q1144" i="1"/>
  <c r="P1144" i="1"/>
  <c r="O1144" i="1"/>
  <c r="V1143" i="1"/>
  <c r="Q1143" i="1"/>
  <c r="P1143" i="1"/>
  <c r="O1143" i="1"/>
  <c r="V1142" i="1"/>
  <c r="Q1142" i="1"/>
  <c r="P1142" i="1"/>
  <c r="O1142" i="1"/>
  <c r="V1141" i="1"/>
  <c r="P1141" i="1"/>
  <c r="O1141" i="1"/>
  <c r="V1140" i="1"/>
  <c r="P1140" i="1"/>
  <c r="O1140" i="1"/>
  <c r="V1139" i="1"/>
  <c r="P1139" i="1"/>
  <c r="O1139" i="1"/>
  <c r="V1138" i="1"/>
  <c r="P1138" i="1"/>
  <c r="O1138" i="1"/>
  <c r="V1137" i="1"/>
  <c r="P1137" i="1"/>
  <c r="O1137" i="1"/>
  <c r="V1136" i="1"/>
  <c r="P1136" i="1"/>
  <c r="O1136" i="1"/>
  <c r="V1135" i="1"/>
  <c r="P1135" i="1"/>
  <c r="O1135" i="1"/>
  <c r="V1134" i="1"/>
  <c r="P1134" i="1"/>
  <c r="O1134" i="1"/>
  <c r="V1133" i="1"/>
  <c r="P1133" i="1"/>
  <c r="O1133" i="1"/>
  <c r="V1132" i="1"/>
  <c r="P1132" i="1"/>
  <c r="O1132" i="1"/>
  <c r="V1131" i="1"/>
  <c r="P1131" i="1"/>
  <c r="O1131" i="1"/>
  <c r="V1130" i="1"/>
  <c r="P1130" i="1"/>
  <c r="O1130" i="1"/>
  <c r="V1129" i="1"/>
  <c r="P1129" i="1"/>
  <c r="O1129" i="1"/>
  <c r="V1128" i="1"/>
  <c r="P1128" i="1"/>
  <c r="O1128" i="1"/>
  <c r="V1127" i="1"/>
  <c r="P1127" i="1"/>
  <c r="O1127" i="1"/>
  <c r="V1126" i="1"/>
  <c r="P1126" i="1"/>
  <c r="O1126" i="1"/>
  <c r="V1125" i="1"/>
  <c r="P1125" i="1"/>
  <c r="O1125" i="1"/>
  <c r="V1124" i="1"/>
  <c r="P1124" i="1"/>
  <c r="O1124" i="1"/>
  <c r="V1123" i="1"/>
  <c r="P1123" i="1"/>
  <c r="O1123" i="1"/>
  <c r="V1122" i="1"/>
  <c r="P1122" i="1"/>
  <c r="O1122" i="1"/>
  <c r="V1121" i="1"/>
  <c r="P1121" i="1"/>
  <c r="O1121" i="1"/>
  <c r="V1120" i="1"/>
  <c r="P1120" i="1"/>
  <c r="O1120" i="1"/>
  <c r="V1119" i="1"/>
  <c r="P1119" i="1"/>
  <c r="O1119" i="1"/>
  <c r="V1118" i="1"/>
  <c r="P1118" i="1"/>
  <c r="O1118" i="1"/>
  <c r="V1117" i="1"/>
  <c r="P1117" i="1"/>
  <c r="O1117" i="1"/>
  <c r="V1116" i="1"/>
  <c r="P1116" i="1"/>
  <c r="O1116" i="1"/>
  <c r="V1115" i="1"/>
  <c r="P1115" i="1"/>
  <c r="O1115" i="1"/>
  <c r="V1114" i="1"/>
  <c r="P1114" i="1"/>
  <c r="O1114" i="1"/>
  <c r="V1113" i="1"/>
  <c r="P1113" i="1"/>
  <c r="O1113" i="1"/>
  <c r="V1112" i="1"/>
  <c r="P1112" i="1"/>
  <c r="O1112" i="1"/>
  <c r="V1111" i="1"/>
  <c r="P1111" i="1"/>
  <c r="O1111" i="1"/>
  <c r="V1110" i="1"/>
  <c r="P1110" i="1"/>
  <c r="O1110" i="1"/>
  <c r="V1109" i="1"/>
  <c r="P1109" i="1"/>
  <c r="O1109" i="1"/>
  <c r="V1108" i="1"/>
  <c r="P1108" i="1"/>
  <c r="O1108" i="1"/>
  <c r="V1107" i="1"/>
  <c r="P1107" i="1"/>
  <c r="O1107" i="1"/>
  <c r="V1106" i="1"/>
  <c r="P1106" i="1"/>
  <c r="O1106" i="1"/>
  <c r="V1105" i="1"/>
  <c r="P1105" i="1"/>
  <c r="O1105" i="1"/>
  <c r="V1104" i="1"/>
  <c r="P1104" i="1"/>
  <c r="O1104" i="1"/>
  <c r="V1103" i="1"/>
  <c r="P1103" i="1"/>
  <c r="O1103" i="1"/>
  <c r="V1102" i="1"/>
  <c r="P1102" i="1"/>
  <c r="O1102" i="1"/>
  <c r="V1101" i="1"/>
  <c r="P1101" i="1"/>
  <c r="O1101" i="1"/>
  <c r="V1100" i="1"/>
  <c r="P1100" i="1"/>
  <c r="O1100" i="1"/>
  <c r="V1099" i="1"/>
  <c r="P1099" i="1"/>
  <c r="O1099" i="1"/>
  <c r="V1098" i="1"/>
  <c r="P1098" i="1"/>
  <c r="O1098" i="1"/>
  <c r="V1097" i="1"/>
  <c r="P1097" i="1"/>
  <c r="O1097" i="1"/>
  <c r="V1096" i="1"/>
  <c r="P1096" i="1"/>
  <c r="O1096" i="1"/>
  <c r="V1095" i="1"/>
  <c r="P1095" i="1"/>
  <c r="O1095" i="1"/>
  <c r="V1094" i="1"/>
  <c r="P1094" i="1"/>
  <c r="O1094" i="1"/>
  <c r="V1093" i="1"/>
  <c r="P1093" i="1"/>
  <c r="O1093" i="1"/>
  <c r="V1092" i="1"/>
  <c r="P1092" i="1"/>
  <c r="O1092" i="1"/>
  <c r="V1091" i="1"/>
  <c r="P1091" i="1"/>
  <c r="O1091" i="1"/>
  <c r="V1090" i="1"/>
  <c r="P1090" i="1"/>
  <c r="O1090" i="1"/>
  <c r="V1089" i="1"/>
  <c r="P1089" i="1"/>
  <c r="O1089" i="1"/>
  <c r="V1088" i="1"/>
  <c r="P1088" i="1"/>
  <c r="O1088" i="1"/>
  <c r="V1087" i="1"/>
  <c r="P1087" i="1"/>
  <c r="O1087" i="1"/>
  <c r="V1086" i="1"/>
  <c r="P1086" i="1"/>
  <c r="O1086" i="1"/>
  <c r="V1085" i="1"/>
  <c r="P1085" i="1"/>
  <c r="O1085" i="1"/>
  <c r="V1084" i="1"/>
  <c r="P1084" i="1"/>
  <c r="O1084" i="1"/>
  <c r="V1083" i="1"/>
  <c r="P1083" i="1"/>
  <c r="O1083" i="1"/>
  <c r="V1082" i="1"/>
  <c r="P1082" i="1"/>
  <c r="O1082" i="1"/>
  <c r="V1081" i="1"/>
  <c r="P1081" i="1"/>
  <c r="O1081" i="1"/>
  <c r="V1080" i="1"/>
  <c r="P1080" i="1"/>
  <c r="O1080" i="1"/>
  <c r="V1079" i="1"/>
  <c r="P1079" i="1"/>
  <c r="O1079" i="1"/>
  <c r="V1078" i="1"/>
  <c r="P1078" i="1"/>
  <c r="O1078" i="1"/>
  <c r="V1077" i="1"/>
  <c r="P1077" i="1"/>
  <c r="O1077" i="1"/>
  <c r="V1076" i="1"/>
  <c r="P1076" i="1"/>
  <c r="O1076" i="1"/>
  <c r="V1075" i="1"/>
  <c r="P1075" i="1"/>
  <c r="O1075" i="1"/>
  <c r="V1074" i="1"/>
  <c r="P1074" i="1"/>
  <c r="O1074" i="1"/>
  <c r="V1073" i="1"/>
  <c r="P1073" i="1"/>
  <c r="O1073" i="1"/>
  <c r="V1072" i="1"/>
  <c r="P1072" i="1"/>
  <c r="O1072" i="1"/>
  <c r="V1071" i="1"/>
  <c r="P1071" i="1"/>
  <c r="O1071" i="1"/>
  <c r="V1070" i="1"/>
  <c r="P1070" i="1"/>
  <c r="O1070" i="1"/>
  <c r="V1069" i="1"/>
  <c r="P1069" i="1"/>
  <c r="O1069" i="1"/>
  <c r="V1068" i="1"/>
  <c r="P1068" i="1"/>
  <c r="O1068" i="1"/>
  <c r="V1067" i="1"/>
  <c r="P1067" i="1"/>
  <c r="O1067" i="1"/>
  <c r="V1066" i="1"/>
  <c r="P1066" i="1"/>
  <c r="O1066" i="1"/>
  <c r="V1065" i="1"/>
  <c r="P1065" i="1"/>
  <c r="O1065" i="1"/>
  <c r="V1064" i="1"/>
  <c r="P1064" i="1"/>
  <c r="O1064" i="1"/>
  <c r="V1063" i="1"/>
  <c r="P1063" i="1"/>
  <c r="O1063" i="1"/>
  <c r="V1062" i="1"/>
  <c r="P1062" i="1"/>
  <c r="O1062" i="1"/>
  <c r="V1061" i="1"/>
  <c r="P1061" i="1"/>
  <c r="O1061" i="1"/>
  <c r="V1060" i="1"/>
  <c r="P1060" i="1"/>
  <c r="O1060" i="1"/>
  <c r="V1059" i="1"/>
  <c r="P1059" i="1"/>
  <c r="O1059" i="1"/>
  <c r="V1058" i="1"/>
  <c r="P1058" i="1"/>
  <c r="O1058" i="1"/>
  <c r="V1057" i="1"/>
  <c r="P1057" i="1"/>
  <c r="O1057" i="1"/>
  <c r="V1056" i="1"/>
  <c r="P1056" i="1"/>
  <c r="O1056" i="1"/>
  <c r="V1055" i="1"/>
  <c r="P1055" i="1"/>
  <c r="O1055" i="1"/>
  <c r="V1054" i="1"/>
  <c r="P1054" i="1"/>
  <c r="O1054" i="1"/>
  <c r="V1053" i="1"/>
  <c r="P1053" i="1"/>
  <c r="O1053" i="1"/>
  <c r="V1052" i="1"/>
  <c r="P1052" i="1"/>
  <c r="O1052" i="1"/>
  <c r="V1051" i="1"/>
  <c r="P1051" i="1"/>
  <c r="O1051" i="1"/>
  <c r="V1050" i="1"/>
  <c r="P1050" i="1"/>
  <c r="O1050" i="1"/>
  <c r="V1049" i="1"/>
  <c r="P1049" i="1"/>
  <c r="O1049" i="1"/>
  <c r="V1048" i="1"/>
  <c r="P1048" i="1"/>
  <c r="O1048" i="1"/>
  <c r="V1047" i="1"/>
  <c r="P1047" i="1"/>
  <c r="O1047" i="1"/>
  <c r="V1046" i="1"/>
  <c r="P1046" i="1"/>
  <c r="O1046" i="1"/>
  <c r="V1045" i="1"/>
  <c r="P1045" i="1"/>
  <c r="O1045" i="1"/>
  <c r="V1044" i="1"/>
  <c r="P1044" i="1"/>
  <c r="O1044" i="1"/>
  <c r="V1043" i="1"/>
  <c r="P1043" i="1"/>
  <c r="O1043" i="1"/>
  <c r="V1042" i="1"/>
  <c r="P1042" i="1"/>
  <c r="O1042" i="1"/>
  <c r="V1041" i="1"/>
  <c r="P1041" i="1"/>
  <c r="O1041" i="1"/>
  <c r="V1040" i="1"/>
  <c r="P1040" i="1"/>
  <c r="O1040" i="1"/>
  <c r="V1039" i="1"/>
  <c r="P1039" i="1"/>
  <c r="O1039" i="1"/>
  <c r="V1038" i="1"/>
  <c r="P1038" i="1"/>
  <c r="O1038" i="1"/>
  <c r="V1037" i="1"/>
  <c r="P1037" i="1"/>
  <c r="O1037" i="1"/>
  <c r="V1036" i="1"/>
  <c r="P1036" i="1"/>
  <c r="O1036" i="1"/>
  <c r="V1035" i="1"/>
  <c r="P1035" i="1"/>
  <c r="O1035" i="1"/>
  <c r="V1034" i="1"/>
  <c r="P1034" i="1"/>
  <c r="O1034" i="1"/>
  <c r="V1033" i="1"/>
  <c r="P1033" i="1"/>
  <c r="O1033" i="1"/>
  <c r="V1032" i="1"/>
  <c r="P1032" i="1"/>
  <c r="O1032" i="1"/>
  <c r="V1031" i="1"/>
  <c r="P1031" i="1"/>
  <c r="O1031" i="1"/>
  <c r="V1030" i="1"/>
  <c r="P1030" i="1"/>
  <c r="O1030" i="1"/>
  <c r="V1029" i="1"/>
  <c r="P1029" i="1"/>
  <c r="O1029" i="1"/>
  <c r="V1028" i="1"/>
  <c r="P1028" i="1"/>
  <c r="O1028" i="1"/>
  <c r="V1027" i="1"/>
  <c r="P1027" i="1"/>
  <c r="O1027" i="1"/>
  <c r="V1026" i="1"/>
  <c r="P1026" i="1"/>
  <c r="O1026" i="1"/>
  <c r="V1025" i="1"/>
  <c r="P1025" i="1"/>
  <c r="O1025" i="1"/>
  <c r="V1024" i="1"/>
  <c r="P1024" i="1"/>
  <c r="O1024" i="1"/>
  <c r="V1023" i="1"/>
  <c r="P1023" i="1"/>
  <c r="O1023" i="1"/>
  <c r="V1022" i="1"/>
  <c r="P1022" i="1"/>
  <c r="O1022" i="1"/>
  <c r="V1021" i="1"/>
  <c r="P1021" i="1"/>
  <c r="O1021" i="1"/>
  <c r="V1020" i="1"/>
  <c r="P1020" i="1"/>
  <c r="O1020" i="1"/>
  <c r="V1019" i="1"/>
  <c r="P1019" i="1"/>
  <c r="O1019" i="1"/>
  <c r="V1018" i="1"/>
  <c r="P1018" i="1"/>
  <c r="O1018" i="1"/>
  <c r="V1017" i="1"/>
  <c r="P1017" i="1"/>
  <c r="O1017" i="1"/>
  <c r="V1016" i="1"/>
  <c r="P1016" i="1"/>
  <c r="O1016" i="1"/>
  <c r="V1015" i="1"/>
  <c r="P1015" i="1"/>
  <c r="O1015" i="1"/>
  <c r="N1015" i="1"/>
  <c r="V1014" i="1"/>
  <c r="P1014" i="1"/>
  <c r="O1014" i="1"/>
  <c r="N1014" i="1"/>
  <c r="V1013" i="1"/>
  <c r="P1013" i="1"/>
  <c r="O1013" i="1"/>
  <c r="N1013" i="1"/>
  <c r="V1012" i="1"/>
  <c r="P1012" i="1"/>
  <c r="O1012" i="1"/>
  <c r="N1012" i="1"/>
  <c r="V1011" i="1"/>
  <c r="P1011" i="1"/>
  <c r="O1011" i="1"/>
  <c r="N1011" i="1"/>
  <c r="V1010" i="1"/>
  <c r="P1010" i="1"/>
  <c r="O1010" i="1"/>
  <c r="N1010" i="1"/>
  <c r="V1009" i="1"/>
  <c r="P1009" i="1"/>
  <c r="O1009" i="1"/>
  <c r="N1009" i="1"/>
  <c r="V1008" i="1"/>
  <c r="P1008" i="1"/>
  <c r="O1008" i="1"/>
  <c r="N1008" i="1"/>
  <c r="V1007" i="1"/>
  <c r="P1007" i="1"/>
  <c r="O1007" i="1"/>
  <c r="N1007" i="1"/>
  <c r="V1006" i="1"/>
  <c r="P1006" i="1"/>
  <c r="O1006" i="1"/>
  <c r="N1006" i="1"/>
  <c r="V1005" i="1"/>
  <c r="P1005" i="1"/>
  <c r="O1005" i="1"/>
  <c r="N1005" i="1"/>
  <c r="V1004" i="1"/>
  <c r="P1004" i="1"/>
  <c r="O1004" i="1"/>
  <c r="N1004" i="1"/>
  <c r="V1003" i="1"/>
  <c r="P1003" i="1"/>
  <c r="O1003" i="1"/>
  <c r="N1003" i="1"/>
  <c r="V1002" i="1"/>
  <c r="P1002" i="1"/>
  <c r="O1002" i="1"/>
  <c r="N1002" i="1"/>
  <c r="V1001" i="1"/>
  <c r="P1001" i="1"/>
  <c r="O1001" i="1"/>
  <c r="N1001" i="1"/>
  <c r="V1000" i="1"/>
  <c r="P1000" i="1"/>
  <c r="O1000" i="1"/>
  <c r="N1000" i="1"/>
  <c r="V999" i="1"/>
  <c r="P999" i="1"/>
  <c r="O999" i="1"/>
  <c r="N999" i="1"/>
  <c r="V998" i="1"/>
  <c r="P998" i="1"/>
  <c r="O998" i="1"/>
  <c r="N998" i="1"/>
  <c r="V997" i="1"/>
  <c r="P997" i="1"/>
  <c r="O997" i="1"/>
  <c r="N997" i="1"/>
  <c r="V996" i="1"/>
  <c r="P996" i="1"/>
  <c r="O996" i="1"/>
  <c r="N996" i="1"/>
  <c r="V995" i="1"/>
  <c r="P995" i="1"/>
  <c r="O995" i="1"/>
  <c r="N995" i="1"/>
  <c r="V994" i="1"/>
  <c r="P994" i="1"/>
  <c r="O994" i="1"/>
  <c r="N994" i="1"/>
  <c r="V993" i="1"/>
  <c r="P993" i="1"/>
  <c r="O993" i="1"/>
  <c r="N993" i="1"/>
  <c r="V992" i="1"/>
  <c r="Q992" i="1"/>
  <c r="P992" i="1"/>
  <c r="O992" i="1"/>
  <c r="N992" i="1"/>
  <c r="V991" i="1"/>
  <c r="Q991" i="1"/>
  <c r="P991" i="1"/>
  <c r="O991" i="1"/>
  <c r="N991" i="1"/>
  <c r="V990" i="1"/>
  <c r="Q990" i="1"/>
  <c r="P990" i="1"/>
  <c r="O990" i="1"/>
  <c r="N990" i="1"/>
  <c r="V989" i="1"/>
  <c r="Q989" i="1"/>
  <c r="P989" i="1"/>
  <c r="O989" i="1"/>
  <c r="N989" i="1"/>
  <c r="V988" i="1"/>
  <c r="Q988" i="1"/>
  <c r="P988" i="1"/>
  <c r="O988" i="1"/>
  <c r="N988" i="1"/>
  <c r="V987" i="1"/>
  <c r="Q987" i="1"/>
  <c r="P987" i="1"/>
  <c r="O987" i="1"/>
  <c r="N987" i="1"/>
  <c r="V986" i="1"/>
  <c r="Q986" i="1"/>
  <c r="P986" i="1"/>
  <c r="O986" i="1"/>
  <c r="N986" i="1"/>
  <c r="V985" i="1"/>
  <c r="Q985" i="1"/>
  <c r="P985" i="1"/>
  <c r="O985" i="1"/>
  <c r="N985" i="1"/>
  <c r="V984" i="1"/>
  <c r="Q984" i="1"/>
  <c r="P984" i="1"/>
  <c r="O984" i="1"/>
  <c r="N984" i="1"/>
  <c r="V983" i="1"/>
  <c r="Q983" i="1"/>
  <c r="P983" i="1"/>
  <c r="O983" i="1"/>
  <c r="N983" i="1"/>
  <c r="V982" i="1"/>
  <c r="Q982" i="1"/>
  <c r="P982" i="1"/>
  <c r="O982" i="1"/>
  <c r="N982" i="1"/>
  <c r="V981" i="1"/>
  <c r="Q981" i="1"/>
  <c r="P981" i="1"/>
  <c r="O981" i="1"/>
  <c r="N981" i="1"/>
  <c r="V980" i="1"/>
  <c r="Q980" i="1"/>
  <c r="P980" i="1"/>
  <c r="O980" i="1"/>
  <c r="N980" i="1"/>
  <c r="V979" i="1"/>
  <c r="Q979" i="1"/>
  <c r="P979" i="1"/>
  <c r="O979" i="1"/>
  <c r="N979" i="1"/>
  <c r="V978" i="1"/>
  <c r="Q978" i="1"/>
  <c r="P978" i="1"/>
  <c r="O978" i="1"/>
  <c r="V977" i="1"/>
  <c r="Q977" i="1"/>
  <c r="P977" i="1"/>
  <c r="O977" i="1"/>
  <c r="V976" i="1"/>
  <c r="Q976" i="1"/>
  <c r="P976" i="1"/>
  <c r="O976" i="1"/>
  <c r="V975" i="1"/>
  <c r="Q975" i="1"/>
  <c r="P975" i="1"/>
  <c r="O975" i="1"/>
  <c r="V974" i="1"/>
  <c r="Q974" i="1"/>
  <c r="P974" i="1"/>
  <c r="O974" i="1"/>
  <c r="V973" i="1"/>
  <c r="Q973" i="1"/>
  <c r="P973" i="1"/>
  <c r="O973" i="1"/>
  <c r="V972" i="1"/>
  <c r="Q972" i="1"/>
  <c r="P972" i="1"/>
  <c r="O972" i="1"/>
  <c r="V971" i="1"/>
  <c r="Q971" i="1"/>
  <c r="P971" i="1"/>
  <c r="O971" i="1"/>
  <c r="V970" i="1"/>
  <c r="Q970" i="1"/>
  <c r="P970" i="1"/>
  <c r="O970" i="1"/>
  <c r="V969" i="1"/>
  <c r="Q969" i="1"/>
  <c r="P969" i="1"/>
  <c r="O969" i="1"/>
  <c r="V968" i="1"/>
  <c r="Q968" i="1"/>
  <c r="P968" i="1"/>
  <c r="O968" i="1"/>
  <c r="V967" i="1"/>
  <c r="Q967" i="1"/>
  <c r="P967" i="1"/>
  <c r="O967" i="1"/>
  <c r="V966" i="1"/>
  <c r="Q966" i="1"/>
  <c r="P966" i="1"/>
  <c r="O966" i="1"/>
  <c r="V965" i="1"/>
  <c r="Q965" i="1"/>
  <c r="P965" i="1"/>
  <c r="O965" i="1"/>
  <c r="V964" i="1"/>
  <c r="Q964" i="1"/>
  <c r="P964" i="1"/>
  <c r="O964" i="1"/>
  <c r="V963" i="1"/>
  <c r="Q963" i="1"/>
  <c r="P963" i="1"/>
  <c r="O963" i="1"/>
  <c r="V962" i="1"/>
  <c r="Q962" i="1"/>
  <c r="P962" i="1"/>
  <c r="O962" i="1"/>
  <c r="V961" i="1"/>
  <c r="Q961" i="1"/>
  <c r="P961" i="1"/>
  <c r="O961" i="1"/>
  <c r="V960" i="1"/>
  <c r="Q960" i="1"/>
  <c r="P960" i="1"/>
  <c r="O960" i="1"/>
  <c r="V959" i="1"/>
  <c r="Q959" i="1"/>
  <c r="P959" i="1"/>
  <c r="O959" i="1"/>
  <c r="V958" i="1"/>
  <c r="Q958" i="1"/>
  <c r="P958" i="1"/>
  <c r="O958" i="1"/>
  <c r="V957" i="1"/>
  <c r="Q957" i="1"/>
  <c r="P957" i="1"/>
  <c r="O957" i="1"/>
  <c r="V956" i="1"/>
  <c r="Q956" i="1"/>
  <c r="P956" i="1"/>
  <c r="O956" i="1"/>
  <c r="V955" i="1"/>
  <c r="Q955" i="1"/>
  <c r="P955" i="1"/>
  <c r="O955" i="1"/>
  <c r="V954" i="1"/>
  <c r="Q954" i="1"/>
  <c r="P954" i="1"/>
  <c r="O954" i="1"/>
  <c r="V953" i="1"/>
  <c r="Q953" i="1"/>
  <c r="P953" i="1"/>
  <c r="O953" i="1"/>
  <c r="V952" i="1"/>
  <c r="Q952" i="1"/>
  <c r="P952" i="1"/>
  <c r="O952" i="1"/>
  <c r="V951" i="1"/>
  <c r="Q951" i="1"/>
  <c r="P951" i="1"/>
  <c r="O951" i="1"/>
  <c r="V950" i="1"/>
  <c r="Q950" i="1"/>
  <c r="P950" i="1"/>
  <c r="O950" i="1"/>
  <c r="V949" i="1"/>
  <c r="Q949" i="1"/>
  <c r="P949" i="1"/>
  <c r="O949" i="1"/>
  <c r="V948" i="1"/>
  <c r="Q948" i="1"/>
  <c r="P948" i="1"/>
  <c r="O948" i="1"/>
  <c r="V947" i="1"/>
  <c r="Q947" i="1"/>
  <c r="P947" i="1"/>
  <c r="O947" i="1"/>
  <c r="V946" i="1"/>
  <c r="Q946" i="1"/>
  <c r="P946" i="1"/>
  <c r="O946" i="1"/>
  <c r="V945" i="1"/>
  <c r="Q945" i="1"/>
  <c r="P945" i="1"/>
  <c r="O945" i="1"/>
  <c r="V944" i="1"/>
  <c r="Q944" i="1"/>
  <c r="P944" i="1"/>
  <c r="O944" i="1"/>
  <c r="V943" i="1"/>
  <c r="Q943" i="1"/>
  <c r="P943" i="1"/>
  <c r="O943" i="1"/>
  <c r="V942" i="1"/>
  <c r="Q942" i="1"/>
  <c r="P942" i="1"/>
  <c r="O942" i="1"/>
  <c r="V941" i="1"/>
  <c r="Q941" i="1"/>
  <c r="P941" i="1"/>
  <c r="O941" i="1"/>
  <c r="V940" i="1"/>
  <c r="Q940" i="1"/>
  <c r="P940" i="1"/>
  <c r="O940" i="1"/>
  <c r="V939" i="1"/>
  <c r="Q939" i="1"/>
  <c r="P939" i="1"/>
  <c r="O939" i="1"/>
  <c r="V938" i="1"/>
  <c r="Q938" i="1"/>
  <c r="P938" i="1"/>
  <c r="O938" i="1"/>
  <c r="V937" i="1"/>
  <c r="Q937" i="1"/>
  <c r="P937" i="1"/>
  <c r="O937" i="1"/>
  <c r="V936" i="1"/>
  <c r="Q936" i="1"/>
  <c r="P936" i="1"/>
  <c r="O936" i="1"/>
  <c r="V935" i="1"/>
  <c r="Q935" i="1"/>
  <c r="P935" i="1"/>
  <c r="O935" i="1"/>
  <c r="V934" i="1"/>
  <c r="Q934" i="1"/>
  <c r="P934" i="1"/>
  <c r="O934" i="1"/>
  <c r="V933" i="1"/>
  <c r="Q933" i="1"/>
  <c r="P933" i="1"/>
  <c r="O933" i="1"/>
  <c r="V932" i="1"/>
  <c r="Q932" i="1"/>
  <c r="P932" i="1"/>
  <c r="O932" i="1"/>
  <c r="V931" i="1"/>
  <c r="Q931" i="1"/>
  <c r="P931" i="1"/>
  <c r="O931" i="1"/>
  <c r="V930" i="1"/>
  <c r="Q930" i="1"/>
  <c r="P930" i="1"/>
  <c r="O930" i="1"/>
  <c r="V929" i="1"/>
  <c r="Q929" i="1"/>
  <c r="P929" i="1"/>
  <c r="O929" i="1"/>
  <c r="V928" i="1"/>
  <c r="Q928" i="1"/>
  <c r="P928" i="1"/>
  <c r="O928" i="1"/>
  <c r="V927" i="1"/>
  <c r="Q927" i="1"/>
  <c r="P927" i="1"/>
  <c r="O927" i="1"/>
  <c r="V926" i="1"/>
  <c r="Q926" i="1"/>
  <c r="P926" i="1"/>
  <c r="O926" i="1"/>
  <c r="V925" i="1"/>
  <c r="Q925" i="1"/>
  <c r="P925" i="1"/>
  <c r="O925" i="1"/>
  <c r="V924" i="1"/>
  <c r="Q924" i="1"/>
  <c r="P924" i="1"/>
  <c r="O924" i="1"/>
  <c r="V923" i="1"/>
  <c r="Q923" i="1"/>
  <c r="P923" i="1"/>
  <c r="O923" i="1"/>
  <c r="V922" i="1"/>
  <c r="Q922" i="1"/>
  <c r="P922" i="1"/>
  <c r="O922" i="1"/>
  <c r="V921" i="1"/>
  <c r="Q921" i="1"/>
  <c r="P921" i="1"/>
  <c r="O921" i="1"/>
  <c r="V920" i="1"/>
  <c r="Q920" i="1"/>
  <c r="P920" i="1"/>
  <c r="O920" i="1"/>
  <c r="V919" i="1"/>
  <c r="Q919" i="1"/>
  <c r="P919" i="1"/>
  <c r="O919" i="1"/>
  <c r="V918" i="1"/>
  <c r="Q918" i="1"/>
  <c r="P918" i="1"/>
  <c r="O918" i="1"/>
  <c r="V917" i="1"/>
  <c r="Q917" i="1"/>
  <c r="P917" i="1"/>
  <c r="O917" i="1"/>
  <c r="V916" i="1"/>
  <c r="Q916" i="1"/>
  <c r="P916" i="1"/>
  <c r="O916" i="1"/>
  <c r="V915" i="1"/>
  <c r="Q915" i="1"/>
  <c r="P915" i="1"/>
  <c r="O915" i="1"/>
  <c r="V914" i="1"/>
  <c r="Q914" i="1"/>
  <c r="P914" i="1"/>
  <c r="O914" i="1"/>
  <c r="V913" i="1"/>
  <c r="Q913" i="1"/>
  <c r="P913" i="1"/>
  <c r="O913" i="1"/>
  <c r="V912" i="1"/>
  <c r="Q912" i="1"/>
  <c r="P912" i="1"/>
  <c r="O912" i="1"/>
  <c r="V911" i="1"/>
  <c r="Q911" i="1"/>
  <c r="P911" i="1"/>
  <c r="O911" i="1"/>
  <c r="V910" i="1"/>
  <c r="Q910" i="1"/>
  <c r="P910" i="1"/>
  <c r="O910" i="1"/>
  <c r="V909" i="1"/>
  <c r="Q909" i="1"/>
  <c r="P909" i="1"/>
  <c r="O909" i="1"/>
  <c r="V908" i="1"/>
  <c r="Q908" i="1"/>
  <c r="P908" i="1"/>
  <c r="O908" i="1"/>
  <c r="V907" i="1"/>
  <c r="Q907" i="1"/>
  <c r="P907" i="1"/>
  <c r="O907" i="1"/>
  <c r="V906" i="1"/>
  <c r="Q906" i="1"/>
  <c r="P906" i="1"/>
  <c r="O906" i="1"/>
  <c r="V905" i="1"/>
  <c r="Q905" i="1"/>
  <c r="P905" i="1"/>
  <c r="O905" i="1"/>
  <c r="V904" i="1"/>
  <c r="Q904" i="1"/>
  <c r="P904" i="1"/>
  <c r="O904" i="1"/>
  <c r="V903" i="1"/>
  <c r="Q903" i="1"/>
  <c r="P903" i="1"/>
  <c r="O903" i="1"/>
  <c r="V902" i="1"/>
  <c r="Q902" i="1"/>
  <c r="P902" i="1"/>
  <c r="O902" i="1"/>
  <c r="V901" i="1"/>
  <c r="Q901" i="1"/>
  <c r="P901" i="1"/>
  <c r="O901" i="1"/>
  <c r="V900" i="1"/>
  <c r="Q900" i="1"/>
  <c r="P900" i="1"/>
  <c r="O900" i="1"/>
  <c r="V899" i="1"/>
  <c r="Q899" i="1"/>
  <c r="P899" i="1"/>
  <c r="O899" i="1"/>
  <c r="V898" i="1"/>
  <c r="Q898" i="1"/>
  <c r="P898" i="1"/>
  <c r="O898" i="1"/>
  <c r="V897" i="1"/>
  <c r="Q897" i="1"/>
  <c r="P897" i="1"/>
  <c r="O897" i="1"/>
  <c r="V896" i="1"/>
  <c r="Q896" i="1"/>
  <c r="P896" i="1"/>
  <c r="O896" i="1"/>
  <c r="V895" i="1"/>
  <c r="Q895" i="1"/>
  <c r="P895" i="1"/>
  <c r="O895" i="1"/>
  <c r="V894" i="1"/>
  <c r="Q894" i="1"/>
  <c r="P894" i="1"/>
  <c r="O894" i="1"/>
  <c r="V893" i="1"/>
  <c r="Q893" i="1"/>
  <c r="P893" i="1"/>
  <c r="O893" i="1"/>
  <c r="V892" i="1"/>
  <c r="Q892" i="1"/>
  <c r="P892" i="1"/>
  <c r="O892" i="1"/>
  <c r="V891" i="1"/>
  <c r="Q891" i="1"/>
  <c r="P891" i="1"/>
  <c r="O891" i="1"/>
  <c r="V890" i="1"/>
  <c r="Q890" i="1"/>
  <c r="P890" i="1"/>
  <c r="O890" i="1"/>
  <c r="V889" i="1"/>
  <c r="Q889" i="1"/>
  <c r="P889" i="1"/>
  <c r="O889" i="1"/>
  <c r="V888" i="1"/>
  <c r="Q888" i="1"/>
  <c r="P888" i="1"/>
  <c r="O888" i="1"/>
  <c r="V887" i="1"/>
  <c r="Q887" i="1"/>
  <c r="P887" i="1"/>
  <c r="O887" i="1"/>
  <c r="V886" i="1"/>
  <c r="Q886" i="1"/>
  <c r="P886" i="1"/>
  <c r="O886" i="1"/>
  <c r="V885" i="1"/>
  <c r="Q885" i="1"/>
  <c r="P885" i="1"/>
  <c r="O885" i="1"/>
  <c r="V884" i="1"/>
  <c r="Q884" i="1"/>
  <c r="P884" i="1"/>
  <c r="O884" i="1"/>
  <c r="V883" i="1"/>
  <c r="Q883" i="1"/>
  <c r="P883" i="1"/>
  <c r="O883" i="1"/>
  <c r="V882" i="1"/>
  <c r="Q882" i="1"/>
  <c r="P882" i="1"/>
  <c r="O882" i="1"/>
  <c r="V881" i="1"/>
  <c r="Q881" i="1"/>
  <c r="P881" i="1"/>
  <c r="O881" i="1"/>
  <c r="V880" i="1"/>
  <c r="Q880" i="1"/>
  <c r="P880" i="1"/>
  <c r="O880" i="1"/>
  <c r="V879" i="1"/>
  <c r="Q879" i="1"/>
  <c r="P879" i="1"/>
  <c r="O879" i="1"/>
  <c r="V878" i="1"/>
  <c r="Q878" i="1"/>
  <c r="P878" i="1"/>
  <c r="O878" i="1"/>
  <c r="V877" i="1"/>
  <c r="Q877" i="1"/>
  <c r="P877" i="1"/>
  <c r="O877" i="1"/>
  <c r="V876" i="1"/>
  <c r="Q876" i="1"/>
  <c r="P876" i="1"/>
  <c r="O876" i="1"/>
  <c r="V875" i="1"/>
  <c r="Q875" i="1"/>
  <c r="P875" i="1"/>
  <c r="O875" i="1"/>
  <c r="V874" i="1"/>
  <c r="Q874" i="1"/>
  <c r="P874" i="1"/>
  <c r="O874" i="1"/>
  <c r="V873" i="1"/>
  <c r="Q873" i="1"/>
  <c r="P873" i="1"/>
  <c r="O873" i="1"/>
  <c r="V872" i="1"/>
  <c r="Q872" i="1"/>
  <c r="P872" i="1"/>
  <c r="O872" i="1"/>
  <c r="V871" i="1"/>
  <c r="Q871" i="1"/>
  <c r="P871" i="1"/>
  <c r="O871" i="1"/>
  <c r="V870" i="1"/>
  <c r="Q870" i="1"/>
  <c r="P870" i="1"/>
  <c r="O870" i="1"/>
  <c r="V869" i="1"/>
  <c r="Q869" i="1"/>
  <c r="P869" i="1"/>
  <c r="O869" i="1"/>
  <c r="V868" i="1"/>
  <c r="Q868" i="1"/>
  <c r="P868" i="1"/>
  <c r="O868" i="1"/>
  <c r="V867" i="1"/>
  <c r="Q867" i="1"/>
  <c r="P867" i="1"/>
  <c r="O867" i="1"/>
  <c r="V866" i="1"/>
  <c r="Q866" i="1"/>
  <c r="P866" i="1"/>
  <c r="O866" i="1"/>
  <c r="V865" i="1"/>
  <c r="Q865" i="1"/>
  <c r="P865" i="1"/>
  <c r="O865" i="1"/>
  <c r="V864" i="1"/>
  <c r="Q864" i="1"/>
  <c r="P864" i="1"/>
  <c r="O864" i="1"/>
  <c r="V863" i="1"/>
  <c r="Q863" i="1"/>
  <c r="P863" i="1"/>
  <c r="O863" i="1"/>
  <c r="V862" i="1"/>
  <c r="Q862" i="1"/>
  <c r="P862" i="1"/>
  <c r="O862" i="1"/>
  <c r="V861" i="1"/>
  <c r="Q861" i="1"/>
  <c r="P861" i="1"/>
  <c r="O861" i="1"/>
  <c r="V860" i="1"/>
  <c r="Q860" i="1"/>
  <c r="P860" i="1"/>
  <c r="O860" i="1"/>
  <c r="V859" i="1"/>
  <c r="Q859" i="1"/>
  <c r="P859" i="1"/>
  <c r="O859" i="1"/>
  <c r="V858" i="1"/>
  <c r="Q858" i="1"/>
  <c r="P858" i="1"/>
  <c r="O858" i="1"/>
  <c r="V857" i="1"/>
  <c r="Q857" i="1"/>
  <c r="P857" i="1"/>
  <c r="O857" i="1"/>
  <c r="V856" i="1"/>
  <c r="P856" i="1"/>
  <c r="O856" i="1"/>
  <c r="V855" i="1"/>
  <c r="P855" i="1"/>
  <c r="O855" i="1"/>
  <c r="V854" i="1"/>
  <c r="P854" i="1"/>
  <c r="O854" i="1"/>
  <c r="V853" i="1"/>
  <c r="P853" i="1"/>
  <c r="O853" i="1"/>
  <c r="V852" i="1"/>
  <c r="P852" i="1"/>
  <c r="O852" i="1"/>
  <c r="V851" i="1"/>
  <c r="P851" i="1"/>
  <c r="O851" i="1"/>
  <c r="V850" i="1"/>
  <c r="P850" i="1"/>
  <c r="O850" i="1"/>
  <c r="V849" i="1"/>
  <c r="P849" i="1"/>
  <c r="O849" i="1"/>
  <c r="V848" i="1"/>
  <c r="P848" i="1"/>
  <c r="O848" i="1"/>
  <c r="V847" i="1"/>
  <c r="P847" i="1"/>
  <c r="O847" i="1"/>
  <c r="V846" i="1"/>
  <c r="P846" i="1"/>
  <c r="O846" i="1"/>
  <c r="V845" i="1"/>
  <c r="P845" i="1"/>
  <c r="O845" i="1"/>
  <c r="V844" i="1"/>
  <c r="P844" i="1"/>
  <c r="O844" i="1"/>
  <c r="V843" i="1"/>
  <c r="P843" i="1"/>
  <c r="O843" i="1"/>
  <c r="V842" i="1"/>
  <c r="P842" i="1"/>
  <c r="O842" i="1"/>
  <c r="V841" i="1"/>
  <c r="P841" i="1"/>
  <c r="O841" i="1"/>
  <c r="V840" i="1"/>
  <c r="P840" i="1"/>
  <c r="O840" i="1"/>
  <c r="V839" i="1"/>
  <c r="P839" i="1"/>
  <c r="O839" i="1"/>
  <c r="V838" i="1"/>
  <c r="P838" i="1"/>
  <c r="O838" i="1"/>
  <c r="V837" i="1"/>
  <c r="P837" i="1"/>
  <c r="O837" i="1"/>
  <c r="V836" i="1"/>
  <c r="P836" i="1"/>
  <c r="O836" i="1"/>
  <c r="V835" i="1"/>
  <c r="P835" i="1"/>
  <c r="O835" i="1"/>
  <c r="V834" i="1"/>
  <c r="P834" i="1"/>
  <c r="O834" i="1"/>
  <c r="V833" i="1"/>
  <c r="P833" i="1"/>
  <c r="O833" i="1"/>
  <c r="V832" i="1"/>
  <c r="P832" i="1"/>
  <c r="O832" i="1"/>
  <c r="V831" i="1"/>
  <c r="P831" i="1"/>
  <c r="O831" i="1"/>
  <c r="V830" i="1"/>
  <c r="P830" i="1"/>
  <c r="O830" i="1"/>
  <c r="V829" i="1"/>
  <c r="P829" i="1"/>
  <c r="O829" i="1"/>
  <c r="V828" i="1"/>
  <c r="P828" i="1"/>
  <c r="O828" i="1"/>
  <c r="V827" i="1"/>
  <c r="P827" i="1"/>
  <c r="O827" i="1"/>
  <c r="V826" i="1"/>
  <c r="P826" i="1"/>
  <c r="O826" i="1"/>
  <c r="V825" i="1"/>
  <c r="P825" i="1"/>
  <c r="O825" i="1"/>
  <c r="V824" i="1"/>
  <c r="P824" i="1"/>
  <c r="O824" i="1"/>
  <c r="V823" i="1"/>
  <c r="P823" i="1"/>
  <c r="O823" i="1"/>
  <c r="V822" i="1"/>
  <c r="P822" i="1"/>
  <c r="O822" i="1"/>
  <c r="V821" i="1"/>
  <c r="P821" i="1"/>
  <c r="O821" i="1"/>
  <c r="V820" i="1"/>
  <c r="P820" i="1"/>
  <c r="O820" i="1"/>
  <c r="V819" i="1"/>
  <c r="P819" i="1"/>
  <c r="O819" i="1"/>
  <c r="V818" i="1"/>
  <c r="P818" i="1"/>
  <c r="O818" i="1"/>
  <c r="V817" i="1"/>
  <c r="P817" i="1"/>
  <c r="O817" i="1"/>
  <c r="V816" i="1"/>
  <c r="P816" i="1"/>
  <c r="O816" i="1"/>
  <c r="V815" i="1"/>
  <c r="P815" i="1"/>
  <c r="O815" i="1"/>
  <c r="V814" i="1"/>
  <c r="P814" i="1"/>
  <c r="O814" i="1"/>
  <c r="V813" i="1"/>
  <c r="P813" i="1"/>
  <c r="O813" i="1"/>
  <c r="V812" i="1"/>
  <c r="P812" i="1"/>
  <c r="O812" i="1"/>
  <c r="V811" i="1"/>
  <c r="P811" i="1"/>
  <c r="O811" i="1"/>
  <c r="V810" i="1"/>
  <c r="P810" i="1"/>
  <c r="O810" i="1"/>
  <c r="V809" i="1"/>
  <c r="P809" i="1"/>
  <c r="O809" i="1"/>
  <c r="V808" i="1"/>
  <c r="P808" i="1"/>
  <c r="O808" i="1"/>
  <c r="V807" i="1"/>
  <c r="P807" i="1"/>
  <c r="O807" i="1"/>
  <c r="N807" i="1"/>
  <c r="V806" i="1"/>
  <c r="P806" i="1"/>
  <c r="O806" i="1"/>
  <c r="N806" i="1"/>
  <c r="V805" i="1"/>
  <c r="Q805" i="1"/>
  <c r="P805" i="1"/>
  <c r="O805" i="1"/>
  <c r="N805" i="1"/>
  <c r="V804" i="1"/>
  <c r="Q804" i="1"/>
  <c r="P804" i="1"/>
  <c r="O804" i="1"/>
  <c r="N804" i="1"/>
  <c r="V803" i="1"/>
  <c r="Q803" i="1"/>
  <c r="P803" i="1"/>
  <c r="O803" i="1"/>
  <c r="N803" i="1"/>
  <c r="V802" i="1"/>
  <c r="Q802" i="1"/>
  <c r="P802" i="1"/>
  <c r="O802" i="1"/>
  <c r="N802" i="1"/>
  <c r="V801" i="1"/>
  <c r="Q801" i="1"/>
  <c r="P801" i="1"/>
  <c r="O801" i="1"/>
  <c r="N801" i="1"/>
  <c r="V800" i="1"/>
  <c r="Q800" i="1"/>
  <c r="P800" i="1"/>
  <c r="O800" i="1"/>
  <c r="N800" i="1"/>
  <c r="V799" i="1"/>
  <c r="Q799" i="1"/>
  <c r="P799" i="1"/>
  <c r="O799" i="1"/>
  <c r="N799" i="1"/>
  <c r="V798" i="1"/>
  <c r="Q798" i="1"/>
  <c r="P798" i="1"/>
  <c r="O798" i="1"/>
  <c r="N798" i="1"/>
  <c r="V797" i="1"/>
  <c r="Q797" i="1"/>
  <c r="P797" i="1"/>
  <c r="O797" i="1"/>
  <c r="N797" i="1"/>
  <c r="V796" i="1"/>
  <c r="Q796" i="1"/>
  <c r="P796" i="1"/>
  <c r="O796" i="1"/>
  <c r="N796" i="1"/>
  <c r="V795" i="1"/>
  <c r="Q795" i="1"/>
  <c r="P795" i="1"/>
  <c r="O795" i="1"/>
  <c r="N795" i="1"/>
  <c r="V794" i="1"/>
  <c r="Q794" i="1"/>
  <c r="P794" i="1"/>
  <c r="O794" i="1"/>
  <c r="N794" i="1"/>
  <c r="V793" i="1"/>
  <c r="Q793" i="1"/>
  <c r="P793" i="1"/>
  <c r="O793" i="1"/>
  <c r="N793" i="1"/>
  <c r="V792" i="1"/>
  <c r="Q792" i="1"/>
  <c r="P792" i="1"/>
  <c r="O792" i="1"/>
  <c r="N792" i="1"/>
  <c r="V791" i="1"/>
  <c r="Q791" i="1"/>
  <c r="P791" i="1"/>
  <c r="O791" i="1"/>
  <c r="N791" i="1"/>
  <c r="V790" i="1"/>
  <c r="Q790" i="1"/>
  <c r="P790" i="1"/>
  <c r="O790" i="1"/>
  <c r="N790" i="1"/>
  <c r="V789" i="1"/>
  <c r="Q789" i="1"/>
  <c r="P789" i="1"/>
  <c r="O789" i="1"/>
  <c r="N789" i="1"/>
  <c r="V788" i="1"/>
  <c r="Q788" i="1"/>
  <c r="P788" i="1"/>
  <c r="O788" i="1"/>
  <c r="N788" i="1"/>
  <c r="I788" i="1"/>
  <c r="V787" i="1"/>
  <c r="Q787" i="1"/>
  <c r="P787" i="1"/>
  <c r="O787" i="1"/>
  <c r="N787" i="1"/>
  <c r="I787" i="1"/>
  <c r="V786" i="1"/>
  <c r="Q786" i="1"/>
  <c r="P786" i="1"/>
  <c r="O786" i="1"/>
  <c r="N786" i="1"/>
  <c r="I786" i="1"/>
  <c r="V785" i="1"/>
  <c r="Q785" i="1"/>
  <c r="P785" i="1"/>
  <c r="O785" i="1"/>
  <c r="N785" i="1"/>
  <c r="I785" i="1"/>
  <c r="V784" i="1"/>
  <c r="Q784" i="1"/>
  <c r="P784" i="1"/>
  <c r="O784" i="1"/>
  <c r="N784" i="1"/>
  <c r="I784" i="1"/>
  <c r="H784" i="1"/>
  <c r="V783" i="1"/>
  <c r="Q783" i="1"/>
  <c r="P783" i="1"/>
  <c r="O783" i="1"/>
  <c r="N783" i="1"/>
  <c r="I783" i="1"/>
  <c r="H783" i="1"/>
  <c r="V782" i="1"/>
  <c r="Q782" i="1"/>
  <c r="P782" i="1"/>
  <c r="O782" i="1"/>
  <c r="N782" i="1"/>
  <c r="I782" i="1"/>
  <c r="H782" i="1"/>
  <c r="V781" i="1"/>
  <c r="Q781" i="1"/>
  <c r="P781" i="1"/>
  <c r="O781" i="1"/>
  <c r="N781" i="1"/>
  <c r="I781" i="1"/>
  <c r="H781" i="1"/>
  <c r="V780" i="1"/>
  <c r="Q780" i="1"/>
  <c r="P780" i="1"/>
  <c r="O780" i="1"/>
  <c r="N780" i="1"/>
  <c r="I780" i="1"/>
  <c r="H780" i="1"/>
  <c r="V779" i="1"/>
  <c r="Q779" i="1"/>
  <c r="P779" i="1"/>
  <c r="O779" i="1"/>
  <c r="N779" i="1"/>
  <c r="I779" i="1"/>
  <c r="H779" i="1"/>
  <c r="V778" i="1"/>
  <c r="Q778" i="1"/>
  <c r="P778" i="1"/>
  <c r="O778" i="1"/>
  <c r="N778" i="1"/>
  <c r="I778" i="1"/>
  <c r="H778" i="1"/>
  <c r="V777" i="1"/>
  <c r="Q777" i="1"/>
  <c r="P777" i="1"/>
  <c r="O777" i="1"/>
  <c r="N777" i="1"/>
  <c r="I777" i="1"/>
  <c r="H777" i="1"/>
  <c r="V776" i="1"/>
  <c r="Q776" i="1"/>
  <c r="P776" i="1"/>
  <c r="O776" i="1"/>
  <c r="N776" i="1"/>
  <c r="I776" i="1"/>
  <c r="H776" i="1"/>
  <c r="V775" i="1"/>
  <c r="Q775" i="1"/>
  <c r="P775" i="1"/>
  <c r="O775" i="1"/>
  <c r="N775" i="1"/>
  <c r="I775" i="1"/>
  <c r="H775" i="1"/>
  <c r="V774" i="1"/>
  <c r="Q774" i="1"/>
  <c r="P774" i="1"/>
  <c r="O774" i="1"/>
  <c r="N774" i="1"/>
  <c r="I774" i="1"/>
  <c r="V773" i="1"/>
  <c r="Q773" i="1"/>
  <c r="P773" i="1"/>
  <c r="O773" i="1"/>
  <c r="N773" i="1"/>
  <c r="I773" i="1"/>
  <c r="V772" i="1"/>
  <c r="Q772" i="1"/>
  <c r="P772" i="1"/>
  <c r="O772" i="1"/>
  <c r="N772" i="1"/>
  <c r="I772" i="1"/>
  <c r="V771" i="1"/>
  <c r="Q771" i="1"/>
  <c r="P771" i="1"/>
  <c r="O771" i="1"/>
  <c r="N771" i="1"/>
  <c r="I771" i="1"/>
  <c r="V770" i="1"/>
  <c r="Q770" i="1"/>
  <c r="P770" i="1"/>
  <c r="O770" i="1"/>
  <c r="N770" i="1"/>
  <c r="I770" i="1"/>
  <c r="V769" i="1"/>
  <c r="Q769" i="1"/>
  <c r="P769" i="1"/>
  <c r="O769" i="1"/>
  <c r="N769" i="1"/>
  <c r="I769" i="1"/>
  <c r="V768" i="1"/>
  <c r="Q768" i="1"/>
  <c r="P768" i="1"/>
  <c r="O768" i="1"/>
  <c r="N768" i="1"/>
  <c r="V767" i="1"/>
  <c r="Q767" i="1"/>
  <c r="P767" i="1"/>
  <c r="O767" i="1"/>
  <c r="N767" i="1"/>
  <c r="V766" i="1"/>
  <c r="Q766" i="1"/>
  <c r="P766" i="1"/>
  <c r="O766" i="1"/>
  <c r="N766" i="1"/>
  <c r="V765" i="1"/>
  <c r="Q765" i="1"/>
  <c r="P765" i="1"/>
  <c r="O765" i="1"/>
  <c r="N765" i="1"/>
  <c r="V764" i="1"/>
  <c r="Q764" i="1"/>
  <c r="P764" i="1"/>
  <c r="O764" i="1"/>
  <c r="N764" i="1"/>
  <c r="V763" i="1"/>
  <c r="Q763" i="1"/>
  <c r="P763" i="1"/>
  <c r="O763" i="1"/>
  <c r="N763" i="1"/>
  <c r="V762" i="1"/>
  <c r="Q762" i="1"/>
  <c r="P762" i="1"/>
  <c r="O762" i="1"/>
  <c r="N762" i="1"/>
  <c r="V761" i="1"/>
  <c r="Q761" i="1"/>
  <c r="P761" i="1"/>
  <c r="O761" i="1"/>
  <c r="N761" i="1"/>
  <c r="V760" i="1"/>
  <c r="Q760" i="1"/>
  <c r="P760" i="1"/>
  <c r="O760" i="1"/>
  <c r="N760" i="1"/>
  <c r="V759" i="1"/>
  <c r="Q759" i="1"/>
  <c r="P759" i="1"/>
  <c r="O759" i="1"/>
  <c r="N759" i="1"/>
  <c r="V758" i="1"/>
  <c r="Q758" i="1"/>
  <c r="P758" i="1"/>
  <c r="O758" i="1"/>
  <c r="N758" i="1"/>
  <c r="V757" i="1"/>
  <c r="Q757" i="1"/>
  <c r="P757" i="1"/>
  <c r="O757" i="1"/>
  <c r="N757" i="1"/>
  <c r="V756" i="1"/>
  <c r="Q756" i="1"/>
  <c r="P756" i="1"/>
  <c r="O756" i="1"/>
  <c r="N756" i="1"/>
  <c r="V755" i="1"/>
  <c r="Q755" i="1"/>
  <c r="P755" i="1"/>
  <c r="O755" i="1"/>
  <c r="N755" i="1"/>
  <c r="V754" i="1"/>
  <c r="Q754" i="1"/>
  <c r="P754" i="1"/>
  <c r="O754" i="1"/>
  <c r="N754" i="1"/>
  <c r="I754" i="1"/>
  <c r="V753" i="1"/>
  <c r="Q753" i="1"/>
  <c r="P753" i="1"/>
  <c r="O753" i="1"/>
  <c r="N753" i="1"/>
  <c r="I753" i="1"/>
  <c r="V752" i="1"/>
  <c r="Q752" i="1"/>
  <c r="P752" i="1"/>
  <c r="O752" i="1"/>
  <c r="N752" i="1"/>
  <c r="I752" i="1"/>
  <c r="V751" i="1"/>
  <c r="Q751" i="1"/>
  <c r="P751" i="1"/>
  <c r="O751" i="1"/>
  <c r="N751" i="1"/>
  <c r="I751" i="1"/>
  <c r="V750" i="1"/>
  <c r="Q750" i="1"/>
  <c r="P750" i="1"/>
  <c r="O750" i="1"/>
  <c r="N750" i="1"/>
  <c r="I750" i="1"/>
  <c r="V749" i="1"/>
  <c r="Q749" i="1"/>
  <c r="P749" i="1"/>
  <c r="O749" i="1"/>
  <c r="N749" i="1"/>
  <c r="V748" i="1"/>
  <c r="Q748" i="1"/>
  <c r="P748" i="1"/>
  <c r="O748" i="1"/>
  <c r="N748" i="1"/>
  <c r="V747" i="1"/>
  <c r="Q747" i="1"/>
  <c r="P747" i="1"/>
  <c r="O747" i="1"/>
  <c r="N747" i="1"/>
  <c r="V746" i="1"/>
  <c r="Q746" i="1"/>
  <c r="P746" i="1"/>
  <c r="O746" i="1"/>
  <c r="N746" i="1"/>
  <c r="V745" i="1"/>
  <c r="Q745" i="1"/>
  <c r="P745" i="1"/>
  <c r="O745" i="1"/>
  <c r="N745" i="1"/>
  <c r="V744" i="1"/>
  <c r="Q744" i="1"/>
  <c r="P744" i="1"/>
  <c r="O744" i="1"/>
  <c r="N744" i="1"/>
  <c r="V743" i="1"/>
  <c r="Q743" i="1"/>
  <c r="P743" i="1"/>
  <c r="O743" i="1"/>
  <c r="N743" i="1"/>
  <c r="V742" i="1"/>
  <c r="Q742" i="1"/>
  <c r="P742" i="1"/>
  <c r="O742" i="1"/>
  <c r="N742" i="1"/>
  <c r="V741" i="1"/>
  <c r="Q741" i="1"/>
  <c r="P741" i="1"/>
  <c r="O741" i="1"/>
  <c r="N741" i="1"/>
  <c r="V740" i="1"/>
  <c r="Q740" i="1"/>
  <c r="P740" i="1"/>
  <c r="O740" i="1"/>
  <c r="N740" i="1"/>
  <c r="V739" i="1"/>
  <c r="Q739" i="1"/>
  <c r="P739" i="1"/>
  <c r="O739" i="1"/>
  <c r="N739" i="1"/>
  <c r="V738" i="1"/>
  <c r="Q738" i="1"/>
  <c r="P738" i="1"/>
  <c r="O738" i="1"/>
  <c r="N738" i="1"/>
  <c r="V737" i="1"/>
  <c r="Q737" i="1"/>
  <c r="P737" i="1"/>
  <c r="O737" i="1"/>
  <c r="N737" i="1"/>
  <c r="V736" i="1"/>
  <c r="Q736" i="1"/>
  <c r="P736" i="1"/>
  <c r="O736" i="1"/>
  <c r="N736" i="1"/>
  <c r="V735" i="1"/>
  <c r="Q735" i="1"/>
  <c r="P735" i="1"/>
  <c r="O735" i="1"/>
  <c r="N735" i="1"/>
  <c r="V734" i="1"/>
  <c r="Q734" i="1"/>
  <c r="P734" i="1"/>
  <c r="O734" i="1"/>
  <c r="N734" i="1"/>
  <c r="V733" i="1"/>
  <c r="Q733" i="1"/>
  <c r="P733" i="1"/>
  <c r="O733" i="1"/>
  <c r="N733" i="1"/>
  <c r="V732" i="1"/>
  <c r="Q732" i="1"/>
  <c r="P732" i="1"/>
  <c r="O732" i="1"/>
  <c r="N732" i="1"/>
  <c r="V731" i="1"/>
  <c r="Q731" i="1"/>
  <c r="P731" i="1"/>
  <c r="O731" i="1"/>
  <c r="N731" i="1"/>
  <c r="V730" i="1"/>
  <c r="Q730" i="1"/>
  <c r="P730" i="1"/>
  <c r="O730" i="1"/>
  <c r="N730" i="1"/>
  <c r="V729" i="1"/>
  <c r="Q729" i="1"/>
  <c r="P729" i="1"/>
  <c r="O729" i="1"/>
  <c r="N729" i="1"/>
  <c r="V728" i="1"/>
  <c r="Q728" i="1"/>
  <c r="P728" i="1"/>
  <c r="O728" i="1"/>
  <c r="N728" i="1"/>
  <c r="V727" i="1"/>
  <c r="Q727" i="1"/>
  <c r="P727" i="1"/>
  <c r="O727" i="1"/>
  <c r="N727" i="1"/>
  <c r="V726" i="1"/>
  <c r="Q726" i="1"/>
  <c r="P726" i="1"/>
  <c r="O726" i="1"/>
  <c r="N726" i="1"/>
  <c r="V725" i="1"/>
  <c r="Q725" i="1"/>
  <c r="P725" i="1"/>
  <c r="O725" i="1"/>
  <c r="N725" i="1"/>
  <c r="V724" i="1"/>
  <c r="Q724" i="1"/>
  <c r="P724" i="1"/>
  <c r="O724" i="1"/>
  <c r="N724" i="1"/>
  <c r="V723" i="1"/>
  <c r="Q723" i="1"/>
  <c r="P723" i="1"/>
  <c r="O723" i="1"/>
  <c r="N723" i="1"/>
  <c r="V722" i="1"/>
  <c r="Q722" i="1"/>
  <c r="P722" i="1"/>
  <c r="O722" i="1"/>
  <c r="N722" i="1"/>
  <c r="V721" i="1"/>
  <c r="Q721" i="1"/>
  <c r="P721" i="1"/>
  <c r="O721" i="1"/>
  <c r="N721" i="1"/>
  <c r="V720" i="1"/>
  <c r="Q720" i="1"/>
  <c r="P720" i="1"/>
  <c r="O720" i="1"/>
  <c r="N720" i="1"/>
  <c r="V719" i="1"/>
  <c r="Q719" i="1"/>
  <c r="P719" i="1"/>
  <c r="O719" i="1"/>
  <c r="N719" i="1"/>
  <c r="V718" i="1"/>
  <c r="Q718" i="1"/>
  <c r="P718" i="1"/>
  <c r="O718" i="1"/>
  <c r="N718" i="1"/>
  <c r="V717" i="1"/>
  <c r="Q717" i="1"/>
  <c r="P717" i="1"/>
  <c r="O717" i="1"/>
  <c r="N717" i="1"/>
  <c r="V716" i="1"/>
  <c r="Q716" i="1"/>
  <c r="P716" i="1"/>
  <c r="O716" i="1"/>
  <c r="N716" i="1"/>
  <c r="V715" i="1"/>
  <c r="Q715" i="1"/>
  <c r="P715" i="1"/>
  <c r="O715" i="1"/>
  <c r="N715" i="1"/>
  <c r="V714" i="1"/>
  <c r="Q714" i="1"/>
  <c r="P714" i="1"/>
  <c r="O714" i="1"/>
  <c r="N714" i="1"/>
  <c r="V713" i="1"/>
  <c r="Q713" i="1"/>
  <c r="P713" i="1"/>
  <c r="O713" i="1"/>
  <c r="N713" i="1"/>
  <c r="V712" i="1"/>
  <c r="Q712" i="1"/>
  <c r="P712" i="1"/>
  <c r="O712" i="1"/>
  <c r="N712" i="1"/>
  <c r="V711" i="1"/>
  <c r="Q711" i="1"/>
  <c r="P711" i="1"/>
  <c r="O711" i="1"/>
  <c r="N711" i="1"/>
  <c r="V710" i="1"/>
  <c r="Q710" i="1"/>
  <c r="P710" i="1"/>
  <c r="O710" i="1"/>
  <c r="N710" i="1"/>
  <c r="V709" i="1"/>
  <c r="Q709" i="1"/>
  <c r="P709" i="1"/>
  <c r="O709" i="1"/>
  <c r="N709" i="1"/>
  <c r="V708" i="1"/>
  <c r="Q708" i="1"/>
  <c r="P708" i="1"/>
  <c r="O708" i="1"/>
  <c r="N708" i="1"/>
  <c r="V707" i="1"/>
  <c r="Q707" i="1"/>
  <c r="P707" i="1"/>
  <c r="O707" i="1"/>
  <c r="N707" i="1"/>
  <c r="V706" i="1"/>
  <c r="Q706" i="1"/>
  <c r="P706" i="1"/>
  <c r="O706" i="1"/>
  <c r="N706" i="1"/>
  <c r="V705" i="1"/>
  <c r="Q705" i="1"/>
  <c r="P705" i="1"/>
  <c r="O705" i="1"/>
  <c r="N705" i="1"/>
  <c r="V704" i="1"/>
  <c r="Q704" i="1"/>
  <c r="P704" i="1"/>
  <c r="O704" i="1"/>
  <c r="N704" i="1"/>
  <c r="V703" i="1"/>
  <c r="Q703" i="1"/>
  <c r="P703" i="1"/>
  <c r="O703" i="1"/>
  <c r="N703" i="1"/>
  <c r="V702" i="1"/>
  <c r="Q702" i="1"/>
  <c r="P702" i="1"/>
  <c r="O702" i="1"/>
  <c r="N702" i="1"/>
  <c r="V701" i="1"/>
  <c r="Q701" i="1"/>
  <c r="P701" i="1"/>
  <c r="O701" i="1"/>
  <c r="N701" i="1"/>
  <c r="V700" i="1"/>
  <c r="Q700" i="1"/>
  <c r="P700" i="1"/>
  <c r="O700" i="1"/>
  <c r="N700" i="1"/>
  <c r="V699" i="1"/>
  <c r="Q699" i="1"/>
  <c r="P699" i="1"/>
  <c r="O699" i="1"/>
  <c r="N699" i="1"/>
  <c r="V698" i="1"/>
  <c r="Q698" i="1"/>
  <c r="P698" i="1"/>
  <c r="O698" i="1"/>
  <c r="N698" i="1"/>
  <c r="V697" i="1"/>
  <c r="Q697" i="1"/>
  <c r="P697" i="1"/>
  <c r="O697" i="1"/>
  <c r="N697" i="1"/>
  <c r="V696" i="1"/>
  <c r="Q696" i="1"/>
  <c r="P696" i="1"/>
  <c r="O696" i="1"/>
  <c r="N696" i="1"/>
  <c r="V695" i="1"/>
  <c r="Q695" i="1"/>
  <c r="P695" i="1"/>
  <c r="O695" i="1"/>
  <c r="N695" i="1"/>
  <c r="V694" i="1"/>
  <c r="Q694" i="1"/>
  <c r="P694" i="1"/>
  <c r="O694" i="1"/>
  <c r="N694" i="1"/>
  <c r="V693" i="1"/>
  <c r="Q693" i="1"/>
  <c r="P693" i="1"/>
  <c r="O693" i="1"/>
  <c r="N693" i="1"/>
  <c r="V692" i="1"/>
  <c r="Q692" i="1"/>
  <c r="P692" i="1"/>
  <c r="O692" i="1"/>
  <c r="N692" i="1"/>
  <c r="V691" i="1"/>
  <c r="Q691" i="1"/>
  <c r="P691" i="1"/>
  <c r="O691" i="1"/>
  <c r="N691" i="1"/>
  <c r="V690" i="1"/>
  <c r="Q690" i="1"/>
  <c r="P690" i="1"/>
  <c r="O690" i="1"/>
  <c r="N690" i="1"/>
  <c r="V689" i="1"/>
  <c r="Q689" i="1"/>
  <c r="P689" i="1"/>
  <c r="O689" i="1"/>
  <c r="N689" i="1"/>
  <c r="V688" i="1"/>
  <c r="Q688" i="1"/>
  <c r="P688" i="1"/>
  <c r="O688" i="1"/>
  <c r="N688" i="1"/>
  <c r="V687" i="1"/>
  <c r="Q687" i="1"/>
  <c r="P687" i="1"/>
  <c r="O687" i="1"/>
  <c r="N687" i="1"/>
  <c r="V686" i="1"/>
  <c r="Q686" i="1"/>
  <c r="P686" i="1"/>
  <c r="O686" i="1"/>
  <c r="N686" i="1"/>
  <c r="V685" i="1"/>
  <c r="Q685" i="1"/>
  <c r="P685" i="1"/>
  <c r="O685" i="1"/>
  <c r="N685" i="1"/>
  <c r="V684" i="1"/>
  <c r="Q684" i="1"/>
  <c r="P684" i="1"/>
  <c r="O684" i="1"/>
  <c r="N684" i="1"/>
  <c r="V683" i="1"/>
  <c r="Q683" i="1"/>
  <c r="P683" i="1"/>
  <c r="O683" i="1"/>
  <c r="N683" i="1"/>
  <c r="V682" i="1"/>
  <c r="Q682" i="1"/>
  <c r="P682" i="1"/>
  <c r="O682" i="1"/>
  <c r="N682" i="1"/>
  <c r="V681" i="1"/>
  <c r="Q681" i="1"/>
  <c r="P681" i="1"/>
  <c r="O681" i="1"/>
  <c r="N681" i="1"/>
  <c r="V680" i="1"/>
  <c r="Q680" i="1"/>
  <c r="P680" i="1"/>
  <c r="O680" i="1"/>
  <c r="N680" i="1"/>
  <c r="V679" i="1"/>
  <c r="Q679" i="1"/>
  <c r="P679" i="1"/>
  <c r="O679" i="1"/>
  <c r="N679" i="1"/>
  <c r="V678" i="1"/>
  <c r="Q678" i="1"/>
  <c r="P678" i="1"/>
  <c r="O678" i="1"/>
  <c r="N678" i="1"/>
  <c r="V677" i="1"/>
  <c r="Q677" i="1"/>
  <c r="P677" i="1"/>
  <c r="O677" i="1"/>
  <c r="N677" i="1"/>
  <c r="V676" i="1"/>
  <c r="Q676" i="1"/>
  <c r="P676" i="1"/>
  <c r="O676" i="1"/>
  <c r="N676" i="1"/>
  <c r="V675" i="1"/>
  <c r="Q675" i="1"/>
  <c r="P675" i="1"/>
  <c r="O675" i="1"/>
  <c r="N675" i="1"/>
  <c r="V674" i="1"/>
  <c r="Q674" i="1"/>
  <c r="P674" i="1"/>
  <c r="O674" i="1"/>
  <c r="N674" i="1"/>
  <c r="V673" i="1"/>
  <c r="Q673" i="1"/>
  <c r="P673" i="1"/>
  <c r="O673" i="1"/>
  <c r="N673" i="1"/>
  <c r="V672" i="1"/>
  <c r="Q672" i="1"/>
  <c r="P672" i="1"/>
  <c r="O672" i="1"/>
  <c r="N672" i="1"/>
  <c r="V671" i="1"/>
  <c r="Q671" i="1"/>
  <c r="P671" i="1"/>
  <c r="O671" i="1"/>
  <c r="N671" i="1"/>
  <c r="V670" i="1"/>
  <c r="Q670" i="1"/>
  <c r="P670" i="1"/>
  <c r="O670" i="1"/>
  <c r="N670" i="1"/>
  <c r="V669" i="1"/>
  <c r="Q669" i="1"/>
  <c r="P669" i="1"/>
  <c r="O669" i="1"/>
  <c r="N669" i="1"/>
  <c r="V668" i="1"/>
  <c r="Q668" i="1"/>
  <c r="P668" i="1"/>
  <c r="O668" i="1"/>
  <c r="N668" i="1"/>
  <c r="V667" i="1"/>
  <c r="Q667" i="1"/>
  <c r="P667" i="1"/>
  <c r="O667" i="1"/>
  <c r="N667" i="1"/>
  <c r="V666" i="1"/>
  <c r="Q666" i="1"/>
  <c r="P666" i="1"/>
  <c r="O666" i="1"/>
  <c r="N666" i="1"/>
  <c r="V665" i="1"/>
  <c r="Q665" i="1"/>
  <c r="P665" i="1"/>
  <c r="O665" i="1"/>
  <c r="N665" i="1"/>
  <c r="V664" i="1"/>
  <c r="Q664" i="1"/>
  <c r="P664" i="1"/>
  <c r="O664" i="1"/>
  <c r="N664" i="1"/>
  <c r="V663" i="1"/>
  <c r="Q663" i="1"/>
  <c r="P663" i="1"/>
  <c r="O663" i="1"/>
  <c r="N663" i="1"/>
  <c r="V662" i="1"/>
  <c r="Q662" i="1"/>
  <c r="P662" i="1"/>
  <c r="O662" i="1"/>
  <c r="N662" i="1"/>
  <c r="V661" i="1"/>
  <c r="Q661" i="1"/>
  <c r="P661" i="1"/>
  <c r="O661" i="1"/>
  <c r="N661" i="1"/>
  <c r="V660" i="1"/>
  <c r="Q660" i="1"/>
  <c r="P660" i="1"/>
  <c r="O660" i="1"/>
  <c r="V659" i="1"/>
  <c r="Q659" i="1"/>
  <c r="P659" i="1"/>
  <c r="O659" i="1"/>
  <c r="V658" i="1"/>
  <c r="Q658" i="1"/>
  <c r="P658" i="1"/>
  <c r="O658" i="1"/>
  <c r="V657" i="1"/>
  <c r="Q657" i="1"/>
  <c r="P657" i="1"/>
  <c r="O657" i="1"/>
  <c r="V656" i="1"/>
  <c r="Q656" i="1"/>
  <c r="P656" i="1"/>
  <c r="O656" i="1"/>
  <c r="V655" i="1"/>
  <c r="Q655" i="1"/>
  <c r="P655" i="1"/>
  <c r="O655" i="1"/>
  <c r="V654" i="1"/>
  <c r="Q654" i="1"/>
  <c r="P654" i="1"/>
  <c r="O654" i="1"/>
  <c r="V653" i="1"/>
  <c r="Q653" i="1"/>
  <c r="P653" i="1"/>
  <c r="O653" i="1"/>
  <c r="V652" i="1"/>
  <c r="Q652" i="1"/>
  <c r="P652" i="1"/>
  <c r="O652" i="1"/>
  <c r="V651" i="1"/>
  <c r="Q651" i="1"/>
  <c r="P651" i="1"/>
  <c r="O651" i="1"/>
  <c r="V650" i="1"/>
  <c r="Q650" i="1"/>
  <c r="P650" i="1"/>
  <c r="O650" i="1"/>
  <c r="N650" i="1"/>
  <c r="V649" i="1"/>
  <c r="Q649" i="1"/>
  <c r="P649" i="1"/>
  <c r="O649" i="1"/>
  <c r="N649" i="1"/>
  <c r="V648" i="1"/>
  <c r="Q648" i="1"/>
  <c r="P648" i="1"/>
  <c r="O648" i="1"/>
  <c r="N648" i="1"/>
  <c r="V647" i="1"/>
  <c r="Q647" i="1"/>
  <c r="P647" i="1"/>
  <c r="O647" i="1"/>
  <c r="N647" i="1"/>
  <c r="V646" i="1"/>
  <c r="Q646" i="1"/>
  <c r="P646" i="1"/>
  <c r="O646" i="1"/>
  <c r="N646" i="1"/>
  <c r="V645" i="1"/>
  <c r="Q645" i="1"/>
  <c r="P645" i="1"/>
  <c r="O645" i="1"/>
  <c r="N645" i="1"/>
  <c r="V644" i="1"/>
  <c r="Q644" i="1"/>
  <c r="P644" i="1"/>
  <c r="O644" i="1"/>
  <c r="N644" i="1"/>
  <c r="V643" i="1"/>
  <c r="Q643" i="1"/>
  <c r="P643" i="1"/>
  <c r="O643" i="1"/>
  <c r="N643" i="1"/>
  <c r="V642" i="1"/>
  <c r="Q642" i="1"/>
  <c r="P642" i="1"/>
  <c r="O642" i="1"/>
  <c r="N642" i="1"/>
  <c r="V641" i="1"/>
  <c r="Q641" i="1"/>
  <c r="P641" i="1"/>
  <c r="O641" i="1"/>
  <c r="N641" i="1"/>
  <c r="V640" i="1"/>
  <c r="Q640" i="1"/>
  <c r="P640" i="1"/>
  <c r="O640" i="1"/>
  <c r="V639" i="1"/>
  <c r="Q639" i="1"/>
  <c r="P639" i="1"/>
  <c r="O639" i="1"/>
  <c r="V638" i="1"/>
  <c r="Q638" i="1"/>
  <c r="P638" i="1"/>
  <c r="O638" i="1"/>
  <c r="V637" i="1"/>
  <c r="Q637" i="1"/>
  <c r="P637" i="1"/>
  <c r="O637" i="1"/>
  <c r="V636" i="1"/>
  <c r="Q636" i="1"/>
  <c r="P636" i="1"/>
  <c r="O636" i="1"/>
  <c r="V635" i="1"/>
  <c r="Q635" i="1"/>
  <c r="P635" i="1"/>
  <c r="O635" i="1"/>
  <c r="V634" i="1"/>
  <c r="Q634" i="1"/>
  <c r="P634" i="1"/>
  <c r="O634" i="1"/>
  <c r="V633" i="1"/>
  <c r="Q633" i="1"/>
  <c r="P633" i="1"/>
  <c r="O633" i="1"/>
  <c r="V632" i="1"/>
  <c r="Q632" i="1"/>
  <c r="P632" i="1"/>
  <c r="O632" i="1"/>
  <c r="V631" i="1"/>
  <c r="Q631" i="1"/>
  <c r="P631" i="1"/>
  <c r="O631" i="1"/>
  <c r="V630" i="1"/>
  <c r="Q630" i="1"/>
  <c r="P630" i="1"/>
  <c r="O630" i="1"/>
  <c r="V629" i="1"/>
  <c r="Q629" i="1"/>
  <c r="P629" i="1"/>
  <c r="O629" i="1"/>
  <c r="V628" i="1"/>
  <c r="Q628" i="1"/>
  <c r="P628" i="1"/>
  <c r="O628" i="1"/>
  <c r="V627" i="1"/>
  <c r="Q627" i="1"/>
  <c r="P627" i="1"/>
  <c r="O627" i="1"/>
  <c r="V626" i="1"/>
  <c r="Q626" i="1"/>
  <c r="P626" i="1"/>
  <c r="O626" i="1"/>
  <c r="V625" i="1"/>
  <c r="Q625" i="1"/>
  <c r="P625" i="1"/>
  <c r="O625" i="1"/>
  <c r="V624" i="1"/>
  <c r="Q624" i="1"/>
  <c r="P624" i="1"/>
  <c r="O624" i="1"/>
  <c r="V623" i="1"/>
  <c r="Q623" i="1"/>
  <c r="P623" i="1"/>
  <c r="O623" i="1"/>
  <c r="V622" i="1"/>
  <c r="Q622" i="1"/>
  <c r="P622" i="1"/>
  <c r="O622" i="1"/>
  <c r="V621" i="1"/>
  <c r="Q621" i="1"/>
  <c r="P621" i="1"/>
  <c r="O621" i="1"/>
  <c r="N621" i="1"/>
  <c r="V620" i="1"/>
  <c r="Q620" i="1"/>
  <c r="P620" i="1"/>
  <c r="O620" i="1"/>
  <c r="N620" i="1"/>
  <c r="V619" i="1"/>
  <c r="Q619" i="1"/>
  <c r="P619" i="1"/>
  <c r="O619" i="1"/>
  <c r="N619" i="1"/>
  <c r="V618" i="1"/>
  <c r="Q618" i="1"/>
  <c r="P618" i="1"/>
  <c r="O618" i="1"/>
  <c r="N618" i="1"/>
  <c r="V617" i="1"/>
  <c r="Q617" i="1"/>
  <c r="P617" i="1"/>
  <c r="O617" i="1"/>
  <c r="N617" i="1"/>
  <c r="V616" i="1"/>
  <c r="Q616" i="1"/>
  <c r="P616" i="1"/>
  <c r="O616" i="1"/>
  <c r="N616" i="1"/>
  <c r="V615" i="1"/>
  <c r="Q615" i="1"/>
  <c r="P615" i="1"/>
  <c r="O615" i="1"/>
  <c r="N615" i="1"/>
  <c r="V614" i="1"/>
  <c r="Q614" i="1"/>
  <c r="P614" i="1"/>
  <c r="O614" i="1"/>
  <c r="N614" i="1"/>
  <c r="V613" i="1"/>
  <c r="Q613" i="1"/>
  <c r="P613" i="1"/>
  <c r="O613" i="1"/>
  <c r="N613" i="1"/>
  <c r="V612" i="1"/>
  <c r="Q612" i="1"/>
  <c r="P612" i="1"/>
  <c r="O612" i="1"/>
  <c r="N612" i="1"/>
  <c r="V611" i="1"/>
  <c r="Q611" i="1"/>
  <c r="P611" i="1"/>
  <c r="O611" i="1"/>
  <c r="N611" i="1"/>
  <c r="V610" i="1"/>
  <c r="Q610" i="1"/>
  <c r="P610" i="1"/>
  <c r="O610" i="1"/>
  <c r="N610" i="1"/>
  <c r="V609" i="1"/>
  <c r="Q609" i="1"/>
  <c r="P609" i="1"/>
  <c r="O609" i="1"/>
  <c r="N609" i="1"/>
  <c r="V608" i="1"/>
  <c r="Q608" i="1"/>
  <c r="P608" i="1"/>
  <c r="O608" i="1"/>
  <c r="N608" i="1"/>
  <c r="V607" i="1"/>
  <c r="Q607" i="1"/>
  <c r="P607" i="1"/>
  <c r="O607" i="1"/>
  <c r="N607" i="1"/>
  <c r="V606" i="1"/>
  <c r="Q606" i="1"/>
  <c r="P606" i="1"/>
  <c r="O606" i="1"/>
  <c r="N606" i="1"/>
  <c r="V605" i="1"/>
  <c r="Q605" i="1"/>
  <c r="P605" i="1"/>
  <c r="O605" i="1"/>
  <c r="N605" i="1"/>
  <c r="V604" i="1"/>
  <c r="Q604" i="1"/>
  <c r="P604" i="1"/>
  <c r="O604" i="1"/>
  <c r="N604" i="1"/>
  <c r="V603" i="1"/>
  <c r="Q603" i="1"/>
  <c r="P603" i="1"/>
  <c r="O603" i="1"/>
  <c r="N603" i="1"/>
  <c r="V602" i="1"/>
  <c r="Q602" i="1"/>
  <c r="P602" i="1"/>
  <c r="O602" i="1"/>
  <c r="N602" i="1"/>
  <c r="V601" i="1"/>
  <c r="Q601" i="1"/>
  <c r="P601" i="1"/>
  <c r="O601" i="1"/>
  <c r="N601" i="1"/>
  <c r="V600" i="1"/>
  <c r="Q600" i="1"/>
  <c r="P600" i="1"/>
  <c r="O600" i="1"/>
  <c r="N600" i="1"/>
  <c r="V599" i="1"/>
  <c r="Q599" i="1"/>
  <c r="P599" i="1"/>
  <c r="O599" i="1"/>
  <c r="N599" i="1"/>
  <c r="V598" i="1"/>
  <c r="Q598" i="1"/>
  <c r="P598" i="1"/>
  <c r="O598" i="1"/>
  <c r="N598" i="1"/>
  <c r="V597" i="1"/>
  <c r="Q597" i="1"/>
  <c r="P597" i="1"/>
  <c r="O597" i="1"/>
  <c r="N597" i="1"/>
  <c r="V596" i="1"/>
  <c r="Q596" i="1"/>
  <c r="P596" i="1"/>
  <c r="O596" i="1"/>
  <c r="N596" i="1"/>
  <c r="V595" i="1"/>
  <c r="Q595" i="1"/>
  <c r="P595" i="1"/>
  <c r="O595" i="1"/>
  <c r="N595" i="1"/>
  <c r="V594" i="1"/>
  <c r="Q594" i="1"/>
  <c r="P594" i="1"/>
  <c r="O594" i="1"/>
  <c r="N594" i="1"/>
  <c r="V593" i="1"/>
  <c r="Q593" i="1"/>
  <c r="P593" i="1"/>
  <c r="O593" i="1"/>
  <c r="N593" i="1"/>
  <c r="V592" i="1"/>
  <c r="Q592" i="1"/>
  <c r="P592" i="1"/>
  <c r="O592" i="1"/>
  <c r="N592" i="1"/>
  <c r="V591" i="1"/>
  <c r="Q591" i="1"/>
  <c r="P591" i="1"/>
  <c r="O591" i="1"/>
  <c r="N591" i="1"/>
  <c r="V590" i="1"/>
  <c r="Q590" i="1"/>
  <c r="P590" i="1"/>
  <c r="O590" i="1"/>
  <c r="N590" i="1"/>
  <c r="V589" i="1"/>
  <c r="Q589" i="1"/>
  <c r="P589" i="1"/>
  <c r="O589" i="1"/>
  <c r="N589" i="1"/>
  <c r="V588" i="1"/>
  <c r="Q588" i="1"/>
  <c r="P588" i="1"/>
  <c r="O588" i="1"/>
  <c r="N588" i="1"/>
  <c r="V587" i="1"/>
  <c r="Q587" i="1"/>
  <c r="P587" i="1"/>
  <c r="O587" i="1"/>
  <c r="N587" i="1"/>
  <c r="V586" i="1"/>
  <c r="Q586" i="1"/>
  <c r="P586" i="1"/>
  <c r="O586" i="1"/>
  <c r="N586" i="1"/>
  <c r="V585" i="1"/>
  <c r="Q585" i="1"/>
  <c r="P585" i="1"/>
  <c r="O585" i="1"/>
  <c r="N585" i="1"/>
  <c r="V584" i="1"/>
  <c r="Q584" i="1"/>
  <c r="P584" i="1"/>
  <c r="O584" i="1"/>
  <c r="N584" i="1"/>
  <c r="V583" i="1"/>
  <c r="Q583" i="1"/>
  <c r="P583" i="1"/>
  <c r="O583" i="1"/>
  <c r="N583" i="1"/>
  <c r="V582" i="1"/>
  <c r="Q582" i="1"/>
  <c r="P582" i="1"/>
  <c r="O582" i="1"/>
  <c r="N582" i="1"/>
  <c r="V581" i="1"/>
  <c r="Q581" i="1"/>
  <c r="P581" i="1"/>
  <c r="O581" i="1"/>
  <c r="N581" i="1"/>
  <c r="V580" i="1"/>
  <c r="Q580" i="1"/>
  <c r="P580" i="1"/>
  <c r="O580" i="1"/>
  <c r="N580" i="1"/>
  <c r="V579" i="1"/>
  <c r="Q579" i="1"/>
  <c r="P579" i="1"/>
  <c r="O579" i="1"/>
  <c r="N579" i="1"/>
  <c r="V578" i="1"/>
  <c r="Q578" i="1"/>
  <c r="P578" i="1"/>
  <c r="O578" i="1"/>
  <c r="N578" i="1"/>
  <c r="V577" i="1"/>
  <c r="Q577" i="1"/>
  <c r="P577" i="1"/>
  <c r="O577" i="1"/>
  <c r="N577" i="1"/>
  <c r="V576" i="1"/>
  <c r="Q576" i="1"/>
  <c r="P576" i="1"/>
  <c r="O576" i="1"/>
  <c r="N576" i="1"/>
  <c r="V575" i="1"/>
  <c r="Q575" i="1"/>
  <c r="P575" i="1"/>
  <c r="O575" i="1"/>
  <c r="N575" i="1"/>
  <c r="V574" i="1"/>
  <c r="Q574" i="1"/>
  <c r="P574" i="1"/>
  <c r="O574" i="1"/>
  <c r="N574" i="1"/>
  <c r="V573" i="1"/>
  <c r="Q573" i="1"/>
  <c r="P573" i="1"/>
  <c r="O573" i="1"/>
  <c r="N573" i="1"/>
  <c r="V572" i="1"/>
  <c r="Q572" i="1"/>
  <c r="P572" i="1"/>
  <c r="O572" i="1"/>
  <c r="N572" i="1"/>
  <c r="V571" i="1"/>
  <c r="Q571" i="1"/>
  <c r="P571" i="1"/>
  <c r="O571" i="1"/>
  <c r="N571" i="1"/>
  <c r="V570" i="1"/>
  <c r="Q570" i="1"/>
  <c r="P570" i="1"/>
  <c r="O570" i="1"/>
  <c r="N570" i="1"/>
  <c r="V569" i="1"/>
  <c r="Q569" i="1"/>
  <c r="P569" i="1"/>
  <c r="O569" i="1"/>
  <c r="N569" i="1"/>
  <c r="V568" i="1"/>
  <c r="Q568" i="1"/>
  <c r="P568" i="1"/>
  <c r="O568" i="1"/>
  <c r="V567" i="1"/>
  <c r="Q567" i="1"/>
  <c r="P567" i="1"/>
  <c r="O567" i="1"/>
  <c r="V566" i="1"/>
  <c r="Q566" i="1"/>
  <c r="P566" i="1"/>
  <c r="O566" i="1"/>
  <c r="V565" i="1"/>
  <c r="Q565" i="1"/>
  <c r="P565" i="1"/>
  <c r="O565" i="1"/>
  <c r="V564" i="1"/>
  <c r="Q564" i="1"/>
  <c r="P564" i="1"/>
  <c r="O564" i="1"/>
  <c r="V563" i="1"/>
  <c r="Q563" i="1"/>
  <c r="P563" i="1"/>
  <c r="O563" i="1"/>
  <c r="V562" i="1"/>
  <c r="Q562" i="1"/>
  <c r="P562" i="1"/>
  <c r="O562" i="1"/>
  <c r="V561" i="1"/>
  <c r="Q561" i="1"/>
  <c r="P561" i="1"/>
  <c r="O561" i="1"/>
  <c r="V560" i="1"/>
  <c r="Q560" i="1"/>
  <c r="P560" i="1"/>
  <c r="O560" i="1"/>
  <c r="V559" i="1"/>
  <c r="Q559" i="1"/>
  <c r="P559" i="1"/>
  <c r="O559" i="1"/>
  <c r="N559" i="1"/>
  <c r="V558" i="1"/>
  <c r="Q558" i="1"/>
  <c r="P558" i="1"/>
  <c r="O558" i="1"/>
  <c r="N558" i="1"/>
  <c r="V557" i="1"/>
  <c r="Q557" i="1"/>
  <c r="P557" i="1"/>
  <c r="O557" i="1"/>
  <c r="N557" i="1"/>
  <c r="V556" i="1"/>
  <c r="Q556" i="1"/>
  <c r="P556" i="1"/>
  <c r="O556" i="1"/>
  <c r="N556" i="1"/>
  <c r="V555" i="1"/>
  <c r="Q555" i="1"/>
  <c r="P555" i="1"/>
  <c r="O555" i="1"/>
  <c r="N555" i="1"/>
  <c r="V554" i="1"/>
  <c r="Q554" i="1"/>
  <c r="P554" i="1"/>
  <c r="O554" i="1"/>
  <c r="N554" i="1"/>
  <c r="V553" i="1"/>
  <c r="Q553" i="1"/>
  <c r="P553" i="1"/>
  <c r="O553" i="1"/>
  <c r="N553" i="1"/>
  <c r="V552" i="1"/>
  <c r="Q552" i="1"/>
  <c r="P552" i="1"/>
  <c r="O552" i="1"/>
  <c r="N552" i="1"/>
  <c r="V551" i="1"/>
  <c r="Q551" i="1"/>
  <c r="P551" i="1"/>
  <c r="O551" i="1"/>
  <c r="N551" i="1"/>
  <c r="V550" i="1"/>
  <c r="Q550" i="1"/>
  <c r="P550" i="1"/>
  <c r="O550" i="1"/>
  <c r="N550" i="1"/>
  <c r="V549" i="1"/>
  <c r="Q549" i="1"/>
  <c r="P549" i="1"/>
  <c r="O549" i="1"/>
  <c r="N549" i="1"/>
  <c r="V548" i="1"/>
  <c r="Q548" i="1"/>
  <c r="P548" i="1"/>
  <c r="O548" i="1"/>
  <c r="N548" i="1"/>
  <c r="V547" i="1"/>
  <c r="Q547" i="1"/>
  <c r="P547" i="1"/>
  <c r="O547" i="1"/>
  <c r="N547" i="1"/>
  <c r="V546" i="1"/>
  <c r="Q546" i="1"/>
  <c r="P546" i="1"/>
  <c r="O546" i="1"/>
  <c r="N546" i="1"/>
  <c r="V545" i="1"/>
  <c r="Q545" i="1"/>
  <c r="P545" i="1"/>
  <c r="O545" i="1"/>
  <c r="N545" i="1"/>
  <c r="V544" i="1"/>
  <c r="Q544" i="1"/>
  <c r="P544" i="1"/>
  <c r="O544" i="1"/>
  <c r="N544" i="1"/>
  <c r="V543" i="1"/>
  <c r="Q543" i="1"/>
  <c r="P543" i="1"/>
  <c r="O543" i="1"/>
  <c r="N543" i="1"/>
  <c r="V542" i="1"/>
  <c r="Q542" i="1"/>
  <c r="P542" i="1"/>
  <c r="O542" i="1"/>
  <c r="N542" i="1"/>
  <c r="V541" i="1"/>
  <c r="Q541" i="1"/>
  <c r="P541" i="1"/>
  <c r="O541" i="1"/>
  <c r="N541" i="1"/>
  <c r="V540" i="1"/>
  <c r="Q540" i="1"/>
  <c r="P540" i="1"/>
  <c r="O540" i="1"/>
  <c r="N540" i="1"/>
  <c r="V539" i="1"/>
  <c r="Q539" i="1"/>
  <c r="P539" i="1"/>
  <c r="O539" i="1"/>
  <c r="V538" i="1"/>
  <c r="Q538" i="1"/>
  <c r="P538" i="1"/>
  <c r="O538" i="1"/>
  <c r="V537" i="1"/>
  <c r="Q537" i="1"/>
  <c r="P537" i="1"/>
  <c r="O537" i="1"/>
  <c r="V536" i="1"/>
  <c r="Q536" i="1"/>
  <c r="P536" i="1"/>
  <c r="O536" i="1"/>
  <c r="V535" i="1"/>
  <c r="Q535" i="1"/>
  <c r="P535" i="1"/>
  <c r="O535" i="1"/>
  <c r="V534" i="1"/>
  <c r="Q534" i="1"/>
  <c r="P534" i="1"/>
  <c r="O534" i="1"/>
  <c r="N534" i="1"/>
  <c r="V533" i="1"/>
  <c r="Q533" i="1"/>
  <c r="P533" i="1"/>
  <c r="O533" i="1"/>
  <c r="N533" i="1"/>
  <c r="V532" i="1"/>
  <c r="Q532" i="1"/>
  <c r="P532" i="1"/>
  <c r="O532" i="1"/>
  <c r="V531" i="1"/>
  <c r="Q531" i="1"/>
  <c r="P531" i="1"/>
  <c r="O531" i="1"/>
  <c r="V530" i="1"/>
  <c r="Q530" i="1"/>
  <c r="P530" i="1"/>
  <c r="O530" i="1"/>
  <c r="V529" i="1"/>
  <c r="Q529" i="1"/>
  <c r="P529" i="1"/>
  <c r="O529" i="1"/>
  <c r="N529" i="1"/>
  <c r="V528" i="1"/>
  <c r="Q528" i="1"/>
  <c r="P528" i="1"/>
  <c r="O528" i="1"/>
  <c r="N528" i="1"/>
  <c r="V527" i="1"/>
  <c r="Q527" i="1"/>
  <c r="P527" i="1"/>
  <c r="O527" i="1"/>
  <c r="N527" i="1"/>
  <c r="V526" i="1"/>
  <c r="Q526" i="1"/>
  <c r="P526" i="1"/>
  <c r="O526" i="1"/>
  <c r="N526" i="1"/>
  <c r="V525" i="1"/>
  <c r="Q525" i="1"/>
  <c r="P525" i="1"/>
  <c r="O525" i="1"/>
  <c r="N525" i="1"/>
  <c r="V524" i="1"/>
  <c r="Q524" i="1"/>
  <c r="P524" i="1"/>
  <c r="O524" i="1"/>
  <c r="N524" i="1"/>
  <c r="V523" i="1"/>
  <c r="Q523" i="1"/>
  <c r="P523" i="1"/>
  <c r="O523" i="1"/>
  <c r="N523" i="1"/>
  <c r="V522" i="1"/>
  <c r="Q522" i="1"/>
  <c r="P522" i="1"/>
  <c r="O522" i="1"/>
  <c r="N522" i="1"/>
  <c r="V521" i="1"/>
  <c r="Q521" i="1"/>
  <c r="P521" i="1"/>
  <c r="O521" i="1"/>
  <c r="N521" i="1"/>
  <c r="V520" i="1"/>
  <c r="Q520" i="1"/>
  <c r="P520" i="1"/>
  <c r="O520" i="1"/>
  <c r="N520" i="1"/>
  <c r="V519" i="1"/>
  <c r="Q519" i="1"/>
  <c r="P519" i="1"/>
  <c r="O519" i="1"/>
  <c r="N519" i="1"/>
  <c r="V518" i="1"/>
  <c r="Q518" i="1"/>
  <c r="P518" i="1"/>
  <c r="O518" i="1"/>
  <c r="N518" i="1"/>
  <c r="V517" i="1"/>
  <c r="Q517" i="1"/>
  <c r="P517" i="1"/>
  <c r="O517" i="1"/>
  <c r="N517" i="1"/>
  <c r="V516" i="1"/>
  <c r="Q516" i="1"/>
  <c r="P516" i="1"/>
  <c r="O516" i="1"/>
  <c r="N516" i="1"/>
  <c r="V515" i="1"/>
  <c r="Q515" i="1"/>
  <c r="P515" i="1"/>
  <c r="O515" i="1"/>
  <c r="N515" i="1"/>
  <c r="V514" i="1"/>
  <c r="Q514" i="1"/>
  <c r="P514" i="1"/>
  <c r="O514" i="1"/>
  <c r="N514" i="1"/>
  <c r="V513" i="1"/>
  <c r="Q513" i="1"/>
  <c r="P513" i="1"/>
  <c r="O513" i="1"/>
  <c r="N513" i="1"/>
  <c r="V512" i="1"/>
  <c r="Q512" i="1"/>
  <c r="P512" i="1"/>
  <c r="O512" i="1"/>
  <c r="N512" i="1"/>
  <c r="V511" i="1"/>
  <c r="Q511" i="1"/>
  <c r="P511" i="1"/>
  <c r="O511" i="1"/>
  <c r="N511" i="1"/>
  <c r="V510" i="1"/>
  <c r="Q510" i="1"/>
  <c r="P510" i="1"/>
  <c r="O510" i="1"/>
  <c r="N510" i="1"/>
  <c r="V509" i="1"/>
  <c r="Q509" i="1"/>
  <c r="P509" i="1"/>
  <c r="O509" i="1"/>
  <c r="N509" i="1"/>
  <c r="V508" i="1"/>
  <c r="Q508" i="1"/>
  <c r="P508" i="1"/>
  <c r="O508" i="1"/>
  <c r="N508" i="1"/>
  <c r="V507" i="1"/>
  <c r="Q507" i="1"/>
  <c r="P507" i="1"/>
  <c r="O507" i="1"/>
  <c r="N507" i="1"/>
  <c r="V506" i="1"/>
  <c r="Q506" i="1"/>
  <c r="P506" i="1"/>
  <c r="O506" i="1"/>
  <c r="N506" i="1"/>
  <c r="V505" i="1"/>
  <c r="Q505" i="1"/>
  <c r="P505" i="1"/>
  <c r="O505" i="1"/>
  <c r="N505" i="1"/>
  <c r="V504" i="1"/>
  <c r="Q504" i="1"/>
  <c r="P504" i="1"/>
  <c r="O504" i="1"/>
  <c r="N504" i="1"/>
  <c r="V503" i="1"/>
  <c r="Q503" i="1"/>
  <c r="P503" i="1"/>
  <c r="O503" i="1"/>
  <c r="N503" i="1"/>
  <c r="V502" i="1"/>
  <c r="Q502" i="1"/>
  <c r="P502" i="1"/>
  <c r="O502" i="1"/>
  <c r="N502" i="1"/>
  <c r="V501" i="1"/>
  <c r="Q501" i="1"/>
  <c r="P501" i="1"/>
  <c r="O501" i="1"/>
  <c r="N501" i="1"/>
  <c r="V500" i="1"/>
  <c r="Q500" i="1"/>
  <c r="P500" i="1"/>
  <c r="O500" i="1"/>
  <c r="N500" i="1"/>
  <c r="V499" i="1"/>
  <c r="Q499" i="1"/>
  <c r="P499" i="1"/>
  <c r="O499" i="1"/>
  <c r="N499" i="1"/>
  <c r="V498" i="1"/>
  <c r="Q498" i="1"/>
  <c r="P498" i="1"/>
  <c r="O498" i="1"/>
  <c r="N498" i="1"/>
  <c r="V497" i="1"/>
  <c r="Q497" i="1"/>
  <c r="P497" i="1"/>
  <c r="O497" i="1"/>
  <c r="N497" i="1"/>
  <c r="V496" i="1"/>
  <c r="Q496" i="1"/>
  <c r="P496" i="1"/>
  <c r="O496" i="1"/>
  <c r="N496" i="1"/>
  <c r="V495" i="1"/>
  <c r="Q495" i="1"/>
  <c r="P495" i="1"/>
  <c r="O495" i="1"/>
  <c r="N495" i="1"/>
  <c r="V494" i="1"/>
  <c r="Q494" i="1"/>
  <c r="P494" i="1"/>
  <c r="O494" i="1"/>
  <c r="N494" i="1"/>
  <c r="V493" i="1"/>
  <c r="Q493" i="1"/>
  <c r="P493" i="1"/>
  <c r="O493" i="1"/>
  <c r="N493" i="1"/>
  <c r="V492" i="1"/>
  <c r="Q492" i="1"/>
  <c r="P492" i="1"/>
  <c r="O492" i="1"/>
  <c r="N492" i="1"/>
  <c r="V491" i="1"/>
  <c r="Q491" i="1"/>
  <c r="P491" i="1"/>
  <c r="O491" i="1"/>
  <c r="N491" i="1"/>
  <c r="V490" i="1"/>
  <c r="Q490" i="1"/>
  <c r="P490" i="1"/>
  <c r="O490" i="1"/>
  <c r="N490" i="1"/>
  <c r="V489" i="1"/>
  <c r="Q489" i="1"/>
  <c r="P489" i="1"/>
  <c r="O489" i="1"/>
  <c r="N489" i="1"/>
  <c r="V488" i="1"/>
  <c r="Q488" i="1"/>
  <c r="P488" i="1"/>
  <c r="O488" i="1"/>
  <c r="N488" i="1"/>
  <c r="V487" i="1"/>
  <c r="Q487" i="1"/>
  <c r="P487" i="1"/>
  <c r="O487" i="1"/>
  <c r="N487" i="1"/>
  <c r="V486" i="1"/>
  <c r="Q486" i="1"/>
  <c r="P486" i="1"/>
  <c r="O486" i="1"/>
  <c r="N486" i="1"/>
  <c r="V485" i="1"/>
  <c r="Q485" i="1"/>
  <c r="P485" i="1"/>
  <c r="O485" i="1"/>
  <c r="N485" i="1"/>
  <c r="V484" i="1"/>
  <c r="Q484" i="1"/>
  <c r="P484" i="1"/>
  <c r="O484" i="1"/>
  <c r="N484" i="1"/>
  <c r="V483" i="1"/>
  <c r="Q483" i="1"/>
  <c r="P483" i="1"/>
  <c r="O483" i="1"/>
  <c r="N483" i="1"/>
  <c r="V482" i="1"/>
  <c r="Q482" i="1"/>
  <c r="P482" i="1"/>
  <c r="O482" i="1"/>
  <c r="N482" i="1"/>
  <c r="V481" i="1"/>
  <c r="Q481" i="1"/>
  <c r="P481" i="1"/>
  <c r="O481" i="1"/>
  <c r="N481" i="1"/>
  <c r="V480" i="1"/>
  <c r="Q480" i="1"/>
  <c r="P480" i="1"/>
  <c r="O480" i="1"/>
  <c r="N480" i="1"/>
  <c r="V479" i="1"/>
  <c r="Q479" i="1"/>
  <c r="P479" i="1"/>
  <c r="O479" i="1"/>
  <c r="N479" i="1"/>
  <c r="V478" i="1"/>
  <c r="Q478" i="1"/>
  <c r="P478" i="1"/>
  <c r="O478" i="1"/>
  <c r="N478" i="1"/>
  <c r="V477" i="1"/>
  <c r="Q477" i="1"/>
  <c r="P477" i="1"/>
  <c r="O477" i="1"/>
  <c r="N477" i="1"/>
  <c r="V476" i="1"/>
  <c r="Q476" i="1"/>
  <c r="P476" i="1"/>
  <c r="O476" i="1"/>
  <c r="N476" i="1"/>
  <c r="V475" i="1"/>
  <c r="Q475" i="1"/>
  <c r="P475" i="1"/>
  <c r="O475" i="1"/>
  <c r="N475" i="1"/>
  <c r="V474" i="1"/>
  <c r="Q474" i="1"/>
  <c r="P474" i="1"/>
  <c r="O474" i="1"/>
  <c r="N474" i="1"/>
  <c r="V473" i="1"/>
  <c r="Q473" i="1"/>
  <c r="P473" i="1"/>
  <c r="O473" i="1"/>
  <c r="N473" i="1"/>
  <c r="V472" i="1"/>
  <c r="Q472" i="1"/>
  <c r="P472" i="1"/>
  <c r="O472" i="1"/>
  <c r="N472" i="1"/>
  <c r="V471" i="1"/>
  <c r="Q471" i="1"/>
  <c r="P471" i="1"/>
  <c r="O471" i="1"/>
  <c r="N471" i="1"/>
  <c r="V470" i="1"/>
  <c r="Q470" i="1"/>
  <c r="P470" i="1"/>
  <c r="O470" i="1"/>
  <c r="N470" i="1"/>
  <c r="V469" i="1"/>
  <c r="Q469" i="1"/>
  <c r="P469" i="1"/>
  <c r="O469" i="1"/>
  <c r="N469" i="1"/>
  <c r="V468" i="1"/>
  <c r="Q468" i="1"/>
  <c r="P468" i="1"/>
  <c r="O468" i="1"/>
  <c r="N468" i="1"/>
  <c r="V467" i="1"/>
  <c r="Q467" i="1"/>
  <c r="P467" i="1"/>
  <c r="O467" i="1"/>
  <c r="N467" i="1"/>
  <c r="V466" i="1"/>
  <c r="Q466" i="1"/>
  <c r="P466" i="1"/>
  <c r="O466" i="1"/>
  <c r="N466" i="1"/>
  <c r="V465" i="1"/>
  <c r="Q465" i="1"/>
  <c r="P465" i="1"/>
  <c r="O465" i="1"/>
  <c r="N465" i="1"/>
  <c r="V464" i="1"/>
  <c r="Q464" i="1"/>
  <c r="P464" i="1"/>
  <c r="O464" i="1"/>
  <c r="N464" i="1"/>
  <c r="V463" i="1"/>
  <c r="Q463" i="1"/>
  <c r="P463" i="1"/>
  <c r="O463" i="1"/>
  <c r="N463" i="1"/>
  <c r="V462" i="1"/>
  <c r="Q462" i="1"/>
  <c r="P462" i="1"/>
  <c r="O462" i="1"/>
  <c r="N462" i="1"/>
  <c r="V461" i="1"/>
  <c r="Q461" i="1"/>
  <c r="P461" i="1"/>
  <c r="O461" i="1"/>
  <c r="N461" i="1"/>
  <c r="V460" i="1"/>
  <c r="Q460" i="1"/>
  <c r="P460" i="1"/>
  <c r="O460" i="1"/>
  <c r="N460" i="1"/>
  <c r="V459" i="1"/>
  <c r="Q459" i="1"/>
  <c r="P459" i="1"/>
  <c r="O459" i="1"/>
  <c r="N459" i="1"/>
  <c r="V458" i="1"/>
  <c r="Q458" i="1"/>
  <c r="P458" i="1"/>
  <c r="O458" i="1"/>
  <c r="N458" i="1"/>
  <c r="V457" i="1"/>
  <c r="Q457" i="1"/>
  <c r="P457" i="1"/>
  <c r="O457" i="1"/>
  <c r="N457" i="1"/>
  <c r="V456" i="1"/>
  <c r="Q456" i="1"/>
  <c r="P456" i="1"/>
  <c r="O456" i="1"/>
  <c r="N456" i="1"/>
  <c r="V455" i="1"/>
  <c r="Q455" i="1"/>
  <c r="P455" i="1"/>
  <c r="O455" i="1"/>
  <c r="N455" i="1"/>
  <c r="V454" i="1"/>
  <c r="Q454" i="1"/>
  <c r="P454" i="1"/>
  <c r="O454" i="1"/>
  <c r="N454" i="1"/>
  <c r="V453" i="1"/>
  <c r="Q453" i="1"/>
  <c r="P453" i="1"/>
  <c r="O453" i="1"/>
  <c r="N453" i="1"/>
  <c r="V452" i="1"/>
  <c r="Q452" i="1"/>
  <c r="P452" i="1"/>
  <c r="O452" i="1"/>
  <c r="N452" i="1"/>
  <c r="V451" i="1"/>
  <c r="Q451" i="1"/>
  <c r="P451" i="1"/>
  <c r="O451" i="1"/>
  <c r="N451" i="1"/>
  <c r="V450" i="1"/>
  <c r="Q450" i="1"/>
  <c r="P450" i="1"/>
  <c r="O450" i="1"/>
  <c r="N450" i="1"/>
  <c r="V449" i="1"/>
  <c r="Q449" i="1"/>
  <c r="P449" i="1"/>
  <c r="O449" i="1"/>
  <c r="N449" i="1"/>
  <c r="V448" i="1"/>
  <c r="Q448" i="1"/>
  <c r="P448" i="1"/>
  <c r="O448" i="1"/>
  <c r="N448" i="1"/>
  <c r="V447" i="1"/>
  <c r="Q447" i="1"/>
  <c r="P447" i="1"/>
  <c r="O447" i="1"/>
  <c r="N447" i="1"/>
  <c r="V446" i="1"/>
  <c r="Q446" i="1"/>
  <c r="P446" i="1"/>
  <c r="O446" i="1"/>
  <c r="N446" i="1"/>
  <c r="V445" i="1"/>
  <c r="Q445" i="1"/>
  <c r="P445" i="1"/>
  <c r="O445" i="1"/>
  <c r="N445" i="1"/>
  <c r="V444" i="1"/>
  <c r="Q444" i="1"/>
  <c r="P444" i="1"/>
  <c r="O444" i="1"/>
  <c r="N444" i="1"/>
  <c r="V443" i="1"/>
  <c r="Q443" i="1"/>
  <c r="P443" i="1"/>
  <c r="O443" i="1"/>
  <c r="N443" i="1"/>
  <c r="V442" i="1"/>
  <c r="Q442" i="1"/>
  <c r="P442" i="1"/>
  <c r="O442" i="1"/>
  <c r="N442" i="1"/>
  <c r="V441" i="1"/>
  <c r="Q441" i="1"/>
  <c r="P441" i="1"/>
  <c r="O441" i="1"/>
  <c r="N441" i="1"/>
  <c r="V440" i="1"/>
  <c r="Q440" i="1"/>
  <c r="P440" i="1"/>
  <c r="O440" i="1"/>
  <c r="N440" i="1"/>
  <c r="V439" i="1"/>
  <c r="Q439" i="1"/>
  <c r="P439" i="1"/>
  <c r="O439" i="1"/>
  <c r="N439" i="1"/>
  <c r="V438" i="1"/>
  <c r="Q438" i="1"/>
  <c r="P438" i="1"/>
  <c r="O438" i="1"/>
  <c r="N438" i="1"/>
  <c r="V437" i="1"/>
  <c r="Q437" i="1"/>
  <c r="P437" i="1"/>
  <c r="O437" i="1"/>
  <c r="N437" i="1"/>
  <c r="V436" i="1"/>
  <c r="Q436" i="1"/>
  <c r="P436" i="1"/>
  <c r="O436" i="1"/>
  <c r="N436" i="1"/>
  <c r="V435" i="1"/>
  <c r="Q435" i="1"/>
  <c r="P435" i="1"/>
  <c r="O435" i="1"/>
  <c r="N435" i="1"/>
  <c r="V434" i="1"/>
  <c r="Q434" i="1"/>
  <c r="P434" i="1"/>
  <c r="O434" i="1"/>
  <c r="N434" i="1"/>
  <c r="V433" i="1"/>
  <c r="Q433" i="1"/>
  <c r="P433" i="1"/>
  <c r="O433" i="1"/>
  <c r="N433" i="1"/>
  <c r="V432" i="1"/>
  <c r="Q432" i="1"/>
  <c r="P432" i="1"/>
  <c r="O432" i="1"/>
  <c r="N432" i="1"/>
  <c r="V431" i="1"/>
  <c r="Q431" i="1"/>
  <c r="P431" i="1"/>
  <c r="O431" i="1"/>
  <c r="N431" i="1"/>
  <c r="V430" i="1"/>
  <c r="Q430" i="1"/>
  <c r="P430" i="1"/>
  <c r="O430" i="1"/>
  <c r="N430" i="1"/>
  <c r="V429" i="1"/>
  <c r="Q429" i="1"/>
  <c r="P429" i="1"/>
  <c r="O429" i="1"/>
  <c r="N429" i="1"/>
  <c r="V428" i="1"/>
  <c r="Q428" i="1"/>
  <c r="P428" i="1"/>
  <c r="O428" i="1"/>
  <c r="N428" i="1"/>
  <c r="V427" i="1"/>
  <c r="Q427" i="1"/>
  <c r="P427" i="1"/>
  <c r="O427" i="1"/>
  <c r="N427" i="1"/>
  <c r="V426" i="1"/>
  <c r="Q426" i="1"/>
  <c r="P426" i="1"/>
  <c r="O426" i="1"/>
  <c r="N426" i="1"/>
  <c r="V425" i="1"/>
  <c r="Q425" i="1"/>
  <c r="P425" i="1"/>
  <c r="O425" i="1"/>
  <c r="N425" i="1"/>
  <c r="V424" i="1"/>
  <c r="Q424" i="1"/>
  <c r="P424" i="1"/>
  <c r="O424" i="1"/>
  <c r="N424" i="1"/>
  <c r="V423" i="1"/>
  <c r="Q423" i="1"/>
  <c r="P423" i="1"/>
  <c r="O423" i="1"/>
  <c r="N423" i="1"/>
  <c r="V422" i="1"/>
  <c r="Q422" i="1"/>
  <c r="P422" i="1"/>
  <c r="O422" i="1"/>
  <c r="N422" i="1"/>
  <c r="V421" i="1"/>
  <c r="Q421" i="1"/>
  <c r="P421" i="1"/>
  <c r="O421" i="1"/>
  <c r="N421" i="1"/>
  <c r="V420" i="1"/>
  <c r="Q420" i="1"/>
  <c r="P420" i="1"/>
  <c r="O420" i="1"/>
  <c r="N420" i="1"/>
  <c r="V419" i="1"/>
  <c r="Q419" i="1"/>
  <c r="P419" i="1"/>
  <c r="O419" i="1"/>
  <c r="N419" i="1"/>
  <c r="V418" i="1"/>
  <c r="Q418" i="1"/>
  <c r="P418" i="1"/>
  <c r="O418" i="1"/>
  <c r="N418" i="1"/>
  <c r="V417" i="1"/>
  <c r="Q417" i="1"/>
  <c r="P417" i="1"/>
  <c r="O417" i="1"/>
  <c r="N417" i="1"/>
  <c r="V416" i="1"/>
  <c r="Q416" i="1"/>
  <c r="P416" i="1"/>
  <c r="O416" i="1"/>
  <c r="N416" i="1"/>
  <c r="V415" i="1"/>
  <c r="Q415" i="1"/>
  <c r="P415" i="1"/>
  <c r="O415" i="1"/>
  <c r="N415" i="1"/>
  <c r="V414" i="1"/>
  <c r="Q414" i="1"/>
  <c r="P414" i="1"/>
  <c r="O414" i="1"/>
  <c r="N414" i="1"/>
  <c r="V413" i="1"/>
  <c r="Q413" i="1"/>
  <c r="P413" i="1"/>
  <c r="O413" i="1"/>
  <c r="N413" i="1"/>
  <c r="V412" i="1"/>
  <c r="Q412" i="1"/>
  <c r="P412" i="1"/>
  <c r="O412" i="1"/>
  <c r="N412" i="1"/>
  <c r="V411" i="1"/>
  <c r="Q411" i="1"/>
  <c r="P411" i="1"/>
  <c r="O411" i="1"/>
  <c r="N411" i="1"/>
  <c r="V410" i="1"/>
  <c r="Q410" i="1"/>
  <c r="P410" i="1"/>
  <c r="O410" i="1"/>
  <c r="N410" i="1"/>
  <c r="V409" i="1"/>
  <c r="Q409" i="1"/>
  <c r="P409" i="1"/>
  <c r="O409" i="1"/>
  <c r="N409" i="1"/>
  <c r="V408" i="1"/>
  <c r="Q408" i="1"/>
  <c r="P408" i="1"/>
  <c r="O408" i="1"/>
  <c r="N408" i="1"/>
  <c r="V407" i="1"/>
  <c r="Q407" i="1"/>
  <c r="P407" i="1"/>
  <c r="O407" i="1"/>
  <c r="N407" i="1"/>
  <c r="V406" i="1"/>
  <c r="Q406" i="1"/>
  <c r="P406" i="1"/>
  <c r="O406" i="1"/>
  <c r="N406" i="1"/>
  <c r="V405" i="1"/>
  <c r="Q405" i="1"/>
  <c r="P405" i="1"/>
  <c r="O405" i="1"/>
  <c r="N405" i="1"/>
  <c r="V404" i="1"/>
  <c r="Q404" i="1"/>
  <c r="P404" i="1"/>
  <c r="O404" i="1"/>
  <c r="N404" i="1"/>
  <c r="V403" i="1"/>
  <c r="Q403" i="1"/>
  <c r="P403" i="1"/>
  <c r="O403" i="1"/>
  <c r="N403" i="1"/>
  <c r="V402" i="1"/>
  <c r="Q402" i="1"/>
  <c r="P402" i="1"/>
  <c r="O402" i="1"/>
  <c r="N402" i="1"/>
  <c r="V401" i="1"/>
  <c r="Q401" i="1"/>
  <c r="P401" i="1"/>
  <c r="O401" i="1"/>
  <c r="N401" i="1"/>
  <c r="V400" i="1"/>
  <c r="Q400" i="1"/>
  <c r="P400" i="1"/>
  <c r="O400" i="1"/>
  <c r="N400" i="1"/>
  <c r="V399" i="1"/>
  <c r="Q399" i="1"/>
  <c r="P399" i="1"/>
  <c r="O399" i="1"/>
  <c r="N399" i="1"/>
  <c r="V398" i="1"/>
  <c r="Q398" i="1"/>
  <c r="P398" i="1"/>
  <c r="O398" i="1"/>
  <c r="N398" i="1"/>
  <c r="V397" i="1"/>
  <c r="Q397" i="1"/>
  <c r="P397" i="1"/>
  <c r="O397" i="1"/>
  <c r="N397" i="1"/>
  <c r="V396" i="1"/>
  <c r="Q396" i="1"/>
  <c r="P396" i="1"/>
  <c r="O396" i="1"/>
  <c r="N396" i="1"/>
  <c r="V395" i="1"/>
  <c r="Q395" i="1"/>
  <c r="P395" i="1"/>
  <c r="O395" i="1"/>
  <c r="N395" i="1"/>
  <c r="V394" i="1"/>
  <c r="Q394" i="1"/>
  <c r="P394" i="1"/>
  <c r="O394" i="1"/>
  <c r="N394" i="1"/>
  <c r="V393" i="1"/>
  <c r="Q393" i="1"/>
  <c r="P393" i="1"/>
  <c r="O393" i="1"/>
  <c r="N393" i="1"/>
  <c r="V392" i="1"/>
  <c r="Q392" i="1"/>
  <c r="P392" i="1"/>
  <c r="O392" i="1"/>
  <c r="N392" i="1"/>
  <c r="V391" i="1"/>
  <c r="Q391" i="1"/>
  <c r="P391" i="1"/>
  <c r="O391" i="1"/>
  <c r="N391" i="1"/>
  <c r="V390" i="1"/>
  <c r="Q390" i="1"/>
  <c r="P390" i="1"/>
  <c r="O390" i="1"/>
  <c r="N390" i="1"/>
  <c r="V389" i="1"/>
  <c r="Q389" i="1"/>
  <c r="P389" i="1"/>
  <c r="O389" i="1"/>
  <c r="N389" i="1"/>
  <c r="V388" i="1"/>
  <c r="Q388" i="1"/>
  <c r="P388" i="1"/>
  <c r="O388" i="1"/>
  <c r="N388" i="1"/>
  <c r="V387" i="1"/>
  <c r="Q387" i="1"/>
  <c r="P387" i="1"/>
  <c r="O387" i="1"/>
  <c r="N387" i="1"/>
  <c r="V386" i="1"/>
  <c r="Q386" i="1"/>
  <c r="P386" i="1"/>
  <c r="O386" i="1"/>
  <c r="N386" i="1"/>
  <c r="V385" i="1"/>
  <c r="Q385" i="1"/>
  <c r="P385" i="1"/>
  <c r="O385" i="1"/>
  <c r="N385" i="1"/>
  <c r="V384" i="1"/>
  <c r="Q384" i="1"/>
  <c r="P384" i="1"/>
  <c r="O384" i="1"/>
  <c r="N384" i="1"/>
  <c r="V383" i="1"/>
  <c r="Q383" i="1"/>
  <c r="P383" i="1"/>
  <c r="O383" i="1"/>
  <c r="N383" i="1"/>
  <c r="V382" i="1"/>
  <c r="Q382" i="1"/>
  <c r="P382" i="1"/>
  <c r="O382" i="1"/>
  <c r="N382" i="1"/>
  <c r="V381" i="1"/>
  <c r="Q381" i="1"/>
  <c r="P381" i="1"/>
  <c r="O381" i="1"/>
  <c r="N381" i="1"/>
  <c r="V380" i="1"/>
  <c r="Q380" i="1"/>
  <c r="P380" i="1"/>
  <c r="O380" i="1"/>
  <c r="N380" i="1"/>
  <c r="V379" i="1"/>
  <c r="Q379" i="1"/>
  <c r="P379" i="1"/>
  <c r="O379" i="1"/>
  <c r="N379" i="1"/>
  <c r="V378" i="1"/>
  <c r="Q378" i="1"/>
  <c r="P378" i="1"/>
  <c r="O378" i="1"/>
  <c r="N378" i="1"/>
  <c r="V377" i="1"/>
  <c r="Q377" i="1"/>
  <c r="P377" i="1"/>
  <c r="O377" i="1"/>
  <c r="N377" i="1"/>
  <c r="V376" i="1"/>
  <c r="Q376" i="1"/>
  <c r="P376" i="1"/>
  <c r="O376" i="1"/>
  <c r="N376" i="1"/>
  <c r="V375" i="1"/>
  <c r="Q375" i="1"/>
  <c r="P375" i="1"/>
  <c r="O375" i="1"/>
  <c r="N375" i="1"/>
  <c r="V374" i="1"/>
  <c r="Q374" i="1"/>
  <c r="P374" i="1"/>
  <c r="O374" i="1"/>
  <c r="N374" i="1"/>
  <c r="V373" i="1"/>
  <c r="Q373" i="1"/>
  <c r="P373" i="1"/>
  <c r="O373" i="1"/>
  <c r="N373" i="1"/>
  <c r="V372" i="1"/>
  <c r="Q372" i="1"/>
  <c r="P372" i="1"/>
  <c r="O372" i="1"/>
  <c r="N372" i="1"/>
  <c r="V371" i="1"/>
  <c r="Q371" i="1"/>
  <c r="P371" i="1"/>
  <c r="O371" i="1"/>
  <c r="N371" i="1"/>
  <c r="V370" i="1"/>
  <c r="Q370" i="1"/>
  <c r="P370" i="1"/>
  <c r="O370" i="1"/>
  <c r="N370" i="1"/>
  <c r="V369" i="1"/>
  <c r="Q369" i="1"/>
  <c r="P369" i="1"/>
  <c r="O369" i="1"/>
  <c r="N369" i="1"/>
  <c r="V368" i="1"/>
  <c r="Q368" i="1"/>
  <c r="P368" i="1"/>
  <c r="O368" i="1"/>
  <c r="N368" i="1"/>
  <c r="V367" i="1"/>
  <c r="Q367" i="1"/>
  <c r="P367" i="1"/>
  <c r="O367" i="1"/>
  <c r="N367" i="1"/>
  <c r="V366" i="1"/>
  <c r="Q366" i="1"/>
  <c r="P366" i="1"/>
  <c r="O366" i="1"/>
  <c r="N366" i="1"/>
  <c r="V365" i="1"/>
  <c r="Q365" i="1"/>
  <c r="P365" i="1"/>
  <c r="O365" i="1"/>
  <c r="N365" i="1"/>
  <c r="V364" i="1"/>
  <c r="Q364" i="1"/>
  <c r="P364" i="1"/>
  <c r="O364" i="1"/>
  <c r="N364" i="1"/>
  <c r="V363" i="1"/>
  <c r="Q363" i="1"/>
  <c r="P363" i="1"/>
  <c r="O363" i="1"/>
  <c r="N363" i="1"/>
  <c r="V362" i="1"/>
  <c r="Q362" i="1"/>
  <c r="P362" i="1"/>
  <c r="O362" i="1"/>
  <c r="N362" i="1"/>
  <c r="V361" i="1"/>
  <c r="Q361" i="1"/>
  <c r="P361" i="1"/>
  <c r="O361" i="1"/>
  <c r="N361" i="1"/>
  <c r="V360" i="1"/>
  <c r="Q360" i="1"/>
  <c r="P360" i="1"/>
  <c r="O360" i="1"/>
  <c r="N360" i="1"/>
  <c r="V359" i="1"/>
  <c r="Q359" i="1"/>
  <c r="P359" i="1"/>
  <c r="O359" i="1"/>
  <c r="N359" i="1"/>
  <c r="V358" i="1"/>
  <c r="Q358" i="1"/>
  <c r="P358" i="1"/>
  <c r="O358" i="1"/>
  <c r="N358" i="1"/>
  <c r="V357" i="1"/>
  <c r="Q357" i="1"/>
  <c r="P357" i="1"/>
  <c r="O357" i="1"/>
  <c r="N357" i="1"/>
  <c r="V356" i="1"/>
  <c r="Q356" i="1"/>
  <c r="P356" i="1"/>
  <c r="O356" i="1"/>
  <c r="N356" i="1"/>
  <c r="V355" i="1"/>
  <c r="Q355" i="1"/>
  <c r="P355" i="1"/>
  <c r="O355" i="1"/>
  <c r="N355" i="1"/>
  <c r="V354" i="1"/>
  <c r="Q354" i="1"/>
  <c r="P354" i="1"/>
  <c r="O354" i="1"/>
  <c r="N354" i="1"/>
  <c r="V353" i="1"/>
  <c r="Q353" i="1"/>
  <c r="P353" i="1"/>
  <c r="O353" i="1"/>
  <c r="N353" i="1"/>
  <c r="V352" i="1"/>
  <c r="Q352" i="1"/>
  <c r="P352" i="1"/>
  <c r="O352" i="1"/>
  <c r="N352" i="1"/>
  <c r="V351" i="1"/>
  <c r="Q351" i="1"/>
  <c r="P351" i="1"/>
  <c r="O351" i="1"/>
  <c r="N351" i="1"/>
  <c r="V350" i="1"/>
  <c r="Q350" i="1"/>
  <c r="P350" i="1"/>
  <c r="O350" i="1"/>
  <c r="N350" i="1"/>
  <c r="V349" i="1"/>
  <c r="Q349" i="1"/>
  <c r="P349" i="1"/>
  <c r="O349" i="1"/>
  <c r="N349" i="1"/>
  <c r="V348" i="1"/>
  <c r="Q348" i="1"/>
  <c r="P348" i="1"/>
  <c r="O348" i="1"/>
  <c r="N348" i="1"/>
  <c r="V347" i="1"/>
  <c r="Q347" i="1"/>
  <c r="P347" i="1"/>
  <c r="O347" i="1"/>
  <c r="N347" i="1"/>
  <c r="V346" i="1"/>
  <c r="Q346" i="1"/>
  <c r="P346" i="1"/>
  <c r="O346" i="1"/>
  <c r="N346" i="1"/>
  <c r="V345" i="1"/>
  <c r="Q345" i="1"/>
  <c r="P345" i="1"/>
  <c r="O345" i="1"/>
  <c r="N345" i="1"/>
  <c r="V344" i="1"/>
  <c r="Q344" i="1"/>
  <c r="P344" i="1"/>
  <c r="O344" i="1"/>
  <c r="N344" i="1"/>
  <c r="V343" i="1"/>
  <c r="Q343" i="1"/>
  <c r="P343" i="1"/>
  <c r="O343" i="1"/>
  <c r="N343" i="1"/>
  <c r="V342" i="1"/>
  <c r="Q342" i="1"/>
  <c r="P342" i="1"/>
  <c r="O342" i="1"/>
  <c r="N342" i="1"/>
  <c r="V341" i="1"/>
  <c r="Q341" i="1"/>
  <c r="P341" i="1"/>
  <c r="O341" i="1"/>
  <c r="N341" i="1"/>
  <c r="V340" i="1"/>
  <c r="Q340" i="1"/>
  <c r="P340" i="1"/>
  <c r="O340" i="1"/>
  <c r="N340" i="1"/>
  <c r="V339" i="1"/>
  <c r="Q339" i="1"/>
  <c r="P339" i="1"/>
  <c r="O339" i="1"/>
  <c r="N339" i="1"/>
  <c r="V338" i="1"/>
  <c r="Q338" i="1"/>
  <c r="P338" i="1"/>
  <c r="O338" i="1"/>
  <c r="N338" i="1"/>
  <c r="V337" i="1"/>
  <c r="Q337" i="1"/>
  <c r="P337" i="1"/>
  <c r="O337" i="1"/>
  <c r="N337" i="1"/>
  <c r="V336" i="1"/>
  <c r="Q336" i="1"/>
  <c r="P336" i="1"/>
  <c r="O336" i="1"/>
  <c r="N336" i="1"/>
  <c r="V335" i="1"/>
  <c r="Q335" i="1"/>
  <c r="P335" i="1"/>
  <c r="O335" i="1"/>
  <c r="N335" i="1"/>
  <c r="V334" i="1"/>
  <c r="Q334" i="1"/>
  <c r="P334" i="1"/>
  <c r="O334" i="1"/>
  <c r="N334" i="1"/>
  <c r="V333" i="1"/>
  <c r="Q333" i="1"/>
  <c r="P333" i="1"/>
  <c r="O333" i="1"/>
  <c r="N333" i="1"/>
  <c r="V332" i="1"/>
  <c r="Q332" i="1"/>
  <c r="P332" i="1"/>
  <c r="O332" i="1"/>
  <c r="N332" i="1"/>
  <c r="V331" i="1"/>
  <c r="Q331" i="1"/>
  <c r="P331" i="1"/>
  <c r="O331" i="1"/>
  <c r="N331" i="1"/>
  <c r="V330" i="1"/>
  <c r="Q330" i="1"/>
  <c r="P330" i="1"/>
  <c r="O330" i="1"/>
  <c r="N330" i="1"/>
  <c r="V329" i="1"/>
  <c r="Q329" i="1"/>
  <c r="P329" i="1"/>
  <c r="O329" i="1"/>
  <c r="N329" i="1"/>
  <c r="V328" i="1"/>
  <c r="Q328" i="1"/>
  <c r="P328" i="1"/>
  <c r="O328" i="1"/>
  <c r="N328" i="1"/>
  <c r="V327" i="1"/>
  <c r="Q327" i="1"/>
  <c r="P327" i="1"/>
  <c r="O327" i="1"/>
  <c r="N327" i="1"/>
  <c r="V326" i="1"/>
  <c r="Q326" i="1"/>
  <c r="P326" i="1"/>
  <c r="O326" i="1"/>
  <c r="N326" i="1"/>
  <c r="V325" i="1"/>
  <c r="Q325" i="1"/>
  <c r="P325" i="1"/>
  <c r="O325" i="1"/>
  <c r="N325" i="1"/>
  <c r="V324" i="1"/>
  <c r="Q324" i="1"/>
  <c r="P324" i="1"/>
  <c r="O324" i="1"/>
  <c r="N324" i="1"/>
  <c r="V323" i="1"/>
  <c r="Q323" i="1"/>
  <c r="P323" i="1"/>
  <c r="O323" i="1"/>
  <c r="N323" i="1"/>
  <c r="V322" i="1"/>
  <c r="Q322" i="1"/>
  <c r="P322" i="1"/>
  <c r="O322" i="1"/>
  <c r="N322" i="1"/>
  <c r="V321" i="1"/>
  <c r="Q321" i="1"/>
  <c r="P321" i="1"/>
  <c r="O321" i="1"/>
  <c r="N321" i="1"/>
  <c r="V320" i="1"/>
  <c r="Q320" i="1"/>
  <c r="P320" i="1"/>
  <c r="O320" i="1"/>
  <c r="N320" i="1"/>
  <c r="V319" i="1"/>
  <c r="Q319" i="1"/>
  <c r="P319" i="1"/>
  <c r="O319" i="1"/>
  <c r="N319" i="1"/>
  <c r="V318" i="1"/>
  <c r="Q318" i="1"/>
  <c r="P318" i="1"/>
  <c r="O318" i="1"/>
  <c r="N318" i="1"/>
  <c r="V317" i="1"/>
  <c r="Q317" i="1"/>
  <c r="P317" i="1"/>
  <c r="O317" i="1"/>
  <c r="N317" i="1"/>
  <c r="V316" i="1"/>
  <c r="Q316" i="1"/>
  <c r="P316" i="1"/>
  <c r="O316" i="1"/>
  <c r="N316" i="1"/>
  <c r="V315" i="1"/>
  <c r="Q315" i="1"/>
  <c r="P315" i="1"/>
  <c r="O315" i="1"/>
  <c r="N315" i="1"/>
  <c r="V314" i="1"/>
  <c r="Q314" i="1"/>
  <c r="P314" i="1"/>
  <c r="O314" i="1"/>
  <c r="N314" i="1"/>
  <c r="V313" i="1"/>
  <c r="Q313" i="1"/>
  <c r="P313" i="1"/>
  <c r="O313" i="1"/>
  <c r="N313" i="1"/>
  <c r="V312" i="1"/>
  <c r="Q312" i="1"/>
  <c r="P312" i="1"/>
  <c r="O312" i="1"/>
  <c r="N312" i="1"/>
  <c r="V311" i="1"/>
  <c r="Q311" i="1"/>
  <c r="P311" i="1"/>
  <c r="O311" i="1"/>
  <c r="N311" i="1"/>
  <c r="V310" i="1"/>
  <c r="Q310" i="1"/>
  <c r="P310" i="1"/>
  <c r="O310" i="1"/>
  <c r="N310" i="1"/>
  <c r="V309" i="1"/>
  <c r="Q309" i="1"/>
  <c r="P309" i="1"/>
  <c r="O309" i="1"/>
  <c r="N309" i="1"/>
  <c r="V308" i="1"/>
  <c r="Q308" i="1"/>
  <c r="P308" i="1"/>
  <c r="O308" i="1"/>
  <c r="N308" i="1"/>
  <c r="V307" i="1"/>
  <c r="Q307" i="1"/>
  <c r="P307" i="1"/>
  <c r="O307" i="1"/>
  <c r="N307" i="1"/>
  <c r="V306" i="1"/>
  <c r="Q306" i="1"/>
  <c r="P306" i="1"/>
  <c r="O306" i="1"/>
  <c r="N306" i="1"/>
  <c r="V305" i="1"/>
  <c r="Q305" i="1"/>
  <c r="P305" i="1"/>
  <c r="O305" i="1"/>
  <c r="N305" i="1"/>
  <c r="V304" i="1"/>
  <c r="Q304" i="1"/>
  <c r="P304" i="1"/>
  <c r="O304" i="1"/>
  <c r="N304" i="1"/>
  <c r="V303" i="1"/>
  <c r="Q303" i="1"/>
  <c r="P303" i="1"/>
  <c r="O303" i="1"/>
  <c r="N303" i="1"/>
  <c r="V302" i="1"/>
  <c r="Q302" i="1"/>
  <c r="P302" i="1"/>
  <c r="O302" i="1"/>
  <c r="N302" i="1"/>
  <c r="V301" i="1"/>
  <c r="Q301" i="1"/>
  <c r="P301" i="1"/>
  <c r="O301" i="1"/>
  <c r="N301" i="1"/>
  <c r="V300" i="1"/>
  <c r="Q300" i="1"/>
  <c r="P300" i="1"/>
  <c r="O300" i="1"/>
  <c r="N300" i="1"/>
  <c r="V299" i="1"/>
  <c r="Q299" i="1"/>
  <c r="P299" i="1"/>
  <c r="O299" i="1"/>
  <c r="N299" i="1"/>
  <c r="V298" i="1"/>
  <c r="Q298" i="1"/>
  <c r="P298" i="1"/>
  <c r="O298" i="1"/>
  <c r="N298" i="1"/>
  <c r="V297" i="1"/>
  <c r="Q297" i="1"/>
  <c r="P297" i="1"/>
  <c r="O297" i="1"/>
  <c r="N297" i="1"/>
  <c r="V296" i="1"/>
  <c r="Q296" i="1"/>
  <c r="P296" i="1"/>
  <c r="O296" i="1"/>
  <c r="N296" i="1"/>
  <c r="V295" i="1"/>
  <c r="Q295" i="1"/>
  <c r="P295" i="1"/>
  <c r="O295" i="1"/>
  <c r="N295" i="1"/>
  <c r="V294" i="1"/>
  <c r="Q294" i="1"/>
  <c r="P294" i="1"/>
  <c r="O294" i="1"/>
  <c r="N294" i="1"/>
  <c r="V293" i="1"/>
  <c r="Q293" i="1"/>
  <c r="P293" i="1"/>
  <c r="O293" i="1"/>
  <c r="N293" i="1"/>
  <c r="V292" i="1"/>
  <c r="Q292" i="1"/>
  <c r="P292" i="1"/>
  <c r="O292" i="1"/>
  <c r="N292" i="1"/>
  <c r="V291" i="1"/>
  <c r="Q291" i="1"/>
  <c r="P291" i="1"/>
  <c r="O291" i="1"/>
  <c r="N291" i="1"/>
  <c r="V290" i="1"/>
  <c r="Q290" i="1"/>
  <c r="P290" i="1"/>
  <c r="O290" i="1"/>
  <c r="N290" i="1"/>
  <c r="V289" i="1"/>
  <c r="Q289" i="1"/>
  <c r="P289" i="1"/>
  <c r="O289" i="1"/>
  <c r="N289" i="1"/>
  <c r="V288" i="1"/>
  <c r="Q288" i="1"/>
  <c r="P288" i="1"/>
  <c r="O288" i="1"/>
  <c r="N288" i="1"/>
  <c r="V287" i="1"/>
  <c r="Q287" i="1"/>
  <c r="P287" i="1"/>
  <c r="O287" i="1"/>
  <c r="N287" i="1"/>
  <c r="V286" i="1"/>
  <c r="Q286" i="1"/>
  <c r="P286" i="1"/>
  <c r="O286" i="1"/>
  <c r="N286" i="1"/>
  <c r="V285" i="1"/>
  <c r="Q285" i="1"/>
  <c r="P285" i="1"/>
  <c r="O285" i="1"/>
  <c r="N285" i="1"/>
  <c r="V284" i="1"/>
  <c r="Q284" i="1"/>
  <c r="P284" i="1"/>
  <c r="O284" i="1"/>
  <c r="N284" i="1"/>
  <c r="V283" i="1"/>
  <c r="Q283" i="1"/>
  <c r="P283" i="1"/>
  <c r="O283" i="1"/>
  <c r="N283" i="1"/>
  <c r="V282" i="1"/>
  <c r="Q282" i="1"/>
  <c r="P282" i="1"/>
  <c r="O282" i="1"/>
  <c r="N282" i="1"/>
  <c r="V281" i="1"/>
  <c r="Q281" i="1"/>
  <c r="P281" i="1"/>
  <c r="O281" i="1"/>
  <c r="N281" i="1"/>
  <c r="V280" i="1"/>
  <c r="Q280" i="1"/>
  <c r="P280" i="1"/>
  <c r="O280" i="1"/>
  <c r="N280" i="1"/>
  <c r="V279" i="1"/>
  <c r="Q279" i="1"/>
  <c r="P279" i="1"/>
  <c r="O279" i="1"/>
  <c r="N279" i="1"/>
  <c r="V278" i="1"/>
  <c r="Q278" i="1"/>
  <c r="P278" i="1"/>
  <c r="O278" i="1"/>
  <c r="N278" i="1"/>
  <c r="V277" i="1"/>
  <c r="Q277" i="1"/>
  <c r="P277" i="1"/>
  <c r="O277" i="1"/>
  <c r="N277" i="1"/>
  <c r="V276" i="1"/>
  <c r="Q276" i="1"/>
  <c r="P276" i="1"/>
  <c r="O276" i="1"/>
  <c r="N276" i="1"/>
  <c r="V275" i="1"/>
  <c r="Q275" i="1"/>
  <c r="P275" i="1"/>
  <c r="O275" i="1"/>
  <c r="N275" i="1"/>
  <c r="V274" i="1"/>
  <c r="Q274" i="1"/>
  <c r="P274" i="1"/>
  <c r="O274" i="1"/>
  <c r="N274" i="1"/>
  <c r="V273" i="1"/>
  <c r="Q273" i="1"/>
  <c r="P273" i="1"/>
  <c r="O273" i="1"/>
  <c r="N273" i="1"/>
  <c r="V272" i="1"/>
  <c r="Q272" i="1"/>
  <c r="P272" i="1"/>
  <c r="O272" i="1"/>
  <c r="N272" i="1"/>
  <c r="V271" i="1"/>
  <c r="Q271" i="1"/>
  <c r="P271" i="1"/>
  <c r="O271" i="1"/>
  <c r="N271" i="1"/>
  <c r="V270" i="1"/>
  <c r="Q270" i="1"/>
  <c r="P270" i="1"/>
  <c r="O270" i="1"/>
  <c r="N270" i="1"/>
  <c r="V269" i="1"/>
  <c r="Q269" i="1"/>
  <c r="P269" i="1"/>
  <c r="O269" i="1"/>
  <c r="N269" i="1"/>
  <c r="V268" i="1"/>
  <c r="Q268" i="1"/>
  <c r="P268" i="1"/>
  <c r="O268" i="1"/>
  <c r="N268" i="1"/>
  <c r="V267" i="1"/>
  <c r="Q267" i="1"/>
  <c r="P267" i="1"/>
  <c r="O267" i="1"/>
  <c r="N267" i="1"/>
  <c r="V266" i="1"/>
  <c r="Q266" i="1"/>
  <c r="P266" i="1"/>
  <c r="O266" i="1"/>
  <c r="N266" i="1"/>
  <c r="V265" i="1"/>
  <c r="Q265" i="1"/>
  <c r="P265" i="1"/>
  <c r="O265" i="1"/>
  <c r="N265" i="1"/>
  <c r="V264" i="1"/>
  <c r="Q264" i="1"/>
  <c r="P264" i="1"/>
  <c r="O264" i="1"/>
  <c r="N264" i="1"/>
  <c r="V263" i="1"/>
  <c r="Q263" i="1"/>
  <c r="P263" i="1"/>
  <c r="O263" i="1"/>
  <c r="N263" i="1"/>
  <c r="V262" i="1"/>
  <c r="Q262" i="1"/>
  <c r="P262" i="1"/>
  <c r="O262" i="1"/>
  <c r="N262" i="1"/>
  <c r="V261" i="1"/>
  <c r="Q261" i="1"/>
  <c r="P261" i="1"/>
  <c r="O261" i="1"/>
  <c r="N261" i="1"/>
  <c r="V260" i="1"/>
  <c r="Q260" i="1"/>
  <c r="P260" i="1"/>
  <c r="O260" i="1"/>
  <c r="N260" i="1"/>
  <c r="V259" i="1"/>
  <c r="Q259" i="1"/>
  <c r="P259" i="1"/>
  <c r="O259" i="1"/>
  <c r="N259" i="1"/>
  <c r="V258" i="1"/>
  <c r="Q258" i="1"/>
  <c r="P258" i="1"/>
  <c r="O258" i="1"/>
  <c r="N258" i="1"/>
  <c r="V257" i="1"/>
  <c r="Q257" i="1"/>
  <c r="P257" i="1"/>
  <c r="O257" i="1"/>
  <c r="N257" i="1"/>
  <c r="V256" i="1"/>
  <c r="Q256" i="1"/>
  <c r="P256" i="1"/>
  <c r="O256" i="1"/>
  <c r="N256" i="1"/>
  <c r="V255" i="1"/>
  <c r="Q255" i="1"/>
  <c r="P255" i="1"/>
  <c r="O255" i="1"/>
  <c r="N255" i="1"/>
  <c r="V254" i="1"/>
  <c r="Q254" i="1"/>
  <c r="P254" i="1"/>
  <c r="O254" i="1"/>
  <c r="N254" i="1"/>
  <c r="V253" i="1"/>
  <c r="Q253" i="1"/>
  <c r="P253" i="1"/>
  <c r="O253" i="1"/>
  <c r="N253" i="1"/>
  <c r="V252" i="1"/>
  <c r="Q252" i="1"/>
  <c r="P252" i="1"/>
  <c r="O252" i="1"/>
  <c r="N252" i="1"/>
  <c r="V251" i="1"/>
  <c r="Q251" i="1"/>
  <c r="P251" i="1"/>
  <c r="O251" i="1"/>
  <c r="N251" i="1"/>
  <c r="V250" i="1"/>
  <c r="Q250" i="1"/>
  <c r="P250" i="1"/>
  <c r="O250" i="1"/>
  <c r="N250" i="1"/>
  <c r="V249" i="1"/>
  <c r="Q249" i="1"/>
  <c r="P249" i="1"/>
  <c r="O249" i="1"/>
  <c r="N249" i="1"/>
  <c r="V248" i="1"/>
  <c r="Q248" i="1"/>
  <c r="P248" i="1"/>
  <c r="O248" i="1"/>
  <c r="N248" i="1"/>
  <c r="V247" i="1"/>
  <c r="Q247" i="1"/>
  <c r="P247" i="1"/>
  <c r="O247" i="1"/>
  <c r="N247" i="1"/>
  <c r="V246" i="1"/>
  <c r="Q246" i="1"/>
  <c r="P246" i="1"/>
  <c r="O246" i="1"/>
  <c r="N246" i="1"/>
  <c r="V245" i="1"/>
  <c r="Q245" i="1"/>
  <c r="P245" i="1"/>
  <c r="O245" i="1"/>
  <c r="N245" i="1"/>
  <c r="V244" i="1"/>
  <c r="Q244" i="1"/>
  <c r="P244" i="1"/>
  <c r="O244" i="1"/>
  <c r="N244" i="1"/>
  <c r="V243" i="1"/>
  <c r="Q243" i="1"/>
  <c r="P243" i="1"/>
  <c r="O243" i="1"/>
  <c r="N243" i="1"/>
  <c r="V242" i="1"/>
  <c r="Q242" i="1"/>
  <c r="P242" i="1"/>
  <c r="O242" i="1"/>
  <c r="N242" i="1"/>
  <c r="V241" i="1"/>
  <c r="Q241" i="1"/>
  <c r="P241" i="1"/>
  <c r="O241" i="1"/>
  <c r="N241" i="1"/>
  <c r="V240" i="1"/>
  <c r="Q240" i="1"/>
  <c r="P240" i="1"/>
  <c r="O240" i="1"/>
  <c r="N240" i="1"/>
  <c r="V239" i="1"/>
  <c r="Q239" i="1"/>
  <c r="P239" i="1"/>
  <c r="O239" i="1"/>
  <c r="N239" i="1"/>
  <c r="V238" i="1"/>
  <c r="Q238" i="1"/>
  <c r="P238" i="1"/>
  <c r="O238" i="1"/>
  <c r="N238" i="1"/>
  <c r="V237" i="1"/>
  <c r="Q237" i="1"/>
  <c r="P237" i="1"/>
  <c r="O237" i="1"/>
  <c r="N237" i="1"/>
  <c r="V236" i="1"/>
  <c r="Q236" i="1"/>
  <c r="P236" i="1"/>
  <c r="O236" i="1"/>
  <c r="N236" i="1"/>
  <c r="V235" i="1"/>
  <c r="Q235" i="1"/>
  <c r="P235" i="1"/>
  <c r="O235" i="1"/>
  <c r="N235" i="1"/>
  <c r="V234" i="1"/>
  <c r="Q234" i="1"/>
  <c r="P234" i="1"/>
  <c r="O234" i="1"/>
  <c r="N234" i="1"/>
  <c r="V233" i="1"/>
  <c r="Q233" i="1"/>
  <c r="P233" i="1"/>
  <c r="O233" i="1"/>
  <c r="N233" i="1"/>
  <c r="V232" i="1"/>
  <c r="Q232" i="1"/>
  <c r="P232" i="1"/>
  <c r="O232" i="1"/>
  <c r="N232" i="1"/>
  <c r="V231" i="1"/>
  <c r="Q231" i="1"/>
  <c r="P231" i="1"/>
  <c r="O231" i="1"/>
  <c r="N231" i="1"/>
  <c r="V230" i="1"/>
  <c r="Q230" i="1"/>
  <c r="P230" i="1"/>
  <c r="O230" i="1"/>
  <c r="N230" i="1"/>
  <c r="V229" i="1"/>
  <c r="Q229" i="1"/>
  <c r="P229" i="1"/>
  <c r="O229" i="1"/>
  <c r="N229" i="1"/>
  <c r="V228" i="1"/>
  <c r="Q228" i="1"/>
  <c r="P228" i="1"/>
  <c r="O228" i="1"/>
  <c r="N228" i="1"/>
  <c r="V227" i="1"/>
  <c r="Q227" i="1"/>
  <c r="P227" i="1"/>
  <c r="O227" i="1"/>
  <c r="N227" i="1"/>
  <c r="V226" i="1"/>
  <c r="Q226" i="1"/>
  <c r="P226" i="1"/>
  <c r="O226" i="1"/>
  <c r="N226" i="1"/>
  <c r="V225" i="1"/>
  <c r="Q225" i="1"/>
  <c r="P225" i="1"/>
  <c r="O225" i="1"/>
  <c r="N225" i="1"/>
  <c r="V224" i="1"/>
  <c r="Q224" i="1"/>
  <c r="P224" i="1"/>
  <c r="O224" i="1"/>
  <c r="N224" i="1"/>
  <c r="V223" i="1"/>
  <c r="Q223" i="1"/>
  <c r="P223" i="1"/>
  <c r="O223" i="1"/>
  <c r="N223" i="1"/>
  <c r="V222" i="1"/>
  <c r="Q222" i="1"/>
  <c r="P222" i="1"/>
  <c r="O222" i="1"/>
  <c r="N222" i="1"/>
  <c r="V221" i="1"/>
  <c r="Q221" i="1"/>
  <c r="P221" i="1"/>
  <c r="O221" i="1"/>
  <c r="N221" i="1"/>
  <c r="V220" i="1"/>
  <c r="Q220" i="1"/>
  <c r="P220" i="1"/>
  <c r="O220" i="1"/>
  <c r="N220" i="1"/>
  <c r="V219" i="1"/>
  <c r="Q219" i="1"/>
  <c r="P219" i="1"/>
  <c r="O219" i="1"/>
  <c r="N219" i="1"/>
  <c r="V218" i="1"/>
  <c r="Q218" i="1"/>
  <c r="P218" i="1"/>
  <c r="O218" i="1"/>
  <c r="N218" i="1"/>
  <c r="V217" i="1"/>
  <c r="Q217" i="1"/>
  <c r="P217" i="1"/>
  <c r="O217" i="1"/>
  <c r="N217" i="1"/>
  <c r="V216" i="1"/>
  <c r="Q216" i="1"/>
  <c r="P216" i="1"/>
  <c r="O216" i="1"/>
  <c r="N216" i="1"/>
  <c r="V215" i="1"/>
  <c r="Q215" i="1"/>
  <c r="P215" i="1"/>
  <c r="O215" i="1"/>
  <c r="N215" i="1"/>
  <c r="V214" i="1"/>
  <c r="Q214" i="1"/>
  <c r="P214" i="1"/>
  <c r="O214" i="1"/>
  <c r="N214" i="1"/>
  <c r="V213" i="1"/>
  <c r="Q213" i="1"/>
  <c r="P213" i="1"/>
  <c r="O213" i="1"/>
  <c r="N213" i="1"/>
  <c r="V212" i="1"/>
  <c r="Q212" i="1"/>
  <c r="P212" i="1"/>
  <c r="O212" i="1"/>
  <c r="N212" i="1"/>
  <c r="V211" i="1"/>
  <c r="Q211" i="1"/>
  <c r="P211" i="1"/>
  <c r="O211" i="1"/>
  <c r="N211" i="1"/>
  <c r="V210" i="1"/>
  <c r="Q210" i="1"/>
  <c r="P210" i="1"/>
  <c r="O210" i="1"/>
  <c r="N210" i="1"/>
  <c r="V209" i="1"/>
  <c r="Q209" i="1"/>
  <c r="P209" i="1"/>
  <c r="O209" i="1"/>
  <c r="N209" i="1"/>
  <c r="V208" i="1"/>
  <c r="Q208" i="1"/>
  <c r="P208" i="1"/>
  <c r="O208" i="1"/>
  <c r="N208" i="1"/>
  <c r="V207" i="1"/>
  <c r="Q207" i="1"/>
  <c r="P207" i="1"/>
  <c r="O207" i="1"/>
  <c r="N207" i="1"/>
  <c r="V206" i="1"/>
  <c r="Q206" i="1"/>
  <c r="P206" i="1"/>
  <c r="O206" i="1"/>
  <c r="N206" i="1"/>
  <c r="V205" i="1"/>
  <c r="Q205" i="1"/>
  <c r="P205" i="1"/>
  <c r="O205" i="1"/>
  <c r="N205" i="1"/>
  <c r="V204" i="1"/>
  <c r="Q204" i="1"/>
  <c r="P204" i="1"/>
  <c r="O204" i="1"/>
  <c r="N204" i="1"/>
  <c r="V203" i="1"/>
  <c r="Q203" i="1"/>
  <c r="P203" i="1"/>
  <c r="O203" i="1"/>
  <c r="N203" i="1"/>
  <c r="V202" i="1"/>
  <c r="Q202" i="1"/>
  <c r="P202" i="1"/>
  <c r="O202" i="1"/>
  <c r="N202" i="1"/>
  <c r="V201" i="1"/>
  <c r="Q201" i="1"/>
  <c r="P201" i="1"/>
  <c r="O201" i="1"/>
  <c r="N201" i="1"/>
  <c r="V200" i="1"/>
  <c r="Q200" i="1"/>
  <c r="P200" i="1"/>
  <c r="O200" i="1"/>
  <c r="N200" i="1"/>
  <c r="V199" i="1"/>
  <c r="Q199" i="1"/>
  <c r="P199" i="1"/>
  <c r="O199" i="1"/>
  <c r="N199" i="1"/>
  <c r="V198" i="1"/>
  <c r="Q198" i="1"/>
  <c r="P198" i="1"/>
  <c r="O198" i="1"/>
  <c r="N198" i="1"/>
  <c r="V197" i="1"/>
  <c r="Q197" i="1"/>
  <c r="P197" i="1"/>
  <c r="O197" i="1"/>
  <c r="N197" i="1"/>
  <c r="V196" i="1"/>
  <c r="Q196" i="1"/>
  <c r="P196" i="1"/>
  <c r="O196" i="1"/>
  <c r="N196" i="1"/>
  <c r="V195" i="1"/>
  <c r="Q195" i="1"/>
  <c r="P195" i="1"/>
  <c r="O195" i="1"/>
  <c r="N195" i="1"/>
  <c r="V194" i="1"/>
  <c r="Q194" i="1"/>
  <c r="P194" i="1"/>
  <c r="O194" i="1"/>
  <c r="V193" i="1"/>
  <c r="Q193" i="1"/>
  <c r="P193" i="1"/>
  <c r="O193" i="1"/>
  <c r="V192" i="1"/>
  <c r="Q192" i="1"/>
  <c r="P192" i="1"/>
  <c r="O192" i="1"/>
  <c r="V191" i="1"/>
  <c r="Q191" i="1"/>
  <c r="P191" i="1"/>
  <c r="O191" i="1"/>
  <c r="V190" i="1"/>
  <c r="Q190" i="1"/>
  <c r="P190" i="1"/>
  <c r="O190" i="1"/>
  <c r="V189" i="1"/>
  <c r="Q189" i="1"/>
  <c r="P189" i="1"/>
  <c r="O189" i="1"/>
  <c r="V188" i="1"/>
  <c r="Q188" i="1"/>
  <c r="P188" i="1"/>
  <c r="O188" i="1"/>
  <c r="V187" i="1"/>
  <c r="Q187" i="1"/>
  <c r="P187" i="1"/>
  <c r="O187" i="1"/>
  <c r="V186" i="1"/>
  <c r="Q186" i="1"/>
  <c r="P186" i="1"/>
  <c r="O186" i="1"/>
  <c r="V185" i="1"/>
  <c r="Q185" i="1"/>
  <c r="P185" i="1"/>
  <c r="O185" i="1"/>
  <c r="V184" i="1"/>
  <c r="Q184" i="1"/>
  <c r="P184" i="1"/>
  <c r="O184" i="1"/>
  <c r="V183" i="1"/>
  <c r="Q183" i="1"/>
  <c r="P183" i="1"/>
  <c r="O183" i="1"/>
  <c r="V182" i="1"/>
  <c r="Q182" i="1"/>
  <c r="P182" i="1"/>
  <c r="O182" i="1"/>
  <c r="V181" i="1"/>
  <c r="Q181" i="1"/>
  <c r="P181" i="1"/>
  <c r="O181" i="1"/>
  <c r="V180" i="1"/>
  <c r="Q180" i="1"/>
  <c r="P180" i="1"/>
  <c r="O180" i="1"/>
  <c r="V179" i="1"/>
  <c r="Q179" i="1"/>
  <c r="P179" i="1"/>
  <c r="O179" i="1"/>
  <c r="V178" i="1"/>
  <c r="Q178" i="1"/>
  <c r="P178" i="1"/>
  <c r="O178" i="1"/>
  <c r="V177" i="1"/>
  <c r="Q177" i="1"/>
  <c r="P177" i="1"/>
  <c r="O177" i="1"/>
  <c r="V176" i="1"/>
  <c r="Q176" i="1"/>
  <c r="P176" i="1"/>
  <c r="O176" i="1"/>
  <c r="V175" i="1"/>
  <c r="Q175" i="1"/>
  <c r="P175" i="1"/>
  <c r="O175" i="1"/>
  <c r="V174" i="1"/>
  <c r="Q174" i="1"/>
  <c r="P174" i="1"/>
  <c r="O174" i="1"/>
  <c r="V173" i="1"/>
  <c r="Q173" i="1"/>
  <c r="P173" i="1"/>
  <c r="O173" i="1"/>
  <c r="N173" i="1"/>
  <c r="V172" i="1"/>
  <c r="Q172" i="1"/>
  <c r="P172" i="1"/>
  <c r="O172" i="1"/>
  <c r="N172" i="1"/>
  <c r="V171" i="1"/>
  <c r="Q171" i="1"/>
  <c r="P171" i="1"/>
  <c r="O171" i="1"/>
  <c r="N171" i="1"/>
  <c r="V170" i="1"/>
  <c r="Q170" i="1"/>
  <c r="P170" i="1"/>
  <c r="O170" i="1"/>
  <c r="N170" i="1"/>
  <c r="V169" i="1"/>
  <c r="Q169" i="1"/>
  <c r="P169" i="1"/>
  <c r="O169" i="1"/>
  <c r="N169" i="1"/>
  <c r="V168" i="1"/>
  <c r="Q168" i="1"/>
  <c r="P168" i="1"/>
  <c r="O168" i="1"/>
  <c r="N168" i="1"/>
  <c r="V167" i="1"/>
  <c r="Q167" i="1"/>
  <c r="P167" i="1"/>
  <c r="O167" i="1"/>
  <c r="N167" i="1"/>
  <c r="V166" i="1"/>
  <c r="Q166" i="1"/>
  <c r="P166" i="1"/>
  <c r="O166" i="1"/>
  <c r="N166" i="1"/>
  <c r="V165" i="1"/>
  <c r="Q165" i="1"/>
  <c r="P165" i="1"/>
  <c r="O165" i="1"/>
  <c r="N165" i="1"/>
  <c r="V164" i="1"/>
  <c r="Q164" i="1"/>
  <c r="P164" i="1"/>
  <c r="O164" i="1"/>
  <c r="N164" i="1"/>
  <c r="V163" i="1"/>
  <c r="Q163" i="1"/>
  <c r="P163" i="1"/>
  <c r="O163" i="1"/>
  <c r="N163" i="1"/>
  <c r="V162" i="1"/>
  <c r="Q162" i="1"/>
  <c r="P162" i="1"/>
  <c r="O162" i="1"/>
  <c r="N162" i="1"/>
  <c r="V161" i="1"/>
  <c r="Q161" i="1"/>
  <c r="P161" i="1"/>
  <c r="O161" i="1"/>
  <c r="N161" i="1"/>
  <c r="V160" i="1"/>
  <c r="Q160" i="1"/>
  <c r="P160" i="1"/>
  <c r="O160" i="1"/>
  <c r="N160" i="1"/>
  <c r="V159" i="1"/>
  <c r="Q159" i="1"/>
  <c r="P159" i="1"/>
  <c r="O159" i="1"/>
  <c r="N159" i="1"/>
  <c r="V158" i="1"/>
  <c r="Q158" i="1"/>
  <c r="P158" i="1"/>
  <c r="O158" i="1"/>
  <c r="N158" i="1"/>
  <c r="V157" i="1"/>
  <c r="Q157" i="1"/>
  <c r="P157" i="1"/>
  <c r="O157" i="1"/>
  <c r="N157" i="1"/>
  <c r="V156" i="1"/>
  <c r="Q156" i="1"/>
  <c r="P156" i="1"/>
  <c r="O156" i="1"/>
  <c r="N156" i="1"/>
  <c r="V155" i="1"/>
  <c r="Q155" i="1"/>
  <c r="P155" i="1"/>
  <c r="O155" i="1"/>
  <c r="N155" i="1"/>
  <c r="V154" i="1"/>
  <c r="Q154" i="1"/>
  <c r="P154" i="1"/>
  <c r="O154" i="1"/>
  <c r="V153" i="1"/>
  <c r="Q153" i="1"/>
  <c r="P153" i="1"/>
  <c r="O153" i="1"/>
  <c r="V152" i="1"/>
  <c r="Q152" i="1"/>
  <c r="P152" i="1"/>
  <c r="O152" i="1"/>
  <c r="V151" i="1"/>
  <c r="Q151" i="1"/>
  <c r="P151" i="1"/>
  <c r="O151" i="1"/>
  <c r="V150" i="1"/>
  <c r="Q150" i="1"/>
  <c r="P150" i="1"/>
  <c r="O150" i="1"/>
  <c r="V149" i="1"/>
  <c r="Q149" i="1"/>
  <c r="P149" i="1"/>
  <c r="O149" i="1"/>
  <c r="V148" i="1"/>
  <c r="Q148" i="1"/>
  <c r="P148" i="1"/>
  <c r="O148" i="1"/>
  <c r="V147" i="1"/>
  <c r="Q147" i="1"/>
  <c r="P147" i="1"/>
  <c r="O147" i="1"/>
  <c r="V146" i="1"/>
  <c r="Q146" i="1"/>
  <c r="P146" i="1"/>
  <c r="O146" i="1"/>
  <c r="V145" i="1"/>
  <c r="Q145" i="1"/>
  <c r="P145" i="1"/>
  <c r="O145" i="1"/>
  <c r="V144" i="1"/>
  <c r="Q144" i="1"/>
  <c r="P144" i="1"/>
  <c r="O144" i="1"/>
  <c r="V143" i="1"/>
  <c r="Q143" i="1"/>
  <c r="P143" i="1"/>
  <c r="O143" i="1"/>
  <c r="V142" i="1"/>
  <c r="Q142" i="1"/>
  <c r="P142" i="1"/>
  <c r="O142" i="1"/>
  <c r="V141" i="1"/>
  <c r="Q141" i="1"/>
  <c r="P141" i="1"/>
  <c r="O141" i="1"/>
  <c r="V140" i="1"/>
  <c r="Q140" i="1"/>
  <c r="P140" i="1"/>
  <c r="O140" i="1"/>
  <c r="V139" i="1"/>
  <c r="Q139" i="1"/>
  <c r="P139" i="1"/>
  <c r="O139" i="1"/>
  <c r="V138" i="1"/>
  <c r="Q138" i="1"/>
  <c r="P138" i="1"/>
  <c r="O138" i="1"/>
  <c r="V137" i="1"/>
  <c r="Q137" i="1"/>
  <c r="P137" i="1"/>
  <c r="O137" i="1"/>
  <c r="V136" i="1"/>
  <c r="Q136" i="1"/>
  <c r="P136" i="1"/>
  <c r="O136" i="1"/>
  <c r="V135" i="1"/>
  <c r="Q135" i="1"/>
  <c r="P135" i="1"/>
  <c r="O135" i="1"/>
  <c r="V134" i="1"/>
  <c r="Q134" i="1"/>
  <c r="P134" i="1"/>
  <c r="O134" i="1"/>
  <c r="V133" i="1"/>
  <c r="Q133" i="1"/>
  <c r="P133" i="1"/>
  <c r="O133" i="1"/>
  <c r="V132" i="1"/>
  <c r="Q132" i="1"/>
  <c r="P132" i="1"/>
  <c r="O132" i="1"/>
  <c r="V131" i="1"/>
  <c r="Q131" i="1"/>
  <c r="P131" i="1"/>
  <c r="O131" i="1"/>
  <c r="V130" i="1"/>
  <c r="Q130" i="1"/>
  <c r="P130" i="1"/>
  <c r="O130" i="1"/>
  <c r="V129" i="1"/>
  <c r="Q129" i="1"/>
  <c r="P129" i="1"/>
  <c r="O129" i="1"/>
  <c r="V128" i="1"/>
  <c r="Q128" i="1"/>
  <c r="P128" i="1"/>
  <c r="O128" i="1"/>
  <c r="V127" i="1"/>
  <c r="Q127" i="1"/>
  <c r="P127" i="1"/>
  <c r="O127" i="1"/>
  <c r="V126" i="1"/>
  <c r="Q126" i="1"/>
  <c r="P126" i="1"/>
  <c r="O126" i="1"/>
  <c r="V125" i="1"/>
  <c r="Q125" i="1"/>
  <c r="P125" i="1"/>
  <c r="O125" i="1"/>
  <c r="V124" i="1"/>
  <c r="Q124" i="1"/>
  <c r="P124" i="1"/>
  <c r="O124" i="1"/>
  <c r="V123" i="1"/>
  <c r="Q123" i="1"/>
  <c r="P123" i="1"/>
  <c r="O123" i="1"/>
  <c r="V122" i="1"/>
  <c r="Q122" i="1"/>
  <c r="P122" i="1"/>
  <c r="O122" i="1"/>
  <c r="V121" i="1"/>
  <c r="Q121" i="1"/>
  <c r="P121" i="1"/>
  <c r="O121" i="1"/>
  <c r="V120" i="1"/>
  <c r="Q120" i="1"/>
  <c r="P120" i="1"/>
  <c r="O120" i="1"/>
  <c r="V119" i="1"/>
  <c r="Q119" i="1"/>
  <c r="P119" i="1"/>
  <c r="O119" i="1"/>
  <c r="V118" i="1"/>
  <c r="Q118" i="1"/>
  <c r="P118" i="1"/>
  <c r="O118" i="1"/>
  <c r="V117" i="1"/>
  <c r="Q117" i="1"/>
  <c r="P117" i="1"/>
  <c r="O117" i="1"/>
  <c r="V116" i="1"/>
  <c r="Q116" i="1"/>
  <c r="P116" i="1"/>
  <c r="O116" i="1"/>
  <c r="V115" i="1"/>
  <c r="Q115" i="1"/>
  <c r="P115" i="1"/>
  <c r="O115" i="1"/>
  <c r="V114" i="1"/>
  <c r="Q114" i="1"/>
  <c r="P114" i="1"/>
  <c r="O114" i="1"/>
  <c r="V113" i="1"/>
  <c r="Q113" i="1"/>
  <c r="P113" i="1"/>
  <c r="O113" i="1"/>
  <c r="V112" i="1"/>
  <c r="Q112" i="1"/>
  <c r="P112" i="1"/>
  <c r="O112" i="1"/>
  <c r="V111" i="1"/>
  <c r="Q111" i="1"/>
  <c r="P111" i="1"/>
  <c r="O111" i="1"/>
  <c r="V110" i="1"/>
  <c r="Q110" i="1"/>
  <c r="P110" i="1"/>
  <c r="O110" i="1"/>
  <c r="V109" i="1"/>
  <c r="Q109" i="1"/>
  <c r="P109" i="1"/>
  <c r="O109" i="1"/>
  <c r="V108" i="1"/>
  <c r="Q108" i="1"/>
  <c r="P108" i="1"/>
  <c r="O108" i="1"/>
  <c r="V107" i="1"/>
  <c r="Q107" i="1"/>
  <c r="P107" i="1"/>
  <c r="O107" i="1"/>
  <c r="V106" i="1"/>
  <c r="Q106" i="1"/>
  <c r="P106" i="1"/>
  <c r="O106" i="1"/>
  <c r="V105" i="1"/>
  <c r="Q105" i="1"/>
  <c r="P105" i="1"/>
  <c r="O105" i="1"/>
  <c r="V104" i="1"/>
  <c r="Q104" i="1"/>
  <c r="P104" i="1"/>
  <c r="O104" i="1"/>
  <c r="V103" i="1"/>
  <c r="Q103" i="1"/>
  <c r="P103" i="1"/>
  <c r="O103" i="1"/>
  <c r="V102" i="1"/>
  <c r="Q102" i="1"/>
  <c r="P102" i="1"/>
  <c r="O102" i="1"/>
  <c r="V101" i="1"/>
  <c r="Q101" i="1"/>
  <c r="P101" i="1"/>
  <c r="O101" i="1"/>
  <c r="V100" i="1"/>
  <c r="Q100" i="1"/>
  <c r="P100" i="1"/>
  <c r="O100" i="1"/>
  <c r="V99" i="1"/>
  <c r="Q99" i="1"/>
  <c r="P99" i="1"/>
  <c r="O99" i="1"/>
  <c r="V98" i="1"/>
  <c r="Q98" i="1"/>
  <c r="P98" i="1"/>
  <c r="O98" i="1"/>
  <c r="V97" i="1"/>
  <c r="Q97" i="1"/>
  <c r="P97" i="1"/>
  <c r="O97" i="1"/>
  <c r="V96" i="1"/>
  <c r="Q96" i="1"/>
  <c r="P96" i="1"/>
  <c r="O96" i="1"/>
  <c r="V95" i="1"/>
  <c r="Q95" i="1"/>
  <c r="P95" i="1"/>
  <c r="O95" i="1"/>
  <c r="V94" i="1"/>
  <c r="Q94" i="1"/>
  <c r="P94" i="1"/>
  <c r="O94" i="1"/>
  <c r="V93" i="1"/>
  <c r="Q93" i="1"/>
  <c r="P93" i="1"/>
  <c r="O93" i="1"/>
  <c r="V92" i="1"/>
  <c r="Q92" i="1"/>
  <c r="P92" i="1"/>
  <c r="O92" i="1"/>
  <c r="V91" i="1"/>
  <c r="Q91" i="1"/>
  <c r="P91" i="1"/>
  <c r="O91" i="1"/>
  <c r="V90" i="1"/>
  <c r="Q90" i="1"/>
  <c r="P90" i="1"/>
  <c r="O90" i="1"/>
  <c r="N90" i="1"/>
  <c r="V89" i="1"/>
  <c r="Q89" i="1"/>
  <c r="P89" i="1"/>
  <c r="O89" i="1"/>
  <c r="N89" i="1"/>
  <c r="V88" i="1"/>
  <c r="Q88" i="1"/>
  <c r="P88" i="1"/>
  <c r="O88" i="1"/>
  <c r="N88" i="1"/>
  <c r="V87" i="1"/>
  <c r="Q87" i="1"/>
  <c r="P87" i="1"/>
  <c r="O87" i="1"/>
  <c r="N87" i="1"/>
  <c r="V86" i="1"/>
  <c r="Q86" i="1"/>
  <c r="P86" i="1"/>
  <c r="O86" i="1"/>
  <c r="N86" i="1"/>
  <c r="V85" i="1"/>
  <c r="Q85" i="1"/>
  <c r="P85" i="1"/>
  <c r="O85" i="1"/>
  <c r="N85" i="1"/>
  <c r="V84" i="1"/>
  <c r="Q84" i="1"/>
  <c r="P84" i="1"/>
  <c r="O84" i="1"/>
  <c r="N84" i="1"/>
  <c r="V83" i="1"/>
  <c r="Q83" i="1"/>
  <c r="P83" i="1"/>
  <c r="O83" i="1"/>
  <c r="N83" i="1"/>
  <c r="V82" i="1"/>
  <c r="Q82" i="1"/>
  <c r="P82" i="1"/>
  <c r="O82" i="1"/>
  <c r="N82" i="1"/>
  <c r="V81" i="1"/>
  <c r="Q81" i="1"/>
  <c r="P81" i="1"/>
  <c r="O81" i="1"/>
  <c r="N81" i="1"/>
  <c r="V80" i="1"/>
  <c r="Q80" i="1"/>
  <c r="P80" i="1"/>
  <c r="O80" i="1"/>
  <c r="N80" i="1"/>
  <c r="V79" i="1"/>
  <c r="Q79" i="1"/>
  <c r="P79" i="1"/>
  <c r="O79" i="1"/>
  <c r="N79" i="1"/>
  <c r="V78" i="1"/>
  <c r="Q78" i="1"/>
  <c r="P78" i="1"/>
  <c r="O78" i="1"/>
  <c r="N78" i="1"/>
  <c r="V77" i="1"/>
  <c r="Q77" i="1"/>
  <c r="P77" i="1"/>
  <c r="O77" i="1"/>
  <c r="N77" i="1"/>
  <c r="V76" i="1"/>
  <c r="Q76" i="1"/>
  <c r="P76" i="1"/>
  <c r="O76" i="1"/>
  <c r="N76" i="1"/>
  <c r="V75" i="1"/>
  <c r="Q75" i="1"/>
  <c r="P75" i="1"/>
  <c r="O75" i="1"/>
  <c r="N75" i="1"/>
  <c r="V74" i="1"/>
  <c r="Q74" i="1"/>
  <c r="P74" i="1"/>
  <c r="O74" i="1"/>
  <c r="N74" i="1"/>
  <c r="V73" i="1"/>
  <c r="Q73" i="1"/>
  <c r="P73" i="1"/>
  <c r="O73" i="1"/>
  <c r="N73" i="1"/>
  <c r="V72" i="1"/>
  <c r="Q72" i="1"/>
  <c r="P72" i="1"/>
  <c r="O72" i="1"/>
  <c r="N72" i="1"/>
  <c r="V71" i="1"/>
  <c r="Q71" i="1"/>
  <c r="P71" i="1"/>
  <c r="O71" i="1"/>
  <c r="N71" i="1"/>
  <c r="V70" i="1"/>
  <c r="Q70" i="1"/>
  <c r="P70" i="1"/>
  <c r="O70" i="1"/>
  <c r="N70" i="1"/>
  <c r="V69" i="1"/>
  <c r="Q69" i="1"/>
  <c r="P69" i="1"/>
  <c r="O69" i="1"/>
  <c r="N69" i="1"/>
  <c r="V68" i="1"/>
  <c r="Q68" i="1"/>
  <c r="P68" i="1"/>
  <c r="O68" i="1"/>
  <c r="N68" i="1"/>
  <c r="V67" i="1"/>
  <c r="Q67" i="1"/>
  <c r="P67" i="1"/>
  <c r="O67" i="1"/>
  <c r="N67" i="1"/>
  <c r="V66" i="1"/>
  <c r="Q66" i="1"/>
  <c r="P66" i="1"/>
  <c r="O66" i="1"/>
  <c r="N66" i="1"/>
  <c r="V65" i="1"/>
  <c r="Q65" i="1"/>
  <c r="P65" i="1"/>
  <c r="O65" i="1"/>
  <c r="N65" i="1"/>
  <c r="V64" i="1"/>
  <c r="Q64" i="1"/>
  <c r="P64" i="1"/>
  <c r="O64" i="1"/>
  <c r="N64" i="1"/>
  <c r="V63" i="1"/>
  <c r="Q63" i="1"/>
  <c r="P63" i="1"/>
  <c r="O63" i="1"/>
  <c r="N63" i="1"/>
  <c r="V62" i="1"/>
  <c r="Q62" i="1"/>
  <c r="P62" i="1"/>
  <c r="O62" i="1"/>
  <c r="N62" i="1"/>
  <c r="V61" i="1"/>
  <c r="Q61" i="1"/>
  <c r="P61" i="1"/>
  <c r="O61" i="1"/>
  <c r="N61" i="1"/>
  <c r="V60" i="1"/>
  <c r="Q60" i="1"/>
  <c r="P60" i="1"/>
  <c r="O60" i="1"/>
  <c r="N60" i="1"/>
  <c r="V59" i="1"/>
  <c r="Q59" i="1"/>
  <c r="P59" i="1"/>
  <c r="O59" i="1"/>
  <c r="N59" i="1"/>
  <c r="V58" i="1"/>
  <c r="Q58" i="1"/>
  <c r="P58" i="1"/>
  <c r="O58" i="1"/>
  <c r="N58" i="1"/>
  <c r="V57" i="1"/>
  <c r="Q57" i="1"/>
  <c r="P57" i="1"/>
  <c r="O57" i="1"/>
  <c r="N57" i="1"/>
  <c r="V56" i="1"/>
  <c r="Q56" i="1"/>
  <c r="P56" i="1"/>
  <c r="O56" i="1"/>
  <c r="N56" i="1"/>
  <c r="V55" i="1"/>
  <c r="Q55" i="1"/>
  <c r="P55" i="1"/>
  <c r="O55" i="1"/>
  <c r="N55" i="1"/>
  <c r="V54" i="1"/>
  <c r="Q54" i="1"/>
  <c r="P54" i="1"/>
  <c r="O54" i="1"/>
  <c r="N54" i="1"/>
  <c r="V53" i="1"/>
  <c r="Q53" i="1"/>
  <c r="P53" i="1"/>
  <c r="O53" i="1"/>
  <c r="N53" i="1"/>
  <c r="V52" i="1"/>
  <c r="Q52" i="1"/>
  <c r="P52" i="1"/>
  <c r="O52" i="1"/>
  <c r="N52" i="1"/>
  <c r="V51" i="1"/>
  <c r="Q51" i="1"/>
  <c r="P51" i="1"/>
  <c r="O51" i="1"/>
  <c r="N51" i="1"/>
  <c r="V50" i="1"/>
  <c r="Q50" i="1"/>
  <c r="P50" i="1"/>
  <c r="O50" i="1"/>
  <c r="N50" i="1"/>
  <c r="V49" i="1"/>
  <c r="Q49" i="1"/>
  <c r="P49" i="1"/>
  <c r="O49" i="1"/>
  <c r="N49" i="1"/>
  <c r="V48" i="1"/>
  <c r="Q48" i="1"/>
  <c r="P48" i="1"/>
  <c r="O48" i="1"/>
  <c r="N48" i="1"/>
  <c r="V47" i="1"/>
  <c r="Q47" i="1"/>
  <c r="P47" i="1"/>
  <c r="O47" i="1"/>
  <c r="N47" i="1"/>
  <c r="V46" i="1"/>
  <c r="Q46" i="1"/>
  <c r="P46" i="1"/>
  <c r="O46" i="1"/>
  <c r="N46" i="1"/>
  <c r="V45" i="1"/>
  <c r="Q45" i="1"/>
  <c r="P45" i="1"/>
  <c r="O45" i="1"/>
  <c r="N45" i="1"/>
  <c r="V44" i="1"/>
  <c r="Q44" i="1"/>
  <c r="P44" i="1"/>
  <c r="O44" i="1"/>
  <c r="N44" i="1"/>
  <c r="V43" i="1"/>
  <c r="Q43" i="1"/>
  <c r="P43" i="1"/>
  <c r="O43" i="1"/>
  <c r="N43" i="1"/>
  <c r="V42" i="1"/>
  <c r="Q42" i="1"/>
  <c r="P42" i="1"/>
  <c r="O42" i="1"/>
  <c r="N42" i="1"/>
  <c r="V41" i="1"/>
  <c r="Q41" i="1"/>
  <c r="P41" i="1"/>
  <c r="O41" i="1"/>
  <c r="N41" i="1"/>
  <c r="V40" i="1"/>
  <c r="Q40" i="1"/>
  <c r="P40" i="1"/>
  <c r="O40" i="1"/>
  <c r="N40" i="1"/>
  <c r="V39" i="1"/>
  <c r="Q39" i="1"/>
  <c r="P39" i="1"/>
  <c r="O39" i="1"/>
  <c r="N39" i="1"/>
  <c r="V38" i="1"/>
  <c r="Q38" i="1"/>
  <c r="P38" i="1"/>
  <c r="O38" i="1"/>
  <c r="N38" i="1"/>
  <c r="V37" i="1"/>
  <c r="Q37" i="1"/>
  <c r="P37" i="1"/>
  <c r="O37" i="1"/>
  <c r="N37" i="1"/>
  <c r="V36" i="1"/>
  <c r="Q36" i="1"/>
  <c r="P36" i="1"/>
  <c r="O36" i="1"/>
  <c r="N36" i="1"/>
  <c r="V35" i="1"/>
  <c r="Q35" i="1"/>
  <c r="P35" i="1"/>
  <c r="O35" i="1"/>
  <c r="N35" i="1"/>
  <c r="V34" i="1"/>
  <c r="Q34" i="1"/>
  <c r="P34" i="1"/>
  <c r="O34" i="1"/>
  <c r="N34" i="1"/>
  <c r="V33" i="1"/>
  <c r="Q33" i="1"/>
  <c r="P33" i="1"/>
  <c r="O33" i="1"/>
  <c r="N33" i="1"/>
  <c r="V32" i="1"/>
  <c r="Q32" i="1"/>
  <c r="P32" i="1"/>
  <c r="O32" i="1"/>
  <c r="N32" i="1"/>
  <c r="V31" i="1"/>
  <c r="Q31" i="1"/>
  <c r="P31" i="1"/>
  <c r="O31" i="1"/>
  <c r="N31" i="1"/>
  <c r="V30" i="1"/>
  <c r="Q30" i="1"/>
  <c r="P30" i="1"/>
  <c r="O30" i="1"/>
  <c r="N30" i="1"/>
  <c r="V29" i="1"/>
  <c r="Q29" i="1"/>
  <c r="P29" i="1"/>
  <c r="O29" i="1"/>
  <c r="N29" i="1"/>
  <c r="V28" i="1"/>
  <c r="Q28" i="1"/>
  <c r="P28" i="1"/>
  <c r="O28" i="1"/>
  <c r="N28" i="1"/>
  <c r="V27" i="1"/>
  <c r="Q27" i="1"/>
  <c r="P27" i="1"/>
  <c r="O27" i="1"/>
  <c r="N27" i="1"/>
  <c r="V26" i="1"/>
  <c r="Q26" i="1"/>
  <c r="P26" i="1"/>
  <c r="O26" i="1"/>
  <c r="N26" i="1"/>
  <c r="V25" i="1"/>
  <c r="Q25" i="1"/>
  <c r="P25" i="1"/>
  <c r="O25" i="1"/>
  <c r="N25" i="1"/>
  <c r="V24" i="1"/>
  <c r="Q24" i="1"/>
  <c r="P24" i="1"/>
  <c r="O24" i="1"/>
  <c r="N24" i="1"/>
  <c r="V23" i="1"/>
  <c r="Q23" i="1"/>
  <c r="P23" i="1"/>
  <c r="O23" i="1"/>
  <c r="N23" i="1"/>
  <c r="V22" i="1"/>
  <c r="Q22" i="1"/>
  <c r="P22" i="1"/>
  <c r="O22" i="1"/>
  <c r="N22" i="1"/>
  <c r="V21" i="1"/>
  <c r="Q21" i="1"/>
  <c r="P21" i="1"/>
  <c r="O21" i="1"/>
  <c r="N21" i="1"/>
  <c r="V20" i="1"/>
  <c r="Q20" i="1"/>
  <c r="P20" i="1"/>
  <c r="O20" i="1"/>
  <c r="N20" i="1"/>
  <c r="V19" i="1"/>
  <c r="Q19" i="1"/>
  <c r="P19" i="1"/>
  <c r="O19" i="1"/>
  <c r="N19" i="1"/>
  <c r="V18" i="1"/>
  <c r="Q18" i="1"/>
  <c r="P18" i="1"/>
  <c r="O18" i="1"/>
  <c r="N18" i="1"/>
  <c r="V17" i="1"/>
  <c r="Q17" i="1"/>
  <c r="P17" i="1"/>
  <c r="O17" i="1"/>
  <c r="N17" i="1"/>
  <c r="V16" i="1"/>
  <c r="Q16" i="1"/>
  <c r="P16" i="1"/>
  <c r="O16" i="1"/>
  <c r="N16" i="1"/>
  <c r="I16" i="1"/>
  <c r="V15" i="1"/>
  <c r="Q15" i="1"/>
  <c r="P15" i="1"/>
  <c r="O15" i="1"/>
  <c r="N15" i="1"/>
  <c r="I15" i="1"/>
  <c r="V14" i="1"/>
  <c r="Q14" i="1"/>
  <c r="P14" i="1"/>
  <c r="O14" i="1"/>
  <c r="N14" i="1"/>
  <c r="I14" i="1"/>
  <c r="V13" i="1"/>
  <c r="Q13" i="1"/>
  <c r="P13" i="1"/>
  <c r="O13" i="1"/>
  <c r="N13" i="1"/>
  <c r="I13" i="1"/>
  <c r="V12" i="1"/>
  <c r="Q12" i="1"/>
  <c r="P12" i="1"/>
  <c r="O12" i="1"/>
  <c r="N12" i="1"/>
  <c r="I12" i="1"/>
  <c r="V11" i="1"/>
  <c r="Q11" i="1"/>
  <c r="P11" i="1"/>
  <c r="O11" i="1"/>
  <c r="N11" i="1"/>
  <c r="I11" i="1"/>
  <c r="V10" i="1"/>
  <c r="Q10" i="1"/>
  <c r="P10" i="1"/>
  <c r="O10" i="1"/>
  <c r="N10" i="1"/>
  <c r="I10" i="1"/>
  <c r="V9" i="1"/>
  <c r="Q9" i="1"/>
  <c r="P9" i="1"/>
  <c r="O9" i="1"/>
  <c r="N9" i="1"/>
  <c r="I9" i="1"/>
  <c r="V8" i="1"/>
  <c r="Q8" i="1"/>
  <c r="P8" i="1"/>
  <c r="O8" i="1"/>
  <c r="N8" i="1"/>
  <c r="I8" i="1"/>
  <c r="V7" i="1"/>
  <c r="Q7" i="1"/>
  <c r="P7" i="1"/>
  <c r="O7" i="1"/>
  <c r="N7" i="1"/>
  <c r="I7" i="1"/>
  <c r="V6" i="1"/>
  <c r="Q6" i="1"/>
  <c r="P6" i="1"/>
  <c r="O6" i="1"/>
  <c r="N6" i="1"/>
  <c r="I6" i="1"/>
  <c r="V5" i="1"/>
  <c r="Q5" i="1"/>
  <c r="P5" i="1"/>
  <c r="O5" i="1"/>
  <c r="N5" i="1"/>
  <c r="I5" i="1"/>
  <c r="V4" i="1"/>
  <c r="Q4" i="1"/>
  <c r="P4" i="1"/>
  <c r="O4" i="1"/>
  <c r="N4" i="1"/>
  <c r="V3" i="1"/>
  <c r="Q3" i="1"/>
  <c r="P3" i="1"/>
  <c r="O3" i="1"/>
  <c r="N3" i="1"/>
  <c r="V2" i="1"/>
  <c r="Q2" i="1"/>
  <c r="P2" i="1"/>
  <c r="O2" i="1"/>
  <c r="N2" i="1"/>
  <c r="V1" i="1"/>
  <c r="Q1" i="1"/>
  <c r="P1" i="1"/>
  <c r="O1" i="1"/>
  <c r="N1" i="1"/>
</calcChain>
</file>

<file path=xl/sharedStrings.xml><?xml version="1.0" encoding="utf-8"?>
<sst xmlns="http://schemas.openxmlformats.org/spreadsheetml/2006/main" count="84711" uniqueCount="84385">
  <si>
    <t>9763-20170724T115319.136057800.bin</t>
  </si>
  <si>
    <t>-618.192418621791 26.5706808675236 -95.2605685732171</t>
  </si>
  <si>
    <t>-640.323471385408 25.5684529634298 -203.735018929453</t>
  </si>
  <si>
    <t>-650.6176500095 23.583461803154 -296.016782868528</t>
  </si>
  <si>
    <t>-657.505875927433 21.3949388874091 -379.598563950768</t>
  </si>
  <si>
    <t>-661.41330865265 18.7399443612089 -463.359007086614</t>
  </si>
  <si>
    <t>-663.85509719616 14.3330220752707 -585.913204314151</t>
  </si>
  <si>
    <t>-650.445407776452 1.76593300825584 -662.087057411247</t>
  </si>
  <si>
    <t>-659.32938227863 47.4144966177591 -533.326322888408</t>
  </si>
  <si>
    <t>-625.356303873762 198.395831513069 -513.605979188328</t>
  </si>
  <si>
    <t>-626.099675329384 245.003219572978 -235.386983159103</t>
  </si>
  <si>
    <t>-406.024729678763 182.771787689039 -194.8557030782</t>
  </si>
  <si>
    <t>-610.057045052083 120.0446732206 -99.3559032674763</t>
  </si>
  <si>
    <t>-625.787913222051 140.088659929799 315.43734092574</t>
  </si>
  <si>
    <t>-665.01078436161 175.383131372186 775.519496182361</t>
  </si>
  <si>
    <t>-514.760799240038 179.286385571024 832.908671348241</t>
  </si>
  <si>
    <t>-622.563079348603 -76.4400530693786 320.901147428272</t>
  </si>
  <si>
    <t>-660.704765073791 -108.826444835703 781.467128614854</t>
  </si>
  <si>
    <t>-506.495187237747 -124.420176197116 824.595636618513</t>
  </si>
  <si>
    <t>9763-20170724T115319.169646000.bin</t>
  </si>
  <si>
    <t>-617.744284180205 26.7123634407983 -95.2315469083828</t>
  </si>
  <si>
    <t>-639.821530730812 25.7333460656766 -203.717241050656</t>
  </si>
  <si>
    <t>-650.131554808417 23.7049927079788 -295.996170931871</t>
  </si>
  <si>
    <t>-657.059048472481 21.4528379069798 -379.573071608581</t>
  </si>
  <si>
    <t>-661.030885002988 18.7100807074721 -463.327655661594</t>
  </si>
  <si>
    <t>-663.594731777618 14.1479268999753 -585.873798328343</t>
  </si>
  <si>
    <t>-650.218549606189 1.50765879341611 -662.041395246137</t>
  </si>
  <si>
    <t>-659.00750571652 47.2949576306341 -533.333430031111</t>
  </si>
  <si>
    <t>-624.865500203835 198.262944468359 -513.827348626659</t>
  </si>
  <si>
    <t>-625.173952101041 244.978770791124 -235.625830438052</t>
  </si>
  <si>
    <t>-405.255834738563 182.112176901397 -195.223480964926</t>
  </si>
  <si>
    <t>-609.519895984862 120.226754314712 -99.339775254638</t>
  </si>
  <si>
    <t>-625.536308112293 140.219456815235 315.444966255399</t>
  </si>
  <si>
    <t>-665.008825862413 175.423377789807 775.492298475726</t>
  </si>
  <si>
    <t>-514.761709013172 179.28060621334 832.89219704193</t>
  </si>
  <si>
    <t>-622.390182537876 -76.4950436303825 320.911293436997</t>
  </si>
  <si>
    <t>-660.666405586506 -108.799072036973 781.473840689163</t>
  </si>
  <si>
    <t>-506.476429532654 -124.516160502315 824.627606202994</t>
  </si>
  <si>
    <t>9763-20170724T115319.231310300.bin</t>
  </si>
  <si>
    <t>-616.890133341098 27.1635324233384 -95.2206633640225</t>
  </si>
  <si>
    <t>-638.951921456681 26.230390208515 -203.709789202952</t>
  </si>
  <si>
    <t>-649.276831262855 24.0858535911539 -295.984507382231</t>
  </si>
  <si>
    <t>-656.229352323384 21.6690253447168 -379.554558599199</t>
  </si>
  <si>
    <t>-660.238181909305 18.701535867762 -463.299920189529</t>
  </si>
  <si>
    <t>-662.869364532107 13.7457138799516 -585.829212420117</t>
  </si>
  <si>
    <t>-649.493068366879 0.897521302614678 -661.962047404651</t>
  </si>
  <si>
    <t>-658.215086345868 47.0569700568155 -533.39892799951</t>
  </si>
  <si>
    <t>-623.722033152678 198.014087503983 -514.431937244639</t>
  </si>
  <si>
    <t>-623.685779777882 245.379925317262 -236.340193502733</t>
  </si>
  <si>
    <t>-403.993848951672 181.685062283467 -196.004899758044</t>
  </si>
  <si>
    <t>-608.470535925699 120.80008832916 -99.3449263610347</t>
  </si>
  <si>
    <t>-624.908068016588 140.437483674005 315.440294987849</t>
  </si>
  <si>
    <t>-665.004043900836 175.42680203747 775.462846491718</t>
  </si>
  <si>
    <t>-514.778777273554 179.20871121463 832.924755947171</t>
  </si>
  <si>
    <t>-621.900128566666 -76.2459307569202 320.932073559658</t>
  </si>
  <si>
    <t>-660.577880652988 -108.632933021562 781.483972586566</t>
  </si>
  <si>
    <t>-506.377535789613 -124.154787272954 824.671318209206</t>
  </si>
  <si>
    <t>9763-20170724T115319.263198900.bin</t>
  </si>
  <si>
    <t>-616.549927480512 27.3584269926184 -95.2217307081817</t>
  </si>
  <si>
    <t>-638.572300871658 26.4291637317774 -203.718987362223</t>
  </si>
  <si>
    <t>-648.880197369217 24.2098192672113 -295.993817796883</t>
  </si>
  <si>
    <t>-655.824227815676 21.6946693367315 -379.561765447809</t>
  </si>
  <si>
    <t>-659.83169119837 18.5974362495708 -463.302296912793</t>
  </si>
  <si>
    <t>-662.468997194238 13.4172019993612 -585.822231344568</t>
  </si>
  <si>
    <t>-649.086623443209 0.451680154761789 -661.934087255009</t>
  </si>
  <si>
    <t>-657.770713254671 46.8197831862894 -533.453872270559</t>
  </si>
  <si>
    <t>-623.070083805047 197.760523012292 -514.742373588972</t>
  </si>
  <si>
    <t>-623.084393256338 245.440205251509 -236.704175343183</t>
  </si>
  <si>
    <t>-403.466633232965 181.561280059614 -196.256109821205</t>
  </si>
  <si>
    <t>-608.037263085027 120.994935526842 -99.3303675505675</t>
  </si>
  <si>
    <t>-624.722917775396 140.511197191767 315.450719587468</t>
  </si>
  <si>
    <t>-665.051513310028 175.350047175555 775.478528334926</t>
  </si>
  <si>
    <t>-514.815677294064 179.130813556899 832.912985514198</t>
  </si>
  <si>
    <t>-621.715498632702 -76.1370078927216 320.950881479807</t>
  </si>
  <si>
    <t>-660.537431942824 -108.575466340853 781.487609012464</t>
  </si>
  <si>
    <t>-506.365488543588 -124.313795924431 824.697917057395</t>
  </si>
  <si>
    <t>9763-20170724T115319.331387300.bin</t>
  </si>
  <si>
    <t>-616.068036569129 27.6674788325702 -95.1724385687194</t>
  </si>
  <si>
    <t>-637.945337848534 26.7320906593616 -203.698928929796</t>
  </si>
  <si>
    <t>-648.163842732539 24.3728081883085 -295.980308878475</t>
  </si>
  <si>
    <t>-655.041128345487 21.6776436126927 -379.548149103328</t>
  </si>
  <si>
    <t>-658.996586390481 18.3447333770901 -463.282178560396</t>
  </si>
  <si>
    <t>-661.574521582723 12.7587797451235 -585.785486006872</t>
  </si>
  <si>
    <t>-656.822998541437 46.3255909481391 -533.527094803264</t>
  </si>
  <si>
    <t>-621.635230910388 197.208800060633 -515.237710200887</t>
  </si>
  <si>
    <t>-621.72675369844 245.399368795114 -237.287603918677</t>
  </si>
  <si>
    <t>-402.217128104627 181.387336156718 -196.464745177113</t>
  </si>
  <si>
    <t>-607.388629868964 121.186564235775 -99.2471976233661</t>
  </si>
  <si>
    <t>-624.73168564254 140.556341014093 315.513763553754</t>
  </si>
  <si>
    <t>-665.267941423787 175.035447034962 775.592432238513</t>
  </si>
  <si>
    <t>-514.931998854585 179.000362885927 832.75193202894</t>
  </si>
  <si>
    <t>-621.633562214188 -76.0694943977098 320.994937275708</t>
  </si>
  <si>
    <t>-660.442697126552 -108.431864144418 781.513919463678</t>
  </si>
  <si>
    <t>-506.2502950099 -123.859052372047 824.763571453823</t>
  </si>
  <si>
    <t>9763-20170724T115319.362512100.bin</t>
  </si>
  <si>
    <t>-615.932060932263 27.8077469047767 -95.1227613685943</t>
  </si>
  <si>
    <t>-637.720405652402 26.8550456813157 -203.667026815648</t>
  </si>
  <si>
    <t>-647.892527206504 24.4153703077736 -295.951486017208</t>
  </si>
  <si>
    <t>-654.739870179241 21.6211153952588 -379.518442223087</t>
  </si>
  <si>
    <t>-658.67778023926 18.1618188578191 -463.248166764499</t>
  </si>
  <si>
    <t>-661.244069103824 12.3603584476405 -585.741732920452</t>
  </si>
  <si>
    <t>-656.462241252545 46.0148652373302 -533.542500455447</t>
  </si>
  <si>
    <t>-621.036285189966 196.862120145873 -515.452874169773</t>
  </si>
  <si>
    <t>-621.060146732898 245.260437946578 -237.538794143153</t>
  </si>
  <si>
    <t>-401.608020236839 181.190004793052 -196.498927889471</t>
  </si>
  <si>
    <t>-607.248131207569 121.285524596274 -99.2008242159902</t>
  </si>
  <si>
    <t>-624.873696507713 140.545112249208 315.553332789814</t>
  </si>
  <si>
    <t>-665.433428967488 174.781626928328 775.66716638962</t>
  </si>
  <si>
    <t>-515.013314674942 178.914792426864 832.592864708214</t>
  </si>
  <si>
    <t>-621.684086290082 -76.0688977736647 321.026561440552</t>
  </si>
  <si>
    <t>-660.39825831954 -108.38559020872 781.533512165376</t>
  </si>
  <si>
    <t>-506.237351786987 -124.046365121218 824.811478575664</t>
  </si>
  <si>
    <t>9763-20170724T115319.431215600.bin</t>
  </si>
  <si>
    <t>-615.761346944834 28.077891928102 -95.0460069468758</t>
  </si>
  <si>
    <t>-637.447566428784 27.1075952173589 -203.610638901477</t>
  </si>
  <si>
    <t>-647.629525276245 24.5344776956185 -295.890274934929</t>
  </si>
  <si>
    <t>-654.525468551322 21.5715255340729 -379.447504856868</t>
  </si>
  <si>
    <t>-658.552368890632 17.8943297681999 -463.16366884806</t>
  </si>
  <si>
    <t>-661.293519114178 11.720151365691 -585.635306082997</t>
  </si>
  <si>
    <t>-656.377725207995 45.5262565565417 -533.546599024032</t>
  </si>
  <si>
    <t>-620.432297800105 196.303547554757 -515.911069292199</t>
  </si>
  <si>
    <t>-620.225811670079 245.155410142369 -238.076589886116</t>
  </si>
  <si>
    <t>-400.947472934255 180.753094279023 -196.629125736896</t>
  </si>
  <si>
    <t>-607.097617692289 121.465752121328 -99.1383963987074</t>
  </si>
  <si>
    <t>-625.111874231028 140.538955446951 315.607623545314</t>
  </si>
  <si>
    <t>-665.760351909469 174.218078525548 775.740914357195</t>
  </si>
  <si>
    <t>-515.189441302153 178.75252293061 832.235846982502</t>
  </si>
  <si>
    <t>-621.61837484528 -75.947405206482 321.082695450732</t>
  </si>
  <si>
    <t>-660.320225314135 -108.316574760264 781.561982683929</t>
  </si>
  <si>
    <t>-506.205597354664 -124.341707600396 824.871308122993</t>
  </si>
  <si>
    <t>9763-20170724T115319.467314500.bin</t>
  </si>
  <si>
    <t>-615.702431547546 28.2048238119553 -95.0266669616703</t>
  </si>
  <si>
    <t>-637.379781800877 27.2226877574576 -203.592847069161</t>
  </si>
  <si>
    <t>-647.598045111551 24.5926019894457 -295.86689146638</t>
  </si>
  <si>
    <t>-654.544666320069 21.559895219802 -379.417471001816</t>
  </si>
  <si>
    <t>-658.640401053169 17.7941319112942 -463.126257453053</t>
  </si>
  <si>
    <t>-661.502329136536 11.4695214175051 -585.587436226887</t>
  </si>
  <si>
    <t>-656.509969785792 45.3364720687803 -533.545653331757</t>
  </si>
  <si>
    <t>-620.364576201854 196.08662079383 -516.107539643392</t>
  </si>
  <si>
    <t>-619.861611201017 245.194275500511 -238.318499146863</t>
  </si>
  <si>
    <t>-400.65645624664 180.536054764965 -196.882512645102</t>
  </si>
  <si>
    <t>-607.019185174127 121.562520297328 -99.1397728244527</t>
  </si>
  <si>
    <t>-625.214679253208 140.511859714068 315.604057679928</t>
  </si>
  <si>
    <t>-665.88638092546 173.982588771223 775.736313572557</t>
  </si>
  <si>
    <t>-515.2670306699 178.720389114819 832.085069800602</t>
  </si>
  <si>
    <t>-621.540252947733 -75.8570622248467 321.110016032615</t>
  </si>
  <si>
    <t>-660.297685496749 -108.260360554802 781.56807763869</t>
  </si>
  <si>
    <t>-506.167997036735 -124.164819864814 824.868299131765</t>
  </si>
  <si>
    <t>9763-20170724T115319.527502000.bin</t>
  </si>
  <si>
    <t>-615.681831734162 28.5237493014181 -95.0406705968616</t>
  </si>
  <si>
    <t>-637.433459817386 27.5105683878908 -203.59176798821</t>
  </si>
  <si>
    <t>-647.749179528798 24.794962966658 -295.85249969982</t>
  </si>
  <si>
    <t>-654.798178054302 21.661220003358 -379.390681981577</t>
  </si>
  <si>
    <t>-659.010917267227 17.7700502648911 -463.088042218315</t>
  </si>
  <si>
    <t>-662.06009535315 11.2353358966548 -585.533639117114</t>
  </si>
  <si>
    <t>-656.963618894073 45.1885881162489 -533.558080816992</t>
  </si>
  <si>
    <t>-620.649312650206 195.933486135613 -516.37987798475</t>
  </si>
  <si>
    <t>-619.382213443262 245.144152613353 -238.611378112877</t>
  </si>
  <si>
    <t>-400.157207726873 180.195258764198 -197.738720018306</t>
  </si>
  <si>
    <t>-607.035984915899 121.885814378883 -99.2063970739996</t>
  </si>
  <si>
    <t>-625.181141868504 140.650410762309 315.548004105489</t>
  </si>
  <si>
    <t>-666.057995130818 173.652337287061 775.684906172904</t>
  </si>
  <si>
    <t>-515.377104079428 178.667610389024 831.844862807128</t>
  </si>
  <si>
    <t>-621.350765411016 -75.5842859533798 321.14334791039</t>
  </si>
  <si>
    <t>-660.277972226154 -108.205486750469 781.562895416431</t>
  </si>
  <si>
    <t>-506.183314444997 -124.558372507207 824.820718886586</t>
  </si>
  <si>
    <t>9763-20170724T115319.564227400.bin</t>
  </si>
  <si>
    <t>-615.722013040928 28.6183659921337 -95.0593537231489</t>
  </si>
  <si>
    <t>-637.530462727376 27.6024804889821 -203.59905274324</t>
  </si>
  <si>
    <t>-647.872615895688 24.8671616412184 -295.856302476455</t>
  </si>
  <si>
    <t>-654.936939810056 21.7080972166916 -379.392109286855</t>
  </si>
  <si>
    <t>-659.156556065414 17.7836213590399 -463.087560878759</t>
  </si>
  <si>
    <t>-662.206739982615 11.190735725386 -585.529992006224</t>
  </si>
  <si>
    <t>-657.089350603191 45.1661416073778 -533.571222282292</t>
  </si>
  <si>
    <t>-620.688683712368 195.902179103392 -516.471817480971</t>
  </si>
  <si>
    <t>-619.269538442844 245.001276518866 -238.684402944421</t>
  </si>
  <si>
    <t>-400.035238677345 179.893536533292 -198.115599618337</t>
  </si>
  <si>
    <t>-607.099419085017 121.973123451983 -99.2370404954487</t>
  </si>
  <si>
    <t>-625.174071283204 140.669759559251 315.523520459505</t>
  </si>
  <si>
    <t>-666.117579297722 173.534341435437 775.656849272077</t>
  </si>
  <si>
    <t>-515.417847511693 178.629915300661 831.758997634329</t>
  </si>
  <si>
    <t>-621.203294525712 -75.4522057365925 321.139246883469</t>
  </si>
  <si>
    <t>-660.281946454699 -108.171643166626 781.550272517343</t>
  </si>
  <si>
    <t>-506.172150020903 -124.500499780394 824.76324718252</t>
  </si>
  <si>
    <t>9763-20170724T115319.628400600.bin</t>
  </si>
  <si>
    <t>-615.846245786467 28.4785191950475 -95.0924683521552</t>
  </si>
  <si>
    <t>-637.786155650548 27.4744522634385 -203.605686464973</t>
  </si>
  <si>
    <t>-648.142367115543 24.7210710118813 -295.860782211771</t>
  </si>
  <si>
    <t>-655.180788208212 21.5322891394956 -379.397868292933</t>
  </si>
  <si>
    <t>-659.336146593084 17.5627131224519 -463.094342038533</t>
  </si>
  <si>
    <t>-662.250644408037 10.886025125601 -585.535680958176</t>
  </si>
  <si>
    <t>-657.130559035254 44.8894139854347 -533.595282652017</t>
  </si>
  <si>
    <t>-620.406345649535 195.552466444785 -516.545354880144</t>
  </si>
  <si>
    <t>-619.133071622803 244.751321313667 -238.77482752581</t>
  </si>
  <si>
    <t>-400.077842999406 178.954053778617 -198.351299759261</t>
  </si>
  <si>
    <t>-607.326152241602 121.765061567856 -99.2744383558186</t>
  </si>
  <si>
    <t>-625.223442284598 140.483204719892 315.492840019077</t>
  </si>
  <si>
    <t>-666.214556461358 173.305904862875 775.610802468147</t>
  </si>
  <si>
    <t>-515.49239597829 178.579258545465 831.636053324205</t>
  </si>
  <si>
    <t>-620.755713574322 -75.310850444326 321.124799385693</t>
  </si>
  <si>
    <t>-660.317475184323 -108.042039066795 781.50785463943</t>
  </si>
  <si>
    <t>-506.141672597293 -124.142807295237 824.570690058653</t>
  </si>
  <si>
    <t>9763-20170724T115319.665034300.bin</t>
  </si>
  <si>
    <t>-615.893005777929 28.2247804401061 -95.0994240398535</t>
  </si>
  <si>
    <t>-637.877917523995 27.2381187234701 -203.603797162083</t>
  </si>
  <si>
    <t>-648.231233098681 24.4974859778811 -295.859549679926</t>
  </si>
  <si>
    <t>-655.250581573365 21.3186744387124 -379.398523052708</t>
  </si>
  <si>
    <t>-659.370769449079 17.3560933578567 -463.097129591812</t>
  </si>
  <si>
    <t>-662.216318508927 10.6856133484323 -585.5402962155</t>
  </si>
  <si>
    <t>-657.094487100622 44.6826409311711 -533.595893830261</t>
  </si>
  <si>
    <t>-620.193642848364 195.29598676015 -516.531619906922</t>
  </si>
  <si>
    <t>-619.053388998969 244.650307475418 -238.788097066405</t>
  </si>
  <si>
    <t>-400.159847333688 178.387071342351 -198.250043671032</t>
  </si>
  <si>
    <t>-607.414545163098 121.483807037168 -99.2760297643107</t>
  </si>
  <si>
    <t>-625.219743754533 140.273242288587 315.492032824199</t>
  </si>
  <si>
    <t>-666.242761650335 173.221242356925 775.588112782886</t>
  </si>
  <si>
    <t>-515.518633637015 178.54765093715 831.603048022538</t>
  </si>
  <si>
    <t>-620.585388967778 -75.3480571586504 321.111814344549</t>
  </si>
  <si>
    <t>-660.348340279757 -108.021094837443 781.478357646092</t>
  </si>
  <si>
    <t>-506.141325793492 -124.049460535944 824.456393380928</t>
  </si>
  <si>
    <t>9763-20170724T115319.730727900.bin</t>
  </si>
  <si>
    <t>-615.894102194993 27.5821762172582 -95.1279279216518</t>
  </si>
  <si>
    <t>-637.90308931078 26.6351242421956 -203.627661686756</t>
  </si>
  <si>
    <t>-648.24907013928 23.9738401519728 -295.886707204899</t>
  </si>
  <si>
    <t>-655.250767187676 20.8838858129072 -379.430543642163</t>
  </si>
  <si>
    <t>-659.342230732834 17.0264572961416 -463.135408872023</t>
  </si>
  <si>
    <t>-662.133755260233 10.5264915406317 -585.588902216263</t>
  </si>
  <si>
    <t>-656.988180020139 44.4451063466886 -533.595886799711</t>
  </si>
  <si>
    <t>-619.875766495937 194.96950333205 -516.272311984414</t>
  </si>
  <si>
    <t>-618.940893938222 244.178913173682 -238.502435830358</t>
  </si>
  <si>
    <t>-400.311769081238 177.166082101155 -197.770188690236</t>
  </si>
  <si>
    <t>-607.476949533219 120.693386109107 -99.2635335982236</t>
  </si>
  <si>
    <t>-625.243233012206 139.735616920071 315.494676460724</t>
  </si>
  <si>
    <t>-666.285541208842 173.044629412627 775.558692762722</t>
  </si>
  <si>
    <t>-515.562093642796 178.461043268824 831.56708275702</t>
  </si>
  <si>
    <t>-620.616616476729 -75.5996834228235 321.066632545918</t>
  </si>
  <si>
    <t>-660.390358920584 -107.979862753748 781.432260657544</t>
  </si>
  <si>
    <t>-506.145796111602 -123.992074001102 824.281403226886</t>
  </si>
  <si>
    <t>9763-20170724T115319.762281900.bin</t>
  </si>
  <si>
    <t>-615.854136854154 27.2280424892153 -95.1401671192638</t>
  </si>
  <si>
    <t>-637.863025406466 26.3157157140411 -203.640202231913</t>
  </si>
  <si>
    <t>-648.185013547553 23.7438249697093 -295.904467663572</t>
  </si>
  <si>
    <t>-655.15495407659 20.7593937464553 -379.454799970925</t>
  </si>
  <si>
    <t>-659.204279622804 17.0322629282553 -463.16761735233</t>
  </si>
  <si>
    <t>-661.92263915591 10.7500416893663 -585.634236676425</t>
  </si>
  <si>
    <t>-656.805663816621 44.5758926384699 -533.577844207962</t>
  </si>
  <si>
    <t>-619.654690410443 195.056013214266 -515.962156372355</t>
  </si>
  <si>
    <t>-618.839346935777 243.872185666993 -238.122422632169</t>
  </si>
  <si>
    <t>-400.21172867215 176.743002023507 -197.574219598261</t>
  </si>
  <si>
    <t>-607.414612526976 120.249659520648 -99.2600721623586</t>
  </si>
  <si>
    <t>-625.216669391664 139.460156454538 315.48886564934</t>
  </si>
  <si>
    <t>-666.295843738856 172.981089310279 775.53361714919</t>
  </si>
  <si>
    <t>-515.577675569033 178.425177943419 831.553346588867</t>
  </si>
  <si>
    <t>-620.757316050117 -75.8085796123976 321.032113521852</t>
  </si>
  <si>
    <t>-660.396441889399 -107.965603081553 781.417165545854</t>
  </si>
  <si>
    <t>-506.127715239644 -123.846958169384 824.22806237696</t>
  </si>
  <si>
    <t>9763-20170724T115319.831467100.bin</t>
  </si>
  <si>
    <t>-615.699595753107 26.4778851305123 -95.1612816255616</t>
  </si>
  <si>
    <t>-637.735915560103 25.6231071193765 -203.656326052876</t>
  </si>
  <si>
    <t>-648.045054240377 23.2487800051515 -295.927207433176</t>
  </si>
  <si>
    <t>-654.987746904732 20.5043966881776 -379.487895200809</t>
  </si>
  <si>
    <t>-658.993527718639 17.0793223436092 -463.215839246798</t>
  </si>
  <si>
    <t>-661.629773121176 11.3066536531703 -585.709374353582</t>
  </si>
  <si>
    <t>-656.547385044712 44.9155568584297 -533.509145524961</t>
  </si>
  <si>
    <t>-619.463872672497 195.335356007087 -515.200281755921</t>
  </si>
  <si>
    <t>-618.828648273324 242.811337290941 -237.127880050115</t>
  </si>
  <si>
    <t>-400.077670969512 175.713975404455 -197.196891932231</t>
  </si>
  <si>
    <t>-607.230791750267 119.432855596074 -99.2647603233402</t>
  </si>
  <si>
    <t>-624.949526791104 138.907152408437 315.475436986395</t>
  </si>
  <si>
    <t>-666.316332143285 172.811889957288 775.478029738407</t>
  </si>
  <si>
    <t>-515.612019964824 178.344093555654 831.52652682319</t>
  </si>
  <si>
    <t>-620.882800743814 -76.2785854666699 320.971242379552</t>
  </si>
  <si>
    <t>-660.399400494153 -107.959956965663 781.400598454626</t>
  </si>
  <si>
    <t>-506.102591686247 -123.713045797015 824.15762830455</t>
  </si>
  <si>
    <t>9763-20170724T115319.863241500.bin</t>
  </si>
  <si>
    <t>-615.545735905067 26.1195343290483 -95.1596813633414</t>
  </si>
  <si>
    <t>-637.673449712703 25.3127293805426 -203.636514382523</t>
  </si>
  <si>
    <t>-648.028035865724 23.0527445029068 -295.905177989224</t>
  </si>
  <si>
    <t>-654.998468980905 20.4417809428098 -379.467909144949</t>
  </si>
  <si>
    <t>-659.018385872751 17.1799821686554 -463.201666600113</t>
  </si>
  <si>
    <t>-661.659942213751 11.6793121048402 -585.707520911489</t>
  </si>
  <si>
    <t>-656.575419466087 45.1723702358531 -533.433062661859</t>
  </si>
  <si>
    <t>-619.512328809491 195.554583131259 -514.792189890393</t>
  </si>
  <si>
    <t>-618.949559978394 242.570623710092 -236.641638769849</t>
  </si>
  <si>
    <t>-400.197774243605 175.32269465437 -196.96920399097</t>
  </si>
  <si>
    <t>-607.082920730388 119.05694375654 -99.2440116473808</t>
  </si>
  <si>
    <t>-624.725871388294 138.671253264689 315.49280753507</t>
  </si>
  <si>
    <t>-666.318035973533 172.73532876102 775.455415161798</t>
  </si>
  <si>
    <t>-515.622062508258 178.302992048528 831.522751413375</t>
  </si>
  <si>
    <t>-620.785405242445 -76.4324391479624 320.954672956559</t>
  </si>
  <si>
    <t>-660.406213336288 -107.947251484959 781.389552948071</t>
  </si>
  <si>
    <t>-506.087032036812 -123.582171555616 824.109137015379</t>
  </si>
  <si>
    <t>9763-20170724T115319.928922400.bin</t>
  </si>
  <si>
    <t>-615.028718493258 25.4377545809086 -95.1338570870973</t>
  </si>
  <si>
    <t>-637.419178667213 24.7324797187898 -203.557436648998</t>
  </si>
  <si>
    <t>-648.028272973647 22.7325228194743 -295.803150713075</t>
  </si>
  <si>
    <t>-655.240646720733 20.4282907359523 -379.354408275778</t>
  </si>
  <si>
    <t>-659.513868154085 17.5454092194709 -463.089420116649</t>
  </si>
  <si>
    <t>-662.537405761663 12.6780300382009 -585.613392814995</t>
  </si>
  <si>
    <t>-647.688324240937 0.755880926182499 -661.623707847392</t>
  </si>
  <si>
    <t>-657.290286635903 45.9004705394811 -533.182595278384</t>
  </si>
  <si>
    <t>-620.099909377576 196.178791933408 -513.910613411066</t>
  </si>
  <si>
    <t>-619.491582324296 242.576170320556 -235.656137241646</t>
  </si>
  <si>
    <t>-400.888661021694 174.56765811626 -196.462708727717</t>
  </si>
  <si>
    <t>-606.514876181927 118.313263362274 -99.1736798596908</t>
  </si>
  <si>
    <t>-624.239242008166 138.188791263085 315.547205865804</t>
  </si>
  <si>
    <t>-666.330766579364 172.593783427391 775.440667535067</t>
  </si>
  <si>
    <t>-515.646540033932 178.212314204815 831.534535317882</t>
  </si>
  <si>
    <t>-620.340435947211 -76.666270661309 320.953752194402</t>
  </si>
  <si>
    <t>-660.446485988661 -107.90609434248 781.356134165659</t>
  </si>
  <si>
    <t>-506.076680759967 -123.373765649696 823.953450660808</t>
  </si>
  <si>
    <t>9763-20170724T115319.965527600.bin</t>
  </si>
  <si>
    <t>-614.642579459075 25.1381484539547 -95.1121173005863</t>
  </si>
  <si>
    <t>-637.21975259405 24.5013938257985 -203.497306650906</t>
  </si>
  <si>
    <t>-648.042736167124 22.6288559131096 -295.720941204472</t>
  </si>
  <si>
    <t>-655.470482576382 20.4693025871888 -379.257086554803</t>
  </si>
  <si>
    <t>-659.980851294435 17.7616694130006 -462.985768638461</t>
  </si>
  <si>
    <t>-663.374342480972 13.1848657923883 -585.510994339591</t>
  </si>
  <si>
    <t>-648.214963985617 1.8366249710914 -661.547995001489</t>
  </si>
  <si>
    <t>-657.989597471885 46.2856018658733 -533.017278704625</t>
  </si>
  <si>
    <t>-620.948011913678 196.579548040421 -513.565760064726</t>
  </si>
  <si>
    <t>-619.694556263603 242.715424227408 -235.270139477964</t>
  </si>
  <si>
    <t>-401.248152346191 174.055514460206 -196.340510632717</t>
  </si>
  <si>
    <t>-606.095601474753 117.967403554946 -99.1205682035072</t>
  </si>
  <si>
    <t>-623.877595943991 137.955298275349 315.592501580474</t>
  </si>
  <si>
    <t>-666.333344583001 172.511519110655 775.437084446399</t>
  </si>
  <si>
    <t>-515.65516692495 178.170207456119 831.543178369233</t>
  </si>
  <si>
    <t>-620.040858212326 -76.7677897327799 320.957064267704</t>
  </si>
  <si>
    <t>-660.470526279859 -107.878231481809 781.338165369666</t>
  </si>
  <si>
    <t>-506.078455456735 -123.293098429024 823.874050008306</t>
  </si>
  <si>
    <t>9763-20170724T115320.033207900.bin</t>
  </si>
  <si>
    <t>-613.728008684498 24.7336219174485 -95.0557589805717</t>
  </si>
  <si>
    <t>-637.02880164222 24.2611589808359 -203.288573600356</t>
  </si>
  <si>
    <t>-648.37100127858 22.6040703498804 -295.453995840352</t>
  </si>
  <si>
    <t>-656.229414474366 20.6719596441287 -378.956330951416</t>
  </si>
  <si>
    <t>-661.131153622612 18.2266078924949 -462.670898305585</t>
  </si>
  <si>
    <t>-665.052557986151 14.0728818348409 -585.195458719327</t>
  </si>
  <si>
    <t>-648.935953062446 4.00921648094095 -661.216504818289</t>
  </si>
  <si>
    <t>-659.511076930573 47.0008075426615 -532.60965474262</t>
  </si>
  <si>
    <t>-622.514351041709 197.341386927688 -513.450575252195</t>
  </si>
  <si>
    <t>-620.003640613542 243.173593959236 -235.11327708697</t>
  </si>
  <si>
    <t>-401.963835565012 172.848187776639 -196.883617429312</t>
  </si>
  <si>
    <t>-605.211802470795 117.594295625437 -99.0149680849161</t>
  </si>
  <si>
    <t>-622.861394327923 137.545802881495 315.705543098039</t>
  </si>
  <si>
    <t>-666.331149342185 172.298505162839 775.445644224564</t>
  </si>
  <si>
    <t>-515.674424903055 178.103044135758 831.594380540766</t>
  </si>
  <si>
    <t>-619.117731986715 -76.7563512401478 320.963199048146</t>
  </si>
  <si>
    <t>-660.536513840922 -107.834955312953 781.293963280704</t>
  </si>
  <si>
    <t>-506.101784918117 -123.253841156358 823.673163196764</t>
  </si>
  <si>
    <t>9763-20170724T115320.068804900.bin</t>
  </si>
  <si>
    <t>-613.48196463973 24.6605502444713 -95.0621448943754</t>
  </si>
  <si>
    <t>-637.228282675072 24.2405015891927 -203.198382301736</t>
  </si>
  <si>
    <t>-648.70866537627 22.6341773319186 -295.347386331698</t>
  </si>
  <si>
    <t>-656.594987344338 20.749830322208 -378.848201722038</t>
  </si>
  <si>
    <t>-661.426943018064 18.3548828941871 -462.568270681786</t>
  </si>
  <si>
    <t>-665.138715199125 14.278167356425 -585.102158341164</t>
  </si>
  <si>
    <t>-648.487036778277 4.84887035032239 -661.089088296345</t>
  </si>
  <si>
    <t>-659.745254758571 47.1801918697915 -532.484647446451</t>
  </si>
  <si>
    <t>-622.536546306602 197.529813034436 -513.798095191523</t>
  </si>
  <si>
    <t>-619.144360397655 243.892931264213 -235.55807402438</t>
  </si>
  <si>
    <t>-401.523408168784 172.216815931 -197.450514452111</t>
  </si>
  <si>
    <t>-605.102612596277 117.598352280016 -98.9898644563066</t>
  </si>
  <si>
    <t>-622.231057697793 137.366339298752 315.761207371596</t>
  </si>
  <si>
    <t>-666.313703056128 172.214286494485 775.460576316941</t>
  </si>
  <si>
    <t>-515.67297346248 178.068156162782 831.647175326562</t>
  </si>
  <si>
    <t>-618.328099547976 -76.4878033588711 320.986659904713</t>
  </si>
  <si>
    <t>-660.579674648553 -107.788281960281 781.26283983308</t>
  </si>
  <si>
    <t>-506.09811775799 -123.003161202022 823.544917519403</t>
  </si>
  <si>
    <t>9763-20170724T115320.129470200.bin</t>
  </si>
  <si>
    <t>-613.59304735971 24.4784353857981 -95.0309085962969</t>
  </si>
  <si>
    <t>-637.904450437096 23.9953031566397 -203.041212360409</t>
  </si>
  <si>
    <t>-649.778074984964 22.4798124555534 -295.141916464505</t>
  </si>
  <si>
    <t>-657.985357389584 20.7292122339964 -378.61474404594</t>
  </si>
  <si>
    <t>-663.103498715861 18.5190795613937 -462.322971285398</t>
  </si>
  <si>
    <t>-667.194961473075 14.7664855462319 -584.854925208892</t>
  </si>
  <si>
    <t>-649.979135528665 6.34598081169702 -660.834756452437</t>
  </si>
  <si>
    <t>-661.666309252811 47.5326394540625 -532.166734465039</t>
  </si>
  <si>
    <t>-624.038111914969 197.849891206099 -514.126581842189</t>
  </si>
  <si>
    <t>-618.843735040229 248.224127736311 -236.612541796078</t>
  </si>
  <si>
    <t>-402.486979621653 172.776166895721 -198.587799806118</t>
  </si>
  <si>
    <t>-605.735084410116 117.464849543289 -98.8827049419506</t>
  </si>
  <si>
    <t>-621.788053161707 137.112045784246 315.91712448784</t>
  </si>
  <si>
    <t>-666.314820450023 172.053583358921 775.550225653412</t>
  </si>
  <si>
    <t>-515.696104974245 178.049186000926 831.780807079117</t>
  </si>
  <si>
    <t>-616.669903754239 -76.0832100694186 321.119279611998</t>
  </si>
  <si>
    <t>-660.712438515217 -107.644090495224 781.192040015205</t>
  </si>
  <si>
    <t>-506.152948336458 -122.822147989182 823.201700887788</t>
  </si>
  <si>
    <t>9763-20170724T115320.162705400.bin</t>
  </si>
  <si>
    <t>-613.647053362398 24.3101530722645 -94.9231364449787</t>
  </si>
  <si>
    <t>-638.041310158653 23.7128256208662 -202.914073047861</t>
  </si>
  <si>
    <t>-650.153719722199 22.24807569424 -294.9847020482</t>
  </si>
  <si>
    <t>-658.645135082384 20.5981479838501 -378.430998697394</t>
  </si>
  <si>
    <t>-664.115948230772 18.5432620813813 -462.120918132889</t>
  </si>
  <si>
    <t>-668.797917778817 15.076249280228 -584.640309583681</t>
  </si>
  <si>
    <t>-651.447520031483 7.20364895813304 -660.648115328312</t>
  </si>
  <si>
    <t>-663.029203464481 47.7213414711248 -531.902448118026</t>
  </si>
  <si>
    <t>-624.989027416236 197.925268579538 -513.84899959118</t>
  </si>
  <si>
    <t>-619.132881405668 250.719837977276 -236.798374277018</t>
  </si>
  <si>
    <t>-403.490758601524 173.259934877603 -198.759414073305</t>
  </si>
  <si>
    <t>-606.108507971561 117.131345252886 -98.8208897869449</t>
  </si>
  <si>
    <t>-622.122752803026 137.010391307621 315.969360763544</t>
  </si>
  <si>
    <t>-666.33863905124 172.004035337186 775.633563799456</t>
  </si>
  <si>
    <t>-515.708435577757 178.025515990762 831.830520242582</t>
  </si>
  <si>
    <t>-616.35536090473 -76.1274554446688 321.193857104087</t>
  </si>
  <si>
    <t>-660.777673049033 -107.592759527704 781.162498170629</t>
  </si>
  <si>
    <t>-506.195055116428 -122.797485877708 823.077395549153</t>
  </si>
  <si>
    <t>9763-20170724T115320.230913600.bin</t>
  </si>
  <si>
    <t>-613.643530451784 23.8138812932332 -94.768925586659</t>
  </si>
  <si>
    <t>-637.809568936222 23.0135147247581 -202.809919816389</t>
  </si>
  <si>
    <t>-650.509031097474 21.6533603882797 -294.802842566739</t>
  </si>
  <si>
    <t>-659.846798100006 20.2058498699707 -378.162683376192</t>
  </si>
  <si>
    <t>-666.480817274708 18.465012689752 -461.775394553425</t>
  </si>
  <si>
    <t>-673.210561757098 15.5800292047545 -584.2143480544</t>
  </si>
  <si>
    <t>-655.671569358346 8.88345528910986 -660.291663885986</t>
  </si>
  <si>
    <t>-666.645249163298 47.9844821246497 -531.421473040929</t>
  </si>
  <si>
    <t>-628.574661208705 198.173121944484 -513.175789935061</t>
  </si>
  <si>
    <t>-620.53864815432 253.573834812003 -236.689413631935</t>
  </si>
  <si>
    <t>-406.036451327042 172.786928444337 -199.128700688021</t>
  </si>
  <si>
    <t>-606.55736415039 116.271500200571 -98.7224523501645</t>
  </si>
  <si>
    <t>-622.789113257656 136.81512627973 316.026918648682</t>
  </si>
  <si>
    <t>-666.408413531973 171.914051767517 775.746206734563</t>
  </si>
  <si>
    <t>-515.742543836679 178.06586231477 831.833466657586</t>
  </si>
  <si>
    <t>-616.813814765433 -76.6812166984682 321.275322143833</t>
  </si>
  <si>
    <t>-660.789372790018 -107.55513360393 781.193159924965</t>
  </si>
  <si>
    <t>-506.18153516329 -122.606244055123 823.070448503604</t>
  </si>
  <si>
    <t>9763-20170724T115320.269540300.bin</t>
  </si>
  <si>
    <t>-613.472998104513 23.5692420413511 -94.7541893961069</t>
  </si>
  <si>
    <t>-637.451815504601 22.7343548894289 -202.836620859815</t>
  </si>
  <si>
    <t>-650.394471418483 21.3845978870154 -294.795885958689</t>
  </si>
  <si>
    <t>-660.114343697353 19.9651206654896 -378.112391946758</t>
  </si>
  <si>
    <t>-667.293737989111 18.2732614063511 -461.68109525719</t>
  </si>
  <si>
    <t>-674.999968932079 15.4846184163766 -584.064821003243</t>
  </si>
  <si>
    <t>-657.211856280945 9.28532999389336 -660.126449382711</t>
  </si>
  <si>
    <t>-668.073786643837 47.8545746834925 -531.296786915651</t>
  </si>
  <si>
    <t>-630.396875457835 198.145909924781 -513.104977347507</t>
  </si>
  <si>
    <t>-621.207895658776 253.355013948899 -236.615968261951</t>
  </si>
  <si>
    <t>-406.784070584965 171.894754902668 -200.075840453487</t>
  </si>
  <si>
    <t>-606.400171517152 115.963935000934 -98.7225748757309</t>
  </si>
  <si>
    <t>-622.914733535379 136.665352051096 316.007840234364</t>
  </si>
  <si>
    <t>-666.420898470599 171.882982705317 775.73554988116</t>
  </si>
  <si>
    <t>-515.747663997877 178.070125718851 831.799052039339</t>
  </si>
  <si>
    <t>-617.268012839387 -77.1136021217128 321.265094083928</t>
  </si>
  <si>
    <t>-660.768140308045 -107.576822052142 781.229395639261</t>
  </si>
  <si>
    <t>-506.157109991063 -122.510925190322 823.136869344692</t>
  </si>
  <si>
    <t>9763-20170724T115320.330176700.bin</t>
  </si>
  <si>
    <t>-612.750305251549 22.9319359834305 -94.7805006662859</t>
  </si>
  <si>
    <t>-636.435149617707 22.1170608299301 -202.927941247749</t>
  </si>
  <si>
    <t>-649.713092490068 20.7989858255762 -294.839731850481</t>
  </si>
  <si>
    <t>-659.971782285419 19.4218924237691 -378.092382605099</t>
  </si>
  <si>
    <t>-667.926957261262 17.7909373263251 -461.592090709775</t>
  </si>
  <si>
    <t>-677.027386116701 15.1163627006417 -583.882478097056</t>
  </si>
  <si>
    <t>-657.982542172542 9.63557494149222 -659.694608917883</t>
  </si>
  <si>
    <t>-669.631571478952 47.4519623128024 -531.157261804081</t>
  </si>
  <si>
    <t>-633.020752192417 197.967683573333 -512.694203029597</t>
  </si>
  <si>
    <t>-622.365149701706 252.013399225345 -236.02815212292</t>
  </si>
  <si>
    <t>-407.786632033818 169.252687941158 -203.543388726433</t>
  </si>
  <si>
    <t>-605.456838584392 115.398029794393 -98.7858907605533</t>
  </si>
  <si>
    <t>-622.577922614835 136.29871999137 315.90990349117</t>
  </si>
  <si>
    <t>-666.402261516547 171.836202438698 775.599213043922</t>
  </si>
  <si>
    <t>-515.746013491947 178.021416751521 831.708549499763</t>
  </si>
  <si>
    <t>-617.808652670283 -77.9901564864049 321.213625953887</t>
  </si>
  <si>
    <t>-660.702064156383 -107.604221375094 781.302507613003</t>
  </si>
  <si>
    <t>-506.123987626606 -122.590100754079 823.312890780849</t>
  </si>
  <si>
    <t>9763-20170724T115320.365270900.bin</t>
  </si>
  <si>
    <t>-612.154139075151 22.543235805844 -94.8504901173528</t>
  </si>
  <si>
    <t>-635.723668700472 21.7421094653268 -203.023066517437</t>
  </si>
  <si>
    <t>-649.125446960662 20.4990991339635 -294.918189484665</t>
  </si>
  <si>
    <t>-659.585227677116 19.2181957644059 -378.147223755441</t>
  </si>
  <si>
    <t>-667.830808971882 17.7146998577164 -461.621080005256</t>
  </si>
  <si>
    <t>-677.453819322593 15.2622670834403 -583.876148739541</t>
  </si>
  <si>
    <t>-657.492095315618 10.1594132592729 -659.478461540692</t>
  </si>
  <si>
    <t>-669.903720038173 47.5099027736014 -531.118987967293</t>
  </si>
  <si>
    <t>-633.644805132656 198.072856209281 -512.320150484103</t>
  </si>
  <si>
    <t>-622.443824243512 251.603060480083 -235.575533593656</t>
  </si>
  <si>
    <t>-408.055792686565 167.451475089749 -205.495127007682</t>
  </si>
  <si>
    <t>-604.705031432358 115.054578472991 -98.8267464188947</t>
  </si>
  <si>
    <t>-622.267618089115 136.067633397074 315.844955428869</t>
  </si>
  <si>
    <t>-666.39636787063 171.789350307543 775.513890970969</t>
  </si>
  <si>
    <t>-515.756028832832 178.036532587935 831.659024171352</t>
  </si>
  <si>
    <t>-617.740345302874 -78.4926848666516 321.169686150698</t>
  </si>
  <si>
    <t>-660.653631693764 -107.620035428512 781.324629555903</t>
  </si>
  <si>
    <t>-506.101043602056 -122.668119280174 823.406404619985</t>
  </si>
  <si>
    <t>9763-20170724T115320.429443700.bin</t>
  </si>
  <si>
    <t>-610.794645446638 22.0949641242539 -94.8918770485794</t>
  </si>
  <si>
    <t>-634.30970352614 21.2657726925686 -203.076118177759</t>
  </si>
  <si>
    <t>-648.051764079183 20.1398857045128 -294.922379019855</t>
  </si>
  <si>
    <t>-658.974912590612 19.0231475917392 -378.09438922242</t>
  </si>
  <si>
    <t>-667.840282812635 17.7467449719163 -461.50851368568</t>
  </si>
  <si>
    <t>-678.540930977088 15.6981499577539 -583.681415039294</t>
  </si>
  <si>
    <t>-657.097948215266 11.4884599887707 -658.932222538879</t>
  </si>
  <si>
    <t>-670.704769611041 47.7903891030344 -530.871076369351</t>
  </si>
  <si>
    <t>-635.33128773525 198.517976906843 -511.718972874771</t>
  </si>
  <si>
    <t>-622.523654508082 252.028002604044 -235.040022649328</t>
  </si>
  <si>
    <t>-409.35289136425 163.534226965148 -209.047588754089</t>
  </si>
  <si>
    <t>-603.374663873325 114.623156746116 -98.8870759430715</t>
  </si>
  <si>
    <t>-621.363140027713 135.730887609604 315.761519392078</t>
  </si>
  <si>
    <t>-666.362437924069 171.719943770338 775.328974559878</t>
  </si>
  <si>
    <t>-515.769733952626 178.030831120196 831.594744961396</t>
  </si>
  <si>
    <t>-616.882689730461 -79.4837935262449 321.152061115649</t>
  </si>
  <si>
    <t>-660.564714488923 -107.690724888449 781.34996774626</t>
  </si>
  <si>
    <t>-506.102619548442 -123.253509093144 823.576611502768</t>
  </si>
  <si>
    <t>9763-20170724T115320.463531900.bin</t>
  </si>
  <si>
    <t>-610.253053452532 22.0864845498807 -94.8909234430441</t>
  </si>
  <si>
    <t>-633.784302851212 21.2461475216855 -203.071638733328</t>
  </si>
  <si>
    <t>-647.67899357376 20.1509314742398 -294.895110051751</t>
  </si>
  <si>
    <t>-658.796266471532 19.0775711906538 -378.041969211482</t>
  </si>
  <si>
    <t>-667.912131843262 17.8627384659278 -461.430027912008</t>
  </si>
  <si>
    <t>-679.040923292484 15.9246688013359 -583.566475176506</t>
  </si>
  <si>
    <t>-657.104174267243 12.1724162547403 -658.699207939429</t>
  </si>
  <si>
    <t>-671.120749789798 47.9793579473107 -530.745937304588</t>
  </si>
  <si>
    <t>-636.099373469854 198.759219649109 -511.411630686947</t>
  </si>
  <si>
    <t>-622.755476150031 252.883420295334 -234.877597077156</t>
  </si>
  <si>
    <t>-410.416526647839 161.93657557969 -210.600461900387</t>
  </si>
  <si>
    <t>-602.927375157598 114.642129848722 -98.8858187697424</t>
  </si>
  <si>
    <t>-621.009025012532 135.686909049281 315.761948740966</t>
  </si>
  <si>
    <t>-666.35195758011 171.65228460968 775.259181170803</t>
  </si>
  <si>
    <t>-515.787353752794 178.047853081897 831.590510302993</t>
  </si>
  <si>
    <t>-616.306963484033 -79.8337496736378 321.169688312432</t>
  </si>
  <si>
    <t>-660.523196949772 -107.676799297245 781.348314519987</t>
  </si>
  <si>
    <t>-506.089330720204 -123.374839831274 823.627977754482</t>
  </si>
  <si>
    <t>9763-20170724T115320.532216500.bin</t>
  </si>
  <si>
    <t>-609.22464563885 22.2703840124209 -94.8912725314165</t>
  </si>
  <si>
    <t>-632.729248986493 21.3694034515981 -203.077425335164</t>
  </si>
  <si>
    <t>-646.813250123861 20.2841786146334 -294.87216643404</t>
  </si>
  <si>
    <t>-658.187301113418 19.2430752028915 -377.984693824397</t>
  </si>
  <si>
    <t>-667.646008527737 18.0874003525214 -461.335337093712</t>
  </si>
  <si>
    <t>-679.370438185477 16.2672195955595 -583.417927950894</t>
  </si>
  <si>
    <t>-657.015312896462 13.3914417376482 -658.465839330918</t>
  </si>
  <si>
    <t>-671.37526468789 48.2885024071738 -530.588443300345</t>
  </si>
  <si>
    <t>-636.888687136007 199.137836488421 -510.871090710517</t>
  </si>
  <si>
    <t>-623.045867780335 254.578538910047 -234.622439021167</t>
  </si>
  <si>
    <t>-412.566453578597 158.891222112961 -212.466494730357</t>
  </si>
  <si>
    <t>-602.066553196859 114.696880714164 -98.8401993905478</t>
  </si>
  <si>
    <t>-620.561117354302 135.825145048497 315.785136682438</t>
  </si>
  <si>
    <t>-666.359266055435 171.569236564207 775.218501982964</t>
  </si>
  <si>
    <t>-515.824465401956 178.142351558686 831.609177053581</t>
  </si>
  <si>
    <t>-615.388637788587 -80.0862192958764 321.214200515692</t>
  </si>
  <si>
    <t>-660.483125805623 -107.666503148446 781.325197280869</t>
  </si>
  <si>
    <t>-506.059877682705 -123.337167437009 823.653924412003</t>
  </si>
  <si>
    <t>9763-20170724T115320.566309600.bin</t>
  </si>
  <si>
    <t>-608.798152329297 22.3058142154073 -94.8678200417355</t>
  </si>
  <si>
    <t>-632.138344108786 21.3752220619247 -203.08917365501</t>
  </si>
  <si>
    <t>-646.116623518274 20.2367374718169 -294.899626491299</t>
  </si>
  <si>
    <t>-657.408540647112 19.1360222324445 -378.022487810679</t>
  </si>
  <si>
    <t>-666.798536236065 17.9105557524372 -461.379937331774</t>
  </si>
  <si>
    <t>-678.437239861485 15.9778852343923 -583.468886603734</t>
  </si>
  <si>
    <t>-655.879926056644 13.4528873461509 -658.468892061443</t>
  </si>
  <si>
    <t>-670.548953507917 48.0542917750477 -530.656928272236</t>
  </si>
  <si>
    <t>-636.430717315361 198.971891762108 -510.643811524836</t>
  </si>
  <si>
    <t>-622.407549273126 254.182516040702 -234.35809097247</t>
  </si>
  <si>
    <t>-412.708071472315 156.596586181663 -213.106115892173</t>
  </si>
  <si>
    <t>-601.640694659907 114.639570249611 -98.8158047088732</t>
  </si>
  <si>
    <t>-620.458774519648 135.864647310117 315.790004182141</t>
  </si>
  <si>
    <t>-666.369954872414 171.559305728356 775.215750292124</t>
  </si>
  <si>
    <t>-515.839684658093 178.158008918433 831.615380316028</t>
  </si>
  <si>
    <t>-615.28000778417 -80.229487826748 321.216529109892</t>
  </si>
  <si>
    <t>-660.452748498893 -107.68484690531 781.319085481913</t>
  </si>
  <si>
    <t>-506.039673072599 -123.348587440062 823.687425380896</t>
  </si>
  <si>
    <t>9763-20170724T115320.628511600.bin</t>
  </si>
  <si>
    <t>-608.140075502972 22.5866745340893 -94.7714581591273</t>
  </si>
  <si>
    <t>-631.212336461603 21.5804072551414 -203.04956554948</t>
  </si>
  <si>
    <t>-644.852555333367 20.2457609161288 -294.908217368238</t>
  </si>
  <si>
    <t>-655.794121034359 18.9133306766262 -378.07456287041</t>
  </si>
  <si>
    <t>-664.788278590779 17.4037928483506 -461.47092060869</t>
  </si>
  <si>
    <t>-675.798529654757 14.9987117432058 -583.60988368151</t>
  </si>
  <si>
    <t>-652.671738826018 12.9862297831305 -658.451697113531</t>
  </si>
  <si>
    <t>-668.30945911281 47.2907168920192 -530.870978193235</t>
  </si>
  <si>
    <t>-635.142934381969 198.388565619622 -510.658441660718</t>
  </si>
  <si>
    <t>-619.780246161726 251.769632999645 -234.08480567237</t>
  </si>
  <si>
    <t>-411.107214128011 151.716591209949 -214.248239508009</t>
  </si>
  <si>
    <t>-601.110316116733 114.827716008528 -98.7779010132813</t>
  </si>
  <si>
    <t>-620.426563120689 136.023552685528 315.806442198799</t>
  </si>
  <si>
    <t>-666.397862732924 171.574890509215 775.203729798387</t>
  </si>
  <si>
    <t>-515.869501833589 178.168876311168 831.608976852826</t>
  </si>
  <si>
    <t>-615.310773807778 -80.5337746226978 321.228331354005</t>
  </si>
  <si>
    <t>-660.364875276138 -107.649226958185 781.345912155411</t>
  </si>
  <si>
    <t>-505.959911716441 -123.140788266701 823.8070080705</t>
  </si>
  <si>
    <t>9763-20170724T115320.665613700.bin</t>
  </si>
  <si>
    <t>-607.86712811653 22.7444699038929 -94.7364640111082</t>
  </si>
  <si>
    <t>-630.986253839026 21.7047603578351 -203.004297836834</t>
  </si>
  <si>
    <t>-644.51791983617 20.2912179985015 -294.877767938992</t>
  </si>
  <si>
    <t>-655.301733176537 18.8661212477059 -378.063124875109</t>
  </si>
  <si>
    <t>-664.077932625467 17.2435293682718 -461.480710986286</t>
  </si>
  <si>
    <t>-674.703271529254 14.6513707635884 -583.649938572161</t>
  </si>
  <si>
    <t>-651.097033486556 12.8072101971729 -658.34632561686</t>
  </si>
  <si>
    <t>-667.437365272628 47.0291106490404 -530.932330180943</t>
  </si>
  <si>
    <t>-634.656595560851 198.185959232821 -510.60414510611</t>
  </si>
  <si>
    <t>-618.424425634773 250.56953861776 -233.889311784637</t>
  </si>
  <si>
    <t>-410.262355075641 149.370086477438 -214.505281902821</t>
  </si>
  <si>
    <t>-600.922909180314 115.026171465021 -98.7828797004735</t>
  </si>
  <si>
    <t>-620.374150899261 136.091977453103 315.801901846598</t>
  </si>
  <si>
    <t>-666.405984003623 171.584397536798 775.184805226951</t>
  </si>
  <si>
    <t>-515.878347690262 178.170671795375 831.592854569305</t>
  </si>
  <si>
    <t>-615.175937513665 -80.4652391312877 321.248887682867</t>
  </si>
  <si>
    <t>-660.347377117565 -107.656486324029 781.355214254628</t>
  </si>
  <si>
    <t>-505.95800059806 -123.28482912337 823.822801761464</t>
  </si>
  <si>
    <t>9763-20170724T115320.730790700.bin</t>
  </si>
  <si>
    <t>-607.656647535252 23.1513845264167 -94.7654817986773</t>
  </si>
  <si>
    <t>-631.074813315052 22.01816180894 -202.968045662798</t>
  </si>
  <si>
    <t>-644.508706928339 20.5292156836495 -294.854698612181</t>
  </si>
  <si>
    <t>-655.062761353509 19.0336904500666 -378.068357188091</t>
  </si>
  <si>
    <t>-663.466762638786 17.3397349580096 -461.522742544348</t>
  </si>
  <si>
    <t>-673.391152462042 14.6420710845257 -583.748586860677</t>
  </si>
  <si>
    <t>-648.952478274838 13.0487553295709 -658.182551658644</t>
  </si>
  <si>
    <t>-666.519133423511 47.0730471871836 -531.011061636902</t>
  </si>
  <si>
    <t>-633.697949498085 198.212543503339 -510.538469548579</t>
  </si>
  <si>
    <t>-616.139377906728 249.478144574275 -233.695341193902</t>
  </si>
  <si>
    <t>-409.711011870535 144.695898360922 -214.813149060449</t>
  </si>
  <si>
    <t>-601.064544240456 115.547642341654 -98.8311639288239</t>
  </si>
  <si>
    <t>-620.218722652373 136.24803380819 315.785757883295</t>
  </si>
  <si>
    <t>-666.425866512951 171.577179668437 775.182064194663</t>
  </si>
  <si>
    <t>-515.899904142396 178.189339179811 831.591554192662</t>
  </si>
  <si>
    <t>-614.342052477969 -79.7612631349521 321.319491436182</t>
  </si>
  <si>
    <t>-660.362629379401 -107.545879983738 781.334047891547</t>
  </si>
  <si>
    <t>-505.906851781297 -122.801458066207 823.695604954598</t>
  </si>
  <si>
    <t>9763-20170724T115320.761873600.bin</t>
  </si>
  <si>
    <t>-607.761228673933 23.3227866817952 -94.7740146450876</t>
  </si>
  <si>
    <t>-631.25057649326 22.1596660342284 -202.960837789184</t>
  </si>
  <si>
    <t>-644.631053577501 20.6440082409899 -294.854814211665</t>
  </si>
  <si>
    <t>-655.090919209311 19.1223325525164 -378.079922630555</t>
  </si>
  <si>
    <t>-663.354513088672 17.4004927567053 -461.547697039031</t>
  </si>
  <si>
    <t>-673.023009835021 14.6593740220355 -583.793151455752</t>
  </si>
  <si>
    <t>-648.32036509163 13.0977645422577 -658.140590943528</t>
  </si>
  <si>
    <t>-666.287643100178 47.1112277943103 -531.050750026069</t>
  </si>
  <si>
    <t>-633.434187557258 198.229824645734 -510.502412161663</t>
  </si>
  <si>
    <t>-614.904179223598 249.575635264624 -233.737583167767</t>
  </si>
  <si>
    <t>-409.801775663194 142.113853394192 -215.47526602526</t>
  </si>
  <si>
    <t>-601.316926252084 115.746606484511 -98.8213986244679</t>
  </si>
  <si>
    <t>-620.304828283939 136.329641041069 315.809011385807</t>
  </si>
  <si>
    <t>-666.44195811878 171.587379162702 775.207042804552</t>
  </si>
  <si>
    <t>-515.912261738588 178.190112198397 831.607831586458</t>
  </si>
  <si>
    <t>-614.005031101569 -79.4558090964117 321.358111046321</t>
  </si>
  <si>
    <t>-660.392820068527 -107.523881455611 781.311305558311</t>
  </si>
  <si>
    <t>-505.954924556602 -123.135920708435 823.608151504875</t>
  </si>
  <si>
    <t>9763-20170724T115320.832064800.bin</t>
  </si>
  <si>
    <t>-608.065693593437 23.5674757795125 -94.7774743339887</t>
  </si>
  <si>
    <t>-631.515072683316 22.3522943022813 -202.97242603077</t>
  </si>
  <si>
    <t>-644.834158956825 20.835403506225 -294.875359644868</t>
  </si>
  <si>
    <t>-655.227421566726 19.3282898800121 -378.109015526045</t>
  </si>
  <si>
    <t>-663.412992096173 17.6386593638049 -461.585189809587</t>
  </si>
  <si>
    <t>-672.954829512926 14.9644532662903 -583.841957291973</t>
  </si>
  <si>
    <t>-647.915938622146 13.3422170137751 -658.075774324868</t>
  </si>
  <si>
    <t>-666.366386556188 47.3949203561604 -531.06787529852</t>
  </si>
  <si>
    <t>-633.699687812591 198.535529514307 -510.405296550959</t>
  </si>
  <si>
    <t>-612.128388085511 250.343832243757 -233.947042518897</t>
  </si>
  <si>
    <t>-410.32223545705 136.509994433091 -217.678618044891</t>
  </si>
  <si>
    <t>-601.753866203745 115.861508935607 -98.8033155488747</t>
  </si>
  <si>
    <t>-620.843345596034 136.439089746025 315.82277409811</t>
  </si>
  <si>
    <t>-666.494128900282 171.590525035743 775.276087892826</t>
  </si>
  <si>
    <t>-515.943775014765 178.203795445721 831.620434999936</t>
  </si>
  <si>
    <t>-614.088267475745 -79.333631323728 321.356570728692</t>
  </si>
  <si>
    <t>-660.414309449275 -107.501189561269 781.279781207948</t>
  </si>
  <si>
    <t>-505.955870335959 -123.128851047849 823.49565111846</t>
  </si>
  <si>
    <t>9763-20170724T115320.865153700.bin</t>
  </si>
  <si>
    <t>-608.218639599124 23.6948778288695 -94.762472255474</t>
  </si>
  <si>
    <t>-631.638365367928 22.4723798045411 -202.963840742447</t>
  </si>
  <si>
    <t>-644.975657713087 20.9577736373155 -294.863994703259</t>
  </si>
  <si>
    <t>-655.40283779175 19.4564799566947 -378.093552972775</t>
  </si>
  <si>
    <t>-663.639938972356 17.7769966928779 -461.564997654365</t>
  </si>
  <si>
    <t>-673.276237877152 15.1232665728089 -583.814687941517</t>
  </si>
  <si>
    <t>-648.074482638515 13.4084861894926 -657.991212615942</t>
  </si>
  <si>
    <t>-666.685740940437 47.5478919752804 -531.037358400609</t>
  </si>
  <si>
    <t>-634.124193769839 198.708806578325 -510.298414583044</t>
  </si>
  <si>
    <t>-610.761930714566 250.15142320001 -233.917395006436</t>
  </si>
  <si>
    <t>-410.567345815599 133.311685249665 -219.114597103921</t>
  </si>
  <si>
    <t>-601.911130213754 115.942064823682 -98.8062014124365</t>
  </si>
  <si>
    <t>-621.060355371989 136.501043621089 315.81803149408</t>
  </si>
  <si>
    <t>-666.523075373019 171.59970079806 775.305381745353</t>
  </si>
  <si>
    <t>-515.959241154075 178.207890511371 831.61428530932</t>
  </si>
  <si>
    <t>-614.31414152186 -79.2948927108478 321.341402842769</t>
  </si>
  <si>
    <t>-660.403819788938 -107.478924686375 781.280314403469</t>
  </si>
  <si>
    <t>-505.938442308236 -123.073813820321 823.483091708034</t>
  </si>
  <si>
    <t>9763-20170724T115320.934184200.bin</t>
  </si>
  <si>
    <t>-608.511871548179 23.9293030744004 -94.7570324831668</t>
  </si>
  <si>
    <t>-632.038625523274 22.7474542932016 -202.935554676454</t>
  </si>
  <si>
    <t>-645.481564418196 21.2246987541448 -294.820210930824</t>
  </si>
  <si>
    <t>-656.010300663971 19.7004689173655 -378.036619248323</t>
  </si>
  <si>
    <t>-664.354998882513 17.9838611675625 -461.496433606186</t>
  </si>
  <si>
    <t>-674.15523570632 15.260952938999 -583.731742380017</t>
  </si>
  <si>
    <t>-648.708716733758 13.2625321437658 -657.817526461634</t>
  </si>
  <si>
    <t>-667.546768633058 47.7194606564813 -530.977493967365</t>
  </si>
  <si>
    <t>-635.450970855852 198.968591445526 -510.236280836078</t>
  </si>
  <si>
    <t>-608.698451444614 248.107105143053 -233.743491012595</t>
  </si>
  <si>
    <t>-411.129557587457 126.549148294453 -221.965576666062</t>
  </si>
  <si>
    <t>-602.192674054227 116.216091250614 -98.8152101877783</t>
  </si>
  <si>
    <t>-621.225657905586 136.6154145208 315.822176249297</t>
  </si>
  <si>
    <t>-666.553805935458 171.640543733743 775.332995059909</t>
  </si>
  <si>
    <t>-515.972980780713 178.183191400747 831.60404942675</t>
  </si>
  <si>
    <t>-614.543708787527 -79.0289291132092 321.307132654313</t>
  </si>
  <si>
    <t>-660.390702733971 -107.493473483719 781.277171972967</t>
  </si>
  <si>
    <t>-505.930347746674 -123.201290738803 823.456341561755</t>
  </si>
  <si>
    <t>9763-20170724T115320.963265200.bin</t>
  </si>
  <si>
    <t>-608.703783375887 24.048291704755 -94.7726581875527</t>
  </si>
  <si>
    <t>-632.353957534446 22.8874875446331 -202.924411461565</t>
  </si>
  <si>
    <t>-645.853095303688 21.3726772478622 -294.801066709804</t>
  </si>
  <si>
    <t>-656.413110737237 19.8519553281176 -378.013535343159</t>
  </si>
  <si>
    <t>-664.769564216291 18.1349041710464 -461.47231721275</t>
  </si>
  <si>
    <t>-674.565413600387 15.4072576085709 -583.707785802574</t>
  </si>
  <si>
    <t>-649.050343375534 13.271135573005 -657.766090332358</t>
  </si>
  <si>
    <t>-667.950268284069 47.8673002143414 -530.955274388195</t>
  </si>
  <si>
    <t>-635.931317101711 199.144455470804 -510.258000301294</t>
  </si>
  <si>
    <t>-608.047320877595 246.819515483736 -233.620693022365</t>
  </si>
  <si>
    <t>-411.338538522645 123.770802701023 -222.981282198365</t>
  </si>
  <si>
    <t>-602.375188380884 116.394034748802 -98.8244784354022</t>
  </si>
  <si>
    <t>-621.268870196808 136.641569783849 315.826835302094</t>
  </si>
  <si>
    <t>-666.565676947873 171.646416601437 775.34624824098</t>
  </si>
  <si>
    <t>-515.983345060619 178.218412048655 831.609794460271</t>
  </si>
  <si>
    <t>-614.519886815557 -78.8282984021448 321.302379866755</t>
  </si>
  <si>
    <t>-660.38301198925 -107.490190281022 781.27204275123</t>
  </si>
  <si>
    <t>-505.948622871202 -123.463655490474 823.446672950419</t>
  </si>
  <si>
    <t>9763-20170724T115321.029484200.bin</t>
  </si>
  <si>
    <t>-609.217862169403 24.2575124066564 -94.8135011588629</t>
  </si>
  <si>
    <t>-633.134426033908 23.1314811184143 -202.907128357903</t>
  </si>
  <si>
    <t>-646.762721790987 21.6577147704638 -294.765244196791</t>
  </si>
  <si>
    <t>-657.400591194499 20.178487583599 -377.96867452794</t>
  </si>
  <si>
    <t>-665.796013785626 18.5055143125392 -461.424360591948</t>
  </si>
  <si>
    <t>-675.606094570553 15.8442010313568 -583.660095974935</t>
  </si>
  <si>
    <t>-650.176308831318 13.5058870973844 -657.74176288004</t>
  </si>
  <si>
    <t>-668.906478023736 48.269378116129 -530.896856028698</t>
  </si>
  <si>
    <t>-636.505371021069 199.488892192846 -510.34702716996</t>
  </si>
  <si>
    <t>-607.851825112174 244.79106107548 -233.389846098599</t>
  </si>
  <si>
    <t>-412.093137723631 120.188376584935 -223.327471774241</t>
  </si>
  <si>
    <t>-602.859727620693 116.671135980639 -98.8231702200118</t>
  </si>
  <si>
    <t>-621.463368992338 136.74164858487 315.849759963837</t>
  </si>
  <si>
    <t>-666.59477471882 171.672712915357 775.390554801137</t>
  </si>
  <si>
    <t>-516.001789373045 178.181741823689 831.63290676218</t>
  </si>
  <si>
    <t>-614.506378484101 -78.3862095318814 321.305777227001</t>
  </si>
  <si>
    <t>-660.384775550549 -107.436157694809 781.254512316739</t>
  </si>
  <si>
    <t>-505.908691259067 -123.155735506798 823.37166826444</t>
  </si>
  <si>
    <t>9763-20170724T115321.062546000.bin</t>
  </si>
  <si>
    <t>-609.657744778578 24.3889920058689 -94.8454476759538</t>
  </si>
  <si>
    <t>-633.590876750513 23.2758681297275 -202.935512151373</t>
  </si>
  <si>
    <t>-647.281948593478 21.8323897936862 -294.784842965909</t>
  </si>
  <si>
    <t>-657.996342402458 20.3877789988312 -377.978991356503</t>
  </si>
  <si>
    <t>-666.488311867913 18.7557010498865 -461.425704395926</t>
  </si>
  <si>
    <t>-676.461530349257 16.160245353409 -583.649771840621</t>
  </si>
  <si>
    <t>-651.202982112059 13.7843832270266 -657.788683757392</t>
  </si>
  <si>
    <t>-669.63092398463 48.552250312765 -530.882846147739</t>
  </si>
  <si>
    <t>-636.715463244456 199.689798767453 -510.574779903106</t>
  </si>
  <si>
    <t>-608.546455482176 244.507008259567 -233.489006933329</t>
  </si>
  <si>
    <t>-412.908516473339 119.780222504306 -222.64658794561</t>
  </si>
  <si>
    <t>-603.296201277233 116.817160653646 -98.8363473991494</t>
  </si>
  <si>
    <t>-621.696236882369 136.78898857224 315.85051003229</t>
  </si>
  <si>
    <t>-666.615801641382 171.677369926234 775.423019310551</t>
  </si>
  <si>
    <t>-516.014551487917 178.179528284243 831.644086136396</t>
  </si>
  <si>
    <t>-614.665580797091 -78.2236742832827 321.285562969544</t>
  </si>
  <si>
    <t>-660.37670872552 -107.43266205596 781.244026978409</t>
  </si>
  <si>
    <t>-505.892403632009 -123.093574426277 823.352873371852</t>
  </si>
  <si>
    <t>9763-20170724T115321.129774500.bin</t>
  </si>
  <si>
    <t>-610.586211621823 24.4465737628582 -94.8676203363989</t>
  </si>
  <si>
    <t>-634.391742691775 23.3332791532105 -202.985903570918</t>
  </si>
  <si>
    <t>-648.171599885463 21.9332419893999 -294.822684920465</t>
  </si>
  <si>
    <t>-659.045611197418 20.5464740928828 -377.997028764389</t>
  </si>
  <si>
    <t>-667.777555626491 18.9865255531156 -461.420256322015</t>
  </si>
  <si>
    <t>-678.189966504163 16.5112701147423 -583.610163403293</t>
  </si>
  <si>
    <t>-653.434174118681 14.2106744375335 -657.92077110275</t>
  </si>
  <si>
    <t>-670.985655726203 48.8360158236051 -530.851721574085</t>
  </si>
  <si>
    <t>-636.567716150718 199.69503136507 -510.951012290397</t>
  </si>
  <si>
    <t>-609.946739434233 246.192784764335 -233.98913814238</t>
  </si>
  <si>
    <t>-414.057976184507 122.143996289524 -220.277563328781</t>
  </si>
  <si>
    <t>-604.027649345558 116.752192034776 -98.8727369667353</t>
  </si>
  <si>
    <t>-622.359594582727 136.896414128142 315.808754508147</t>
  </si>
  <si>
    <t>-666.662095045308 171.721390824295 775.468593662972</t>
  </si>
  <si>
    <t>-516.033607918831 178.176745483049 831.62205989061</t>
  </si>
  <si>
    <t>-615.429719792375 -78.1564595782247 321.257474216014</t>
  </si>
  <si>
    <t>-660.341067326546 -107.426113723581 781.255038380663</t>
  </si>
  <si>
    <t>-505.870425304986 -123.139361883839 823.394550944473</t>
  </si>
  <si>
    <t>9763-20170724T115321.162869800.bin</t>
  </si>
  <si>
    <t>-610.987584802222 24.3480011219399 -94.8530827954211</t>
  </si>
  <si>
    <t>-634.764503005833 23.2641127485024 -202.977909861236</t>
  </si>
  <si>
    <t>-648.615523914426 21.8775405458025 -294.804224964851</t>
  </si>
  <si>
    <t>-659.592258739044 20.5002793069889 -377.965192618175</t>
  </si>
  <si>
    <t>-668.465719063917 18.9457934691948 -461.373711942499</t>
  </si>
  <si>
    <t>-679.12791552982 16.4730346047463 -583.542122821624</t>
  </si>
  <si>
    <t>-654.669573714686 14.2771748994048 -657.954368015617</t>
  </si>
  <si>
    <t>-671.723456502799 48.7883894161969 -530.805718060492</t>
  </si>
  <si>
    <t>-636.50189971654 199.485037077957 -511.059370510662</t>
  </si>
  <si>
    <t>-610.862515567906 247.738178085287 -234.305205257962</t>
  </si>
  <si>
    <t>-414.397515976902 124.798547973107 -218.94655644058</t>
  </si>
  <si>
    <t>-604.24498030865 116.641230832671 -98.8980498845934</t>
  </si>
  <si>
    <t>-622.558053859858 136.882643318641 315.779554266894</t>
  </si>
  <si>
    <t>-666.679568970769 171.759057126994 775.469689811037</t>
  </si>
  <si>
    <t>-516.034191161004 178.132919729118 831.587198347822</t>
  </si>
  <si>
    <t>-615.904242367418 -78.20660381778 321.238319541391</t>
  </si>
  <si>
    <t>-660.319136494028 -107.462316664571 781.271612131508</t>
  </si>
  <si>
    <t>-505.86504721283 -123.266405055969 823.43789493373</t>
  </si>
  <si>
    <t>9763-20170724T115321.232740100.bin</t>
  </si>
  <si>
    <t>-611.765922049808 24.1505531841326 -94.8820340222396</t>
  </si>
  <si>
    <t>-635.590944888718 23.1764453241412 -202.997230416514</t>
  </si>
  <si>
    <t>-649.684626409629 21.8247835449738 -294.787206025177</t>
  </si>
  <si>
    <t>-660.962186381423 20.4606312194762 -377.908047736055</t>
  </si>
  <si>
    <t>-670.218910857022 18.8980433417214 -461.274875406132</t>
  </si>
  <si>
    <t>-681.532107700313 16.3902065245752 -583.383883309353</t>
  </si>
  <si>
    <t>-657.6544786521 14.4588510317258 -657.991956960316</t>
  </si>
  <si>
    <t>-673.668504228013 48.7043245319055 -530.713097550161</t>
  </si>
  <si>
    <t>-637.069634000005 199.093539492188 -511.161197713397</t>
  </si>
  <si>
    <t>-613.72731840191 251.227671692648 -234.908158303903</t>
  </si>
  <si>
    <t>-415.394879031729 131.785020467587 -216.300807221969</t>
  </si>
  <si>
    <t>-604.63840027179 116.588862950882 -98.970567201209</t>
  </si>
  <si>
    <t>-622.631987501057 136.736780311509 315.725524308401</t>
  </si>
  <si>
    <t>-666.695571456113 171.771155727111 775.414422287279</t>
  </si>
  <si>
    <t>-516.039774157906 178.045088745816 831.515119708369</t>
  </si>
  <si>
    <t>-616.572430856729 -78.0605534138165 321.211673449924</t>
  </si>
  <si>
    <t>-660.285756791376 -107.479410992992 781.301324362435</t>
  </si>
  <si>
    <t>-505.801451160712 -122.916256322522 823.492877381648</t>
  </si>
  <si>
    <t>9763-20170724T115321.265819900.bin</t>
  </si>
  <si>
    <t>-612.080926332387 24.0134731673388 -94.9125210519455</t>
  </si>
  <si>
    <t>-635.980271176848 23.0859132195083 -203.011839411633</t>
  </si>
  <si>
    <t>-650.189116682828 21.751397575357 -294.78415864701</t>
  </si>
  <si>
    <t>-661.591755115697 20.3962058336861 -377.888263894796</t>
  </si>
  <si>
    <t>-670.994937323585 18.8343640646165 -461.238507154051</t>
  </si>
  <si>
    <t>-682.545791495863 16.3187241355715 -583.325213759231</t>
  </si>
  <si>
    <t>-658.906171726002 14.487100841337 -658.011343915391</t>
  </si>
  <si>
    <t>-674.490951270345 48.6274761036736 -530.680283912279</t>
  </si>
  <si>
    <t>-637.370714042341 198.89495457585 -511.194335255091</t>
  </si>
  <si>
    <t>-615.524507601618 252.5583448856 -235.111821646925</t>
  </si>
  <si>
    <t>-415.898068954948 135.493138491468 -215.273262159232</t>
  </si>
  <si>
    <t>-604.766047685789 116.481992728329 -99.0035122760333</t>
  </si>
  <si>
    <t>-622.587457680766 136.673277828487 315.698027801041</t>
  </si>
  <si>
    <t>-666.700961912887 171.758949647334 775.380163353448</t>
  </si>
  <si>
    <t>-516.045326962462 178.029138625931 831.481677571037</t>
  </si>
  <si>
    <t>-616.776955113092 -77.9324092574002 321.209521604207</t>
  </si>
  <si>
    <t>-660.279439135003 -107.4486031667 781.307063848307</t>
  </si>
  <si>
    <t>-505.770969093479 -122.669184260372 823.488583219126</t>
  </si>
  <si>
    <t>9763-20170724T115321.331834400.bin</t>
  </si>
  <si>
    <t>-612.699564512672 23.6631812064545 -94.9643364595261</t>
  </si>
  <si>
    <t>-636.737717328449 22.8048752856128 -203.033493132175</t>
  </si>
  <si>
    <t>-651.028919965716 21.5202912889595 -294.79376814845</t>
  </si>
  <si>
    <t>-662.491639130062 20.2089461231201 -377.890124454486</t>
  </si>
  <si>
    <t>-671.940779138622 18.6876822849679 -461.236086996329</t>
  </si>
  <si>
    <t>-683.543208785284 16.2275072049695 -583.318924373478</t>
  </si>
  <si>
    <t>-660.169912447653 14.591094587917 -658.093493914126</t>
  </si>
  <si>
    <t>-675.37184885793 48.5029850273097 -530.671511203859</t>
  </si>
  <si>
    <t>-637.986654183743 198.715220774876 -511.262260212064</t>
  </si>
  <si>
    <t>-619.151143636896 254.088836705086 -235.295779931246</t>
  </si>
  <si>
    <t>-416.635310443441 142.447484965675 -213.568548932934</t>
  </si>
  <si>
    <t>-605.217726268273 116.198756357439 -99.0574837600478</t>
  </si>
  <si>
    <t>-622.56985986125 136.401750640371 315.663294050579</t>
  </si>
  <si>
    <t>-666.704448953769 171.715843669522 775.323018916853</t>
  </si>
  <si>
    <t>-516.050240066268 177.98150967585 831.428853266986</t>
  </si>
  <si>
    <t>-617.079249398696 -77.7993921128534 321.180732741229</t>
  </si>
  <si>
    <t>-660.293236691542 -107.465162725047 781.299702996228</t>
  </si>
  <si>
    <t>-505.798633278271 -122.908989896796 823.451033207212</t>
  </si>
  <si>
    <t>9763-20170724T115321.366927200.bin</t>
  </si>
  <si>
    <t>-613.082525858406 23.5355551010503 -94.9992774744779</t>
  </si>
  <si>
    <t>-637.151328848055 22.6838535205459 -203.061659684993</t>
  </si>
  <si>
    <t>-651.403357173859 21.4021444630666 -294.828016616417</t>
  </si>
  <si>
    <t>-662.804461826595 20.0916800354501 -377.932900807177</t>
  </si>
  <si>
    <t>-672.165516169234 18.5698059727383 -461.288768528407</t>
  </si>
  <si>
    <t>-683.610114447749 16.1069854604996 -583.386586474176</t>
  </si>
  <si>
    <t>-660.257843938383 14.5956560740538 -658.170194841534</t>
  </si>
  <si>
    <t>-675.513534914845 48.3843940295617 -530.728543469589</t>
  </si>
  <si>
    <t>-638.36796526565 198.653527865185 -511.324404328249</t>
  </si>
  <si>
    <t>-620.921147963807 254.156950903037 -235.292653013572</t>
  </si>
  <si>
    <t>-417.065425834641 145.141544146281 -212.775260115345</t>
  </si>
  <si>
    <t>-605.644824273213 116.08376464446 -99.0852651779439</t>
  </si>
  <si>
    <t>-622.628184982265 136.306049866723 315.649890983126</t>
  </si>
  <si>
    <t>-666.705845540431 171.695843057661 775.303594629253</t>
  </si>
  <si>
    <t>-516.051806650634 177.960179332604 831.410030559983</t>
  </si>
  <si>
    <t>-617.207962357539 -77.7560975141159 321.150512465002</t>
  </si>
  <si>
    <t>-660.299370223296 -107.464081974695 781.289711715721</t>
  </si>
  <si>
    <t>-505.788741914106 -122.79455850533 823.423610550483</t>
  </si>
  <si>
    <t>9763-20170724T115321.431104600.bin</t>
  </si>
  <si>
    <t>-614.019033168109 23.3745791807585 -95.035810325704</t>
  </si>
  <si>
    <t>-638.153801383216 22.5120369894971 -203.083404788693</t>
  </si>
  <si>
    <t>-652.195596870592 21.2211711271309 -294.882053557319</t>
  </si>
  <si>
    <t>-663.299254301456 19.9003789907872 -378.027013552782</t>
  </si>
  <si>
    <t>-672.254440033079 18.3674933883401 -461.427217621498</t>
  </si>
  <si>
    <t>-682.986326597352 15.8878764560698 -583.589482681747</t>
  </si>
  <si>
    <t>-659.45729387278 14.723919755784 -658.323969127227</t>
  </si>
  <si>
    <t>-675.280306608595 48.180730652638 -530.882370541271</t>
  </si>
  <si>
    <t>-639.174779331759 198.709717888076 -511.581532981489</t>
  </si>
  <si>
    <t>-624.311400317998 254.081612908342 -235.372238405794</t>
  </si>
  <si>
    <t>-417.907836862025 150.252629027115 -211.589161045291</t>
  </si>
  <si>
    <t>-606.834144507372 115.869262779051 -99.1074421828578</t>
  </si>
  <si>
    <t>-623.158885800982 136.164291252578 315.650575012792</t>
  </si>
  <si>
    <t>-666.730719418405 171.648681495686 775.325668084621</t>
  </si>
  <si>
    <t>-516.064375070764 177.934774282193 831.396750820579</t>
  </si>
  <si>
    <t>-617.53868532247 -77.6870130470397 321.107355617652</t>
  </si>
  <si>
    <t>-660.315735440996 -107.463432036442 781.268389626778</t>
  </si>
  <si>
    <t>-505.789573480991 -122.752834856292 823.360236105086</t>
  </si>
  <si>
    <t>9763-20170724T115321.465195600.bin</t>
  </si>
  <si>
    <t>-614.624122498257 23.3024185191864 -95.0564629875694</t>
  </si>
  <si>
    <t>-638.792439163719 22.406748338015 -203.096272852241</t>
  </si>
  <si>
    <t>-652.700466258661 21.0964737514446 -294.915005560835</t>
  </si>
  <si>
    <t>-663.617642129984 19.7603058831601 -378.084433502345</t>
  </si>
  <si>
    <t>-672.320206677837 18.2148683453863 -461.511241172235</t>
  </si>
  <si>
    <t>-682.610010990101 15.7201574914518 -583.711066539034</t>
  </si>
  <si>
    <t>-658.98504645174 14.7783044206897 -658.418405858449</t>
  </si>
  <si>
    <t>-675.152928144506 48.0251686229819 -530.975759347835</t>
  </si>
  <si>
    <t>-639.625584599736 198.690531843377 -511.659147484875</t>
  </si>
  <si>
    <t>-626.007917298935 253.96122751072 -235.365367091018</t>
  </si>
  <si>
    <t>-418.450035256889 152.625326307035 -210.884910073277</t>
  </si>
  <si>
    <t>-607.598455504471 115.737092873505 -99.1213106495151</t>
  </si>
  <si>
    <t>-623.57331887723 136.130778795729 315.645470190741</t>
  </si>
  <si>
    <t>-666.751472188071 171.614763004783 775.360737082135</t>
  </si>
  <si>
    <t>-516.072032461423 177.936004540211 831.392786469051</t>
  </si>
  <si>
    <t>-617.772676776456 -77.6208590943659 321.086609405914</t>
  </si>
  <si>
    <t>-660.328539373596 -107.440820112686 781.257021445393</t>
  </si>
  <si>
    <t>-505.784074008066 -122.604965335974 823.326969368681</t>
  </si>
  <si>
    <t>9763-20170724T115321.530377200.bin</t>
  </si>
  <si>
    <t>-616.169674506073 23.1384619631326 -95.0986435802605</t>
  </si>
  <si>
    <t>-640.400887008799 22.1798472827636 -203.123844971362</t>
  </si>
  <si>
    <t>-653.963404937524 20.7685624414876 -294.992748887975</t>
  </si>
  <si>
    <t>-664.407293541721 19.3188507148723 -378.221027650917</t>
  </si>
  <si>
    <t>-672.47399652963 17.6399618909852 -461.709070739968</t>
  </si>
  <si>
    <t>-681.655617859653 14.9279451978332 -583.992652488608</t>
  </si>
  <si>
    <t>-658.238587522396 14.5683770751025 -658.770475134174</t>
  </si>
  <si>
    <t>-674.800603462316 47.3384778142374 -531.240227538996</t>
  </si>
  <si>
    <t>-640.51003180888 198.301311220539 -511.962436574345</t>
  </si>
  <si>
    <t>-629.796262226645 253.19804993513 -235.466299635028</t>
  </si>
  <si>
    <t>-420.109722914997 156.796271105548 -209.259865985137</t>
  </si>
  <si>
    <t>-609.473775387955 115.504469692122 -99.1535298325305</t>
  </si>
  <si>
    <t>-624.406471841387 136.0630293054 315.643980708099</t>
  </si>
  <si>
    <t>-666.799146543855 171.59093925852 775.450435696938</t>
  </si>
  <si>
    <t>-516.075591356962 177.904745072961 831.364474550307</t>
  </si>
  <si>
    <t>-618.412097048369 -77.4108188193622 321.034853523961</t>
  </si>
  <si>
    <t>-660.362267487366 -107.43709718955 781.242676096854</t>
  </si>
  <si>
    <t>-505.758746880777 -122.157325826035 823.253245024363</t>
  </si>
  <si>
    <t>9763-20170724T115321.565470700.bin</t>
  </si>
  <si>
    <t>-617.071070694402 23.0194393684892 -95.1285693402369</t>
  </si>
  <si>
    <t>-641.288017955451 22.0417430691352 -203.156674627062</t>
  </si>
  <si>
    <t>-654.67217545145 20.5690606467304 -295.05083848346</t>
  </si>
  <si>
    <t>-664.887670770621 19.0445236403646 -378.306286382912</t>
  </si>
  <si>
    <t>-672.658264598012 17.271761430037 -461.820345233676</t>
  </si>
  <si>
    <t>-681.332572778115 14.401897699041 -584.137349351869</t>
  </si>
  <si>
    <t>-658.275013573488 14.4098694329455 -659.027655744826</t>
  </si>
  <si>
    <t>-674.739175478259 46.8845286349704 -531.395870105486</t>
  </si>
  <si>
    <t>-640.92000352645 197.958597985303 -512.183007448338</t>
  </si>
  <si>
    <t>-632.006673264129 252.774270901595 -235.606707058503</t>
  </si>
  <si>
    <t>-421.422259165454 158.661767254984 -208.301765486597</t>
  </si>
  <si>
    <t>-610.521932011305 115.372153162818 -99.1593702582835</t>
  </si>
  <si>
    <t>-624.904118301031 136.020690100999 315.653117533676</t>
  </si>
  <si>
    <t>-666.820658821629 171.606959162351 775.497958235391</t>
  </si>
  <si>
    <t>-516.068500646842 177.863889674912 831.341003648013</t>
  </si>
  <si>
    <t>-618.913928954244 -77.3468387610606 321.004398039417</t>
  </si>
  <si>
    <t>-660.361885525743 -107.485524355584 781.222860350041</t>
  </si>
  <si>
    <t>-505.737398511087 -121.893003392771 823.2647248106</t>
  </si>
  <si>
    <t>9763-20170724T115321.633544900.bin</t>
  </si>
  <si>
    <t>-618.556091745198 22.6232323754593 -95.165484752972</t>
  </si>
  <si>
    <t>-642.529086496284 21.6203206360515 -203.247805439667</t>
  </si>
  <si>
    <t>-655.469129257383 20.0574891749759 -295.20403731085</t>
  </si>
  <si>
    <t>-665.18708972199 18.4232577603916 -378.516833652905</t>
  </si>
  <si>
    <t>-672.363080821991 16.5139337965111 -462.081202354388</t>
  </si>
  <si>
    <t>-680.061580006155 13.4153381076203 -584.457876000653</t>
  </si>
  <si>
    <t>-657.816355898336 14.0998969469074 -659.590451186515</t>
  </si>
  <si>
    <t>-673.959919472186 46.0028735271358 -531.722057275477</t>
  </si>
  <si>
    <t>-640.889123728629 197.232524049522 -512.429295253033</t>
  </si>
  <si>
    <t>-635.425868411495 252.080078413971 -235.769873340585</t>
  </si>
  <si>
    <t>-423.4799140688 161.898575766295 -205.857562968262</t>
  </si>
  <si>
    <t>-612.239489699048 114.912093657838 -99.149336230669</t>
  </si>
  <si>
    <t>-625.8117836351 135.891015007855 315.673887340486</t>
  </si>
  <si>
    <t>-666.866213482534 171.599801325125 775.630878604496</t>
  </si>
  <si>
    <t>-516.063200049481 177.831710455997 831.33948110007</t>
  </si>
  <si>
    <t>-619.617834108075 -77.5142656249848 320.987202463334</t>
  </si>
  <si>
    <t>-659.340048828159 -107.944936972146 781.343483154354</t>
  </si>
  <si>
    <t>-505.184815109504 -121.639531540251 825.303036143993</t>
  </si>
  <si>
    <t>9763-20170724T115321.663631600.bin</t>
  </si>
  <si>
    <t>-619.056488208029 22.3624905667016 -95.0222633859014</t>
  </si>
  <si>
    <t>-642.871448687222 21.33059111429 -203.139332911551</t>
  </si>
  <si>
    <t>-655.438797139308 19.708124756889 -295.146107615675</t>
  </si>
  <si>
    <t>-664.723142061595 18.0061747503289 -378.506979666946</t>
  </si>
  <si>
    <t>-671.367940142947 16.0159614798379 -462.113348563324</t>
  </si>
  <si>
    <t>-678.182679102742 12.7858183324902 -584.539073320752</t>
  </si>
  <si>
    <t>-656.167011501311 13.7151534813061 -659.736558038127</t>
  </si>
  <si>
    <t>-672.516333301312 45.4349216499318 -531.792723338548</t>
  </si>
  <si>
    <t>-639.886914359657 196.757511782178 -512.45161920412</t>
  </si>
  <si>
    <t>-635.668044989895 251.32532362293 -235.715006376605</t>
  </si>
  <si>
    <t>-423.060884538061 162.986337054499 -205.007325814584</t>
  </si>
  <si>
    <t>-612.937758092568 114.647249326598 -99.059946793605</t>
  </si>
  <si>
    <t>-626.116971145209 135.835752803293 315.765318173833</t>
  </si>
  <si>
    <t>-666.881223841255 171.617928791079 775.7503392008</t>
  </si>
  <si>
    <t>-516.050734114741 177.805057041272 831.389284546856</t>
  </si>
  <si>
    <t>-619.652844814685 -77.7211468417322 321.138627467713</t>
  </si>
  <si>
    <t>-658.505874141107 -108.177234636054 781.66464078997</t>
  </si>
  <si>
    <t>-504.729061615636 -121.784590547928 826.956523573126</t>
  </si>
  <si>
    <t>9763-20170724T115321.731307300.bin</t>
  </si>
  <si>
    <t>-620.008639257573 22.0550751691098 -94.6634506246135</t>
  </si>
  <si>
    <t>-643.800093631514 20.9632368466901 -202.785009880497</t>
  </si>
  <si>
    <t>-655.823305285743 19.2349418609706 -294.862585178057</t>
  </si>
  <si>
    <t>-664.40359860954 17.4139043526486 -378.296467434803</t>
  </si>
  <si>
    <t>-670.130315483328 15.2845419099328 -461.96719632353</t>
  </si>
  <si>
    <t>-675.36803272638 11.8294647683858 -584.464283238536</t>
  </si>
  <si>
    <t>-653.692302611908 13.1058190873052 -659.755495222433</t>
  </si>
  <si>
    <t>-670.524943183523 44.5876130865877 -531.703802425416</t>
  </si>
  <si>
    <t>-639.003357968163 196.139891639511 -512.275102239733</t>
  </si>
  <si>
    <t>-636.866298495267 249.248898726852 -235.230977886199</t>
  </si>
  <si>
    <t>-423.006629725506 164.290416657565 -203.693032344637</t>
  </si>
  <si>
    <t>-614.385409710133 114.387807680622 -98.812365018041</t>
  </si>
  <si>
    <t>-626.655493081626 135.705609215386 316.034057407023</t>
  </si>
  <si>
    <t>-666.88620302192 171.617459359913 776.009915245973</t>
  </si>
  <si>
    <t>-516.007431528352 177.797533747541 831.518570584449</t>
  </si>
  <si>
    <t>-619.887150463669 -77.7148028874255 321.468484990335</t>
  </si>
  <si>
    <t>-657.777082275051 -108.191838341373 781.976026053136</t>
  </si>
  <si>
    <t>-504.295896760572 -120.612987182045 828.592139600365</t>
  </si>
  <si>
    <t>9763-20170724T115321.766904000.bin</t>
  </si>
  <si>
    <t>-620.564528725157 21.9328670398793 -94.5851452191523</t>
  </si>
  <si>
    <t>-644.421014470621 20.7881508666244 -202.691717314479</t>
  </si>
  <si>
    <t>-656.277769133476 19.0161303685768 -294.79016950854</t>
  </si>
  <si>
    <t>-664.617978474129 17.1545152643891 -378.247456037726</t>
  </si>
  <si>
    <t>-670.014269725675 14.9846202098367 -461.93912672445</t>
  </si>
  <si>
    <t>-674.669821020323 11.4706029771578 -584.458171631481</t>
  </si>
  <si>
    <t>-653.170918722599 12.8190654647685 -659.798724842685</t>
  </si>
  <si>
    <t>-670.142913809806 44.2594526175342 -531.688491741681</t>
  </si>
  <si>
    <t>-639.137069216532 195.928488684387 -512.351773485608</t>
  </si>
  <si>
    <t>-638.12013394707 248.04920699223 -235.113649068476</t>
  </si>
  <si>
    <t>-423.739938303812 164.5515459663 -203.210594694789</t>
  </si>
  <si>
    <t>-615.165805593172 114.288316979472 -98.7332449861112</t>
  </si>
  <si>
    <t>-626.822858950464 135.689436941586 316.126560284233</t>
  </si>
  <si>
    <t>-666.875993803063 171.602633232402 776.120776941803</t>
  </si>
  <si>
    <t>-515.978805210927 177.784825701112 831.57920402873</t>
  </si>
  <si>
    <t>-619.847527912816 -77.5928260011431 321.562600769548</t>
  </si>
  <si>
    <t>-657.548003992901 -108.217102793808 782.03239390737</t>
  </si>
  <si>
    <t>-504.249547239605 -121.15084723146 829.108128752115</t>
  </si>
  <si>
    <t>9763-20170724T115321.830721700.bin</t>
  </si>
  <si>
    <t>-621.632601889099 21.6527961966951 -94.4678615259259</t>
  </si>
  <si>
    <t>-645.55662676049 20.3602294650582 -202.558017789581</t>
  </si>
  <si>
    <t>-657.121807006369 18.541423514444 -294.692518216249</t>
  </si>
  <si>
    <t>-665.057294148658 16.6648610075767 -378.188873342653</t>
  </si>
  <si>
    <t>-669.906818462433 14.509219020254 -461.914414746451</t>
  </si>
  <si>
    <t>-673.606951176414 11.0485637173329 -584.467536122496</t>
  </si>
  <si>
    <t>-652.565097124949 12.409873662006 -659.936728519018</t>
  </si>
  <si>
    <t>-669.625296840406 43.8249892716997 -531.646122439846</t>
  </si>
  <si>
    <t>-639.577174276944 195.683912520981 -512.34190950979</t>
  </si>
  <si>
    <t>-640.582868598139 247.03832331121 -234.960764618137</t>
  </si>
  <si>
    <t>-425.348759589943 165.929424904869 -202.647241746988</t>
  </si>
  <si>
    <t>-616.675865609514 114.000329462652 -98.6094875006199</t>
  </si>
  <si>
    <t>-627.167023513599 135.616930745642 316.270357036041</t>
  </si>
  <si>
    <t>-666.846693914439 171.584031790083 776.307136770172</t>
  </si>
  <si>
    <t>-515.925476894738 177.831235867324 831.69292881912</t>
  </si>
  <si>
    <t>-619.479452072994 -77.4000582978556 321.733436750061</t>
  </si>
  <si>
    <t>-657.156243025952 -108.075474076993 782.174968659234</t>
  </si>
  <si>
    <t>-504.064677280321 -120.945504576261 829.936430084948</t>
  </si>
  <si>
    <t>9763-20170724T115321.863809500.bin</t>
  </si>
  <si>
    <t>-621.972234629758 21.434894415308 -94.4203735260329</t>
  </si>
  <si>
    <t>-645.87373228224 20.0849772931651 -202.514804143382</t>
  </si>
  <si>
    <t>-657.292453090259 18.2805106536807 -294.667845663901</t>
  </si>
  <si>
    <t>-665.044059192406 16.4401175124551 -378.18226096541</t>
  </si>
  <si>
    <t>-669.657696827344 14.3455205264661 -461.922788867156</t>
  </si>
  <si>
    <t>-672.955954894486 11.0014947029008 -584.490600661008</t>
  </si>
  <si>
    <t>-652.17374738504 12.3746516580461 -660.03152695942</t>
  </si>
  <si>
    <t>-669.220386341275 43.7330498631966 -531.62344930423</t>
  </si>
  <si>
    <t>-639.525876979971 195.651005647252 -512.211920432711</t>
  </si>
  <si>
    <t>-641.679502541834 247.124847433749 -234.859557379131</t>
  </si>
  <si>
    <t>-426.02716434182 167.103172402883 -202.623966521254</t>
  </si>
  <si>
    <t>-617.208323745254 113.736428321474 -98.5399657434136</t>
  </si>
  <si>
    <t>-627.587334411425 135.50224807276 316.334822052768</t>
  </si>
  <si>
    <t>-666.843300120092 171.593896830353 776.400039761078</t>
  </si>
  <si>
    <t>-515.90511115744 177.828423207938 831.740971226691</t>
  </si>
  <si>
    <t>-619.530339898851 -77.5167523474227 321.780093974547</t>
  </si>
  <si>
    <t>-657.091317220451 -108.062563127608 782.218309649092</t>
  </si>
  <si>
    <t>-504.063019760923 -121.126221718372 830.129737033375</t>
  </si>
  <si>
    <t>9763-20170724T115321.930044100.bin</t>
  </si>
  <si>
    <t>-622.313899559092 20.9294851972372 -94.4185169959459</t>
  </si>
  <si>
    <t>-646.046203491749 19.5101773097688 -202.549238233685</t>
  </si>
  <si>
    <t>-657.209368469683 17.7210241533257 -294.733942496068</t>
  </si>
  <si>
    <t>-664.684539360592 15.9224506158064 -378.27443286355</t>
  </si>
  <si>
    <t>-668.975872783723 13.9003223347092 -462.033856689551</t>
  </si>
  <si>
    <t>-671.752771903276 10.6964374900469 -584.61829777962</t>
  </si>
  <si>
    <t>-651.499857362375 12.0191608462685 -660.30370955253</t>
  </si>
  <si>
    <t>-668.368852111992 43.3766574569681 -531.695697601036</t>
  </si>
  <si>
    <t>-639.461764361632 195.426772673775 -512.070011049677</t>
  </si>
  <si>
    <t>-643.3792780336 246.883358779513 -234.733665886524</t>
  </si>
  <si>
    <t>-426.753896661075 169.464392991808 -202.666722874824</t>
  </si>
  <si>
    <t>-617.747408049293 113.057769417932 -98.4864173395802</t>
  </si>
  <si>
    <t>-628.195336795477 135.287821582631 316.362095963528</t>
  </si>
  <si>
    <t>-666.829455420921 171.616147539484 776.5056922285</t>
  </si>
  <si>
    <t>-515.852530958455 177.817872204307 831.744534580688</t>
  </si>
  <si>
    <t>-620.214197498557 -78.0021987000659 321.755971701597</t>
  </si>
  <si>
    <t>-657.277058050767 -108.000161382404 782.224444887026</t>
  </si>
  <si>
    <t>-504.152550370728 -120.797325039502 829.899839757292</t>
  </si>
  <si>
    <t>9763-20170724T115321.966116500.bin</t>
  </si>
  <si>
    <t>-622.444295502274 20.6450356570226 -94.4362789856071</t>
  </si>
  <si>
    <t>-646.103935739492 19.2253800857343 -202.583031803235</t>
  </si>
  <si>
    <t>-657.209838728923 17.4538466714284 -294.774932143333</t>
  </si>
  <si>
    <t>-664.634976097056 15.6791804252193 -378.32032024011</t>
  </si>
  <si>
    <t>-668.877866613322 13.6902731108128 -462.082980865315</t>
  </si>
  <si>
    <t>-671.585736586213 10.546134378646 -584.670681633368</t>
  </si>
  <si>
    <t>-651.576054580108 11.8521588510584 -660.420984022277</t>
  </si>
  <si>
    <t>-668.286133703156 43.204265412943 -531.729078966358</t>
  </si>
  <si>
    <t>-639.678829158167 195.283791629086 -511.951660727712</t>
  </si>
  <si>
    <t>-644.255918731331 246.516603880508 -234.583995368432</t>
  </si>
  <si>
    <t>-427.138725331777 170.496515600062 -202.496544650933</t>
  </si>
  <si>
    <t>-617.86156037222 112.746368418148 -98.5078765929427</t>
  </si>
  <si>
    <t>-628.333790193394 135.158707194635 316.330193686848</t>
  </si>
  <si>
    <t>-666.8164686642 171.603918423696 776.494899581579</t>
  </si>
  <si>
    <t>-515.831577826318 177.831594194302 831.708972264787</t>
  </si>
  <si>
    <t>-620.720544305596 -78.3134391539641 321.692559258067</t>
  </si>
  <si>
    <t>-657.523409896599 -107.961387956797 782.190305257074</t>
  </si>
  <si>
    <t>-504.289236971917 -120.866607313614 829.48263645398</t>
  </si>
  <si>
    <t>9763-20170724T115322.033320700.bin</t>
  </si>
  <si>
    <t>-622.826215123249 20.0808667677331 -94.6240167290186</t>
  </si>
  <si>
    <t>-646.534911087899 18.7049517395758 -202.760409818969</t>
  </si>
  <si>
    <t>-657.808748641579 17.0082025936197 -294.933361656826</t>
  </si>
  <si>
    <t>-665.436576793182 15.3206489600227 -378.462430998628</t>
  </si>
  <si>
    <t>-669.933104218712 13.4418406354437 -462.214395978054</t>
  </si>
  <si>
    <t>-673.067313123044 10.4865924684723 -584.796575707967</t>
  </si>
  <si>
    <t>-653.492515274394 11.8621434967324 -660.659226057167</t>
  </si>
  <si>
    <t>-669.688494945373 43.0701804341593 -531.814013121413</t>
  </si>
  <si>
    <t>-641.568708189716 195.250067435224 -512.071248838431</t>
  </si>
  <si>
    <t>-647.060640937275 245.971566931809 -234.626145407105</t>
  </si>
  <si>
    <t>-429.24347428579 172.23627474701 -201.956219794609</t>
  </si>
  <si>
    <t>-617.976745467955 112.264082616155 -98.6661862317802</t>
  </si>
  <si>
    <t>-628.336521782382 134.769998137663 316.169641116817</t>
  </si>
  <si>
    <t>-666.763623496142 171.57288193721 776.347162773545</t>
  </si>
  <si>
    <t>-515.785926120034 177.853967858586 831.574993601924</t>
  </si>
  <si>
    <t>-621.686005601311 -78.7685040404569 321.46347384694</t>
  </si>
  <si>
    <t>-658.365134775249 -107.891895607049 782.001294281368</t>
  </si>
  <si>
    <t>-504.76418339386 -121.317442033391 827.939564966926</t>
  </si>
  <si>
    <t>9763-20170724T115322.060392500.bin</t>
  </si>
  <si>
    <t>-623.118393588478 19.756720511193 -94.7685783776813</t>
  </si>
  <si>
    <t>-646.875070542985 18.4163223323817 -202.894937260083</t>
  </si>
  <si>
    <t>-658.280607697839 16.7618954532275 -295.052468795015</t>
  </si>
  <si>
    <t>-666.064213447098 15.119622437946 -378.568158875577</t>
  </si>
  <si>
    <t>-670.753462127647 13.2940575330563 -462.310657507899</t>
  </si>
  <si>
    <t>-674.209758348546 10.4264322317347 -584.886165399506</t>
  </si>
  <si>
    <t>-654.756966920853 11.8497837734692 -660.779319276719</t>
  </si>
  <si>
    <t>-670.715439604826 42.9736545400453 -531.888790292646</t>
  </si>
  <si>
    <t>-642.652992799567 195.185096034711 -512.358976296112</t>
  </si>
  <si>
    <t>-648.481961372702 245.932413399541 -234.925451964636</t>
  </si>
  <si>
    <t>-430.523586019335 172.818141728648 -201.8047348278</t>
  </si>
  <si>
    <t>-618.082386268348 111.975799567135 -98.7710406318477</t>
  </si>
  <si>
    <t>-628.330609365966 134.573647678034 316.062554290803</t>
  </si>
  <si>
    <t>-666.738017491665 171.551600883048 776.223247129442</t>
  </si>
  <si>
    <t>-515.771034901392 177.846869341377 831.478755346433</t>
  </si>
  <si>
    <t>-622.100753301063 -78.9733597296204 321.31441822957</t>
  </si>
  <si>
    <t>-658.836007622333 -107.794939053182 781.870672511908</t>
  </si>
  <si>
    <t>-505.004091516996 -121.212846760463 827.031876569839</t>
  </si>
  <si>
    <t>9763-20170724T115322.130107800.bin</t>
  </si>
  <si>
    <t>-623.700119214183 19.1390360810392 -95.0633669858958</t>
  </si>
  <si>
    <t>-647.420023156551 17.8908707943804 -203.198943840641</t>
  </si>
  <si>
    <t>-659.002851680631 16.316084545871 -295.33585230399</t>
  </si>
  <si>
    <t>-667.030932228179 14.7493808456973 -378.829571998137</t>
  </si>
  <si>
    <t>-672.049341070521 13.0040871372237 -462.554831142767</t>
  </si>
  <si>
    <t>-676.079579491427 10.2602159251426 -585.115626624114</t>
  </si>
  <si>
    <t>-656.789809787407 11.9059846232126 -661.045901246301</t>
  </si>
  <si>
    <t>-672.361702425822 42.7554231044328 -532.101701155881</t>
  </si>
  <si>
    <t>-644.034750715085 194.944849013717 -512.825076666135</t>
  </si>
  <si>
    <t>-649.949532565031 246.119392138129 -235.471925480979</t>
  </si>
  <si>
    <t>-431.980204995707 173.265733824877 -201.852734096306</t>
  </si>
  <si>
    <t>-618.319909004088 111.322607902757 -98.9753350077377</t>
  </si>
  <si>
    <t>-628.474765884483 134.196304972212 315.845453219892</t>
  </si>
  <si>
    <t>-666.707914146223 171.48124984843 775.989615022967</t>
  </si>
  <si>
    <t>-515.755544361963 177.846244675809 831.276989312985</t>
  </si>
  <si>
    <t>-622.914765104683 -79.4237721617594 321.006251982439</t>
  </si>
  <si>
    <t>-659.500019857556 -107.712005588073 781.642432592522</t>
  </si>
  <si>
    <t>-505.352899013454 -121.127207676567 825.716453644808</t>
  </si>
  <si>
    <t>9763-20170724T115322.166209100.bin</t>
  </si>
  <si>
    <t>-623.893824158962 18.8901509359589 -95.1559649600915</t>
  </si>
  <si>
    <t>-647.521744298409 17.6655840046799 -203.311948682328</t>
  </si>
  <si>
    <t>-659.200379714223 16.1464538452735 -295.437582335294</t>
  </si>
  <si>
    <t>-667.385473853506 14.6448975799979 -378.91738712304</t>
  </si>
  <si>
    <t>-672.631591715544 12.9803341948543 -462.630306935294</t>
  </si>
  <si>
    <t>-677.072316477505 10.3721035674637 -585.179825930314</t>
  </si>
  <si>
    <t>-658.010177423818 12.1906525192846 -661.163667484147</t>
  </si>
  <si>
    <t>-673.198093482816 42.8100367462855 -532.142108087323</t>
  </si>
  <si>
    <t>-644.914071613144 194.992851010432 -512.822891429484</t>
  </si>
  <si>
    <t>-649.992133850863 246.510902309218 -235.516893223166</t>
  </si>
  <si>
    <t>-432.114821143848 173.321693430933 -202.030468849484</t>
  </si>
  <si>
    <t>-618.451644804353 111.037525675216 -99.0593791034802</t>
  </si>
  <si>
    <t>-628.616224029699 134.084136243979 315.751601860921</t>
  </si>
  <si>
    <t>-666.701877594904 171.467053238227 775.896106439471</t>
  </si>
  <si>
    <t>-515.750010912304 177.847972673008 831.183065645468</t>
  </si>
  <si>
    <t>-623.243861300891 -79.723029187161 320.905380497691</t>
  </si>
  <si>
    <t>-659.633535728468 -107.759652297718 781.592882518831</t>
  </si>
  <si>
    <t>-505.483587674691 -121.770940830435 825.471105700497</t>
  </si>
  <si>
    <t>9763-20170724T115322.228909300.bin</t>
  </si>
  <si>
    <t>-623.852338110761 18.7345536356172 -95.2137292423615</t>
  </si>
  <si>
    <t>-647.310763468039 17.5033972053743 -203.406508682407</t>
  </si>
  <si>
    <t>-659.183059735049 16.1365442788226 -295.509788145362</t>
  </si>
  <si>
    <t>-667.679810701677 14.8362741787892 -378.961868464273</t>
  </si>
  <si>
    <t>-673.375094698482 13.4373970162796 -462.650306640633</t>
  </si>
  <si>
    <t>-678.623489498057 11.2885675080852 -585.176953942196</t>
  </si>
  <si>
    <t>-659.977883660744 13.5627903787847 -661.251688653362</t>
  </si>
  <si>
    <t>-674.441322383661 43.5298609529143 -532.042686027836</t>
  </si>
  <si>
    <t>-646.246700945926 195.688912234467 -512.377780326738</t>
  </si>
  <si>
    <t>-649.521492104523 247.168164289454 -235.037200408024</t>
  </si>
  <si>
    <t>-431.568032751645 173.643355639037 -202.804931804878</t>
  </si>
  <si>
    <t>-618.425082207456 110.746436709505 -99.1705561459964</t>
  </si>
  <si>
    <t>-628.644331525209 134.078925338351 315.623077006525</t>
  </si>
  <si>
    <t>-666.687347330745 171.444058832522 775.760760427128</t>
  </si>
  <si>
    <t>-515.733251922657 177.845673455313 831.039206219909</t>
  </si>
  <si>
    <t>-623.469585508254 -80.0739837284577 320.821158160116</t>
  </si>
  <si>
    <t>-659.517196323917 -107.857959939027 781.572951154846</t>
  </si>
  <si>
    <t>-505.424240231003 -121.724459486056 825.696708188879</t>
  </si>
  <si>
    <t>9763-20170724T115322.265974000.bin</t>
  </si>
  <si>
    <t>-623.656107957056 18.794922679562 -95.1854054039404</t>
  </si>
  <si>
    <t>-647.135728176784 17.5568076191212 -203.373608932701</t>
  </si>
  <si>
    <t>-659.120595606877 16.2797864462202 -295.463662842575</t>
  </si>
  <si>
    <t>-667.757498804446 15.0991128019598 -378.903135747688</t>
  </si>
  <si>
    <t>-673.631597498926 13.8589122730475 -462.581501929007</t>
  </si>
  <si>
    <t>-679.183965678632 11.984473438466 -585.099216701459</t>
  </si>
  <si>
    <t>-660.677342317849 14.5096741541279 -661.200146899637</t>
  </si>
  <si>
    <t>-674.886123135216 44.1078414848273 -531.902699932672</t>
  </si>
  <si>
    <t>-646.742708562767 196.244112064458 -511.961029926692</t>
  </si>
  <si>
    <t>-649.221192800799 247.019231249424 -234.482513219339</t>
  </si>
  <si>
    <t>-431.078544184271 173.647626613927 -203.194914728035</t>
  </si>
  <si>
    <t>-618.325148732421 110.817242045273 -99.1831685437244</t>
  </si>
  <si>
    <t>-628.399324776671 134.191905526019 315.611635586991</t>
  </si>
  <si>
    <t>-666.672606610424 171.432888574802 775.733019643379</t>
  </si>
  <si>
    <t>-515.717683096865 177.834560297787 831.009144209432</t>
  </si>
  <si>
    <t>-623.150191457967 -80.0324423531376 320.858711355748</t>
  </si>
  <si>
    <t>-659.157270870984 -107.949643929181 781.649819478319</t>
  </si>
  <si>
    <t>-505.207575334894 -121.434706499987 826.38756461001</t>
  </si>
  <si>
    <t>9763-20170724T115322.327805400.bin</t>
  </si>
  <si>
    <t>-622.966359205836 19.0814600515662 -95.0011576508106</t>
  </si>
  <si>
    <t>-646.611679467514 17.8585892624919 -203.153459156683</t>
  </si>
  <si>
    <t>-658.777468049901 16.7364359930245 -295.221667277171</t>
  </si>
  <si>
    <t>-667.594557007272 15.7526251657946 -378.644865980667</t>
  </si>
  <si>
    <t>-673.665661877937 14.7668996986502 -462.312663901648</t>
  </si>
  <si>
    <t>-679.524389389656 13.3282435022063 -584.822003816395</t>
  </si>
  <si>
    <t>-661.091640172283 16.2565179369269 -660.926282790256</t>
  </si>
  <si>
    <t>-675.106958759227 45.2629081294465 -531.521938186924</t>
  </si>
  <si>
    <t>-647.216580061409 197.40021651979 -511.16996452754</t>
  </si>
  <si>
    <t>-648.606363731838 246.163304246003 -233.323113881731</t>
  </si>
  <si>
    <t>-430.220086720849 172.775927881136 -203.822967565002</t>
  </si>
  <si>
    <t>-617.867584381268 111.307646913898 -99.0577303951362</t>
  </si>
  <si>
    <t>-627.369225957211 134.562352544697 315.757383832994</t>
  </si>
  <si>
    <t>-666.61131735513 171.409474038232 775.77752721498</t>
  </si>
  <si>
    <t>-515.661811401031 177.792826671556 831.070492569565</t>
  </si>
  <si>
    <t>-621.914390342104 -79.6834428968234 321.115150439301</t>
  </si>
  <si>
    <t>-658.244059323273 -108.103389652214 781.908544237527</t>
  </si>
  <si>
    <t>-504.709655256494 -120.97838076952 828.225316606943</t>
  </si>
  <si>
    <t>9763-20170724T115322.359893500.bin</t>
  </si>
  <si>
    <t>-622.462742099376 19.2765399128348 -94.8845976322242</t>
  </si>
  <si>
    <t>-646.212310072136 18.0718419519699 -203.014273299322</t>
  </si>
  <si>
    <t>-658.432559916653 17.0167887980779 -295.076107412224</t>
  </si>
  <si>
    <t>-667.28514525581 16.1151146286227 -378.496527667534</t>
  </si>
  <si>
    <t>-673.378121704474 15.2327659563198 -462.163885736065</t>
  </si>
  <si>
    <t>-679.253666818506 13.9692909014552 -584.674348755772</t>
  </si>
  <si>
    <t>-660.828369092568 17.0315615069508 -660.775040715506</t>
  </si>
  <si>
    <t>-674.828114528486 45.8277369861471 -531.329209761922</t>
  </si>
  <si>
    <t>-646.942384849493 197.938862060289 -510.747589151131</t>
  </si>
  <si>
    <t>-648.143382272302 245.830047414564 -232.748351938755</t>
  </si>
  <si>
    <t>-429.756347284445 172.216721048874 -203.822465768945</t>
  </si>
  <si>
    <t>-617.396735425316 111.577149383368 -98.9539992214854</t>
  </si>
  <si>
    <t>-626.681585332463 134.752930903178 315.870372581587</t>
  </si>
  <si>
    <t>-666.566910230192 171.344351164879 775.830683571808</t>
  </si>
  <si>
    <t>-515.632226738504 177.810195581292 831.154628423839</t>
  </si>
  <si>
    <t>-621.263658106175 -79.4230384234752 321.267799669125</t>
  </si>
  <si>
    <t>-657.92855796059 -108.159103949379 782.01670840221</t>
  </si>
  <si>
    <t>-504.558978661696 -120.874817011345 828.919855038664</t>
  </si>
  <si>
    <t>9763-20170724T115322.427764600.bin</t>
  </si>
  <si>
    <t>-621.337898515036 19.787456594619 -94.6523038624601</t>
  </si>
  <si>
    <t>-645.347221494108 18.6737120742771 -202.725517869584</t>
  </si>
  <si>
    <t>-657.679642802228 17.7399691588716 -294.773687043539</t>
  </si>
  <si>
    <t>-666.589927539276 16.9666590380325 -378.189237911645</t>
  </si>
  <si>
    <t>-672.696854092497 16.2310368204348 -461.857002459796</t>
  </si>
  <si>
    <t>-678.54453349208 15.2024432566188 -584.370996441653</t>
  </si>
  <si>
    <t>-660.172849479373 18.3600599029296 -660.480817474815</t>
  </si>
  <si>
    <t>-674.11426303881 46.9575801268563 -530.96473116892</t>
  </si>
  <si>
    <t>-646.332604204626 199.033265589565 -510.021595559487</t>
  </si>
  <si>
    <t>-647.532985601727 246.111545020738 -231.883530597501</t>
  </si>
  <si>
    <t>-429.368401732415 171.772475016564 -203.135586061382</t>
  </si>
  <si>
    <t>-616.314980021616 112.222283641635 -98.7064932098699</t>
  </si>
  <si>
    <t>-625.415432511405 135.07394935201 316.139996288099</t>
  </si>
  <si>
    <t>-666.461480128709 171.298517566381 775.99336086319</t>
  </si>
  <si>
    <t>-515.560216205653 177.776320144788 831.407060709447</t>
  </si>
  <si>
    <t>-620.038616572561 -78.824767034499 321.482241637346</t>
  </si>
  <si>
    <t>-657.613213829416 -108.148720035559 782.123737909847</t>
  </si>
  <si>
    <t>-504.426172709751 -120.777601546642 829.642789650847</t>
  </si>
  <si>
    <t>9763-20170724T115322.465865900.bin</t>
  </si>
  <si>
    <t>-620.779966128153 20.0166364036206 -94.5627882598993</t>
  </si>
  <si>
    <t>-644.893651885214 18.9591761082399 -202.613325341495</t>
  </si>
  <si>
    <t>-657.270458252956 18.0829004714847 -294.656214885824</t>
  </si>
  <si>
    <t>-666.203042339547 17.3657748679589 -378.06979234304</t>
  </si>
  <si>
    <t>-672.314299474677 16.6905099932067 -461.737779395343</t>
  </si>
  <si>
    <t>-678.148599327329 15.7541926122537 -584.25314956409</t>
  </si>
  <si>
    <t>-659.744105445093 18.8926985181595 -660.355830925897</t>
  </si>
  <si>
    <t>-673.695929746461 47.4674840624182 -530.823797556668</t>
  </si>
  <si>
    <t>-645.739551365501 199.482170527806 -509.661319896729</t>
  </si>
  <si>
    <t>-647.368304993099 246.562210863278 -231.525801440927</t>
  </si>
  <si>
    <t>-429.391314728075 171.821650616813 -202.398133890598</t>
  </si>
  <si>
    <t>-615.674135027803 112.512973124155 -98.5798347719657</t>
  </si>
  <si>
    <t>-625.018505097467 135.122467979768 316.274491952631</t>
  </si>
  <si>
    <t>-666.408946276395 171.282470055389 776.091288419185</t>
  </si>
  <si>
    <t>-515.526156155916 177.778218653615 831.553117425387</t>
  </si>
  <si>
    <t>-619.496096466595 -78.5959378649093 321.544385948254</t>
  </si>
  <si>
    <t>-657.616931347845 -108.138181849325 782.120586565102</t>
  </si>
  <si>
    <t>-504.456648040305 -120.937306044711 829.680436733411</t>
  </si>
  <si>
    <t>9763-20170724T115322.531045800.bin</t>
  </si>
  <si>
    <t>-619.692334727653 20.4423320606479 -94.456809071288</t>
  </si>
  <si>
    <t>-643.862788640684 19.4611264013806 -202.495311413696</t>
  </si>
  <si>
    <t>-656.310720974401 18.6731275244199 -294.529317989804</t>
  </si>
  <si>
    <t>-665.316808754514 18.0455551130419 -377.935793273019</t>
  </si>
  <si>
    <t>-671.510836487726 17.4677396224972 -461.598379823561</t>
  </si>
  <si>
    <t>-677.47647726247 16.6807665620063 -584.108407917559</t>
  </si>
  <si>
    <t>-659.078893559489 19.7438443844053 -660.215970780781</t>
  </si>
  <si>
    <t>-672.874191520515 48.3230454529919 -530.649683564579</t>
  </si>
  <si>
    <t>-644.275229325307 200.14560487375 -508.991686081694</t>
  </si>
  <si>
    <t>-647.06296675586 247.371462450686 -230.890094652845</t>
  </si>
  <si>
    <t>-429.452445652835 172.13928970062 -200.323373502</t>
  </si>
  <si>
    <t>-614.38195369123 112.933395075222 -98.3839235725236</t>
  </si>
  <si>
    <t>-624.6569412234 135.199353433871 316.467017045356</t>
  </si>
  <si>
    <t>-666.325382212819 171.309399797195 776.282322746586</t>
  </si>
  <si>
    <t>-515.464088498733 177.763387450881 831.807431035359</t>
  </si>
  <si>
    <t>-618.826983214069 -78.2986094445303 321.600006929136</t>
  </si>
  <si>
    <t>-657.870470939577 -108.022488160691 782.065851674625</t>
  </si>
  <si>
    <t>-504.594924747385 -120.827876128043 829.25114482109</t>
  </si>
  <si>
    <t>9763-20170724T115322.563132900.bin</t>
  </si>
  <si>
    <t>-619.311087050112 20.6656420691149 -94.435018154753</t>
  </si>
  <si>
    <t>-643.421883244488 19.7122045393671 -202.487157090087</t>
  </si>
  <si>
    <t>-655.790952515926 18.9492066436085 -294.531982716768</t>
  </si>
  <si>
    <t>-664.71426665496 18.3455412160977 -377.947554271597</t>
  </si>
  <si>
    <t>-670.813951468658 17.7922371391132 -461.61721248529</t>
  </si>
  <si>
    <t>-676.628940112139 17.042049088454 -584.13486891514</t>
  </si>
  <si>
    <t>-658.207187965502 20.0785522741567 -660.237618110662</t>
  </si>
  <si>
    <t>-672.062259449132 48.666277453817 -530.662363844613</t>
  </si>
  <si>
    <t>-643.279325939764 200.424620548043 -508.813737258827</t>
  </si>
  <si>
    <t>-646.565903145884 247.553543360131 -230.701145784322</t>
  </si>
  <si>
    <t>-429.108573505292 172.122451593768 -199.54031193382</t>
  </si>
  <si>
    <t>-613.843420972996 113.160408491752 -98.3382733340667</t>
  </si>
  <si>
    <t>-624.568179726822 135.314381586697 316.50716970478</t>
  </si>
  <si>
    <t>-666.285535979917 171.350868662365 776.34088647234</t>
  </si>
  <si>
    <t>-515.431402951796 177.76704311309 831.889723864283</t>
  </si>
  <si>
    <t>-618.854718849442 -78.2145731924838 321.591410429445</t>
  </si>
  <si>
    <t>-658.155263359143 -107.921394245269 782.007227458666</t>
  </si>
  <si>
    <t>-504.734392634631 -120.702372807525 828.724520849419</t>
  </si>
  <si>
    <t>9763-20170724T115322.631336500.bin</t>
  </si>
  <si>
    <t>-618.702161243751 21.1727107102997 -94.4799148615325</t>
  </si>
  <si>
    <t>-642.508231937584 20.2823567100038 -202.600200639728</t>
  </si>
  <si>
    <t>-654.501742834529 19.5565717453198 -294.694978916965</t>
  </si>
  <si>
    <t>-663.037918950067 18.9838412678891 -378.151224354219</t>
  </si>
  <si>
    <t>-668.702387150912 18.4589584613618 -461.851812223128</t>
  </si>
  <si>
    <t>-673.828623511634 17.7483481652164 -584.40024405898</t>
  </si>
  <si>
    <t>-655.274602906952 20.7457400125472 -660.472449523622</t>
  </si>
  <si>
    <t>-669.521086608678 49.352641907218 -530.894616251611</t>
  </si>
  <si>
    <t>-640.507064124865 201.017664063052 -508.680722137572</t>
  </si>
  <si>
    <t>-644.821930816509 247.540122848474 -230.479884940564</t>
  </si>
  <si>
    <t>-427.385532529806 172.295546228512 -198.727972879897</t>
  </si>
  <si>
    <t>-612.657622382085 113.604981587849 -98.3507911173112</t>
  </si>
  <si>
    <t>-624.690497464363 135.558897736421 316.469492259845</t>
  </si>
  <si>
    <t>-666.236244082956 171.403130144149 776.35044238739</t>
  </si>
  <si>
    <t>-515.399166380618 177.790915257435 831.948967792589</t>
  </si>
  <si>
    <t>-619.59119136303 -78.1748538764271 321.450314044461</t>
  </si>
  <si>
    <t>-658.99944501572 -107.728452360196 781.806224338741</t>
  </si>
  <si>
    <t>-505.208372943482 -121.085312193259 827.124257337702</t>
  </si>
  <si>
    <t>9763-20170724T115322.665433500.bin</t>
  </si>
  <si>
    <t>-618.434123681273 21.3572285724556 -94.5605572493621</t>
  </si>
  <si>
    <t>-642.062731276311 20.4979652798047 -202.719997756042</t>
  </si>
  <si>
    <t>-653.859025672568 19.784413670669 -294.840415264637</t>
  </si>
  <si>
    <t>-662.197698811065 19.2202096660192 -378.316599116949</t>
  </si>
  <si>
    <t>-667.645533302299 18.7005695839609 -462.031482473468</t>
  </si>
  <si>
    <t>-672.434124815868 17.9950410280796 -584.593791411883</t>
  </si>
  <si>
    <t>-653.7928782833 20.9443250912709 -660.646488646648</t>
  </si>
  <si>
    <t>-668.243909422742 49.5951461043471 -531.076142251537</t>
  </si>
  <si>
    <t>-639.174798280669 201.2387700474 -508.768349390178</t>
  </si>
  <si>
    <t>-643.951191900496 247.179723671798 -230.478664700291</t>
  </si>
  <si>
    <t>-426.481442784484 172.093528084397 -198.580035431119</t>
  </si>
  <si>
    <t>-612.071860306801 113.709544134735 -98.4120544006557</t>
  </si>
  <si>
    <t>-624.803793357572 135.613504404656 316.389951200487</t>
  </si>
  <si>
    <t>-666.217965205553 171.458323563631 776.305601243541</t>
  </si>
  <si>
    <t>-515.384217179623 177.749094363608 831.924125234717</t>
  </si>
  <si>
    <t>-620.009841088858 -78.2352435913767 321.339470725147</t>
  </si>
  <si>
    <t>-659.387278493344 -107.666109510434 781.699753823408</t>
  </si>
  <si>
    <t>-505.427811212745 -121.26993595529 826.367866820086</t>
  </si>
  <si>
    <t>9763-20170724T115322.730604200.bin</t>
  </si>
  <si>
    <t>-617.876730191351 21.6051180569284 -94.7546343966709</t>
  </si>
  <si>
    <t>-641.199515059874 20.7653767324439 -202.980524655856</t>
  </si>
  <si>
    <t>-652.691161980917 20.072786537836 -295.139589777167</t>
  </si>
  <si>
    <t>-660.735804062008 19.5330086840122 -378.644849092027</t>
  </si>
  <si>
    <t>-665.870858045069 19.0418762219124 -462.379666027149</t>
  </si>
  <si>
    <t>-670.181968960143 18.3828029988651 -584.959915578998</t>
  </si>
  <si>
    <t>-651.325554229884 21.191051390259 -660.964883520546</t>
  </si>
  <si>
    <t>-666.115320668898 49.9566858324699 -531.417393006275</t>
  </si>
  <si>
    <t>-636.260545828545 201.365230229042 -508.561950170382</t>
  </si>
  <si>
    <t>-641.904528151094 246.01910937844 -230.078940347145</t>
  </si>
  <si>
    <t>-424.368640618926 171.217365126652 -197.964019783112</t>
  </si>
  <si>
    <t>-610.959263242503 114.057910295936 -98.62297516621</t>
  </si>
  <si>
    <t>-624.56012607549 135.752616599179 316.162513262115</t>
  </si>
  <si>
    <t>-666.178956502921 171.501192374952 776.107633079404</t>
  </si>
  <si>
    <t>-515.373889570633 177.763634903588 831.807176932067</t>
  </si>
  <si>
    <t>-620.245505035691 -78.6076811476053 321.164545375847</t>
  </si>
  <si>
    <t>-659.836036354943 -107.616221985649 781.586063907397</t>
  </si>
  <si>
    <t>-505.729877392575 -122.017310311124 825.491900062492</t>
  </si>
  <si>
    <t>9763-20170724T115322.763703300.bin</t>
  </si>
  <si>
    <t>-617.516833933164 21.655923048537 -94.835955415833</t>
  </si>
  <si>
    <t>-640.734942192416 20.8197855234744 -203.084468300847</t>
  </si>
  <si>
    <t>-652.120294481062 20.1452892432624 -295.25685291925</t>
  </si>
  <si>
    <t>-660.061625007758 19.6285470799414 -378.772149243428</t>
  </si>
  <si>
    <t>-665.086095886521 19.1664366042551 -462.513860158912</t>
  </si>
  <si>
    <t>-669.227679544425 18.5560814064031 -585.100123097162</t>
  </si>
  <si>
    <t>-650.260102922993 21.29980595035 -661.079909380442</t>
  </si>
  <si>
    <t>-665.194591057391 50.1058074164362 -531.540932039004</t>
  </si>
  <si>
    <t>-634.901306993502 201.369552517634 -508.348327541829</t>
  </si>
  <si>
    <t>-640.808876356138 245.448376604834 -229.779145675249</t>
  </si>
  <si>
    <t>-423.213713753078 170.839214650597 -197.617848883505</t>
  </si>
  <si>
    <t>-610.415896004008 114.185059580578 -98.7130595731953</t>
  </si>
  <si>
    <t>-624.342732223129 135.843324831036 316.063510348284</t>
  </si>
  <si>
    <t>-666.170286674178 171.511045780532 775.999310535924</t>
  </si>
  <si>
    <t>-515.384053517701 177.769368979446 831.750253321516</t>
  </si>
  <si>
    <t>-620.118064142293 -78.9038193530141 321.105009270882</t>
  </si>
  <si>
    <t>-659.935401963804 -107.627876057209 781.568667876413</t>
  </si>
  <si>
    <t>-505.81320901395 -122.39053375608 825.297818740693</t>
  </si>
  <si>
    <t>9763-20170724T115322.828872900.bin</t>
  </si>
  <si>
    <t>-616.738880550349 21.9669768564681 -94.9308456741538</t>
  </si>
  <si>
    <t>-639.765621155757 21.1194462849633 -203.219978014253</t>
  </si>
  <si>
    <t>-650.929693085926 20.4978964877714 -295.419958793212</t>
  </si>
  <si>
    <t>-658.647124959492 20.0541795275585 -378.956468607426</t>
  </si>
  <si>
    <t>-663.423665008375 19.6894117094541 -462.713373348743</t>
  </si>
  <si>
    <t>-667.176543170869 19.2481372576669 -585.31294773225</t>
  </si>
  <si>
    <t>-647.909194532794 21.934750513343 -661.219097935438</t>
  </si>
  <si>
    <t>-663.27210371294 50.7210757542719 -531.699003066786</t>
  </si>
  <si>
    <t>-632.646901035475 201.866441943411 -508.171044594498</t>
  </si>
  <si>
    <t>-638.975294492525 244.966408282323 -229.458064037255</t>
  </si>
  <si>
    <t>-421.157793691748 171.023645433375 -197.262890695448</t>
  </si>
  <si>
    <t>-609.445068042155 114.518073625287 -98.8103992892187</t>
  </si>
  <si>
    <t>-624.015809399086 136.015648246631 315.952334393921</t>
  </si>
  <si>
    <t>-666.164890250839 171.527165972857 775.834608600341</t>
  </si>
  <si>
    <t>-515.409009099003 177.823002783479 831.663529386589</t>
  </si>
  <si>
    <t>-619.692845013848 -79.1874266888112 321.054066773538</t>
  </si>
  <si>
    <t>-660.015468625493 -107.601412221378 781.544107707487</t>
  </si>
  <si>
    <t>-505.863038325191 -122.583297333752 825.091765921806</t>
  </si>
  <si>
    <t>9763-20170724T115322.861960400.bin</t>
  </si>
  <si>
    <t>-616.406005035238 22.2251444592994 -94.9543388526594</t>
  </si>
  <si>
    <t>-639.309394132157 21.3456664137398 -203.269421734459</t>
  </si>
  <si>
    <t>-650.346087105859 20.7299383783645 -295.484625332633</t>
  </si>
  <si>
    <t>-657.939136784973 20.3041269130711 -379.032882807576</t>
  </si>
  <si>
    <t>-662.58186301381 19.9697875324196 -462.797161059117</t>
  </si>
  <si>
    <t>-666.129067712945 19.5857863417589 -585.402998907614</t>
  </si>
  <si>
    <t>-646.711345068966 22.265259529187 -661.271221478391</t>
  </si>
  <si>
    <t>-662.298788574345 51.0325521322018 -531.768352057645</t>
  </si>
  <si>
    <t>-631.659522509003 202.160125436715 -508.086868914644</t>
  </si>
  <si>
    <t>-638.091605078833 244.683068576227 -229.287635163932</t>
  </si>
  <si>
    <t>-420.099374639957 171.34377448363 -196.895328124232</t>
  </si>
  <si>
    <t>-609.067162982022 114.732454038945 -98.8431329226084</t>
  </si>
  <si>
    <t>-623.881549284771 136.244161163233 315.91029740732</t>
  </si>
  <si>
    <t>-666.172507337559 171.538562028509 775.782684837472</t>
  </si>
  <si>
    <t>-515.421703918394 177.829257092716 831.625755135302</t>
  </si>
  <si>
    <t>-619.466580174473 -79.2685673977212 321.054311491608</t>
  </si>
  <si>
    <t>-660.036633270096 -107.617825740705 781.537031259874</t>
  </si>
  <si>
    <t>-505.908218050053 -122.962079969261 825.043436761061</t>
  </si>
  <si>
    <t>9763-20170724T115322.929148400.bin</t>
  </si>
  <si>
    <t>-615.80813479391 22.8179479186344 -94.9382022014736</t>
  </si>
  <si>
    <t>-638.500358394839 21.8621686103838 -203.296982658981</t>
  </si>
  <si>
    <t>-649.335775328468 21.2229023405625 -295.535994445048</t>
  </si>
  <si>
    <t>-656.737847260478 20.7904526350906 -379.101270681243</t>
  </si>
  <si>
    <t>-661.180486922135 20.4645703292504 -462.876534524964</t>
  </si>
  <si>
    <t>-664.425337443946 20.1092406845253 -585.490827146562</t>
  </si>
  <si>
    <t>-644.736176814681 22.8556765763149 -661.286597227655</t>
  </si>
  <si>
    <t>-660.759171882039 51.5456927802707 -531.838708952631</t>
  </si>
  <si>
    <t>-630.411764084094 202.711286755734 -508.034938155049</t>
  </si>
  <si>
    <t>-636.931537453654 243.870305583773 -229.033177494089</t>
  </si>
  <si>
    <t>-418.343361667418 172.753924544168 -195.713586243287</t>
  </si>
  <si>
    <t>-608.555334984226 115.299140735208 -98.8909794459368</t>
  </si>
  <si>
    <t>-623.765904672895 136.701277352973 315.853738961489</t>
  </si>
  <si>
    <t>-666.20275005001 171.546363483231 775.70637083123</t>
  </si>
  <si>
    <t>-515.451767001103 177.838380460303 831.548696221718</t>
  </si>
  <si>
    <t>-619.214584408527 -79.3203693900336 321.061921199761</t>
  </si>
  <si>
    <t>-660.038149647849 -107.576352168752 781.522983127867</t>
  </si>
  <si>
    <t>-505.908463629809 -123.042469241934 824.981644529336</t>
  </si>
  <si>
    <t>9763-20170724T115322.964242300.bin</t>
  </si>
  <si>
    <t>-615.539070557411 23.111402481253 -94.9350966789875</t>
  </si>
  <si>
    <t>-638.174540309433 22.1310833843716 -203.305646584744</t>
  </si>
  <si>
    <t>-648.936893480994 21.4632212113268 -295.552988912051</t>
  </si>
  <si>
    <t>-656.262775424282 21.0016997284829 -379.124738411908</t>
  </si>
  <si>
    <t>-660.619121192978 20.6435808321232 -462.904429872653</t>
  </si>
  <si>
    <t>-663.726687794926 20.2380750465786 -585.522172443147</t>
  </si>
  <si>
    <t>-643.841852612245 23.0749824415122 -661.263576465376</t>
  </si>
  <si>
    <t>-660.149664550964 51.6986370487075 -531.878157732572</t>
  </si>
  <si>
    <t>-630.066360004302 202.924499639445 -508.135417795316</t>
  </si>
  <si>
    <t>-636.740177734337 243.581405631915 -229.063601043928</t>
  </si>
  <si>
    <t>-417.74678802749 174.016607441871 -195.1348020984</t>
  </si>
  <si>
    <t>-608.318589606913 115.575398465392 -98.90593488584</t>
  </si>
  <si>
    <t>-623.76296407039 136.889871497807 315.834675924398</t>
  </si>
  <si>
    <t>-666.221344679796 171.551579772186 775.68392317467</t>
  </si>
  <si>
    <t>-515.467533986586 177.85455728152 831.517528052754</t>
  </si>
  <si>
    <t>-619.072283013973 -79.2197597879212 321.068421386316</t>
  </si>
  <si>
    <t>-660.025209027095 -107.532490353203 781.520856917397</t>
  </si>
  <si>
    <t>-505.892192701078 -122.99163553822 824.970220890018</t>
  </si>
  <si>
    <t>9763-20170724T115323.031021600.bin</t>
  </si>
  <si>
    <t>-615.042931813249 23.7009589942506 -94.938051707674</t>
  </si>
  <si>
    <t>-637.621152200324 22.6627301192827 -203.320001375262</t>
  </si>
  <si>
    <t>-648.350904623051 21.8811136979534 -295.570104383167</t>
  </si>
  <si>
    <t>-655.653911747803 21.2897842985774 -379.143149723123</t>
  </si>
  <si>
    <t>-659.993881803031 20.7764426148754 -462.922800771452</t>
  </si>
  <si>
    <t>-663.084528272295 20.1171404749007 -585.539826090956</t>
  </si>
  <si>
    <t>-642.531780136594 23.3733574734608 -661.085837426918</t>
  </si>
  <si>
    <t>-659.588550763187 51.6937873254569 -531.95885880676</t>
  </si>
  <si>
    <t>-630.224539689593 203.177460636774 -508.964454198553</t>
  </si>
  <si>
    <t>-637.075578703731 242.547275034214 -229.712438739687</t>
  </si>
  <si>
    <t>-416.940482880466 177.635967960435 -193.997021192384</t>
  </si>
  <si>
    <t>-607.918471101455 116.179688433573 -98.9484134489203</t>
  </si>
  <si>
    <t>-623.630790617401 137.2624346177 315.793960332978</t>
  </si>
  <si>
    <t>-666.244273840205 171.565155000909 775.648998620597</t>
  </si>
  <si>
    <t>-515.486028229178 177.814908958248 831.476451329857</t>
  </si>
  <si>
    <t>-618.650192835532 -78.9581502188512 321.091637803866</t>
  </si>
  <si>
    <t>-660.02355165064 -107.481438354404 781.50523460812</t>
  </si>
  <si>
    <t>-505.861796851367 -122.812862860885 824.897930909193</t>
  </si>
  <si>
    <t>9763-20170724T115323.064111200.bin</t>
  </si>
  <si>
    <t>-614.731351489422 24.1244527378979 -94.9287933132374</t>
  </si>
  <si>
    <t>-637.328929934765 23.0433182464003 -203.306270065512</t>
  </si>
  <si>
    <t>-648.114624356138 22.1703443381043 -295.549133554678</t>
  </si>
  <si>
    <t>-655.484171332704 21.4735753603661 -379.115447097331</t>
  </si>
  <si>
    <t>-659.906698773552 20.8324640580597 -462.890071697169</t>
  </si>
  <si>
    <t>-663.135666732707 19.9616206689204 -585.502231141375</t>
  </si>
  <si>
    <t>-642.132538269664 23.4529397420592 -660.913571720862</t>
  </si>
  <si>
    <t>-659.611641559281 51.6328021362092 -531.978677963941</t>
  </si>
  <si>
    <t>-630.789290029111 203.304918808364 -509.575476570909</t>
  </si>
  <si>
    <t>-637.018987922558 241.671697226059 -230.169425715276</t>
  </si>
  <si>
    <t>-416.018882411082 180.48904316834 -193.234564535596</t>
  </si>
  <si>
    <t>-607.678036412541 116.626969708387 -98.9613194441279</t>
  </si>
  <si>
    <t>-623.476633189484 137.553870196204 315.785735445887</t>
  </si>
  <si>
    <t>-666.256134979837 171.591982418307 775.638685852493</t>
  </si>
  <si>
    <t>-515.495146288805 177.800715980105 831.463319493792</t>
  </si>
  <si>
    <t>-618.380146690941 -78.7665270621244 321.119004282106</t>
  </si>
  <si>
    <t>-660.025176262751 -107.470278262488 781.497436065461</t>
  </si>
  <si>
    <t>-505.898608814258 -123.206256361718 824.870329930061</t>
  </si>
  <si>
    <t>9763-20170724T115323.129199400.bin</t>
  </si>
  <si>
    <t>-614.002732293159 25.2471700652586 -94.9007771518978</t>
  </si>
  <si>
    <t>-636.760868016072 24.0519982822948 -203.243468602986</t>
  </si>
  <si>
    <t>-647.764407093418 22.9902124788705 -295.458593738196</t>
  </si>
  <si>
    <t>-655.364104368369 22.084142006493 -379.002347798893</t>
  </si>
  <si>
    <t>-660.05001510155 21.1969773252451 -462.760296254414</t>
  </si>
  <si>
    <t>-663.700245935895 19.9266862734266 -585.357147918585</t>
  </si>
  <si>
    <t>-641.571168748553 23.9244617035886 -660.420541081922</t>
  </si>
  <si>
    <t>-660.084367544275 51.7780952791402 -531.94689077432</t>
  </si>
  <si>
    <t>-632.297583248323 203.771004889431 -510.479833427999</t>
  </si>
  <si>
    <t>-635.498360636667 239.203995704115 -230.635525792671</t>
  </si>
  <si>
    <t>-412.497845314899 187.952540716416 -190.728410262986</t>
  </si>
  <si>
    <t>-607.140226289278 117.776155421596 -99.0002242445664</t>
  </si>
  <si>
    <t>-623.068853477139 138.244636551635 315.76464233735</t>
  </si>
  <si>
    <t>-666.290756596729 171.584163488945 775.621751684715</t>
  </si>
  <si>
    <t>-515.524191454233 177.801395614585 831.430460267871</t>
  </si>
  <si>
    <t>-617.706247631007 -78.1087029075488 321.196569372361</t>
  </si>
  <si>
    <t>-660.055242612204 -107.411584679166 781.472663404549</t>
  </si>
  <si>
    <t>-505.898333273203 -123.173580738168 824.728151380736</t>
  </si>
  <si>
    <t>9763-20170724T115323.162287200.bin</t>
  </si>
  <si>
    <t>-613.661598274906 25.9426882815014 -94.8965652591197</t>
  </si>
  <si>
    <t>-636.56856607268 24.665206021044 -203.2069996309</t>
  </si>
  <si>
    <t>-647.686900814148 23.5080490759844 -295.407110439006</t>
  </si>
  <si>
    <t>-655.38590474259 22.5041601695705 -378.940730174926</t>
  </si>
  <si>
    <t>-660.166550147504 21.5085398087515 -462.691987637027</t>
  </si>
  <si>
    <t>-663.95026104711 20.0677158798205 -585.283066622367</t>
  </si>
  <si>
    <t>-641.226655376943 24.2423193456218 -660.159077810865</t>
  </si>
  <si>
    <t>-660.325488280944 51.996630102278 -531.919608465858</t>
  </si>
  <si>
    <t>-633.212631349996 204.186674215056 -510.960171348256</t>
  </si>
  <si>
    <t>-634.308179797646 237.906179724115 -230.88808289158</t>
  </si>
  <si>
    <t>-410.315105839043 193.097312443854 -188.842932892752</t>
  </si>
  <si>
    <t>-606.958544657075 118.503635978376 -99.0453472149743</t>
  </si>
  <si>
    <t>-622.896185882513 138.612702564595 315.736794579024</t>
  </si>
  <si>
    <t>-666.301976006915 171.609282669905 775.608037122363</t>
  </si>
  <si>
    <t>-515.531601583107 177.784572953444 831.411118891455</t>
  </si>
  <si>
    <t>-617.329050988835 -77.6405213859566 321.246001626009</t>
  </si>
  <si>
    <t>-660.077157074703 -107.35810706832 781.46229569678</t>
  </si>
  <si>
    <t>-505.901478240199 -123.143674456787 824.64218765588</t>
  </si>
  <si>
    <t>9763-20170724T115323.230527100.bin</t>
  </si>
  <si>
    <t>-613.290526039158 27.6321641232485 -94.9227957881135</t>
  </si>
  <si>
    <t>-636.346967262569 26.0724876271829 -203.197781603089</t>
  </si>
  <si>
    <t>-647.611736152495 24.7240374753919 -295.377598170531</t>
  </si>
  <si>
    <t>-655.451451711724 23.5622657910626 -378.895971225224</t>
  </si>
  <si>
    <t>-660.381129532603 22.4256924805072 -462.636869616887</t>
  </si>
  <si>
    <t>-664.391677000897 20.7977008488797 -585.218263360764</t>
  </si>
  <si>
    <t>-640.762908644245 25.2022736660178 -659.800406294535</t>
  </si>
  <si>
    <t>-660.778973182204 52.8149571760434 -531.907000929562</t>
  </si>
  <si>
    <t>-634.579527349332 205.253277532189 -511.591871592424</t>
  </si>
  <si>
    <t>-631.523071361191 235.43809513961 -231.13139188968</t>
  </si>
  <si>
    <t>-406.114410939802 205.480206409862 -183.781639062174</t>
  </si>
  <si>
    <t>-606.918596637981 120.205516544543 -99.1918382876898</t>
  </si>
  <si>
    <t>-622.691180764717 139.629499331878 315.629239894055</t>
  </si>
  <si>
    <t>-666.343482016547 171.689598565705 775.569658234095</t>
  </si>
  <si>
    <t>-515.550237551151 177.705821423914 831.328242128829</t>
  </si>
  <si>
    <t>-616.673016282589 -76.5857794837618 321.380479129331</t>
  </si>
  <si>
    <t>-660.142852281274 -107.250689432131 781.441442513982</t>
  </si>
  <si>
    <t>-505.911277007633 -123.01937376793 824.427282194738</t>
  </si>
  <si>
    <t>9763-20170724T115323.263613900.bin</t>
  </si>
  <si>
    <t>-613.164894355979 28.5821197679948 -94.948910008704</t>
  </si>
  <si>
    <t>-636.224800111229 26.871651388275 -203.220826688887</t>
  </si>
  <si>
    <t>-647.540409853964 25.4316230586201 -295.393087872078</t>
  </si>
  <si>
    <t>-655.445665516862 24.1991522572973 -378.904268161672</t>
  </si>
  <si>
    <t>-660.460488902578 23.0052580746046 -462.639325853532</t>
  </si>
  <si>
    <t>-664.617069004773 21.3078565236615 -585.214899855431</t>
  </si>
  <si>
    <t>-640.698711321782 25.7623553122316 -659.701594227929</t>
  </si>
  <si>
    <t>-661.004998096739 53.3589755903051 -531.92399095834</t>
  </si>
  <si>
    <t>-635.330943750889 205.923678592643 -511.887067563754</t>
  </si>
  <si>
    <t>-629.685573488477 234.217625888193 -231.269536076097</t>
  </si>
  <si>
    <t>-404.134366095194 212.895938824414 -180.078078813951</t>
  </si>
  <si>
    <t>-606.951671119042 121.150389800929 -99.2789326715692</t>
  </si>
  <si>
    <t>-622.682941992566 140.228012030037 315.559848199205</t>
  </si>
  <si>
    <t>-666.37816369239 171.719957502232 775.536819330734</t>
  </si>
  <si>
    <t>-515.572336038817 177.721539541949 831.263068944566</t>
  </si>
  <si>
    <t>-616.479413297445 -75.9679313903737 321.43328381496</t>
  </si>
  <si>
    <t>-660.16577002428 -107.195026511356 781.434141589348</t>
  </si>
  <si>
    <t>-505.912210547229 -122.96982971392 824.338879442313</t>
  </si>
  <si>
    <t>9763-20170724T115323.331347100.bin</t>
  </si>
  <si>
    <t>-613.132186451024 30.5511340096496 -94.9524862209613</t>
  </si>
  <si>
    <t>-636.1735396064 28.6493697550993 -203.225207376563</t>
  </si>
  <si>
    <t>-647.567753682179 27.0868778067188 -295.385745445813</t>
  </si>
  <si>
    <t>-655.582516735779 25.7568597975126 -378.884975418918</t>
  </si>
  <si>
    <t>-660.745449609948 24.4820957379952 -462.609829057276</t>
  </si>
  <si>
    <t>-665.160923911497 22.6857110769915 -585.174917707662</t>
  </si>
  <si>
    <t>-640.80841814693 27.2745154100419 -659.512794977753</t>
  </si>
  <si>
    <t>-661.60649629595 54.7891677535613 -531.911740497619</t>
  </si>
  <si>
    <t>-636.579246629991 207.441934654445 -511.735728073593</t>
  </si>
  <si>
    <t>-623.839526476581 232.6460937761 -231.056196561437</t>
  </si>
  <si>
    <t>-399.396543772581 227.295892548877 -171.514172234627</t>
  </si>
  <si>
    <t>-607.176301941851 123.18779955322 -99.4114185085327</t>
  </si>
  <si>
    <t>-623.172181371481 141.396934412907 315.456221777691</t>
  </si>
  <si>
    <t>-666.453989581666 171.848059827931 775.508484310668</t>
  </si>
  <si>
    <t>-515.604346086602 177.702608149473 831.131661147729</t>
  </si>
  <si>
    <t>-616.303652719848 -74.7297775853772 321.503641482365</t>
  </si>
  <si>
    <t>-660.182032760532 -107.077603193094 781.428345851821</t>
  </si>
  <si>
    <t>-505.898186749346 -122.882965460492 824.212785716174</t>
  </si>
  <si>
    <t>9763-20170724T115323.364436000.bin</t>
  </si>
  <si>
    <t>-613.169214984273 31.6026310719199 -94.9620777941766</t>
  </si>
  <si>
    <t>-636.245871763709 29.6332707272213 -203.226050488424</t>
  </si>
  <si>
    <t>-647.653108788407 28.0132043992276 -295.383994899044</t>
  </si>
  <si>
    <t>-655.67288158188 26.6305899924623 -378.881888006531</t>
  </si>
  <si>
    <t>-660.834076654801 25.3037641753197 -462.606020150291</t>
  </si>
  <si>
    <t>-665.239527182741 23.4328763123142 -585.170495536813</t>
  </si>
  <si>
    <t>-640.620503926988 28.0870797724353 -659.416405589485</t>
  </si>
  <si>
    <t>-661.761448298042 55.572293236452 -531.923855555733</t>
  </si>
  <si>
    <t>-637.21885104771 208.317270023246 -511.813187881259</t>
  </si>
  <si>
    <t>-620.193169567931 233.276368875513 -231.339015319565</t>
  </si>
  <si>
    <t>-396.986272436125 235.396547290341 -167.130782560818</t>
  </si>
  <si>
    <t>-607.302066985925 124.303493621443 -99.4704261419625</t>
  </si>
  <si>
    <t>-623.431181444591 142.023764534368 315.41319304752</t>
  </si>
  <si>
    <t>-666.489958558501 171.905467166845 775.510202978769</t>
  </si>
  <si>
    <t>-515.615063035332 177.670662723204 831.07411316315</t>
  </si>
  <si>
    <t>-616.212211243217 -73.9543885999992 321.521348393333</t>
  </si>
  <si>
    <t>-660.192455557219 -107.016139566704 781.411883488373</t>
  </si>
  <si>
    <t>-505.907419225136 -122.990881079559 824.129059065898</t>
  </si>
  <si>
    <t>9763-20170724T115323.433673400.bin</t>
  </si>
  <si>
    <t>-613.374362014872 33.725436166075 -95.0221877189872</t>
  </si>
  <si>
    <t>-636.468611838428 31.6579322198022 -203.280522872017</t>
  </si>
  <si>
    <t>-647.825472874706 29.9424903329048 -295.44303082544</t>
  </si>
  <si>
    <t>-655.773472345964 28.4673274541074 -378.946304167012</t>
  </si>
  <si>
    <t>-660.836394705526 27.0452620251326 -462.6748440852</t>
  </si>
  <si>
    <t>-665.069079277121 25.0334941302494 -585.243016780467</t>
  </si>
  <si>
    <t>-639.958155095614 29.878661162272 -659.311743804273</t>
  </si>
  <si>
    <t>-661.821832134 57.241609704671 -532.023343508352</t>
  </si>
  <si>
    <t>-638.091350548612 210.112870826586 -511.963866784991</t>
  </si>
  <si>
    <t>-610.550671340718 235.474009415192 -232.362617935034</t>
  </si>
  <si>
    <t>-391.677230475682 252.276636559634 -156.463698625973</t>
  </si>
  <si>
    <t>-607.722082946953 126.612836463164 -99.5818913369012</t>
  </si>
  <si>
    <t>-624.022063332405 143.22033297343 315.341094847674</t>
  </si>
  <si>
    <t>-666.546891582863 172.08228961833 775.545545712281</t>
  </si>
  <si>
    <t>-515.626174269213 177.607770867568 831.009490014237</t>
  </si>
  <si>
    <t>-616.020018502865 -72.2219660460346 321.54937566847</t>
  </si>
  <si>
    <t>-660.188465979935 -106.816039211253 781.366363773839</t>
  </si>
  <si>
    <t>-505.868636951341 -122.752063990244 823.972221036466</t>
  </si>
  <si>
    <t>9763-20170724T115323.466761200.bin</t>
  </si>
  <si>
    <t>-613.484909487349 34.7814533046126 -95.034879946071</t>
  </si>
  <si>
    <t>-636.534414029006 32.7144182394616 -203.302915103606</t>
  </si>
  <si>
    <t>-647.845558426266 30.9994311735277 -295.470941409935</t>
  </si>
  <si>
    <t>-655.749139481301 29.5237544411382 -378.978320101063</t>
  </si>
  <si>
    <t>-660.764491228246 28.1015568131454 -462.7098630198</t>
  </si>
  <si>
    <t>-664.924313640827 26.0902368172149 -585.280470452474</t>
  </si>
  <si>
    <t>-639.627488114775 31.0652761018055 -659.277368964944</t>
  </si>
  <si>
    <t>-661.781544572086 58.3013170291993 -532.056363562805</t>
  </si>
  <si>
    <t>-638.352946214121 211.212615546836 -511.835688874397</t>
  </si>
  <si>
    <t>-604.762540123591 237.7394462612 -233.004922359697</t>
  </si>
  <si>
    <t>-388.630169564278 260.460524536659 -151.034956908628</t>
  </si>
  <si>
    <t>-607.961055859298 127.712095991006 -99.5725190762672</t>
  </si>
  <si>
    <t>-624.448303693802 143.812044876231 315.363108724097</t>
  </si>
  <si>
    <t>-666.573149403277 172.161835114876 775.60721555177</t>
  </si>
  <si>
    <t>-515.633164843015 177.600895231446 831.027131584137</t>
  </si>
  <si>
    <t>-615.951019864173 -71.4009334987243 321.546653727153</t>
  </si>
  <si>
    <t>-660.168050818055 -106.736391057462 781.336146542758</t>
  </si>
  <si>
    <t>-505.839589296199 -122.641259607441 823.922434945006</t>
  </si>
  <si>
    <t>9763-20170724T115323.533449200.bin</t>
  </si>
  <si>
    <t>-613.620342158812 36.9488423673697 -94.9569673836897</t>
  </si>
  <si>
    <t>-636.323578924239 34.8980749043521 -203.298223159298</t>
  </si>
  <si>
    <t>-647.46415338203 33.255511111772 -295.488517171659</t>
  </si>
  <si>
    <t>-655.263550863566 31.8653517772655 -379.007122115402</t>
  </si>
  <si>
    <t>-660.224819475731 30.5513098100546 -462.743683875698</t>
  </si>
  <si>
    <t>-664.36076049499 28.7231928611798 -585.318009818753</t>
  </si>
  <si>
    <t>-638.784439304185 33.9629332836817 -659.20040270071</t>
  </si>
  <si>
    <t>-661.350976052236 60.8595875388028 -532.041126218928</t>
  </si>
  <si>
    <t>-638.405801357819 213.771824567936 -511.346258343199</t>
  </si>
  <si>
    <t>-593.334248050432 243.988137254717 -234.517632161483</t>
  </si>
  <si>
    <t>-383.003948686486 274.487011067888 -140.818361053867</t>
  </si>
  <si>
    <t>-608.292947594441 129.725789034671 -99.4327346924973</t>
  </si>
  <si>
    <t>-625.654379574832 145.122039231496 315.493926046965</t>
  </si>
  <si>
    <t>-666.686522824555 172.298127650839 775.836779208873</t>
  </si>
  <si>
    <t>-515.705577344096 177.549557764525 831.163126585569</t>
  </si>
  <si>
    <t>-615.924505304685 -69.9472916145792 321.534065964653</t>
  </si>
  <si>
    <t>-660.058639068295 -106.618803458493 781.280740751727</t>
  </si>
  <si>
    <t>-505.770023746612 -122.677130044735 823.953601470448</t>
  </si>
  <si>
    <t>9763-20170724T115323.565532500.bin</t>
  </si>
  <si>
    <t>-613.53433382175 38.0004935138131 -94.8958426999491</t>
  </si>
  <si>
    <t>-636.018131934339 36.004452268405 -203.284100533872</t>
  </si>
  <si>
    <t>-647.066053411291 34.4480920193646 -295.486822996767</t>
  </si>
  <si>
    <t>-654.819535842964 33.1512742968769 -379.011388080412</t>
  </si>
  <si>
    <t>-659.772840006778 31.9467529411349 -462.749802147486</t>
  </si>
  <si>
    <t>-663.939083941728 30.2963796886991 -585.325697810966</t>
  </si>
  <si>
    <t>-638.278649936211 35.6572787441298 -659.170246697595</t>
  </si>
  <si>
    <t>-660.950811954908 62.3568327738672 -532.001856850192</t>
  </si>
  <si>
    <t>-638.061476249979 215.219743158396 -510.946575940927</t>
  </si>
  <si>
    <t>-588.165463490666 247.145826089381 -235.139183939936</t>
  </si>
  <si>
    <t>-380.803245006147 280.418506249966 -135.930688266888</t>
  </si>
  <si>
    <t>-608.19031164634 130.715974112448 -99.3391677573929</t>
  </si>
  <si>
    <t>-626.221061998956 145.729152434887 315.572948145078</t>
  </si>
  <si>
    <t>-666.726133892934 172.333813850369 775.9448191951</t>
  </si>
  <si>
    <t>-515.730763132745 177.58154205715 831.232116915141</t>
  </si>
  <si>
    <t>-615.899185414731 -69.3119356028697 321.526651098757</t>
  </si>
  <si>
    <t>-659.969386385572 -106.561760972035 781.257772517643</t>
  </si>
  <si>
    <t>-505.698720454714 -122.548185312257 824.022485002109</t>
  </si>
  <si>
    <t>9763-20170724T115323.630256700.bin</t>
  </si>
  <si>
    <t>-613.018066716447 39.7702299641667 -94.6995276382504</t>
  </si>
  <si>
    <t>-635.110574343914 37.9497495957946 -203.171233060572</t>
  </si>
  <si>
    <t>-645.930761607209 36.5910431353973 -295.404088010577</t>
  </si>
  <si>
    <t>-653.520242238855 35.4954423820575 -378.946626742951</t>
  </si>
  <si>
    <t>-658.351736589227 34.5142843780529 -462.695116482185</t>
  </si>
  <si>
    <t>-662.386518524062 33.2152577591867 -585.279662196935</t>
  </si>
  <si>
    <t>-636.548277646304 38.7522110370721 -659.049072975636</t>
  </si>
  <si>
    <t>-659.427763201177 65.1217545414884 -531.861839191899</t>
  </si>
  <si>
    <t>-636.378260557682 217.877328645644 -510.101616962143</t>
  </si>
  <si>
    <t>-580.187505546293 250.731952686134 -235.617050214071</t>
  </si>
  <si>
    <t>-376.29253209786 285.398394489852 -129.911801606506</t>
  </si>
  <si>
    <t>-661.804437910328 2.44869901376796 -531.119467729994</t>
  </si>
  <si>
    <t>-607.411048858158 132.544538357492 -99.1123645726917</t>
  </si>
  <si>
    <t>-626.921218261818 146.74377872358 315.761475055544</t>
  </si>
  <si>
    <t>-666.796429597084 172.460246088395 776.223449322808</t>
  </si>
  <si>
    <t>-515.782096115463 177.545620428155 831.47409461534</t>
  </si>
  <si>
    <t>-615.661859125654 -68.2273328782053 321.556086984849</t>
  </si>
  <si>
    <t>-659.76868170186 -106.570023296558 781.236291724881</t>
  </si>
  <si>
    <t>-505.659596845288 -123.409039156459 824.255553206392</t>
  </si>
  <si>
    <t>9763-20170724T115323.662346000.bin</t>
  </si>
  <si>
    <t>-612.631966994478 40.5414560586676 -94.593720448734</t>
  </si>
  <si>
    <t>-634.561291338436 38.820106149298 -203.10012229448</t>
  </si>
  <si>
    <t>-645.264085109463 37.573314352202 -295.348241847669</t>
  </si>
  <si>
    <t>-652.755790403196 36.5920297148771 -378.900897598183</t>
  </si>
  <si>
    <t>-657.49797091914 35.737099415041 -462.656078405345</t>
  </si>
  <si>
    <t>-661.411599618879 34.6354199104767 -585.246376301284</t>
  </si>
  <si>
    <t>-635.482542860716 40.2507983503021 -658.978111537385</t>
  </si>
  <si>
    <t>-658.434876450855 66.4530965590131 -531.776674204456</t>
  </si>
  <si>
    <t>-635.262125694966 219.16042923539 -509.922080324649</t>
  </si>
  <si>
    <t>-577.84241421838 252.077340857256 -235.69945940055</t>
  </si>
  <si>
    <t>-375.288538590908 287.326577462382 -127.634942099674</t>
  </si>
  <si>
    <t>-660.953780063198 3.78457614872013 -531.133053247268</t>
  </si>
  <si>
    <t>-606.885122291037 133.42466373543 -98.9693834470839</t>
  </si>
  <si>
    <t>-627.00543518523 147.094485485301 315.893126810108</t>
  </si>
  <si>
    <t>-666.825382215835 172.523301985316 776.377786284489</t>
  </si>
  <si>
    <t>-515.806636319508 177.513277771321 831.625054678988</t>
  </si>
  <si>
    <t>-615.467420496385 -67.6001914554822 321.601243640224</t>
  </si>
  <si>
    <t>-659.671074931675 -106.541949877618 781.234845572311</t>
  </si>
  <si>
    <t>-505.584974730593 -123.307808881694 824.364977307292</t>
  </si>
  <si>
    <t>9763-20170724T115323.730029800.bin</t>
  </si>
  <si>
    <t>-611.74247248695 41.8993945731702 -94.349749891081</t>
  </si>
  <si>
    <t>-633.391623097985 40.3818805124915 -202.915452816249</t>
  </si>
  <si>
    <t>-643.91396023086 39.3537987068985 -295.187068737115</t>
  </si>
  <si>
    <t>-651.265197753377 38.5928822660769 -378.754533156121</t>
  </si>
  <si>
    <t>-655.889865692011 37.9774102561501 -462.518199674917</t>
  </si>
  <si>
    <t>-659.657001683882 37.246497455646 -585.115947658181</t>
  </si>
  <si>
    <t>-633.539643671394 42.9914575289126 -658.771166081888</t>
  </si>
  <si>
    <t>-656.568591130449 68.8946682780775 -531.552052873081</t>
  </si>
  <si>
    <t>-633.11956897654 221.550105638165 -509.541267700235</t>
  </si>
  <si>
    <t>-573.593422879557 254.456226719999 -235.76683919556</t>
  </si>
  <si>
    <t>-372.863805451544 289.396426726063 -124.253152117949</t>
  </si>
  <si>
    <t>-659.439486618278 6.23964359871366 -531.090241226264</t>
  </si>
  <si>
    <t>-605.631312868524 134.892510908887 -98.603677717058</t>
  </si>
  <si>
    <t>-626.915747063384 147.739258377216 316.227111743709</t>
  </si>
  <si>
    <t>-666.856344518987 172.549502009917 776.737219737608</t>
  </si>
  <si>
    <t>-515.845164279112 177.305647061049 832.025742537513</t>
  </si>
  <si>
    <t>-614.877662034337 -66.5050579629012 321.752690140276</t>
  </si>
  <si>
    <t>-659.536833127897 -106.517993431731 781.239092495479</t>
  </si>
  <si>
    <t>-505.547697515097 -123.796949653909 824.51260756026</t>
  </si>
  <si>
    <t>9763-20170724T115323.764121500.bin</t>
  </si>
  <si>
    <t>-611.228036463849 42.5229517563398 -94.2118943437915</t>
  </si>
  <si>
    <t>-632.808543225377 41.0608363560339 -202.791978019435</t>
  </si>
  <si>
    <t>-643.302050195511 40.1277562869186 -295.067897988784</t>
  </si>
  <si>
    <t>-650.639122695808 39.4724850047307 -378.637458950792</t>
  </si>
  <si>
    <t>-655.261406517407 38.9813246228459 -462.402166417825</t>
  </si>
  <si>
    <t>-659.038371915348 38.4510496362152 -585.00068133286</t>
  </si>
  <si>
    <t>-632.818722060606 44.2747827092592 -658.613379914163</t>
  </si>
  <si>
    <t>-655.857948252804 70.0074231635783 -531.387910826516</t>
  </si>
  <si>
    <t>-632.15840286944 222.604261023004 -509.25872460044</t>
  </si>
  <si>
    <t>-570.53101768374 255.728826732985 -235.97614580917</t>
  </si>
  <si>
    <t>-370.870444553887 289.983515889586 -122.350349402394</t>
  </si>
  <si>
    <t>-658.904161064824 7.36013312376485 -531.0231606946</t>
  </si>
  <si>
    <t>-604.945136728867 135.535604169302 -98.4352792225288</t>
  </si>
  <si>
    <t>-626.753144447247 148.049280209214 316.378500800481</t>
  </si>
  <si>
    <t>-666.87996001386 172.523105839486 776.902259336763</t>
  </si>
  <si>
    <t>-515.870482901378 177.164753433969 832.205196266658</t>
  </si>
  <si>
    <t>-614.619681371418 -66.1651275425295 321.830189784847</t>
  </si>
  <si>
    <t>-659.485803701262 -106.487596345144 781.246189107226</t>
  </si>
  <si>
    <t>-505.526617856058 -123.91694291131 824.566005644853</t>
  </si>
  <si>
    <t>9763-20170724T115323.829889500.bin</t>
  </si>
  <si>
    <t>-610.202977586006 43.7817754293749 -93.9834366944298</t>
  </si>
  <si>
    <t>-631.755626353757 42.4045523272473 -202.570170549798</t>
  </si>
  <si>
    <t>-642.254774766098 41.6704801994654 -294.847208362287</t>
  </si>
  <si>
    <t>-649.608486627381 41.2466601798103 -378.416828712013</t>
  </si>
  <si>
    <t>-654.259184672716 41.0342479756487 -462.1811169343</t>
  </si>
  <si>
    <t>-658.090574463897 40.9614207437526 -584.779122941972</t>
  </si>
  <si>
    <t>-631.737752237713 47.0076629974951 -658.326276698309</t>
  </si>
  <si>
    <t>-654.7025851239 72.3079510388525 -531.056075892396</t>
  </si>
  <si>
    <t>-630.015370368611 224.652645806098 -508.305730871486</t>
  </si>
  <si>
    <t>-562.426288107027 257.863149725044 -236.446581034279</t>
  </si>
  <si>
    <t>-365.731797552031 292.028075117086 -117.73466371207</t>
  </si>
  <si>
    <t>-658.116212080878 9.6787481364629 -530.912294960395</t>
  </si>
  <si>
    <t>-603.624425270116 136.837446931381 -98.145077174087</t>
  </si>
  <si>
    <t>-626.182977227782 148.657684214107 316.648872706112</t>
  </si>
  <si>
    <t>-666.908182451273 172.420357854247 777.180081050654</t>
  </si>
  <si>
    <t>-515.911124428747 176.950396122475 832.526227166189</t>
  </si>
  <si>
    <t>-614.257817758712 -65.5004809384334 321.983308720527</t>
  </si>
  <si>
    <t>-659.356404244925 -106.44402453925 781.290102527754</t>
  </si>
  <si>
    <t>-505.435795245394 -123.923519170685 824.726608463257</t>
  </si>
  <si>
    <t>9763-20170724T115323.861974500.bin</t>
  </si>
  <si>
    <t>-609.626424778479 44.4528456110472 -93.8894757033323</t>
  </si>
  <si>
    <t>-631.153841704964 43.1219742801989 -202.481888205474</t>
  </si>
  <si>
    <t>-641.66562171474 42.4735342458453 -294.758253664876</t>
  </si>
  <si>
    <t>-649.044281867545 42.1465372569037 -378.325944850735</t>
  </si>
  <si>
    <t>-653.733669629559 42.0479894987834 -462.088361949401</t>
  </si>
  <si>
    <t>-657.636462761447 42.1599530252508 -584.683863394482</t>
  </si>
  <si>
    <t>-631.288395815235 48.3375483147502 -658.221961672095</t>
  </si>
  <si>
    <t>-654.114824111635 73.4198519578595 -530.919141940791</t>
  </si>
  <si>
    <t>-628.931394239787 225.648926506007 -507.942249934416</t>
  </si>
  <si>
    <t>-557.558254405189 258.635277998487 -237.024556357188</t>
  </si>
  <si>
    <t>-362.754607653933 293.637160430228 -115.472411676964</t>
  </si>
  <si>
    <t>-657.733080454633 10.8018223553481 -530.861096834399</t>
  </si>
  <si>
    <t>-602.846513436634 137.437795184974 -98.0027881592607</t>
  </si>
  <si>
    <t>-625.892570554187 148.943701205338 316.773167563363</t>
  </si>
  <si>
    <t>-666.927032794948 172.363102917095 777.296392103893</t>
  </si>
  <si>
    <t>-515.936302481897 176.79985284337 832.667351942661</t>
  </si>
  <si>
    <t>-614.09921120173 -65.1545287378869 322.053626157974</t>
  </si>
  <si>
    <t>-659.284962816504 -106.438558362798 781.313764603952</t>
  </si>
  <si>
    <t>-505.420588459702 -124.212980236784 824.829880416041</t>
  </si>
  <si>
    <t>9763-20170724T115323.931695400.bin</t>
  </si>
  <si>
    <t>-608.394870293646 45.5853393087607 -93.7328989814444</t>
  </si>
  <si>
    <t>-629.81206840406 44.3907600797165 -202.348617905854</t>
  </si>
  <si>
    <t>-640.323597023174 43.9280009637373 -294.626103957715</t>
  </si>
  <si>
    <t>-647.739091291723 43.8009367968359 -378.191279811456</t>
  </si>
  <si>
    <t>-652.502687301843 43.929327650721 -461.949435273676</t>
  </si>
  <si>
    <t>-656.555018418262 44.4012952854887 -584.539214217188</t>
  </si>
  <si>
    <t>-630.324571444361 50.8805885496433 -658.093274514964</t>
  </si>
  <si>
    <t>-652.714732349379 75.4875249269141 -530.695616269865</t>
  </si>
  <si>
    <t>-626.586788811948 227.529762142833 -507.519909844239</t>
  </si>
  <si>
    <t>-547.701396961988 260.558738175407 -238.698837451837</t>
  </si>
  <si>
    <t>-356.139804275103 296.811135000543 -112.451168800172</t>
  </si>
  <si>
    <t>-656.839050812758 12.9008473746799 -530.800137594289</t>
  </si>
  <si>
    <t>-600.960051266672 138.592001780931 -97.7878863989432</t>
  </si>
  <si>
    <t>-625.210951091308 149.472197958326 316.936214514125</t>
  </si>
  <si>
    <t>-666.968936088757 172.274375893157 777.454673133043</t>
  </si>
  <si>
    <t>-515.990971469963 176.600521066516 832.869156197597</t>
  </si>
  <si>
    <t>-613.744784580011 -64.812028425428 322.159154653476</t>
  </si>
  <si>
    <t>-659.097713633477 -106.472817930867 781.379106349083</t>
  </si>
  <si>
    <t>-505.360597757137 -124.785850490199 825.120972257452</t>
  </si>
  <si>
    <t>9763-20170724T115323.963781100.bin</t>
  </si>
  <si>
    <t>-607.738017643287 46.0972191925539 -93.6610720997782</t>
  </si>
  <si>
    <t>-629.097983146943 44.9767652920232 -202.288908754816</t>
  </si>
  <si>
    <t>-639.577199373317 44.6076123784833 -294.570297740205</t>
  </si>
  <si>
    <t>-646.969613202518 44.5801231773289 -378.137611295757</t>
  </si>
  <si>
    <t>-651.716511315878 44.8199535445624 -461.896504903801</t>
  </si>
  <si>
    <t>-655.751312302956 45.4674530630234 -584.486172086329</t>
  </si>
  <si>
    <t>-629.743687476455 52.073426865838 -658.107992404757</t>
  </si>
  <si>
    <t>-651.779888459403 76.467116221522 -530.602035371073</t>
  </si>
  <si>
    <t>-625.130500348888 228.40699879364 -507.347849134688</t>
  </si>
  <si>
    <t>-542.832006446524 261.810585732982 -239.598544791032</t>
  </si>
  <si>
    <t>-353.004325639325 299.235528114309 -111.094116662043</t>
  </si>
  <si>
    <t>-656.181840888579 13.8995613139168 -530.787614179223</t>
  </si>
  <si>
    <t>-599.942305748148 139.213036947714 -97.7074483128712</t>
  </si>
  <si>
    <t>-624.761057348153 149.757542474589 316.991724164857</t>
  </si>
  <si>
    <t>-666.986854438639 172.267483877187 777.496344727878</t>
  </si>
  <si>
    <t>-516.020059656901 176.550852231517 832.94457928724</t>
  </si>
  <si>
    <t>-613.555171899807 -64.5538707080023 322.208966942549</t>
  </si>
  <si>
    <t>-658.986286839786 -106.452869517375 781.415129618061</t>
  </si>
  <si>
    <t>-505.284246987343 -124.750028820449 825.28675006374</t>
  </si>
  <si>
    <t>9763-20170724T115324.030044200.bin</t>
  </si>
  <si>
    <t>-606.423205110229 47.003215430635 -93.5401791112255</t>
  </si>
  <si>
    <t>-627.568411432087 46.0511772551099 -202.211581756492</t>
  </si>
  <si>
    <t>-637.901818707928 45.8801060738751 -294.510109968169</t>
  </si>
  <si>
    <t>-645.176226902646 46.0585087256463 -378.087550656422</t>
  </si>
  <si>
    <t>-649.819035169902 46.525836489257 -461.85135879417</t>
  </si>
  <si>
    <t>-653.717057496571 47.5275492280746 -584.442967458896</t>
  </si>
  <si>
    <t>-628.972988386803 54.2279473274739 -658.490650591607</t>
  </si>
  <si>
    <t>-649.520628865808 78.3500388124583 -530.474397336301</t>
  </si>
  <si>
    <t>-621.917809635776 230.10666268521 -507.058938713236</t>
  </si>
  <si>
    <t>-533.114055579019 264.480337582726 -241.51992332832</t>
  </si>
  <si>
    <t>-346.033149156769 303.696266556454 -109.56782362233</t>
  </si>
  <si>
    <t>-654.492658390135 15.8259357875932 -530.827321080775</t>
  </si>
  <si>
    <t>-597.920882699045 140.275662221008 -97.5419442830409</t>
  </si>
  <si>
    <t>-623.888425047508 150.277584591769 317.100408035804</t>
  </si>
  <si>
    <t>-667.001310168293 172.299285950069 777.544907770118</t>
  </si>
  <si>
    <t>-516.065592199269 176.534908655219 833.081382615663</t>
  </si>
  <si>
    <t>-613.28643187742 -64.1972741818429 322.27841399309</t>
  </si>
  <si>
    <t>-658.725080074594 -106.467466228271 781.486944855041</t>
  </si>
  <si>
    <t>-505.138661957151 -124.936758768796 825.690049272983</t>
  </si>
  <si>
    <t>9763-20170724T115324.063131700.bin</t>
  </si>
  <si>
    <t>-605.898107288279 47.2784284584029 -93.4894935685397</t>
  </si>
  <si>
    <t>-626.866528958457 46.4269720572629 -202.195920060804</t>
  </si>
  <si>
    <t>-637.102126043919 46.3444499928607 -294.505525834246</t>
  </si>
  <si>
    <t>-644.308560495278 46.6070181007926 -378.08874035065</t>
  </si>
  <si>
    <t>-648.903987462079 47.1592460149625 -461.854443990952</t>
  </si>
  <si>
    <t>-652.755272865772 48.2854459654016 -584.446570607528</t>
  </si>
  <si>
    <t>-628.886243514797 54.9418105251743 -658.784794443299</t>
  </si>
  <si>
    <t>-648.413582194239 79.0395436337581 -530.450494869845</t>
  </si>
  <si>
    <t>-620.192678472196 230.676671121181 -507.006798915024</t>
  </si>
  <si>
    <t>-528.756509792593 265.537227156667 -242.426554030641</t>
  </si>
  <si>
    <t>-342.877917501237 305.571198101131 -109.028757834614</t>
  </si>
  <si>
    <t>-653.717132314286 16.543104515282 -530.857998901454</t>
  </si>
  <si>
    <t>-597.000474046439 140.621487512008 -97.4603668409014</t>
  </si>
  <si>
    <t>-623.631014691408 150.452486199209 317.143957985141</t>
  </si>
  <si>
    <t>-667.015948745031 172.330336996547 777.559284811197</t>
  </si>
  <si>
    <t>-516.091788604067 176.536407894049 833.129343129189</t>
  </si>
  <si>
    <t>-613.258841625667 -64.1824289889644 322.29859140141</t>
  </si>
  <si>
    <t>-658.582580908379 -106.508093677007 781.527752054119</t>
  </si>
  <si>
    <t>-505.113010268613 -125.476098063116 825.925208380184</t>
  </si>
  <si>
    <t>9763-20170724T115324.129320700.bin</t>
  </si>
  <si>
    <t>-605.022699858281 47.8524276270148 -93.3509455014179</t>
  </si>
  <si>
    <t>-625.585056278018 47.1879950694092 -202.136239714288</t>
  </si>
  <si>
    <t>-635.636133794735 47.2610801950702 -294.466110628341</t>
  </si>
  <si>
    <t>-642.738766969105 47.6688504567335 -378.057596553765</t>
  </si>
  <si>
    <t>-647.293845954981 48.3630898031163 -461.824511429957</t>
  </si>
  <si>
    <t>-651.155753198518 49.6914174655551 -584.414236950272</t>
  </si>
  <si>
    <t>-628.892373849077 56.0805473711077 -659.272391375261</t>
  </si>
  <si>
    <t>-646.433046337451 80.3224481114012 -530.380086785931</t>
  </si>
  <si>
    <t>-616.797276414973 231.682972575164 -506.939734938759</t>
  </si>
  <si>
    <t>-521.12333123779 267.73593157657 -244.022889268279</t>
  </si>
  <si>
    <t>-337.987983636803 310.154695451825 -107.602080923136</t>
  </si>
  <si>
    <t>-652.489222197709 17.8949654089668 -530.865729942261</t>
  </si>
  <si>
    <t>-595.280788527797 141.289741257846 -97.3059702521485</t>
  </si>
  <si>
    <t>-623.256372052766 150.830541101458 317.21663374029</t>
  </si>
  <si>
    <t>-667.061033597394 172.394434300572 777.58452584042</t>
  </si>
  <si>
    <t>-516.158776180383 176.526831374669 833.219527243233</t>
  </si>
  <si>
    <t>-613.398063556106 -63.9690964819704 322.34877015287</t>
  </si>
  <si>
    <t>-658.335858498791 -106.54557864751 781.59481328557</t>
  </si>
  <si>
    <t>-504.981904942359 -125.729271169747 826.298020837066</t>
  </si>
  <si>
    <t>9763-20170724T115324.164414900.bin</t>
  </si>
  <si>
    <t>-604.644039480064 48.1613751744342 -93.2906517252288</t>
  </si>
  <si>
    <t>-625.05441344702 47.5769060452376 -202.105018002061</t>
  </si>
  <si>
    <t>-635.05548323619 47.6985940307072 -294.440266436188</t>
  </si>
  <si>
    <t>-642.14402054764 48.1454687824678 -378.032710808191</t>
  </si>
  <si>
    <t>-646.716289931326 48.8704176655651 -461.798430704058</t>
  </si>
  <si>
    <t>-650.637804982979 50.2328330217078 -584.386050267533</t>
  </si>
  <si>
    <t>-628.946970707374 56.4505493815154 -659.426255762672</t>
  </si>
  <si>
    <t>-645.697056356778 80.8294541299877 -530.351959046266</t>
  </si>
  <si>
    <t>-615.387175951726 232.064604448873 -506.979996644521</t>
  </si>
  <si>
    <t>-517.733897037564 268.896106993092 -244.900168086847</t>
  </si>
  <si>
    <t>-335.754326951994 312.213161745541 -107.22070341923</t>
  </si>
  <si>
    <t>-652.137128943634 18.4404305820058 -530.839299787007</t>
  </si>
  <si>
    <t>-594.509018678641 141.600703233363 -97.2433339585249</t>
  </si>
  <si>
    <t>-623.053533730609 151.028715889187 317.243011976471</t>
  </si>
  <si>
    <t>-667.096105578943 172.391653599439 777.59517372038</t>
  </si>
  <si>
    <t>-516.198221708606 176.462240288334 833.246616975632</t>
  </si>
  <si>
    <t>-613.56238618959 -63.7957689694085 322.379481982988</t>
  </si>
  <si>
    <t>-658.243858955733 -106.528711358367 781.622740110159</t>
  </si>
  <si>
    <t>-504.934393867445 -125.857627964036 826.415833527075</t>
  </si>
  <si>
    <t>9763-20170724T115324.227581700.bin</t>
  </si>
  <si>
    <t>-604.076788513052 48.7326796291877 -93.2369990618945</t>
  </si>
  <si>
    <t>-624.272790565945 48.3257533179637 -202.092086080355</t>
  </si>
  <si>
    <t>-634.184275225417 48.5030663758071 -294.436954380237</t>
  </si>
  <si>
    <t>-641.227513596777 48.9686633366568 -378.03314919608</t>
  </si>
  <si>
    <t>-645.790860458875 49.6726194558998 -461.79952365541</t>
  </si>
  <si>
    <t>-649.739058643705 50.959123347699 -584.386923482186</t>
  </si>
  <si>
    <t>-628.653589033246 56.8336528541683 -659.627298666906</t>
  </si>
  <si>
    <t>-644.402947319018 81.5473336357784 -530.385868690785</t>
  </si>
  <si>
    <t>-612.715101276892 232.53604203847 -507.23601247901</t>
  </si>
  <si>
    <t>-511.638215393354 270.629821068343 -246.638769359971</t>
  </si>
  <si>
    <t>-332.0655959497 316.018433962234 -106.488562508088</t>
  </si>
  <si>
    <t>-651.610342798132 19.2418142617857 -530.807627282448</t>
  </si>
  <si>
    <t>-593.096416455322 142.171779340007 -97.1535420151846</t>
  </si>
  <si>
    <t>-622.6081208606 151.355799458362 317.270596130981</t>
  </si>
  <si>
    <t>-667.178671142332 172.293817290957 777.596682458823</t>
  </si>
  <si>
    <t>-516.286058016487 176.23370715004 833.271795920733</t>
  </si>
  <si>
    <t>-613.92987385479 -63.5192999635253 322.374333027776</t>
  </si>
  <si>
    <t>-658.080274142151 -106.489155093923 781.658119259777</t>
  </si>
  <si>
    <t>-504.819311129653 -125.904225736039 826.579845450395</t>
  </si>
  <si>
    <t>9763-20170724T115324.266685900.bin</t>
  </si>
  <si>
    <t>-603.885847685334 48.9974218255254 -93.2319900462479</t>
  </si>
  <si>
    <t>-624.017091769914 48.6785627540667 -202.099492650017</t>
  </si>
  <si>
    <t>-633.885244702211 48.897179371434 -294.448960458484</t>
  </si>
  <si>
    <t>-640.89333842374 49.3893689569404 -378.047887768194</t>
  </si>
  <si>
    <t>-645.425805572655 50.1055556358181 -461.815761997304</t>
  </si>
  <si>
    <t>-649.333502196455 51.3931758318829 -584.404604300421</t>
  </si>
  <si>
    <t>-628.372681723707 57.1170843382147 -659.691195379219</t>
  </si>
  <si>
    <t>-643.828624775425 81.9588315642711 -530.407552015383</t>
  </si>
  <si>
    <t>-611.359258716777 232.792072772761 -507.368079556278</t>
  </si>
  <si>
    <t>-509.349877166619 271.322738479789 -247.198711801821</t>
  </si>
  <si>
    <t>-330.413734140797 317.444976791328 -106.475237734648</t>
  </si>
  <si>
    <t>-651.409077200252 19.6974943410637 -530.819797279962</t>
  </si>
  <si>
    <t>-592.524764173694 142.426390067908 -97.1209023436052</t>
  </si>
  <si>
    <t>-622.343270342224 151.529334809122 317.283007622742</t>
  </si>
  <si>
    <t>-667.223869174039 172.226184993745 777.58999326072</t>
  </si>
  <si>
    <t>-516.33343683665 176.152570280406 833.272070293066</t>
  </si>
  <si>
    <t>-614.092466752743 -63.3800993661823 322.368430095276</t>
  </si>
  <si>
    <t>-658.002582123026 -106.472404887276 781.674788946397</t>
  </si>
  <si>
    <t>-504.784644634058 -126.0936095581 826.653675741208</t>
  </si>
  <si>
    <t>9763-20170724T115324.328856500.bin</t>
  </si>
  <si>
    <t>-603.644255899924 49.4665709785643 -93.2104043237925</t>
  </si>
  <si>
    <t>-623.62123424172 49.3125865097084 -202.106688021171</t>
  </si>
  <si>
    <t>-633.39067723948 49.6336599185224 -294.466138173793</t>
  </si>
  <si>
    <t>-640.32139347131 50.210289228246 -378.07105241618</t>
  </si>
  <si>
    <t>-644.788780565185 50.997328087054 -461.841952912351</t>
  </si>
  <si>
    <t>-648.614838499809 52.3728724319908 -584.432251042305</t>
  </si>
  <si>
    <t>-627.781519602781 57.8047637314598 -659.775923927459</t>
  </si>
  <si>
    <t>-642.855654981009 82.8630337031566 -530.419149617087</t>
  </si>
  <si>
    <t>-609.299364260249 233.496668964638 -507.596422459243</t>
  </si>
  <si>
    <t>-506.109061259112 273.196186476541 -248.069272006033</t>
  </si>
  <si>
    <t>-327.656235661356 319.84079013947 -106.904986258587</t>
  </si>
  <si>
    <t>-651.016387067197 20.6754408073 -530.862157741261</t>
  </si>
  <si>
    <t>-591.463858245077 142.881218439172 -97.0594798893385</t>
  </si>
  <si>
    <t>-621.94820970529 151.788013937287 317.300214641329</t>
  </si>
  <si>
    <t>-667.322446967626 172.086460397097 777.565684966758</t>
  </si>
  <si>
    <t>-516.434967964215 175.967364825522 833.258786249205</t>
  </si>
  <si>
    <t>-614.257247608451 -63.0516946889459 322.372463193935</t>
  </si>
  <si>
    <t>-657.906712245766 -106.42129825029 781.687464750982</t>
  </si>
  <si>
    <t>-504.728378237626 -126.331068124628 826.674420995369</t>
  </si>
  <si>
    <t>9763-20170724T115324.363951100.bin</t>
  </si>
  <si>
    <t>-603.569293840121 49.696653188993 -93.2123481683626</t>
  </si>
  <si>
    <t>-623.479513331861 49.5970412412089 -202.12090571022</t>
  </si>
  <si>
    <t>-633.196810626731 49.967106766127 -294.485695410516</t>
  </si>
  <si>
    <t>-640.081737443184 50.5913567107498 -378.094105260197</t>
  </si>
  <si>
    <t>-644.50484333437 51.427158174384 -461.866766004752</t>
  </si>
  <si>
    <t>-648.267787925873 52.8749638648569 -584.458223363435</t>
  </si>
  <si>
    <t>-627.396489653012 58.175854494951 -659.80088059496</t>
  </si>
  <si>
    <t>-642.425191981377 83.3187018359242 -530.427843019113</t>
  </si>
  <si>
    <t>-608.491633138111 233.87079174904 -507.679353320443</t>
  </si>
  <si>
    <t>-504.851696110439 274.265736749102 -248.438905742191</t>
  </si>
  <si>
    <t>-326.678842665048 320.806222847924 -106.886954814472</t>
  </si>
  <si>
    <t>-650.808071382554 21.1607204396594 -530.904497973625</t>
  </si>
  <si>
    <t>-591.119218023795 143.071303345302 -97.0513600890636</t>
  </si>
  <si>
    <t>-621.841195146723 151.910376169486 317.292266343985</t>
  </si>
  <si>
    <t>-667.36841230763 172.02263215719 777.544672700897</t>
  </si>
  <si>
    <t>-516.48318717371 175.870496131657 833.2462765611</t>
  </si>
  <si>
    <t>-614.321936954279 -62.907551378165 322.350617218584</t>
  </si>
  <si>
    <t>-657.856136532634 -106.343141800864 781.679864469236</t>
  </si>
  <si>
    <t>-504.64819525593 -126.058036058877 826.651838504703</t>
  </si>
  <si>
    <t>9763-20170724T115324.434148000.bin</t>
  </si>
  <si>
    <t>-603.440297165171 50.1046029443689 -93.2218051574558</t>
  </si>
  <si>
    <t>-623.242220188376 50.0793243121389 -202.150012319683</t>
  </si>
  <si>
    <t>-632.886525351321 50.5233541908683 -294.522334889042</t>
  </si>
  <si>
    <t>-639.712198989455 51.2210294029549 -378.134852026603</t>
  </si>
  <si>
    <t>-644.083015255386 52.1332716611068 -461.909617633523</t>
  </si>
  <si>
    <t>-647.777230941942 53.6947413764622 -584.501730637061</t>
  </si>
  <si>
    <t>-626.633923411506 58.7914566639938 -659.78244162516</t>
  </si>
  <si>
    <t>-641.790104619585 84.0642645995467 -530.445387499594</t>
  </si>
  <si>
    <t>-607.201391011152 234.486708713262 -507.722979012074</t>
  </si>
  <si>
    <t>-502.13859037194 275.722721393294 -249.188735062911</t>
  </si>
  <si>
    <t>-324.341040638147 321.595823815436 -106.948699158502</t>
  </si>
  <si>
    <t>-650.522433232343 21.9547599067146 -530.973327647123</t>
  </si>
  <si>
    <t>-590.670793653713 143.403938292601 -97.0473532865661</t>
  </si>
  <si>
    <t>-621.77062815908 152.120189109707 317.270688819328</t>
  </si>
  <si>
    <t>-667.472659374489 171.900416455628 777.52167761178</t>
  </si>
  <si>
    <t>-516.589623319115 175.666677291234 833.234710298612</t>
  </si>
  <si>
    <t>-614.424484068034 -62.6146450395493 322.315893783622</t>
  </si>
  <si>
    <t>-657.730983129009 -106.250299266893 781.6727055383</t>
  </si>
  <si>
    <t>-504.520961233875 -125.856160137076 826.685155256846</t>
  </si>
  <si>
    <t>9763-20170724T115324.463226200.bin</t>
  </si>
  <si>
    <t>-603.370964421438 50.286598095397 -93.2188351349999</t>
  </si>
  <si>
    <t>-623.148165961733 50.2946131242625 -202.151712337175</t>
  </si>
  <si>
    <t>-632.768684042599 50.7596868798921 -294.526357262832</t>
  </si>
  <si>
    <t>-639.571470614938 51.4738543894132 -378.140565469166</t>
  </si>
  <si>
    <t>-643.918048926958 52.3986476645241 -461.916362227093</t>
  </si>
  <si>
    <t>-647.575230811547 53.9737325752633 -584.50949075458</t>
  </si>
  <si>
    <t>-626.185862210109 59.0003491804641 -659.725490303601</t>
  </si>
  <si>
    <t>-641.538039789584 84.3279566938752 -530.450002814001</t>
  </si>
  <si>
    <t>-606.621925058601 234.659447682111 -507.660328761034</t>
  </si>
  <si>
    <t>-500.67996547417 275.856725058789 -249.478906173728</t>
  </si>
  <si>
    <t>-323.240390126958 321.548107356052 -106.734300563014</t>
  </si>
  <si>
    <t>-650.402914660108 22.237380705772 -530.983303688699</t>
  </si>
  <si>
    <t>-590.508390532044 143.555454795732 -97.0396215437477</t>
  </si>
  <si>
    <t>-621.727945656947 152.198909611377 317.270941080671</t>
  </si>
  <si>
    <t>-667.519549047822 171.854105364001 777.516863740844</t>
  </si>
  <si>
    <t>-516.639248002892 175.628287065684 833.236732410678</t>
  </si>
  <si>
    <t>-614.463325559229 -62.5027287584692 322.30437784214</t>
  </si>
  <si>
    <t>-657.654268360198 -106.243268038873 781.668891109795</t>
  </si>
  <si>
    <t>-504.485453249629 -126.058517748211 826.729899748522</t>
  </si>
  <si>
    <t>9763-20170724T115324.528411700.bin</t>
  </si>
  <si>
    <t>-603.248829251986 50.6116932576731 -93.2009214745942</t>
  </si>
  <si>
    <t>-622.981605952571 50.6851451186094 -202.141896785054</t>
  </si>
  <si>
    <t>-632.541008585278 51.1890277458347 -294.522556993849</t>
  </si>
  <si>
    <t>-639.278604823192 51.9325572725245 -378.14183698328</t>
  </si>
  <si>
    <t>-643.550218427603 52.8784032072128 -461.921255860313</t>
  </si>
  <si>
    <t>-647.08702889229 54.4742686788832 -584.517753770023</t>
  </si>
  <si>
    <t>-625.030117950546 59.4823771219214 -659.54183259991</t>
  </si>
  <si>
    <t>-640.988371843328 84.8027274091021 -530.45062102785</t>
  </si>
  <si>
    <t>-605.535177459896 234.988110110651 -507.554454608863</t>
  </si>
  <si>
    <t>-498.720764131217 275.679251168867 -249.652262949967</t>
  </si>
  <si>
    <t>-321.406520209364 320.783029933273 -106.565519722955</t>
  </si>
  <si>
    <t>-650.081806353656 22.7454164786789 -530.996174340124</t>
  </si>
  <si>
    <t>-590.194112464052 143.76736447613 -96.9873549317402</t>
  </si>
  <si>
    <t>-621.609864832795 152.34293332075 317.309727948144</t>
  </si>
  <si>
    <t>-667.618834742093 171.755950149437 777.528479365039</t>
  </si>
  <si>
    <t>-516.742847702917 175.450118299272 833.26549563937</t>
  </si>
  <si>
    <t>-614.583812667272 -62.2476220737069 322.301199522455</t>
  </si>
  <si>
    <t>-657.492138441376 -106.201544197721 781.669981093988</t>
  </si>
  <si>
    <t>-504.35825390472 -126.060984848832 826.83017875089</t>
  </si>
  <si>
    <t>9763-20170724T115324.566512700.bin</t>
  </si>
  <si>
    <t>-603.243757773764 50.7109664607976 -93.1850728074241</t>
  </si>
  <si>
    <t>-622.945668807825 50.8175239782429 -202.131600257598</t>
  </si>
  <si>
    <t>-632.45060074312 51.3351957543107 -294.517799322345</t>
  </si>
  <si>
    <t>-639.127375486626 52.0865884119999 -378.141962326192</t>
  </si>
  <si>
    <t>-643.326578199601 53.0350134459195 -461.924951829953</t>
  </si>
  <si>
    <t>-646.744878062073 54.6285275384057 -584.524678123272</t>
  </si>
  <si>
    <t>-624.189007620973 59.7432697796394 -659.393098493954</t>
  </si>
  <si>
    <t>-640.649717292885 84.9507559959943 -530.453972226436</t>
  </si>
  <si>
    <t>-604.9764017511 235.080934049317 -507.555963581257</t>
  </si>
  <si>
    <t>-498.179087094906 275.447909360022 -249.595899663395</t>
  </si>
  <si>
    <t>-320.546676014208 320.229856302793 -106.802903066093</t>
  </si>
  <si>
    <t>-649.840240868446 22.9077986640482 -531.004058641062</t>
  </si>
  <si>
    <t>-590.083526743758 143.814227829422 -96.9681712391351</t>
  </si>
  <si>
    <t>-621.585492177581 152.378724040096 317.322664315867</t>
  </si>
  <si>
    <t>-667.666027588032 171.709300708549 777.537017366525</t>
  </si>
  <si>
    <t>-516.791422335024 175.392952312069 833.278487088137</t>
  </si>
  <si>
    <t>-614.636273604559 -62.1450577481692 322.311708392257</t>
  </si>
  <si>
    <t>-657.426785197609 -106.170438846357 781.668824311144</t>
  </si>
  <si>
    <t>-504.297258878941 -126.006844164559 826.853937775056</t>
  </si>
  <si>
    <t>9763-20170724T115324.631703200.bin</t>
  </si>
  <si>
    <t>-603.359311548567 50.6926847565617 -93.1678208444025</t>
  </si>
  <si>
    <t>-623.049752662554 50.864942292106 -202.116169692594</t>
  </si>
  <si>
    <t>-632.546679263409 51.3806006654959 -294.503332418914</t>
  </si>
  <si>
    <t>-639.216592250872 52.1103339769222 -378.128183886383</t>
  </si>
  <si>
    <t>-643.409740617116 53.0149197805431 -461.912025267955</t>
  </si>
  <si>
    <t>-646.820066203149 54.520583898169 -584.513184481921</t>
  </si>
  <si>
    <t>-622.910135876913 60.0291050576379 -658.932091167924</t>
  </si>
  <si>
    <t>-640.632992665669 84.8673224591882 -530.466570662998</t>
  </si>
  <si>
    <t>-604.668293692557 234.966531648768 -507.810864947529</t>
  </si>
  <si>
    <t>-497.280243929747 274.649465174261 -249.989876171237</t>
  </si>
  <si>
    <t>-319.329707869773 319.167720707498 -107.510921054516</t>
  </si>
  <si>
    <t>-650.014298642884 22.8524476987673 -530.967179732734</t>
  </si>
  <si>
    <t>-589.908044067584 143.793128560324 -96.9538724300351</t>
  </si>
  <si>
    <t>-621.457903897617 152.401142712018 317.332442696253</t>
  </si>
  <si>
    <t>-667.766486019094 171.618663948919 777.535149771693</t>
  </si>
  <si>
    <t>-516.894270739777 175.321665891965 833.281814681227</t>
  </si>
  <si>
    <t>-614.759255758798 -62.1552150179771 322.29810975269</t>
  </si>
  <si>
    <t>-657.318288006699 -106.153484158346 781.670751216063</t>
  </si>
  <si>
    <t>-504.266570562916 -126.509820240457 826.888198261903</t>
  </si>
  <si>
    <t>9763-20170724T115324.667799500.bin</t>
  </si>
  <si>
    <t>-603.439848906719 50.6468041781843 -93.1747607466102</t>
  </si>
  <si>
    <t>-623.187298119688 50.8554672805608 -202.112842743826</t>
  </si>
  <si>
    <t>-632.719619298351 51.3604308440722 -294.496308351147</t>
  </si>
  <si>
    <t>-639.416266782591 52.0650093694878 -378.119245021783</t>
  </si>
  <si>
    <t>-643.630940967639 52.9285973095082 -461.902433020079</t>
  </si>
  <si>
    <t>-647.067266571659 54.3559677931348 -584.503826937704</t>
  </si>
  <si>
    <t>-622.345269637022 60.1148654721578 -658.637839936587</t>
  </si>
  <si>
    <t>-640.823181274742 84.7303290664711 -530.479184205348</t>
  </si>
  <si>
    <t>-604.737560945474 234.833563481297 -507.989325538401</t>
  </si>
  <si>
    <t>-496.789778792529 274.280816502719 -250.365902180842</t>
  </si>
  <si>
    <t>-318.894812440827 318.848917509476 -107.833134445207</t>
  </si>
  <si>
    <t>-650.295686760739 22.7290008609582 -530.935517826686</t>
  </si>
  <si>
    <t>-589.883216371548 143.780450274923 -96.9576682670554</t>
  </si>
  <si>
    <t>-621.355597974122 152.361244042286 317.335095678155</t>
  </si>
  <si>
    <t>-667.813369179662 171.559849526203 777.529709275733</t>
  </si>
  <si>
    <t>-516.942472645178 175.231090048514 833.281981696886</t>
  </si>
  <si>
    <t>-614.871220272823 -62.1185050339607 322.286586340643</t>
  </si>
  <si>
    <t>-657.264338507115 -106.101320141531 781.673067891375</t>
  </si>
  <si>
    <t>-504.194397553386 -126.315885727923 826.89240792713</t>
  </si>
  <si>
    <t>9763-20170724T115324.730492700.bin</t>
  </si>
  <si>
    <t>-603.681535281396 50.4902055089481 -93.2140531560673</t>
  </si>
  <si>
    <t>-623.513468092551 50.7323588910344 -202.13656073114</t>
  </si>
  <si>
    <t>-633.047934291534 51.2298058548458 -294.520012251679</t>
  </si>
  <si>
    <t>-639.718437775049 51.9134765953313 -378.145184770723</t>
  </si>
  <si>
    <t>-643.878873241097 52.7405794680922 -461.931454402998</t>
  </si>
  <si>
    <t>-647.205069114922 54.0969972080982 -584.536552768385</t>
  </si>
  <si>
    <t>-621.112189630916 60.3678907015817 -658.157570568202</t>
  </si>
  <si>
    <t>-640.944156996382 84.4925204535793 -530.525965820122</t>
  </si>
  <si>
    <t>-604.783442303553 234.602153675703 -508.236943003924</t>
  </si>
  <si>
    <t>-495.903467730037 274.377100890477 -251.056679415812</t>
  </si>
  <si>
    <t>-318.280085652019 319.256547393118 -108.283036136045</t>
  </si>
  <si>
    <t>-650.547017168219 22.5109940866232 -530.951225896184</t>
  </si>
  <si>
    <t>-590.084928446914 143.640871087799 -96.9776356201694</t>
  </si>
  <si>
    <t>-621.334617078578 152.16422478863 317.33312426078</t>
  </si>
  <si>
    <t>-667.914066212308 171.459535366125 777.511164174406</t>
  </si>
  <si>
    <t>-517.050259336076 175.110658335722 833.283955423794</t>
  </si>
  <si>
    <t>-615.049271514839 -62.1486589787685 322.256034400691</t>
  </si>
  <si>
    <t>-657.150207959039 -106.013859643601 781.670297129166</t>
  </si>
  <si>
    <t>-504.078669846262 -126.182660137529 826.90461495134</t>
  </si>
  <si>
    <t>9763-20170724T115324.765583800.bin</t>
  </si>
  <si>
    <t>-603.896377906891 50.3272660786263 -93.2555338439971</t>
  </si>
  <si>
    <t>-623.704190573277 50.588127564256 -202.182456562308</t>
  </si>
  <si>
    <t>-633.187794377195 51.1205689033493 -294.570861072843</t>
  </si>
  <si>
    <t>-639.79999610867 51.843173094697 -378.200365243699</t>
  </si>
  <si>
    <t>-643.889707789771 52.71641518613 -461.989621594534</t>
  </si>
  <si>
    <t>-647.098838271599 54.1481115736265 -584.596982797796</t>
  </si>
  <si>
    <t>-620.599394841556 60.6658594961812 -658.051173855893</t>
  </si>
  <si>
    <t>-640.883386873164 84.5096324585484 -530.561984658121</t>
  </si>
  <si>
    <t>-604.735811599026 234.620466135277 -508.269355313692</t>
  </si>
  <si>
    <t>-495.75309099474 274.694468767273 -251.179033738533</t>
  </si>
  <si>
    <t>-318.18092723328 319.716010521646 -108.386421006479</t>
  </si>
  <si>
    <t>-650.498017327681 22.53020854137 -531.034046704127</t>
  </si>
  <si>
    <t>-590.324756580932 143.448170224257 -96.9956462828593</t>
  </si>
  <si>
    <t>-621.456106920598 152.017876056056 317.323103662971</t>
  </si>
  <si>
    <t>-667.970875114138 171.388475016864 777.497793868419</t>
  </si>
  <si>
    <t>-517.11065942316 175.044549074813 833.279970957841</t>
  </si>
  <si>
    <t>-615.198702050097 -62.2212588649768 322.218126621251</t>
  </si>
  <si>
    <t>-657.092371498778 -106.013218168506 781.670452144661</t>
  </si>
  <si>
    <t>-504.02714290846 -126.174846788295 826.929343223575</t>
  </si>
  <si>
    <t>9763-20170724T115324.830764000.bin</t>
  </si>
  <si>
    <t>-604.41794359848 49.7774808380555 -93.3024500614997</t>
  </si>
  <si>
    <t>-624.084618520984 50.0737495351962 -202.254840016979</t>
  </si>
  <si>
    <t>-633.390288614073 50.7083152526195 -294.660752096965</t>
  </si>
  <si>
    <t>-639.817769045613 51.5520750310025 -378.303456178709</t>
  </si>
  <si>
    <t>-643.698699058958 52.5750739170448 -462.100975786425</t>
  </si>
  <si>
    <t>-646.576108030152 54.2571254746022 -584.713577404762</t>
  </si>
  <si>
    <t>-619.707982034116 61.1880665835697 -657.995614791265</t>
  </si>
  <si>
    <t>-640.511591101702 84.5089018786325 -530.599761063762</t>
  </si>
  <si>
    <t>-604.439722188032 234.600851963543 -508.016288732116</t>
  </si>
  <si>
    <t>-495.585135697477 275.127724588409 -250.942808606133</t>
  </si>
  <si>
    <t>-318.000003421851 320.420777678384 -108.252273067628</t>
  </si>
  <si>
    <t>-650.115444957791 22.5292682711911 -531.224676638164</t>
  </si>
  <si>
    <t>-590.885530952502 142.766755230747 -97.0077392425505</t>
  </si>
  <si>
    <t>-621.803037305135 151.607363375755 317.321300282861</t>
  </si>
  <si>
    <t>-668.080569389743 171.194116280661 777.514611175468</t>
  </si>
  <si>
    <t>-517.221548955975 174.976942093654 833.291597569993</t>
  </si>
  <si>
    <t>-615.56343636083 -62.5321229453866 322.140287658307</t>
  </si>
  <si>
    <t>-656.980846531087 -105.987278333535 781.659812879444</t>
  </si>
  <si>
    <t>-503.943191995937 -126.240573738421 826.971048805561</t>
  </si>
  <si>
    <t>9763-20170724T115324.862846200.bin</t>
  </si>
  <si>
    <t>-604.624082482745 49.4677068707808 -93.3105326691771</t>
  </si>
  <si>
    <t>-624.211911900436 49.7951018406004 -202.277189484893</t>
  </si>
  <si>
    <t>-633.429911571166 50.4869239179709 -294.691350356595</t>
  </si>
  <si>
    <t>-639.769613666185 51.395245313525 -378.340041715104</t>
  </si>
  <si>
    <t>-643.554122659209 52.4957489462806 -462.141112037732</t>
  </si>
  <si>
    <t>-646.281037895852 54.3056438140368 -584.755128891102</t>
  </si>
  <si>
    <t>-619.324541640502 61.4259493756615 -657.9865965445</t>
  </si>
  <si>
    <t>-640.284238874717 84.5011956323151 -530.602507759894</t>
  </si>
  <si>
    <t>-604.150128219286 234.530964136279 -507.755292291471</t>
  </si>
  <si>
    <t>-495.6309699826 275.075677390053 -250.542725508067</t>
  </si>
  <si>
    <t>-317.876037131258 320.402595580985 -108.074599689701</t>
  </si>
  <si>
    <t>-649.884757950992 22.5217469576858 -531.303785417557</t>
  </si>
  <si>
    <t>-591.097071359271 142.430882812786 -96.9991735268308</t>
  </si>
  <si>
    <t>-621.949907999471 151.404271258909 317.331817869324</t>
  </si>
  <si>
    <t>-668.12607192277 171.131240265956 777.532290919449</t>
  </si>
  <si>
    <t>-517.266276333706 174.95873785872 833.304120076902</t>
  </si>
  <si>
    <t>-615.711237601136 -62.6998534537763 322.101407494831</t>
  </si>
  <si>
    <t>-656.918816867587 -105.978515050759 781.654445676182</t>
  </si>
  <si>
    <t>-503.876466542174 -126.132502101194 826.994020289672</t>
  </si>
  <si>
    <t>9763-20170724T115324.931036000.bin</t>
  </si>
  <si>
    <t>-604.959461488698 48.9848496436543 -93.3319276619037</t>
  </si>
  <si>
    <t>-624.461251498888 49.3628650862129 -202.313761878792</t>
  </si>
  <si>
    <t>-633.595872412965 50.1760258038184 -294.73514234738</t>
  </si>
  <si>
    <t>-639.855677182205 51.2271800408503 -378.388401844833</t>
  </si>
  <si>
    <t>-643.55566822685 52.5040366518501 -462.190621541147</t>
  </si>
  <si>
    <t>-646.154097648102 54.6085806407966 -584.802758933446</t>
  </si>
  <si>
    <t>-619.110971984029 62.0636784053213 -657.969063424677</t>
  </si>
  <si>
    <t>-640.214427356584 84.673838778275 -530.571407769119</t>
  </si>
  <si>
    <t>-604.038756466326 234.631369357174 -507.335344945811</t>
  </si>
  <si>
    <t>-496.463497923812 275.260942605354 -249.739863669136</t>
  </si>
  <si>
    <t>-318.201075707444 320.374991547733 -107.839404274392</t>
  </si>
  <si>
    <t>-649.813435799995 22.6963168903142 -531.431742936919</t>
  </si>
  <si>
    <t>-591.390772735687 141.933034905511 -96.9844547207409</t>
  </si>
  <si>
    <t>-622.066687762956 151.067983718095 317.356142808239</t>
  </si>
  <si>
    <t>-668.209237467393 171.022443139835 777.561441507409</t>
  </si>
  <si>
    <t>-517.352966397298 174.875062268773 833.341001049289</t>
  </si>
  <si>
    <t>-616.039926638005 -63.004764459826 322.042873399474</t>
  </si>
  <si>
    <t>-656.812964020138 -105.954622540661 781.654004716746</t>
  </si>
  <si>
    <t>-503.771725268469 -126.031448566819 827.031550285779</t>
  </si>
  <si>
    <t>9763-20170724T115324.965125600.bin</t>
  </si>
  <si>
    <t>-605.11612621037 48.7848266625606 -93.3382481344819</t>
  </si>
  <si>
    <t>-624.630579538773 49.1731495539227 -202.31787550209</t>
  </si>
  <si>
    <t>-633.77008684002 50.037319145745 -294.738375568769</t>
  </si>
  <si>
    <t>-640.031905506097 51.1523945966264 -378.390559349135</t>
  </si>
  <si>
    <t>-643.731495562754 52.511313878143 -462.19149749643</t>
  </si>
  <si>
    <t>-646.326588345071 54.7564408008905 -584.801074360654</t>
  </si>
  <si>
    <t>-619.248611541257 62.3426269328636 -657.941129322302</t>
  </si>
  <si>
    <t>-640.402274728832 84.7617271574895 -530.534978002023</t>
  </si>
  <si>
    <t>-604.279270903261 234.698738350266 -507.079458018094</t>
  </si>
  <si>
    <t>-496.796303649853 275.318468969533 -249.444101589469</t>
  </si>
  <si>
    <t>-318.349200318832 320.348481685501 -107.749092997865</t>
  </si>
  <si>
    <t>-649.973484484309 22.7808934497011 -531.467190929371</t>
  </si>
  <si>
    <t>-591.562624589306 141.737522408578 -96.9935924288772</t>
  </si>
  <si>
    <t>-622.122050869757 150.9297893183 317.354364455202</t>
  </si>
  <si>
    <t>-668.243712378156 170.973491822137 777.564077881821</t>
  </si>
  <si>
    <t>-517.391914696946 174.827083605574 833.355642562654</t>
  </si>
  <si>
    <t>-616.211199712534 -63.1289460055132 322.024521070842</t>
  </si>
  <si>
    <t>-656.767442891682 -105.930354034597 781.654173635289</t>
  </si>
  <si>
    <t>-503.723504687243 -125.974294444579 827.037213670217</t>
  </si>
  <si>
    <t>9763-20170724T115325.031850600.bin</t>
  </si>
  <si>
    <t>-605.395335595336 48.5070082571137 -93.3769966812519</t>
  </si>
  <si>
    <t>-625.012974106637 48.9120338107959 -202.337970335126</t>
  </si>
  <si>
    <t>-634.226582895183 49.8585835593647 -294.750316961684</t>
  </si>
  <si>
    <t>-640.550017717733 51.0753348398566 -378.39635425068</t>
  </si>
  <si>
    <t>-644.305773989379 52.5640643846396 -462.192756251587</t>
  </si>
  <si>
    <t>-646.976946940543 55.0296054672967 -584.796502800803</t>
  </si>
  <si>
    <t>-619.81474383597 62.7582199332444 -657.890317748314</t>
  </si>
  <si>
    <t>-641.044243175684 84.9412260463621 -530.479418381832</t>
  </si>
  <si>
    <t>-604.976675703636 234.83691760076 -506.667849061548</t>
  </si>
  <si>
    <t>-497.124956379114 274.989496287217 -249.113391288359</t>
  </si>
  <si>
    <t>-318.668075709402 319.782453623679 -107.355634333065</t>
  </si>
  <si>
    <t>-650.565429246155 22.9543999732791 -531.518553132825</t>
  </si>
  <si>
    <t>-591.894006196722 141.465547367561 -97.0139828701465</t>
  </si>
  <si>
    <t>-622.192839837891 150.733196598459 317.351374041625</t>
  </si>
  <si>
    <t>-668.317059350188 170.876096989655 777.564948269541</t>
  </si>
  <si>
    <t>-517.471856100627 174.731614680543 833.37428090199</t>
  </si>
  <si>
    <t>-616.333037785333 -63.1879436040635 321.985683624038</t>
  </si>
  <si>
    <t>-656.686579568618 -105.842316934309 781.649382162401</t>
  </si>
  <si>
    <t>-503.615465858551 -125.720334991365 827.013779797262</t>
  </si>
  <si>
    <t>9763-20170724T115325.064942000.bin</t>
  </si>
  <si>
    <t>-605.500834854437 48.4271142912166 -93.3837001849014</t>
  </si>
  <si>
    <t>-625.200240653706 48.8478698271206 -202.329738212486</t>
  </si>
  <si>
    <t>-634.471859403315 49.8328861204886 -294.735987452946</t>
  </si>
  <si>
    <t>-640.843206448158 51.0941019884722 -378.377770614054</t>
  </si>
  <si>
    <t>-644.642278579132 52.6368523646984 -462.171045471326</t>
  </si>
  <si>
    <t>-647.371638063609 55.1921245990945 -584.771772664066</t>
  </si>
  <si>
    <t>-620.173669516346 62.9497261874874 -657.849095629344</t>
  </si>
  <si>
    <t>-641.416638194002 85.0644623206758 -530.43569244658</t>
  </si>
  <si>
    <t>-605.347377177085 234.945608008523 -506.522539025514</t>
  </si>
  <si>
    <t>-497.331955780252 274.794329448295 -248.989475821886</t>
  </si>
  <si>
    <t>-318.926918387806 319.482855884213 -107.133400634233</t>
  </si>
  <si>
    <t>-650.93139424528 23.0773750231297 -531.515731827234</t>
  </si>
  <si>
    <t>-592.036664987349 141.385952286037 -97.005100028527</t>
  </si>
  <si>
    <t>-622.214575880119 150.688242122404 317.368320363821</t>
  </si>
  <si>
    <t>-668.354927662527 170.822108676095 777.577058495811</t>
  </si>
  <si>
    <t>-517.509858871946 174.680600069907 833.386538958052</t>
  </si>
  <si>
    <t>-616.28082978818 -63.1719090237841 321.977908665066</t>
  </si>
  <si>
    <t>-656.660971306233 -105.825906397399 781.6427871211</t>
  </si>
  <si>
    <t>-503.603864215525 -125.86372421533 826.983985213561</t>
  </si>
  <si>
    <t>9763-20170724T115325.099048200.bin</t>
  </si>
  <si>
    <t>-605.606697676055 48.3917902977105 -93.386164155678</t>
  </si>
  <si>
    <t>-625.386416684964 48.8203194197827 -202.317672948113</t>
  </si>
  <si>
    <t>-634.723065456476 49.8357141550061 -294.71701551225</t>
  </si>
  <si>
    <t>-641.151900448568 51.1335498343572 -378.353774075311</t>
  </si>
  <si>
    <t>-645.007176020561 52.7217771212422 -462.143751613601</t>
  </si>
  <si>
    <t>-647.817213933829 55.3529280287205 -584.741068444709</t>
  </si>
  <si>
    <t>-620.613613669172 63.1272098377876 -657.814596875396</t>
  </si>
  <si>
    <t>-641.823164345546 85.191202533869 -530.390370699207</t>
  </si>
  <si>
    <t>-605.691014456989 235.045489400612 -506.360609907392</t>
  </si>
  <si>
    <t>-497.813890405463 274.506769902357 -248.709890703691</t>
  </si>
  <si>
    <t>-319.31153997699 319.001195803407 -106.915278568214</t>
  </si>
  <si>
    <t>-651.345225809784 23.2056676322657 -531.502448533998</t>
  </si>
  <si>
    <t>-592.189564774698 141.341988585929 -96.9996004389408</t>
  </si>
  <si>
    <t>-622.242920861208 150.649480966725 317.38278062177</t>
  </si>
  <si>
    <t>-668.393778694719 170.786136207825 777.589893429953</t>
  </si>
  <si>
    <t>-517.546613466258 174.625011719746 833.395039257245</t>
  </si>
  <si>
    <t>-616.278230537265 -63.1263286689668 321.977743663671</t>
  </si>
  <si>
    <t>-656.641472290397 -105.772007117351 781.633390380447</t>
  </si>
  <si>
    <t>-503.551395693591 -125.649046642757 826.934048402614</t>
  </si>
  <si>
    <t>9763-20170724T115325.163733300.bin</t>
  </si>
  <si>
    <t>-605.836532297582 48.2457447585184 -93.4132382076644</t>
  </si>
  <si>
    <t>-625.773619421981 48.6913949078271 -202.316024076015</t>
  </si>
  <si>
    <t>-635.218659524717 49.7741994348173 -294.7035724886</t>
  </si>
  <si>
    <t>-641.735385230797 51.1540268512872 -378.33217502425</t>
  </si>
  <si>
    <t>-645.668467961006 52.8453764287931 -462.116575259186</t>
  </si>
  <si>
    <t>-648.580933120604 55.6504831098737 -584.707595346523</t>
  </si>
  <si>
    <t>-621.438530183227 63.474562083499 -657.798528223412</t>
  </si>
  <si>
    <t>-642.54995985743 85.4129453892854 -530.319438352091</t>
  </si>
  <si>
    <t>-606.404015286136 235.234595070837 -506.180865965873</t>
  </si>
  <si>
    <t>-499.154270547087 274.14521845105 -248.184686038487</t>
  </si>
  <si>
    <t>-320.332447864802 318.291183895148 -106.684132430951</t>
  </si>
  <si>
    <t>-652.055915195016 23.4264869645315 -531.511962907558</t>
  </si>
  <si>
    <t>-592.462615365165 141.18136897459 -97.0104523464817</t>
  </si>
  <si>
    <t>-622.294732743577 150.545072321072 317.386651177969</t>
  </si>
  <si>
    <t>-668.471122540708 170.695948401939 777.599326038</t>
  </si>
  <si>
    <t>-517.622287689899 174.539255185219 833.399580372939</t>
  </si>
  <si>
    <t>-616.422891145958 -63.1524705672789 321.954052076425</t>
  </si>
  <si>
    <t>-656.58739008175 -105.677606709663 781.617298701596</t>
  </si>
  <si>
    <t>-503.497443048624 -125.665159584851 826.869774491087</t>
  </si>
  <si>
    <t>9763-20170724T115325.232685500.bin</t>
  </si>
  <si>
    <t>-606.304396559011 48.1152125791659 -93.4501509882223</t>
  </si>
  <si>
    <t>-626.302496081749 48.5308576368102 -202.3418863041</t>
  </si>
  <si>
    <t>-635.760794615817 49.6186428544506 -294.727993393457</t>
  </si>
  <si>
    <t>-642.274160064429 51.0140289297717 -378.356726622525</t>
  </si>
  <si>
    <t>-646.188155742843 52.7327206600646 -462.141361658159</t>
  </si>
  <si>
    <t>-649.055537625824 55.5903646443862 -584.7323072705</t>
  </si>
  <si>
    <t>-621.915831039778 63.4429451353622 -657.821153729589</t>
  </si>
  <si>
    <t>-643.054724185963 85.3309294005742 -530.328877560482</t>
  </si>
  <si>
    <t>-606.868952168062 235.121561286164 -506.033692479579</t>
  </si>
  <si>
    <t>-500.115903626563 273.869139920593 -247.807124511661</t>
  </si>
  <si>
    <t>-321.027243445721 317.176218456152 -106.384852396376</t>
  </si>
  <si>
    <t>-652.540018826783 23.3418971362014 -531.551995602723</t>
  </si>
  <si>
    <t>-593.008979580947 141.041200705002 -97.0640580725122</t>
  </si>
  <si>
    <t>-622.513034131448 150.406597520152 317.356545684627</t>
  </si>
  <si>
    <t>-668.550625066615 170.612399892013 777.590917546157</t>
  </si>
  <si>
    <t>-517.694579877734 174.383805021953 833.376787843119</t>
  </si>
  <si>
    <t>-616.830302310329 -63.2178469222044 321.923455172544</t>
  </si>
  <si>
    <t>-656.525329633892 -105.60047289152 781.619157662743</t>
  </si>
  <si>
    <t>-503.422352079131 -125.580295916978 826.830894919908</t>
  </si>
  <si>
    <t>9763-20170724T115325.265773000.bin</t>
  </si>
  <si>
    <t>-606.543497548949 47.9954740048847 -93.4768103744117</t>
  </si>
  <si>
    <t>-626.576181774731 48.4040969584457 -202.362217453092</t>
  </si>
  <si>
    <t>-636.036777810705 49.4892583795049 -294.74805802822</t>
  </si>
  <si>
    <t>-642.541136521085 50.8833609862604 -378.377563367376</t>
  </si>
  <si>
    <t>-646.43513664444 52.6009602612387 -462.16311479032</t>
  </si>
  <si>
    <t>-649.261129701258 55.4569259141388 -584.755099115548</t>
  </si>
  <si>
    <t>-622.094440975908 63.3273055001816 -657.831882985117</t>
  </si>
  <si>
    <t>-643.271575894934 85.1971719776166 -530.350168555614</t>
  </si>
  <si>
    <t>-607.040377072549 234.974051999615 -506.076028434243</t>
  </si>
  <si>
    <t>-500.73213685203 273.664826117257 -247.657567618382</t>
  </si>
  <si>
    <t>-321.349501664555 316.470792302911 -106.455337626427</t>
  </si>
  <si>
    <t>-652.770617208284 23.21034282287 -531.575303660999</t>
  </si>
  <si>
    <t>-593.307824040762 140.874119114776 -97.0951104488483</t>
  </si>
  <si>
    <t>-622.67498881104 150.300651551581 317.333757142769</t>
  </si>
  <si>
    <t>-668.597368534368 170.542377207149 777.579270185957</t>
  </si>
  <si>
    <t>-517.736324530193 174.317297620818 833.351155615605</t>
  </si>
  <si>
    <t>-616.992081998959 -63.2804425366749 321.90002987238</t>
  </si>
  <si>
    <t>-656.495906752542 -105.570673045549 781.619830424944</t>
  </si>
  <si>
    <t>-503.382411594847 -125.510801744857 826.813522871481</t>
  </si>
  <si>
    <t>9763-20170724T115325.328676700.bin</t>
  </si>
  <si>
    <t>-607.021421312623 47.7788399220019 -93.5153627825168</t>
  </si>
  <si>
    <t>-627.171320668771 48.1595067540936 -202.379191694192</t>
  </si>
  <si>
    <t>-636.659065979657 49.2767267030827 -294.761933877938</t>
  </si>
  <si>
    <t>-643.158878956689 50.7200640456515 -378.390845086215</t>
  </si>
  <si>
    <t>-647.018813380993 52.507322157069 -462.176599389406</t>
  </si>
  <si>
    <t>-649.762459829518 55.4867512808551 -584.767388617534</t>
  </si>
  <si>
    <t>-622.548616878173 63.3931121197522 -657.822873228331</t>
  </si>
  <si>
    <t>-643.810392413388 85.1723760049827 -530.328658567371</t>
  </si>
  <si>
    <t>-607.579130361542 234.93872596596 -505.968492419812</t>
  </si>
  <si>
    <t>-501.314592868579 273.257564854997 -247.476623647523</t>
  </si>
  <si>
    <t>-321.227918341789 314.903144473423 -106.824636313974</t>
  </si>
  <si>
    <t>-653.306711099727 23.1865574986182 -531.622579291566</t>
  </si>
  <si>
    <t>-593.954960413868 140.639124078303 -97.1602297400898</t>
  </si>
  <si>
    <t>-622.907399933536 150.117200363175 317.296751060773</t>
  </si>
  <si>
    <t>-668.673021888919 170.458833355694 777.570696535517</t>
  </si>
  <si>
    <t>-517.798415425753 174.18415712311 833.309398278506</t>
  </si>
  <si>
    <t>-617.215939287529 -63.3230083625883 321.878284746056</t>
  </si>
  <si>
    <t>-656.448478587067 -105.52026328695 781.61523201773</t>
  </si>
  <si>
    <t>-503.326066634597 -125.484691577009 826.767996681951</t>
  </si>
  <si>
    <t>9763-20170724T115325.364772000.bin</t>
  </si>
  <si>
    <t>-607.278383847794 47.6745609954669 -93.5382932831254</t>
  </si>
  <si>
    <t>-627.516541320037 48.0401923575976 -202.385842166882</t>
  </si>
  <si>
    <t>-637.041716835131 49.1863050063569 -294.764316346303</t>
  </si>
  <si>
    <t>-643.560182971665 50.6718925215921 -378.39116356368</t>
  </si>
  <si>
    <t>-647.423463490154 52.5172401298034 -462.175408872116</t>
  </si>
  <si>
    <t>-650.155099083036 55.5988931787958 -584.76410387323</t>
  </si>
  <si>
    <t>-622.926163054366 63.5301266097233 -657.811192937971</t>
  </si>
  <si>
    <t>-644.21004096204 85.2394642207632 -530.299837171722</t>
  </si>
  <si>
    <t>-607.899288123471 234.969799469935 -505.806314887726</t>
  </si>
  <si>
    <t>-501.344538930956 273.195524068041 -247.420058633232</t>
  </si>
  <si>
    <t>-320.990894203159 314.225458303673 -106.929331192184</t>
  </si>
  <si>
    <t>-653.702852399681 23.2540887364228 -531.646551342521</t>
  </si>
  <si>
    <t>-594.313633750316 140.511488792298 -97.198096293847</t>
  </si>
  <si>
    <t>-623.031076436385 149.99833946538 317.274956255604</t>
  </si>
  <si>
    <t>-668.719984419573 170.389070572113 777.561005383697</t>
  </si>
  <si>
    <t>-517.840861288098 174.16434859485 833.284101431795</t>
  </si>
  <si>
    <t>-617.344898332573 -63.3247187618449 321.870125808698</t>
  </si>
  <si>
    <t>-656.433190427821 -105.469487599741 781.608456473874</t>
  </si>
  <si>
    <t>-503.291159016057 -125.373984780156 826.721184921272</t>
  </si>
  <si>
    <t>9763-20170724T115325.433967500.bin</t>
  </si>
  <si>
    <t>-607.840474373285 47.4201358080977 -93.5943638346471</t>
  </si>
  <si>
    <t>-628.222259769831 47.81150633793 -202.414979928888</t>
  </si>
  <si>
    <t>-637.800110449274 49.0411296769664 -294.787054405087</t>
  </si>
  <si>
    <t>-644.338055065012 50.6261792073601 -378.410517474597</t>
  </si>
  <si>
    <t>-648.192499885736 52.5941830959353 -462.19232332003</t>
  </si>
  <si>
    <t>-650.879819292503 55.8800360926666 -584.776555505228</t>
  </si>
  <si>
    <t>-623.627788476738 63.8958642370646 -657.805990267862</t>
  </si>
  <si>
    <t>-644.924358627536 85.4251835885952 -530.261816875089</t>
  </si>
  <si>
    <t>-608.378194995561 235.050554538376 -505.474247634601</t>
  </si>
  <si>
    <t>-500.767777965945 273.289290457525 -247.527661402501</t>
  </si>
  <si>
    <t>-319.800604471412 313.012750768755 -107.451118884913</t>
  </si>
  <si>
    <t>-654.476924944469 23.4513741096112 -531.713511746956</t>
  </si>
  <si>
    <t>-594.962857658506 140.202822588386 -97.2351973977658</t>
  </si>
  <si>
    <t>-623.333562138659 149.756235871633 317.260157761447</t>
  </si>
  <si>
    <t>-668.802131955715 170.308588152562 777.563412224959</t>
  </si>
  <si>
    <t>-517.904416937708 174.048065669266 833.238621855369</t>
  </si>
  <si>
    <t>-617.63746630964 -63.3668740890575 321.81912666273</t>
  </si>
  <si>
    <t>-656.400296534393 -105.408201900404 781.588201601133</t>
  </si>
  <si>
    <t>-503.219286255868 -125.171668407084 826.630498605599</t>
  </si>
  <si>
    <t>9763-20170724T115325.466046100.bin</t>
  </si>
  <si>
    <t>-608.152492479168 47.2300689306144 -93.6254944000289</t>
  </si>
  <si>
    <t>-628.576647500774 47.6511538003824 -202.438146698782</t>
  </si>
  <si>
    <t>-638.164386916829 48.9363543331674 -294.808300052071</t>
  </si>
  <si>
    <t>-644.700449440549 50.5845577625871 -378.43068262699</t>
  </si>
  <si>
    <t>-648.542228487131 52.627562674717 -462.211340913887</t>
  </si>
  <si>
    <t>-651.199075008908 56.0360627675757 -584.792912019536</t>
  </si>
  <si>
    <t>-623.958402806101 64.1188963284983 -657.819187112352</t>
  </si>
  <si>
    <t>-645.226496226109 85.5218171792617 -530.24787596338</t>
  </si>
  <si>
    <t>-608.50824545468 235.07654036392 -505.295496482212</t>
  </si>
  <si>
    <t>-500.218378782605 273.109927078826 -247.603081970408</t>
  </si>
  <si>
    <t>-318.987417207676 312.544571996056 -107.786264124272</t>
  </si>
  <si>
    <t>-654.840035175439 23.5591020755542 -531.762467152801</t>
  </si>
  <si>
    <t>-595.247693221472 140.005440680376 -97.2533538321397</t>
  </si>
  <si>
    <t>-623.480490327933 149.60950104475 317.2502412904</t>
  </si>
  <si>
    <t>-668.838578995113 170.268643659229 777.562965286172</t>
  </si>
  <si>
    <t>-517.932683526185 174.020060954958 833.21512198902</t>
  </si>
  <si>
    <t>-617.822244124772 -63.4518961907784 321.78324598314</t>
  </si>
  <si>
    <t>-656.375062045942 -105.377809929019 781.581339393349</t>
  </si>
  <si>
    <t>-503.201586753747 -125.225015858422 826.61246584379</t>
  </si>
  <si>
    <t>9763-20170724T115325.533228500.bin</t>
  </si>
  <si>
    <t>-608.64670557865 46.9643132777553 -93.6731525756758</t>
  </si>
  <si>
    <t>-629.14478372729 47.472146816021 -202.471349800818</t>
  </si>
  <si>
    <t>-638.758100874979 48.897616711587 -294.836947182053</t>
  </si>
  <si>
    <t>-645.301986238759 50.7013314770293 -378.455399731522</t>
  </si>
  <si>
    <t>-649.136228482228 52.9280514816385 -462.231887038944</t>
  </si>
  <si>
    <t>-651.765276894234 56.6354013979833 -584.805352787366</t>
  </si>
  <si>
    <t>-624.570154805964 64.897328006663 -657.828543606941</t>
  </si>
  <si>
    <t>-645.742035091983 85.9782858528042 -530.188955991328</t>
  </si>
  <si>
    <t>-608.688216917761 235.389536000104 -504.877767371966</t>
  </si>
  <si>
    <t>-498.616933913196 273.437922998213 -247.943543488387</t>
  </si>
  <si>
    <t>-317.341239315871 312.244823361087 -108.008987929708</t>
  </si>
  <si>
    <t>-655.481319253918 24.0390629366873 -531.853430725509</t>
  </si>
  <si>
    <t>-595.548932562549 139.766726160427 -97.284650887307</t>
  </si>
  <si>
    <t>-623.601084338503 149.397484047314 317.230674011721</t>
  </si>
  <si>
    <t>-668.89432329504 170.190122513494 777.552817352791</t>
  </si>
  <si>
    <t>-517.985203755359 173.910942623558 833.198361473407</t>
  </si>
  <si>
    <t>-618.109253443548 -63.4949821370033 321.723339369478</t>
  </si>
  <si>
    <t>-656.312212666946 -105.313567207939 781.570717556287</t>
  </si>
  <si>
    <t>-503.133462905762 -125.133112719227 826.596093387389</t>
  </si>
  <si>
    <t>9763-20170724T115325.561303200.bin</t>
  </si>
  <si>
    <t>-608.826394910166 46.8452949930274 -93.6913368660221</t>
  </si>
  <si>
    <t>-629.36118350124 47.4104318574812 -202.482441549535</t>
  </si>
  <si>
    <t>-639.002797648741 48.9285841608373 -294.843448049822</t>
  </si>
  <si>
    <t>-645.570915744354 50.8354796917363 -378.457830203158</t>
  </si>
  <si>
    <t>-649.428136203111 53.1842555857966 -462.229774284493</t>
  </si>
  <si>
    <t>-652.089338199125 57.0911960744902 -584.796481373382</t>
  </si>
  <si>
    <t>-624.939272415938 65.4654831284652 -657.823528765775</t>
  </si>
  <si>
    <t>-646.02406093702 86.3407402860832 -530.134556455113</t>
  </si>
  <si>
    <t>-608.765228522575 235.658718973449 -504.626900029315</t>
  </si>
  <si>
    <t>-497.868316355596 274.138248788773 -248.112156406713</t>
  </si>
  <si>
    <t>-316.864468476886 312.470315971677 -107.695764974736</t>
  </si>
  <si>
    <t>-655.819199427227 24.4129761760316 -531.89595943066</t>
  </si>
  <si>
    <t>-595.60220894626 139.653070527333 -97.2808088713446</t>
  </si>
  <si>
    <t>-623.603983604908 149.321006300632 317.236979740866</t>
  </si>
  <si>
    <t>-668.920690528564 170.145538093344 777.552070380879</t>
  </si>
  <si>
    <t>-518.014120391838 173.845622491669 833.205903383254</t>
  </si>
  <si>
    <t>-618.207640661888 -63.5305463802513 321.696794721635</t>
  </si>
  <si>
    <t>-656.280308854878 -105.308849229811 781.566937050102</t>
  </si>
  <si>
    <t>-503.129600662014 -125.331057236992 826.598049253472</t>
  </si>
  <si>
    <t>9763-20170724T115325.632479300.bin</t>
  </si>
  <si>
    <t>-609.048952941883 46.7802373066047 -93.7079965222235</t>
  </si>
  <si>
    <t>-629.649610817493 47.4447250451728 -202.486029378501</t>
  </si>
  <si>
    <t>-639.384543862254 49.1646945179471 -294.833795786085</t>
  </si>
  <si>
    <t>-646.051687934296 51.3036270148457 -378.434620890996</t>
  </si>
  <si>
    <t>-650.022663730038 53.933357815579 -462.192954351411</t>
  </si>
  <si>
    <t>-652.866207566145 58.3048326110193 -584.739827496219</t>
  </si>
  <si>
    <t>-625.817114935059 66.9041163469497 -657.778247250925</t>
  </si>
  <si>
    <t>-646.66233325864 87.3380263668707 -529.978252809321</t>
  </si>
  <si>
    <t>-608.948350863672 236.449919634382 -503.960000265657</t>
  </si>
  <si>
    <t>-496.264571185513 276.101819531516 -248.404411494497</t>
  </si>
  <si>
    <t>-316.266320725575 313.33915778627 -106.409522524007</t>
  </si>
  <si>
    <t>-656.574622802793 25.4353893467091 -531.956468274013</t>
  </si>
  <si>
    <t>-595.614713349405 139.642924142692 -97.2611861612575</t>
  </si>
  <si>
    <t>-623.516691897867 149.294271425889 317.263783506577</t>
  </si>
  <si>
    <t>-668.967180315957 170.094510377614 777.561515421924</t>
  </si>
  <si>
    <t>-518.068332527116 173.793271494035 833.236312545921</t>
  </si>
  <si>
    <t>-618.244417937773 -63.4622164944028 321.657802481353</t>
  </si>
  <si>
    <t>-656.209771053194 -105.230539461128 781.55367189108</t>
  </si>
  <si>
    <t>-503.040124281134 -125.105755530298 826.585428818883</t>
  </si>
  <si>
    <t>9763-20170724T115325.666564300.bin</t>
  </si>
  <si>
    <t>-609.144220934253 46.8075430509202 -93.7127872666576</t>
  </si>
  <si>
    <t>-629.761164992873 47.5282759765862 -202.487347771841</t>
  </si>
  <si>
    <t>-639.561889361058 49.3534134365448 -294.826219063147</t>
  </si>
  <si>
    <t>-646.309215483068 51.612351255789 -378.417519691576</t>
  </si>
  <si>
    <t>-650.381342022266 54.386866517345 -462.166323071979</t>
  </si>
  <si>
    <t>-653.395578551239 58.9977493321974 -584.700247247206</t>
  </si>
  <si>
    <t>-626.404342220922 67.6971806064894 -657.7482537686</t>
  </si>
  <si>
    <t>-647.094304106549 87.9204380234539 -529.891361094645</t>
  </si>
  <si>
    <t>-609.212754000795 236.954159377617 -503.600315108195</t>
  </si>
  <si>
    <t>-495.214556531873 276.834223309236 -248.663879002995</t>
  </si>
  <si>
    <t>-316.014647362517 313.885798715406 -105.614513734517</t>
  </si>
  <si>
    <t>-657.051616848853 26.028556130063 -531.975418769987</t>
  </si>
  <si>
    <t>-595.600758147309 139.693010118105 -97.2478071265807</t>
  </si>
  <si>
    <t>-623.547737723217 149.328636833285 317.274536968924</t>
  </si>
  <si>
    <t>-668.986777179104 170.087748326577 777.577996813476</t>
  </si>
  <si>
    <t>-518.092096868131 173.709862907532 833.269134502238</t>
  </si>
  <si>
    <t>-618.279775148587 -63.3976218081464 321.63699570704</t>
  </si>
  <si>
    <t>-656.166662420431 -105.184255893132 781.547568794294</t>
  </si>
  <si>
    <t>-503.003778680476 -125.065041463573 826.599842621583</t>
  </si>
  <si>
    <t>9763-20170724T115325.728296600.bin</t>
  </si>
  <si>
    <t>-609.316744836686 46.9883093875083 -93.6915616829574</t>
  </si>
  <si>
    <t>-629.963021919461 47.8029750302887 -202.459998364257</t>
  </si>
  <si>
    <t>-639.945114551747 49.7918071484733 -294.776001911944</t>
  </si>
  <si>
    <t>-646.91928862531 52.2362954746388 -378.343501354415</t>
  </si>
  <si>
    <t>-651.281629237048 55.2337287583364 -462.06988958854</t>
  </si>
  <si>
    <t>-654.789730803746 60.2118348448798 -584.576461364813</t>
  </si>
  <si>
    <t>-627.956142184281 69.0145228445199 -657.669985929062</t>
  </si>
  <si>
    <t>-648.207571358908 88.9605943326151 -529.708998926238</t>
  </si>
  <si>
    <t>-609.589742400432 237.679832969335 -502.708780872538</t>
  </si>
  <si>
    <t>-493.926455467852 276.39385996353 -248.343324119732</t>
  </si>
  <si>
    <t>-315.505473412258 313.731466855824 -104.397623867202</t>
  </si>
  <si>
    <t>-658.29324938575 27.0943032763985 -531.934102783755</t>
  </si>
  <si>
    <t>-595.470689677317 139.89475549869 -97.2051668265514</t>
  </si>
  <si>
    <t>-623.397337602331 149.532701927579 317.318365099912</t>
  </si>
  <si>
    <t>-669.034856155795 170.050445876368 777.60981165307</t>
  </si>
  <si>
    <t>-518.150256015338 173.67024773165 833.328394426274</t>
  </si>
  <si>
    <t>-618.474775999821 -63.1740157577344 321.633769009665</t>
  </si>
  <si>
    <t>-656.078068317248 -105.147420362559 781.549514919141</t>
  </si>
  <si>
    <t>-502.956506586247 -125.230352818123 826.652557433367</t>
  </si>
  <si>
    <t>9763-20170724T115325.763389500.bin</t>
  </si>
  <si>
    <t>-609.38097154294 47.1021876873269 -93.6715710284402</t>
  </si>
  <si>
    <t>-630.027037755228 47.9897816476691 -202.439351795957</t>
  </si>
  <si>
    <t>-640.066680827382 50.0646405855459 -294.747258355418</t>
  </si>
  <si>
    <t>-647.115527339907 52.599346119511 -378.30579827773</t>
  </si>
  <si>
    <t>-651.575585995606 55.6973555534589 -462.023407692741</t>
  </si>
  <si>
    <t>-655.251658728201 60.8341729260439 -584.518454502399</t>
  </si>
  <si>
    <t>-628.524695550263 69.640487508954 -657.650738704583</t>
  </si>
  <si>
    <t>-648.499330702948 89.4963952976864 -529.626357403771</t>
  </si>
  <si>
    <t>-609.293132900003 238.025730359837 -502.417249117801</t>
  </si>
  <si>
    <t>-495.14719780853 275.714279584319 -247.21377134977</t>
  </si>
  <si>
    <t>-315.284775330749 313.71611319263 -105.249293687014</t>
  </si>
  <si>
    <t>-658.77791206577 27.6640716068464 -531.910916879103</t>
  </si>
  <si>
    <t>-595.28687268078 140.024967753326 -97.1742655619541</t>
  </si>
  <si>
    <t>-623.295872597095 149.645522234759 317.344199113532</t>
  </si>
  <si>
    <t>-669.06266308467 170.033650657937 777.623319784406</t>
  </si>
  <si>
    <t>-518.180333530498 173.619517351479 833.35016792632</t>
  </si>
  <si>
    <t>-618.599686811799 -63.0474773414655 321.631073733464</t>
  </si>
  <si>
    <t>-656.03917778199 -105.122980291914 781.553294229606</t>
  </si>
  <si>
    <t>-502.94285936655 -125.364125013554 826.671393971587</t>
  </si>
  <si>
    <t>9763-20170724T115325.834257400.bin</t>
  </si>
  <si>
    <t>-609.620462990008 47.342053179131 -93.6726015031338</t>
  </si>
  <si>
    <t>-630.21741073678 48.3522674548835 -202.448757458616</t>
  </si>
  <si>
    <t>-640.193774237455 50.624483123968 -294.75880582977</t>
  </si>
  <si>
    <t>-647.175750429518 53.3804417704562 -378.315920056245</t>
  </si>
  <si>
    <t>-651.559605287987 56.7401548053601 -462.027430519062</t>
  </si>
  <si>
    <t>-655.113984943319 62.304099033651 -584.50746667322</t>
  </si>
  <si>
    <t>-628.916146077232 71.0641002049813 -657.836514180909</t>
  </si>
  <si>
    <t>-648.255538903431 90.7478582755029 -529.51514423892</t>
  </si>
  <si>
    <t>-608.46100240615 239.099074054387 -502.190778753122</t>
  </si>
  <si>
    <t>-498.315157284459 274.433029171297 -244.901126378804</t>
  </si>
  <si>
    <t>-314.880661781581 314.287725912345 -108.109711278537</t>
  </si>
  <si>
    <t>-658.853136649125 28.977658139878 -532.013542404085</t>
  </si>
  <si>
    <t>-594.972892352191 140.365130479601 -97.1533433335924</t>
  </si>
  <si>
    <t>-623.0759510319 149.766851924127 317.363731330121</t>
  </si>
  <si>
    <t>-669.114460606445 169.960361721782 777.625025054745</t>
  </si>
  <si>
    <t>-518.240447071161 173.562419472733 833.373427039048</t>
  </si>
  <si>
    <t>-618.878083766281 -62.783992700286 321.60926114352</t>
  </si>
  <si>
    <t>-655.962560955983 -105.019184384113 781.555513302592</t>
  </si>
  <si>
    <t>-502.832993006335 -124.990492455519 826.680972379702</t>
  </si>
  <si>
    <t>9763-20170724T115325.864256600.bin</t>
  </si>
  <si>
    <t>-609.83880330499 47.4449658049109 -93.6826349394067</t>
  </si>
  <si>
    <t>-630.38964710327 48.4673871405728 -202.467297664915</t>
  </si>
  <si>
    <t>-640.318214801462 50.8356787926111 -294.780261936019</t>
  </si>
  <si>
    <t>-647.25345029018 53.7138587247046 -378.337105843234</t>
  </si>
  <si>
    <t>-651.58701573874 57.2318019638699 -462.044706160467</t>
  </si>
  <si>
    <t>-655.064023944522 63.0670623636595 -584.514275943102</t>
  </si>
  <si>
    <t>-629.441157463437 71.7741085057426 -658.052495588925</t>
  </si>
  <si>
    <t>-648.255630555963 91.3914285155965 -529.45424441852</t>
  </si>
  <si>
    <t>-608.511549506237 239.708914796615 -501.831980621806</t>
  </si>
  <si>
    <t>-498.991210464275 274.304961011997 -244.175256388053</t>
  </si>
  <si>
    <t>-315.143386059367 314.181187593906 -107.945936844313</t>
  </si>
  <si>
    <t>-658.821028333093 29.6218572606849 -532.097345944479</t>
  </si>
  <si>
    <t>-595.171076284847 140.496754720464 -97.1700968780598</t>
  </si>
  <si>
    <t>-623.164912367855 149.840067801161 317.355766730518</t>
  </si>
  <si>
    <t>-669.132836893741 169.96606287874 777.629399605413</t>
  </si>
  <si>
    <t>-518.263379935353 173.535837103806 833.392204119991</t>
  </si>
  <si>
    <t>-619.02682248655 -62.6988519504805 321.594480429686</t>
  </si>
  <si>
    <t>-655.913493566658 -104.996510658453 781.558224133017</t>
  </si>
  <si>
    <t>-502.815657236802 -125.13662247492 826.716323442595</t>
  </si>
  <si>
    <t>9763-20170724T115325.902866100.bin</t>
  </si>
  <si>
    <t>-610.105221580346 47.4180009767144 -93.6864127342263</t>
  </si>
  <si>
    <t>-630.606845799928 48.4432777715256 -202.480379163093</t>
  </si>
  <si>
    <t>-640.511435105676 50.8813896113013 -294.793930864854</t>
  </si>
  <si>
    <t>-647.432301504664 53.8491225458183 -378.348820165905</t>
  </si>
  <si>
    <t>-651.758584753822 57.4843926668198 -462.051963917299</t>
  </si>
  <si>
    <t>-655.232884863998 63.5215415964651 -584.51177295151</t>
  </si>
  <si>
    <t>-630.343647019813 72.0978098043183 -658.316843621905</t>
  </si>
  <si>
    <t>-648.471073086712 91.7627760388657 -529.40312165517</t>
  </si>
  <si>
    <t>-608.825150784511 240.007895582864 -501.383704159116</t>
  </si>
  <si>
    <t>-498.548590715645 274.714200778668 -244.064481071724</t>
  </si>
  <si>
    <t>-315.581944486929 314.368237856603 -106.589903185234</t>
  </si>
  <si>
    <t>-658.945710077838 29.9822449476133 -532.151759207597</t>
  </si>
  <si>
    <t>-595.529972700634 140.432522394651 -97.162585877922</t>
  </si>
  <si>
    <t>-623.485433950849 149.838412547552 317.364441152829</t>
  </si>
  <si>
    <t>-669.171892847641 169.923976377467 777.658786141321</t>
  </si>
  <si>
    <t>-518.301338073675 173.458380692935 833.42082548885</t>
  </si>
  <si>
    <t>-619.117508301043 -62.699015398696 321.582014018523</t>
  </si>
  <si>
    <t>-655.870921599617 -104.958806756793 781.55719066566</t>
  </si>
  <si>
    <t>-502.788660056651 -125.167672381428 826.737313613029</t>
  </si>
  <si>
    <t>9763-20170724T115325.965536000.bin</t>
  </si>
  <si>
    <t>-610.761063560641 47.085141542578 -93.6659999184607</t>
  </si>
  <si>
    <t>-631.138229808355 48.1126177366352 -202.483306989051</t>
  </si>
  <si>
    <t>-641.086348387635 50.6140974642426 -294.790409018606</t>
  </si>
  <si>
    <t>-648.106830865034 53.6619066342469 -378.334242194165</t>
  </si>
  <si>
    <t>-652.59311840159 57.4015073689206 -462.024323084644</t>
  </si>
  <si>
    <t>-656.367374594957 63.6184455814896 -584.46631057174</t>
  </si>
  <si>
    <t>-633.00727690449 71.6466882055629 -658.830627041769</t>
  </si>
  <si>
    <t>-649.556277817624 91.7930087633417 -529.32965215636</t>
  </si>
  <si>
    <t>-609.681253715217 239.855961835692 -500.516927440985</t>
  </si>
  <si>
    <t>-497.325579275379 276.630123528652 -244.387231853561</t>
  </si>
  <si>
    <t>-316.291528949741 315.761563397554 -104.230213295156</t>
  </si>
  <si>
    <t>-659.866242146847 29.9880188876268 -532.149913237191</t>
  </si>
  <si>
    <t>-596.472397101012 139.96478824679 -97.1023532616525</t>
  </si>
  <si>
    <t>-624.309117706813 149.624532272414 317.426790022139</t>
  </si>
  <si>
    <t>-669.251229376592 169.82971546505 777.765033108876</t>
  </si>
  <si>
    <t>-518.372786498834 173.436657758193 833.501038416668</t>
  </si>
  <si>
    <t>-619.183712963255 -62.741417097453 321.551335039666</t>
  </si>
  <si>
    <t>-655.814603333591 -104.866987114423 781.540786039022</t>
  </si>
  <si>
    <t>-502.669632799775 -124.642624217784 826.700165576499</t>
  </si>
  <si>
    <t>9763-20170724T115326.029218400.bin</t>
  </si>
  <si>
    <t>-611.23372096262 46.959739963665 -93.6325552071173</t>
  </si>
  <si>
    <t>-631.575068484736 48.0100403667327 -202.456375036623</t>
  </si>
  <si>
    <t>-641.50007512029 50.5341761276588 -294.765448644286</t>
  </si>
  <si>
    <t>-648.502332718235 53.6043490518805 -378.309853685052</t>
  </si>
  <si>
    <t>-652.97301065667 57.3676220707534 -461.999713913479</t>
  </si>
  <si>
    <t>-656.727465962913 63.6200250236766 -584.440326717339</t>
  </si>
  <si>
    <t>-634.483463088111 71.0474428894486 -659.20842287089</t>
  </si>
  <si>
    <t>-649.888747837302 91.7725728032544 -529.295909878136</t>
  </si>
  <si>
    <t>-609.945650346381 239.853055892935 -500.797187173803</t>
  </si>
  <si>
    <t>-500.419547784903 274.553035730235 -243.156885870417</t>
  </si>
  <si>
    <t>-316.573556805491 314.185939832904 -106.854240405361</t>
  </si>
  <si>
    <t>-660.271317394717 29.9805208690004 -532.133132238037</t>
  </si>
  <si>
    <t>-596.897912335873 139.84386596765 -97.0527656242334</t>
  </si>
  <si>
    <t>-624.670887624721 149.598463594421 317.478432437243</t>
  </si>
  <si>
    <t>-669.308881923167 169.775322855683 777.879781783223</t>
  </si>
  <si>
    <t>-518.417995815799 173.341860524137 833.584766284634</t>
  </si>
  <si>
    <t>-619.203338650193 -62.6160953373205 321.550061059689</t>
  </si>
  <si>
    <t>-655.788451356752 -104.810670757337 781.518169527367</t>
  </si>
  <si>
    <t>-502.682166667433 -124.986534050088 826.6316202831</t>
  </si>
  <si>
    <t>9763-20170724T115326.065816800.bin</t>
  </si>
  <si>
    <t>-611.478687710175 47.0510458907113 -93.6309895062431</t>
  </si>
  <si>
    <t>-631.803472557903 48.0722730992736 -202.458221589445</t>
  </si>
  <si>
    <t>-641.72548485883 50.5495014577284 -294.768820517778</t>
  </si>
  <si>
    <t>-648.729990271116 53.5702344660056 -378.314872424779</t>
  </si>
  <si>
    <t>-653.20821095417 57.2781026035602 -462.006781970452</t>
  </si>
  <si>
    <t>-656.979771930552 63.4441080311851 -584.451407869432</t>
  </si>
  <si>
    <t>-635.193278521855 70.6107803376574 -659.379446423683</t>
  </si>
  <si>
    <t>-650.173058566302 91.6421037178225 -529.326286811318</t>
  </si>
  <si>
    <t>-610.481848114606 239.845455795165 -501.050363001053</t>
  </si>
  <si>
    <t>-503.144397205743 273.844677496691 -242.397553238358</t>
  </si>
  <si>
    <t>-317.629487952544 313.49112449327 -108.379145425268</t>
  </si>
  <si>
    <t>-660.476626043834 29.8349568421027 -532.121305075811</t>
  </si>
  <si>
    <t>-597.105439700736 139.984944574224 -97.0820081473162</t>
  </si>
  <si>
    <t>-624.685221346869 149.705301069636 317.462885227149</t>
  </si>
  <si>
    <t>-669.328119913985 169.77819918328 777.898168783735</t>
  </si>
  <si>
    <t>-518.436356979385 173.297512684071 833.603851676811</t>
  </si>
  <si>
    <t>-619.283086850682 -62.4812577755367 321.56501189377</t>
  </si>
  <si>
    <t>-655.783663087479 -104.725320925624 781.515704818734</t>
  </si>
  <si>
    <t>-502.649321716169 -124.801585777334 826.578291679293</t>
  </si>
  <si>
    <t>9763-20170724T115326.129528800.bin</t>
  </si>
  <si>
    <t>-611.762122577589 47.3517394046885 -93.6765655581271</t>
  </si>
  <si>
    <t>-632.15164413463 48.2696990670263 -202.492538990348</t>
  </si>
  <si>
    <t>-642.175775227255 50.5521228683619 -294.797135468262</t>
  </si>
  <si>
    <t>-649.292082547456 53.3533797322477 -378.341498074753</t>
  </si>
  <si>
    <t>-653.90185764264 56.7987561672232 -462.037431064536</t>
  </si>
  <si>
    <t>-657.887397860496 62.5344627391933 -584.49608691829</t>
  </si>
  <si>
    <t>-636.793777443612 69.084162398188 -659.678332254322</t>
  </si>
  <si>
    <t>-651.014908914674 90.9310548265498 -529.481233296209</t>
  </si>
  <si>
    <t>-610.813553640262 239.002572737643 -501.246674521099</t>
  </si>
  <si>
    <t>-511.475314997478 272.538677995175 -239.357747751445</t>
  </si>
  <si>
    <t>-321.757725159558 311.65296762798 -111.194394733651</t>
  </si>
  <si>
    <t>-661.262201929418 29.1044335058759 -532.04352123404</t>
  </si>
  <si>
    <t>-597.488959539291 140.251265851623 -97.1672330974507</t>
  </si>
  <si>
    <t>-624.684638565198 150.32177663185 317.394666531199</t>
  </si>
  <si>
    <t>-669.355734672551 169.793667626923 777.866950810063</t>
  </si>
  <si>
    <t>-518.480745615244 173.22012259439 833.623750172409</t>
  </si>
  <si>
    <t>-619.383633374735 -62.1536538485043 321.585697022863</t>
  </si>
  <si>
    <t>-655.760695614869 -104.595298338012 781.520303730327</t>
  </si>
  <si>
    <t>-502.577457280838 -124.468716692499 826.506613546063</t>
  </si>
  <si>
    <t>9763-20170724T115326.163619800.bin</t>
  </si>
  <si>
    <t>-611.840261206323 47.479401898268 -93.6785400789039</t>
  </si>
  <si>
    <t>-632.262174513907 48.3599999287376 -202.488804148509</t>
  </si>
  <si>
    <t>-642.329861150658 50.5253244442679 -294.79146365917</t>
  </si>
  <si>
    <t>-649.491900365845 53.1855868175558 -378.336406626803</t>
  </si>
  <si>
    <t>-654.153708332676 56.4537524257216 -462.036580750557</t>
  </si>
  <si>
    <t>-658.222206347909 61.8895907658566 -584.506276930147</t>
  </si>
  <si>
    <t>-637.438838506879 68.0799289974341 -659.805262640905</t>
  </si>
  <si>
    <t>-651.269460973499 90.4135704437492 -529.56734728261</t>
  </si>
  <si>
    <t>-610.46133868508 238.351272955609 -501.501373090308</t>
  </si>
  <si>
    <t>-518.147845501708 271.002683396683 -236.94391627897</t>
  </si>
  <si>
    <t>-324.579383773828 309.631128959908 -114.519868526607</t>
  </si>
  <si>
    <t>-661.604513313884 28.5951532625706 -531.96793346669</t>
  </si>
  <si>
    <t>-597.593119749581 140.332276693676 -97.2008814898661</t>
  </si>
  <si>
    <t>-624.679790746279 150.587199550133 317.363642436419</t>
  </si>
  <si>
    <t>-669.372353119488 169.762592261994 777.839325546973</t>
  </si>
  <si>
    <t>-518.507093635557 173.246444544433 833.61881074337</t>
  </si>
  <si>
    <t>-619.334391717857 -61.9235863644344 321.610493587515</t>
  </si>
  <si>
    <t>-655.769488986988 -104.524869844449 781.519151312656</t>
  </si>
  <si>
    <t>-502.536284996682 -124.172398248933 826.434433622252</t>
  </si>
  <si>
    <t>9763-20170724T115326.226798200.bin</t>
  </si>
  <si>
    <t>-611.925759741204 47.8374910659218 -93.6972454973761</t>
  </si>
  <si>
    <t>-632.462131121088 48.6414190670021 -202.486487970141</t>
  </si>
  <si>
    <t>-642.658755325084 50.5161256439137 -294.781457255045</t>
  </si>
  <si>
    <t>-649.950874843607 52.8233432184231 -378.325576589532</t>
  </si>
  <si>
    <t>-654.756816436829 55.6479397665451 -462.033833335461</t>
  </si>
  <si>
    <t>-659.05142985121 60.3368583670535 -584.526633531798</t>
  </si>
  <si>
    <t>-638.887117123963 65.7408513632715 -660.054200957197</t>
  </si>
  <si>
    <t>-652.007113758838 89.1969886774707 -529.7751728203</t>
  </si>
  <si>
    <t>-611.520776619035 237.449346060092 -503.090559513426</t>
  </si>
  <si>
    <t>-536.356748567987 266.7126275088 -232.771097972961</t>
  </si>
  <si>
    <t>-334.60528235518 302.873203098482 -123.513189428579</t>
  </si>
  <si>
    <t>-662.326877225897 27.3618064411862 -531.780505733221</t>
  </si>
  <si>
    <t>-597.762500279932 140.586643096955 -97.2997727545793</t>
  </si>
  <si>
    <t>-624.385588162821 150.99374873967 317.291021789758</t>
  </si>
  <si>
    <t>-669.398913816206 169.697414368801 777.779295662583</t>
  </si>
  <si>
    <t>-518.54822036447 173.126435905745 833.601606786907</t>
  </si>
  <si>
    <t>-619.166123019008 -61.3507089445834 321.671207135401</t>
  </si>
  <si>
    <t>-655.828626653946 -104.41770951435 781.49526510793</t>
  </si>
  <si>
    <t>-502.545897896368 -124.114754650434 826.219480376552</t>
  </si>
  <si>
    <t>9763-20170724T115326.264895000.bin</t>
  </si>
  <si>
    <t>-611.929834644008 48.0466252968974 -93.6868137119294</t>
  </si>
  <si>
    <t>-632.623849374951 48.7860218381227 -202.446735409248</t>
  </si>
  <si>
    <t>-642.905443143845 50.5007400209349 -294.735196520984</t>
  </si>
  <si>
    <t>-650.255434537271 52.6205192109983 -378.279315667037</t>
  </si>
  <si>
    <t>-655.100211064006 55.2160982771802 -461.99272053712</t>
  </si>
  <si>
    <t>-659.43097179089 59.5246759268482 -584.498309296782</t>
  </si>
  <si>
    <t>-639.519972854945 64.5442711924927 -660.119437074796</t>
  </si>
  <si>
    <t>-652.420899765371 88.5629379265274 -529.83674922295</t>
  </si>
  <si>
    <t>-612.392503409296 237.085111070373 -503.827790886352</t>
  </si>
  <si>
    <t>-546.265675942244 264.634057377676 -230.978315459011</t>
  </si>
  <si>
    <t>-340.978162595129 298.808427800878 -127.839107450432</t>
  </si>
  <si>
    <t>-662.640463359154 26.7052081927304 -531.651009253184</t>
  </si>
  <si>
    <t>-597.88135757863 140.725585958124 -97.359552251974</t>
  </si>
  <si>
    <t>-624.146417210255 151.153771824759 317.253527638364</t>
  </si>
  <si>
    <t>-669.417846131992 169.642271651824 777.735691606037</t>
  </si>
  <si>
    <t>-518.574996339903 173.107121172722 833.576985516045</t>
  </si>
  <si>
    <t>-619.059938191704 -60.9862383881164 321.730380675271</t>
  </si>
  <si>
    <t>-655.898587786693 -104.35588630156 781.478346760438</t>
  </si>
  <si>
    <t>-502.569868336893 -124.047710557637 826.046902195842</t>
  </si>
  <si>
    <t>9763-20170724T115326.340108200.bin</t>
  </si>
  <si>
    <t>-612.105531763077 48.2450679192627 -93.7299316925755</t>
  </si>
  <si>
    <t>-633.266946654359 48.7318308638912 -202.401192829442</t>
  </si>
  <si>
    <t>-643.745493328221 50.0333825038877 -294.674396148457</t>
  </si>
  <si>
    <t>-651.194513199075 51.6925594624263 -378.220182953213</t>
  </si>
  <si>
    <t>-656.058733973425 53.7425026532499 -461.947567703503</t>
  </si>
  <si>
    <t>-660.330397453077 57.1595347782195 -584.483184606721</t>
  </si>
  <si>
    <t>-640.772044485798 61.411524876517 -660.243327299157</t>
  </si>
  <si>
    <t>-653.513222806642 86.6216698376254 -530.024631548054</t>
  </si>
  <si>
    <t>-614.269251177157 235.546776438555 -505.128153501198</t>
  </si>
  <si>
    <t>-566.439920915946 259.491735871693 -228.148836004851</t>
  </si>
  <si>
    <t>-355.6580164622 287.19499380951 -134.59631432899</t>
  </si>
  <si>
    <t>-663.398888687193 24.6985141333016 -531.406665804119</t>
  </si>
  <si>
    <t>-598.808471083635 140.741219298077 -97.5367734879992</t>
  </si>
  <si>
    <t>-623.884891306674 151.221065917866 317.148605895144</t>
  </si>
  <si>
    <t>-669.452650615395 169.521249570528 777.621995540057</t>
  </si>
  <si>
    <t>-518.617650334704 173.017098228435 833.482516322345</t>
  </si>
  <si>
    <t>-618.698741284581 -60.3433899716265 321.81483942259</t>
  </si>
  <si>
    <t>-656.070724116098 -104.176158336518 781.42528273304</t>
  </si>
  <si>
    <t>-502.591217128836 -123.577461963612 825.600550538946</t>
  </si>
  <si>
    <t>9763-20170724T115326.364172900.bin</t>
  </si>
  <si>
    <t>-612.404562217034 48.0904348919159 -93.8001350752286</t>
  </si>
  <si>
    <t>-633.813100361216 48.434141524941 -202.423591894893</t>
  </si>
  <si>
    <t>-644.389105312448 49.5125944479746 -294.688554354344</t>
  </si>
  <si>
    <t>-651.881988630854 50.9235114390281 -378.234934025921</t>
  </si>
  <si>
    <t>-656.745298597547 52.6805732466523 -461.969007192594</t>
  </si>
  <si>
    <t>-660.966508809802 55.6199663147672 -584.518918704742</t>
  </si>
  <si>
    <t>-641.553793731057 59.5207527325538 -660.335408596232</t>
  </si>
  <si>
    <t>-654.30986487465 85.3158741466232 -530.167371728258</t>
  </si>
  <si>
    <t>-615.555358617204 234.445191236851 -505.756663999602</t>
  </si>
  <si>
    <t>-575.99515346558 256.624918388525 -227.329551227514</t>
  </si>
  <si>
    <t>-363.567534777688 280.320402863422 -136.436411183794</t>
  </si>
  <si>
    <t>-663.918716944193 23.3445079312417 -531.322825070055</t>
  </si>
  <si>
    <t>-599.688616205963 140.489324952453 -97.6260217868331</t>
  </si>
  <si>
    <t>-623.964274616698 151.075619877451 317.104286312901</t>
  </si>
  <si>
    <t>-669.471817207045 169.47382663894 777.571346158837</t>
  </si>
  <si>
    <t>-518.634005427533 172.964779282672 833.424776897628</t>
  </si>
  <si>
    <t>-618.460622361602 -60.2005260453132 321.83534825048</t>
  </si>
  <si>
    <t>-656.137923626843 -104.071965224862 781.397802686759</t>
  </si>
  <si>
    <t>-502.566105136598 -123.127717501712 825.402245361057</t>
  </si>
  <si>
    <t>9763-20170724T115326.431890600.bin</t>
  </si>
  <si>
    <t>-613.36811763162 47.2014312508891 -93.9236367389574</t>
  </si>
  <si>
    <t>-634.919236367166 47.2265116858964 -202.519426969945</t>
  </si>
  <si>
    <t>-645.535968578436 47.8635319462755 -294.783797183339</t>
  </si>
  <si>
    <t>-653.035385201393 48.7945507381187 -378.336316003234</t>
  </si>
  <si>
    <t>-657.874147071543 49.997297291213 -462.081540209428</t>
  </si>
  <si>
    <t>-662.025399704217 52.0450725666722 -584.651960913958</t>
  </si>
  <si>
    <t>-643.111620064631 55.4760242622328 -660.617076287243</t>
  </si>
  <si>
    <t>-655.793400235185 82.1938790037045 -530.499819328725</t>
  </si>
  <si>
    <t>-618.553125469916 231.856241387287 -506.864894828122</t>
  </si>
  <si>
    <t>-592.540924825573 251.211878455297 -226.637706094071</t>
  </si>
  <si>
    <t>-377.751101445628 266.476329018586 -139.569571355342</t>
  </si>
  <si>
    <t>-664.614321807343 20.0992494595437 -531.238477438586</t>
  </si>
  <si>
    <t>-601.887241452054 139.309762706768 -97.7726436601814</t>
  </si>
  <si>
    <t>-625.22775394017 150.305980309571 317.000691090458</t>
  </si>
  <si>
    <t>-669.551909793809 169.361783542675 777.558797199807</t>
  </si>
  <si>
    <t>-518.685310306623 172.962398801782 833.327349811134</t>
  </si>
  <si>
    <t>-618.03402861113 -60.5743991121567 321.829691255096</t>
  </si>
  <si>
    <t>-656.285581546415 -103.952120121315 781.339121592996</t>
  </si>
  <si>
    <t>-502.564051602778 -122.558515879018 825.011929623832</t>
  </si>
  <si>
    <t>9763-20170724T115326.464979400.bin</t>
  </si>
  <si>
    <t>-613.939606101855 46.5086788878784 -93.9461970367664</t>
  </si>
  <si>
    <t>-635.497100031114 46.3506566574972 -202.540654544705</t>
  </si>
  <si>
    <t>-646.082329654172 46.7465712250278 -294.810014107629</t>
  </si>
  <si>
    <t>-653.539509757529 47.4181192940684 -378.368793009079</t>
  </si>
  <si>
    <t>-658.321721499295 48.3240387332019 -462.120965128324</t>
  </si>
  <si>
    <t>-662.37475221665 49.8970249240931 -584.701798837495</t>
  </si>
  <si>
    <t>-643.696609043907 53.2183017922516 -660.730044866709</t>
  </si>
  <si>
    <t>-656.421029030486 80.2878363601012 -530.653605247354</t>
  </si>
  <si>
    <t>-620.075775404701 230.194271905792 -507.34170333882</t>
  </si>
  <si>
    <t>-598.998840523435 249.185528394579 -226.675244431012</t>
  </si>
  <si>
    <t>-383.860102264855 260.423212369869 -139.856142309005</t>
  </si>
  <si>
    <t>-664.771576209769 18.1258877004266 -531.175156156216</t>
  </si>
  <si>
    <t>-603.236163823437 138.379714227873 -97.8271848557335</t>
  </si>
  <si>
    <t>-626.085932414957 149.779160228076 316.96265488542</t>
  </si>
  <si>
    <t>-669.603771468858 169.315570596585 777.595245717994</t>
  </si>
  <si>
    <t>-518.70910618416 172.964749731539 833.284539596386</t>
  </si>
  <si>
    <t>-617.918314257453 -61.0018347061009 321.809691424013</t>
  </si>
  <si>
    <t>-656.366355600883 -103.886691830736 781.304807345125</t>
  </si>
  <si>
    <t>-502.554769791948 -122.143012002223 824.807896427388</t>
  </si>
  <si>
    <t>9763-20170724T115326.530680100.bin</t>
  </si>
  <si>
    <t>-615.039892053732 44.744201216954 -94.0172797958368</t>
  </si>
  <si>
    <t>-636.564916382306 44.2183277117999 -202.616965195243</t>
  </si>
  <si>
    <t>-647.049873595362 44.1642509427816 -294.898636591477</t>
  </si>
  <si>
    <t>-654.388928723936 44.3587403890388 -378.470423453889</t>
  </si>
  <si>
    <t>-659.024609762046 44.7252448959114 -462.235073845615</t>
  </si>
  <si>
    <t>-662.832432537587 45.4412824305659 -584.831657387857</t>
  </si>
  <si>
    <t>-644.546536225401 48.6131987911363 -660.961555569331</t>
  </si>
  <si>
    <t>-657.460428416268 76.2691217174349 -530.970273209454</t>
  </si>
  <si>
    <t>-622.985669569751 226.772633944906 -508.689501699729</t>
  </si>
  <si>
    <t>-610.377683273599 246.570800786982 -227.570996518542</t>
  </si>
  <si>
    <t>-394.886592807624 251.843957354886 -141.059062266119</t>
  </si>
  <si>
    <t>-664.862709664525 13.9851292635165 -531.104119957732</t>
  </si>
  <si>
    <t>-605.931216720512 136.280716278599 -97.9346868601999</t>
  </si>
  <si>
    <t>-627.586066366248 148.510367864905 316.895520114353</t>
  </si>
  <si>
    <t>-669.694268979367 169.269947926807 777.624790266146</t>
  </si>
  <si>
    <t>-518.73911326416 173.047203772945 833.141390727577</t>
  </si>
  <si>
    <t>-617.844164031977 -62.151858750058 321.736025043986</t>
  </si>
  <si>
    <t>-656.513524919497 -103.84098634945 781.253203425237</t>
  </si>
  <si>
    <t>-502.570795327124 -121.684059030122 824.462884512896</t>
  </si>
  <si>
    <t>9763-20170724T115326.562751700.bin</t>
  </si>
  <si>
    <t>-615.534147711554 43.6569390784712 -94.0693790217844</t>
  </si>
  <si>
    <t>-637.075338093268 42.9653383485957 -202.664942496844</t>
  </si>
  <si>
    <t>-647.504066280826 42.7172042827192 -294.952516170262</t>
  </si>
  <si>
    <t>-654.765032101625 42.7083451463004 -378.531353247302</t>
  </si>
  <si>
    <t>-659.294788269839 42.8484087571655 -462.302485313597</t>
  </si>
  <si>
    <t>-662.917353709525 43.2084966678308 -584.906260640107</t>
  </si>
  <si>
    <t>-644.825235157967 46.3131220870212 -661.085292352088</t>
  </si>
  <si>
    <t>-657.876813945473 74.2213357117871 -531.119060998539</t>
  </si>
  <si>
    <t>-624.492002621342 225.024488210704 -509.147671248133</t>
  </si>
  <si>
    <t>-614.222982059356 245.065188874657 -227.951158333583</t>
  </si>
  <si>
    <t>-398.50438072275 248.507026679283 -141.915322759704</t>
  </si>
  <si>
    <t>-664.778773910939 11.8797710233443 -531.098419848993</t>
  </si>
  <si>
    <t>-607.141628595541 135.099268533747 -98.0048528357015</t>
  </si>
  <si>
    <t>-628.080751632834 147.792438342269 316.848165056743</t>
  </si>
  <si>
    <t>-669.72320712202 169.242358124097 777.600198378985</t>
  </si>
  <si>
    <t>-518.746817074098 173.139039279094 833.050857670215</t>
  </si>
  <si>
    <t>-617.86181916511 -62.8639111626001 321.693850506977</t>
  </si>
  <si>
    <t>-656.581608109605 -103.83464788564 781.234969976909</t>
  </si>
  <si>
    <t>-502.576561152433 -121.456551288302 824.313285706817</t>
  </si>
  <si>
    <t>9763-20170724T115326.630943300.bin</t>
  </si>
  <si>
    <t>-616.308664815324 41.3928581315772 -94.2229149936345</t>
  </si>
  <si>
    <t>-637.702953605733 40.3823147390885 -202.84496568692</t>
  </si>
  <si>
    <t>-647.989807887393 39.8273183905862 -295.147233144499</t>
  </si>
  <si>
    <t>-655.11698482321 39.5161489294812 -378.737049364759</t>
  </si>
  <si>
    <t>-659.506674806538 39.3398208971287 -462.515615090198</t>
  </si>
  <si>
    <t>-662.917878160692 39.2242221999484 -585.125793133367</t>
  </si>
  <si>
    <t>-645.155591813091 42.1702230751239 -661.388638417046</t>
  </si>
  <si>
    <t>-658.509921213595 70.5005509894197 -531.435939418611</t>
  </si>
  <si>
    <t>-627.447725153066 221.799463236696 -509.520730012864</t>
  </si>
  <si>
    <t>-619.130643728387 242.651982615595 -228.318837561655</t>
  </si>
  <si>
    <t>-402.799222965937 243.168035349339 -143.767158273243</t>
  </si>
  <si>
    <t>-664.332263516617 8.04923851974331 -531.215022687663</t>
  </si>
  <si>
    <t>-609.296898194976 132.676604680988 -98.1307678582098</t>
  </si>
  <si>
    <t>-628.963451005378 146.313556300993 316.754565489012</t>
  </si>
  <si>
    <t>-669.75134363914 169.212326962395 777.534111758605</t>
  </si>
  <si>
    <t>-518.745732403023 173.263926367141 832.893977375164</t>
  </si>
  <si>
    <t>-618.18225548911 -64.4643667881837 321.589436650151</t>
  </si>
  <si>
    <t>-656.720241780783 -103.890383164891 781.206047718755</t>
  </si>
  <si>
    <t>-502.639182287209 -121.397246425793 824.058824004384</t>
  </si>
  <si>
    <t>9763-20170724T115326.667038600.bin</t>
  </si>
  <si>
    <t>-616.409931007689 40.3426910373889 -94.2829318533005</t>
  </si>
  <si>
    <t>-637.712509499912 39.1804836758331 -202.921467860777</t>
  </si>
  <si>
    <t>-647.953366563783 38.5021225707187 -295.228073483818</t>
  </si>
  <si>
    <t>-655.052488688533 38.076156710606 -378.819610829038</t>
  </si>
  <si>
    <t>-659.427365840476 37.7870732051178 -462.598629527246</t>
  </si>
  <si>
    <t>-662.831461759641 37.5103262724733 -585.208787372766</t>
  </si>
  <si>
    <t>-645.172077907091 40.3673055446325 -661.499097049891</t>
  </si>
  <si>
    <t>-658.689032757816 68.8806381492543 -531.552636114055</t>
  </si>
  <si>
    <t>-628.666759948352 220.376361564179 -509.527209141598</t>
  </si>
  <si>
    <t>-620.831723097974 242.197280790317 -228.384895895143</t>
  </si>
  <si>
    <t>-404.125392708777 240.754805359073 -144.809676157696</t>
  </si>
  <si>
    <t>-663.986470165709 6.38299510156867 -531.264380467125</t>
  </si>
  <si>
    <t>-610.045899246646 131.436218596214 -98.1853780194165</t>
  </si>
  <si>
    <t>-629.303794607459 145.699274014619 316.698126372616</t>
  </si>
  <si>
    <t>-669.757016053989 169.209637211904 777.489130419159</t>
  </si>
  <si>
    <t>-518.740668564545 173.326153264585 832.814711573028</t>
  </si>
  <si>
    <t>-618.354601770458 -65.2389503942097 321.538249288226</t>
  </si>
  <si>
    <t>-656.789172291345 -103.888872852757 781.195598066166</t>
  </si>
  <si>
    <t>-502.629688794656 -120.990664394574 823.929714991868</t>
  </si>
  <si>
    <t>9763-20170724T115326.732724800.bin</t>
  </si>
  <si>
    <t>-616.052573576575 38.4525154511323 -94.3641868328956</t>
  </si>
  <si>
    <t>-637.328274836795 37.0272343985373 -203.004876110933</t>
  </si>
  <si>
    <t>-647.593707374515 36.0910400135033 -295.306527987929</t>
  </si>
  <si>
    <t>-654.735175011088 35.4091844199108 -378.892782466522</t>
  </si>
  <si>
    <t>-659.172291469053 34.8509553132949 -462.667210090906</t>
  </si>
  <si>
    <t>-662.689292252011 34.1683533277396 -585.272556349636</t>
  </si>
  <si>
    <t>-645.203535583812 36.8805407272544 -661.608001533031</t>
  </si>
  <si>
    <t>-658.992571630974 65.7541409846351 -531.710311703328</t>
  </si>
  <si>
    <t>-631.127182713498 217.675819936398 -509.855359470899</t>
  </si>
  <si>
    <t>-624.209527688274 242.14264512507 -228.906739978657</t>
  </si>
  <si>
    <t>-407.128584467585 236.195446165647 -146.511188654708</t>
  </si>
  <si>
    <t>-663.299570480759 3.18152920927128 -531.238329268004</t>
  </si>
  <si>
    <t>-610.910002105675 129.27776587466 -98.2842360075275</t>
  </si>
  <si>
    <t>-629.500585099887 144.550189020878 316.593706807001</t>
  </si>
  <si>
    <t>-669.70712183412 169.277282219985 777.371053337368</t>
  </si>
  <si>
    <t>-518.691965021269 173.688536752932 832.677411672536</t>
  </si>
  <si>
    <t>-618.350581699873 -66.7033698370651 321.444896311811</t>
  </si>
  <si>
    <t>-656.918189546501 -103.950854447563 781.174854046012</t>
  </si>
  <si>
    <t>-502.635759623426 -120.457980601005 823.698604495339</t>
  </si>
  <si>
    <t>9763-20170724T115326.765815800.bin</t>
  </si>
  <si>
    <t>-615.638271788509 37.6905743263299 -94.3951288933345</t>
  </si>
  <si>
    <t>-637.007413587348 36.1600931914627 -203.016056309315</t>
  </si>
  <si>
    <t>-647.307934063296 35.106706170247 -295.31252156569</t>
  </si>
  <si>
    <t>-654.463796637313 34.3032375593946 -378.896403837989</t>
  </si>
  <si>
    <t>-658.897720167963 33.6122939906256 -462.67002462049</t>
  </si>
  <si>
    <t>-662.390903072739 32.723899787359 -585.274844727799</t>
  </si>
  <si>
    <t>-644.976740408775 35.4031203676416 -661.627754243559</t>
  </si>
  <si>
    <t>-658.927019453017 64.4141012835421 -531.75857360092</t>
  </si>
  <si>
    <t>-631.994435743072 216.531332566779 -510.111365981433</t>
  </si>
  <si>
    <t>-625.973046119136 242.176159387275 -229.24717935824</t>
  </si>
  <si>
    <t>-408.863847307862 234.09769876453 -147.107872172105</t>
  </si>
  <si>
    <t>-662.78921849931 1.81326797867587 -531.195024833597</t>
  </si>
  <si>
    <t>-611.103279371508 128.472165542734 -98.3136527299311</t>
  </si>
  <si>
    <t>-629.343220292939 144.032630559708 316.569259004566</t>
  </si>
  <si>
    <t>-669.655151858658 169.333428566621 777.320872793266</t>
  </si>
  <si>
    <t>-518.653920004435 173.902222586861 832.652389660812</t>
  </si>
  <si>
    <t>-618.04291090265 -67.2364110741935 321.419239849139</t>
  </si>
  <si>
    <t>-656.972921406288 -104.000197513958 781.166447875315</t>
  </si>
  <si>
    <t>-502.666336519161 -120.479038844318 823.613476564764</t>
  </si>
  <si>
    <t>9763-20170724T115326.831498500.bin</t>
  </si>
  <si>
    <t>-614.562122775097 36.5456984914324 -94.4100370521356</t>
  </si>
  <si>
    <t>-636.244984725572 34.8067155276703 -202.965673312222</t>
  </si>
  <si>
    <t>-646.586361953895 33.5242009819128 -295.254628699637</t>
  </si>
  <si>
    <t>-653.689064246278 32.484543866171 -378.840589518411</t>
  </si>
  <si>
    <t>-657.978910977669 31.5354615805275 -462.618929842692</t>
  </si>
  <si>
    <t>-661.161771404934 30.2467807946359 -585.228731305101</t>
  </si>
  <si>
    <t>-643.70528205468 32.8801744537907 -661.573570583979</t>
  </si>
  <si>
    <t>-658.196391036459 62.1320146136179 -531.798524785013</t>
  </si>
  <si>
    <t>-632.72844765639 214.56170667597 -510.510109416546</t>
  </si>
  <si>
    <t>-629.45886693299 241.231416733614 -229.695991141921</t>
  </si>
  <si>
    <t>-412.193121718354 229.551833018363 -148.408012225936</t>
  </si>
  <si>
    <t>-611.068830142628 127.236230607523 -98.3272647078705</t>
  </si>
  <si>
    <t>-628.75807523613 143.27888726794 316.561104064507</t>
  </si>
  <si>
    <t>-669.550144047763 169.453785678414 777.22345423128</t>
  </si>
  <si>
    <t>-518.580054153831 174.26500039052 832.61923469776</t>
  </si>
  <si>
    <t>-616.956934572007 -67.894359907413 321.479521956816</t>
  </si>
  <si>
    <t>-657.076165903521 -104.015221055853 781.136410071526</t>
  </si>
  <si>
    <t>-502.669997824216 -119.9377833674 823.433323797824</t>
  </si>
  <si>
    <t>9763-20170724T115326.872607300.bin</t>
  </si>
  <si>
    <t>-614.013351130266 36.01578192027 -94.4021030465276</t>
  </si>
  <si>
    <t>-635.822514946222 34.1690690840937 -202.930658372673</t>
  </si>
  <si>
    <t>-646.17851352098 32.7692454625981 -295.216239080778</t>
  </si>
  <si>
    <t>-653.257163917498 31.6099077028321 -378.802562287114</t>
  </si>
  <si>
    <t>-657.485697175325 30.5294702365416 -462.582526371938</t>
  </si>
  <si>
    <t>-660.537713355915 29.0373643089063 -585.193399974101</t>
  </si>
  <si>
    <t>-643.010838845775 31.6433871026104 -661.52304732058</t>
  </si>
  <si>
    <t>-657.77514534702 61.0182727365166 -531.809391859128</t>
  </si>
  <si>
    <t>-633.028486254779 213.610403758118 -510.834881442708</t>
  </si>
  <si>
    <t>-631.2790352111 240.321084459641 -230.011043116604</t>
  </si>
  <si>
    <t>-414.066380810602 227.604192456125 -148.736877871974</t>
  </si>
  <si>
    <t>-610.949231506693 126.659012701976 -98.3333583503515</t>
  </si>
  <si>
    <t>-628.445619419726 142.883064970602 316.55612245395</t>
  </si>
  <si>
    <t>-669.524827655035 169.428303265385 777.155785877572</t>
  </si>
  <si>
    <t>-518.570481095878 174.40154167774 832.580394016335</t>
  </si>
  <si>
    <t>-616.523568302156 -68.2510344281684 321.513283878517</t>
  </si>
  <si>
    <t>-657.110647112449 -104.064453182759 781.130905565147</t>
  </si>
  <si>
    <t>-502.704892739695 -120.06606183485 823.399607605581</t>
  </si>
  <si>
    <t>9763-20170724T115326.929765500.bin</t>
  </si>
  <si>
    <t>-612.999995682489 35.1924434610112 -94.4116090841014</t>
  </si>
  <si>
    <t>-634.963896578622 33.1636193073314 -202.905692270884</t>
  </si>
  <si>
    <t>-645.360988251948 31.5511854170429 -295.183180624875</t>
  </si>
  <si>
    <t>-652.440854537009 30.1715090961522 -378.766159474568</t>
  </si>
  <si>
    <t>-656.634223561401 28.8477198260741 -462.544343878456</t>
  </si>
  <si>
    <t>-659.594956346861 26.9752853212235 -585.152054837128</t>
  </si>
  <si>
    <t>-641.893859358464 29.5017859126447 -661.444307042299</t>
  </si>
  <si>
    <t>-657.107978792798 59.1314700530054 -531.860196354786</t>
  </si>
  <si>
    <t>-633.421262360695 211.95113908304 -511.34060681391</t>
  </si>
  <si>
    <t>-634.242597573602 238.532936996824 -230.500277938847</t>
  </si>
  <si>
    <t>-417.177496279459 223.589069522179 -149.210821020256</t>
  </si>
  <si>
    <t>-610.48457501474 125.721771066517 -98.3787025473659</t>
  </si>
  <si>
    <t>-627.895234045267 142.296090350462 316.500514789258</t>
  </si>
  <si>
    <t>-669.467271297914 169.418595228881 777.016863359527</t>
  </si>
  <si>
    <t>-518.541600485621 174.57738436298 832.502531812764</t>
  </si>
  <si>
    <t>-615.996727777188 -68.8834924357136 321.572382488688</t>
  </si>
  <si>
    <t>-657.179368614192 -104.163872800141 781.13477174017</t>
  </si>
  <si>
    <t>-502.767070737222 -120.216159085476 823.360199253349</t>
  </si>
  <si>
    <t>9763-20170724T115326.965860100.bin</t>
  </si>
  <si>
    <t>-612.548983952908 34.871378545339 -94.4236237175862</t>
  </si>
  <si>
    <t>-634.559596283426 32.7741936032955 -202.906891712242</t>
  </si>
  <si>
    <t>-644.976788232225 31.0649329978808 -295.180458691047</t>
  </si>
  <si>
    <t>-652.067088104316 29.5818405246482 -378.760792711334</t>
  </si>
  <si>
    <t>-656.263108267317 28.1408590104445 -462.536878824862</t>
  </si>
  <si>
    <t>-659.219162617492 26.0830019422706 -585.14181504104</t>
  </si>
  <si>
    <t>-641.455833104052 28.5466203524156 -661.421633328104</t>
  </si>
  <si>
    <t>-656.826103359778 58.3232309191797 -531.896254996915</t>
  </si>
  <si>
    <t>-633.617535153697 211.24947807907 -511.603745187243</t>
  </si>
  <si>
    <t>-635.258623799609 237.798320217692 -230.763901956938</t>
  </si>
  <si>
    <t>-418.269618473892 221.757221233381 -149.480432751899</t>
  </si>
  <si>
    <t>-610.131774031399 125.34892863722 -98.4169332839607</t>
  </si>
  <si>
    <t>-627.619963770857 142.108368305319 316.451554746306</t>
  </si>
  <si>
    <t>-669.443616520059 169.431092675087 776.939651032354</t>
  </si>
  <si>
    <t>-518.527504698568 174.657181023084 832.444897829125</t>
  </si>
  <si>
    <t>-615.86555174467 -69.133957441948 321.583687768964</t>
  </si>
  <si>
    <t>-657.211806698064 -104.160152852378 781.142305269131</t>
  </si>
  <si>
    <t>-502.708556242643 -119.447104567422 823.319102040935</t>
  </si>
  <si>
    <t>9763-20170724T115327.031581600.bin</t>
  </si>
  <si>
    <t>-611.914416364687 34.2073729923886 -94.4530460240159</t>
  </si>
  <si>
    <t>-633.997634952165 32.0145216751114 -202.91971215771</t>
  </si>
  <si>
    <t>-644.434581053001 30.0972467971746 -295.18689988458</t>
  </si>
  <si>
    <t>-651.525849094786 28.3763450767901 -378.76249425689</t>
  </si>
  <si>
    <t>-655.705823499277 26.6502461157502 -462.534135601876</t>
  </si>
  <si>
    <t>-658.619727968031 24.1252275386955 -585.131217276389</t>
  </si>
  <si>
    <t>-640.796976016359 26.4013287768876 -661.403158251985</t>
  </si>
  <si>
    <t>-656.342230825944 56.5713667742291 -532.005894740241</t>
  </si>
  <si>
    <t>-633.738441018609 209.67432829136 -512.331541945012</t>
  </si>
  <si>
    <t>-636.228677024717 235.995431866598 -231.476383330375</t>
  </si>
  <si>
    <t>-419.469690089288 219.042103797366 -149.765579513227</t>
  </si>
  <si>
    <t>-609.557163807106 124.706820762661 -98.5305662757307</t>
  </si>
  <si>
    <t>-626.984285709353 141.727737034344 316.329893397109</t>
  </si>
  <si>
    <t>-669.397157500139 169.448835401593 776.756178387959</t>
  </si>
  <si>
    <t>-518.497049684211 174.77290524702 832.295704628694</t>
  </si>
  <si>
    <t>-615.636280827279 -69.6416143849358 321.604563957015</t>
  </si>
  <si>
    <t>-657.311380370195 -104.290722457981 781.153149180334</t>
  </si>
  <si>
    <t>-502.840781221145 -120.119555940738 823.249510455627</t>
  </si>
  <si>
    <t>9763-20170724T115327.062665800.bin</t>
  </si>
  <si>
    <t>-611.649001593264 33.882647138983 -94.4862211914476</t>
  </si>
  <si>
    <t>-633.752511009043 31.6492232789521 -202.947827866214</t>
  </si>
  <si>
    <t>-644.1784791979 29.6264862818668 -295.214046437214</t>
  </si>
  <si>
    <t>-651.248404184369 27.7826681403644 -378.78885210176</t>
  </si>
  <si>
    <t>-655.395480602463 25.9062017964768 -462.558949633754</t>
  </si>
  <si>
    <t>-658.248527522728 23.1319816737152 -585.152074262505</t>
  </si>
  <si>
    <t>-640.39522242263 25.269678416111 -661.420604451414</t>
  </si>
  <si>
    <t>-656.001862230912 55.6862083156823 -532.09148069624</t>
  </si>
  <si>
    <t>-633.48325484128 208.848015888386 -512.766492266725</t>
  </si>
  <si>
    <t>-636.191802713074 235.169912803236 -231.91349915448</t>
  </si>
  <si>
    <t>-419.545409468634 218.440800627177 -149.858523050011</t>
  </si>
  <si>
    <t>-609.241791601556 124.391514019711 -98.5941241403991</t>
  </si>
  <si>
    <t>-626.714433863184 141.540094636078 316.259189225081</t>
  </si>
  <si>
    <t>-669.374561751218 169.474704605257 776.65531712147</t>
  </si>
  <si>
    <t>-518.480681539183 174.851704500753 832.206649397731</t>
  </si>
  <si>
    <t>-615.511904718319 -69.8363159111007 321.616394979591</t>
  </si>
  <si>
    <t>-657.375569149521 -104.301342436553 781.152711368283</t>
  </si>
  <si>
    <t>-502.828012372642 -119.600808616057 823.16220600548</t>
  </si>
  <si>
    <t>9763-20170724T115327.128847500.bin</t>
  </si>
  <si>
    <t>-611.107310046735 33.1118272238355 -94.5559139922235</t>
  </si>
  <si>
    <t>-633.226110239975 30.8621456486444 -203.01420695006</t>
  </si>
  <si>
    <t>-643.581982430699 28.6638732210652 -295.284209975258</t>
  </si>
  <si>
    <t>-650.554744810877 26.5981036649587 -378.862001846023</t>
  </si>
  <si>
    <t>-654.570693037653 24.4352850778657 -462.631523549554</t>
  </si>
  <si>
    <t>-657.194904670251 21.1712611410867 -585.217754711163</t>
  </si>
  <si>
    <t>-639.260939037008 22.9693166193215 -661.476169102646</t>
  </si>
  <si>
    <t>-654.99301626178 53.9353448379986 -532.284733479474</t>
  </si>
  <si>
    <t>-632.540607885983 207.209418352566 -513.839143808977</t>
  </si>
  <si>
    <t>-634.679089473785 234.080588786499 -233.033285673999</t>
  </si>
  <si>
    <t>-417.948215418084 218.451663538749 -150.984660745024</t>
  </si>
  <si>
    <t>-608.538571826823 123.650545187846 -98.7127089117645</t>
  </si>
  <si>
    <t>-626.225981762061 141.07126032535 316.120083861747</t>
  </si>
  <si>
    <t>-669.334734556786 169.473253087036 776.442159856369</t>
  </si>
  <si>
    <t>-518.458136011373 174.986790364546 832.027077349613</t>
  </si>
  <si>
    <t>-615.123234156733 -70.3378661637132 321.608948756952</t>
  </si>
  <si>
    <t>-657.503115763184 -104.405872611545 781.140338988738</t>
  </si>
  <si>
    <t>-502.926901461612 -119.817191226993 823.003299807443</t>
  </si>
  <si>
    <t>9763-20170724T115327.171961600.bin</t>
  </si>
  <si>
    <t>-610.845317284941 32.7180265489003 -94.5830680674537</t>
  </si>
  <si>
    <t>-632.957747543781 30.4688429604075 -203.042573212806</t>
  </si>
  <si>
    <t>-643.278803122424 28.2016385525369 -295.314920201695</t>
  </si>
  <si>
    <t>-650.208087286572 26.0464625365953 -378.894003598746</t>
  </si>
  <si>
    <t>-654.168589371909 23.7660577703487 -462.663203095686</t>
  </si>
  <si>
    <t>-656.698488062317 20.2993622463373 -585.245827226236</t>
  </si>
  <si>
    <t>-638.750168432181 21.949927057572 -661.504074957308</t>
  </si>
  <si>
    <t>-654.493462285175 53.149428603165 -532.36608637276</t>
  </si>
  <si>
    <t>-631.982284571797 206.462461354865 -514.294198965625</t>
  </si>
  <si>
    <t>-632.901529464305 233.535671564339 -233.501176768993</t>
  </si>
  <si>
    <t>-416.037165810026 219.606153482297 -151.49888584567</t>
  </si>
  <si>
    <t>-608.201711974662 123.28772324905 -98.7628453639034</t>
  </si>
  <si>
    <t>-625.975436436523 140.860007040471 316.059855378696</t>
  </si>
  <si>
    <t>-669.310899636671 169.498121350442 776.345006250674</t>
  </si>
  <si>
    <t>-518.440009636647 175.042679806847 831.942305667614</t>
  </si>
  <si>
    <t>-614.864752371845 -70.5895811380124 321.606122771159</t>
  </si>
  <si>
    <t>-657.570992173568 -104.428309139578 781.13133054818</t>
  </si>
  <si>
    <t>-502.923041050781 -119.35735668361 822.904003268872</t>
  </si>
  <si>
    <t>9763-20170724T115327.231672400.bin</t>
  </si>
  <si>
    <t>-610.283455312723 31.8129293200427 -94.640718627714</t>
  </si>
  <si>
    <t>-632.264242761391 29.5595051113298 -203.126957147056</t>
  </si>
  <si>
    <t>-642.535389196458 27.2029670363283 -295.402532688028</t>
  </si>
  <si>
    <t>-649.444443465663 24.9334956120567 -378.980388032872</t>
  </si>
  <si>
    <t>-653.409668822783 22.5032313720158 -462.745030999801</t>
  </si>
  <si>
    <t>-655.974014010092 18.7777861791214 -585.319279566254</t>
  </si>
  <si>
    <t>-638.037853567152 20.2191490764249 -661.584824366819</t>
  </si>
  <si>
    <t>-653.66456097405 51.736019011737 -532.51156170566</t>
  </si>
  <si>
    <t>-630.825275783658 205.014495438518 -514.528247170016</t>
  </si>
  <si>
    <t>-625.924959190296 232.152819419098 -233.782795108726</t>
  </si>
  <si>
    <t>-409.089365441415 224.326341330687 -150.899600019453</t>
  </si>
  <si>
    <t>-607.492613365622 122.452129716657 -98.8573940406625</t>
  </si>
  <si>
    <t>-625.43766721939 140.360478497504 315.943601393027</t>
  </si>
  <si>
    <t>-669.278628546819 169.471657896398 776.150478060758</t>
  </si>
  <si>
    <t>-518.417483208724 175.18077299199 831.757494899421</t>
  </si>
  <si>
    <t>-614.505850422305 -71.2799263978029 321.578362143781</t>
  </si>
  <si>
    <t>-657.687540550451 -104.552222771621 781.116275070882</t>
  </si>
  <si>
    <t>-503.057192818964 -119.983155886154 822.7716424609</t>
  </si>
  <si>
    <t>9763-20170724T115327.264764100.bin</t>
  </si>
  <si>
    <t>-609.891812781047 31.4447437765577 -94.6695461459517</t>
  </si>
  <si>
    <t>-631.777439413865 29.1701045419577 -203.174536555651</t>
  </si>
  <si>
    <t>-642.031435438536 26.8010592098981 -295.451872218635</t>
  </si>
  <si>
    <t>-648.950628851598 24.5222726815118 -379.028412787484</t>
  </si>
  <si>
    <t>-652.951841438216 22.0838429572293 -462.791232390495</t>
  </si>
  <si>
    <t>-655.597089399783 18.3474452861647 -585.36348626985</t>
  </si>
  <si>
    <t>-637.672365652092 19.7439290009122 -661.632423090486</t>
  </si>
  <si>
    <t>-653.213946319246 51.3089685888124 -532.560989453958</t>
  </si>
  <si>
    <t>-630.194179395744 204.546145963199 -514.592869870173</t>
  </si>
  <si>
    <t>-620.768725467001 231.741955922345 -233.968453613648</t>
  </si>
  <si>
    <t>-404.183695174904 227.579402710993 -150.170354529072</t>
  </si>
  <si>
    <t>-607.02701399925 122.099875273615 -98.9065444318084</t>
  </si>
  <si>
    <t>-625.149147311387 140.19287160736 315.878720127787</t>
  </si>
  <si>
    <t>-669.264954913936 169.443920510969 776.05096230256</t>
  </si>
  <si>
    <t>-518.406218794719 175.221352030065 831.657583018882</t>
  </si>
  <si>
    <t>-614.404273431194 -71.7019770082654 321.563978637685</t>
  </si>
  <si>
    <t>-657.732823275145 -104.624500624202 781.110771325553</t>
  </si>
  <si>
    <t>-503.090059632044 -120.039613351966 822.725800693735</t>
  </si>
  <si>
    <t>9763-20170724T115327.331595700.bin</t>
  </si>
  <si>
    <t>-608.869999503562 31.0580561241184 -94.7394906995537</t>
  </si>
  <si>
    <t>-630.670556323616 28.7462859328289 -203.260903496924</t>
  </si>
  <si>
    <t>-640.919085878258 26.4628975592386 -295.540765609487</t>
  </si>
  <si>
    <t>-647.860336021215 24.3083541567248 -379.118957604443</t>
  </si>
  <si>
    <t>-651.910705609136 22.0395841004254 -462.88395694436</t>
  </si>
  <si>
    <t>-654.657764707161 18.6000349559583 -585.462832365337</t>
  </si>
  <si>
    <t>-636.735378847475 20.090847518951 -661.730569197131</t>
  </si>
  <si>
    <t>-652.168443856224 51.4311375808356 -532.58388767733</t>
  </si>
  <si>
    <t>-628.600940007414 204.554219478314 -514.274253442111</t>
  </si>
  <si>
    <t>-607.050908294293 232.809851679954 -234.424618817369</t>
  </si>
  <si>
    <t>-391.816950235529 238.148916554375 -147.278946977389</t>
  </si>
  <si>
    <t>-605.88520649984 121.82540205259 -99.0343708258418</t>
  </si>
  <si>
    <t>-624.300256709129 140.044044177977 315.732525822817</t>
  </si>
  <si>
    <t>-669.210537144456 169.451243752558 775.829414127655</t>
  </si>
  <si>
    <t>-518.368145289186 175.32230941196 831.470581214275</t>
  </si>
  <si>
    <t>-614.077641000599 -72.3454455776646 321.537484126032</t>
  </si>
  <si>
    <t>-657.77357161292 -104.749304703176 781.109041222417</t>
  </si>
  <si>
    <t>-503.143060476774 -120.305836052465 822.717034941051</t>
  </si>
  <si>
    <t>9763-20170724T115327.364675700.bin</t>
  </si>
  <si>
    <t>-608.437953226078 30.9943243081066 -94.7851041870034</t>
  </si>
  <si>
    <t>-630.228989696726 28.6417668027862 -203.307381205173</t>
  </si>
  <si>
    <t>-640.488732773585 26.423428197452 -295.587828591989</t>
  </si>
  <si>
    <t>-647.447909847595 24.367484704605 -379.16694594868</t>
  </si>
  <si>
    <t>-651.52410077246 22.2370332133473 -462.934297507154</t>
  </si>
  <si>
    <t>-654.317509802914 19.0432436830677 -585.518652511235</t>
  </si>
  <si>
    <t>-636.391236288114 20.6663584307087 -661.782912830522</t>
  </si>
  <si>
    <t>-651.803337321187 51.7680164030676 -532.575179337624</t>
  </si>
  <si>
    <t>-628.12984067517 204.822902103275 -513.88393509474</t>
  </si>
  <si>
    <t>-598.018628925549 234.729075760351 -234.997844028968</t>
  </si>
  <si>
    <t>-383.829520357974 243.789516309364 -145.613963370255</t>
  </si>
  <si>
    <t>-605.430980973218 121.839210294619 -99.1119146225886</t>
  </si>
  <si>
    <t>-624.004567758552 140.022173742514 315.649480019043</t>
  </si>
  <si>
    <t>-669.186359992483 169.474740691732 775.721346826856</t>
  </si>
  <si>
    <t>-518.354747555929 175.375100700446 831.388431019011</t>
  </si>
  <si>
    <t>-613.952293614462 -72.6554550331509 321.526438087243</t>
  </si>
  <si>
    <t>-657.77320822377 -104.83886562018 781.118354865666</t>
  </si>
  <si>
    <t>-503.171178844524 -120.578250561022 822.763387678293</t>
  </si>
  <si>
    <t>9763-20170724T115327.439386500.bin</t>
  </si>
  <si>
    <t>-607.609647565208 31.1095043877847 -94.8964600638612</t>
  </si>
  <si>
    <t>-629.25357427113 28.7648487672361 -203.448445505341</t>
  </si>
  <si>
    <t>-639.508442943579 26.7022031659305 -295.7328640255</t>
  </si>
  <si>
    <t>-646.511609323244 24.8471569933897 -379.313149372625</t>
  </si>
  <si>
    <t>-650.680403028573 22.9771361864689 -463.082156673931</t>
  </si>
  <si>
    <t>-653.662614319339 20.2288848156527 -585.67286810796</t>
  </si>
  <si>
    <t>-635.690320889739 22.1440217926163 -661.919474253373</t>
  </si>
  <si>
    <t>-651.025922667044 52.759221641689 -532.615667514442</t>
  </si>
  <si>
    <t>-627.241754405135 205.715540424122 -513.251810722363</t>
  </si>
  <si>
    <t>-578.378648401345 239.622852833839 -237.495912732899</t>
  </si>
  <si>
    <t>-367.491837944311 256.842987598022 -141.690179737916</t>
  </si>
  <si>
    <t>-604.397355903275 121.986356712561 -99.1948763423438</t>
  </si>
  <si>
    <t>-623.615075837881 140.205483989955 315.535544079726</t>
  </si>
  <si>
    <t>-669.140024524672 169.585082531406 775.548416427515</t>
  </si>
  <si>
    <t>-518.320732306081 175.460280139772 831.251661017004</t>
  </si>
  <si>
    <t>-614.015252723878 -73.0094857164229 321.471425059571</t>
  </si>
  <si>
    <t>-657.681956252058 -104.960155500856 781.136561331502</t>
  </si>
  <si>
    <t>-503.098043027202 -120.340203022064 822.982663456137</t>
  </si>
  <si>
    <t>9763-20170724T115327.461444500.bin</t>
  </si>
  <si>
    <t>-607.136545085567 31.2723633724861 -94.9072537815265</t>
  </si>
  <si>
    <t>-628.616493471481 28.9655213355206 -203.492710909143</t>
  </si>
  <si>
    <t>-638.843995262251 26.9873386921706 -295.781980340407</t>
  </si>
  <si>
    <t>-645.86741935815 25.2307086764929 -379.362616395411</t>
  </si>
  <si>
    <t>-650.101723928972 23.4802608781615 -463.130909632846</t>
  </si>
  <si>
    <t>-653.229364995753 20.9299974673177 -585.722350162168</t>
  </si>
  <si>
    <t>-635.231104265223 23.0012123692147 -661.95864559321</t>
  </si>
  <si>
    <t>-650.487783113803 53.3727368135753 -532.616948513814</t>
  </si>
  <si>
    <t>-626.391976052301 206.240750323216 -512.796070849235</t>
  </si>
  <si>
    <t>-567.002901107951 241.835845943012 -239.328447210232</t>
  </si>
  <si>
    <t>-358.592116308804 263.243741746179 -139.053035700577</t>
  </si>
  <si>
    <t>-603.747661814418 122.189071552629 -99.2125081247974</t>
  </si>
  <si>
    <t>-623.480529044323 140.375648767384 315.495226935491</t>
  </si>
  <si>
    <t>-669.117238454542 169.647767741421 775.486244082643</t>
  </si>
  <si>
    <t>-518.304914454373 175.513607331857 831.209177414207</t>
  </si>
  <si>
    <t>-614.107457574615 -73.2396352062833 321.434936172139</t>
  </si>
  <si>
    <t>-657.607595877129 -104.995233153948 781.150618869744</t>
  </si>
  <si>
    <t>-503.045899932269 -120.203507564386 823.141295889503</t>
  </si>
  <si>
    <t>9763-20170724T115327.530663200.bin</t>
  </si>
  <si>
    <t>-606.020999677624 31.8077390756732 -94.9040775197735</t>
  </si>
  <si>
    <t>-627.248381187779 29.6465069062092 -203.542234400233</t>
  </si>
  <si>
    <t>-637.407199237566 27.8526896551805 -295.842803099109</t>
  </si>
  <si>
    <t>-644.426857738798 26.2900224871876 -379.427572707223</t>
  </si>
  <si>
    <t>-648.716201196834 24.7563221830144 -463.197523497668</t>
  </si>
  <si>
    <t>-651.988743962358 22.547081258369 -585.791737188921</t>
  </si>
  <si>
    <t>-633.969538836753 24.8830313248684 -662.015433890459</t>
  </si>
  <si>
    <t>-648.98021140485 54.8323872164763 -532.604827177238</t>
  </si>
  <si>
    <t>-623.86905094252 207.461654952392 -512.392563891678</t>
  </si>
  <si>
    <t>-546.988271594715 247.122097783421 -243.88741434599</t>
  </si>
  <si>
    <t>-344.15380636974 275.266033025126 -134.276215836816</t>
  </si>
  <si>
    <t>-602.194974513363 123.063473848267 -99.2234751214203</t>
  </si>
  <si>
    <t>-623.010587872488 140.993110933073 315.442533982365</t>
  </si>
  <si>
    <t>-669.056186511138 169.826257953882 775.405925471481</t>
  </si>
  <si>
    <t>-518.265636509446 175.613494165307 831.195956629291</t>
  </si>
  <si>
    <t>-614.03774292473 -73.4078847093747 321.370018779332</t>
  </si>
  <si>
    <t>-657.452632272365 -105.141208411751 781.175311492182</t>
  </si>
  <si>
    <t>-503.045279776355 -120.9964086098 823.49321925191</t>
  </si>
  <si>
    <t>9763-20170724T115327.563751000.bin</t>
  </si>
  <si>
    <t>-605.453868979311 32.1496152717073 -94.905177296715</t>
  </si>
  <si>
    <t>-626.56698756627 30.10714320444 -203.567758999119</t>
  </si>
  <si>
    <t>-636.651762740571 28.4297898295499 -295.878889688247</t>
  </si>
  <si>
    <t>-643.613377908739 26.9813033767957 -379.470551956993</t>
  </si>
  <si>
    <t>-647.853660947233 25.567449793929 -463.244898400498</t>
  </si>
  <si>
    <t>-651.064597354759 23.5382691830951 -585.843827722501</t>
  </si>
  <si>
    <t>-633.035240647893 25.9773666995611 -662.061966702197</t>
  </si>
  <si>
    <t>-647.918279119194 55.7367159814867 -532.612327751652</t>
  </si>
  <si>
    <t>-622.223841370735 208.283048269573 -512.392152033293</t>
  </si>
  <si>
    <t>-538.665572904549 249.746244539138 -246.164078717323</t>
  </si>
  <si>
    <t>-337.944584967891 279.39345791816 -133.112494408768</t>
  </si>
  <si>
    <t>-601.272973948782 123.628734463103 -99.2047353495003</t>
  </si>
  <si>
    <t>-622.640617494043 141.358278750997 315.441767998857</t>
  </si>
  <si>
    <t>-669.01627314925 169.914924769344 775.386704149912</t>
  </si>
  <si>
    <t>-518.24540512274 175.6676655177 831.233626583587</t>
  </si>
  <si>
    <t>-613.82793087776 -73.2673965584384 321.356630906067</t>
  </si>
  <si>
    <t>-657.362760700324 -105.193552496565 781.183315119911</t>
  </si>
  <si>
    <t>-503.031190428692 -121.306070651591 823.680026407801</t>
  </si>
  <si>
    <t>9763-20170724T115327.631493000.bin</t>
  </si>
  <si>
    <t>-604.220802646889 33.1333317573965 -94.8212624658597</t>
  </si>
  <si>
    <t>-624.997160154699 31.3988506888506 -203.554079717516</t>
  </si>
  <si>
    <t>-634.891980929053 29.9227468103784 -295.889101125096</t>
  </si>
  <si>
    <t>-641.719629972897 28.6402980587882 -379.494507276113</t>
  </si>
  <si>
    <t>-645.864173581193 27.3680783970838 -463.276023232356</t>
  </si>
  <si>
    <t>-648.977230179704 25.517275633186 -585.880283690839</t>
  </si>
  <si>
    <t>-630.957252863346 28.0118462694877 -662.098838246787</t>
  </si>
  <si>
    <t>-645.445540977575 57.611265950947 -532.609849610493</t>
  </si>
  <si>
    <t>-618.342385836096 209.948190361631 -512.681202706937</t>
  </si>
  <si>
    <t>-525.028879537665 253.831076681238 -250.106633622585</t>
  </si>
  <si>
    <t>-330.154420077934 287.69865770449 -128.346733863559</t>
  </si>
  <si>
    <t>-598.992082227995 124.937732035195 -99.0506468543052</t>
  </si>
  <si>
    <t>-621.735711615445 142.105512487787 315.546282616327</t>
  </si>
  <si>
    <t>-668.923356436191 170.057801701784 775.39134758916</t>
  </si>
  <si>
    <t>-518.206631401161 175.752326762786 831.390096194181</t>
  </si>
  <si>
    <t>-613.324045858784 -72.7142241886538 321.380195826213</t>
  </si>
  <si>
    <t>-657.201364950283 -105.274989678556 781.195928980505</t>
  </si>
  <si>
    <t>-502.994911911087 -121.742499822291 824.009634489935</t>
  </si>
  <si>
    <t>9763-20170724T115327.664579100.bin</t>
  </si>
  <si>
    <t>-603.541544111613 33.746143975073 -94.7438854387385</t>
  </si>
  <si>
    <t>-624.141345127434 32.1931279783264 -203.513082198794</t>
  </si>
  <si>
    <t>-633.93642620807 30.8350126915914 -295.860455996906</t>
  </si>
  <si>
    <t>-640.69357184874 29.6495566393735 -379.473137140381</t>
  </si>
  <si>
    <t>-644.787590394304 28.4595888926106 -463.258426518134</t>
  </si>
  <si>
    <t>-647.848792178874 26.7115661531341 -585.865419644285</t>
  </si>
  <si>
    <t>-629.796872637468 29.2180017507155 -662.075972041351</t>
  </si>
  <si>
    <t>-644.082957878367 58.7420862073766 -532.572660790042</t>
  </si>
  <si>
    <t>-615.987727516017 210.916283781528 -512.747649083688</t>
  </si>
  <si>
    <t>-519.577605439115 255.643784647236 -251.437209659532</t>
  </si>
  <si>
    <t>-326.52685311936 290.286654018965 -127.019423106711</t>
  </si>
  <si>
    <t>-597.696792619729 125.718902679952 -98.9534540885601</t>
  </si>
  <si>
    <t>-621.343027888988 142.572788660633 315.605886665845</t>
  </si>
  <si>
    <t>-668.86994474573 170.134964891832 775.412247577538</t>
  </si>
  <si>
    <t>-518.180336832104 175.762959186606 831.490650832412</t>
  </si>
  <si>
    <t>-613.224367584775 -72.4067599690602 321.389000288448</t>
  </si>
  <si>
    <t>-657.125552506012 -105.311237310195 781.199632397351</t>
  </si>
  <si>
    <t>-502.990636792805 -122.065320803709 824.159496930069</t>
  </si>
  <si>
    <t>9763-20170724T115327.728756100.bin</t>
  </si>
  <si>
    <t>-602.067260860178 35.0143189709113 -94.609793392469</t>
  </si>
  <si>
    <t>-622.312807617913 33.8117336599687 -203.449956644453</t>
  </si>
  <si>
    <t>-631.955150272701 32.6908435386158 -295.816522647526</t>
  </si>
  <si>
    <t>-638.632530121371 31.7071905828004 -379.438261456773</t>
  </si>
  <si>
    <t>-642.706009013227 30.6964613704163 -463.226811431429</t>
  </si>
  <si>
    <t>-645.802478902045 29.1839071458419 -585.836121247499</t>
  </si>
  <si>
    <t>-627.669488262106 31.6706321357742 -662.028132312037</t>
  </si>
  <si>
    <t>-641.509038022316 61.067934847531 -532.495420957297</t>
  </si>
  <si>
    <t>-611.676779792103 212.932795407576 -512.910735245229</t>
  </si>
  <si>
    <t>-510.596499883724 258.270490891636 -253.476941374609</t>
  </si>
  <si>
    <t>-320.040512491522 294.326967566703 -125.661292875271</t>
  </si>
  <si>
    <t>-594.790177586396 127.253709321668 -98.7516620914437</t>
  </si>
  <si>
    <t>-620.291284811538 143.502494884279 315.72189212188</t>
  </si>
  <si>
    <t>-668.778042687918 170.271944169766 775.473136325412</t>
  </si>
  <si>
    <t>-518.139846364381 175.785307822006 831.700850361836</t>
  </si>
  <si>
    <t>-613.200405193108 -71.786215786793 321.409240844769</t>
  </si>
  <si>
    <t>-656.957653455685 -105.443147913029 781.229524187137</t>
  </si>
  <si>
    <t>-502.994610427388 -122.950586718475 824.504213874783</t>
  </si>
  <si>
    <t>9763-20170724T115327.764852100.bin</t>
  </si>
  <si>
    <t>-601.376971354071 35.7178189858575 -94.548150178509</t>
  </si>
  <si>
    <t>-621.534289909396 34.6804816334434 -203.406365623297</t>
  </si>
  <si>
    <t>-631.155595590727 33.69867577128 -295.776817701515</t>
  </si>
  <si>
    <t>-637.835008180532 32.8467449543441 -379.399746211102</t>
  </si>
  <si>
    <t>-641.93192253862 31.9696243434757 -463.18866189341</t>
  </si>
  <si>
    <t>-645.086237970406 30.6539217413283 -585.798678945401</t>
  </si>
  <si>
    <t>-626.894721893933 33.1423269210879 -661.976770319018</t>
  </si>
  <si>
    <t>-640.527563800096 62.4285900402119 -532.414849127657</t>
  </si>
  <si>
    <t>-609.733790575783 214.094033548483 -512.742820820814</t>
  </si>
  <si>
    <t>-506.990706262495 259.384260859555 -253.954883839262</t>
  </si>
  <si>
    <t>-317.528151199105 296.229039709145 -124.745856442865</t>
  </si>
  <si>
    <t>-646.876727024512 0.0338784894654509 -531.582005658835</t>
  </si>
  <si>
    <t>-593.381591787486 128.06421853335 -98.6621989234027</t>
  </si>
  <si>
    <t>-619.64346488446 143.942512214303 315.778133775227</t>
  </si>
  <si>
    <t>-668.733697808869 170.326480261701 775.487826637113</t>
  </si>
  <si>
    <t>-518.123015975389 175.764690929079 831.79655559877</t>
  </si>
  <si>
    <t>-613.131537266008 -71.4230401701834 321.436761029017</t>
  </si>
  <si>
    <t>-656.864851641912 -105.478073858441 781.254288843753</t>
  </si>
  <si>
    <t>-502.975436653751 -123.220486918109 824.69476757666</t>
  </si>
  <si>
    <t>9763-20170724T115327.829050300.bin</t>
  </si>
  <si>
    <t>-600.285842965293 37.2522141113475 -94.418409439083</t>
  </si>
  <si>
    <t>-620.301950432354 36.5411289812928 -203.30534614548</t>
  </si>
  <si>
    <t>-629.889616971148 35.8120347735103 -295.681554552404</t>
  </si>
  <si>
    <t>-636.571903820063 35.1921416693683 -379.306381745767</t>
  </si>
  <si>
    <t>-640.705965831547 34.5423302725512 -463.095516537977</t>
  </si>
  <si>
    <t>-643.95219192062 33.553359442071 -585.706266268718</t>
  </si>
  <si>
    <t>-625.642445055471 36.0131789313202 -661.857001427232</t>
  </si>
  <si>
    <t>-638.888579316513 65.1347085856864 -532.253377346376</t>
  </si>
  <si>
    <t>-606.165421378857 216.367202492213 -512.333966181507</t>
  </si>
  <si>
    <t>-501.790286547991 261.427744792085 -254.159483302175</t>
  </si>
  <si>
    <t>-313.013162423933 298.80080159037 -124.102033107471</t>
  </si>
  <si>
    <t>-646.166975063953 2.83989509051321 -531.558135472759</t>
  </si>
  <si>
    <t>-590.857924922473 129.859473862538 -98.4898549712304</t>
  </si>
  <si>
    <t>-618.578110108353 144.90843181257 315.886487226765</t>
  </si>
  <si>
    <t>-668.662773223511 170.401506764379 775.51898751169</t>
  </si>
  <si>
    <t>-518.1016976771 175.686273978964 831.974805605278</t>
  </si>
  <si>
    <t>-613.133161961778 -70.5584557006625 321.505086904114</t>
  </si>
  <si>
    <t>-656.667759632732 -105.563882307269 781.308640051336</t>
  </si>
  <si>
    <t>-502.928951161701 -123.792086934535 825.080055262976</t>
  </si>
  <si>
    <t>9763-20170724T115327.911180100.bin</t>
  </si>
  <si>
    <t>-599.850981399254 37.9596549245121 -94.3819645963674</t>
  </si>
  <si>
    <t>-619.80851155919 37.4090377285247 -203.28048584847</t>
  </si>
  <si>
    <t>-629.368769372725 36.7883737161878 -295.660421185514</t>
  </si>
  <si>
    <t>-636.034475108598 36.2618321445414 -379.287129231553</t>
  </si>
  <si>
    <t>-640.16071505998 35.6965223460043 -463.077378404699</t>
  </si>
  <si>
    <t>-643.405175683989 34.8210997772042 -585.689006890094</t>
  </si>
  <si>
    <t>-625.040511962438 37.25993400982 -661.827097849967</t>
  </si>
  <si>
    <t>-638.12643214355 66.3268152999628 -532.212220951752</t>
  </si>
  <si>
    <t>-604.561820932555 217.373345574729 -512.291770061053</t>
  </si>
  <si>
    <t>-500.484782773752 262.152938504598 -253.948263352323</t>
  </si>
  <si>
    <t>-311.498873400709 299.6223863568 -124.222042560026</t>
  </si>
  <si>
    <t>-645.836672922731 4.08355244858467 -531.563749662483</t>
  </si>
  <si>
    <t>-589.755845669024 130.651127356188 -98.4122525438668</t>
  </si>
  <si>
    <t>-618.144409989354 145.351632214046 315.931317152457</t>
  </si>
  <si>
    <t>-668.638318415165 170.412417463745 775.531237846443</t>
  </si>
  <si>
    <t>-518.100191296737 175.650960972667 832.052501349395</t>
  </si>
  <si>
    <t>-613.223210324203 -70.1593865447767 321.5203616863</t>
  </si>
  <si>
    <t>-656.573254514769 -105.595456971477 781.334370644872</t>
  </si>
  <si>
    <t>-502.898553672709 -123.999290058845 825.257227904744</t>
  </si>
  <si>
    <t>9763-20170724T115327.930231000.bin</t>
  </si>
  <si>
    <t>-599.166698293562 39.3738714934982 -94.293965169733</t>
  </si>
  <si>
    <t>-618.986576121934 39.1302658511408 -203.218780907128</t>
  </si>
  <si>
    <t>-628.475962096615 38.6997915125219 -295.607057442767</t>
  </si>
  <si>
    <t>-635.094794852052 38.3279917239552 -379.238325666941</t>
  </si>
  <si>
    <t>-639.192215819006 37.8934188904034 -463.030696344733</t>
  </si>
  <si>
    <t>-642.414427095651 37.1826480090808 -585.644067259273</t>
  </si>
  <si>
    <t>-623.972589484259 39.5515306484688 -661.765675287688</t>
  </si>
  <si>
    <t>-636.770044541356 68.5677660178856 -532.133739291321</t>
  </si>
  <si>
    <t>-601.678734996639 219.276114627278 -512.236631016537</t>
  </si>
  <si>
    <t>-498.718774697234 263.559255175861 -253.360455394842</t>
  </si>
  <si>
    <t>-308.985309511445 300.798011214659 -124.663024373028</t>
  </si>
  <si>
    <t>-645.231031677946 6.42134862957914 -531.551080246201</t>
  </si>
  <si>
    <t>-587.816087350192 132.234325124666 -98.2514105693867</t>
  </si>
  <si>
    <t>-617.5060116001 146.222731385065 316.02556482648</t>
  </si>
  <si>
    <t>-668.602194965881 170.497285355469 775.590452908279</t>
  </si>
  <si>
    <t>-518.09373647403 175.515233732234 832.210640912</t>
  </si>
  <si>
    <t>-613.29118256567 -69.2395504842582 321.548909679345</t>
  </si>
  <si>
    <t>-656.399831683521 -105.599431891777 781.376913778129</t>
  </si>
  <si>
    <t>-502.860829481725 -124.504033406775 825.560771502366</t>
  </si>
  <si>
    <t>9763-20170724T115327.963338500.bin</t>
  </si>
  <si>
    <t>-598.912798231208 40.0552823688458 -94.2343726319708</t>
  </si>
  <si>
    <t>-618.708796039735 39.9287580418768 -203.163797368225</t>
  </si>
  <si>
    <t>-628.191041490119 39.5768754999317 -295.553142380119</t>
  </si>
  <si>
    <t>-634.808247677317 39.2716939814582 -379.184749746754</t>
  </si>
  <si>
    <t>-638.909177098765 38.8968576631817 -462.977234318937</t>
  </si>
  <si>
    <t>-642.142283331277 38.265449537628 -585.590695782705</t>
  </si>
  <si>
    <t>-623.656320974149 40.5863570954025 -661.703144331125</t>
  </si>
  <si>
    <t>-636.349485179599 69.5958786811748 -532.06418103758</t>
  </si>
  <si>
    <t>-600.591846833526 220.130328419679 -512.140414933685</t>
  </si>
  <si>
    <t>-497.912907388872 264.458978256414 -253.160595968642</t>
  </si>
  <si>
    <t>-308.134642036331 301.161391258797 -124.375090563273</t>
  </si>
  <si>
    <t>-645.097790108391 7.48905466040196 -531.513746190056</t>
  </si>
  <si>
    <t>-587.111548276303 132.968038817227 -98.174080762619</t>
  </si>
  <si>
    <t>-617.27064351046 146.648481503739 316.079339319632</t>
  </si>
  <si>
    <t>-668.598098545538 170.539949806986 775.636391981589</t>
  </si>
  <si>
    <t>-518.098154709815 175.459745465168 832.287753297322</t>
  </si>
  <si>
    <t>-613.246252988805 -68.7092010868853 321.573918335161</t>
  </si>
  <si>
    <t>-656.325622572309 -105.577998490525 781.392506481288</t>
  </si>
  <si>
    <t>-502.844331125067 -124.684868837264 825.689738379951</t>
  </si>
  <si>
    <t>9763-20170724T115328.027567400.bin</t>
  </si>
  <si>
    <t>-598.626535473067 41.3840811676098 -94.0692284820402</t>
  </si>
  <si>
    <t>-618.415622675831 41.4980644646157 -202.999878767114</t>
  </si>
  <si>
    <t>-627.929473162662 41.2699602227115 -295.3863760568</t>
  </si>
  <si>
    <t>-634.58970150621 41.0499107350522 -379.014892948542</t>
  </si>
  <si>
    <t>-638.748843547747 40.7295266592132 -462.804717828325</t>
  </si>
  <si>
    <t>-642.083703523243 40.1437616178296 -585.41573801254</t>
  </si>
  <si>
    <t>-623.467520226163 42.3185779124356 -661.500702183309</t>
  </si>
  <si>
    <t>-636.041894837778 71.4248333152113 -531.887922344883</t>
  </si>
  <si>
    <t>-599.150449624759 221.666247047895 -511.726355883435</t>
  </si>
  <si>
    <t>-497.080767604486 265.695535910726 -252.454761676551</t>
  </si>
  <si>
    <t>-307.299724029504 301.324258426619 -123.372266567234</t>
  </si>
  <si>
    <t>-645.198873378422 9.3767892834951 -531.342236464846</t>
  </si>
  <si>
    <t>-586.26371701534 134.406042286891 -97.9513797470435</t>
  </si>
  <si>
    <t>-617.063900376822 147.483746289656 316.274338618453</t>
  </si>
  <si>
    <t>-668.616430631054 170.580972200351 775.803869833751</t>
  </si>
  <si>
    <t>-518.119228986632 175.395431143168 832.471588487004</t>
  </si>
  <si>
    <t>-613.058120367215 -67.6018727459964 321.634452771411</t>
  </si>
  <si>
    <t>-656.196498238549 -105.465998906058 781.398685055128</t>
  </si>
  <si>
    <t>-502.749338203021 -124.519574505013 825.836862877386</t>
  </si>
  <si>
    <t>9763-20170724T115328.065637400.bin</t>
  </si>
  <si>
    <t>-598.543527896263 42.0040619961135 -93.9889082387582</t>
  </si>
  <si>
    <t>-618.371842066542 42.2070456869365 -202.912174394631</t>
  </si>
  <si>
    <t>-627.931601352099 42.0186269383589 -295.294004349308</t>
  </si>
  <si>
    <t>-634.638340641794 41.8212135242804 -378.91888282549</t>
  </si>
  <si>
    <t>-638.849199588181 41.5086652965313 -462.706114429541</t>
  </si>
  <si>
    <t>-642.265560748698 40.9176045194724 -585.315012747944</t>
  </si>
  <si>
    <t>-623.578199376349 43.0057270818784 -661.384830664647</t>
  </si>
  <si>
    <t>-636.111881783318 72.1894858415601 -531.794425001325</t>
  </si>
  <si>
    <t>-598.815907563032 222.324224971984 -511.623374464057</t>
  </si>
  <si>
    <t>-497.370981443299 265.871966731853 -252.025448054531</t>
  </si>
  <si>
    <t>-307.112077688308 300.913320845971 -123.486818502272</t>
  </si>
  <si>
    <t>-645.421149379658 10.1642718193368 -531.236155501066</t>
  </si>
  <si>
    <t>-586.010708104133 134.993756413806 -97.8215360016281</t>
  </si>
  <si>
    <t>-617.05236237633 147.865078038911 316.392611067165</t>
  </si>
  <si>
    <t>-668.633723345365 170.604433710429 775.921859609462</t>
  </si>
  <si>
    <t>-518.128453825446 175.317251629435 832.576844804176</t>
  </si>
  <si>
    <t>-612.882005430693 -67.0957834319638 321.672086365475</t>
  </si>
  <si>
    <t>-656.139424119952 -105.433648957131 781.399696262668</t>
  </si>
  <si>
    <t>-502.739783420005 -124.719431302679 825.90179981073</t>
  </si>
  <si>
    <t>9763-20170724T115328.128602100.bin</t>
  </si>
  <si>
    <t>-598.442728337384 43.1180760752802 -93.8177826909305</t>
  </si>
  <si>
    <t>-618.384891711364 43.420960785641 -202.720082673472</t>
  </si>
  <si>
    <t>-628.096433626222 43.2750708096294 -295.086162159199</t>
  </si>
  <si>
    <t>-634.962640997947 43.1004537190456 -378.698083158684</t>
  </si>
  <si>
    <t>-639.355654164571 42.7934545919425 -462.476030779771</t>
  </si>
  <si>
    <t>-643.063232525055 42.19106741615 -585.076431643838</t>
  </si>
  <si>
    <t>-624.177822316718 44.1168629688846 -661.101678646462</t>
  </si>
  <si>
    <t>-636.708670049436 73.4568560908183 -531.575665732678</t>
  </si>
  <si>
    <t>-598.899569976914 223.445502288483 -511.248169373193</t>
  </si>
  <si>
    <t>-500.587093938821 264.998445521739 -250.122683536167</t>
  </si>
  <si>
    <t>-308.114672960782 298.710007330674 -124.558168792144</t>
  </si>
  <si>
    <t>-646.164079428817 11.4539795089945 -530.985099859531</t>
  </si>
  <si>
    <t>-585.762899862671 136.041849068384 -97.6029273802053</t>
  </si>
  <si>
    <t>-617.093141860819 148.5005989878 316.60211305637</t>
  </si>
  <si>
    <t>-668.686410209257 170.57360965136 776.152443144853</t>
  </si>
  <si>
    <t>-518.165311840247 175.27459744155 832.766261987861</t>
  </si>
  <si>
    <t>-612.48868509393 -66.1237182342218 321.784773167557</t>
  </si>
  <si>
    <t>-656.091598917277 -105.310355391641 781.396053803611</t>
  </si>
  <si>
    <t>-502.70165338924 -124.677128975493 825.896433685169</t>
  </si>
  <si>
    <t>9763-20170724T115328.161693800.bin</t>
  </si>
  <si>
    <t>-598.380541096975 43.5532715170166 -93.7459692950928</t>
  </si>
  <si>
    <t>-618.406702292428 43.8716706616888 -202.632822814921</t>
  </si>
  <si>
    <t>-628.203957368069 43.7348241457182 -294.990018983297</t>
  </si>
  <si>
    <t>-635.153597258274 43.5665990637442 -378.59502652749</t>
  </si>
  <si>
    <t>-639.636115706778 43.2643966577605 -462.368253174579</t>
  </si>
  <si>
    <t>-643.480999644998 42.6676553573425 -584.964238432148</t>
  </si>
  <si>
    <t>-624.47078294311 44.5240270444526 -660.960140229587</t>
  </si>
  <si>
    <t>-637.075134385023 73.9321222890769 -531.469020516652</t>
  </si>
  <si>
    <t>-599.193296120479 223.883321360251 -511.000444049246</t>
  </si>
  <si>
    <t>-503.590703528725 264.261217078647 -248.687018231459</t>
  </si>
  <si>
    <t>-309.295653520674 296.854472973852 -125.659877580858</t>
  </si>
  <si>
    <t>-646.512687409572 11.9267760010214 -530.871198703638</t>
  </si>
  <si>
    <t>-585.690577458238 136.463392478192 -97.5227654465175</t>
  </si>
  <si>
    <t>-617.083956249969 148.755239662688 316.682507642518</t>
  </si>
  <si>
    <t>-668.697757598169 170.586166979628 776.245299143581</t>
  </si>
  <si>
    <t>-518.169115166698 175.213766130807 832.845086949918</t>
  </si>
  <si>
    <t>-612.280426876824 -65.750407622249 321.836315498527</t>
  </si>
  <si>
    <t>-656.100862403601 -105.257579038245 781.384970978377</t>
  </si>
  <si>
    <t>-502.688466139843 -124.575888613268 825.828852283776</t>
  </si>
  <si>
    <t>9763-20170724T115328.230879000.bin</t>
  </si>
  <si>
    <t>-598.146996769794 44.2302864022151 -93.6375409662342</t>
  </si>
  <si>
    <t>-618.40638392247 44.5354584562679 -202.48128373225</t>
  </si>
  <si>
    <t>-628.368287865728 44.3794229751716 -294.82077318735</t>
  </si>
  <si>
    <t>-635.454096150261 44.1883540403314 -378.414355943691</t>
  </si>
  <si>
    <t>-640.059791473967 43.8598227182924 -462.180803021281</t>
  </si>
  <si>
    <t>-644.070428417027 43.2208718225786 -584.771310021621</t>
  </si>
  <si>
    <t>-624.898290215944 44.944051451813 -660.729665006601</t>
  </si>
  <si>
    <t>-637.68447286056 74.5177654422259 -531.292560294014</t>
  </si>
  <si>
    <t>-600.156615742482 224.53597243517 -510.669809978855</t>
  </si>
  <si>
    <t>-512.092211117885 262.201015828036 -245.33119376006</t>
  </si>
  <si>
    <t>-313.764545945293 291.730984817756 -128.102065795033</t>
  </si>
  <si>
    <t>-646.936734830716 12.4847051723443 -530.666570087934</t>
  </si>
  <si>
    <t>-585.684654514069 137.105889334151 -97.3976601165974</t>
  </si>
  <si>
    <t>-616.967004650786 149.101204452922 316.824656647602</t>
  </si>
  <si>
    <t>-668.734900630469 170.529688934421 776.400916032485</t>
  </si>
  <si>
    <t>-518.195174749565 175.100308530095 832.975881509775</t>
  </si>
  <si>
    <t>-611.856309817076 -65.1822504859495 321.910685636548</t>
  </si>
  <si>
    <t>-656.124735413929 -105.13484109675 781.36487877161</t>
  </si>
  <si>
    <t>-502.666834261833 -124.393975133687 825.677190838883</t>
  </si>
  <si>
    <t>9763-20170724T115328.262965100.bin</t>
  </si>
  <si>
    <t>-598.009474120867 44.4601307701889 -93.6025059650963</t>
  </si>
  <si>
    <t>-618.415438178276 44.7381855002295 -202.418961093238</t>
  </si>
  <si>
    <t>-628.477757885837 44.5664426015514 -294.747471812814</t>
  </si>
  <si>
    <t>-635.645036948114 44.3624686359872 -378.334105122137</t>
  </si>
  <si>
    <t>-640.32272381422 44.0238628987479 -462.096568886583</t>
  </si>
  <si>
    <t>-644.428206748517 43.3731501338791 -584.683841143304</t>
  </si>
  <si>
    <t>-625.223735233173 45.0315001917361 -660.635512062484</t>
  </si>
  <si>
    <t>-638.085081708556 74.6877183492093 -531.210379707453</t>
  </si>
  <si>
    <t>-600.812537062816 224.733780062186 -510.410900318904</t>
  </si>
  <si>
    <t>-517.413201081468 261.042726399042 -243.381283243929</t>
  </si>
  <si>
    <t>-316.809112240675 288.428222572146 -129.55448018583</t>
  </si>
  <si>
    <t>-647.16839538987 12.6296488558182 -530.576853421198</t>
  </si>
  <si>
    <t>-585.718518505509 137.314404225425 -97.353794300021</t>
  </si>
  <si>
    <t>-616.898342170699 149.175832106215 316.880121080971</t>
  </si>
  <si>
    <t>-668.748703998007 170.523464029457 776.456424933011</t>
  </si>
  <si>
    <t>-518.206564772244 175.043625389171 833.029021352386</t>
  </si>
  <si>
    <t>-611.609346869678 -64.9943996224047 321.944998756252</t>
  </si>
  <si>
    <t>-656.131048664611 -105.091958333225 781.357989269393</t>
  </si>
  <si>
    <t>-502.6609335654 -124.383139367273 825.613972467541</t>
  </si>
  <si>
    <t>9763-20170724T115328.328693600.bin</t>
  </si>
  <si>
    <t>-597.716679047494 44.6140543107379 -93.5360382703242</t>
  </si>
  <si>
    <t>-618.471483795624 44.773955982399 -202.286775573324</t>
  </si>
  <si>
    <t>-628.741802418922 44.5725678473907 -294.592266307287</t>
  </si>
  <si>
    <t>-636.062561424424 44.3650611847315 -378.165508630863</t>
  </si>
  <si>
    <t>-640.858664517622 44.0497811593339 -461.921349542029</t>
  </si>
  <si>
    <t>-645.09834265943 43.4636408908889 -584.504409412316</t>
  </si>
  <si>
    <t>-625.896175554297 44.9925409445752 -660.459315251042</t>
  </si>
  <si>
    <t>-638.901594924673 74.7793046365578 -531.014619268436</t>
  </si>
  <si>
    <t>-602.467483094026 224.996231177061 -509.950539075702</t>
  </si>
  <si>
    <t>-530.318056470042 258.21809663923 -239.267319209896</t>
  </si>
  <si>
    <t>-324.902724711909 280.857029793385 -133.245947541004</t>
  </si>
  <si>
    <t>-647.574423460615 12.6622717472496 -530.417577887357</t>
  </si>
  <si>
    <t>-585.901240611741 137.391792316947 -97.3011593742609</t>
  </si>
  <si>
    <t>-616.670129885163 149.146390047398 316.966517382184</t>
  </si>
  <si>
    <t>-668.794478914401 170.411415751691 776.529960121454</t>
  </si>
  <si>
    <t>-518.253036576121 175.023151169627 833.097042657644</t>
  </si>
  <si>
    <t>-611.056644150244 -64.7838619499212 322.036312913025</t>
  </si>
  <si>
    <t>-656.177183677485 -104.959400692023 781.354517326672</t>
  </si>
  <si>
    <t>-502.647399820474 -124.168966106465 825.438714220043</t>
  </si>
  <si>
    <t>9763-20170724T115328.362746600.bin</t>
  </si>
  <si>
    <t>-597.638238409327 44.5482446421827 -93.5215334330902</t>
  </si>
  <si>
    <t>-618.568978744971 44.6394868416494 -202.238544575927</t>
  </si>
  <si>
    <t>-628.9080172352 44.4173816238963 -294.536363252599</t>
  </si>
  <si>
    <t>-636.258862933627 44.2035593514574 -378.107056101869</t>
  </si>
  <si>
    <t>-641.052489184442 43.8973517643528 -461.862960675953</t>
  </si>
  <si>
    <t>-645.252910053016 43.3412138397516 -584.447635991374</t>
  </si>
  <si>
    <t>-626.054405711224 44.8254188278818 -660.404255086773</t>
  </si>
  <si>
    <t>-639.207238982304 74.6623457769156 -530.943536758227</t>
  </si>
  <si>
    <t>-603.319036358471 224.982718355888 -509.705292796125</t>
  </si>
  <si>
    <t>-537.436320678358 256.3031589496 -237.203758018806</t>
  </si>
  <si>
    <t>-329.562405900243 276.860035207039 -135.64390784821</t>
  </si>
  <si>
    <t>-647.612354150404 12.5081733119248 -530.373514822739</t>
  </si>
  <si>
    <t>-586.104099439463 137.341674248249 -97.2996285459411</t>
  </si>
  <si>
    <t>-616.585898103327 149.053603337145 316.990458746771</t>
  </si>
  <si>
    <t>-668.814357667176 170.357946136387 776.541169450409</t>
  </si>
  <si>
    <t>-518.272827316632 174.977007610657 833.107275888508</t>
  </si>
  <si>
    <t>-610.821190853165 -64.8008588464331 322.069553392576</t>
  </si>
  <si>
    <t>-656.219964818737 -104.940573531348 781.346167552963</t>
  </si>
  <si>
    <t>-502.683729931626 -124.337262360821 825.325866622939</t>
  </si>
  <si>
    <t>9763-20170724T115328.428449400.bin</t>
  </si>
  <si>
    <t>-597.687701367891 44.1998288418986 -93.545876744701</t>
  </si>
  <si>
    <t>-618.869845854979 44.0743062869003 -202.214112048767</t>
  </si>
  <si>
    <t>-629.236459278812 43.7415171174123 -294.508509511903</t>
  </si>
  <si>
    <t>-636.538223171283 43.4505450263744 -378.083310344435</t>
  </si>
  <si>
    <t>-641.207843242365 43.095665790881 -461.84614743534</t>
  </si>
  <si>
    <t>-645.144250191646 42.5013242462378 -584.439237597787</t>
  </si>
  <si>
    <t>-625.900257120997 43.9440762201916 -660.385315737123</t>
  </si>
  <si>
    <t>-639.520122024052 73.879145817474 -530.922403435937</t>
  </si>
  <si>
    <t>-605.096500101595 224.527266815596 -509.55448019654</t>
  </si>
  <si>
    <t>-551.341342732059 251.614798831718 -233.954663541965</t>
  </si>
  <si>
    <t>-339.416672668638 268.172598483284 -140.347578026718</t>
  </si>
  <si>
    <t>-647.313826180395 11.6451871149877 -530.370453965321</t>
  </si>
  <si>
    <t>-586.920338208058 136.87083119155 -97.3642609862594</t>
  </si>
  <si>
    <t>-616.661093707816 148.661725823791 316.977422452486</t>
  </si>
  <si>
    <t>-668.861377989364 170.240796299646 776.541548728717</t>
  </si>
  <si>
    <t>-518.316977523201 174.890117917357 833.097665937676</t>
  </si>
  <si>
    <t>-610.415487133349 -64.8341086020457 322.113186309906</t>
  </si>
  <si>
    <t>-656.313049963312 -104.778062775265 781.314945824489</t>
  </si>
  <si>
    <t>-502.656274446681 -123.826183352164 825.025152244652</t>
  </si>
  <si>
    <t>9763-20170724T115328.459531200.bin</t>
  </si>
  <si>
    <t>-597.777666537969 43.886067359404 -93.5838238114465</t>
  </si>
  <si>
    <t>-619.059567212678 43.6364451674085 -202.232470457333</t>
  </si>
  <si>
    <t>-629.404920797683 43.2454804712463 -294.529000765669</t>
  </si>
  <si>
    <t>-636.64534211081 42.9159798987405 -378.109036472955</t>
  </si>
  <si>
    <t>-641.210844261048 42.540247320801 -461.877446249088</t>
  </si>
  <si>
    <t>-644.94806787828 41.9349340719648 -584.476617621378</t>
  </si>
  <si>
    <t>-625.662381738537 43.4104703278738 -660.411513028988</t>
  </si>
  <si>
    <t>-639.596443281829 73.3402058255465 -530.948121462408</t>
  </si>
  <si>
    <t>-605.936227743881 224.149883360164 -509.470596059796</t>
  </si>
  <si>
    <t>-557.760781104251 249.551946577985 -232.68104053183</t>
  </si>
  <si>
    <t>-344.399502786696 264.358810698427 -142.092869585591</t>
  </si>
  <si>
    <t>-647.01996794729 11.0608344832146 -530.414229596807</t>
  </si>
  <si>
    <t>-587.551304750301 136.423366949607 -97.4037432902576</t>
  </si>
  <si>
    <t>-616.878383873496 148.341681101576 316.963871172042</t>
  </si>
  <si>
    <t>-668.893365339687 170.123341585286 776.536194552255</t>
  </si>
  <si>
    <t>-518.35218934568 174.952813079448 833.085735679764</t>
  </si>
  <si>
    <t>-610.406764743889 -64.9503921897422 322.102402520497</t>
  </si>
  <si>
    <t>-656.328965479128 -104.750378361392 781.298530202378</t>
  </si>
  <si>
    <t>-502.630150556036 -123.616675742943 824.939867477886</t>
  </si>
  <si>
    <t>9763-20170724T115328.532835700.bin</t>
  </si>
  <si>
    <t>-598.042128557987 42.9079534579571 -93.6889529171922</t>
  </si>
  <si>
    <t>-619.241960320273 42.372036945739 -202.352477348715</t>
  </si>
  <si>
    <t>-629.475352937727 41.8350557787201 -294.660840295538</t>
  </si>
  <si>
    <t>-636.598433782334 41.4033651129239 -378.250423259321</t>
  </si>
  <si>
    <t>-641.029555390512 40.9632936307555 -462.025745585933</t>
  </si>
  <si>
    <t>-644.5516141649 40.3070125182326 -584.63119111299</t>
  </si>
  <si>
    <t>-625.198026317036 41.8774101170452 -660.546827441946</t>
  </si>
  <si>
    <t>-639.704874362723 71.7807934771886 -531.094667264483</t>
  </si>
  <si>
    <t>-607.738329847887 222.911075841978 -509.344028667425</t>
  </si>
  <si>
    <t>-568.3723483464 246.405129271595 -230.997196364209</t>
  </si>
  <si>
    <t>-352.864576522054 257.242332748606 -145.046743907076</t>
  </si>
  <si>
    <t>-646.307487579603 9.40911554816012 -530.571200939684</t>
  </si>
  <si>
    <t>-588.885535185252 135.076999138794 -97.5177891214306</t>
  </si>
  <si>
    <t>-617.650627832188 147.618738002422 316.870805758559</t>
  </si>
  <si>
    <t>-668.945823343279 170.023624069722 776.541317157447</t>
  </si>
  <si>
    <t>-518.393230393785 174.922707134293 833.054539706393</t>
  </si>
  <si>
    <t>-610.79741714513 -65.7630439802458 322.048470886427</t>
  </si>
  <si>
    <t>-656.334760748894 -104.723917927307 781.296185301628</t>
  </si>
  <si>
    <t>-502.53876220331 -122.974531773951 824.856837610931</t>
  </si>
  <si>
    <t>9763-20170724T115328.562916000.bin</t>
  </si>
  <si>
    <t>-598.325470069582 42.2201964689637 -93.7120514202111</t>
  </si>
  <si>
    <t>-619.455092789662 41.5317005718423 -202.388416254214</t>
  </si>
  <si>
    <t>-629.642053681093 40.9020382221213 -294.701270697203</t>
  </si>
  <si>
    <t>-636.728895849963 40.3967831388204 -378.293500770575</t>
  </si>
  <si>
    <t>-641.129168942314 39.8971355045621 -462.070157171733</t>
  </si>
  <si>
    <t>-644.612044232149 39.1700571682402 -584.676220999733</t>
  </si>
  <si>
    <t>-625.19864654728 40.7903544225371 -660.575616407789</t>
  </si>
  <si>
    <t>-639.981738724107 70.6953347930589 -531.150985634801</t>
  </si>
  <si>
    <t>-608.823989499468 222.004089565346 -509.412974797942</t>
  </si>
  <si>
    <t>-572.807206665046 244.854940107644 -230.559659028971</t>
  </si>
  <si>
    <t>-356.772495107708 254.653925085153 -145.815838309649</t>
  </si>
  <si>
    <t>-646.185836916098 8.2828973729554 -530.604528122573</t>
  </si>
  <si>
    <t>-589.735487037188 134.219112091423 -97.5805308985954</t>
  </si>
  <si>
    <t>-618.103200871052 147.144478333746 316.823666999308</t>
  </si>
  <si>
    <t>-668.976006718473 169.954047912302 776.536548569202</t>
  </si>
  <si>
    <t>-518.417421686418 174.94819259973 833.025498557036</t>
  </si>
  <si>
    <t>-611.00897992967 -66.3333763768651 322.015904594761</t>
  </si>
  <si>
    <t>-656.34530342325 -104.736854614469 781.299794213346</t>
  </si>
  <si>
    <t>-502.532365120102 -122.932105576742 824.823776899185</t>
  </si>
  <si>
    <t>9763-20170724T115328.633105500.bin</t>
  </si>
  <si>
    <t>-599.018241411141 40.746420221066 -93.7757578399217</t>
  </si>
  <si>
    <t>-620.004898755276 39.7469305808909 -202.477505680679</t>
  </si>
  <si>
    <t>-630.090794803147 38.889237814207 -294.79956552098</t>
  </si>
  <si>
    <t>-637.095254720179 38.1847708586347 -378.39726408392</t>
  </si>
  <si>
    <t>-641.421433773728 37.5009355774628 -462.176533790608</t>
  </si>
  <si>
    <t>-644.805391487129 36.5221645484389 -584.783697286058</t>
  </si>
  <si>
    <t>-625.258869634309 38.2003092078496 -660.647492789913</t>
  </si>
  <si>
    <t>-640.613905767024 68.1941387382994 -531.30889986704</t>
  </si>
  <si>
    <t>-611.047881692074 219.835481593016 -509.674405330657</t>
  </si>
  <si>
    <t>-578.886833196122 241.787879688532 -230.278090620526</t>
  </si>
  <si>
    <t>-362.177543365277 250.908583481242 -147.197204244954</t>
  </si>
  <si>
    <t>-646.027191914094 5.70905372330708 -530.660500306793</t>
  </si>
  <si>
    <t>-591.486701318857 132.619049634791 -97.7398519516429</t>
  </si>
  <si>
    <t>-618.90386022967 146.172163681864 316.708236540537</t>
  </si>
  <si>
    <t>-669.020037745925 169.882195997789 776.49526797204</t>
  </si>
  <si>
    <t>-518.446163401847 174.986842023943 832.93348820653</t>
  </si>
  <si>
    <t>-611.402909056746 -67.36244031057 321.976534142196</t>
  </si>
  <si>
    <t>-656.396017021782 -104.728575127501 781.301684877137</t>
  </si>
  <si>
    <t>-502.498668454651 -122.524474231196 824.692166196925</t>
  </si>
  <si>
    <t>9763-20170724T115328.667198000.bin</t>
  </si>
  <si>
    <t>-599.307835298127 40.029617980573 -93.8486339917679</t>
  </si>
  <si>
    <t>-620.2378092117 38.8670181067237 -202.559682368725</t>
  </si>
  <si>
    <t>-630.299193199639 37.8769927727317 -294.88315580726</t>
  </si>
  <si>
    <t>-637.291315205435 37.0521138827378 -378.480789589705</t>
  </si>
  <si>
    <t>-641.614852020771 36.2506306629491 -462.259112294497</t>
  </si>
  <si>
    <t>-645.005474114389 35.1042613844272 -584.864639462614</t>
  </si>
  <si>
    <t>-625.397753448951 36.7602949211457 -660.713172623414</t>
  </si>
  <si>
    <t>-640.997798640039 66.8650424972279 -531.428350636648</t>
  </si>
  <si>
    <t>-612.182023690427 218.670197253622 -509.918256937443</t>
  </si>
  <si>
    <t>-580.87016165031 240.647212915611 -230.427381416435</t>
  </si>
  <si>
    <t>-363.872911402062 249.547424994453 -148.077358120453</t>
  </si>
  <si>
    <t>-646.03757394477 4.3496733703314 -530.704414915441</t>
  </si>
  <si>
    <t>-592.238577646094 131.788352693274 -97.8328312690974</t>
  </si>
  <si>
    <t>-619.229053460543 145.690372438537 316.631722449375</t>
  </si>
  <si>
    <t>-669.046093523281 169.825004732624 776.453161739093</t>
  </si>
  <si>
    <t>-518.465492039571 175.044090796304 832.862992950166</t>
  </si>
  <si>
    <t>-611.539824677068 -67.8428621431208 321.9659833429</t>
  </si>
  <si>
    <t>-656.431034037754 -104.702625128954 781.300388790103</t>
  </si>
  <si>
    <t>-502.486880904725 -122.285486084067 824.611603393095</t>
  </si>
  <si>
    <t>9763-20170724T115328.727966900.bin</t>
  </si>
  <si>
    <t>-599.751051987256 38.6931186425518 -93.9628987665187</t>
  </si>
  <si>
    <t>-620.57998285302 37.2208988202162 -202.689590498763</t>
  </si>
  <si>
    <t>-630.641251908716 35.9295457874 -295.009377314441</t>
  </si>
  <si>
    <t>-637.668419780039 34.8088443804772 -378.600519726043</t>
  </si>
  <si>
    <t>-642.06191911317 33.6939759059715 -462.371679689761</t>
  </si>
  <si>
    <t>-645.593234940734 32.0707775003941 -584.967736726903</t>
  </si>
  <si>
    <t>-625.884198950872 33.531757393084 -660.794155428387</t>
  </si>
  <si>
    <t>-641.834585198381 64.0627211831347 -531.651425940013</t>
  </si>
  <si>
    <t>-614.272569040713 216.17280986365 -510.659669373319</t>
  </si>
  <si>
    <t>-583.954114787404 239.031200835555 -231.130062175681</t>
  </si>
  <si>
    <t>-366.818870154812 248.517693622681 -149.210373840787</t>
  </si>
  <si>
    <t>-646.252844073512 1.50343576493765 -530.695831356058</t>
  </si>
  <si>
    <t>-593.607979613251 130.194809221623 -98.0147554295609</t>
  </si>
  <si>
    <t>-619.828794092538 144.80289245441 316.474883474623</t>
  </si>
  <si>
    <t>-669.091479684918 169.767453815053 776.335460512789</t>
  </si>
  <si>
    <t>-518.492091097335 175.061656086945 832.688079617052</t>
  </si>
  <si>
    <t>-611.720150241472 -68.7489528841343 321.936123625275</t>
  </si>
  <si>
    <t>-656.517445532181 -104.69677016528 781.303196562341</t>
  </si>
  <si>
    <t>-502.45257349548 -121.642091109376 824.43897421179</t>
  </si>
  <si>
    <t>9763-20170724T115328.807730400.bin</t>
  </si>
  <si>
    <t>-599.880331855291 38.0917391449261 -94.0033859040033</t>
  </si>
  <si>
    <t>-620.705140283216 36.4825960093128 -202.72889507353</t>
  </si>
  <si>
    <t>-630.812919342261 35.0354733553893 -295.041299135943</t>
  </si>
  <si>
    <t>-637.902462033109 33.7547708249851 -378.625012043786</t>
  </si>
  <si>
    <t>-642.378835451477 32.4622525845564 -462.389061540235</t>
  </si>
  <si>
    <t>-646.053549683745 30.5607411409264 -584.976979081571</t>
  </si>
  <si>
    <t>-626.308810063006 31.8636947424397 -660.796877789033</t>
  </si>
  <si>
    <t>-642.351027526835 62.6816751281424 -531.734431603978</t>
  </si>
  <si>
    <t>-615.281076652831 214.927605493545 -511.081412076872</t>
  </si>
  <si>
    <t>-585.132625972098 238.517501085155 -231.594145282714</t>
  </si>
  <si>
    <t>-368.00987577025 248.35681820985 -149.682877943929</t>
  </si>
  <si>
    <t>-646.531261532173 0.108353244072305 -530.638483610691</t>
  </si>
  <si>
    <t>-594.147973337295 129.497144137713 -98.1092224642449</t>
  </si>
  <si>
    <t>-620.068742116225 144.406397194345 316.38854337646</t>
  </si>
  <si>
    <t>-669.105432443577 169.734846768301 776.260701567875</t>
  </si>
  <si>
    <t>-518.50031040829 175.105395306546 832.590636570892</t>
  </si>
  <si>
    <t>-611.700945477754 -69.1475620414412 321.933576281727</t>
  </si>
  <si>
    <t>-656.571740066642 -104.708116146141 781.299910757773</t>
  </si>
  <si>
    <t>-502.484864231864 -121.699068066428 824.339056016016</t>
  </si>
  <si>
    <t>9763-20170724T115328.829873700.bin</t>
  </si>
  <si>
    <t>-599.839842504906 37.0371094959098 -94.0876128264433</t>
  </si>
  <si>
    <t>-620.757072510381 35.1788899835869 -202.791410665788</t>
  </si>
  <si>
    <t>-631.070604578807 33.4017540082962 -295.075373290151</t>
  </si>
  <si>
    <t>-638.398113375251 31.7681413526198 -378.632259084362</t>
  </si>
  <si>
    <t>-643.164423834994 30.0710652283583 -462.373124601973</t>
  </si>
  <si>
    <t>-647.320227515815 27.520489344857 -584.934006924953</t>
  </si>
  <si>
    <t>-627.449939544433 28.4517976397872 -660.726616406934</t>
  </si>
  <si>
    <t>-643.578322818121 59.9340103731549 -531.871642794123</t>
  </si>
  <si>
    <t>-617.031630870747 212.362947574526 -511.901728234656</t>
  </si>
  <si>
    <t>-587.197438224031 237.653994739513 -232.529436528415</t>
  </si>
  <si>
    <t>-370.106165260005 248.110893429859 -150.611558299632</t>
  </si>
  <si>
    <t>-594.800588449226 128.288827119009 -98.291630798463</t>
  </si>
  <si>
    <t>-620.130634357223 143.701754509221 316.224208554137</t>
  </si>
  <si>
    <t>-669.125388120203 169.669618578775 776.090311073429</t>
  </si>
  <si>
    <t>-518.517121370082 175.201665452108 832.396398404981</t>
  </si>
  <si>
    <t>-611.436846228211 -69.7457864501807 321.945244306354</t>
  </si>
  <si>
    <t>-656.668324055943 -104.732093820144 781.281305656773</t>
  </si>
  <si>
    <t>-502.528148091587 -121.647857446002 824.158829998268</t>
  </si>
  <si>
    <t>9763-20170724T115328.863962600.bin</t>
  </si>
  <si>
    <t>-599.672597644995 36.5837350833522 -94.1343769901218</t>
  </si>
  <si>
    <t>-620.639957182281 34.6375501855464 -202.826883790256</t>
  </si>
  <si>
    <t>-631.078907743374 32.7003837309653 -295.093515879065</t>
  </si>
  <si>
    <t>-638.553490683662 30.8852185299472 -378.633743933063</t>
  </si>
  <si>
    <t>-643.500764571604 28.9700576064956 -462.359418955627</t>
  </si>
  <si>
    <t>-647.95817648767 26.060616686284 -584.901612558429</t>
  </si>
  <si>
    <t>-627.94483668005 26.7892200080687 -660.658839614497</t>
  </si>
  <si>
    <t>-644.127260912746 58.6318714355878 -531.942365888248</t>
  </si>
  <si>
    <t>-617.580655037127 211.096453412267 -512.281581552779</t>
  </si>
  <si>
    <t>-588.190797189755 237.351879655487 -232.951272669947</t>
  </si>
  <si>
    <t>-371.047459951844 247.706429119816 -151.158439538117</t>
  </si>
  <si>
    <t>-594.895515967206 127.793093565858 -98.368030987456</t>
  </si>
  <si>
    <t>-620.021038089468 143.367604754625 316.154250176772</t>
  </si>
  <si>
    <t>-669.115406550046 169.674141304083 775.986310987066</t>
  </si>
  <si>
    <t>-518.513481778032 175.220312653554 832.307883756488</t>
  </si>
  <si>
    <t>-611.286902471213 -70.0083784558874 321.946476440502</t>
  </si>
  <si>
    <t>-656.683648690406 -104.7306217191 781.277834312573</t>
  </si>
  <si>
    <t>-502.512045368964 -121.438867107732 824.123861026863</t>
  </si>
  <si>
    <t>9763-20170724T115328.929144900.bin</t>
  </si>
  <si>
    <t>-599.163052999514 35.7498135341832 -94.2040940339783</t>
  </si>
  <si>
    <t>-620.177913693277 33.7314088843334 -202.88627474712</t>
  </si>
  <si>
    <t>-630.888676859126 31.5130730158071 -295.115285542949</t>
  </si>
  <si>
    <t>-638.70271324808 29.3535998123518 -378.616186673964</t>
  </si>
  <si>
    <t>-644.083710233039 27.0044788384384 -462.30413866148</t>
  </si>
  <si>
    <t>-649.27874754461 23.3619674839031 -584.797530330758</t>
  </si>
  <si>
    <t>-628.828198969528 23.6508600454647 -660.440906692072</t>
  </si>
  <si>
    <t>-645.167440222602 56.2518076116442 -532.056724439885</t>
  </si>
  <si>
    <t>-618.429510985482 208.765615710436 -513.060306501847</t>
  </si>
  <si>
    <t>-590.403104704924 236.762488646285 -233.758834159421</t>
  </si>
  <si>
    <t>-372.914808094338 245.568845493108 -152.70450311589</t>
  </si>
  <si>
    <t>-594.616125814187 126.878550361123 -98.4720894713839</t>
  </si>
  <si>
    <t>-619.721343696304 142.808043968186 316.037883960903</t>
  </si>
  <si>
    <t>-669.09319226094 169.681411056651 775.804979721876</t>
  </si>
  <si>
    <t>-518.507085480574 175.298673667212 832.161814065472</t>
  </si>
  <si>
    <t>-611.117257373227 -70.6184971007692 321.93155654549</t>
  </si>
  <si>
    <t>-656.694907826118 -104.792909828686 781.280687592448</t>
  </si>
  <si>
    <t>-502.523281278845 -121.467218839845 824.139729685929</t>
  </si>
  <si>
    <t>9763-20170724T115328.967241700.bin</t>
  </si>
  <si>
    <t>-598.849415587276 35.3804862653569 -94.2208211293798</t>
  </si>
  <si>
    <t>-619.913507808714 33.3600079423431 -202.8932891727</t>
  </si>
  <si>
    <t>-630.756167171785 31.0196260737023 -295.103959834606</t>
  </si>
  <si>
    <t>-638.725870132037 28.7018449594207 -378.585904633155</t>
  </si>
  <si>
    <t>-644.299308781789 26.1460399345824 -462.255244473714</t>
  </si>
  <si>
    <t>-649.81600894594 22.1483817020255 -584.72359491878</t>
  </si>
  <si>
    <t>-629.149664734214 22.2211618523813 -660.30863407893</t>
  </si>
  <si>
    <t>-645.562843936312 55.1906819827468 -532.089457065005</t>
  </si>
  <si>
    <t>-618.71575178619 207.727776692713 -513.43855182289</t>
  </si>
  <si>
    <t>-591.762603668794 236.398529975048 -234.099900173435</t>
  </si>
  <si>
    <t>-374.053781125183 244.08278719335 -153.524747597834</t>
  </si>
  <si>
    <t>-594.305599832653 126.483231931072 -98.5009634563916</t>
  </si>
  <si>
    <t>-619.474986272701 142.552823155914 315.999768136004</t>
  </si>
  <si>
    <t>-669.080958534521 169.675217725032 775.723231514006</t>
  </si>
  <si>
    <t>-518.504104644512 175.3602687552 832.097996935039</t>
  </si>
  <si>
    <t>-611.008588859163 -70.8826844118344 321.921196499809</t>
  </si>
  <si>
    <t>-656.680625128963 -104.820170492345 781.28076237667</t>
  </si>
  <si>
    <t>-502.516885059649 -121.464788838955 824.179713192693</t>
  </si>
  <si>
    <t>9763-20170724T115329.031627100.bin</t>
  </si>
  <si>
    <t>-598.165561090772 34.808836424281 -94.2302727419489</t>
  </si>
  <si>
    <t>-619.379564114464 32.7976839062023 -202.873782686721</t>
  </si>
  <si>
    <t>-630.432706504652 30.2767061032994 -295.054606993608</t>
  </si>
  <si>
    <t>-638.626599442719 27.7203125649535 -378.507986881993</t>
  </si>
  <si>
    <t>-644.458548842457 24.8495343907196 -462.149363860637</t>
  </si>
  <si>
    <t>-650.390865392636 20.3071544111526 -584.579386200632</t>
  </si>
  <si>
    <t>-629.368877339259 20.0042566793729 -660.06578222565</t>
  </si>
  <si>
    <t>-645.913456198223 53.5804111309928 -532.109493700405</t>
  </si>
  <si>
    <t>-618.476212612859 206.050177003845 -513.78631795487</t>
  </si>
  <si>
    <t>-594.362284498815 235.809600639868 -234.301969434955</t>
  </si>
  <si>
    <t>-375.700932151602 239.722645832941 -156.068652419318</t>
  </si>
  <si>
    <t>-593.639570264195 125.952949448613 -98.5414084705735</t>
  </si>
  <si>
    <t>-618.928897171266 142.138001704478 315.947561005936</t>
  </si>
  <si>
    <t>-669.037762340758 169.69302961883 775.576372813545</t>
  </si>
  <si>
    <t>-518.481036840737 175.400831256123 832.00255262856</t>
  </si>
  <si>
    <t>-610.642435820298 -71.2467290450668 321.930729265225</t>
  </si>
  <si>
    <t>-656.558447304854 -104.879183934368 781.294191559501</t>
  </si>
  <si>
    <t>-502.426713228233 -121.181610050866 824.438883166809</t>
  </si>
  <si>
    <t>9763-20170724T115329.064716300.bin</t>
  </si>
  <si>
    <t>-597.798523934206 34.54796840574 -94.227077254421</t>
  </si>
  <si>
    <t>-619.074210512737 32.5430764661421 -202.858687983609</t>
  </si>
  <si>
    <t>-630.215526834004 29.95558856249 -295.026988022473</t>
  </si>
  <si>
    <t>-638.503588820862 27.3111330604402 -378.468329841654</t>
  </si>
  <si>
    <t>-644.444493610366 24.323283283924 -462.097910064361</t>
  </si>
  <si>
    <t>-650.552223569574 19.5784075333167 -584.511728048219</t>
  </si>
  <si>
    <t>-629.411557710532 19.1069513845537 -659.963945362633</t>
  </si>
  <si>
    <t>-645.97300674773 52.9367281344259 -532.104650338053</t>
  </si>
  <si>
    <t>-618.265600471964 205.378195354612 -513.914482152412</t>
  </si>
  <si>
    <t>-595.693990971908 235.729796684436 -234.365039518812</t>
  </si>
  <si>
    <t>-376.514903255669 237.004659300257 -157.505215762465</t>
  </si>
  <si>
    <t>-593.271048388523 125.67478121545 -98.5434017691506</t>
  </si>
  <si>
    <t>-618.654144069834 141.958859243867 315.935919203503</t>
  </si>
  <si>
    <t>-669.017248239295 169.691941512798 775.528642816891</t>
  </si>
  <si>
    <t>-518.469530817096 175.470728878443 831.971561743958</t>
  </si>
  <si>
    <t>-610.391662197804 -71.4046466981945 321.959849184449</t>
  </si>
  <si>
    <t>-656.41036196442 -104.993237361854 781.317925245528</t>
  </si>
  <si>
    <t>-502.396387160766 -121.615943323949 824.75993503292</t>
  </si>
  <si>
    <t>9763-20170724T115329.128623900.bin</t>
  </si>
  <si>
    <t>-596.936865314929 34.1368097310105 -94.1181862382626</t>
  </si>
  <si>
    <t>-618.286771747501 32.1629615482011 -202.735804363107</t>
  </si>
  <si>
    <t>-629.631199077986 29.4877362098343 -294.876904705435</t>
  </si>
  <si>
    <t>-638.159562227047 26.7194409532551 -378.289843424019</t>
  </si>
  <si>
    <t>-644.397918158387 23.5621959370144 -461.891576909152</t>
  </si>
  <si>
    <t>-651.00336185382 18.5191467554762 -584.267528905722</t>
  </si>
  <si>
    <t>-629.801559654358 17.7679927145457 -659.700514875071</t>
  </si>
  <si>
    <t>-646.154964424225 52.0015137060132 -531.963910241285</t>
  </si>
  <si>
    <t>-617.719321517339 204.310597021763 -513.829800845842</t>
  </si>
  <si>
    <t>-597.784562000509 236.123444342286 -234.242341732668</t>
  </si>
  <si>
    <t>-377.375251161349 229.839684982592 -161.243820427347</t>
  </si>
  <si>
    <t>-592.533211855166 125.176475788852 -98.4573801362662</t>
  </si>
  <si>
    <t>-618.179969937607 141.581045292847 316.001027083453</t>
  </si>
  <si>
    <t>-668.969886926476 169.687991102778 775.512918955382</t>
  </si>
  <si>
    <t>-518.429837633639 175.497154503168 831.973330637496</t>
  </si>
  <si>
    <t>-609.516816798247 -71.6945330160106 322.097635812697</t>
  </si>
  <si>
    <t>-655.632809870117 -105.204236946931 781.474252924447</t>
  </si>
  <si>
    <t>-502.023918337699 -121.889074098882 826.304543950939</t>
  </si>
  <si>
    <t>9763-20170724T115329.166725300.bin</t>
  </si>
  <si>
    <t>-596.369112935046 34.0296721075588 -93.9966727414961</t>
  </si>
  <si>
    <t>-617.771172875839 32.0777953743241 -202.604391093377</t>
  </si>
  <si>
    <t>-629.225093652971 29.3846807902623 -294.731454254737</t>
  </si>
  <si>
    <t>-637.878768231341 26.5865998350396 -378.130612284626</t>
  </si>
  <si>
    <t>-644.269075450154 23.3852480392807 -461.719239507791</t>
  </si>
  <si>
    <t>-651.125769422438 18.2623327179008 -584.077986887146</t>
  </si>
  <si>
    <t>-629.983868915225 17.424899893299 -659.526811197637</t>
  </si>
  <si>
    <t>-646.139422582212 51.7768181269112 -531.807952084708</t>
  </si>
  <si>
    <t>-617.33530189523 204.014760743434 -513.688158224649</t>
  </si>
  <si>
    <t>-598.285571278602 236.716393060397 -234.141565485838</t>
  </si>
  <si>
    <t>-377.183137582713 225.730377978272 -163.845471381077</t>
  </si>
  <si>
    <t>-592.013835954845 125.051606084738 -98.3664268262639</t>
  </si>
  <si>
    <t>-617.903185615433 141.451591780794 316.077049172025</t>
  </si>
  <si>
    <t>-668.938061705646 169.717942852256 775.55671801424</t>
  </si>
  <si>
    <t>-518.397650192465 175.512370255893 832.017572231687</t>
  </si>
  <si>
    <t>-609.003229496322 -71.7268461093279 322.23412144109</t>
  </si>
  <si>
    <t>-655.216590471924 -105.27065899176 781.605428100328</t>
  </si>
  <si>
    <t>-501.772042514538 -121.463215298085 827.172878207952</t>
  </si>
  <si>
    <t>9763-20170724T115329.229412100.bin</t>
  </si>
  <si>
    <t>-595.002614666982 34.0462417724557 -93.7610603371614</t>
  </si>
  <si>
    <t>-616.470679517459 32.1178452630709 -202.35611030428</t>
  </si>
  <si>
    <t>-628.24391538046 29.3653005008646 -294.441119324368</t>
  </si>
  <si>
    <t>-637.292679406315 26.4835028668961 -377.795593487803</t>
  </si>
  <si>
    <t>-644.185381979877 23.1666738788831 -461.339654850109</t>
  </si>
  <si>
    <t>-651.894525889671 17.8396658504339 -583.638952569387</t>
  </si>
  <si>
    <t>-631.036570934785 16.8595863611858 -659.165031219022</t>
  </si>
  <si>
    <t>-646.446681158904 51.4347645758053 -531.466795892297</t>
  </si>
  <si>
    <t>-616.587054292492 203.473429750031 -513.263802398644</t>
  </si>
  <si>
    <t>-598.387726064149 237.305884645445 -233.795129025395</t>
  </si>
  <si>
    <t>-375.942240135448 216.727392080257 -170.210017015943</t>
  </si>
  <si>
    <t>-590.562592014111 125.121760140544 -98.155976737033</t>
  </si>
  <si>
    <t>-616.991395877052 141.489774883522 316.254652801386</t>
  </si>
  <si>
    <t>-668.863156367406 169.79589943882 775.66574965852</t>
  </si>
  <si>
    <t>-518.326168450978 175.546850863426 832.140027783385</t>
  </si>
  <si>
    <t>-608.094605941425 -71.7693386899903 322.511244650341</t>
  </si>
  <si>
    <t>-654.569730058911 -105.467213660556 781.826396057556</t>
  </si>
  <si>
    <t>-501.506241676524 -121.830744624129 828.598523702717</t>
  </si>
  <si>
    <t>9763-20170724T115329.261498200.bin</t>
  </si>
  <si>
    <t>-594.257797556056 34.0926952541463 -93.6235199221223</t>
  </si>
  <si>
    <t>-615.801864636985 32.1790856128746 -202.203812684848</t>
  </si>
  <si>
    <t>-627.780222065171 29.3863993432276 -294.261247502234</t>
  </si>
  <si>
    <t>-637.071282461312 26.4480918020638 -377.58693761907</t>
  </si>
  <si>
    <t>-644.263675344622 23.053592818047 -461.10274741287</t>
  </si>
  <si>
    <t>-652.474187731087 17.5890846455939 -583.363208763239</t>
  </si>
  <si>
    <t>-631.752770804376 16.5605192143125 -658.926340555046</t>
  </si>
  <si>
    <t>-646.758587564879 51.2389597033675 -531.255138501999</t>
  </si>
  <si>
    <t>-616.581497534977 203.232102586799 -513.246253664853</t>
  </si>
  <si>
    <t>-598.15651480642 237.975529821614 -233.904104997098</t>
  </si>
  <si>
    <t>-375.104197383394 212.412668746804 -174.383184739682</t>
  </si>
  <si>
    <t>-589.78945611818 125.19292318598 -98.04171622116</t>
  </si>
  <si>
    <t>-616.517043008683 141.517328394634 316.351583387926</t>
  </si>
  <si>
    <t>-668.818190957216 169.814362706867 775.706720221888</t>
  </si>
  <si>
    <t>-518.291640487274 175.589400412659 832.206528555159</t>
  </si>
  <si>
    <t>-607.683100770584 -71.8125414697117 322.629265061075</t>
  </si>
  <si>
    <t>-654.363329390639 -105.586970378169 781.891674329755</t>
  </si>
  <si>
    <t>-501.463159312586 -122.23652034807 829.09492718171</t>
  </si>
  <si>
    <t>9763-20170724T115329.331232500.bin</t>
  </si>
  <si>
    <t>-592.814423061526 34.3155626160126 -93.4131018510707</t>
  </si>
  <si>
    <t>-614.593211030645 32.4277376523112 -201.947029827282</t>
  </si>
  <si>
    <t>-627.039865491144 29.5214573335847 -293.938654902114</t>
  </si>
  <si>
    <t>-636.863182745331 26.4283486830707 -377.197738029576</t>
  </si>
  <si>
    <t>-644.6980218424 22.8248405538654 -460.646898815876</t>
  </si>
  <si>
    <t>-653.968869057613 16.9949820414899 -582.81483941111</t>
  </si>
  <si>
    <t>-633.481163321413 15.8722501816555 -658.440203734241</t>
  </si>
  <si>
    <t>-647.695944565507 50.7927190076712 -530.866573794794</t>
  </si>
  <si>
    <t>-617.115030347012 202.763830937898 -513.357787126059</t>
  </si>
  <si>
    <t>-596.073452810555 239.411244262419 -234.44421824035</t>
  </si>
  <si>
    <t>-372.092074397827 205.451743823934 -183.183969143804</t>
  </si>
  <si>
    <t>-588.189654842471 125.458496373001 -97.854056726926</t>
  </si>
  <si>
    <t>-615.519088785373 141.59033271926 316.507487704675</t>
  </si>
  <si>
    <t>-668.712251885839 169.868028218742 775.761294578705</t>
  </si>
  <si>
    <t>-518.212914389568 175.692276948256 832.328556085782</t>
  </si>
  <si>
    <t>-606.808033673423 -71.6885661550589 322.845827460651</t>
  </si>
  <si>
    <t>-654.082310786301 -105.674964706739 782.013102646116</t>
  </si>
  <si>
    <t>-501.321162503802 -121.942329255152 829.796229940332</t>
  </si>
  <si>
    <t>9763-20170724T115329.363302600.bin</t>
  </si>
  <si>
    <t>-592.131052624268 34.4573428874423 -93.3408029413007</t>
  </si>
  <si>
    <t>-614.071551806523 32.5764605740699 -201.842308866918</t>
  </si>
  <si>
    <t>-626.760560386746 29.6052473651509 -293.798833195705</t>
  </si>
  <si>
    <t>-636.84560826703 26.4261627011222 -377.02333534116</t>
  </si>
  <si>
    <t>-644.985509978792 22.7079375562962 -460.438265191503</t>
  </si>
  <si>
    <t>-654.749957233445 16.6788856406793 -582.558070841274</t>
  </si>
  <si>
    <t>-634.33763146273 15.4892203879569 -658.20274817359</t>
  </si>
  <si>
    <t>-648.212960757891 50.5572242784183 -530.69491982005</t>
  </si>
  <si>
    <t>-617.400938235514 202.504538110275 -513.396692770148</t>
  </si>
  <si>
    <t>-594.153252095671 240.131878254376 -234.788908582119</t>
  </si>
  <si>
    <t>-369.899511697528 202.322785033646 -187.573800429658</t>
  </si>
  <si>
    <t>-587.387138120494 125.613580147388 -97.7908276448553</t>
  </si>
  <si>
    <t>-614.989226183285 141.667306322682 316.555637527283</t>
  </si>
  <si>
    <t>-668.662189337637 169.857340817195 775.772543558091</t>
  </si>
  <si>
    <t>-518.181115979132 175.743072446645 832.381961548648</t>
  </si>
  <si>
    <t>-606.38424696336 -71.583253671268 322.940793968661</t>
  </si>
  <si>
    <t>-654.032568719128 -105.737784526945 782.053225524162</t>
  </si>
  <si>
    <t>-501.33079781004 -122.163370973685 829.971840366466</t>
  </si>
  <si>
    <t>9763-20170724T115329.431493500.bin</t>
  </si>
  <si>
    <t>-590.885733646362 34.8500681210498 -93.2148482724932</t>
  </si>
  <si>
    <t>-613.194760142009 32.952307859156 -201.64081361227</t>
  </si>
  <si>
    <t>-626.316472600786 29.8287267821322 -293.531580994734</t>
  </si>
  <si>
    <t>-636.842029315383 26.4574273340027 -376.693967964639</t>
  </si>
  <si>
    <t>-645.472937165442 22.4897673133423 -460.048019791611</t>
  </si>
  <si>
    <t>-656.011016535163 16.0320766619911 -582.081578519248</t>
  </si>
  <si>
    <t>-635.816364993013 14.6371797293366 -657.781205797679</t>
  </si>
  <si>
    <t>-649.005453452343 50.0810688778913 -530.391692855086</t>
  </si>
  <si>
    <t>-617.46470281953 201.923749616303 -513.468378965242</t>
  </si>
  <si>
    <t>-589.701777005109 241.554542478432 -235.552580701055</t>
  </si>
  <si>
    <t>-365.214164900609 197.783140909349 -195.08145656233</t>
  </si>
  <si>
    <t>-585.903508881256 126.027182416942 -97.7268585856572</t>
  </si>
  <si>
    <t>-613.942715075214 141.887197672405 316.597762440828</t>
  </si>
  <si>
    <t>-668.561912379566 169.910761469827 775.742612015979</t>
  </si>
  <si>
    <t>-518.113611948468 175.83172418287 832.435386838964</t>
  </si>
  <si>
    <t>-605.725038537766 -71.2706341843523 323.088573444496</t>
  </si>
  <si>
    <t>-654.172197832826 -105.72640815769 782.074573244185</t>
  </si>
  <si>
    <t>-501.389820298035 -121.875051678971 829.830112986489</t>
  </si>
  <si>
    <t>9763-20170724T115329.464581700.bin</t>
  </si>
  <si>
    <t>-590.340253314028 35.0027132198395 -93.1908397264447</t>
  </si>
  <si>
    <t>-612.842999755426 33.1195573507516 -201.577037080388</t>
  </si>
  <si>
    <t>-626.140785275745 29.9172254235539 -293.439814023004</t>
  </si>
  <si>
    <t>-636.830639977498 26.4391628447904 -376.576748328448</t>
  </si>
  <si>
    <t>-645.63150165747 22.3274162361763 -459.90607143128</t>
  </si>
  <si>
    <t>-656.424370328991 15.6181081763402 -581.903813856579</t>
  </si>
  <si>
    <t>-636.398985854753 14.0890718365113 -657.645812334594</t>
  </si>
  <si>
    <t>-649.239416318343 49.7677642595695 -530.305126265183</t>
  </si>
  <si>
    <t>-617.367197774523 201.572738859529 -513.657240766833</t>
  </si>
  <si>
    <t>-587.28433340964 242.178409883184 -236.123901422557</t>
  </si>
  <si>
    <t>-362.822819315403 196.203304739735 -198.020798291117</t>
  </si>
  <si>
    <t>-585.170582215392 126.197522525845 -97.6982246430541</t>
  </si>
  <si>
    <t>-613.434574773066 142.011330079044 316.612897674597</t>
  </si>
  <si>
    <t>-668.527141233074 169.913969986203 775.705053803772</t>
  </si>
  <si>
    <t>-518.095217531763 175.891116741368 832.435445722984</t>
  </si>
  <si>
    <t>-605.503273143737 -71.1257882996476 323.126221958846</t>
  </si>
  <si>
    <t>-654.403008837404 -105.788361903562 782.051505501719</t>
  </si>
  <si>
    <t>-501.55158980537 -122.297791871973 829.461524254683</t>
  </si>
  <si>
    <t>9763-20170724T115329.531794700.bin</t>
  </si>
  <si>
    <t>-589.631332181391 35.220305742263 -93.241266263584</t>
  </si>
  <si>
    <t>-612.420132320095 33.4000309390121 -201.568725711182</t>
  </si>
  <si>
    <t>-625.985265526353 30.0852792349879 -293.388382434212</t>
  </si>
  <si>
    <t>-636.927394634426 26.4412094437032 -376.485447008569</t>
  </si>
  <si>
    <t>-645.991975008807 22.0964226769956 -459.774574602732</t>
  </si>
  <si>
    <t>-657.183342189338 14.9719150291407 -581.712824029108</t>
  </si>
  <si>
    <t>-637.474238600378 13.1529096172744 -657.531382483008</t>
  </si>
  <si>
    <t>-649.701933209717 49.2858264677445 -530.265470223464</t>
  </si>
  <si>
    <t>-617.25689486929 201.037358034205 -514.242803078706</t>
  </si>
  <si>
    <t>-583.428779744932 243.298268854548 -237.388525025721</t>
  </si>
  <si>
    <t>-359.346327327327 193.191204274594 -202.390535473661</t>
  </si>
  <si>
    <t>-584.026604050361 126.542909136891 -97.7392988538629</t>
  </si>
  <si>
    <t>-612.613632855066 142.223360550161 316.55466065736</t>
  </si>
  <si>
    <t>-668.447463424328 169.98625617613 775.548297819671</t>
  </si>
  <si>
    <t>-518.047198763916 175.90557295859 832.368620724272</t>
  </si>
  <si>
    <t>-605.531919442365 -70.9465253219178 323.050454390216</t>
  </si>
  <si>
    <t>-655.242515624943 -105.701621015714 781.853649445142</t>
  </si>
  <si>
    <t>-501.992475801664 -122.318905606448 827.920002103673</t>
  </si>
  <si>
    <t>9763-20170724T115329.563853300.bin</t>
  </si>
  <si>
    <t>-589.339756022437 35.308880104029 -93.3214885862984</t>
  </si>
  <si>
    <t>-612.203897413356 33.5141705582218 -201.633560691283</t>
  </si>
  <si>
    <t>-625.84959706972 30.1592211880925 -293.439768597696</t>
  </si>
  <si>
    <t>-636.871605095007 26.4548760362679 -376.523651325694</t>
  </si>
  <si>
    <t>-646.023309635669 22.0251076541849 -459.798862953538</t>
  </si>
  <si>
    <t>-657.350049665997 14.7491313846617 -581.715488868881</t>
  </si>
  <si>
    <t>-637.739181950811 12.7864366638071 -657.555941698555</t>
  </si>
  <si>
    <t>-649.744334989404 49.1209110705699 -530.325207390564</t>
  </si>
  <si>
    <t>-616.861086680651 200.804941173171 -514.536374976644</t>
  </si>
  <si>
    <t>-581.658841129514 243.272379351735 -237.885192696855</t>
  </si>
  <si>
    <t>-357.695382136482 191.941376928021 -203.914187381984</t>
  </si>
  <si>
    <t>-583.463338778998 126.703125459784 -97.8155520512973</t>
  </si>
  <si>
    <t>-612.207003102317 142.366912849017 316.468220676213</t>
  </si>
  <si>
    <t>-668.423460216927 170.000870709789 775.432328388964</t>
  </si>
  <si>
    <t>-518.041049647069 175.933667912338 832.298464281887</t>
  </si>
  <si>
    <t>-605.639636062201 -70.8739163546238 322.960993133324</t>
  </si>
  <si>
    <t>-655.668377435717 -105.674397019106 781.7329087878</t>
  </si>
  <si>
    <t>-502.244574868198 -122.572028152362 827.113806961884</t>
  </si>
  <si>
    <t>9763-20170724T115329.596943200.bin</t>
  </si>
  <si>
    <t>-589.078015230683 35.2973240943015 -93.4179562413437</t>
  </si>
  <si>
    <t>-612.00581265045 33.5331841559623 -201.716943108396</t>
  </si>
  <si>
    <t>-625.70770607576 30.1420489797056 -293.513461945064</t>
  </si>
  <si>
    <t>-636.78140324985 26.3819687236944 -376.587946670224</t>
  </si>
  <si>
    <t>-645.986084422251 21.8717809474485 -459.853112709431</t>
  </si>
  <si>
    <t>-657.391698239161 14.4511587684999 -581.753676960898</t>
  </si>
  <si>
    <t>-637.820829107529 12.3472272663294 -657.60064708744</t>
  </si>
  <si>
    <t>-649.686710265539 48.877944356969 -530.414880355643</t>
  </si>
  <si>
    <t>-616.372024742504 200.48852512331 -514.835675489082</t>
  </si>
  <si>
    <t>-580.147379100844 242.984737017844 -238.320865019498</t>
  </si>
  <si>
    <t>-356.288886654471 190.727118960509 -205.078650744547</t>
  </si>
  <si>
    <t>-582.923863565478 126.737474093033 -97.9084276919889</t>
  </si>
  <si>
    <t>-611.783738266127 142.457605314927 316.365079033981</t>
  </si>
  <si>
    <t>-668.40133293331 170.002133355631 775.293635308703</t>
  </si>
  <si>
    <t>-518.038250221592 176.014323462005 832.202583353015</t>
  </si>
  <si>
    <t>-605.707603261771 -70.9238044299968 322.861098511999</t>
  </si>
  <si>
    <t>-656.002442309448 -105.589766434907 781.63230841764</t>
  </si>
  <si>
    <t>-502.379461194633 -122.171250300459 826.452535711963</t>
  </si>
  <si>
    <t>9763-20170724T115329.777434900.bin</t>
  </si>
  <si>
    <t>-588.878929027953 35.2271823921647 -93.515263996162</t>
  </si>
  <si>
    <t>-611.837247370571 33.4829534298576 -201.80823339581</t>
  </si>
  <si>
    <t>-625.561505249212 30.0500676346901 -293.599897009414</t>
  </si>
  <si>
    <t>-636.65420965796 26.2296887168875 -376.669068841259</t>
  </si>
  <si>
    <t>-645.877044970303 21.6351821398175 -459.927632324876</t>
  </si>
  <si>
    <t>-657.308452325209 14.0645417114154 -581.816546502696</t>
  </si>
  <si>
    <t>-637.731567885803 11.8097943319644 -657.657601447661</t>
  </si>
  <si>
    <t>-649.519990256389 48.5477187900237 -530.52822780786</t>
  </si>
  <si>
    <t>-615.909484942746 200.121623791853 -515.20062733844</t>
  </si>
  <si>
    <t>-578.934769828668 242.338279280194 -238.742344638589</t>
  </si>
  <si>
    <t>-355.179089805563 189.482913020541 -205.753920750793</t>
  </si>
  <si>
    <t>-582.509107677289 126.763490184669 -98.0137861863942</t>
  </si>
  <si>
    <t>-611.438273865876 142.482890699956 316.255011996208</t>
  </si>
  <si>
    <t>-668.379050910939 170.024638607109 775.151905892556</t>
  </si>
  <si>
    <t>-518.030881022086 176.046636398414 832.099235122331</t>
  </si>
  <si>
    <t>-605.722006228602 -70.9725477886414 322.779891803888</t>
  </si>
  <si>
    <t>-656.221541932498 -105.565192497631 781.571164401674</t>
  </si>
  <si>
    <t>-502.477784884112 -122.001709357444 826.029142979494</t>
  </si>
  <si>
    <t>9763-20170724T115329.793983200.bin</t>
  </si>
  <si>
    <t>-588.411454715055 34.6160297916299 -93.7797962499197</t>
  </si>
  <si>
    <t>-611.424399655845 32.9103281767302 -202.061839633942</t>
  </si>
  <si>
    <t>-625.160125293194 29.4568488045454 -293.850889264789</t>
  </si>
  <si>
    <t>-636.250241854334 25.597427149798 -376.918587497337</t>
  </si>
  <si>
    <t>-645.458511410143 20.9388421393978 -460.175118199435</t>
  </si>
  <si>
    <t>-656.856437426791 13.2447585071291 -582.059622972999</t>
  </si>
  <si>
    <t>-637.588869705535 10.4493112576765 -657.961830216996</t>
  </si>
  <si>
    <t>-648.851345999815 47.7569309775824 -530.824055627983</t>
  </si>
  <si>
    <t>-613.971711204861 199.078082461844 -515.853279878869</t>
  </si>
  <si>
    <t>-576.707382299339 240.287049614661 -239.281794731531</t>
  </si>
  <si>
    <t>-353.2636597226 185.967428910364 -206.558408733971</t>
  </si>
  <si>
    <t>-581.737094832703 126.281941649214 -98.3210195361269</t>
  </si>
  <si>
    <t>-610.874757881586 142.156887977207 315.927197138741</t>
  </si>
  <si>
    <t>-668.311566445922 170.04874793381 774.703311115427</t>
  </si>
  <si>
    <t>-518.008155786372 176.116911666669 831.763693996215</t>
  </si>
  <si>
    <t>-605.514452040327 -71.3923719229472 322.629917368265</t>
  </si>
  <si>
    <t>-656.466814182076 -105.610928832855 781.499852874534</t>
  </si>
  <si>
    <t>-502.624209760343 -122.207509820312 825.554686267156</t>
  </si>
  <si>
    <t>9763-20170724T115329.868315600.bin</t>
  </si>
  <si>
    <t>-588.224420419683 34.1035195410623 -93.8174999504803</t>
  </si>
  <si>
    <t>-611.168004523976 32.4504193705241 -202.115041573079</t>
  </si>
  <si>
    <t>-624.838340512255 29.0411763446007 -293.915519943533</t>
  </si>
  <si>
    <t>-635.866537832016 25.2228576954233 -376.99334952886</t>
  </si>
  <si>
    <t>-645.009957579145 20.6060647048196 -460.259275537264</t>
  </si>
  <si>
    <t>-656.309924693039 12.9736776917614 -582.156773344624</t>
  </si>
  <si>
    <t>-637.219786066167 9.88711480572306 -658.092591566799</t>
  </si>
  <si>
    <t>-648.305072448169 47.455553696768 -530.900909053029</t>
  </si>
  <si>
    <t>-613.314136674736 198.75052880513 -515.991297282143</t>
  </si>
  <si>
    <t>-576.928815756641 240.242200004299 -239.345049303768</t>
  </si>
  <si>
    <t>-353.554941748428 185.626842248748 -206.637050168137</t>
  </si>
  <si>
    <t>-581.455025935215 125.745501539237 -98.3943876228421</t>
  </si>
  <si>
    <t>-610.742978289939 141.824601457539 315.835341885487</t>
  </si>
  <si>
    <t>-668.293119426301 170.002380067277 774.544229879167</t>
  </si>
  <si>
    <t>-517.999199510356 176.138642792399 831.622132205398</t>
  </si>
  <si>
    <t>-605.523111682277 -71.8070887408328 322.564836153484</t>
  </si>
  <si>
    <t>-656.541975205248 -105.685437087255 781.465956122773</t>
  </si>
  <si>
    <t>-502.714126825708 -122.627841235263 825.440604824133</t>
  </si>
  <si>
    <t>9763-20170724T115329.930009200.bin</t>
  </si>
  <si>
    <t>-588.243353699532 33.9112057375664 -93.8544182517121</t>
  </si>
  <si>
    <t>-611.242657623385 32.2662948764687 -202.14019394983</t>
  </si>
  <si>
    <t>-624.913393818683 28.8981189654587 -293.942271780694</t>
  </si>
  <si>
    <t>-635.922977345169 25.1301723117194 -377.024913817385</t>
  </si>
  <si>
    <t>-645.028671263292 20.5771156696644 -460.29847906975</t>
  </si>
  <si>
    <t>-656.252163138767 13.0533601221464 -582.209731545024</t>
  </si>
  <si>
    <t>-637.223154721928 9.89335535782379 -658.157870942129</t>
  </si>
  <si>
    <t>-648.30614776655 47.4925330823787 -530.915947241529</t>
  </si>
  <si>
    <t>-613.476417117414 198.805981295393 -515.868586975967</t>
  </si>
  <si>
    <t>-577.325132376759 240.23071532446 -239.18161527654</t>
  </si>
  <si>
    <t>-353.867977784579 185.728131553008 -206.856696832448</t>
  </si>
  <si>
    <t>-581.510468306264 125.555533744881 -98.4319201946104</t>
  </si>
  <si>
    <t>-610.76260273298 141.668675885002 315.798964501573</t>
  </si>
  <si>
    <t>-668.267144674418 170.015937799252 774.484260327008</t>
  </si>
  <si>
    <t>-517.976369511315 176.150119536502 831.57086265776</t>
  </si>
  <si>
    <t>-605.434941532773 -71.8950708443313 322.54056650582</t>
  </si>
  <si>
    <t>-656.605509636697 -105.704357300206 781.441078569686</t>
  </si>
  <si>
    <t>-502.749328097614 -122.623360840911 825.325531185339</t>
  </si>
  <si>
    <t>9763-20170724T115329.962092700.bin</t>
  </si>
  <si>
    <t>-588.295543373097 33.8705208379017 -93.877931446836</t>
  </si>
  <si>
    <t>-611.323510588487 32.1876896473655 -202.157075885044</t>
  </si>
  <si>
    <t>-624.984095520533 28.8394918441272 -293.961340128614</t>
  </si>
  <si>
    <t>-635.97062448084 25.1092744613952 -377.048763332651</t>
  </si>
  <si>
    <t>-645.039193281922 20.6141646320912 -460.3294389598</t>
  </si>
  <si>
    <t>-656.19289318456 13.1972145284749 -582.253801452438</t>
  </si>
  <si>
    <t>-637.193418138589 10.0768110388271 -658.210917040599</t>
  </si>
  <si>
    <t>-648.304547882138 47.5942042721413 -530.922883685133</t>
  </si>
  <si>
    <t>-613.630173952872 198.936936182189 -515.769155026247</t>
  </si>
  <si>
    <t>-577.59718179798 240.313690179659 -239.059651048991</t>
  </si>
  <si>
    <t>-354.0523110674 185.918174451593 -207.163769106863</t>
  </si>
  <si>
    <t>-581.646311440198 125.497676763933 -98.4615601620067</t>
  </si>
  <si>
    <t>-610.841217291951 141.618261000013 315.773130024787</t>
  </si>
  <si>
    <t>-668.266660979549 169.991339530191 774.465760753744</t>
  </si>
  <si>
    <t>-517.975829237634 176.141103889954 831.550522163728</t>
  </si>
  <si>
    <t>-605.370721786469 -71.918133135018 322.539435325358</t>
  </si>
  <si>
    <t>-656.646700088153 -105.705092017492 781.425651893286</t>
  </si>
  <si>
    <t>-502.763147205334 -122.557960764717 825.239543593431</t>
  </si>
  <si>
    <t>9763-20170724T115330.027218000.bin</t>
  </si>
  <si>
    <t>-588.371069385522 33.850205313277 -93.9018595607788</t>
  </si>
  <si>
    <t>-611.378780023529 32.0925202626465 -202.184221897332</t>
  </si>
  <si>
    <t>-624.947590958986 28.7362672169236 -294.001759522847</t>
  </si>
  <si>
    <t>-635.821153441291 25.0181566788508 -377.10454409576</t>
  </si>
  <si>
    <t>-644.746148625816 20.5563587104523 -460.402656966885</t>
  </si>
  <si>
    <t>-655.656413839863 13.2107013206623 -582.353149633722</t>
  </si>
  <si>
    <t>-636.601388642457 10.2226856871555 -658.30175387153</t>
  </si>
  <si>
    <t>-647.962464939552 47.5869672382426 -530.978767637135</t>
  </si>
  <si>
    <t>-613.870613840798 199.054934360431 -515.668210571455</t>
  </si>
  <si>
    <t>-577.652501821853 239.962619398483 -238.91315998842</t>
  </si>
  <si>
    <t>-354.003792513299 185.569902838061 -207.748685739942</t>
  </si>
  <si>
    <t>-581.933642118511 125.424818853646 -98.4867623850881</t>
  </si>
  <si>
    <t>-611.061328294941 141.579427536425 315.751346150506</t>
  </si>
  <si>
    <t>-668.257517850407 170.026009713323 774.456378211592</t>
  </si>
  <si>
    <t>-517.957534248124 176.194072427043 831.51509117523</t>
  </si>
  <si>
    <t>-605.194276622624 -71.9436900747769 322.525218933135</t>
  </si>
  <si>
    <t>-656.7339256997 -105.728008947332 781.38875617088</t>
  </si>
  <si>
    <t>-502.823805824561 -122.686210075814 825.068425501471</t>
  </si>
  <si>
    <t>9763-20170724T115330.065297800.bin</t>
  </si>
  <si>
    <t>-588.317753180291 33.9379563301068 -93.8849106881697</t>
  </si>
  <si>
    <t>-611.319927261462 32.1315107355783 -202.167559035498</t>
  </si>
  <si>
    <t>-624.870294669692 28.7543390993326 -293.987063172009</t>
  </si>
  <si>
    <t>-635.721687645984 25.0237454620144 -377.092272560952</t>
  </si>
  <si>
    <t>-644.61901672959 20.5564935904886 -460.393051729773</t>
  </si>
  <si>
    <t>-655.482636601848 13.2110669796591 -582.347623557426</t>
  </si>
  <si>
    <t>-636.374814450981 10.3040960901928 -658.286122480412</t>
  </si>
  <si>
    <t>-647.861055354673 47.5925107720263 -530.965952012719</t>
  </si>
  <si>
    <t>-614.051433247731 199.118289001495 -515.603814514309</t>
  </si>
  <si>
    <t>-577.646172751246 239.80713734257 -238.84091967064</t>
  </si>
  <si>
    <t>-354.066371853446 185.143181730243 -207.656786287315</t>
  </si>
  <si>
    <t>-582.035643295499 125.468601359947 -98.4923309952597</t>
  </si>
  <si>
    <t>-611.175110960584 141.614699217631 315.745297352318</t>
  </si>
  <si>
    <t>-668.253342926966 170.032347084803 774.45432126605</t>
  </si>
  <si>
    <t>-517.950999966931 176.179710722497 831.50907766706</t>
  </si>
  <si>
    <t>-605.097078646158 -71.8869873493843 322.53064048321</t>
  </si>
  <si>
    <t>-656.77169695539 -105.704371732854 781.370797601967</t>
  </si>
  <si>
    <t>-502.817912943829 -122.430127366637 824.986330272249</t>
  </si>
  <si>
    <t>9763-20170724T115330.130285500.bin</t>
  </si>
  <si>
    <t>-588.193166361273 34.0012898967773 -93.8885498209029</t>
  </si>
  <si>
    <t>-611.171394467714 32.128809991036 -202.175126831377</t>
  </si>
  <si>
    <t>-624.715627113287 28.7323741666635 -293.994863775015</t>
  </si>
  <si>
    <t>-635.567456515433 24.9968287728307 -377.099692668543</t>
  </si>
  <si>
    <t>-644.470956027052 20.5384056165094 -460.40034957457</t>
  </si>
  <si>
    <t>-655.350094825825 13.2203394805915 -582.355291424327</t>
  </si>
  <si>
    <t>-636.167395164209 10.3802217505229 -658.277390170253</t>
  </si>
  <si>
    <t>-647.77153984158 47.5948615006771 -530.962783872743</t>
  </si>
  <si>
    <t>-614.130063857696 199.14661883286 -515.536758183083</t>
  </si>
  <si>
    <t>-577.706354659447 239.775231126646 -238.76753933586</t>
  </si>
  <si>
    <t>-354.245519741005 184.737492929712 -207.388562927094</t>
  </si>
  <si>
    <t>-582.050922625922 125.49492842005 -98.5057575455171</t>
  </si>
  <si>
    <t>-611.226169259999 141.665469079371 315.728370145791</t>
  </si>
  <si>
    <t>-668.250336068855 170.046009170032 774.447911073205</t>
  </si>
  <si>
    <t>-517.948172489482 176.225536755221 831.499590016279</t>
  </si>
  <si>
    <t>-604.993346860733 -71.8460344720131 322.54141091359</t>
  </si>
  <si>
    <t>-656.806631019878 -105.711295431438 781.362321178903</t>
  </si>
  <si>
    <t>-502.840832722756 -122.481632689203 824.918245064909</t>
  </si>
  <si>
    <t>9763-20170724T115330.164375100.bin</t>
  </si>
  <si>
    <t>-587.72279037196 34.0279484995322 -93.8841939252989</t>
  </si>
  <si>
    <t>-610.566668952512 32.049577790659 -202.197377735424</t>
  </si>
  <si>
    <t>-624.116300582245 28.6782956607419 -294.017051357695</t>
  </si>
  <si>
    <t>-635.020646522528 25.0095674127276 -377.118133093533</t>
  </si>
  <si>
    <t>-644.024156985236 20.6646138187816 -460.413911251981</t>
  </si>
  <si>
    <t>-655.101334117721 13.5644555473898 -582.363953871916</t>
  </si>
  <si>
    <t>-635.837370314885 10.6335725653153 -658.262117995371</t>
  </si>
  <si>
    <t>-647.575050837223 47.8598541280342 -530.91075181978</t>
  </si>
  <si>
    <t>-614.412618106552 199.49504264528 -515.252785810575</t>
  </si>
  <si>
    <t>-577.895328197076 239.730481788147 -238.43838507305</t>
  </si>
  <si>
    <t>-354.609272066418 184.055188291264 -206.940358945861</t>
  </si>
  <si>
    <t>-581.826627655718 125.413361481885 -98.508854662591</t>
  </si>
  <si>
    <t>-611.171781929678 141.692047016627 315.709020982302</t>
  </si>
  <si>
    <t>-668.244439828251 170.080419607575 774.421794962736</t>
  </si>
  <si>
    <t>-517.948131868623 176.309398008377 831.483593615833</t>
  </si>
  <si>
    <t>-604.737096989657 -71.9297340628673 322.550383750446</t>
  </si>
  <si>
    <t>-656.834076513644 -105.771042586776 781.34848865814</t>
  </si>
  <si>
    <t>-502.863467087912 -122.596082969642 824.866180249717</t>
  </si>
  <si>
    <t>9763-20170724T115330.230143800.bin</t>
  </si>
  <si>
    <t>-587.15245639493 34.1037207124959 -93.8201403102265</t>
  </si>
  <si>
    <t>-609.993962209487 32.075511405709 -202.132862356965</t>
  </si>
  <si>
    <t>-623.404943889808 28.6814839732649 -293.972220315029</t>
  </si>
  <si>
    <t>-634.128403306797 24.9975644699543 -377.0959906409</t>
  </si>
  <si>
    <t>-642.894317189517 20.6467075597398 -460.416910080663</t>
  </si>
  <si>
    <t>-653.561349862038 13.549315365538 -582.403588661203</t>
  </si>
  <si>
    <t>-634.790859821108 9.88141816974371 -658.393341489437</t>
  </si>
  <si>
    <t>-646.403992590123 47.8607835536529 -530.908564236662</t>
  </si>
  <si>
    <t>-614.529723542928 199.733294960073 -514.942459440983</t>
  </si>
  <si>
    <t>-577.135666042021 239.379995534234 -238.16032846047</t>
  </si>
  <si>
    <t>-353.772928383094 183.500011088979 -207.581841662565</t>
  </si>
  <si>
    <t>-581.534072098506 125.525139806431 -98.4736055668242</t>
  </si>
  <si>
    <t>-610.947587698964 141.685947061202 315.744038308811</t>
  </si>
  <si>
    <t>-668.215366556565 170.093274945386 774.397266095891</t>
  </si>
  <si>
    <t>-517.937284329927 176.37569943558 831.50113927009</t>
  </si>
  <si>
    <t>-604.297940801076 -72.0270458912514 322.58463715939</t>
  </si>
  <si>
    <t>-656.838134084276 -105.806224092281 781.34234933637</t>
  </si>
  <si>
    <t>-502.849609482973 -122.498295396393 824.847887267199</t>
  </si>
  <si>
    <t>9763-20170724T115330.265234500.bin</t>
  </si>
  <si>
    <t>-586.902742166875 34.1686010291921 -93.8125502758921</t>
  </si>
  <si>
    <t>-609.783138123889 32.0887671564524 -202.116116443191</t>
  </si>
  <si>
    <t>-623.158958059223 28.7443612312977 -293.962312931889</t>
  </si>
  <si>
    <t>-633.823074491562 25.1402150491883 -377.097312979747</t>
  </si>
  <si>
    <t>-642.501640996917 20.9060698488545 -460.433297330434</t>
  </si>
  <si>
    <t>-653.0100072047 14.0197232084288 -582.445944842626</t>
  </si>
  <si>
    <t>-634.815289620124 10.0907072065404 -658.562419442061</t>
  </si>
  <si>
    <t>-646.021085788859 48.2504842384781 -530.874032257437</t>
  </si>
  <si>
    <t>-614.622765397035 200.165240543696 -514.449543407664</t>
  </si>
  <si>
    <t>-577.127754943455 239.62407344811 -237.654135593431</t>
  </si>
  <si>
    <t>-353.611879710026 183.858876912196 -207.999061089375</t>
  </si>
  <si>
    <t>-581.520559966851 125.604457916445 -98.4656286456583</t>
  </si>
  <si>
    <t>-610.898415212193 141.731191818761 315.755877315052</t>
  </si>
  <si>
    <t>-668.211082415457 170.083782887544 774.409688416503</t>
  </si>
  <si>
    <t>-517.94051805252 176.426438295502 831.526624291505</t>
  </si>
  <si>
    <t>-604.019712280478 -72.0385946528997 322.602810038179</t>
  </si>
  <si>
    <t>-656.854953398857 -105.815917050908 781.33469735349</t>
  </si>
  <si>
    <t>-502.845964710745 -122.398570971194 824.809595064021</t>
  </si>
  <si>
    <t>9763-20170724T115330.330276500.bin</t>
  </si>
  <si>
    <t>-586.608367650845 34.2569915801475 -93.7789319622044</t>
  </si>
  <si>
    <t>-609.497505613144 32.0689572057966 -202.07857380005</t>
  </si>
  <si>
    <t>-622.739083426713 28.875731222432 -293.949646133321</t>
  </si>
  <si>
    <t>-633.224588912431 25.5008507429616 -377.116888425134</t>
  </si>
  <si>
    <t>-641.666425909059 21.5912479670953 -460.493014994835</t>
  </si>
  <si>
    <t>-651.764561187012 15.2838706458897 -582.571640525803</t>
  </si>
  <si>
    <t>-634.615322443358 10.6411144783142 -658.890495604173</t>
  </si>
  <si>
    <t>-645.102629686539 49.2815078737349 -530.802760370731</t>
  </si>
  <si>
    <t>-614.093133936258 201.142065067256 -513.041483946268</t>
  </si>
  <si>
    <t>-577.557693646692 239.87405256989 -236.015196170211</t>
  </si>
  <si>
    <t>-353.680448638655 184.597995535451 -208.229136570606</t>
  </si>
  <si>
    <t>-581.612948383474 125.601255686658 -98.4077072139391</t>
  </si>
  <si>
    <t>-611.026727951459 141.793171714138 315.808758817574</t>
  </si>
  <si>
    <t>-668.212351916238 170.158454379381 774.477308778491</t>
  </si>
  <si>
    <t>-517.94189719038 176.527161414642 831.591764516782</t>
  </si>
  <si>
    <t>-603.481546729991 -72.0227449303945 322.648191016262</t>
  </si>
  <si>
    <t>-656.907418709935 -105.829916474807 781.310878336698</t>
  </si>
  <si>
    <t>-502.871560817893 -122.406276061307 824.692925461744</t>
  </si>
  <si>
    <t>9763-20170724T115330.364367500.bin</t>
  </si>
  <si>
    <t>-586.511533493408 34.3066656359872 -93.7443080888202</t>
  </si>
  <si>
    <t>-609.366260850904 32.0938557484831 -202.050656551489</t>
  </si>
  <si>
    <t>-622.473569593378 28.9934345287022 -293.944203154904</t>
  </si>
  <si>
    <t>-632.794923990936 25.7473808890745 -377.137187239643</t>
  </si>
  <si>
    <t>-641.029360991547 22.0123183792321 -460.54204933529</t>
  </si>
  <si>
    <t>-650.776370403085 16.0111350234711 -582.664610813417</t>
  </si>
  <si>
    <t>-633.940894816457 10.8964677361146 -659.023049867282</t>
  </si>
  <si>
    <t>-644.326513515316 49.883475896343 -530.786783471486</t>
  </si>
  <si>
    <t>-613.33133121384 201.664166069016 -512.311596281085</t>
  </si>
  <si>
    <t>-577.621427061131 239.795582162388 -235.094206114473</t>
  </si>
  <si>
    <t>-353.659746403661 184.519593089474 -207.997023591002</t>
  </si>
  <si>
    <t>-581.586779054496 125.633725406362 -98.3651236224828</t>
  </si>
  <si>
    <t>-611.121956157926 141.824356204237 315.842664512144</t>
  </si>
  <si>
    <t>-668.214502407165 170.214901327542 774.51135446403</t>
  </si>
  <si>
    <t>-517.940794638942 176.569286299275 831.618728660143</t>
  </si>
  <si>
    <t>-603.365228728922 -72.0403394316759 322.667770517881</t>
  </si>
  <si>
    <t>-656.930127028053 -105.830674723453 781.301457660058</t>
  </si>
  <si>
    <t>-502.880237649754 -122.367296189854 824.648902755703</t>
  </si>
  <si>
    <t>9763-20170724T115330.431093300.bin</t>
  </si>
  <si>
    <t>-586.413813406706 34.261524559651 -93.7115546849321</t>
  </si>
  <si>
    <t>-609.154845752053 32.0577559590397 -202.042012179682</t>
  </si>
  <si>
    <t>-621.708368371952 29.1523102248423 -294.019171448303</t>
  </si>
  <si>
    <t>-631.344383706622 26.1561228014864 -377.303659886256</t>
  </si>
  <si>
    <t>-638.707246825971 22.742045981794 -460.803749321416</t>
  </si>
  <si>
    <t>-646.97563059062 17.2860715306554 -583.060808474336</t>
  </si>
  <si>
    <t>-630.758337006332 10.9314865476663 -659.459990910531</t>
  </si>
  <si>
    <t>-641.017208025594 50.9161415861727 -530.967092965829</t>
  </si>
  <si>
    <t>-609.794940093217 202.498268322154 -511.300428147754</t>
  </si>
  <si>
    <t>-576.113787923148 239.676261003672 -233.700036932507</t>
  </si>
  <si>
    <t>-352.296930686926 183.464172389824 -207.341994981489</t>
  </si>
  <si>
    <t>-581.307927836599 125.611378567942 -98.3372398575958</t>
  </si>
  <si>
    <t>-611.09467590159 141.789162574831 315.85307800617</t>
  </si>
  <si>
    <t>-668.221937235212 170.274484077884 774.521125468024</t>
  </si>
  <si>
    <t>-517.948602787974 176.624829861595 831.630025943116</t>
  </si>
  <si>
    <t>-603.392716004823 -72.1500209221051 322.675135083813</t>
  </si>
  <si>
    <t>-656.954484242235 -105.85152606335 781.308147941719</t>
  </si>
  <si>
    <t>-502.855896319247 -122.080274076424 824.598732503947</t>
  </si>
  <si>
    <t>9763-20170724T115330.464183200.bin</t>
  </si>
  <si>
    <t>-586.356678942097 34.0902158687613 -93.7037487484458</t>
  </si>
  <si>
    <t>-609.022142104217 31.9302957400439 -202.050990639597</t>
  </si>
  <si>
    <t>-621.369247564788 29.140499796262 -294.059567604437</t>
  </si>
  <si>
    <t>-630.760809989071 26.2816740761652 -377.37684411303</t>
  </si>
  <si>
    <t>-637.821027548917 23.0359215117655 -460.909822892853</t>
  </si>
  <si>
    <t>-645.582982379727 17.8593734404978 -583.212170138653</t>
  </si>
  <si>
    <t>-629.705306301427 10.9488825165242 -659.634420527872</t>
  </si>
  <si>
    <t>-639.754797102776 51.3634865183951 -531.022614132272</t>
  </si>
  <si>
    <t>-608.004242574514 202.784427578342 -510.881871604395</t>
  </si>
  <si>
    <t>-575.78931910294 239.406155569844 -233.033639701698</t>
  </si>
  <si>
    <t>-352.122921967715 182.659261197847 -206.544755666626</t>
  </si>
  <si>
    <t>-581.060414485862 125.463756793481 -98.3180318542171</t>
  </si>
  <si>
    <t>-610.999539071909 141.669397540861 315.860191559493</t>
  </si>
  <si>
    <t>-668.220864400115 170.302523700895 774.501595209322</t>
  </si>
  <si>
    <t>-517.954066606153 176.701688866591 831.622315506253</t>
  </si>
  <si>
    <t>-603.389809338202 -72.2861071287898 322.671757899511</t>
  </si>
  <si>
    <t>-656.958092313743 -105.887988346759 781.312951757352</t>
  </si>
  <si>
    <t>-502.879323214443 -122.325878571709 824.595218718977</t>
  </si>
  <si>
    <t>9763-20170724T115330.528395200.bin</t>
  </si>
  <si>
    <t>-586.197704465749 33.6051771731109 -93.7204939947851</t>
  </si>
  <si>
    <t>-608.636699879795 31.5424116884765 -202.116691326086</t>
  </si>
  <si>
    <t>-620.687207513087 28.848793856165 -294.167547914147</t>
  </si>
  <si>
    <t>-629.768193581314 26.084476700908 -377.5224201244</t>
  </si>
  <si>
    <t>-636.475011042415 22.9383352717732 -461.088262118289</t>
  </si>
  <si>
    <t>-643.673679170019 17.9117667492631 -583.431425234402</t>
  </si>
  <si>
    <t>-628.474423876284 9.93447185766627 -659.887620976912</t>
  </si>
  <si>
    <t>-637.939596451219 51.3397531446822 -531.182596377875</t>
  </si>
  <si>
    <t>-605.295679047377 202.540759556305 -510.873921754483</t>
  </si>
  <si>
    <t>-575.284976316578 238.815320981867 -232.733463295369</t>
  </si>
  <si>
    <t>-352.168275905468 180.720732716209 -204.582368002378</t>
  </si>
  <si>
    <t>-580.570871905497 125.04779149051 -98.2932159532119</t>
  </si>
  <si>
    <t>-610.962470494719 141.327623353781 315.849218032236</t>
  </si>
  <si>
    <t>-668.207527468112 170.379740902514 774.447576784112</t>
  </si>
  <si>
    <t>-517.952201860619 176.7171046677 831.605362375541</t>
  </si>
  <si>
    <t>-603.477745090202 -72.7177231402634 322.630935584935</t>
  </si>
  <si>
    <t>-656.944233904524 -105.969616134554 781.320668554648</t>
  </si>
  <si>
    <t>-502.904898855536 -122.733305898433 824.618337801257</t>
  </si>
  <si>
    <t>9763-20170724T115330.565486300.bin</t>
  </si>
  <si>
    <t>-586.036617211364 33.3570910537962 -93.7202497250402</t>
  </si>
  <si>
    <t>-608.359727270623 31.3307166640498 -202.14111702181</t>
  </si>
  <si>
    <t>-620.350564962174 28.6337456686524 -294.199597100683</t>
  </si>
  <si>
    <t>-629.39311722242 25.85388260849 -377.558242940248</t>
  </si>
  <si>
    <t>-636.077382392128 22.6778873646135 -461.124755075415</t>
  </si>
  <si>
    <t>-643.260452748121 17.5922703346882 -583.466288625076</t>
  </si>
  <si>
    <t>-628.339826874983 9.19536110714284 -659.932439037906</t>
  </si>
  <si>
    <t>-637.473144731634 51.0403227599643 -531.236181723663</t>
  </si>
  <si>
    <t>-604.369278884321 202.148232937992 -511.035263465342</t>
  </si>
  <si>
    <t>-575.00589684692 238.732818551426 -232.866436645144</t>
  </si>
  <si>
    <t>-352.188213947663 180.037554887534 -203.614301842728</t>
  </si>
  <si>
    <t>-580.29293269277 124.807198721669 -98.2871577640107</t>
  </si>
  <si>
    <t>-610.98499327274 141.164490778104 315.83003995268</t>
  </si>
  <si>
    <t>-668.210713703069 170.392803666778 774.426292978257</t>
  </si>
  <si>
    <t>-517.962889528737 176.78683407016 831.597319344158</t>
  </si>
  <si>
    <t>-603.580381609747 -72.9986415347296 322.602342916464</t>
  </si>
  <si>
    <t>-656.922751452104 -106.012461286719 781.332845966891</t>
  </si>
  <si>
    <t>-502.891336430958 -122.767240833173 824.662127725133</t>
  </si>
  <si>
    <t>9763-20170724T115330.630166800.bin</t>
  </si>
  <si>
    <t>-585.474795214556 33.2237063106525 -93.6972215381336</t>
  </si>
  <si>
    <t>-607.668393315623 31.2340705595486 -202.145320511669</t>
  </si>
  <si>
    <t>-619.641417326042 28.5055608727355 -294.205241470755</t>
  </si>
  <si>
    <t>-628.705114283543 25.6731231455735 -377.559665737783</t>
  </si>
  <si>
    <t>-635.448241579404 22.418616142374 -461.118539004467</t>
  </si>
  <si>
    <t>-642.759195400266 17.1889751090682 -583.446467712164</t>
  </si>
  <si>
    <t>-628.257752854603 8.20773233038403 -659.926835899428</t>
  </si>
  <si>
    <t>-636.818553470606 50.6898485712054 -531.267482097436</t>
  </si>
  <si>
    <t>-603.018094953018 201.676395636249 -511.323507046138</t>
  </si>
  <si>
    <t>-574.003179695045 238.969990150555 -233.2122281213</t>
  </si>
  <si>
    <t>-351.506133073633 179.566564151018 -202.966003989545</t>
  </si>
  <si>
    <t>-579.546866678281 124.681523423352 -98.2735658907839</t>
  </si>
  <si>
    <t>-610.703857231235 141.107708809701 315.80614661929</t>
  </si>
  <si>
    <t>-668.206145282529 170.455421835268 774.376091142321</t>
  </si>
  <si>
    <t>-517.968103879276 176.785856544971 831.579870232566</t>
  </si>
  <si>
    <t>-603.511519225731 -73.2013943596908 322.600060181955</t>
  </si>
  <si>
    <t>-656.873835888706 -106.108400726358 781.343642774363</t>
  </si>
  <si>
    <t>-502.861843504028 -122.864752023184 824.741345212232</t>
  </si>
  <si>
    <t>9763-20170724T115330.662274700.bin</t>
  </si>
  <si>
    <t>-585.155189463107 33.297316772869 -93.6878271965987</t>
  </si>
  <si>
    <t>-607.331419338609 31.3044696143177 -202.139509190404</t>
  </si>
  <si>
    <t>-619.319060266934 28.5421711567185 -294.196506184687</t>
  </si>
  <si>
    <t>-628.407926895502 25.6670064591262 -377.546686459453</t>
  </si>
  <si>
    <t>-635.188426207817 22.3568523863867 -461.100329583264</t>
  </si>
  <si>
    <t>-642.567399623358 17.0318075659848 -583.420131428506</t>
  </si>
  <si>
    <t>-628.244800293363 7.89231526914955 -659.915434308557</t>
  </si>
  <si>
    <t>-636.565609233304 50.5703524682508 -531.272303801974</t>
  </si>
  <si>
    <t>-602.661320609433 201.555275719802 -511.530705936562</t>
  </si>
  <si>
    <t>-573.370575766113 239.014792717007 -233.470625330359</t>
  </si>
  <si>
    <t>-350.890415523515 179.487117634821 -203.344791828893</t>
  </si>
  <si>
    <t>-579.18646923208 124.795872463128 -98.2699514125214</t>
  </si>
  <si>
    <t>-610.422314056602 141.176162494239 315.80569509268</t>
  </si>
  <si>
    <t>-668.211524876335 170.447046416756 774.349557908194</t>
  </si>
  <si>
    <t>-517.982693621927 176.87096543256 831.56717239874</t>
  </si>
  <si>
    <t>-603.379870113852 -73.1905263541125 322.616087701997</t>
  </si>
  <si>
    <t>-656.843121013009 -106.146048327218 781.356577238116</t>
  </si>
  <si>
    <t>-502.85099453392 -122.982270056298 824.793765090916</t>
  </si>
  <si>
    <t>9763-20170724T115330.732446900.bin</t>
  </si>
  <si>
    <t>-584.585481861208 33.548079649549 -93.6578358052127</t>
  </si>
  <si>
    <t>-606.779058130001 31.5553859023466 -202.105799798614</t>
  </si>
  <si>
    <t>-618.898298953232 28.7548697743291 -294.144558548363</t>
  </si>
  <si>
    <t>-628.153571260503 25.8301687791679 -377.474763703303</t>
  </si>
  <si>
    <t>-635.148368510431 22.4548226431543 -461.00808657756</t>
  </si>
  <si>
    <t>-642.89347940412 17.0169343161951 -583.300243978564</t>
  </si>
  <si>
    <t>-628.845663094806 7.7653077696757 -659.833057727571</t>
  </si>
  <si>
    <t>-636.69380382626 50.5997226855036 -531.204029705128</t>
  </si>
  <si>
    <t>-602.721104034727 201.617926099533 -511.818738286888</t>
  </si>
  <si>
    <t>-572.458286916731 239.076857109774 -233.862619793276</t>
  </si>
  <si>
    <t>-349.858854677312 179.648873747509 -204.429190490717</t>
  </si>
  <si>
    <t>-578.54450398378 125.086631019457 -98.2454772541962</t>
  </si>
  <si>
    <t>-609.971640673058 141.359751613304 315.819920719592</t>
  </si>
  <si>
    <t>-668.227668634684 170.442751125471 774.297719515591</t>
  </si>
  <si>
    <t>-518.010975123637 176.983853164664 831.534002319066</t>
  </si>
  <si>
    <t>-603.028213165811 -73.1094460193628 322.672868931083</t>
  </si>
  <si>
    <t>-656.804666986662 -106.203552540156 781.373185274523</t>
  </si>
  <si>
    <t>-502.864831666294 -123.377795710498 824.863311018441</t>
  </si>
  <si>
    <t>9763-20170724T115330.762528700.bin</t>
  </si>
  <si>
    <t>-584.316007682573 33.7397575237919 -93.6264186985962</t>
  </si>
  <si>
    <t>-606.554634603383 31.7415746734075 -202.065160368207</t>
  </si>
  <si>
    <t>-618.766202259386 28.9482171620523 -294.091826341521</t>
  </si>
  <si>
    <t>-628.12673448803 26.0348509318726 -377.410566204129</t>
  </si>
  <si>
    <t>-635.248881110092 22.6757794219661 -460.933849598519</t>
  </si>
  <si>
    <t>-643.204266536633 17.2671214297884 -583.213752729976</t>
  </si>
  <si>
    <t>-629.274353623388 8.03404650123684 -659.770390288863</t>
  </si>
  <si>
    <t>-636.912917553683 50.8372739656265 -531.120555465049</t>
  </si>
  <si>
    <t>-602.943759984548 201.861654862579 -511.803834708925</t>
  </si>
  <si>
    <t>-572.04674370371 239.299356504576 -233.914809840829</t>
  </si>
  <si>
    <t>-349.343334332547 180.023997061121 -204.963902170401</t>
  </si>
  <si>
    <t>-578.253378272074 125.282840201328 -98.2296501546542</t>
  </si>
  <si>
    <t>-609.81110557428 141.484599027417 315.828552058773</t>
  </si>
  <si>
    <t>-668.224504062609 170.494836116162 774.280644785517</t>
  </si>
  <si>
    <t>-518.006281705063 176.940979061577 831.523709212917</t>
  </si>
  <si>
    <t>-602.872021093533 -73.0109468019832 322.699950421424</t>
  </si>
  <si>
    <t>-656.797790361442 -106.195317333676 781.375393752533</t>
  </si>
  <si>
    <t>-502.843834072266 -123.260375667459 824.858634106822</t>
  </si>
  <si>
    <t>9763-20170724T115330.831230200.bin</t>
  </si>
  <si>
    <t>-583.838419214285 34.1610433569431 -93.6014032561048</t>
  </si>
  <si>
    <t>-606.21776363926 32.1368905665022 -202.010707507389</t>
  </si>
  <si>
    <t>-618.560881496352 29.3652370898481 -294.020355431242</t>
  </si>
  <si>
    <t>-628.045352069605 26.4887445551083 -377.326623343472</t>
  </si>
  <si>
    <t>-635.296278032012 23.1846646169474 -460.840884638546</t>
  </si>
  <si>
    <t>-643.445242991523 17.8761995469745 -583.112437573434</t>
  </si>
  <si>
    <t>-629.668831402357 8.70793738793918 -659.704635971543</t>
  </si>
  <si>
    <t>-637.10552930204 51.4066601309903 -530.999557069568</t>
  </si>
  <si>
    <t>-603.255802356605 202.469544516275 -511.647469421803</t>
  </si>
  <si>
    <t>-571.586987011109 239.617631134563 -233.806322469277</t>
  </si>
  <si>
    <t>-348.672786727376 180.710211178355 -205.740226247594</t>
  </si>
  <si>
    <t>-577.80239019624 125.746212103799 -98.2308183197393</t>
  </si>
  <si>
    <t>-609.465783491506 141.761873977442 315.826638847117</t>
  </si>
  <si>
    <t>-668.225199417427 170.545873761938 774.2446167838</t>
  </si>
  <si>
    <t>-518.010987889958 176.922392756261 831.505891399944</t>
  </si>
  <si>
    <t>-602.442596783547 -72.728979635277 322.751981432855</t>
  </si>
  <si>
    <t>-656.809295433788 -106.17963990536 781.366058552687</t>
  </si>
  <si>
    <t>-502.802520536124 -122.903321729623 824.794779234289</t>
  </si>
  <si>
    <t>9763-20170724T115330.863314800.bin</t>
  </si>
  <si>
    <t>-583.639906007536 34.3133283909699 -93.5947687789238</t>
  </si>
  <si>
    <t>-606.039546936446 32.2608193493043 -201.999311599576</t>
  </si>
  <si>
    <t>-618.406752442438 29.4694027135836 -294.005313936979</t>
  </si>
  <si>
    <t>-627.915903170301 26.5756126483436 -377.307975750572</t>
  </si>
  <si>
    <t>-635.194410918363 23.2551959007212 -460.819286097104</t>
  </si>
  <si>
    <t>-643.386976518317 17.9235658414107 -583.086917291728</t>
  </si>
  <si>
    <t>-629.679173870984 8.80243015339715 -659.697051226456</t>
  </si>
  <si>
    <t>-637.038729157873 51.4649874659549 -530.981933428176</t>
  </si>
  <si>
    <t>-603.325095818935 202.56326407998 -511.686311827471</t>
  </si>
  <si>
    <t>-571.451279438708 239.49074115633 -233.839367321744</t>
  </si>
  <si>
    <t>-348.472451983116 180.762990379308 -205.910282751038</t>
  </si>
  <si>
    <t>-577.664486881972 125.927758273409 -98.230233362287</t>
  </si>
  <si>
    <t>-609.329604081043 141.848160233868 315.830709177026</t>
  </si>
  <si>
    <t>-668.222083036204 170.585376892371 774.231523959679</t>
  </si>
  <si>
    <t>-518.011072258166 176.942574068138 831.503265416449</t>
  </si>
  <si>
    <t>-602.184157635338 -72.6526376351351 322.775053614292</t>
  </si>
  <si>
    <t>-656.825241804227 -106.196712675012 781.354997698183</t>
  </si>
  <si>
    <t>-502.867627881783 -123.438274947419 824.755452838056</t>
  </si>
  <si>
    <t>9763-20170724T115330.933132300.bin</t>
  </si>
  <si>
    <t>-583.218010627978 34.5219610679505 -93.5365913625669</t>
  </si>
  <si>
    <t>-605.680664143198 32.4476328062451 -201.927708860643</t>
  </si>
  <si>
    <t>-618.120445495165 29.6349524602185 -293.923203073412</t>
  </si>
  <si>
    <t>-627.703123058796 26.719238675154 -377.216773594051</t>
  </si>
  <si>
    <t>-635.063323891766 23.3741837078026 -460.719862843312</t>
  </si>
  <si>
    <t>-643.38428520292 18.0033706898721 -582.977163784876</t>
  </si>
  <si>
    <t>-629.737017615539 9.02203778916419 -659.61449777466</t>
  </si>
  <si>
    <t>-637.006864845217 51.5637798678886 -530.887958021778</t>
  </si>
  <si>
    <t>-603.440766227106 202.702825283841 -511.686532281687</t>
  </si>
  <si>
    <t>-571.567124346618 239.515510973875 -233.824316889408</t>
  </si>
  <si>
    <t>-348.60375929026 180.903253992329 -205.531701092563</t>
  </si>
  <si>
    <t>-577.418224687673 126.112321505134 -98.1791988605753</t>
  </si>
  <si>
    <t>-609.248067987068 141.941949765546 315.87261024077</t>
  </si>
  <si>
    <t>-668.234310059365 170.59535238156 774.23521275047</t>
  </si>
  <si>
    <t>-518.030366493227 176.991930666393 831.521172601933</t>
  </si>
  <si>
    <t>-601.700832073181 -72.5343693784234 322.813863698373</t>
  </si>
  <si>
    <t>-656.892255438162 -106.20867292979 781.324963109416</t>
  </si>
  <si>
    <t>-502.884995210309 -123.386336271489 824.574364549634</t>
  </si>
  <si>
    <t>9763-20170724T115330.961213300.bin</t>
  </si>
  <si>
    <t>-582.999456048126 34.5755522583811 -93.5137693789142</t>
  </si>
  <si>
    <t>-605.514542356024 32.4869035902345 -201.893663746839</t>
  </si>
  <si>
    <t>-618.007890153476 29.6797012832592 -293.882166156463</t>
  </si>
  <si>
    <t>-627.642764950929 26.775006393869 -377.169905431405</t>
  </si>
  <si>
    <t>-635.058964682835 23.4476389208967 -460.668781745637</t>
  </si>
  <si>
    <t>-643.465806775623 18.1100853273201 -582.921694474941</t>
  </si>
  <si>
    <t>-629.79329398282 9.22865368633188 -659.566381383057</t>
  </si>
  <si>
    <t>-637.077491267667 51.6585833369509 -530.826225217235</t>
  </si>
  <si>
    <t>-603.54518387367 202.792629279837 -511.571814049658</t>
  </si>
  <si>
    <t>-571.680095982973 239.685948624841 -233.719209980451</t>
  </si>
  <si>
    <t>-348.727966609149 181.149825343115 -205.181498593803</t>
  </si>
  <si>
    <t>-577.285240304082 126.142609015237 -98.1610040856704</t>
  </si>
  <si>
    <t>-609.201532816391 141.961232424952 315.884503197066</t>
  </si>
  <si>
    <t>-668.236015509296 170.604598101982 774.244943308565</t>
  </si>
  <si>
    <t>-518.035554513593 177.037777508162 831.535860486485</t>
  </si>
  <si>
    <t>-601.490233593848 -72.4878404177414 322.82607869761</t>
  </si>
  <si>
    <t>-656.929731987182 -106.191558233303 781.297699704598</t>
  </si>
  <si>
    <t>-502.872892072513 -123.14870244636 824.457478703747</t>
  </si>
  <si>
    <t>9763-20170724T115331.032401400.bin</t>
  </si>
  <si>
    <t>-582.553171832854 34.6783948978386 -93.4968082781561</t>
  </si>
  <si>
    <t>-605.188223479064 32.5946780831928 -201.851860360327</t>
  </si>
  <si>
    <t>-617.845895124377 29.7996728106552 -293.8181798253</t>
  </si>
  <si>
    <t>-627.654609098139 26.9091349426137 -377.086139499539</t>
  </si>
  <si>
    <t>-635.270010923603 23.6005143561893 -460.56788309108</t>
  </si>
  <si>
    <t>-643.995800774384 18.2960284882863 -582.79995067191</t>
  </si>
  <si>
    <t>-629.821754613012 9.73206756096806 -659.389395175059</t>
  </si>
  <si>
    <t>-637.535645069298 51.8360735636597 -530.707884964352</t>
  </si>
  <si>
    <t>-604.239193239411 203.037981624952 -511.506880031994</t>
  </si>
  <si>
    <t>-572.382293549444 239.773386446845 -233.632418536964</t>
  </si>
  <si>
    <t>-349.366568836115 181.747523494498 -204.554439085085</t>
  </si>
  <si>
    <t>-576.91824813669 126.273486231074 -98.124118260929</t>
  </si>
  <si>
    <t>-608.950222571049 141.99591337908 315.916111296996</t>
  </si>
  <si>
    <t>-668.233222124284 170.654619512649 774.260638294207</t>
  </si>
  <si>
    <t>-518.03922266325 177.06174320992 831.571429865251</t>
  </si>
  <si>
    <t>-601.104551870089 -72.3841103830168 322.84507464572</t>
  </si>
  <si>
    <t>-656.969721762631 -106.205562254692 781.269733621213</t>
  </si>
  <si>
    <t>-502.906634768756 -123.357872653852 824.330036784751</t>
  </si>
  <si>
    <t>9763-20170724T115331.064487100.bin</t>
  </si>
  <si>
    <t>-582.341439900639 34.6824564250587 -93.4840848855035</t>
  </si>
  <si>
    <t>-604.997515539545 32.6145076810483 -201.835060745309</t>
  </si>
  <si>
    <t>-617.787787489572 29.8236067475391 -293.783040552102</t>
  </si>
  <si>
    <t>-627.762604590856 26.9346171413022 -377.031549678201</t>
  </si>
  <si>
    <t>-635.590692277982 23.6255100409917 -460.49350932484</t>
  </si>
  <si>
    <t>-644.678445798441 18.31923049291 -582.698956558416</t>
  </si>
  <si>
    <t>-629.981034500408 10.0104126430169 -659.217982580861</t>
  </si>
  <si>
    <t>-638.073157076992 51.8609871038766 -530.626299135996</t>
  </si>
  <si>
    <t>-604.715672817772 203.059065350559 -511.585435753375</t>
  </si>
  <si>
    <t>-572.919527869955 239.815724219753 -233.706804390952</t>
  </si>
  <si>
    <t>-349.923262606028 181.977074559244 -204.111490443004</t>
  </si>
  <si>
    <t>-576.642256385808 126.268886962179 -98.0971787422849</t>
  </si>
  <si>
    <t>-608.774711046112 141.98593645215 315.935574638721</t>
  </si>
  <si>
    <t>-668.232146274354 170.68231981594 774.26436881551</t>
  </si>
  <si>
    <t>-518.042636677451 177.070115151369 831.589154594808</t>
  </si>
  <si>
    <t>-600.960302132582 -72.3894815950421 322.856232148017</t>
  </si>
  <si>
    <t>-656.973086653103 -106.223503492562 781.263553947619</t>
  </si>
  <si>
    <t>-502.914228620547 -123.458211617776 824.306070317551</t>
  </si>
  <si>
    <t>9763-20170724T115331.127830600.bin</t>
  </si>
  <si>
    <t>-582.006541163462 34.5833681475094 -93.4517043385817</t>
  </si>
  <si>
    <t>-604.662578417702 32.5278813624932 -201.802863582385</t>
  </si>
  <si>
    <t>-617.768861036544 29.6908393660799 -293.705074969632</t>
  </si>
  <si>
    <t>-628.15675090066 26.7404039763569 -376.900751572859</t>
  </si>
  <si>
    <t>-636.526123750176 23.3514975988674 -460.306905487004</t>
  </si>
  <si>
    <t>-646.546198990196 17.9090417321017 -582.433565138675</t>
  </si>
  <si>
    <t>-630.218503321867 10.3042997626392 -658.694901353605</t>
  </si>
  <si>
    <t>-639.560517871076 51.5102214432036 -530.448958913398</t>
  </si>
  <si>
    <t>-606.167219926505 202.772192450397 -511.937263145545</t>
  </si>
  <si>
    <t>-573.423137671005 240.165502662003 -234.253670153002</t>
  </si>
  <si>
    <t>-350.59326391301 182.264092485247 -203.548447172758</t>
  </si>
  <si>
    <t>-576.146064735717 126.198338041537 -98.069114888889</t>
  </si>
  <si>
    <t>-608.492830624697 141.962952003307 315.945163128528</t>
  </si>
  <si>
    <t>-668.233666053874 170.738378337593 774.244909506132</t>
  </si>
  <si>
    <t>-518.046638030324 177.01003883889 831.589018016669</t>
  </si>
  <si>
    <t>-600.942221033874 -72.5457567936317 322.880797074672</t>
  </si>
  <si>
    <t>-656.960479633524 -106.28660817439 781.276986612296</t>
  </si>
  <si>
    <t>-502.914482456849 -123.634145167684 824.320167696678</t>
  </si>
  <si>
    <t>9763-20170724T115331.162936400.bin</t>
  </si>
  <si>
    <t>-581.85362251004 34.5151064229701 -93.443407522407</t>
  </si>
  <si>
    <t>-604.496676273884 32.4536600610995 -201.79719639714</t>
  </si>
  <si>
    <t>-617.773721545343 29.5814214962702 -293.67388797104</t>
  </si>
  <si>
    <t>-628.389424735093 26.5877050855474 -376.839165924239</t>
  </si>
  <si>
    <t>-637.060614180121 23.1442066048749 -460.212303564607</t>
  </si>
  <si>
    <t>-647.603299270233 17.6099344727725 -582.290847553823</t>
  </si>
  <si>
    <t>-630.27878691096 10.5077197035259 -658.380456355247</t>
  </si>
  <si>
    <t>-640.391502694736 51.2498088787002 -530.362126731854</t>
  </si>
  <si>
    <t>-607.008525022082 202.543396017867 -512.120495985399</t>
  </si>
  <si>
    <t>-573.283681976496 240.285211413405 -234.601495600417</t>
  </si>
  <si>
    <t>-350.524009676462 182.232169075287 -203.673979461693</t>
  </si>
  <si>
    <t>-575.983568070843 126.155457942934 -98.0736239460449</t>
  </si>
  <si>
    <t>-608.351284929488 141.943864014223 315.938056256224</t>
  </si>
  <si>
    <t>-668.242109966822 170.734896877064 774.223258757281</t>
  </si>
  <si>
    <t>-518.058487871884 177.030826154009 831.57355078915</t>
  </si>
  <si>
    <t>-600.916931884918 -72.6210762581866 322.884928833512</t>
  </si>
  <si>
    <t>-656.947606429154 -106.293218992977 781.287671570637</t>
  </si>
  <si>
    <t>-502.872414744122 -123.382366700306 824.329817003955</t>
  </si>
  <si>
    <t>9763-20170724T115331.229711500.bin</t>
  </si>
  <si>
    <t>-581.53160824071 34.2342362314091 -93.4306363852189</t>
  </si>
  <si>
    <t>-604.147867841792 32.1467550670479 -201.789429922061</t>
  </si>
  <si>
    <t>-617.686416116062 29.2800274469971 -293.628039351613</t>
  </si>
  <si>
    <t>-628.653112572256 26.3019072115853 -376.748444554557</t>
  </si>
  <si>
    <t>-637.790482888989 22.8868492687136 -460.073120244718</t>
  </si>
  <si>
    <t>-649.141223592333 17.4087804520784 -582.08154868532</t>
  </si>
  <si>
    <t>-630.080417907324 12.0377628504345 -657.897405705175</t>
  </si>
  <si>
    <t>-641.671728831383 51.0320892677748 -530.178533436105</t>
  </si>
  <si>
    <t>-608.71163784671 202.472464260922 -512.326097054042</t>
  </si>
  <si>
    <t>-572.159653168424 240.181829041498 -235.160816977018</t>
  </si>
  <si>
    <t>-349.343088089412 181.824544687249 -205.232068539665</t>
  </si>
  <si>
    <t>-575.787741646108 125.87957015343 -98.0617578235906</t>
  </si>
  <si>
    <t>-608.120269493365 141.789454281115 315.947987591623</t>
  </si>
  <si>
    <t>-668.254853441945 170.697481755353 774.178005319375</t>
  </si>
  <si>
    <t>-518.086377935118 177.206133974615 831.544335644541</t>
  </si>
  <si>
    <t>-600.567058061324 -72.8816372089561 322.890488181022</t>
  </si>
  <si>
    <t>-656.903198714078 -106.302782163167 781.294249270514</t>
  </si>
  <si>
    <t>-502.815443061611 -123.205150987834 824.365163821054</t>
  </si>
  <si>
    <t>9763-20170724T115331.261811000.bin</t>
  </si>
  <si>
    <t>-581.557134052172 34.0351659109076 -93.4247625234323</t>
  </si>
  <si>
    <t>-604.232219701445 31.947641056493 -201.771236248479</t>
  </si>
  <si>
    <t>-617.802857172099 29.0421941282705 -293.603991562375</t>
  </si>
  <si>
    <t>-628.791533488444 26.0122765802978 -376.719554081263</t>
  </si>
  <si>
    <t>-637.943875038227 22.5295925315343 -460.039612113889</t>
  </si>
  <si>
    <t>-649.308701617545 16.9356889292715 -582.041666047545</t>
  </si>
  <si>
    <t>-630.245914288317 12.8629993537027 -657.937915462516</t>
  </si>
  <si>
    <t>-641.896216736266 50.6135865260555 -530.165848668649</t>
  </si>
  <si>
    <t>-609.732859524173 202.233408499223 -512.459540579638</t>
  </si>
  <si>
    <t>-571.320170169084 239.953565194055 -235.547578392266</t>
  </si>
  <si>
    <t>-348.439763069205 181.343696064766 -206.603828902322</t>
  </si>
  <si>
    <t>-575.993655063196 125.754373352056 -98.0589594192894</t>
  </si>
  <si>
    <t>-608.096362876535 141.647138611481 315.969320191857</t>
  </si>
  <si>
    <t>-668.256919371577 170.675737532691 774.17602725552</t>
  </si>
  <si>
    <t>-518.094223003941 177.216546812233 831.553845610058</t>
  </si>
  <si>
    <t>-600.201366221953 -73.0853388985383 322.900276896438</t>
  </si>
  <si>
    <t>-656.894369975944 -106.354970280013 781.296574064944</t>
  </si>
  <si>
    <t>-502.834402547546 -123.487491119071 824.375857386232</t>
  </si>
  <si>
    <t>9763-20170724T115331.328983800.bin</t>
  </si>
  <si>
    <t>-582.306235391035 33.6542696407771 -93.4457973346894</t>
  </si>
  <si>
    <t>-604.985850109433 31.4867925353844 -201.789855539177</t>
  </si>
  <si>
    <t>-618.221493309467 28.4061309993865 -293.665715906331</t>
  </si>
  <si>
    <t>-628.770947883327 25.1702905037989 -376.83045249642</t>
  </si>
  <si>
    <t>-637.346803791697 21.4351564248464 -460.200901489102</t>
  </si>
  <si>
    <t>-647.718011680531 15.4211714976814 -582.271282846184</t>
  </si>
  <si>
    <t>-628.938911439492 13.4266512271563 -658.321125436799</t>
  </si>
  <si>
    <t>-640.863144470935 49.2883363755429 -530.442058478906</t>
  </si>
  <si>
    <t>-609.570534407363 201.137889828301 -513.203200468477</t>
  </si>
  <si>
    <t>-569.609893325211 240.350649726985 -236.718007834977</t>
  </si>
  <si>
    <t>-346.611194275327 181.662831429933 -208.863656799952</t>
  </si>
  <si>
    <t>-577.22887546458 125.58052999363 -98.0813803905664</t>
  </si>
  <si>
    <t>-608.527122851637 141.401173936238 316.011269530993</t>
  </si>
  <si>
    <t>-668.263496449703 170.700826605796 774.24857147456</t>
  </si>
  <si>
    <t>-518.089453056118 177.164332751119 831.605286506879</t>
  </si>
  <si>
    <t>-599.603895693916 -73.2454523429367 322.944215825853</t>
  </si>
  <si>
    <t>-656.960835352541 -106.314752032811 781.248263345314</t>
  </si>
  <si>
    <t>-502.866278301563 -123.493490436182 824.185270332125</t>
  </si>
  <si>
    <t>9763-20170724T115331.362072400.bin</t>
  </si>
  <si>
    <t>-582.856755268231 33.4079639961597 -93.5071132933147</t>
  </si>
  <si>
    <t>-605.371900644698 31.1825334177502 -201.88427735496</t>
  </si>
  <si>
    <t>-618.415967944756 28.0705384880987 -293.786471195024</t>
  </si>
  <si>
    <t>-628.771343712431 24.8099863419002 -376.974613656988</t>
  </si>
  <si>
    <t>-637.131642928104 21.0558532446589 -460.366181759934</t>
  </si>
  <si>
    <t>-647.164193354064 15.0202110410282 -582.463751496635</t>
  </si>
  <si>
    <t>-628.556728411833 13.8999407355757 -658.573657398442</t>
  </si>
  <si>
    <t>-640.539447407087 48.9033575039082 -530.615024695594</t>
  </si>
  <si>
    <t>-609.584761781645 200.823566473966 -513.37659120469</t>
  </si>
  <si>
    <t>-568.858552463069 240.455978946905 -237.062915522977</t>
  </si>
  <si>
    <t>-345.960010172492 181.462319258236 -209.053669094566</t>
  </si>
  <si>
    <t>-578.061416794598 125.271662261912 -98.0903227635371</t>
  </si>
  <si>
    <t>-609.034276614194 141.269428750563 316.019988814645</t>
  </si>
  <si>
    <t>-668.288619692545 170.692725509155 774.318893280372</t>
  </si>
  <si>
    <t>-518.103533690043 177.240907625403 831.637199705213</t>
  </si>
  <si>
    <t>-599.593334982957 -73.4413206275137 322.919854722289</t>
  </si>
  <si>
    <t>-656.964333324682 -106.317124494578 781.227229786431</t>
  </si>
  <si>
    <t>-502.856153772212 -123.390739216317 824.157181580953</t>
  </si>
  <si>
    <t>9763-20170724T115331.428279000.bin</t>
  </si>
  <si>
    <t>-583.815203069178 32.9721085549659 -93.4717796033644</t>
  </si>
  <si>
    <t>-605.906497373279 30.675692337494 -201.934718945215</t>
  </si>
  <si>
    <t>-618.623527280662 27.6212913604297 -293.884567907762</t>
  </si>
  <si>
    <t>-628.695644645121 24.4567816322174 -377.111221676551</t>
  </si>
  <si>
    <t>-636.784283390419 20.8466139880279 -460.535956674836</t>
  </si>
  <si>
    <t>-646.432244628385 15.0745691433474 -582.677347410643</t>
  </si>
  <si>
    <t>-627.944392550741 15.2730713592796 -658.824309293879</t>
  </si>
  <si>
    <t>-640.164653519404 48.8595410062492 -530.720275489576</t>
  </si>
  <si>
    <t>-609.995386182497 200.866473554518 -512.795148038153</t>
  </si>
  <si>
    <t>-566.01590441391 240.001430483735 -236.909473826209</t>
  </si>
  <si>
    <t>-343.071803245117 180.776084496408 -209.765115766726</t>
  </si>
  <si>
    <t>-579.349684352736 124.736926552255 -98.046426439665</t>
  </si>
  <si>
    <t>-610.251634464385 141.087484806128 316.055421847551</t>
  </si>
  <si>
    <t>-668.327554714615 170.766861980724 774.469139118647</t>
  </si>
  <si>
    <t>-518.100598244914 177.213699997554 831.689079327516</t>
  </si>
  <si>
    <t>-600.156060878459 -74.0121827558398 322.840375100205</t>
  </si>
  <si>
    <t>-656.914786398096 -106.341288905963 781.242048314512</t>
  </si>
  <si>
    <t>-502.8153982672 -123.313420027682 824.243734193118</t>
  </si>
  <si>
    <t>9763-20170724T115331.463353900.bin</t>
  </si>
  <si>
    <t>-584.070960606666 32.8668382986805 -93.4653434403092</t>
  </si>
  <si>
    <t>-606.034774816016 30.5619700995201 -201.953973714405</t>
  </si>
  <si>
    <t>-618.661239877179 27.581311023933 -293.918806294539</t>
  </si>
  <si>
    <t>-628.658077458 24.5157604557678 -377.15820374983</t>
  </si>
  <si>
    <t>-636.677560625527 21.0391024930459 -460.595212263682</t>
  </si>
  <si>
    <t>-646.23106365644 15.5007526890258 -582.754894382666</t>
  </si>
  <si>
    <t>-627.573062011545 16.0949921482065 -658.858326851256</t>
  </si>
  <si>
    <t>-640.104193004132 49.19302166425 -530.720876816508</t>
  </si>
  <si>
    <t>-610.443549281116 201.248750906886 -512.393319930822</t>
  </si>
  <si>
    <t>-564.366547126232 239.366306625745 -236.707728089179</t>
  </si>
  <si>
    <t>-341.154194062547 180.730276203219 -210.504832592834</t>
  </si>
  <si>
    <t>-579.667186124394 124.592327507356 -98.0396217537003</t>
  </si>
  <si>
    <t>-610.627623884018 141.001804982947 316.055501019177</t>
  </si>
  <si>
    <t>-668.345834198874 170.769171231718 774.527016802425</t>
  </si>
  <si>
    <t>-518.103680713276 177.229062295491 831.705564191365</t>
  </si>
  <si>
    <t>-600.418703456923 -74.1318952944841 322.801464295854</t>
  </si>
  <si>
    <t>-656.901187800081 -106.364271099256 781.245837808205</t>
  </si>
  <si>
    <t>-502.790022313863 -123.188032054186 824.263684368541</t>
  </si>
  <si>
    <t>9763-20170724T115331.528525600.bin</t>
  </si>
  <si>
    <t>-584.206828744775 32.8987002970412 -93.4932018844734</t>
  </si>
  <si>
    <t>-606.03834662322 30.5905495055476 -202.008428484028</t>
  </si>
  <si>
    <t>-618.626925990951 27.751193133756 -293.98279945997</t>
  </si>
  <si>
    <t>-628.618786226848 24.8713666669182 -377.229592756409</t>
  </si>
  <si>
    <t>-636.662284164329 21.6415758178466 -460.674110147375</t>
  </si>
  <si>
    <t>-646.28223450792 16.5330433265769 -582.847339192087</t>
  </si>
  <si>
    <t>-626.983242310539 17.4742216704324 -658.78724877816</t>
  </si>
  <si>
    <t>-640.283262569018 50.0519840134496 -530.686594202705</t>
  </si>
  <si>
    <t>-611.535185766056 202.204004314873 -511.571366553706</t>
  </si>
  <si>
    <t>-560.475823584059 237.395933599888 -236.374908728689</t>
  </si>
  <si>
    <t>-336.588354642699 180.165492095113 -212.973983627502</t>
  </si>
  <si>
    <t>-579.919479314115 124.683441898948 -98.0361459273357</t>
  </si>
  <si>
    <t>-610.709779454535 141.005840237775 316.07507313825</t>
  </si>
  <si>
    <t>-668.346114708592 170.842916586058 774.587370709362</t>
  </si>
  <si>
    <t>-518.098940537412 177.290219869886 831.754122022936</t>
  </si>
  <si>
    <t>-600.299528263867 -74.1061140223626 322.777915833728</t>
  </si>
  <si>
    <t>-656.869105951891 -106.401840939243 781.246955035368</t>
  </si>
  <si>
    <t>-502.768542718608 -123.232067287635 824.300243165368</t>
  </si>
  <si>
    <t>9763-20170724T115331.565624500.bin</t>
  </si>
  <si>
    <t>-584.017494157981 32.90020291224 -93.465765842854</t>
  </si>
  <si>
    <t>-605.860636420288 30.5715091454633 -201.978252040921</t>
  </si>
  <si>
    <t>-618.477719072689 27.7784680621089 -293.950191895466</t>
  </si>
  <si>
    <t>-628.502829968241 24.9650573108559 -377.195123243537</t>
  </si>
  <si>
    <t>-636.587156117114 21.8266622370568 -460.639223356476</t>
  </si>
  <si>
    <t>-646.275009098354 16.8793424417422 -582.813770909898</t>
  </si>
  <si>
    <t>-626.690653279047 17.9220281461771 -658.679259022484</t>
  </si>
  <si>
    <t>-640.275054826127 50.3311038089564 -530.610000837456</t>
  </si>
  <si>
    <t>-611.785266257685 202.492000883118 -511.237081638442</t>
  </si>
  <si>
    <t>-558.54482664782 236.587551771967 -236.316228373461</t>
  </si>
  <si>
    <t>-334.347926377601 180.003071837177 -214.351000221998</t>
  </si>
  <si>
    <t>-579.822447906285 124.704671181002 -97.9938702206528</t>
  </si>
  <si>
    <t>-610.640810864262 141.025600585825 316.115310760254</t>
  </si>
  <si>
    <t>-668.350916214648 170.855977546138 774.614656945545</t>
  </si>
  <si>
    <t>-518.105127997641 177.276413595552 831.788032635199</t>
  </si>
  <si>
    <t>-600.092684852792 -74.1200175827303 322.803833270197</t>
  </si>
  <si>
    <t>-656.852234221924 -106.443679510302 781.252610111651</t>
  </si>
  <si>
    <t>-502.793637199243 -123.574326691074 824.337535002296</t>
  </si>
  <si>
    <t>9763-20170724T115331.628802900.bin</t>
  </si>
  <si>
    <t>-583.348557786155 32.8583516919557 -93.3584842468844</t>
  </si>
  <si>
    <t>-605.217317759585 30.5373936760921 -201.86586562367</t>
  </si>
  <si>
    <t>-617.873185548622 27.8170252093078 -293.834803255828</t>
  </si>
  <si>
    <t>-627.940399547057 25.0943018398282 -377.077544948333</t>
  </si>
  <si>
    <t>-636.073856877636 22.0719077826157 -460.521293962776</t>
  </si>
  <si>
    <t>-645.841361169302 17.3213545051187 -582.697250900893</t>
  </si>
  <si>
    <t>-625.850629682624 18.4931526858829 -658.454732837376</t>
  </si>
  <si>
    <t>-639.809066240435 50.6890325463778 -530.443441405819</t>
  </si>
  <si>
    <t>-611.331670398418 202.800703638383 -510.723114779676</t>
  </si>
  <si>
    <t>-554.535536573669 236.411796332893 -236.454842491167</t>
  </si>
  <si>
    <t>-330.060710331098 180.239834263658 -216.347733949906</t>
  </si>
  <si>
    <t>-579.241918965286 124.616036616446 -97.861708749541</t>
  </si>
  <si>
    <t>-610.367546049863 140.982578121858 316.222762403627</t>
  </si>
  <si>
    <t>-668.353354721256 170.829735628598 774.663354153611</t>
  </si>
  <si>
    <t>-518.113830799602 177.316257726388 831.845697916629</t>
  </si>
  <si>
    <t>-599.59495777318 -74.1778510584782 322.884742954545</t>
  </si>
  <si>
    <t>-656.857636601051 -106.485502892883 781.25280425428</t>
  </si>
  <si>
    <t>-502.796449416971 -123.649407783292 824.31512156727</t>
  </si>
  <si>
    <t>9763-20170724T115331.665901400.bin</t>
  </si>
  <si>
    <t>-582.995464102088 32.9252845884614 -93.3118543398365</t>
  </si>
  <si>
    <t>-604.867688157446 30.6289117511762 -201.819103945649</t>
  </si>
  <si>
    <t>-617.522149731666 27.9380189011015 -293.789054641561</t>
  </si>
  <si>
    <t>-627.586357669182 25.2456886877173 -377.033132061883</t>
  </si>
  <si>
    <t>-635.715034575909 22.2573528486714 -460.478612639347</t>
  </si>
  <si>
    <t>-645.473522513006 17.5605850493271 -582.657297283797</t>
  </si>
  <si>
    <t>-625.37374791907 18.7619663942398 -658.385589647032</t>
  </si>
  <si>
    <t>-639.427650284402 50.9042296273856 -530.389813394737</t>
  </si>
  <si>
    <t>-610.844024111773 202.989047070301 -510.602533358688</t>
  </si>
  <si>
    <t>-552.619901740129 236.745545368645 -236.651741684003</t>
  </si>
  <si>
    <t>-328.124592319176 180.505467131649 -216.968021174848</t>
  </si>
  <si>
    <t>-578.855617100869 124.679804408265 -97.8110914333125</t>
  </si>
  <si>
    <t>-610.13706119329 140.98833404473 316.263929365109</t>
  </si>
  <si>
    <t>-668.343482526342 170.849020648314 774.679177951383</t>
  </si>
  <si>
    <t>-518.110796332987 177.346678450115 831.878405157747</t>
  </si>
  <si>
    <t>-599.361544125985 -74.1376519322148 322.915864245935</t>
  </si>
  <si>
    <t>-656.866901024399 -106.472818244528 781.245999080014</t>
  </si>
  <si>
    <t>-502.762775780539 -123.333866965519 824.274390778892</t>
  </si>
  <si>
    <t>9763-20170724T115331.726065300.bin</t>
  </si>
  <si>
    <t>-582.217712188231 33.1442356280127 -93.2223781092545</t>
  </si>
  <si>
    <t>-604.084324667115 30.8940147052019 -201.731744644996</t>
  </si>
  <si>
    <t>-616.714730612201 28.2186914809631 -293.705359616273</t>
  </si>
  <si>
    <t>-626.749350948261 25.5331596945653 -376.95332485079</t>
  </si>
  <si>
    <t>-634.840594578426 22.5427005742333 -460.402260866567</t>
  </si>
  <si>
    <t>-644.535866103359 17.8329795275342 -582.585526217251</t>
  </si>
  <si>
    <t>-624.30506511743 18.9674599260902 -658.279987238788</t>
  </si>
  <si>
    <t>-638.432780517411 51.1769499714478 -530.324936706114</t>
  </si>
  <si>
    <t>-609.454976710754 203.18069100068 -510.561058169285</t>
  </si>
  <si>
    <t>-548.731822889984 237.351405275258 -237.204733725204</t>
  </si>
  <si>
    <t>-324.280831909253 180.793467809518 -217.930908531494</t>
  </si>
  <si>
    <t>-577.870477807663 124.912621582782 -97.7164934940079</t>
  </si>
  <si>
    <t>-609.574625069412 141.073331720423 316.332187896253</t>
  </si>
  <si>
    <t>-668.326843699826 170.872010848907 774.690505422596</t>
  </si>
  <si>
    <t>-518.115018533411 177.40838717258 831.940028724239</t>
  </si>
  <si>
    <t>-598.959012085693 -74.0198974638292 322.979502607164</t>
  </si>
  <si>
    <t>-656.869578116341 -106.501764997904 781.247776727596</t>
  </si>
  <si>
    <t>-502.789824164539 -123.64282783015 824.252852312692</t>
  </si>
  <si>
    <t>9763-20170724T115331.765168800.bin</t>
  </si>
  <si>
    <t>-581.807631884847 33.2797319863798 -93.1740983607724</t>
  </si>
  <si>
    <t>-603.714404468608 31.066958307028 -201.676072537261</t>
  </si>
  <si>
    <t>-616.347842308978 28.4053875886975 -293.649795114443</t>
  </si>
  <si>
    <t>-626.372629834705 25.7262036932266 -376.899114165845</t>
  </si>
  <si>
    <t>-634.441661462171 22.7347212862599 -460.350145336095</t>
  </si>
  <si>
    <t>-644.090750785087 18.0154649356125 -582.536624346928</t>
  </si>
  <si>
    <t>-623.781579031837 19.0782313099746 -658.211180161594</t>
  </si>
  <si>
    <t>-637.960943872664 51.3605847689573 -530.27992895209</t>
  </si>
  <si>
    <t>-608.651939447444 203.310407724605 -510.541824133585</t>
  </si>
  <si>
    <t>-546.593702432036 237.356589752562 -237.470051942873</t>
  </si>
  <si>
    <t>-322.099949952514 180.891358266291 -218.42333125781</t>
  </si>
  <si>
    <t>-577.354568922785 125.061429581082 -97.6581857915817</t>
  </si>
  <si>
    <t>-609.334962418138 141.127937325913 316.37288017422</t>
  </si>
  <si>
    <t>-668.326532265422 170.856467117395 774.696593602573</t>
  </si>
  <si>
    <t>-518.124006744043 177.440051161192 831.965059851081</t>
  </si>
  <si>
    <t>-598.739398033696 -73.9288481796686 323.015546149997</t>
  </si>
  <si>
    <t>-656.865139115431 -106.50682434026 781.253480005758</t>
  </si>
  <si>
    <t>-502.754351211157 -123.396006210206 824.24708024079</t>
  </si>
  <si>
    <t>9763-20170724T115331.831380400.bin</t>
  </si>
  <si>
    <t>-581.139270080593 33.5755740394268 -93.1383303658276</t>
  </si>
  <si>
    <t>-603.097027624488 31.3939664509894 -201.630731153369</t>
  </si>
  <si>
    <t>-615.757073846502 28.7343895598067 -293.600762474832</t>
  </si>
  <si>
    <t>-625.799403794174 26.0484891600931 -376.847838411959</t>
  </si>
  <si>
    <t>-633.879511543196 23.0400846413729 -460.2972141809</t>
  </si>
  <si>
    <t>-643.537850928439 18.2841573159878 -582.481497303002</t>
  </si>
  <si>
    <t>-623.03623592264 19.1310187517392 -658.106801665084</t>
  </si>
  <si>
    <t>-637.30228814767 51.6383187926924 -530.243013202282</t>
  </si>
  <si>
    <t>-607.425202270392 203.517727437424 -510.859648681479</t>
  </si>
  <si>
    <t>-541.776122380244 236.738681610052 -238.526835296164</t>
  </si>
  <si>
    <t>-316.797937437785 181.87861894895 -220.5346920233</t>
  </si>
  <si>
    <t>-576.481664500733 125.44139937407 -97.609381795225</t>
  </si>
  <si>
    <t>-608.797329741651 141.295745474377 316.403818189965</t>
  </si>
  <si>
    <t>-668.305499820359 170.924695576836 774.691146177022</t>
  </si>
  <si>
    <t>-518.116389531949 177.408797732616 832.006218159808</t>
  </si>
  <si>
    <t>-598.34623865276 -73.7273466956517 323.082599174504</t>
  </si>
  <si>
    <t>-656.857187899295 -106.535116826539 781.254389213507</t>
  </si>
  <si>
    <t>-502.806032195032 -123.956142919881 824.249372345919</t>
  </si>
  <si>
    <t>9763-20170724T115331.865470700.bin</t>
  </si>
  <si>
    <t>-580.91869874346 33.7137738109232 -93.1261970158464</t>
  </si>
  <si>
    <t>-602.892735487514 31.5445894527888 -201.615522079592</t>
  </si>
  <si>
    <t>-615.624513827728 28.8838567833782 -293.575565637326</t>
  </si>
  <si>
    <t>-625.755102565442 26.1927904530826 -376.811856250041</t>
  </si>
  <si>
    <t>-633.947075204636 23.1746123083769 -460.249998079573</t>
  </si>
  <si>
    <t>-643.795040308984 18.3990306108744 -582.418500540368</t>
  </si>
  <si>
    <t>-623.231155036981 19.1695031769334 -658.027621502611</t>
  </si>
  <si>
    <t>-637.446746835372 51.759435356066 -530.1975478688</t>
  </si>
  <si>
    <t>-607.363025907033 203.651404459521 -511.161129576667</t>
  </si>
  <si>
    <t>-539.066677420136 236.190706880964 -239.397667393639</t>
  </si>
  <si>
    <t>-313.544357575595 183.285459322393 -222.390328118243</t>
  </si>
  <si>
    <t>-576.19874533844 125.634982283423 -97.592226376138</t>
  </si>
  <si>
    <t>-608.585346615752 141.402574915867 316.418727988487</t>
  </si>
  <si>
    <t>-668.302600770601 170.949227836328 774.688811817485</t>
  </si>
  <si>
    <t>-518.121437412165 177.45744081938 832.021943969923</t>
  </si>
  <si>
    <t>-598.148057528096 -73.6136814020065 323.103750157127</t>
  </si>
  <si>
    <t>-656.84122861861 -106.515223649496 781.258767709304</t>
  </si>
  <si>
    <t>-502.767055380795 -123.730230494023 824.254320224228</t>
  </si>
  <si>
    <t>9763-20170724T115331.931665100.bin</t>
  </si>
  <si>
    <t>-580.880323159936 33.8206045202141 -93.0864661627048</t>
  </si>
  <si>
    <t>-602.922255938932 31.6766264957862 -201.562487993439</t>
  </si>
  <si>
    <t>-615.778988222889 28.9843736061639 -293.504322488691</t>
  </si>
  <si>
    <t>-626.049749533189 26.2447806722078 -376.721701461319</t>
  </si>
  <si>
    <t>-634.409340727546 23.1584205347019 -460.140714600326</t>
  </si>
  <si>
    <t>-644.532447552538 18.2619793504778 -582.281990742017</t>
  </si>
  <si>
    <t>-623.783003985501 18.9277318332727 -657.841279412741</t>
  </si>
  <si>
    <t>-638.068098856392 51.6741102436515 -530.108386395487</t>
  </si>
  <si>
    <t>-607.800574955401 203.589977795962 -511.579794618927</t>
  </si>
  <si>
    <t>-530.822851047886 235.392743855614 -242.058798529642</t>
  </si>
  <si>
    <t>-304.071780147468 186.959314381048 -228.395544578769</t>
  </si>
  <si>
    <t>-576.125556044934 125.871742753506 -97.5709347055508</t>
  </si>
  <si>
    <t>-608.399155534239 141.505496351936 316.454000141665</t>
  </si>
  <si>
    <t>-668.299550540352 171.005894182578 774.703686523379</t>
  </si>
  <si>
    <t>-518.12491205433 177.504944779289 832.054906431742</t>
  </si>
  <si>
    <t>-597.801347734903 -73.4053069898041 323.153748016405</t>
  </si>
  <si>
    <t>-656.813232299128 -106.512055271686 781.261507353695</t>
  </si>
  <si>
    <t>-502.770997076875 -123.941038612452 824.285262291295</t>
  </si>
  <si>
    <t>9763-20170724T115331.960743300.bin</t>
  </si>
  <si>
    <t>-581.104432454448 33.7920513991514 -93.0808705318458</t>
  </si>
  <si>
    <t>-603.164416306646 31.6498328514283 -201.553250037092</t>
  </si>
  <si>
    <t>-616.065977641021 28.9273776696289 -293.487893543336</t>
  </si>
  <si>
    <t>-626.389053757342 26.1482198846472 -376.6975913954</t>
  </si>
  <si>
    <t>-634.812903775575 23.0104349711746 -460.108216533342</t>
  </si>
  <si>
    <t>-645.042958767015 18.0265379482819 -582.236900687486</t>
  </si>
  <si>
    <t>-624.210792643454 18.6802551677497 -657.773616763236</t>
  </si>
  <si>
    <t>-638.583259056288 51.4795181907634 -530.088933891852</t>
  </si>
  <si>
    <t>-608.506514577634 203.448544992112 -511.698169862356</t>
  </si>
  <si>
    <t>-525.374408772091 234.909828442812 -243.971020036129</t>
  </si>
  <si>
    <t>-298.00924679059 188.843677706127 -232.502581210585</t>
  </si>
  <si>
    <t>-576.401635657012 125.918403998008 -97.5718348529866</t>
  </si>
  <si>
    <t>-608.464572878817 141.553728025923 316.469342649256</t>
  </si>
  <si>
    <t>-668.297450025177 171.043337650288 774.725333108247</t>
  </si>
  <si>
    <t>-518.122871937503 177.495478394203 832.082007185886</t>
  </si>
  <si>
    <t>-597.703016161577 -73.353085755231 323.168097492894</t>
  </si>
  <si>
    <t>-656.789957099353 -106.544507435855 781.26182992395</t>
  </si>
  <si>
    <t>-502.772446653218 -124.095760033772 824.324312571407</t>
  </si>
  <si>
    <t>9763-20170724T115332.028530400.bin</t>
  </si>
  <si>
    <t>-581.731687353622 33.6927791063965 -93.0988039169354</t>
  </si>
  <si>
    <t>-603.70091216632 31.5341029462422 -201.589347827305</t>
  </si>
  <si>
    <t>-616.704904732252 28.7434966140938 -293.507507746033</t>
  </si>
  <si>
    <t>-627.192918905366 25.8798532848482 -376.693740586936</t>
  </si>
  <si>
    <t>-635.854529021784 22.635946777548 -460.075873048935</t>
  </si>
  <si>
    <t>-646.512166000644 17.4734740058284 -582.160576407086</t>
  </si>
  <si>
    <t>-625.543502792809 18.0517873798415 -657.660145834871</t>
  </si>
  <si>
    <t>-639.937662452485 51.0070604201078 -530.078702046586</t>
  </si>
  <si>
    <t>-610.407443119421 203.138154905171 -512.163232675911</t>
  </si>
  <si>
    <t>-514.684500870058 233.462133005297 -248.541932355034</t>
  </si>
  <si>
    <t>-286.21037296573 192.261085584174 -241.430377879884</t>
  </si>
  <si>
    <t>-577.209031204 125.876709049634 -97.5649637385565</t>
  </si>
  <si>
    <t>-608.940951680801 141.631068799569 316.497173830072</t>
  </si>
  <si>
    <t>-668.316197705768 171.08411804689 774.812627095488</t>
  </si>
  <si>
    <t>-518.137897621744 177.557660522214 832.157150261389</t>
  </si>
  <si>
    <t>-597.711872735644 -73.3187634504766 323.171784330369</t>
  </si>
  <si>
    <t>-656.714832343898 -106.560595802599 781.271815747264</t>
  </si>
  <si>
    <t>-502.717872102457 -124.012177878471 824.448273577409</t>
  </si>
  <si>
    <t>9763-20170724T115332.059643900.bin</t>
  </si>
  <si>
    <t>-582.001902607378 33.6169303534325 -93.0977124179062</t>
  </si>
  <si>
    <t>-603.895928472631 31.4494285864698 -201.603192082084</t>
  </si>
  <si>
    <t>-616.951412615375 28.6418143110568 -293.513517222824</t>
  </si>
  <si>
    <t>-627.532540798553 25.757944023645 -376.687205601412</t>
  </si>
  <si>
    <t>-636.334069408837 22.4892627299582 -460.0537031212</t>
  </si>
  <si>
    <t>-647.247976881221 17.2850705089206 -582.114138093996</t>
  </si>
  <si>
    <t>-626.236074289889 17.815628419374 -657.602078843218</t>
  </si>
  <si>
    <t>-640.570090062381 50.8368240068228 -530.057212677876</t>
  </si>
  <si>
    <t>-611.270579632213 203.048258314021 -512.463210725841</t>
  </si>
  <si>
    <t>-509.930570191658 233.052066137038 -250.912935884194</t>
  </si>
  <si>
    <t>-281.119673222829 193.480755043013 -245.601224615509</t>
  </si>
  <si>
    <t>-577.577722477392 125.771435209599 -97.5500606005878</t>
  </si>
  <si>
    <t>-609.217090174121 141.671601657986 316.513652890921</t>
  </si>
  <si>
    <t>-668.323354955137 171.110294770241 774.867555675677</t>
  </si>
  <si>
    <t>-518.145266876722 177.603450363286 832.21034172968</t>
  </si>
  <si>
    <t>-597.682535026083 -73.3284146448495 323.165130109417</t>
  </si>
  <si>
    <t>-656.66118384127 -106.595112818983 781.276388832815</t>
  </si>
  <si>
    <t>-502.692643657757 -124.086804190533 824.537867711182</t>
  </si>
  <si>
    <t>9763-20170724T115332.129818600.bin</t>
  </si>
  <si>
    <t>-582.446234732833 33.6043205461974 -93.0372823963189</t>
  </si>
  <si>
    <t>-604.174449869241 31.4405994493827 -201.576261134602</t>
  </si>
  <si>
    <t>-617.312598575613 28.6043296372707 -293.473956820068</t>
  </si>
  <si>
    <t>-628.058565583712 25.6807440568193 -376.624910051988</t>
  </si>
  <si>
    <t>-637.115715241711 22.3582332451394 -459.961978999828</t>
  </si>
  <si>
    <t>-648.50339426275 17.0591216601506 -581.975073819831</t>
  </si>
  <si>
    <t>-627.52854453153 17.4744133507634 -657.474056411402</t>
  </si>
  <si>
    <t>-641.589252461691 50.6491428117563 -529.973522414048</t>
  </si>
  <si>
    <t>-612.86954209087 203.077744929775 -513.344088707725</t>
  </si>
  <si>
    <t>-503.427008422669 232.669328844789 -255.031720846007</t>
  </si>
  <si>
    <t>-274.235737523337 195.06599541913 -252.608493296277</t>
  </si>
  <si>
    <t>-578.18781401821 125.794774450643 -97.4960789776568</t>
  </si>
  <si>
    <t>-609.50224978763 141.800225394425 316.588287628499</t>
  </si>
  <si>
    <t>-668.311005204138 171.161911050672 774.984715799896</t>
  </si>
  <si>
    <t>-518.137994912057 177.650046850249 832.341495663766</t>
  </si>
  <si>
    <t>-597.734745770395 -73.2283738620533 323.185771787712</t>
  </si>
  <si>
    <t>-656.523977016889 -106.682126800352 781.300598544558</t>
  </si>
  <si>
    <t>-502.662751335183 -124.48660639279 824.815496347292</t>
  </si>
  <si>
    <t>9763-20170724T115332.165911100.bin</t>
  </si>
  <si>
    <t>-582.532992867961 33.5920364989827 -93.0060325766206</t>
  </si>
  <si>
    <t>-604.177383197611 31.4340708454133 -201.561826244784</t>
  </si>
  <si>
    <t>-617.330762347506 28.5926988724609 -293.457154649595</t>
  </si>
  <si>
    <t>-628.125269702235 25.6608635003658 -376.601689663049</t>
  </si>
  <si>
    <t>-637.266030274123 22.3256612365626 -459.929173791797</t>
  </si>
  <si>
    <t>-648.814435107004 17.0034808412765 -581.925948256984</t>
  </si>
  <si>
    <t>-627.879398501579 17.3535889695215 -657.436365781545</t>
  </si>
  <si>
    <t>-641.798969548009 50.6011624548182 -529.94303046451</t>
  </si>
  <si>
    <t>-613.185352751069 203.097290408786 -513.675026988244</t>
  </si>
  <si>
    <t>-500.867382564459 232.636665479444 -256.593867907361</t>
  </si>
  <si>
    <t>-271.505390173451 196.039013307872 -255.102364915057</t>
  </si>
  <si>
    <t>-578.25961451142 125.763994357718 -97.4449847568565</t>
  </si>
  <si>
    <t>-609.558194104692 141.845060616611 316.637653854997</t>
  </si>
  <si>
    <t>-668.305699637313 171.181536057722 775.041209193958</t>
  </si>
  <si>
    <t>-518.129543809065 177.618358719175 832.395558012964</t>
  </si>
  <si>
    <t>-597.898436420171 -73.2787774229703 323.203840492127</t>
  </si>
  <si>
    <t>-656.453457576095 -106.731752647517 781.325133757798</t>
  </si>
  <si>
    <t>-502.622259856383 -124.492767789264 824.963785444668</t>
  </si>
  <si>
    <t>9763-20170724T115332.221024100.bin</t>
  </si>
  <si>
    <t>-582.453526795454 33.4832562751421 -92.9550820284958</t>
  </si>
  <si>
    <t>-603.995353783416 31.3424449417466 -201.531617107496</t>
  </si>
  <si>
    <t>-617.143274851266 28.4854444458576 -293.427243429142</t>
  </si>
  <si>
    <t>-627.965692712417 25.5280007665431 -376.567245677281</t>
  </si>
  <si>
    <t>-637.167519900416 22.1546918907341 -459.88641193089</t>
  </si>
  <si>
    <t>-648.841880723825 16.7624641718385 -581.868155947444</t>
  </si>
  <si>
    <t>-627.937859236548 16.9543326702815 -657.387677581881</t>
  </si>
  <si>
    <t>-641.712159727719 50.3859309339889 -529.917472937291</t>
  </si>
  <si>
    <t>-613.022986537599 202.902543297623 -513.935825584626</t>
  </si>
  <si>
    <t>-497.171293662135 232.592419710311 -258.445059158943</t>
  </si>
  <si>
    <t>-267.585835431014 197.397751842766 -257.822414460109</t>
  </si>
  <si>
    <t>-578.131890788836 125.661129843237 -97.385723829912</t>
  </si>
  <si>
    <t>-609.513398510731 141.828854072167 316.687250494982</t>
  </si>
  <si>
    <t>-668.293413153964 171.195696646911 775.083999402059</t>
  </si>
  <si>
    <t>-518.112058269706 177.551237035486 832.433778321628</t>
  </si>
  <si>
    <t>-598.40110133321 -73.5172698463437 323.194726787352</t>
  </si>
  <si>
    <t>-656.353438054749 -106.82095271878 781.373811401328</t>
  </si>
  <si>
    <t>-502.601013607609 -124.786572408789 825.205998376392</t>
  </si>
  <si>
    <t>9763-20170724T115332.264138600.bin</t>
  </si>
  <si>
    <t>-582.170977196359 33.3268582795336 -92.9495908720598</t>
  </si>
  <si>
    <t>-603.618815259923 31.204774498832 -201.5450788921</t>
  </si>
  <si>
    <t>-616.813306029549 28.3170817968398 -293.433074898712</t>
  </si>
  <si>
    <t>-627.728816982079 25.3143607604391 -376.55931097421</t>
  </si>
  <si>
    <t>-637.075259875291 21.8765110368181 -459.859752477608</t>
  </si>
  <si>
    <t>-649.018000693175 16.368314118464 -581.810349488658</t>
  </si>
  <si>
    <t>-628.192315482316 16.3088780093551 -657.351666430728</t>
  </si>
  <si>
    <t>-641.669546138692 50.0337337678573 -529.917450559371</t>
  </si>
  <si>
    <t>-612.646318619777 202.496908061389 -514.0371963149</t>
  </si>
  <si>
    <t>-493.876613424477 232.474774053154 -259.923785541162</t>
  </si>
  <si>
    <t>-264.091992637767 198.599266215811 -259.823652345681</t>
  </si>
  <si>
    <t>-577.712454976874 125.488055553427 -97.3721462335848</t>
  </si>
  <si>
    <t>-609.389030340799 141.705570494549 316.676384256589</t>
  </si>
  <si>
    <t>-668.296250455321 171.130372261617 775.081974367678</t>
  </si>
  <si>
    <t>-518.117396008425 177.574908109301 832.428337454122</t>
  </si>
  <si>
    <t>-598.952132668615 -73.786662291463 323.171990640485</t>
  </si>
  <si>
    <t>-656.279352013265 -106.900560477778 781.423367236109</t>
  </si>
  <si>
    <t>-502.575993994259 -124.932904668789 825.39984120911</t>
  </si>
  <si>
    <t>9763-20170724T115332.331069600.bin</t>
  </si>
  <si>
    <t>-581.781686989899 33.1233058636435 -92.9917021105925</t>
  </si>
  <si>
    <t>-603.133479432312 31.0162765785024 -201.606430723227</t>
  </si>
  <si>
    <t>-616.37002121199 28.049345459855 -293.485891370189</t>
  </si>
  <si>
    <t>-627.373687064585 24.9397198480244 -376.596540644744</t>
  </si>
  <si>
    <t>-636.859301258988 21.3566280284504 -459.875011369553</t>
  </si>
  <si>
    <t>-649.06204261982 15.5929317910477 -581.788171225842</t>
  </si>
  <si>
    <t>-628.427068585529 15.1326144327368 -657.380481851261</t>
  </si>
  <si>
    <t>-641.428165070852 49.3536738033056 -529.998475494504</t>
  </si>
  <si>
    <t>-612.076053878127 201.766187598535 -514.223900011105</t>
  </si>
  <si>
    <t>-489.71264269834 232.14822963022 -261.869472296856</t>
  </si>
  <si>
    <t>-259.770929866543 199.362668053519 -261.196883904121</t>
  </si>
  <si>
    <t>-577.074711482984 125.211046588142 -97.4002528310258</t>
  </si>
  <si>
    <t>-609.073499032735 141.531670564159 316.619448725959</t>
  </si>
  <si>
    <t>-668.271089320013 171.142978774328 775.009700896961</t>
  </si>
  <si>
    <t>-518.101604162011 177.547227017903 832.385117638235</t>
  </si>
  <si>
    <t>-599.249482856782 -74.0543162603281 323.139797990539</t>
  </si>
  <si>
    <t>-656.284023127239 -106.90818028076 781.453956309436</t>
  </si>
  <si>
    <t>-502.544041519809 -124.657742237882 825.417531796468</t>
  </si>
  <si>
    <t>9763-20170724T115332.360146400.bin</t>
  </si>
  <si>
    <t>-581.659379904346 33.0363901053047 -93.0179237061735</t>
  </si>
  <si>
    <t>-602.992587770088 30.9265527711732 -201.636287688268</t>
  </si>
  <si>
    <t>-616.183518500935 27.8883341707342 -293.519878154208</t>
  </si>
  <si>
    <t>-627.134360409651 24.6863405936667 -376.6340281196</t>
  </si>
  <si>
    <t>-636.55590863097 20.9811261886025 -459.914566353271</t>
  </si>
  <si>
    <t>-648.652903039644 15.0057754661748 -581.827964853562</t>
  </si>
  <si>
    <t>-628.102972145578 14.3820821436027 -657.442272428042</t>
  </si>
  <si>
    <t>-640.992533522137 48.8507654721489 -530.097088286193</t>
  </si>
  <si>
    <t>-611.285833375849 201.182451555795 -514.249724467466</t>
  </si>
  <si>
    <t>-487.280181237951 231.448843689856 -262.684410579694</t>
  </si>
  <si>
    <t>-257.324220036847 198.796498327401 -261.068790361288</t>
  </si>
  <si>
    <t>-576.955547231418 125.117812888024 -97.4224227573817</t>
  </si>
  <si>
    <t>-608.965021745791 141.434180406397 316.596595417134</t>
  </si>
  <si>
    <t>-668.257203319861 171.142255370983 774.960162337626</t>
  </si>
  <si>
    <t>-518.0957617101 177.499233163177 832.361834073356</t>
  </si>
  <si>
    <t>-599.2393745425 -74.1571559722288 323.1135482057</t>
  </si>
  <si>
    <t>-656.3006404536 -106.936235415403 781.450976052424</t>
  </si>
  <si>
    <t>-502.570892879025 -124.822132443423 825.395034415946</t>
  </si>
  <si>
    <t>9763-20170724T115332.429341100.bin</t>
  </si>
  <si>
    <t>-581.44255042085 32.7799019570232 -93.0097086938338</t>
  </si>
  <si>
    <t>-602.697608227449 30.694466694117 -201.643861619208</t>
  </si>
  <si>
    <t>-615.801310244357 27.6214616445754 -293.538692264363</t>
  </si>
  <si>
    <t>-626.665617725086 24.3648347861392 -376.662107470046</t>
  </si>
  <si>
    <t>-635.993559528845 20.5789140086729 -459.949566656653</t>
  </si>
  <si>
    <t>-647.946569676933 14.4554004203144 -581.869877493607</t>
  </si>
  <si>
    <t>-627.500536603745 13.7173973029808 -657.511241704172</t>
  </si>
  <si>
    <t>-640.192323587644 48.3502757024055 -530.185773696845</t>
  </si>
  <si>
    <t>-609.335516286381 200.398743766847 -514.013081793812</t>
  </si>
  <si>
    <t>-483.115530590524 231.107127651769 -263.605261703289</t>
  </si>
  <si>
    <t>-253.276602719178 197.715781763232 -260.846743646932</t>
  </si>
  <si>
    <t>-576.702080049926 124.736730531931 -97.3904537289997</t>
  </si>
  <si>
    <t>-608.982666300686 141.254967058661 316.599509874933</t>
  </si>
  <si>
    <t>-668.252027132802 171.126271096581 774.917883182194</t>
  </si>
  <si>
    <t>-518.091934895383 177.489224754651 832.322491622441</t>
  </si>
  <si>
    <t>-599.283370732933 -74.3864457424663 323.093375521522</t>
  </si>
  <si>
    <t>-656.334314930334 -106.948973881594 781.439772128243</t>
  </si>
  <si>
    <t>-502.591292487548 -124.860371167992 825.327018369008</t>
  </si>
  <si>
    <t>9763-20170724T115332.461426100.bin</t>
  </si>
  <si>
    <t>-581.382459491343 32.6577684531137 -93.0091934151035</t>
  </si>
  <si>
    <t>-602.601789932104 30.5901904660711 -201.650651011956</t>
  </si>
  <si>
    <t>-615.701044921029 27.5458669571049 -293.547192495056</t>
  </si>
  <si>
    <t>-626.571880447061 24.3212085437785 -376.670915652589</t>
  </si>
  <si>
    <t>-635.917048368897 20.5720897497263 -459.958060427729</t>
  </si>
  <si>
    <t>-647.907274227554 14.5070809919648 -581.87764381937</t>
  </si>
  <si>
    <t>-627.505163725373 13.7532312235032 -657.530770704578</t>
  </si>
  <si>
    <t>-640.059450220496 48.3704982017136 -530.187000500228</t>
  </si>
  <si>
    <t>-608.477455958735 200.261253655877 -513.868532307177</t>
  </si>
  <si>
    <t>-481.770558616972 231.294216924663 -263.74675095116</t>
  </si>
  <si>
    <t>-252.011594141064 197.388663008916 -260.622348078745</t>
  </si>
  <si>
    <t>-576.533299138567 124.529813657066 -97.3897727905137</t>
  </si>
  <si>
    <t>-608.989962455204 141.130481185221 316.583132628759</t>
  </si>
  <si>
    <t>-668.265652338869 171.062867008484 774.897830506113</t>
  </si>
  <si>
    <t>-518.106132344992 177.558847619674 832.28889097091</t>
  </si>
  <si>
    <t>-599.375030721207 -74.5196254440864 323.081624566151</t>
  </si>
  <si>
    <t>-656.353222413687 -106.972060786123 781.432054271242</t>
  </si>
  <si>
    <t>-502.619360738995 -125.048426783027 825.28376716806</t>
  </si>
  <si>
    <t>9763-20170724T115332.530658600.bin</t>
  </si>
  <si>
    <t>-581.438805874949 32.6214404242251 -93.0672449932812</t>
  </si>
  <si>
    <t>-602.532535898677 30.6198270556788 -201.734311797719</t>
  </si>
  <si>
    <t>-615.545164263945 27.6402408447559 -293.645235102606</t>
  </si>
  <si>
    <t>-626.345171574644 24.4812470053612 -376.780855784703</t>
  </si>
  <si>
    <t>-635.626982833366 20.8033676838695 -460.078184750363</t>
  </si>
  <si>
    <t>-647.532647562878 14.8489313551768 -582.011608371858</t>
  </si>
  <si>
    <t>-626.996958987365 14.0652141936287 -657.628231713373</t>
  </si>
  <si>
    <t>-639.628676581469 48.6572687562325 -530.293236318645</t>
  </si>
  <si>
    <t>-606.815507276895 200.297209824105 -513.941777876844</t>
  </si>
  <si>
    <t>-480.092176272653 230.734154261681 -263.755193257534</t>
  </si>
  <si>
    <t>-250.415928892807 196.395753361373 -259.485447039041</t>
  </si>
  <si>
    <t>-576.215419749985 124.580747856764 -97.4503241672907</t>
  </si>
  <si>
    <t>-608.733799220172 141.093245343061 316.521208768571</t>
  </si>
  <si>
    <t>-668.257998822804 171.124573227315 774.836577372984</t>
  </si>
  <si>
    <t>-518.09344147974 177.488221606668 832.229453348614</t>
  </si>
  <si>
    <t>-599.498872127488 -74.5678551386559 323.027810332268</t>
  </si>
  <si>
    <t>-656.345277238278 -106.954163587842 781.428208844851</t>
  </si>
  <si>
    <t>-502.573904574814 -124.789322866883 825.247118037749</t>
  </si>
  <si>
    <t>9763-20170724T115332.563716100.bin</t>
  </si>
  <si>
    <t>-581.432911056832 32.5558784955019 -93.0715929760386</t>
  </si>
  <si>
    <t>-602.420008577571 30.5786039935933 -201.759963130832</t>
  </si>
  <si>
    <t>-615.372834844574 27.6253647048784 -293.680217038259</t>
  </si>
  <si>
    <t>-626.130708181519 24.4942154774851 -376.822143893581</t>
  </si>
  <si>
    <t>-635.382321598535 20.8477563964213 -460.124227431824</t>
  </si>
  <si>
    <t>-647.256915190559 14.9431811869943 -582.063008504699</t>
  </si>
  <si>
    <t>-626.636129901307 14.1207826495875 -657.65612517633</t>
  </si>
  <si>
    <t>-639.333497660634 48.7272449106229 -530.332016547549</t>
  </si>
  <si>
    <t>-606.218404941004 200.30710854296 -514.076756601568</t>
  </si>
  <si>
    <t>-479.455014237952 230.540735010689 -263.885753059258</t>
  </si>
  <si>
    <t>-249.765217301936 196.356713441398 -259.132990573926</t>
  </si>
  <si>
    <t>-576.02476019437 124.572784851021 -97.453187545837</t>
  </si>
  <si>
    <t>-608.725608587284 141.074076951319 316.504529510346</t>
  </si>
  <si>
    <t>-668.269755090686 171.114541283353 774.799837997032</t>
  </si>
  <si>
    <t>-518.10792328478 177.529086716925 832.194065686864</t>
  </si>
  <si>
    <t>-599.537190383428 -74.7047225762224 323.022044013965</t>
  </si>
  <si>
    <t>-656.3376818152 -106.948877693545 781.43960488345</t>
  </si>
  <si>
    <t>-502.553814814457 -124.692319983725 825.251848500815</t>
  </si>
  <si>
    <t>9763-20170724T115332.632551600.bin</t>
  </si>
  <si>
    <t>-580.955392786491 32.5450046459935 -93.0605835227126</t>
  </si>
  <si>
    <t>-601.818609508477 30.5695766157421 -201.772693169687</t>
  </si>
  <si>
    <t>-614.702510983927 27.6203641155339 -293.702784652427</t>
  </si>
  <si>
    <t>-625.412303533527 24.4954334720435 -376.851186262974</t>
  </si>
  <si>
    <t>-634.630216705337 20.8565827162861 -460.157565455097</t>
  </si>
  <si>
    <t>-646.471236996876 14.9652729668351 -582.100164943427</t>
  </si>
  <si>
    <t>-625.806051060742 13.9999847432955 -657.679371077743</t>
  </si>
  <si>
    <t>-638.520052698291 48.7398110505678 -530.367222698597</t>
  </si>
  <si>
    <t>-605.826294899345 200.46105329218 -514.478720135926</t>
  </si>
  <si>
    <t>-478.592705501751 230.22539883102 -264.470097361401</t>
  </si>
  <si>
    <t>-248.87433903171 196.29403757184 -259.305541967752</t>
  </si>
  <si>
    <t>-575.352136911683 124.561600324912 -97.4582737288271</t>
  </si>
  <si>
    <t>-608.594075744108 141.107136611521 316.454530244687</t>
  </si>
  <si>
    <t>-668.279108150583 171.165932421058 774.718759404855</t>
  </si>
  <si>
    <t>-518.115552077684 177.501418876553 832.117248926531</t>
  </si>
  <si>
    <t>-599.465914599342 -74.8883769386462 323.010841304303</t>
  </si>
  <si>
    <t>-656.323000415229 -106.978029872259 781.447271871271</t>
  </si>
  <si>
    <t>-502.595171831193 -125.188413043524 825.264560529438</t>
  </si>
  <si>
    <t>9763-20170724T115332.660595600.bin</t>
  </si>
  <si>
    <t>-580.655540560557 32.6217547054939 -93.0662758674697</t>
  </si>
  <si>
    <t>-601.507232521206 30.6232552317113 -201.780118801308</t>
  </si>
  <si>
    <t>-614.3793218632 27.6468464760005 -293.710936557957</t>
  </si>
  <si>
    <t>-625.077838684224 24.4934830072748 -376.859893330543</t>
  </si>
  <si>
    <t>-634.283784241926 20.8225889316993 -460.165908452654</t>
  </si>
  <si>
    <t>-646.106728988618 14.8799965719932 -582.107887623697</t>
  </si>
  <si>
    <t>-625.468840431579 13.8293259071195 -657.693463495505</t>
  </si>
  <si>
    <t>-638.156435371275 48.6757160902343 -530.388626906949</t>
  </si>
  <si>
    <t>-605.713831325747 200.462641637452 -514.669259296537</t>
  </si>
  <si>
    <t>-478.263796341458 230.131291975515 -264.759576485107</t>
  </si>
  <si>
    <t>-248.573981376496 196.00430973159 -259.614539391391</t>
  </si>
  <si>
    <t>-575.104621461201 124.674370450362 -97.4837874232393</t>
  </si>
  <si>
    <t>-608.371098046373 141.137920876642 316.43022597016</t>
  </si>
  <si>
    <t>-668.277207115095 171.16761457992 774.66599946958</t>
  </si>
  <si>
    <t>-518.122060706919 177.520289878703 832.084643391509</t>
  </si>
  <si>
    <t>-599.23369429644 -74.8645132561446 323.023464998671</t>
  </si>
  <si>
    <t>-656.311192950816 -106.987832950836 781.444983342662</t>
  </si>
  <si>
    <t>-502.581070433177 -125.172567272789 825.264948590968</t>
  </si>
  <si>
    <t>9763-20170724T115332.729782900.bin</t>
  </si>
  <si>
    <t>-580.041765145549 32.6440808862935 -93.0684132941886</t>
  </si>
  <si>
    <t>-600.865181104419 30.5829688365486 -201.786541906307</t>
  </si>
  <si>
    <t>-613.703445712445 27.5154010186604 -293.719126355883</t>
  </si>
  <si>
    <t>-624.368075878066 24.2614871163646 -376.86840090941</t>
  </si>
  <si>
    <t>-633.537005544487 20.4719776668635 -460.173302520253</t>
  </si>
  <si>
    <t>-645.302766874999 14.3355203143919 -582.111203156789</t>
  </si>
  <si>
    <t>-624.707599138217 13.1084153376858 -657.705885208039</t>
  </si>
  <si>
    <t>-637.380786258299 48.2137704105819 -530.441473787157</t>
  </si>
  <si>
    <t>-605.477644120384 200.155201059253 -515.164474110379</t>
  </si>
  <si>
    <t>-477.479122202946 230.153157656762 -265.574619759017</t>
  </si>
  <si>
    <t>-247.751341225485 196.300094897417 -260.315903836238</t>
  </si>
  <si>
    <t>-574.689695581056 124.682425853651 -97.4888303001462</t>
  </si>
  <si>
    <t>-608.063142830655 141.115268152811 316.417880084573</t>
  </si>
  <si>
    <t>-668.266695000118 171.164549490707 774.586365585743</t>
  </si>
  <si>
    <t>-518.132001544637 177.512017721321 832.059000104667</t>
  </si>
  <si>
    <t>-598.761401120313 -74.9410000885246 323.062527736512</t>
  </si>
  <si>
    <t>-656.281448930872 -107.000378697009 781.43910340092</t>
  </si>
  <si>
    <t>-502.559158229116 -125.206867750947 825.27747511647</t>
  </si>
  <si>
    <t>9763-20170724T115332.761869300.bin</t>
  </si>
  <si>
    <t>-579.794244070612 32.6148473363053 -93.0503240515475</t>
  </si>
  <si>
    <t>-600.596005492346 30.517556474997 -201.771869375881</t>
  </si>
  <si>
    <t>-613.409425569212 27.3984073438544 -293.706262002185</t>
  </si>
  <si>
    <t>-624.049249293815 24.0879824114322 -376.856612150421</t>
  </si>
  <si>
    <t>-633.191237958033 20.2319527949937 -460.161319967297</t>
  </si>
  <si>
    <t>-644.915447448593 13.9868910066446 -582.097654710812</t>
  </si>
  <si>
    <t>-624.326194243329 12.6684428508788 -657.692343828417</t>
  </si>
  <si>
    <t>-637.01976900754 47.9119547722137 -530.454784595549</t>
  </si>
  <si>
    <t>-605.434770257824 199.945121238581 -515.393232281945</t>
  </si>
  <si>
    <t>-476.918878864926 230.005947173006 -266.07688332935</t>
  </si>
  <si>
    <t>-247.162837928836 196.333528917813 -260.895040788239</t>
  </si>
  <si>
    <t>-574.593017825553 124.625173416556 -97.4763323348786</t>
  </si>
  <si>
    <t>-608.026275952779 141.10001623846 316.423928523439</t>
  </si>
  <si>
    <t>-668.27711038657 171.124012337998 774.5700028584</t>
  </si>
  <si>
    <t>-518.150075330457 177.568166630228 832.051844508909</t>
  </si>
  <si>
    <t>-598.569602937861 -75.0593910322327 323.079731176162</t>
  </si>
  <si>
    <t>-656.27995235968 -107.012996958741 781.433158452794</t>
  </si>
  <si>
    <t>-502.554627640451 -125.218052334564 825.261584115008</t>
  </si>
  <si>
    <t>9763-20170724T115332.830089800.bin</t>
  </si>
  <si>
    <t>-579.481902097726 32.6960133203618 -93.0390887157381</t>
  </si>
  <si>
    <t>-600.213069003477 30.5111353425448 -201.772508712221</t>
  </si>
  <si>
    <t>-612.926425888114 27.2899015901075 -293.717191451732</t>
  </si>
  <si>
    <t>-623.460118063632 23.8724572281415 -376.876701475459</t>
  </si>
  <si>
    <t>-632.480280846267 19.8952791460417 -460.189062109532</t>
  </si>
  <si>
    <t>-644.009299876687 13.4573442776409 -582.133984435543</t>
  </si>
  <si>
    <t>-623.343296384144 12.0237103432532 -657.705573401594</t>
  </si>
  <si>
    <t>-636.245653313905 47.4686071806223 -530.527825262376</t>
  </si>
  <si>
    <t>-605.231716297948 199.647440579263 -515.822893766165</t>
  </si>
  <si>
    <t>-475.828863024392 230.437487653097 -267.054938114313</t>
  </si>
  <si>
    <t>-245.974623983788 197.3802494311 -262.282402286961</t>
  </si>
  <si>
    <t>-574.571890371868 124.703198392252 -97.4922319979257</t>
  </si>
  <si>
    <t>-608.059904652985 141.16362847136 316.404184964966</t>
  </si>
  <si>
    <t>-668.286507579579 171.1437501377 774.563488319801</t>
  </si>
  <si>
    <t>-518.158612873668 177.517299898677 832.051013522799</t>
  </si>
  <si>
    <t>-598.319288826169 -75.1532872759772 323.085678182912</t>
  </si>
  <si>
    <t>-656.279894876966 -107.027153448125 781.414693773178</t>
  </si>
  <si>
    <t>-502.538175688521 -125.183588891833 825.205663663038</t>
  </si>
  <si>
    <t>9763-20170724T115332.862141300.bin</t>
  </si>
  <si>
    <t>-579.382882860696 32.736747809038 -93.0489801734898</t>
  </si>
  <si>
    <t>-600.05295190946 30.498330129622 -201.792941460425</t>
  </si>
  <si>
    <t>-612.700675896408 27.232132189708 -293.745051140129</t>
  </si>
  <si>
    <t>-623.169473179647 23.7725207198177 -376.91105314992</t>
  </si>
  <si>
    <t>-632.119029494226 19.7525408670097 -460.228990222717</t>
  </si>
  <si>
    <t>-643.538572885373 13.251252039827 -582.180711991842</t>
  </si>
  <si>
    <t>-622.837903953538 11.7859597321687 -657.742354005015</t>
  </si>
  <si>
    <t>-635.877200945575 47.2945285324815 -530.580313293393</t>
  </si>
  <si>
    <t>-605.248849031393 199.566814255633 -516.013006527282</t>
  </si>
  <si>
    <t>-475.034702188117 230.977983384105 -267.746497425664</t>
  </si>
  <si>
    <t>-245.137923140495 198.18570870189 -263.200376308055</t>
  </si>
  <si>
    <t>-574.627106212689 124.697399948934 -97.5012795523148</t>
  </si>
  <si>
    <t>-608.09366641262 141.195820906655 316.395293028081</t>
  </si>
  <si>
    <t>-668.297284283599 171.143889771903 774.560287676863</t>
  </si>
  <si>
    <t>-518.171000812223 177.559794719237 832.047346830487</t>
  </si>
  <si>
    <t>-598.24553697623 -75.1677305842693 323.083698065867</t>
  </si>
  <si>
    <t>-656.275230869188 -107.017123506927 781.405779085016</t>
  </si>
  <si>
    <t>-502.483816213615 -124.786100463861 825.18123543567</t>
  </si>
  <si>
    <t>9763-20170724T115332.932345600.bin</t>
  </si>
  <si>
    <t>-579.352489701852 32.9102783040496 -93.0228778899863</t>
  </si>
  <si>
    <t>-599.845154367415 30.5504407848168 -201.797809122643</t>
  </si>
  <si>
    <t>-612.331371908326 27.2017975188251 -293.769066572692</t>
  </si>
  <si>
    <t>-622.649760704416 23.6710289042844 -376.950805240757</t>
  </si>
  <si>
    <t>-631.443949672994 19.5861514094324 -460.28211706941</t>
  </si>
  <si>
    <t>-642.631134404242 12.9962330583285 -582.250790687993</t>
  </si>
  <si>
    <t>-621.828146063857 11.4887727769483 -657.78333366142</t>
  </si>
  <si>
    <t>-635.210143959307 47.08950199018 -530.648100136572</t>
  </si>
  <si>
    <t>-605.437241263775 199.538700546271 -516.109346941038</t>
  </si>
  <si>
    <t>-472.723979307853 232.799499817727 -269.412167093254</t>
  </si>
  <si>
    <t>-242.699303547849 200.803810568589 -265.743518987086</t>
  </si>
  <si>
    <t>-575.026029371599 124.805687173862 -97.5083719831246</t>
  </si>
  <si>
    <t>-608.323051615811 141.297865354901 316.402100087572</t>
  </si>
  <si>
    <t>-668.321342431216 171.139339951739 774.580566931372</t>
  </si>
  <si>
    <t>-518.190736383785 177.611175348443 832.050113471449</t>
  </si>
  <si>
    <t>-598.289151383724 -75.2778123719208 323.085526867927</t>
  </si>
  <si>
    <t>-656.261749792129 -107.06276936626 781.405001982897</t>
  </si>
  <si>
    <t>-502.502987103042 -125.106776440102 825.182639578268</t>
  </si>
  <si>
    <t>9763-20170724T115332.967444800.bin</t>
  </si>
  <si>
    <t>-579.320166210542 33.0830066002277 -93.0144786511049</t>
  </si>
  <si>
    <t>-599.733034360294 30.6399535788994 -201.802568085445</t>
  </si>
  <si>
    <t>-612.136525507804 27.2405991992312 -293.783175643544</t>
  </si>
  <si>
    <t>-622.374071080268 23.6692662040082 -376.973102328422</t>
  </si>
  <si>
    <t>-631.081243966803 19.5500468361142 -460.311992324718</t>
  </si>
  <si>
    <t>-642.134301561671 12.9170323897022 -582.29040966499</t>
  </si>
  <si>
    <t>-621.242963089969 11.3701142596221 -657.797830159364</t>
  </si>
  <si>
    <t>-634.838253362144 47.0342399046542 -530.685892614096</t>
  </si>
  <si>
    <t>-605.377391158713 199.530619237497 -516.064567766717</t>
  </si>
  <si>
    <t>-471.279836054611 234.056027771201 -270.291390985136</t>
  </si>
  <si>
    <t>-241.19489491995 202.44658267259 -267.082193900617</t>
  </si>
  <si>
    <t>-575.247479254565 124.898272749341 -97.5231762659909</t>
  </si>
  <si>
    <t>-608.444116086477 141.346402299234 316.397142620376</t>
  </si>
  <si>
    <t>-668.3217900143 171.162946158066 774.589139333109</t>
  </si>
  <si>
    <t>-518.187438769732 177.628773019746 832.049494192536</t>
  </si>
  <si>
    <t>-598.256373764279 -75.2304096488847 323.089883204847</t>
  </si>
  <si>
    <t>-656.224292769834 -107.054472167126 781.386453953455</t>
  </si>
  <si>
    <t>-502.448856081333 -124.817080452385 825.220559189907</t>
  </si>
  <si>
    <t>9763-20170724T115333.031616500.bin</t>
  </si>
  <si>
    <t>-579.015617152022 33.5113138656147 -92.9410080576579</t>
  </si>
  <si>
    <t>-599.352599795361 30.8069514914785 -201.737099373305</t>
  </si>
  <si>
    <t>-611.622831376798 27.3176002148984 -293.732262262829</t>
  </si>
  <si>
    <t>-621.712189629572 23.7104986302757 -376.938834086721</t>
  </si>
  <si>
    <t>-630.242967820617 19.60302158493 -460.296392522608</t>
  </si>
  <si>
    <t>-641.00703603822 13.0384350735644 -582.304416793746</t>
  </si>
  <si>
    <t>-619.917863115197 11.4037919358695 -657.755029249021</t>
  </si>
  <si>
    <t>-633.954920699593 47.136646521398 -530.653524953782</t>
  </si>
  <si>
    <t>-604.903244320506 199.65763593554 -515.510718029704</t>
  </si>
  <si>
    <t>-467.995641943697 237.162943410909 -271.731664420505</t>
  </si>
  <si>
    <t>-237.816675486394 206.164435345475 -269.434177949269</t>
  </si>
  <si>
    <t>-575.747802370027 125.214587312405 -97.5682139225283</t>
  </si>
  <si>
    <t>-608.50958111185 141.468769470123 316.394365798366</t>
  </si>
  <si>
    <t>-668.345386903625 171.150162437516 774.643928747114</t>
  </si>
  <si>
    <t>-518.206982344724 177.63941993094 832.091033047948</t>
  </si>
  <si>
    <t>-597.5038437459 -74.9931724690432 323.242290008732</t>
  </si>
  <si>
    <t>-655.608252854571 -107.22571221616 781.520796248514</t>
  </si>
  <si>
    <t>-502.067417147059 -124.454933336395 826.378182683858</t>
  </si>
  <si>
    <t>9763-20170724T115333.064704700.bin</t>
  </si>
  <si>
    <t>-578.74118407401 33.6821089266928 -92.8637419500481</t>
  </si>
  <si>
    <t>-599.096698994541 30.8955373045417 -201.654368626319</t>
  </si>
  <si>
    <t>-611.33130681496 27.3980754627696 -293.653755011666</t>
  </si>
  <si>
    <t>-621.367889083905 23.8048278721465 -376.867396412098</t>
  </si>
  <si>
    <t>-629.824881785578 19.733711310686 -460.234163249867</t>
  </si>
  <si>
    <t>-640.458110053245 13.2461112404396 -582.257924569918</t>
  </si>
  <si>
    <t>-619.288617659578 11.5991347754104 -657.685628821727</t>
  </si>
  <si>
    <t>-633.529415623016 47.3171281562534 -530.57224401634</t>
  </si>
  <si>
    <t>-604.824333945649 199.890702054182 -515.217133186768</t>
  </si>
  <si>
    <t>-466.767905535006 238.319126348738 -272.230912328684</t>
  </si>
  <si>
    <t>-236.509989840077 207.865305869811 -270.684401235579</t>
  </si>
  <si>
    <t>-575.868472158209 125.358265491389 -97.5216869877497</t>
  </si>
  <si>
    <t>-608.486925308898 141.481592467804 316.457406219265</t>
  </si>
  <si>
    <t>-668.333068446814 171.178027231474 774.696585414895</t>
  </si>
  <si>
    <t>-518.197042355457 177.688624045794 832.147585498376</t>
  </si>
  <si>
    <t>-597.030352504998 -74.8611944642719 323.357655539251</t>
  </si>
  <si>
    <t>-655.386590082084 -107.254569033429 781.608735839007</t>
  </si>
  <si>
    <t>-501.932882861948 -124.32314057065 826.824339193241</t>
  </si>
  <si>
    <t>9763-20170724T115333.129531900.bin</t>
  </si>
  <si>
    <t>-578.258739603436 34.0411612108992 -92.6863610176949</t>
  </si>
  <si>
    <t>-598.619500071428 31.1714394972889 -201.473735984588</t>
  </si>
  <si>
    <t>-610.825661826952 27.7046271327665 -293.478285639703</t>
  </si>
  <si>
    <t>-620.823160895873 24.1746038118968 -376.699112488394</t>
  </si>
  <si>
    <t>-629.227559953635 20.2036185250158 -460.076270561569</t>
  </si>
  <si>
    <t>-639.76871843954 13.9028132140202 -582.117705773796</t>
  </si>
  <si>
    <t>-618.542149309012 12.311206523721 -657.530551133835</t>
  </si>
  <si>
    <t>-632.97205812978 47.9017045872852 -530.367126102231</t>
  </si>
  <si>
    <t>-604.980208414986 200.574473473803 -514.709719895199</t>
  </si>
  <si>
    <t>-465.062390739884 239.830887576451 -272.923534541205</t>
  </si>
  <si>
    <t>-234.618460397377 210.779601176083 -273.310592724801</t>
  </si>
  <si>
    <t>-575.9038024576 125.579574942255 -97.3491811554818</t>
  </si>
  <si>
    <t>-608.392755373248 141.462513638781 316.649460393179</t>
  </si>
  <si>
    <t>-668.299950730539 171.162205550185 774.826739190083</t>
  </si>
  <si>
    <t>-518.179567285776 177.730055577546 832.312043908606</t>
  </si>
  <si>
    <t>-596.384262612574 -74.6081232821223 323.527384824644</t>
  </si>
  <si>
    <t>-655.210787550709 -107.311344570885 781.632508179666</t>
  </si>
  <si>
    <t>-501.833981165017 -124.155680680785 827.191742507331</t>
  </si>
  <si>
    <t>9763-20170724T115333.161616200.bin</t>
  </si>
  <si>
    <t>-578.041613678976 34.2062891344781 -92.6174616884955</t>
  </si>
  <si>
    <t>-598.429287152544 31.3243161926105 -201.399565190548</t>
  </si>
  <si>
    <t>-610.686883386498 27.8809144508389 -293.39800185612</t>
  </si>
  <si>
    <t>-620.742506818121 24.3841452106158 -376.613455341605</t>
  </si>
  <si>
    <t>-629.216715405966 20.4587624888393 -459.985621921246</t>
  </si>
  <si>
    <t>-639.872764164299 14.2379022946648 -582.02120660337</t>
  </si>
  <si>
    <t>-618.694200226665 12.7116462235706 -657.44887599715</t>
  </si>
  <si>
    <t>-633.033348637859 48.2033554613272 -530.254199242396</t>
  </si>
  <si>
    <t>-605.400257961181 200.926729730871 -514.460501169094</t>
  </si>
  <si>
    <t>-464.317421443223 239.970510708525 -273.317807063358</t>
  </si>
  <si>
    <t>-233.766833685332 211.796543111223 -274.407137390836</t>
  </si>
  <si>
    <t>-575.829094052586 125.74913043259 -97.2663720861962</t>
  </si>
  <si>
    <t>-608.310417712721 141.485239344335 316.738336392299</t>
  </si>
  <si>
    <t>-668.278437629055 171.181079395502 774.903967020863</t>
  </si>
  <si>
    <t>-518.163953120797 177.788866092279 832.400077676399</t>
  </si>
  <si>
    <t>-596.16936309088 -74.5683371407247 323.572664145384</t>
  </si>
  <si>
    <t>-655.136596671716 -107.358359165345 781.657088083317</t>
  </si>
  <si>
    <t>-501.807648340604 -124.299089365612 827.341578319098</t>
  </si>
  <si>
    <t>9763-20170724T115333.229806400.bin</t>
  </si>
  <si>
    <t>-577.762242743486 34.5834954354614 -92.5316006044629</t>
  </si>
  <si>
    <t>-598.183378267081 31.6847589990184 -201.306994017033</t>
  </si>
  <si>
    <t>-610.548170401433 28.2873005654637 -293.292909895847</t>
  </si>
  <si>
    <t>-620.732406924874 24.8544055334164 -376.495165414174</t>
  </si>
  <si>
    <t>-629.367222097087 21.0152988818813 -459.854906966362</t>
  </si>
  <si>
    <t>-640.293258568646 14.9447066618056 -581.87409622065</t>
  </si>
  <si>
    <t>-619.232300140076 13.6414707680169 -657.339021861632</t>
  </si>
  <si>
    <t>-633.341143924784 48.8465041640093 -530.080515936254</t>
  </si>
  <si>
    <t>-605.919172685872 201.571771140285 -513.902802518868</t>
  </si>
  <si>
    <t>-462.539953084913 240.850567697967 -274.156846449357</t>
  </si>
  <si>
    <t>-231.939724605279 213.118265426373 -275.886826709318</t>
  </si>
  <si>
    <t>-575.770041039795 126.132490298629 -97.1480378137395</t>
  </si>
  <si>
    <t>-608.114381757751 141.601471290283 316.877526674352</t>
  </si>
  <si>
    <t>-668.245471773791 171.208125577588 775.049818422145</t>
  </si>
  <si>
    <t>-518.14189482837 177.807167015713 832.575463458943</t>
  </si>
  <si>
    <t>-595.971569834207 -74.4271191700539 323.617531200675</t>
  </si>
  <si>
    <t>-655.217920536527 -107.378962119398 781.645297513129</t>
  </si>
  <si>
    <t>-501.839115127158 -124.196138913949 827.207861494706</t>
  </si>
  <si>
    <t>9763-20170724T115333.261891700.bin</t>
  </si>
  <si>
    <t>-577.667803691435 34.7233778218204 -92.4865716556546</t>
  </si>
  <si>
    <t>-598.079191833437 31.8407883872562 -201.2642271143</t>
  </si>
  <si>
    <t>-610.403765819945 28.4532967595683 -293.255823604802</t>
  </si>
  <si>
    <t>-620.538981044171 25.0266048570711 -376.464342002577</t>
  </si>
  <si>
    <t>-629.111957708366 21.1914341114148 -459.830738951315</t>
  </si>
  <si>
    <t>-639.933571369608 15.1235811349152 -581.859264201608</t>
  </si>
  <si>
    <t>-618.825736928038 13.9521919188505 -657.313285105289</t>
  </si>
  <si>
    <t>-633.03347691929 49.0248090807054 -530.058354146481</t>
  </si>
  <si>
    <t>-605.594051373095 201.735285228819 -513.835560339139</t>
  </si>
  <si>
    <t>-461.450870974939 241.506614420577 -274.629387693285</t>
  </si>
  <si>
    <t>-230.896020808204 213.405896049231 -276.459240240778</t>
  </si>
  <si>
    <t>-575.67347789093 126.223179426012 -97.0604016667423</t>
  </si>
  <si>
    <t>-608.038927051708 141.672887488289 316.964232727069</t>
  </si>
  <si>
    <t>-668.230838102426 171.233677518581 775.114218225303</t>
  </si>
  <si>
    <t>-518.132917481074 177.863050284534 832.651158662329</t>
  </si>
  <si>
    <t>-595.933055111238 -74.3607410082918 323.619330028715</t>
  </si>
  <si>
    <t>-655.331379835569 -107.377908090357 781.613742704309</t>
  </si>
  <si>
    <t>-501.892294320747 -124.166977516112 826.983350667395</t>
  </si>
  <si>
    <t>9763-20170724T115333.332111900.bin</t>
  </si>
  <si>
    <t>-577.498768266013 35.1366347653952 -92.3550329361655</t>
  </si>
  <si>
    <t>-597.879131154328 32.3338861565105 -201.140547740449</t>
  </si>
  <si>
    <t>-610.100835047439 29.0224358482731 -293.148713588658</t>
  </si>
  <si>
    <t>-620.111910180368 25.6683858323538 -376.375316851024</t>
  </si>
  <si>
    <t>-628.529165716332 21.9102542779142 -459.760887350776</t>
  </si>
  <si>
    <t>-639.088294371192 15.9601875484702 -581.818320899521</t>
  </si>
  <si>
    <t>-617.795046954232 15.0349137331762 -657.223616051017</t>
  </si>
  <si>
    <t>-632.339553828243 49.8142386540299 -529.966618712463</t>
  </si>
  <si>
    <t>-605.018120971508 202.539053764905 -513.658679342058</t>
  </si>
  <si>
    <t>-459.468288558204 242.998618384325 -275.421745255374</t>
  </si>
  <si>
    <t>-228.98117091266 214.348728197453 -277.267958210458</t>
  </si>
  <si>
    <t>-575.374682320787 126.559824874641 -96.9030586226399</t>
  </si>
  <si>
    <t>-607.927106674238 141.873861546116 317.11199438124</t>
  </si>
  <si>
    <t>-668.187479926505 171.329534247946 775.228649743545</t>
  </si>
  <si>
    <t>-518.090064285376 177.821983595777 832.782460991888</t>
  </si>
  <si>
    <t>-596.055724338844 -74.0957278196299 323.618857375321</t>
  </si>
  <si>
    <t>-655.535536194686 -107.408738169392 781.539935686157</t>
  </si>
  <si>
    <t>-502.025099236136 -124.412283523973 826.587116401563</t>
  </si>
  <si>
    <t>9763-20170724T115333.366202200.bin</t>
  </si>
  <si>
    <t>-577.465780136593 35.4223289279569 -92.3149595804881</t>
  </si>
  <si>
    <t>-597.828713822452 32.6326518460769 -201.104029404008</t>
  </si>
  <si>
    <t>-610.024012379465 29.3831273374735 -293.117806375548</t>
  </si>
  <si>
    <t>-620.006039356998 26.1064857691865 -376.351101979277</t>
  </si>
  <si>
    <t>-628.388735255627 22.4476570543725 -459.744458439096</t>
  </si>
  <si>
    <t>-638.890968302816 16.6671572136593 -581.815106070257</t>
  </si>
  <si>
    <t>-617.494194761026 15.8735224048587 -657.192532830372</t>
  </si>
  <si>
    <t>-632.188920022908 50.4508328453915 -529.911426218071</t>
  </si>
  <si>
    <t>-604.889163155245 203.167486825552 -513.575283805261</t>
  </si>
  <si>
    <t>-458.843465829242 243.635697496443 -275.64350198453</t>
  </si>
  <si>
    <t>-228.346350275707 215.058703164954 -277.366485970812</t>
  </si>
  <si>
    <t>-575.238252463873 126.798827150675 -96.8702860810748</t>
  </si>
  <si>
    <t>-607.786257929703 142.033484023659 317.148016525767</t>
  </si>
  <si>
    <t>-668.171368846622 171.374629701788 775.274323465783</t>
  </si>
  <si>
    <t>-518.077344945732 177.889060075007 832.834566405853</t>
  </si>
  <si>
    <t>-596.062979547143 -73.8062129864238 323.643382662</t>
  </si>
  <si>
    <t>-655.582305049389 -107.435567315172 781.532435099073</t>
  </si>
  <si>
    <t>-502.04936749387 -124.485701478746 826.485291797914</t>
  </si>
  <si>
    <t>9763-20170724T115333.430393300.bin</t>
  </si>
  <si>
    <t>-577.405213193224 36.0375103865415 -92.2664825932635</t>
  </si>
  <si>
    <t>-597.806483191304 33.2806288777003 -201.049270948841</t>
  </si>
  <si>
    <t>-609.92383523325 30.0999845381307 -293.075883581537</t>
  </si>
  <si>
    <t>-619.790602715653 26.9031134915106 -376.325783772779</t>
  </si>
  <si>
    <t>-628.01279002641 23.3408837298339 -459.739447290873</t>
  </si>
  <si>
    <t>-638.230442657913 17.7202039289489 -581.841656694522</t>
  </si>
  <si>
    <t>-616.620610699821 17.0584458946544 -657.159493480098</t>
  </si>
  <si>
    <t>-631.632672829791 51.434666980645 -529.879739021333</t>
  </si>
  <si>
    <t>-604.573372946075 204.200219719866 -513.511096672375</t>
  </si>
  <si>
    <t>-457.347666951458 243.953062841834 -276.186620793806</t>
  </si>
  <si>
    <t>-226.80794970541 215.684198485716 -277.108676618427</t>
  </si>
  <si>
    <t>-575.001201507772 127.377106718942 -96.7846781638536</t>
  </si>
  <si>
    <t>-607.539234413367 142.363007300142 317.24344173551</t>
  </si>
  <si>
    <t>-668.151803396644 171.501742196093 775.353245712454</t>
  </si>
  <si>
    <t>-518.053007558941 177.907020997392 832.913168736831</t>
  </si>
  <si>
    <t>-596.073922328363 -73.2160056976127 323.69258551814</t>
  </si>
  <si>
    <t>-655.686095401168 -107.449540916266 781.524329891775</t>
  </si>
  <si>
    <t>-502.098882550823 -124.541286036635 826.275443885433</t>
  </si>
  <si>
    <t>9763-20170724T115333.462478700.bin</t>
  </si>
  <si>
    <t>-577.372602896591 36.4718601110985 -92.2539725524196</t>
  </si>
  <si>
    <t>-597.835928368917 33.6978001022794 -201.024581949929</t>
  </si>
  <si>
    <t>-609.926574057879 30.5141235281183 -293.054619549573</t>
  </si>
  <si>
    <t>-619.737371216414 27.3182050102716 -376.311263801134</t>
  </si>
  <si>
    <t>-627.871542098785 23.7603943316635 -459.733608863026</t>
  </si>
  <si>
    <t>-637.925359121081 18.1494657798237 -581.849845094776</t>
  </si>
  <si>
    <t>-616.23389596399 17.5353508788719 -657.144695314528</t>
  </si>
  <si>
    <t>-631.386431006923 51.8589912466739 -529.877320309008</t>
  </si>
  <si>
    <t>-604.449719471496 204.640795515817 -513.466181908889</t>
  </si>
  <si>
    <t>-456.476655547036 243.803566997905 -276.508840609427</t>
  </si>
  <si>
    <t>-225.977700454169 215.191877093456 -276.886560405428</t>
  </si>
  <si>
    <t>-574.941775378369 127.791333689971 -96.7717586257452</t>
  </si>
  <si>
    <t>-607.537062277002 142.611315086542 317.257891620308</t>
  </si>
  <si>
    <t>-668.124579764886 171.662283760383 775.374422773504</t>
  </si>
  <si>
    <t>-518.012472862064 177.808092851979 832.928044515226</t>
  </si>
  <si>
    <t>-596.1196156265 -72.8927445550244 323.709566148592</t>
  </si>
  <si>
    <t>-655.745995125867 -107.442346092215 781.515945896084</t>
  </si>
  <si>
    <t>-502.104521977393 -124.375177702696 826.141016211096</t>
  </si>
  <si>
    <t>9763-20170724T115333.529678700.bin</t>
  </si>
  <si>
    <t>-577.432093278026 37.1350257449919 -92.3095025595662</t>
  </si>
  <si>
    <t>-597.830126330084 34.3306072574692 -201.091548992473</t>
  </si>
  <si>
    <t>-609.801806753411 31.125198458561 -293.136331487186</t>
  </si>
  <si>
    <t>-619.479658767018 27.9094022877543 -376.407887856147</t>
  </si>
  <si>
    <t>-627.455413049932 24.3303280273346 -459.844657244843</t>
  </si>
  <si>
    <t>-637.249820144247 18.6856083236578 -581.980373652296</t>
  </si>
  <si>
    <t>-615.365969384358 18.1587560857365 -657.220175899486</t>
  </si>
  <si>
    <t>-630.767878576562 52.405594099813 -530.007456967367</t>
  </si>
  <si>
    <t>-603.581194985964 205.13382729406 -513.510154654385</t>
  </si>
  <si>
    <t>-455.480138752162 244.283642622941 -276.63052249274</t>
  </si>
  <si>
    <t>-225.215501426285 213.858601998863 -277.656495701853</t>
  </si>
  <si>
    <t>-574.974513308623 128.308849310023 -96.7934505056747</t>
  </si>
  <si>
    <t>-607.698073739888 143.054354982678 317.228693581131</t>
  </si>
  <si>
    <t>-668.116877294456 171.78102671955 775.412231358785</t>
  </si>
  <si>
    <t>-517.996445613762 177.913358150788 832.945502250656</t>
  </si>
  <si>
    <t>-596.486307149952 -72.4484239463327 323.667547195836</t>
  </si>
  <si>
    <t>-655.875075672781 -107.499887354599 781.486848460966</t>
  </si>
  <si>
    <t>-502.149893235089 -124.331388244648 825.861352109778</t>
  </si>
  <si>
    <t>9763-20170724T115333.565772200.bin</t>
  </si>
  <si>
    <t>-577.440550005971 37.2279432179166 -92.3422650330135</t>
  </si>
  <si>
    <t>-597.734924768099 34.4364403023642 -201.144132391657</t>
  </si>
  <si>
    <t>-609.598820064102 31.2172273642932 -293.202363031329</t>
  </si>
  <si>
    <t>-619.171136230643 27.9798316694628 -376.485265929904</t>
  </si>
  <si>
    <t>-627.03333507275 24.3689632046908 -459.931458299518</t>
  </si>
  <si>
    <t>-636.653047828377 18.6665773532891 -582.078468984746</t>
  </si>
  <si>
    <t>-614.626719058606 18.1447194223344 -657.27669848595</t>
  </si>
  <si>
    <t>-630.20486139807 52.4081549059629 -530.115285313073</t>
  </si>
  <si>
    <t>-602.853429910746 205.110656966572 -513.743948712262</t>
  </si>
  <si>
    <t>-455.017961611283 244.631903136948 -276.760127529852</t>
  </si>
  <si>
    <t>-224.838836312591 213.603287150695 -278.58515917868</t>
  </si>
  <si>
    <t>-574.783111312908 128.398139767155 -96.8094048498248</t>
  </si>
  <si>
    <t>-607.702414358585 143.140884006652 317.197287229503</t>
  </si>
  <si>
    <t>-668.125859963436 171.823315630862 775.40956560769</t>
  </si>
  <si>
    <t>-517.999350963429 177.927427442231 832.929920845653</t>
  </si>
  <si>
    <t>-596.727997937177 -72.5642060378057 323.615468036052</t>
  </si>
  <si>
    <t>-655.932734540454 -107.510139285688 781.479148076133</t>
  </si>
  <si>
    <t>-502.185033163517 -124.449462018881 825.734362043623</t>
  </si>
  <si>
    <t>9763-20170724T115333.630954200.bin</t>
  </si>
  <si>
    <t>-577.395381415307 37.0308347027226 -92.3723258477569</t>
  </si>
  <si>
    <t>-597.483411160079 34.3526301810198 -201.215264381161</t>
  </si>
  <si>
    <t>-609.177247297208 31.1554241016054 -293.296102458125</t>
  </si>
  <si>
    <t>-618.597642098371 27.9129803334745 -376.596042203433</t>
  </si>
  <si>
    <t>-626.309709009731 24.2706152452452 -460.055019971455</t>
  </si>
  <si>
    <t>-635.712087450838 18.4934583780853 -582.215252581425</t>
  </si>
  <si>
    <t>-613.372442593605 17.8555265525358 -657.320186141364</t>
  </si>
  <si>
    <t>-629.252736073319 52.2587900403785 -530.268922481532</t>
  </si>
  <si>
    <t>-601.520720983713 204.944169448459 -514.230092324807</t>
  </si>
  <si>
    <t>-453.645359158829 243.655286702558 -277.137474029995</t>
  </si>
  <si>
    <t>-223.447805813726 212.873100749353 -280.312669524601</t>
  </si>
  <si>
    <t>-574.202796247333 128.442477502945 -96.8323532330224</t>
  </si>
  <si>
    <t>-607.519802724928 143.169424612073 317.143108750684</t>
  </si>
  <si>
    <t>-668.154611384883 171.876529834644 775.340849728523</t>
  </si>
  <si>
    <t>-518.023042440051 177.994430011132 832.846537631447</t>
  </si>
  <si>
    <t>-597.102883414553 -72.9233666028501 323.538429716765</t>
  </si>
  <si>
    <t>-656.038863696224 -107.625073745792 781.470152924562</t>
  </si>
  <si>
    <t>-502.299220767833 -125.172642997984 825.515954870108</t>
  </si>
  <si>
    <t>9763-20170724T115333.666050600.bin</t>
  </si>
  <si>
    <t>-577.221868059627 36.8792638714003 -92.3658305220418</t>
  </si>
  <si>
    <t>-597.227313438367 34.2788622119535 -201.225955484889</t>
  </si>
  <si>
    <t>-608.863865601076 31.1113313098429 -293.315017794523</t>
  </si>
  <si>
    <t>-618.237354994796 27.884517446917 -376.620765707365</t>
  </si>
  <si>
    <t>-625.907683261457 24.2447262285746 -460.083708384065</t>
  </si>
  <si>
    <t>-635.254665427634 18.457711338375 -582.247835281914</t>
  </si>
  <si>
    <t>-612.78788911137 17.7013644075219 -657.313634030238</t>
  </si>
  <si>
    <t>-628.747659590676 52.2215458061512 -530.306432688378</t>
  </si>
  <si>
    <t>-600.714623248115 204.86509024977 -514.429215219194</t>
  </si>
  <si>
    <t>-452.58037285083 242.799074748509 -277.372611723944</t>
  </si>
  <si>
    <t>-222.311443344359 212.673732744971 -281.521792950668</t>
  </si>
  <si>
    <t>-573.748737352668 128.371577371148 -96.8130107096927</t>
  </si>
  <si>
    <t>-607.338634563754 143.121708804678 317.139653670567</t>
  </si>
  <si>
    <t>-668.181378197697 171.874498226644 775.304279189587</t>
  </si>
  <si>
    <t>-518.047462040778 178.031080926778 832.799712253736</t>
  </si>
  <si>
    <t>-597.203154271291 -73.0419713243891 323.517521342727</t>
  </si>
  <si>
    <t>-656.076544107692 -107.622800795003 781.464816301175</t>
  </si>
  <si>
    <t>-502.293933532959 -125.020007274093 825.42010644246</t>
  </si>
  <si>
    <t>9763-20170724T115333.730771300.bin</t>
  </si>
  <si>
    <t>-576.675194144878 36.6619899126547 -92.3569639216372</t>
  </si>
  <si>
    <t>-596.577794437491 34.1817814201811 -201.238583918846</t>
  </si>
  <si>
    <t>-608.146093178203 31.1019510294398 -293.339258642259</t>
  </si>
  <si>
    <t>-617.465207228179 27.9532636632739 -376.654189775406</t>
  </si>
  <si>
    <t>-625.088274472585 24.3892982504051 -460.124666922696</t>
  </si>
  <si>
    <t>-634.374237856102 18.7098874505823 -582.298440067497</t>
  </si>
  <si>
    <t>-611.754744784883 17.7084592486117 -657.315574947859</t>
  </si>
  <si>
    <t>-627.773486106189 52.4179966168285 -530.332806042919</t>
  </si>
  <si>
    <t>-599.578414451184 205.059056213922 -514.745627566435</t>
  </si>
  <si>
    <t>-450.670893378445 242.300436194765 -278.063969001397</t>
  </si>
  <si>
    <t>-220.332711115231 213.111546996503 -284.456874271891</t>
  </si>
  <si>
    <t>-572.717925877754 128.292275857048 -96.7850869536422</t>
  </si>
  <si>
    <t>-606.748369145089 142.949294259774 317.134844563716</t>
  </si>
  <si>
    <t>-668.223949070309 171.834449714611 775.18278397179</t>
  </si>
  <si>
    <t>-518.099197782538 178.080060471991 832.692459366574</t>
  </si>
  <si>
    <t>-597.190234890887 -73.3080972766209 323.484896292141</t>
  </si>
  <si>
    <t>-656.09967562366 -107.696605548562 781.467869217151</t>
  </si>
  <si>
    <t>-502.312408076135 -125.280691327863 825.332452190364</t>
  </si>
  <si>
    <t>9763-20170724T115333.763859800.bin</t>
  </si>
  <si>
    <t>-576.330466489952 36.6188543290639 -92.3716830506492</t>
  </si>
  <si>
    <t>-596.23342731295 34.1706865581716 -201.254133725285</t>
  </si>
  <si>
    <t>-607.800383102655 31.1217458631183 -293.355976003804</t>
  </si>
  <si>
    <t>-617.117421886613 28.0038544152255 -376.672220172802</t>
  </si>
  <si>
    <t>-624.73778240697 24.4722665825229 -460.144437575982</t>
  </si>
  <si>
    <t>-634.018849788952 18.842767275371 -582.320822060402</t>
  </si>
  <si>
    <t>-611.366093493661 17.7719293508603 -657.326917216164</t>
  </si>
  <si>
    <t>-627.390986586736 52.5271203246596 -530.343215140885</t>
  </si>
  <si>
    <t>-599.274165889134 205.199666427824 -514.858902471482</t>
  </si>
  <si>
    <t>-449.756007880298 242.607608634185 -278.588739687422</t>
  </si>
  <si>
    <t>-219.494704341029 212.95960143319 -285.606880184263</t>
  </si>
  <si>
    <t>-572.261176965395 128.306627132368 -96.7888736698042</t>
  </si>
  <si>
    <t>-606.362363450097 142.898312363391 317.127549485794</t>
  </si>
  <si>
    <t>-668.223975568361 171.855608447819 775.1097767575</t>
  </si>
  <si>
    <t>-518.106993726416 177.973150137523 832.653559555008</t>
  </si>
  <si>
    <t>-597.016749348698 -73.3794270918538 323.480575595549</t>
  </si>
  <si>
    <t>-656.082468986798 -107.755520349472 781.468683305873</t>
  </si>
  <si>
    <t>-502.322618384042 -125.566173639932 825.337998953501</t>
  </si>
  <si>
    <t>9763-20170724T115333.828742100.bin</t>
  </si>
  <si>
    <t>-575.648578415164 36.6522881693325 -92.3553343244298</t>
  </si>
  <si>
    <t>-595.565330353007 34.2080182053824 -201.235382268284</t>
  </si>
  <si>
    <t>-607.140356748646 31.1651817713223 -293.336358471354</t>
  </si>
  <si>
    <t>-616.46343008023 28.0531608766082 -376.652168547979</t>
  </si>
  <si>
    <t>-624.088634151869 24.5273412799365 -460.124113158521</t>
  </si>
  <si>
    <t>-633.375506674425 18.9060451387516 -582.300617235477</t>
  </si>
  <si>
    <t>-610.668986796664 17.8503376481312 -657.290633217437</t>
  </si>
  <si>
    <t>-626.723783834635 52.585027655339 -530.322613293836</t>
  </si>
  <si>
    <t>-598.66045659292 205.278540302918 -515.052104291011</t>
  </si>
  <si>
    <t>-447.660289191216 242.922631219976 -279.764158508681</t>
  </si>
  <si>
    <t>-217.377606063026 213.305894487768 -286.187809749161</t>
  </si>
  <si>
    <t>-571.612703087662 128.371403922705 -96.7735886931887</t>
  </si>
  <si>
    <t>-605.825169090292 142.917851741242 317.13524253011</t>
  </si>
  <si>
    <t>-668.237021629556 171.842983302508 775.009397736212</t>
  </si>
  <si>
    <t>-518.148042211343 178.077092517166 832.613690637234</t>
  </si>
  <si>
    <t>-596.628307221084 -73.446831687927 323.505119035955</t>
  </si>
  <si>
    <t>-656.049007021693 -107.812107550425 781.461946426857</t>
  </si>
  <si>
    <t>-502.290275292656 -125.630811952897 825.331936804643</t>
  </si>
  <si>
    <t>9763-20170724T115333.866841300.bin</t>
  </si>
  <si>
    <t>-575.334124215328 36.7869358021667 -92.3445620413604</t>
  </si>
  <si>
    <t>-595.240444657938 34.3208192604829 -201.226029519429</t>
  </si>
  <si>
    <t>-606.833114695698 31.2658336340889 -293.324382085126</t>
  </si>
  <si>
    <t>-616.182975813502 28.1442600447799 -376.636823666927</t>
  </si>
  <si>
    <t>-623.845830078569 24.6107078063892 -460.104942473569</t>
  </si>
  <si>
    <t>-633.199902419297 18.9791275427028 -582.275792835295</t>
  </si>
  <si>
    <t>-610.480258457441 17.9630877933455 -657.262470717116</t>
  </si>
  <si>
    <t>-626.511373246071 52.6619022709019 -530.304910088857</t>
  </si>
  <si>
    <t>-598.444515705115 205.364689784339 -515.089365841407</t>
  </si>
  <si>
    <t>-445.793153923093 241.601709229284 -280.647412907311</t>
  </si>
  <si>
    <t>-215.366080645347 212.788397118723 -285.304547074213</t>
  </si>
  <si>
    <t>-571.386769097529 128.479430892208 -96.7706806356684</t>
  </si>
  <si>
    <t>-605.690514718463 143.040940786403 317.130037211448</t>
  </si>
  <si>
    <t>-668.227588480385 171.921913591383 774.978879226867</t>
  </si>
  <si>
    <t>-518.146819648053 178.061489315164 832.614805822221</t>
  </si>
  <si>
    <t>-596.448129872291 -73.4115133883433 323.52276377065</t>
  </si>
  <si>
    <t>-656.050786268897 -107.823227439107 781.449313583676</t>
  </si>
  <si>
    <t>-502.263837024995 -125.468392291919 825.290504342955</t>
  </si>
  <si>
    <t>9763-20170724T115333.929764800.bin</t>
  </si>
  <si>
    <t>-574.721688665685 36.8657438216915 -92.3377682787553</t>
  </si>
  <si>
    <t>-594.483842696129 34.3859899513679 -201.245138802272</t>
  </si>
  <si>
    <t>-605.978584811234 31.3607358460861 -293.356802611136</t>
  </si>
  <si>
    <t>-615.249682985141 28.2819082852182 -376.679637672749</t>
  </si>
  <si>
    <t>-622.843789022269 24.8044319746459 -460.15641489623</t>
  </si>
  <si>
    <t>-632.108666589574 19.2680141558715 -582.338447583947</t>
  </si>
  <si>
    <t>-609.372496369288 18.3578917237996 -657.321324283417</t>
  </si>
  <si>
    <t>-625.317092224507 52.8976845187408 -530.346532495799</t>
  </si>
  <si>
    <t>-596.232717638706 205.375734277679 -514.926590826783</t>
  </si>
  <si>
    <t>-441.048655251737 238.012739592196 -281.62141503996</t>
  </si>
  <si>
    <t>-210.586992240139 209.308185297966 -285.085892786577</t>
  </si>
  <si>
    <t>-570.66038894359 128.512604955268 -96.7688314340438</t>
  </si>
  <si>
    <t>-605.394304636991 143.197345999764 317.091615741064</t>
  </si>
  <si>
    <t>-668.218964878402 172.012501887621 774.932488128061</t>
  </si>
  <si>
    <t>-518.156023496726 178.183280862026 832.611423049381</t>
  </si>
  <si>
    <t>-596.313628827264 -73.5175703534426 323.518331613271</t>
  </si>
  <si>
    <t>-656.030125607101 -107.93604441783 781.430765871249</t>
  </si>
  <si>
    <t>-502.249395629463 -125.655683964478 825.263728821265</t>
  </si>
  <si>
    <t>9763-20170724T115333.963865000.bin</t>
  </si>
  <si>
    <t>-574.295070227354 36.7590415508796 -92.3724296983577</t>
  </si>
  <si>
    <t>-593.901950575568 34.3391639824267 -201.309291096024</t>
  </si>
  <si>
    <t>-605.284199548007 31.3539238531716 -293.436125740762</t>
  </si>
  <si>
    <t>-614.461214087204 28.3093289975877 -376.770659245364</t>
  </si>
  <si>
    <t>-621.969030194256 24.8617252385059 -460.256556878653</t>
  </si>
  <si>
    <t>-631.1163923818 19.3642587745471 -582.449022704366</t>
  </si>
  <si>
    <t>-608.378529687047 18.4609047300705 -657.431635049719</t>
  </si>
  <si>
    <t>-624.246388376274 52.9654664624557 -530.449012269324</t>
  </si>
  <si>
    <t>-594.606776301581 205.349657850799 -515.133906756171</t>
  </si>
  <si>
    <t>-438.604000187753 237.055668176786 -282.246728263769</t>
  </si>
  <si>
    <t>-208.096579994775 208.740382766365 -285.865748472165</t>
  </si>
  <si>
    <t>-569.95613388199 128.4578092672 -96.7635728666148</t>
  </si>
  <si>
    <t>-605.206727161692 143.172720590085 317.052123751751</t>
  </si>
  <si>
    <t>-668.229286214248 172.039054398798 774.916339934061</t>
  </si>
  <si>
    <t>-518.165487752982 178.155452832025 832.598748807724</t>
  </si>
  <si>
    <t>-596.428524325003 -73.81347178132 323.460171054764</t>
  </si>
  <si>
    <t>-655.959403697076 -108.046454303662 781.437496167999</t>
  </si>
  <si>
    <t>-502.239879516972 -126.037828431231 825.374307473057</t>
  </si>
  <si>
    <t>9763-20170724T115334.029760300.bin</t>
  </si>
  <si>
    <t>-573.684603224272 35.8948354578265 -92.5007706965714</t>
  </si>
  <si>
    <t>-592.943094562206 33.717990580242 -201.504794368704</t>
  </si>
  <si>
    <t>-604.098880419017 30.8246830902726 -293.662312908968</t>
  </si>
  <si>
    <t>-613.098472667362 27.8277376389467 -377.017893504846</t>
  </si>
  <si>
    <t>-620.456987292737 24.3861715691153 -460.517219451624</t>
  </si>
  <si>
    <t>-629.417520755465 18.8518677765542 -582.722156400355</t>
  </si>
  <si>
    <t>-606.546407188466 17.7768500668158 -657.66185986128</t>
  </si>
  <si>
    <t>-622.289633487848 52.4347712836886 -530.745005395618</t>
  </si>
  <si>
    <t>-591.246048957737 204.582967175156 -515.702286661127</t>
  </si>
  <si>
    <t>-433.150928508749 233.621973785766 -283.880590352306</t>
  </si>
  <si>
    <t>-202.492680901861 206.385402856224 -285.741505027555</t>
  </si>
  <si>
    <t>-568.529621064072 128.175873843885 -96.7848489377662</t>
  </si>
  <si>
    <t>-604.810610423378 142.904920034828 316.94139370256</t>
  </si>
  <si>
    <t>-668.313620395643 171.94641113871 774.824994744749</t>
  </si>
  <si>
    <t>-518.285958147604 178.235022146588 832.583034249108</t>
  </si>
  <si>
    <t>-596.585499589426 -74.6775950265849 323.330053977163</t>
  </si>
  <si>
    <t>-655.700080985533 -108.239881834421 781.510466910844</t>
  </si>
  <si>
    <t>-502.142349731328 -126.632602511175 825.844999898802</t>
  </si>
  <si>
    <t>9763-20170724T115334.062848200.bin</t>
  </si>
  <si>
    <t>-573.308320388713 35.2329936133726 -92.4694769938855</t>
  </si>
  <si>
    <t>-592.347501614092 33.2068717660832 -201.514838860805</t>
  </si>
  <si>
    <t>-603.367668995021 30.3615600863407 -293.690241683782</t>
  </si>
  <si>
    <t>-612.265065211077 27.3807960007389 -377.057363516913</t>
  </si>
  <si>
    <t>-619.542266121348 23.9249445717901 -460.563214007491</t>
  </si>
  <si>
    <t>-628.407519691063 18.3355095340844 -582.772455838502</t>
  </si>
  <si>
    <t>-605.445938845239 17.1166551358824 -657.682485601387</t>
  </si>
  <si>
    <t>-621.098941994394 51.9174751081403 -530.819922881873</t>
  </si>
  <si>
    <t>-588.998930253543 203.860739187927 -515.926042863251</t>
  </si>
  <si>
    <t>-430.109510365736 231.87714546901 -284.522064631403</t>
  </si>
  <si>
    <t>-199.401696207157 205.001782024664 -284.914770589497</t>
  </si>
  <si>
    <t>-567.840055225024 127.875946624564 -96.7465795797546</t>
  </si>
  <si>
    <t>-604.66322918174 142.566978736937 316.932947609634</t>
  </si>
  <si>
    <t>-668.315922642576 171.92139069111 774.763327786274</t>
  </si>
  <si>
    <t>-518.334856721427 178.30589145866 832.631537821139</t>
  </si>
  <si>
    <t>-596.546511046611 -74.8815410244376 323.299948392577</t>
  </si>
  <si>
    <t>-655.543229994048 -108.319471826493 781.54499618313</t>
  </si>
  <si>
    <t>-502.047131889603 -126.593357648605 826.14132616676</t>
  </si>
  <si>
    <t>9763-20170724T115334.130881800.bin</t>
  </si>
  <si>
    <t>-572.566333394218 34.2519352793461 -92.4066980461931</t>
  </si>
  <si>
    <t>-591.151440612534 32.3418239449354 -201.532459941684</t>
  </si>
  <si>
    <t>-601.905594632671 29.5755246093343 -293.741568129391</t>
  </si>
  <si>
    <t>-610.609458088463 26.6681478898179 -377.131783582036</t>
  </si>
  <si>
    <t>-617.741021035102 23.2800887529979 -460.653052845543</t>
  </si>
  <si>
    <t>-626.446579826232 17.7825609792599 -582.877938060957</t>
  </si>
  <si>
    <t>-603.323533257804 16.3046605364029 -657.733404059939</t>
  </si>
  <si>
    <t>-618.769880594004 51.2730611287061 -530.91929649137</t>
  </si>
  <si>
    <t>-584.456874858549 202.736165239363 -516.220412049573</t>
  </si>
  <si>
    <t>-425.42064447293 229.196473176565 -284.734092578682</t>
  </si>
  <si>
    <t>-194.69623283714 202.499994597457 -283.292308120076</t>
  </si>
  <si>
    <t>-566.315689380346 127.061562815756 -96.7036005701955</t>
  </si>
  <si>
    <t>-604.378131462257 142.037079087684 316.853632597413</t>
  </si>
  <si>
    <t>-668.311603590385 171.77819686299 774.618596616713</t>
  </si>
  <si>
    <t>-518.448645659106 178.457103570662 832.759135235041</t>
  </si>
  <si>
    <t>-596.217913730666 -75.9145465704844 323.418699037756</t>
  </si>
  <si>
    <t>-655.269239412816 -108.474830030046 781.636066387142</t>
  </si>
  <si>
    <t>-501.999176025789 -127.435635203368 826.720386209212</t>
  </si>
  <si>
    <t>9763-20170724T115334.162966700.bin</t>
  </si>
  <si>
    <t>-572.250176995993 33.9125297854966 -92.3947979584167</t>
  </si>
  <si>
    <t>-590.666004864142 32.0581573820123 -201.550194756131</t>
  </si>
  <si>
    <t>-601.292317560155 29.3313833556067 -293.7754868784</t>
  </si>
  <si>
    <t>-609.886265977539 26.4613059429732 -377.178273187329</t>
  </si>
  <si>
    <t>-616.913886463635 23.1092010009686 -460.709916874757</t>
  </si>
  <si>
    <t>-625.473935292892 17.663051804087 -582.947249891077</t>
  </si>
  <si>
    <t>-602.310319128564 16.0835257721417 -657.788212660033</t>
  </si>
  <si>
    <t>-617.696723952888 51.110460317808 -530.975795856848</t>
  </si>
  <si>
    <t>-582.684814716417 202.435994670436 -516.324487765347</t>
  </si>
  <si>
    <t>-423.990503033743 227.93036301422 -284.495354477447</t>
  </si>
  <si>
    <t>-193.249050808585 201.418655822816 -282.483447240048</t>
  </si>
  <si>
    <t>-565.52026641897 126.856054896987 -96.7250337250164</t>
  </si>
  <si>
    <t>-604.11842605812 141.90644320363 316.77981423278</t>
  </si>
  <si>
    <t>-668.302766108227 171.742714375868 774.522653812361</t>
  </si>
  <si>
    <t>-518.499905983459 178.570951951222 832.800425606895</t>
  </si>
  <si>
    <t>-596.242636795628 -76.3652147818902 323.436001789367</t>
  </si>
  <si>
    <t>-655.129524705473 -108.507512967963 781.683970354815</t>
  </si>
  <si>
    <t>-501.934771850587 -127.510561920045 827.005861169727</t>
  </si>
  <si>
    <t>9763-20170724T115334.230778200.bin</t>
  </si>
  <si>
    <t>-571.527204314653 33.6186515804584 -92.3312080953772</t>
  </si>
  <si>
    <t>-589.714197927784 31.8541720180201 -201.526546523628</t>
  </si>
  <si>
    <t>-600.193145954834 29.1618736556502 -293.769558950798</t>
  </si>
  <si>
    <t>-608.672090120695 26.3129485165402 -377.184944123351</t>
  </si>
  <si>
    <t>-615.603330675758 22.9680332872649 -460.724773965151</t>
  </si>
  <si>
    <t>-624.043309094488 17.5169886659569 -582.970337190408</t>
  </si>
  <si>
    <t>-600.874450181203 15.7845512936829 -657.806284077064</t>
  </si>
  <si>
    <t>-616.08721145687 50.9350172107609 -531.007104642304</t>
  </si>
  <si>
    <t>-579.860576544818 201.967268871985 -516.237011956919</t>
  </si>
  <si>
    <t>-423.491767238371 225.763306446765 -282.653797020709</t>
  </si>
  <si>
    <t>-192.677421815076 199.952774508755 -279.992490060171</t>
  </si>
  <si>
    <t>-564.220739910171 126.910508729619 -96.7412875400258</t>
  </si>
  <si>
    <t>-603.580673983692 141.985369837572 316.69085889247</t>
  </si>
  <si>
    <t>-668.293400208151 171.806904451997 774.371446510753</t>
  </si>
  <si>
    <t>-518.584810802438 178.657504265559 832.888281989334</t>
  </si>
  <si>
    <t>-596.300367793636 -76.4972106596156 323.489930555775</t>
  </si>
  <si>
    <t>-654.869136173241 -108.526186784105 781.79278187872</t>
  </si>
  <si>
    <t>-501.865804280644 -128.033402539216 827.5451372015</t>
  </si>
  <si>
    <t>9763-20170724T115334.278909000.bin</t>
  </si>
  <si>
    <t>-571.124610070665 33.6502877598957 -92.2863625485284</t>
  </si>
  <si>
    <t>-589.256301685259 31.8866171926463 -201.490922893942</t>
  </si>
  <si>
    <t>-599.71098291422 29.1986461754573 -293.736843801744</t>
  </si>
  <si>
    <t>-608.176649981346 26.3573396155568 -377.153734163455</t>
  </si>
  <si>
    <t>-615.103527826293 23.0225672140277 -460.694452782584</t>
  </si>
  <si>
    <t>-623.546743569532 17.5893989677845 -582.940461470599</t>
  </si>
  <si>
    <t>-600.383676672912 15.8084732425868 -657.777099341918</t>
  </si>
  <si>
    <t>-615.525744246948 50.990972544226 -530.976651422929</t>
  </si>
  <si>
    <t>-578.856640422642 201.889361239312 -516.07824347465</t>
  </si>
  <si>
    <t>-424.483734581855 225.664000552102 -281.169108577035</t>
  </si>
  <si>
    <t>-193.624619002991 200.227827801982 -278.803064849158</t>
  </si>
  <si>
    <t>-563.629455709585 126.970250999077 -96.7041490534685</t>
  </si>
  <si>
    <t>-603.34995014667 142.173821147377 316.688826078712</t>
  </si>
  <si>
    <t>-668.283275200928 171.9312351274 774.326706845966</t>
  </si>
  <si>
    <t>-518.592356005117 178.579061629444 832.912212659597</t>
  </si>
  <si>
    <t>-596.055207867898 -76.3829541815514 323.560558365588</t>
  </si>
  <si>
    <t>-654.782769977913 -108.497905178349 781.833845371929</t>
  </si>
  <si>
    <t>-501.85033293025 -128.254632379012 827.715957497892</t>
  </si>
  <si>
    <t>9763-20170724T115334.332569600.bin</t>
  </si>
  <si>
    <t>-570.631466521433 33.9154460506365 -92.2393244135931</t>
  </si>
  <si>
    <t>-588.703810078814 32.0092117172314 -201.451275274688</t>
  </si>
  <si>
    <t>-599.166595043453 29.2717570773141 -293.694849745418</t>
  </si>
  <si>
    <t>-607.662766704919 26.4120736715254 -377.108026320828</t>
  </si>
  <si>
    <t>-614.642806752022 23.0872698710259 -460.644687053251</t>
  </si>
  <si>
    <t>-623.188324007146 17.7002461018694 -582.885803938239</t>
  </si>
  <si>
    <t>-600.087152989979 15.8894501481045 -657.740687156516</t>
  </si>
  <si>
    <t>-615.218747437885 51.0955087467614 -530.909901952211</t>
  </si>
  <si>
    <t>-578.922736479392 202.06513403297 -515.674216925052</t>
  </si>
  <si>
    <t>-429.071079430102 226.063111987935 -277.87776970087</t>
  </si>
  <si>
    <t>-198.372919150663 199.36250060743 -274.141137986234</t>
  </si>
  <si>
    <t>-563.346719466298 127.356994243587 -96.7331221253714</t>
  </si>
  <si>
    <t>-603.353939145821 142.472146601045 316.635437113352</t>
  </si>
  <si>
    <t>-668.335157133618 171.919463294558 774.24730463631</t>
  </si>
  <si>
    <t>-518.647200584989 178.578572526302 832.839179046025</t>
  </si>
  <si>
    <t>-595.578385832793 -76.2913900242461 323.662559996031</t>
  </si>
  <si>
    <t>-654.726533701155 -108.370243245599 781.862447646028</t>
  </si>
  <si>
    <t>-501.846891901592 -128.388227490336 827.807202681182</t>
  </si>
  <si>
    <t>9763-20170724T115334.363655300.bin</t>
  </si>
  <si>
    <t>-570.597834704635 34.16960192439 -92.2475593660782</t>
  </si>
  <si>
    <t>-588.643916504648 32.1546791274366 -201.461928712363</t>
  </si>
  <si>
    <t>-599.119444109332 29.3782877119929 -293.702885579531</t>
  </si>
  <si>
    <t>-607.641384255967 26.5004668598813 -377.112886247776</t>
  </si>
  <si>
    <t>-614.660947597307 23.1771284172464 -460.646124631288</t>
  </si>
  <si>
    <t>-623.279400950008 17.8132935080589 -582.883181959823</t>
  </si>
  <si>
    <t>-600.21888717993 16.0439454867001 -657.751707181863</t>
  </si>
  <si>
    <t>-615.393683114709 51.2145059693157 -530.898385932047</t>
  </si>
  <si>
    <t>-579.568482721797 202.269341986457 -515.470922756298</t>
  </si>
  <si>
    <t>-432.477575106643 226.306390411546 -275.96079463408</t>
  </si>
  <si>
    <t>-201.940776673116 198.389491945476 -271.274672855592</t>
  </si>
  <si>
    <t>-563.717960945237 127.574515806253 -96.7771428395522</t>
  </si>
  <si>
    <t>-603.615662679064 142.659034763831 316.603121319876</t>
  </si>
  <si>
    <t>-668.370401204325 171.859569663111 774.225332965631</t>
  </si>
  <si>
    <t>-518.67284968706 178.565360228058 832.787168845018</t>
  </si>
  <si>
    <t>-595.370001291336 -76.2100304336093 323.68353219365</t>
  </si>
  <si>
    <t>-654.727183310036 -108.339815787326 781.860375914543</t>
  </si>
  <si>
    <t>-501.863225097684 -128.518711692363 827.787003667175</t>
  </si>
  <si>
    <t>9763-20170724T115334.429335800.bin</t>
  </si>
  <si>
    <t>-570.976044085903 34.6479274701233 -92.2699682817838</t>
  </si>
  <si>
    <t>-589.025823054892 32.4238890193985 -201.479592190191</t>
  </si>
  <si>
    <t>-599.501924994482 29.5645997640831 -293.718016544954</t>
  </si>
  <si>
    <t>-608.023587793771 26.6390004428238 -377.12637180197</t>
  </si>
  <si>
    <t>-615.041175715941 23.3013358141184 -460.659329477727</t>
  </si>
  <si>
    <t>-623.654448096933 17.9533815874674 -582.897444249368</t>
  </si>
  <si>
    <t>-600.675098270609 16.4179473578258 -657.795967970901</t>
  </si>
  <si>
    <t>-616.130273807518 51.3943668026782 -530.884613659649</t>
  </si>
  <si>
    <t>-582.026829365167 202.816270958863 -515.203128283971</t>
  </si>
  <si>
    <t>-440.148810128948 226.710664008342 -272.55473650687</t>
  </si>
  <si>
    <t>-210.442560971109 193.054312079121 -265.426177919583</t>
  </si>
  <si>
    <t>-565.164693601158 127.881150742818 -96.861816452704</t>
  </si>
  <si>
    <t>-604.435105640692 142.867989363884 316.582057521667</t>
  </si>
  <si>
    <t>-668.440061594243 171.823534049578 774.286285742772</t>
  </si>
  <si>
    <t>-518.680668913257 178.407249490712 832.703820190137</t>
  </si>
  <si>
    <t>-594.974724115803 -75.8916755141659 323.664514288458</t>
  </si>
  <si>
    <t>-654.804655483876 -108.182917933113 781.796505100187</t>
  </si>
  <si>
    <t>-501.838618004485 -128.008612233916 827.536564279314</t>
  </si>
  <si>
    <t>9763-20170724T115334.466434000.bin</t>
  </si>
  <si>
    <t>-571.321869366796 34.8864067807433 -92.29394593235</t>
  </si>
  <si>
    <t>-589.423109658035 32.5507072666248 -201.492875613326</t>
  </si>
  <si>
    <t>-599.928474644832 29.6513192761449 -293.726488379505</t>
  </si>
  <si>
    <t>-608.4710048697 26.7045964311674 -377.132010450104</t>
  </si>
  <si>
    <t>-615.503389095974 23.3648481092359 -460.663667151835</t>
  </si>
  <si>
    <t>-624.131052867817 18.0357944739892 -582.901496095422</t>
  </si>
  <si>
    <t>-601.173769807703 16.6730789859582 -657.810307339747</t>
  </si>
  <si>
    <t>-616.845881711895 51.4980793176805 -530.868493817897</t>
  </si>
  <si>
    <t>-583.834829573137 203.134307920337 -514.919237493455</t>
  </si>
  <si>
    <t>-443.483028545045 227.072966584532 -271.38910860397</t>
  </si>
  <si>
    <t>-214.294440100837 190.424117514445 -262.558205271387</t>
  </si>
  <si>
    <t>-566.175143954162 128.057326946647 -96.8973983950749</t>
  </si>
  <si>
    <t>-604.97238107713 142.903611046955 316.596296218002</t>
  </si>
  <si>
    <t>-668.4799325577 171.758550406741 774.360802395607</t>
  </si>
  <si>
    <t>-518.684429918607 178.352419992188 832.684462048519</t>
  </si>
  <si>
    <t>-594.783610245915 -75.7232694008344 323.639796479598</t>
  </si>
  <si>
    <t>-654.849333667776 -108.144872637489 781.753389005844</t>
  </si>
  <si>
    <t>-501.858185361033 -127.989585023758 827.401158610497</t>
  </si>
  <si>
    <t>9763-20170724T115334.525482500.bin</t>
  </si>
  <si>
    <t>-571.726902626839 35.0110779663542 -92.3248668839525</t>
  </si>
  <si>
    <t>-589.898514090574 32.5472755631104 -201.509168942016</t>
  </si>
  <si>
    <t>-600.473665279345 29.5999099369405 -293.733429451029</t>
  </si>
  <si>
    <t>-609.083671175384 26.6263803517513 -377.131052096493</t>
  </si>
  <si>
    <t>-616.187288019924 23.281379925302 -460.656426103828</t>
  </si>
  <si>
    <t>-624.923083174412 17.968044038334 -582.88731712028</t>
  </si>
  <si>
    <t>-601.995837520627 16.7851738285053 -657.808266246499</t>
  </si>
  <si>
    <t>-617.840200422978 51.4515459243094 -530.839944745317</t>
  </si>
  <si>
    <t>-585.91740224316 203.285909529222 -514.544226552057</t>
  </si>
  <si>
    <t>-446.289521807329 227.975543155983 -270.673213931026</t>
  </si>
  <si>
    <t>-217.51562863591 189.447084109802 -259.421761246436</t>
  </si>
  <si>
    <t>-567.307629482162 128.074990662492 -96.9275344721673</t>
  </si>
  <si>
    <t>-605.582023849377 142.883861303567 316.616064792629</t>
  </si>
  <si>
    <t>-668.506381006751 171.753604908417 774.448397378927</t>
  </si>
  <si>
    <t>-518.676541121008 178.36604284068 832.681730932975</t>
  </si>
  <si>
    <t>-594.580083091246 -75.6431537858689 323.624008973959</t>
  </si>
  <si>
    <t>-654.903279543118 -108.084506674727 781.709563126257</t>
  </si>
  <si>
    <t>-501.857822686896 -127.763150028234 827.247068779874</t>
  </si>
  <si>
    <t>9763-20170724T115334.561600100.bin</t>
  </si>
  <si>
    <t>-572.427534938185 34.8859003565638 -92.3627572041555</t>
  </si>
  <si>
    <t>-590.776026242687 32.2304586200707 -201.51304697397</t>
  </si>
  <si>
    <t>-601.535121844777 29.253961463693 -293.715140561983</t>
  </si>
  <si>
    <t>-610.325383660116 26.2936340481108 -377.094324434874</t>
  </si>
  <si>
    <t>-617.622460420755 23.0095219095181 -460.605383485032</t>
  </si>
  <si>
    <t>-626.655149601556 17.8374284466643 -582.820673465365</t>
  </si>
  <si>
    <t>-603.889713855766 17.0617997789313 -657.796371035253</t>
  </si>
  <si>
    <t>-619.897597049146 51.3060528188432 -530.720517184864</t>
  </si>
  <si>
    <t>-589.868192082773 203.447465649017 -513.770990465072</t>
  </si>
  <si>
    <t>-451.080443383403 229.762882114429 -269.590562411078</t>
  </si>
  <si>
    <t>-222.972229271683 189.198222739009 -253.168620978538</t>
  </si>
  <si>
    <t>-569.326493015688 127.681827519059 -96.9057339022394</t>
  </si>
  <si>
    <t>-606.61431963623 142.694161498886 316.720728592391</t>
  </si>
  <si>
    <t>-668.526006152758 171.811488282514 774.661387825282</t>
  </si>
  <si>
    <t>-518.620830111529 178.134133318623 832.732874873763</t>
  </si>
  <si>
    <t>-594.249140754364 -75.7470128680111 323.551385164751</t>
  </si>
  <si>
    <t>-655.009826542221 -108.017906260187 781.611028822377</t>
  </si>
  <si>
    <t>-501.860485877536 -127.382180289437 826.93350444182</t>
  </si>
  <si>
    <t>9763-20170724T115334.628419600.bin</t>
  </si>
  <si>
    <t>-572.802592454712 34.3458134258526 -92.3487462587049</t>
  </si>
  <si>
    <t>-591.27178126217 31.5513306913806 -201.475235257772</t>
  </si>
  <si>
    <t>-602.252207924455 28.6418639770293 -293.653270720704</t>
  </si>
  <si>
    <t>-611.289716495868 25.8087315378016 -377.010548013917</t>
  </si>
  <si>
    <t>-618.880416960294 22.7249785403178 -460.50304276768</t>
  </si>
  <si>
    <t>-628.392388321964 17.92704786014 -582.697279652287</t>
  </si>
  <si>
    <t>-605.952407054502 17.5596182457557 -657.774080067764</t>
  </si>
  <si>
    <t>-621.75124536238 51.2642224252045 -530.497966520994</t>
  </si>
  <si>
    <t>-593.337727917239 203.666639836219 -513.09124076341</t>
  </si>
  <si>
    <t>-456.817131120994 230.703086997094 -267.714498331004</t>
  </si>
  <si>
    <t>-228.605340379722 192.977976567678 -246.626210800486</t>
  </si>
  <si>
    <t>-570.495628043276 126.916119221011 -96.8315881509842</t>
  </si>
  <si>
    <t>-607.255474312568 142.199167930132 316.832190140099</t>
  </si>
  <si>
    <t>-668.604451967857 171.723729423469 774.90378384035</t>
  </si>
  <si>
    <t>-518.641052235301 178.209006538421 832.806625896837</t>
  </si>
  <si>
    <t>-594.008073120119 -76.0557823800896 323.532477688095</t>
  </si>
  <si>
    <t>-655.089761664857 -107.950843035125 781.553912015909</t>
  </si>
  <si>
    <t>-501.83745929191 -126.91298892751 826.698085771391</t>
  </si>
  <si>
    <t>9763-20170724T115334.662514900.bin</t>
  </si>
  <si>
    <t>-572.890859221634 33.9390141841116 -92.3414736470421</t>
  </si>
  <si>
    <t>-591.425163979381 31.0987169302166 -201.455649675415</t>
  </si>
  <si>
    <t>-602.539261458959 28.2286909557497 -293.618980879932</t>
  </si>
  <si>
    <t>-611.728718329307 25.4619039419131 -376.961816419261</t>
  </si>
  <si>
    <t>-619.502337029181 22.4770200832265 -460.441169583458</t>
  </si>
  <si>
    <t>-629.315325276828 17.8597949639857 -582.618547671511</t>
  </si>
  <si>
    <t>-607.062072974538 17.6369471853127 -657.751366375509</t>
  </si>
  <si>
    <t>-622.616616113042 51.1255352809987 -530.381015113431</t>
  </si>
  <si>
    <t>-594.787519574837 203.651918966517 -512.888473082494</t>
  </si>
  <si>
    <t>-460.623352529905 230.114069207048 -266.15323993002</t>
  </si>
  <si>
    <t>-232.129710177697 195.625639497806 -242.706771256213</t>
  </si>
  <si>
    <t>-570.682797883601 126.495870354497 -96.7978055903247</t>
  </si>
  <si>
    <t>-607.240281078615 141.988514274785 316.876144104316</t>
  </si>
  <si>
    <t>-668.620867484023 171.729788768975 774.94980599842</t>
  </si>
  <si>
    <t>-518.640584976504 178.146305616426 832.816549737516</t>
  </si>
  <si>
    <t>-593.959187717463 -76.3094389083008 323.537450550879</t>
  </si>
  <si>
    <t>-655.117200376022 -107.92677167628 781.544569755373</t>
  </si>
  <si>
    <t>-501.85607449424 -126.959948738034 826.628784645202</t>
  </si>
  <si>
    <t>9763-20170724T115334.730202500.bin</t>
  </si>
  <si>
    <t>-572.852886276136 33.2788826585549 -92.3043871880191</t>
  </si>
  <si>
    <t>-591.548048544364 30.4679954776291 -201.391973265451</t>
  </si>
  <si>
    <t>-602.908283971199 27.7588250296767 -293.530104203676</t>
  </si>
  <si>
    <t>-612.363567837839 25.1956879390943 -376.849806734378</t>
  </si>
  <si>
    <t>-620.445972820777 22.4733909584525 -460.308652552566</t>
  </si>
  <si>
    <t>-630.757119049579 18.3054332460865 -582.461142019651</t>
  </si>
  <si>
    <t>-608.834677968737 18.3214631855167 -657.691598152278</t>
  </si>
  <si>
    <t>-623.827023367346 51.3772496492925 -530.130926178511</t>
  </si>
  <si>
    <t>-595.967410983172 203.807421561293 -512.362682822311</t>
  </si>
  <si>
    <t>-470.366618026438 230.281641195654 -261.161286014744</t>
  </si>
  <si>
    <t>-242.056427801955 201.752956699063 -229.394929416269</t>
  </si>
  <si>
    <t>-570.271728375732 125.866144738467 -96.745235937344</t>
  </si>
  <si>
    <t>-606.752190137102 141.585975268541 316.926890822259</t>
  </si>
  <si>
    <t>-668.625225052608 171.780736429801 774.902071860485</t>
  </si>
  <si>
    <t>-518.640686564446 178.121033251801 832.766327606643</t>
  </si>
  <si>
    <t>-594.077411893412 -76.7935008051757 323.569893071362</t>
  </si>
  <si>
    <t>-655.15934124915 -107.917584369417 781.572102201286</t>
  </si>
  <si>
    <t>-501.889792798171 -127.132139122156 826.550674661966</t>
  </si>
  <si>
    <t>9763-20170724T115334.765296800.bin</t>
  </si>
  <si>
    <t>-572.809255358409 33.1407756517256 -92.2803032928597</t>
  </si>
  <si>
    <t>-591.656250589572 30.3856050790546 -201.343173318634</t>
  </si>
  <si>
    <t>-603.073080880299 27.8105239258014 -293.478201585758</t>
  </si>
  <si>
    <t>-612.549873510019 25.40697918716 -376.800071098973</t>
  </si>
  <si>
    <t>-620.623822023904 22.8822484277234 -460.266112513994</t>
  </si>
  <si>
    <t>-630.889117854943 19.0456074226836 -582.433301706569</t>
  </si>
  <si>
    <t>-609.098989555242 19.2124280670416 -657.702035788457</t>
  </si>
  <si>
    <t>-623.98968148058 51.9762536482144 -530.009986937665</t>
  </si>
  <si>
    <t>-595.763962525576 204.334820775204 -511.84213734626</t>
  </si>
  <si>
    <t>-475.376278881537 230.840257463442 -258.104424002776</t>
  </si>
  <si>
    <t>-247.573231181158 204.089907369141 -221.515855628345</t>
  </si>
  <si>
    <t>-569.879253816298 125.762016276695 -96.7355149873126</t>
  </si>
  <si>
    <t>-606.386398649241 141.443845155802 316.935722772951</t>
  </si>
  <si>
    <t>-668.622854774968 171.774640352603 774.830997876011</t>
  </si>
  <si>
    <t>-518.641088777851 178.027063016606 832.711829079067</t>
  </si>
  <si>
    <t>-594.17686197479 -76.8807649070777 323.574704235247</t>
  </si>
  <si>
    <t>-655.192282935265 -107.874100662507 781.583630943243</t>
  </si>
  <si>
    <t>-501.879919207658 -126.963668081536 826.469414591748</t>
  </si>
  <si>
    <t>9763-20170724T115334.831994600.bin</t>
  </si>
  <si>
    <t>-572.926039585857 32.966888649069 -92.3686228941094</t>
  </si>
  <si>
    <t>-592.026771573172 30.3108274183664 -201.389735851617</t>
  </si>
  <si>
    <t>-603.586610237091 27.9792842802012 -293.51337205482</t>
  </si>
  <si>
    <t>-613.162905935483 25.8638506476186 -376.831833785688</t>
  </si>
  <si>
    <t>-621.306069808428 23.6951073213261 -460.301092553893</t>
  </si>
  <si>
    <t>-631.638494194725 20.4546081244653 -582.479878338831</t>
  </si>
  <si>
    <t>-610.048918135731 20.740626278234 -657.805971625539</t>
  </si>
  <si>
    <t>-624.706442159757 53.1289082465457 -529.900551536937</t>
  </si>
  <si>
    <t>-597.278155996241 205.614363426173 -511.597727879849</t>
  </si>
  <si>
    <t>-488.252497018275 234.601148668177 -253.040501349855</t>
  </si>
  <si>
    <t>-261.779411922192 212.118170365828 -206.640331449099</t>
  </si>
  <si>
    <t>-569.612764928372 125.663917243787 -96.8305245711903</t>
  </si>
  <si>
    <t>-605.940298557577 141.217318727497 316.86139765053</t>
  </si>
  <si>
    <t>-668.623760839731 171.743308816995 774.683787206636</t>
  </si>
  <si>
    <t>-518.649075933843 177.917888443367 832.591423845916</t>
  </si>
  <si>
    <t>-594.380452886375 -76.8855708949504 323.525365654307</t>
  </si>
  <si>
    <t>-655.258223097068 -107.857678526492 781.576950928904</t>
  </si>
  <si>
    <t>-501.937309251478 -127.246609108898 826.30494445567</t>
  </si>
  <si>
    <t>9763-20170724T115334.865064800.bin</t>
  </si>
  <si>
    <t>-572.96207732344 32.8283569729299 -92.4322810503952</t>
  </si>
  <si>
    <t>-592.094173195741 30.240006306243 -201.449552518519</t>
  </si>
  <si>
    <t>-603.766681844099 27.9693993195579 -293.560476121795</t>
  </si>
  <si>
    <t>-613.479396374897 25.9119056123723 -376.864589177706</t>
  </si>
  <si>
    <t>-621.793914047884 23.8022739517492 -460.31855152371</t>
  </si>
  <si>
    <t>-632.415228413067 20.649066481503 -582.474834202648</t>
  </si>
  <si>
    <t>-610.912658712602 20.8516381555787 -657.826151086437</t>
  </si>
  <si>
    <t>-625.245851249751 53.2765479319046 -529.898380841165</t>
  </si>
  <si>
    <t>-597.625478647211 205.768744934516 -511.650573119571</t>
  </si>
  <si>
    <t>-495.835273231854 234.423160081994 -250.12377391564</t>
  </si>
  <si>
    <t>-270.199972101964 215.297775278623 -198.437468108398</t>
  </si>
  <si>
    <t>-569.521972408161 125.355634982351 -96.83973334559</t>
  </si>
  <si>
    <t>-605.871441353057 141.127309006451 316.842006503033</t>
  </si>
  <si>
    <t>-668.618097481424 171.763798615149 774.632529022876</t>
  </si>
  <si>
    <t>-518.649858761322 177.935652367488 832.557251634566</t>
  </si>
  <si>
    <t>-594.438322506524 -76.9217344335211 323.47377779706</t>
  </si>
  <si>
    <t>-655.267435319372 -107.865381177586 781.562898398595</t>
  </si>
  <si>
    <t>-501.936911287055 -127.261713069124 826.254750634437</t>
  </si>
  <si>
    <t>9763-20170724T115334.931246500.bin</t>
  </si>
  <si>
    <t>-573.031516177655 32.7580749897661 -92.369186537396</t>
  </si>
  <si>
    <t>-592.286933030835 30.3705977145814 -201.369275268744</t>
  </si>
  <si>
    <t>-604.121590648597 28.2447044740431 -293.462915303248</t>
  </si>
  <si>
    <t>-614.004061335246 26.3131443204829 -376.750120140959</t>
  </si>
  <si>
    <t>-622.512089495429 24.3212901298664 -460.187489118331</t>
  </si>
  <si>
    <t>-633.44244405871 21.331254987881 -582.320584288124</t>
  </si>
  <si>
    <t>-612.138938021943 21.4352356393676 -657.728516395829</t>
  </si>
  <si>
    <t>-625.94111988068 53.8713840589835 -529.736247789008</t>
  </si>
  <si>
    <t>-596.640227448356 205.919693377353 -510.916500297512</t>
  </si>
  <si>
    <t>-507.576620787684 231.751281225872 -244.497606749694</t>
  </si>
  <si>
    <t>-284.740702246284 218.40948955175 -180.351875848048</t>
  </si>
  <si>
    <t>-569.06191080344 125.087073726193 -96.7700794744364</t>
  </si>
  <si>
    <t>-605.635914292726 140.886196488532 316.890795507284</t>
  </si>
  <si>
    <t>-668.590937831915 171.728789572374 774.566548455414</t>
  </si>
  <si>
    <t>-518.634840625763 177.764583740764 832.536829519663</t>
  </si>
  <si>
    <t>-594.596118109007 -76.9466301995822 323.436708287246</t>
  </si>
  <si>
    <t>-655.302439783641 -107.850703561129 781.526795791421</t>
  </si>
  <si>
    <t>-501.905480688102 -127.004137377046 826.095248837892</t>
  </si>
  <si>
    <t>9763-20170724T115334.960325400.bin</t>
  </si>
  <si>
    <t>-573.059116852717 32.884137652798 -92.3875496631707</t>
  </si>
  <si>
    <t>-592.454524242946 30.5835813520982 -201.364831000911</t>
  </si>
  <si>
    <t>-604.394006279862 28.5427583940107 -293.446866108656</t>
  </si>
  <si>
    <t>-614.365656749407 26.6955012846206 -376.725315394001</t>
  </si>
  <si>
    <t>-622.957393598325 24.7945373557591 -460.156113518486</t>
  </si>
  <si>
    <t>-634.004096738252 21.9450231938497 -582.282220187485</t>
  </si>
  <si>
    <t>-612.82746290235 22.0208898661465 -657.725841248995</t>
  </si>
  <si>
    <t>-626.419458664433 54.4215344904176 -529.670529259791</t>
  </si>
  <si>
    <t>-596.588624335642 206.310765648638 -510.257931080267</t>
  </si>
  <si>
    <t>-512.096069053829 231.54121563951 -242.297064858973</t>
  </si>
  <si>
    <t>-291.695966033087 220.862227279834 -169.783075563799</t>
  </si>
  <si>
    <t>-568.819015753706 125.250379351148 -96.7840807442168</t>
  </si>
  <si>
    <t>-605.3500044996 140.834241897788 316.888793400596</t>
  </si>
  <si>
    <t>-668.576643897047 171.717435827978 774.540729207056</t>
  </si>
  <si>
    <t>-518.626022481044 177.7294500614 832.527785952374</t>
  </si>
  <si>
    <t>-594.697728998717 -76.858453737789 323.411043114901</t>
  </si>
  <si>
    <t>-655.318666693592 -107.871231365338 781.509200756803</t>
  </si>
  <si>
    <t>-501.917665403253 -127.106394710825 826.028367305691</t>
  </si>
  <si>
    <t>9763-20170724T115335.030243800.bin</t>
  </si>
  <si>
    <t>-572.998670191217 33.1736936129198 -92.4576989171386</t>
  </si>
  <si>
    <t>-592.709477516448 30.9864194758202 -201.380662570207</t>
  </si>
  <si>
    <t>-604.904454374863 29.0582214648305 -293.431716703921</t>
  </si>
  <si>
    <t>-615.102284580601 27.3239030872699 -376.685104263484</t>
  </si>
  <si>
    <t>-623.915924994241 25.5448970480563 -460.095486600308</t>
  </si>
  <si>
    <t>-635.282095833482 22.8842388698406 -582.196469131241</t>
  </si>
  <si>
    <t>-614.203082989008 22.8653217769499 -657.667598467934</t>
  </si>
  <si>
    <t>-627.455891860334 55.2698143211405 -529.564241496263</t>
  </si>
  <si>
    <t>-596.143607169214 206.746086759487 -509.258275220596</t>
  </si>
  <si>
    <t>-519.92036878981 232.428500713604 -238.871425059909</t>
  </si>
  <si>
    <t>-306.186754752986 224.924328592087 -148.261403734975</t>
  </si>
  <si>
    <t>-568.314485834394 125.352039781552 -96.7683318548087</t>
  </si>
  <si>
    <t>-604.799577763672 140.869102040853 316.911044885266</t>
  </si>
  <si>
    <t>-668.571257670488 171.763021907067 774.502063616568</t>
  </si>
  <si>
    <t>-518.625115826528 177.603542007281 832.518147851483</t>
  </si>
  <si>
    <t>-594.620219598236 -76.4741712574389 323.379038032701</t>
  </si>
  <si>
    <t>-655.3327948387 -107.846827313984 781.483180994148</t>
  </si>
  <si>
    <t>-501.890862469519 -127.015061918015 825.890168020302</t>
  </si>
  <si>
    <t>9763-20170724T115335.098425500.bin</t>
  </si>
  <si>
    <t>-572.958294056445 33.3447861562963 -92.416979846383</t>
  </si>
  <si>
    <t>-592.879588572922 31.1981245221282 -201.302423800701</t>
  </si>
  <si>
    <t>-605.205758264311 29.3155765156348 -293.336934765053</t>
  </si>
  <si>
    <t>-615.50336424496 27.6280247413029 -376.579058363146</t>
  </si>
  <si>
    <t>-624.397948327684 25.9005423556273 -459.981883256839</t>
  </si>
  <si>
    <t>-635.861917825691 23.3192952711665 -582.075522364615</t>
  </si>
  <si>
    <t>-614.791029145231 23.2671698682818 -657.548856026099</t>
  </si>
  <si>
    <t>-627.927337592997 55.6644134600099 -529.434486803572</t>
  </si>
  <si>
    <t>-595.883735857416 206.947879020556 -508.811781174193</t>
  </si>
  <si>
    <t>-524.169574033409 232.588901732989 -237.190434969584</t>
  </si>
  <si>
    <t>-313.79310987727 225.825448043 -138.983847715302</t>
  </si>
  <si>
    <t>-568.153485513405 125.501545289321 -96.7460846250731</t>
  </si>
  <si>
    <t>-604.613913435777 140.894288085359 316.940230270947</t>
  </si>
  <si>
    <t>-668.540917142677 171.886426076485 774.474058640929</t>
  </si>
  <si>
    <t>-518.596077702189 177.505229823285 832.515419135978</t>
  </si>
  <si>
    <t>-594.492874105426 -76.254436253764 323.399524977058</t>
  </si>
  <si>
    <t>-655.355947803471 -107.814505694069 781.46913486816</t>
  </si>
  <si>
    <t>-501.88345339876 -126.924779016498 825.795320895489</t>
  </si>
  <si>
    <t>9763-20170724T115335.130179700.bin</t>
  </si>
  <si>
    <t>-572.776020409333 33.4582114373359 -92.427889527278</t>
  </si>
  <si>
    <t>-593.166737157811 31.3921507716041 -201.227850009203</t>
  </si>
  <si>
    <t>-605.725685566211 29.6191593885897 -293.233076301223</t>
  </si>
  <si>
    <t>-616.16748225051 28.0486799330204 -376.459579584869</t>
  </si>
  <si>
    <t>-625.14006007675 26.4534144431866 -459.856675650819</t>
  </si>
  <si>
    <t>-636.644868660156 24.0819674607133 -581.950710531633</t>
  </si>
  <si>
    <t>-615.586366095508 23.9936456995033 -657.42749282381</t>
  </si>
  <si>
    <t>-628.565302037301 56.3242263899874 -529.268611459192</t>
  </si>
  <si>
    <t>-595.742555454288 207.42888497096 -508.561124407539</t>
  </si>
  <si>
    <t>-532.821555447526 231.637023396732 -234.638612955911</t>
  </si>
  <si>
    <t>-327.379019865263 227.001496814126 -126.377813550693</t>
  </si>
  <si>
    <t>-567.726799018482 125.601806599867 -96.7389443857256</t>
  </si>
  <si>
    <t>-604.295319613485 140.859717260475 316.942770785186</t>
  </si>
  <si>
    <t>-668.573422179675 171.815312765048 774.463971641047</t>
  </si>
  <si>
    <t>-518.629823719302 177.451725825699 832.50682415215</t>
  </si>
  <si>
    <t>-594.313450197001 -75.916950524484 323.428574273399</t>
  </si>
  <si>
    <t>-655.399772845761 -107.805028854337 781.435681969771</t>
  </si>
  <si>
    <t>-501.899353754465 -127.020295810399 825.619598505341</t>
  </si>
  <si>
    <t>9763-20170724T115335.163266800.bin</t>
  </si>
  <si>
    <t>-572.799205231608 33.3620185315649 -92.4575978429334</t>
  </si>
  <si>
    <t>-593.349175224228 31.308447809216 -201.227862297205</t>
  </si>
  <si>
    <t>-606.015216698903 29.5646123524957 -293.219061948302</t>
  </si>
  <si>
    <t>-616.542632797048 28.0285362988855 -376.435349383913</t>
  </si>
  <si>
    <t>-625.589618394819 26.4755988540935 -459.825136264422</t>
  </si>
  <si>
    <t>-637.190933499339 24.1742824668977 -581.911401952819</t>
  </si>
  <si>
    <t>-616.155812868004 24.0709849588841 -657.394699044321</t>
  </si>
  <si>
    <t>-629.051012283486 56.3844505367279 -529.218899019491</t>
  </si>
  <si>
    <t>-596.262651879194 207.499589881916 -508.556772947358</t>
  </si>
  <si>
    <t>-535.833232122566 230.598279286645 -233.9783641525</t>
  </si>
  <si>
    <t>-332.794454874246 227.00256201116 -121.235936469688</t>
  </si>
  <si>
    <t>-567.685625845215 125.514272448704 -96.7572453469596</t>
  </si>
  <si>
    <t>-604.114240410275 140.731129370178 316.938299640977</t>
  </si>
  <si>
    <t>-668.584781540734 171.792405579256 774.441216999034</t>
  </si>
  <si>
    <t>-518.650064705936 177.470676691862 832.502861176278</t>
  </si>
  <si>
    <t>-594.218331945002 -75.925686348703 323.427785308756</t>
  </si>
  <si>
    <t>-655.40155644793 -107.804849260953 781.42569814498</t>
  </si>
  <si>
    <t>-501.902603291714 -127.106387580986 825.577095438031</t>
  </si>
  <si>
    <t>9763-20170724T115335.229040500.bin</t>
  </si>
  <si>
    <t>-573.132639342949 33.1204743157334 -92.4405389265946</t>
  </si>
  <si>
    <t>-593.835725500078 31.0744978008181 -201.181935369224</t>
  </si>
  <si>
    <t>-606.652222463301 29.3978975054899 -293.153391178355</t>
  </si>
  <si>
    <t>-617.323785127531 27.9468300666035 -376.352910552592</t>
  </si>
  <si>
    <t>-626.523146447723 26.5034125687794 -459.728072917676</t>
  </si>
  <si>
    <t>-638.355952325365 24.3894791692903 -581.795551531997</t>
  </si>
  <si>
    <t>-617.402483450448 24.3492182635775 -657.30148187845</t>
  </si>
  <si>
    <t>-630.149359098556 56.5219210559887 -529.065971200592</t>
  </si>
  <si>
    <t>-597.610196199624 207.634825230329 -508.033182391984</t>
  </si>
  <si>
    <t>-538.71400753078 228.773725155451 -232.964208929775</t>
  </si>
  <si>
    <t>-340.6173129617 226.550009101206 -111.715314992142</t>
  </si>
  <si>
    <t>-568.173010163622 125.369471803417 -96.7584893650856</t>
  </si>
  <si>
    <t>-604.166886663297 140.521480321735 316.977513053065</t>
  </si>
  <si>
    <t>-668.590370716335 171.851618264181 774.437675889728</t>
  </si>
  <si>
    <t>-518.663859842883 177.396853942106 832.533386418103</t>
  </si>
  <si>
    <t>-593.92204587044 -75.9784588848827 323.457390969999</t>
  </si>
  <si>
    <t>-655.375645079659 -107.816461451988 781.421471872575</t>
  </si>
  <si>
    <t>-501.886175474722 -127.233869864363 825.554987302422</t>
  </si>
  <si>
    <t>9763-20170724T115335.267142500.bin</t>
  </si>
  <si>
    <t>-573.314219554719 32.9434508009119 -92.4289561710222</t>
  </si>
  <si>
    <t>-594.096663770383 30.8678208367842 -201.15469871506</t>
  </si>
  <si>
    <t>-606.981286796125 29.2336569999695 -293.117356947614</t>
  </si>
  <si>
    <t>-617.714735704169 27.8459117303596 -376.310028457848</t>
  </si>
  <si>
    <t>-626.975896199451 26.492225948482 -459.679845984713</t>
  </si>
  <si>
    <t>-638.898812066256 24.5381647115269 -581.741236619901</t>
  </si>
  <si>
    <t>-618.066340937121 24.582359220929 -657.280677646663</t>
  </si>
  <si>
    <t>-630.690891179582 56.6052421404811 -528.972108649233</t>
  </si>
  <si>
    <t>-598.024797459285 207.625964231591 -507.535130215467</t>
  </si>
  <si>
    <t>-538.708890830983 228.010671627131 -232.499309945826</t>
  </si>
  <si>
    <t>-343.211288459398 225.814080128932 -107.102439897448</t>
  </si>
  <si>
    <t>-568.544224940047 125.183885534107 -96.7528392033591</t>
  </si>
  <si>
    <t>-604.390240951459 140.460392097203 316.991390697031</t>
  </si>
  <si>
    <t>-668.606529822852 171.889790204368 774.468174682982</t>
  </si>
  <si>
    <t>-518.670226332463 177.297871030429 832.551569004496</t>
  </si>
  <si>
    <t>-593.816992645034 -76.0387442290667 323.479383717682</t>
  </si>
  <si>
    <t>-655.37125741796 -107.816793427151 781.416187416052</t>
  </si>
  <si>
    <t>-501.897113701998 -127.378006037918 825.539533933835</t>
  </si>
  <si>
    <t>9763-20170724T115335.328321300.bin</t>
  </si>
  <si>
    <t>-573.849162649606 32.4810953191818 -92.433431903755</t>
  </si>
  <si>
    <t>-594.731991339316 30.3512343123575 -201.138825859018</t>
  </si>
  <si>
    <t>-607.733091755267 28.8637240310425 -293.087676473344</t>
  </si>
  <si>
    <t>-618.5836196001 27.6826026065003 -376.268227715161</t>
  </si>
  <si>
    <t>-627.973047035308 26.6116142266283 -459.627879884982</t>
  </si>
  <si>
    <t>-640.095132342961 25.153932269056 -581.676468128936</t>
  </si>
  <si>
    <t>-619.647490004309 25.4733352307478 -657.320365584139</t>
  </si>
  <si>
    <t>-631.884540218732 57.014175637509 -528.782768867785</t>
  </si>
  <si>
    <t>-599.199584369737 207.955115675638 -506.743614928044</t>
  </si>
  <si>
    <t>-539.847514339063 226.978096274859 -231.618146036171</t>
  </si>
  <si>
    <t>-347.221626818247 224.223970394273 -101.863724499887</t>
  </si>
  <si>
    <t>-569.481580944108 124.684262304112 -96.7647640867399</t>
  </si>
  <si>
    <t>-605.006118399186 140.134077792564 317.000778232147</t>
  </si>
  <si>
    <t>-668.675519335087 171.793968059133 774.562368822014</t>
  </si>
  <si>
    <t>-518.73253777168 177.513616152963 832.598610054043</t>
  </si>
  <si>
    <t>-593.761622542953 -76.1411012419524 323.484896046474</t>
  </si>
  <si>
    <t>-655.363438148256 -107.79633510531 781.408015162205</t>
  </si>
  <si>
    <t>-501.808731276411 -126.810207145892 825.490317129346</t>
  </si>
  <si>
    <t>9763-20170724T115335.361400300.bin</t>
  </si>
  <si>
    <t>-574.144231247296 32.2685902203482 -92.4496397685134</t>
  </si>
  <si>
    <t>-595.05437277632 30.1165468529607 -201.149444756334</t>
  </si>
  <si>
    <t>-608.109153437548 28.699731040351 -293.091792037506</t>
  </si>
  <si>
    <t>-619.019964742523 27.6181266086619 -376.265701929063</t>
  </si>
  <si>
    <t>-628.481348974762 26.6826914465294 -459.618940214712</t>
  </si>
  <si>
    <t>-640.72106652941 25.4632752355517 -581.658360565674</t>
  </si>
  <si>
    <t>-620.503042442279 25.902934626841 -657.363392503039</t>
  </si>
  <si>
    <t>-632.501422313945 57.2241856109658 -528.706227155334</t>
  </si>
  <si>
    <t>-600.283123529095 208.283449451468 -506.777302939341</t>
  </si>
  <si>
    <t>-541.574107699337 227.059025583409 -231.496866952269</t>
  </si>
  <si>
    <t>-348.877681683395 223.999035350749 -101.854126389204</t>
  </si>
  <si>
    <t>-569.876887016491 124.481825825641 -96.7706286957857</t>
  </si>
  <si>
    <t>-605.2960653728 139.971238865412 317.002483567486</t>
  </si>
  <si>
    <t>-668.689134950172 171.84393490809 774.605762728031</t>
  </si>
  <si>
    <t>-518.740603826249 177.521482825689 832.631935043455</t>
  </si>
  <si>
    <t>-593.73807160937 -76.2139722078468 323.489761856568</t>
  </si>
  <si>
    <t>-655.362210835743 -107.808182381388 781.403649156251</t>
  </si>
  <si>
    <t>-501.835545770734 -127.077204023094 825.472724939212</t>
  </si>
  <si>
    <t>9763-20170724T115335.428283600.bin</t>
  </si>
  <si>
    <t>-574.768720548303 31.8856887344862 -92.4670991966321</t>
  </si>
  <si>
    <t>-595.70695536632 29.7190842872019 -201.161168545536</t>
  </si>
  <si>
    <t>-608.902992049868 28.4058460301819 -293.084858453714</t>
  </si>
  <si>
    <t>-619.988320672475 27.464337666951 -376.237518795621</t>
  </si>
  <si>
    <t>-629.670962931564 26.7170013373345 -459.567091250219</t>
  </si>
  <si>
    <t>-642.285142737398 25.8260323799357 -581.571266337853</t>
  </si>
  <si>
    <t>-622.492798946107 26.4023164375278 -657.387795687429</t>
  </si>
  <si>
    <t>-633.942502974983 57.4479390443828 -528.555281295304</t>
  </si>
  <si>
    <t>-603.133735244975 208.892166320042 -507.256421672729</t>
  </si>
  <si>
    <t>-548.330611782242 228.54861385111 -231.23336352881</t>
  </si>
  <si>
    <t>-354.270084501427 229.159660143737 -103.606197097281</t>
  </si>
  <si>
    <t>-570.589237615108 124.150953961378 -96.7770635127783</t>
  </si>
  <si>
    <t>-605.900544569588 139.56871254209 317.007957351926</t>
  </si>
  <si>
    <t>-668.731872654394 171.894902400466 774.66523154089</t>
  </si>
  <si>
    <t>-518.778778765809 177.483889766947 832.688194590305</t>
  </si>
  <si>
    <t>-593.957376276008 -76.3614299591441 323.471151380523</t>
  </si>
  <si>
    <t>-655.331525407375 -107.813442627411 781.410211850513</t>
  </si>
  <si>
    <t>-501.848245536328 -127.392094071644 825.494039971676</t>
  </si>
  <si>
    <t>9763-20170724T115335.461370800.bin</t>
  </si>
  <si>
    <t>-575.105179987059 31.6768637722296 -92.4503056829367</t>
  </si>
  <si>
    <t>-596.065656004474 29.5078028377693 -201.140055737928</t>
  </si>
  <si>
    <t>-609.304206284738 28.2339151407875 -293.058211322136</t>
  </si>
  <si>
    <t>-620.437101515711 27.3440808275714 -376.205095075415</t>
  </si>
  <si>
    <t>-630.176314804422 26.6640704687131 -459.528714040183</t>
  </si>
  <si>
    <t>-642.882955237236 25.8879240411836 -581.523908714468</t>
  </si>
  <si>
    <t>-623.248723200075 26.4775999637725 -657.381424650639</t>
  </si>
  <si>
    <t>-634.450691879328 57.455368192486 -528.489688082288</t>
  </si>
  <si>
    <t>-602.999383027354 208.79643877956 -507.070986910445</t>
  </si>
  <si>
    <t>-553.298307070124 229.476328441666 -230.158127038823</t>
  </si>
  <si>
    <t>-357.419066452087 232.02177092645 -105.364907504715</t>
  </si>
  <si>
    <t>-570.94859099276 123.895931249629 -96.7522942718224</t>
  </si>
  <si>
    <t>-606.389513671233 139.348446612998 317.020340375311</t>
  </si>
  <si>
    <t>-668.767549197914 171.949843585226 774.708434880431</t>
  </si>
  <si>
    <t>-518.800932059867 177.547098408593 832.695659483616</t>
  </si>
  <si>
    <t>-594.233199902651 -76.4833041228032 323.463360304999</t>
  </si>
  <si>
    <t>-655.323605774543 -107.795030611596 781.42464374104</t>
  </si>
  <si>
    <t>-501.828948923373 -127.31201021649 825.496206287185</t>
  </si>
  <si>
    <t>9763-20170724T115335.531510900.bin</t>
  </si>
  <si>
    <t>-575.922544882372 31.2118100663765 -92.500805999403</t>
  </si>
  <si>
    <t>-596.854812543252 29.1053796606484 -201.197224832992</t>
  </si>
  <si>
    <t>-610.047434398597 27.7752049369242 -293.12123151302</t>
  </si>
  <si>
    <t>-621.1302702064 26.791708923721 -376.273687035875</t>
  </si>
  <si>
    <t>-630.811309258762 25.9728539696143 -459.602913575895</t>
  </si>
  <si>
    <t>-643.424156929001 24.9439957679756 -581.60609047313</t>
  </si>
  <si>
    <t>-624.042045117784 25.4025385730602 -657.529302672431</t>
  </si>
  <si>
    <t>-634.932024897345 56.6117090908624 -528.64116560658</t>
  </si>
  <si>
    <t>-602.027340931598 207.574683133189 -507.063641691086</t>
  </si>
  <si>
    <t>-566.797972931495 233.534830683276 -228.381875101901</t>
  </si>
  <si>
    <t>-366.109470515638 231.065496327808 -111.477761917361</t>
  </si>
  <si>
    <t>-571.608026527247 123.223808260693 -96.7336758435945</t>
  </si>
  <si>
    <t>-607.24071437019 138.93701149136 317.012599004558</t>
  </si>
  <si>
    <t>-668.836381196406 172.006325820596 774.760006003262</t>
  </si>
  <si>
    <t>-518.831220957123 177.526853439277 832.654738851705</t>
  </si>
  <si>
    <t>-594.852741915079 -76.8168254902057 323.380743963808</t>
  </si>
  <si>
    <t>-655.317409370309 -107.824737304564 781.435927280163</t>
  </si>
  <si>
    <t>-501.831167074756 -127.475520140665 825.477328283813</t>
  </si>
  <si>
    <t>9763-20170724T115335.575631400.bin</t>
  </si>
  <si>
    <t>-576.465186142047 31.0151215643068 -92.5148582379007</t>
  </si>
  <si>
    <t>-597.387180212019 28.9637479444673 -201.214385197098</t>
  </si>
  <si>
    <t>-610.53029338162 27.552802338146 -293.144136914693</t>
  </si>
  <si>
    <t>-621.552656012144 26.4454142309803 -376.303134091659</t>
  </si>
  <si>
    <t>-631.157695620244 25.4507056888651 -459.639153766638</t>
  </si>
  <si>
    <t>-643.643053409553 24.1064006676193 -581.652402469998</t>
  </si>
  <si>
    <t>-624.326393526046 24.3839734425944 -657.593101608719</t>
  </si>
  <si>
    <t>-635.135701274556 55.9039836126576 -528.767787422096</t>
  </si>
  <si>
    <t>-600.651562340462 206.48412437195 -507.006040649607</t>
  </si>
  <si>
    <t>-574.720934447106 236.679786136047 -227.731076198848</t>
  </si>
  <si>
    <t>-371.507421905783 229.658279526959 -115.465886679763</t>
  </si>
  <si>
    <t>-572.071716342757 122.983974386815 -96.7362990929083</t>
  </si>
  <si>
    <t>-607.572467608521 138.755476752691 317.019153908172</t>
  </si>
  <si>
    <t>-668.871145329823 171.964754785315 774.771024995986</t>
  </si>
  <si>
    <t>-518.849311237814 177.514294922924 832.619773473013</t>
  </si>
  <si>
    <t>-595.257606722882 -76.9505746022198 323.335416028984</t>
  </si>
  <si>
    <t>-655.313218030929 -107.836522453472 781.440199776292</t>
  </si>
  <si>
    <t>-501.783223807818 -127.198889429091 825.456803926825</t>
  </si>
  <si>
    <t>9763-20170724T115335.628412900.bin</t>
  </si>
  <si>
    <t>-576.981959842354 30.8009203362128 -92.5750825821921</t>
  </si>
  <si>
    <t>-597.924583767785 28.777022544888 -201.271077265662</t>
  </si>
  <si>
    <t>-610.968480996949 27.2338720421765 -293.212919993387</t>
  </si>
  <si>
    <t>-621.855145766068 25.9440581949964 -376.38711147662</t>
  </si>
  <si>
    <t>-631.278819259299 24.7019303370914 -459.740411662982</t>
  </si>
  <si>
    <t>-643.449357054884 22.9238172560119 -581.779973151226</t>
  </si>
  <si>
    <t>-624.113410209739 22.9474019362879 -657.716367626255</t>
  </si>
  <si>
    <t>-635.00502117405 54.9018526328953 -528.994206697797</t>
  </si>
  <si>
    <t>-599.807643999428 205.365432756257 -507.730432348473</t>
  </si>
  <si>
    <t>-582.881193453774 241.41346966274 -228.4587946159</t>
  </si>
  <si>
    <t>-377.899348319364 228.494938635896 -119.996429958882</t>
  </si>
  <si>
    <t>-572.493649752017 122.68423346523 -96.8037971467618</t>
  </si>
  <si>
    <t>-607.906558444325 138.5763636556 316.954560850544</t>
  </si>
  <si>
    <t>-668.858362239402 171.891845233143 774.6979498803</t>
  </si>
  <si>
    <t>-518.872910855392 177.547613799485 832.630653110772</t>
  </si>
  <si>
    <t>-595.772845675973 -77.0478913456109 323.269413391552</t>
  </si>
  <si>
    <t>-655.315426474206 -107.850395494937 781.436316366778</t>
  </si>
  <si>
    <t>-501.75732013266 -127.04774465728 825.427188600584</t>
  </si>
  <si>
    <t>9763-20170724T115335.664507100.bin</t>
  </si>
  <si>
    <t>-578.46576381463 30.4065302110423 -92.7913857271508</t>
  </si>
  <si>
    <t>-599.379805982609 28.3163667413348 -201.491587592476</t>
  </si>
  <si>
    <t>-612.19001296215 26.4687534024379 -293.46067673876</t>
  </si>
  <si>
    <t>-622.782749954667 24.8015527615396 -376.666104689141</t>
  </si>
  <si>
    <t>-631.830177241656 23.0796203631178 -460.052605864547</t>
  </si>
  <si>
    <t>-643.361159421618 20.4869183131771 -582.139713945126</t>
  </si>
  <si>
    <t>-623.87952126043 20.2402434782778 -658.038435981904</t>
  </si>
  <si>
    <t>-635.261493713391 52.8237660904538 -529.518662357395</t>
  </si>
  <si>
    <t>-600.871142935221 203.656368197796 -509.531183974821</t>
  </si>
  <si>
    <t>-601.808407133394 248.454342012253 -231.015779112464</t>
  </si>
  <si>
    <t>-393.754787757901 222.860975884337 -130.979701535063</t>
  </si>
  <si>
    <t>-574.107828734477 122.017288473105 -97.043529359031</t>
  </si>
  <si>
    <t>-608.770510615744 138.102728642424 316.770826626369</t>
  </si>
  <si>
    <t>-668.848233109956 171.827682092623 774.619500191554</t>
  </si>
  <si>
    <t>-518.939272554805 177.603776085007 832.738011151756</t>
  </si>
  <si>
    <t>-596.908217125207 -77.0971300084527 323.107039749531</t>
  </si>
  <si>
    <t>-655.307648342629 -107.89059939135 781.430115173559</t>
  </si>
  <si>
    <t>-501.694704025424 -126.743699158776 825.378346611028</t>
  </si>
  <si>
    <t>9763-20170724T115335.728181000.bin</t>
  </si>
  <si>
    <t>-580.702027307268 30.292562424326 -92.9208588906597</t>
  </si>
  <si>
    <t>-601.669951154198 27.9426375149521 -201.605261415176</t>
  </si>
  <si>
    <t>-614.250787841154 25.8122698448551 -293.599898902796</t>
  </si>
  <si>
    <t>-624.526361828346 23.8551072253927 -376.838898543526</t>
  </si>
  <si>
    <t>-633.146015740505 21.8122012623621 -460.26354552235</t>
  </si>
  <si>
    <t>-643.930381072208 18.7151897131928 -582.406949981766</t>
  </si>
  <si>
    <t>-624.235517558721 18.4194898198255 -658.250468707922</t>
  </si>
  <si>
    <t>-636.411425590562 51.2940219013403 -529.849099348944</t>
  </si>
  <si>
    <t>-603.62125124317 202.590631370364 -510.528372987434</t>
  </si>
  <si>
    <t>-615.300801505026 249.864715206384 -232.666216843656</t>
  </si>
  <si>
    <t>-402.083903471089 224.320375831568 -144.153036672846</t>
  </si>
  <si>
    <t>-577.256245805597 121.514993504054 -97.2385582076598</t>
  </si>
  <si>
    <t>-611.123758272986 137.671218874701 316.639020065011</t>
  </si>
  <si>
    <t>-668.984804886237 171.936989938005 774.776980154787</t>
  </si>
  <si>
    <t>-518.969790297268 177.485975313213 832.64349055246</t>
  </si>
  <si>
    <t>-598.515412189047 -76.9216217135731 323.005882681082</t>
  </si>
  <si>
    <t>-655.422478507651 -107.857383549389 781.403634366786</t>
  </si>
  <si>
    <t>-501.70790162078 -126.448684857209 825.107335607568</t>
  </si>
  <si>
    <t>9763-20170724T115335.761270200.bin</t>
  </si>
  <si>
    <t>-582.080096157372 30.2630760609236 -93.0253232779337</t>
  </si>
  <si>
    <t>-603.037211668137 27.7176225590713 -201.707529449217</t>
  </si>
  <si>
    <t>-615.552902483598 25.4170909089448 -293.707009180726</t>
  </si>
  <si>
    <t>-625.747451538036 23.2971428120622 -376.951830406927</t>
  </si>
  <si>
    <t>-634.263691726242 21.0855959071714 -460.38269398394</t>
  </si>
  <si>
    <t>-644.872116628493 17.7359256806146 -582.534997506986</t>
  </si>
  <si>
    <t>-625.12673550842 17.4303610923841 -658.365378885455</t>
  </si>
  <si>
    <t>-637.636271679458 50.4418781635754 -530.01641987435</t>
  </si>
  <si>
    <t>-606.265924757456 202.06434457238 -510.904018762409</t>
  </si>
  <si>
    <t>-618.488883021926 249.892723968434 -233.16029786879</t>
  </si>
  <si>
    <t>-402.126256805887 226.472347474205 -151.998454878266</t>
  </si>
  <si>
    <t>-579.390545314756 121.264361610234 -97.3568340347871</t>
  </si>
  <si>
    <t>-612.615046774465 137.584046076114 316.566372326885</t>
  </si>
  <si>
    <t>-669.074211388954 172.083851577981 774.891117313765</t>
  </si>
  <si>
    <t>-518.970759674462 177.487181886494 832.541639792091</t>
  </si>
  <si>
    <t>-599.289368389243 -76.8130793811872 322.940351537654</t>
  </si>
  <si>
    <t>-655.502274667526 -107.888767705158 781.384058378124</t>
  </si>
  <si>
    <t>-501.743420915314 -126.454748087906 824.94262710731</t>
  </si>
  <si>
    <t>9763-20170724T115335.826449700.bin</t>
  </si>
  <si>
    <t>-585.138733700876 29.9579012740548 -93.1764965726682</t>
  </si>
  <si>
    <t>-605.981355309401 26.9992928411882 -201.87021150847</t>
  </si>
  <si>
    <t>-618.308387895492 24.3814558662054 -293.88662011474</t>
  </si>
  <si>
    <t>-628.295843240813 21.970329402071 -377.148796945581</t>
  </si>
  <si>
    <t>-636.567695848257 19.4702551895261 -460.596184724862</t>
  </si>
  <si>
    <t>-646.777917269254 15.7001588488549 -582.77009956592</t>
  </si>
  <si>
    <t>-626.88499115871 15.4261314350292 -658.561932482048</t>
  </si>
  <si>
    <t>-640.143444983165 48.6206175111274 -530.306121398864</t>
  </si>
  <si>
    <t>-611.578942636195 200.849362457127 -511.586373335653</t>
  </si>
  <si>
    <t>-621.455213770991 250.739603542751 -234.112073355834</t>
  </si>
  <si>
    <t>-399.497870871332 232.566335449318 -168.13318421205</t>
  </si>
  <si>
    <t>-584.207158896964 120.47391641948 -97.5406027445312</t>
  </si>
  <si>
    <t>-615.676306857837 137.490761550391 316.491673885225</t>
  </si>
  <si>
    <t>-669.299616306681 172.171433252694 775.146028659246</t>
  </si>
  <si>
    <t>-519.022437897944 177.743768395572 832.325922854611</t>
  </si>
  <si>
    <t>-600.548434148973 -76.7877726438617 322.813896810672</t>
  </si>
  <si>
    <t>-655.666779174272 -107.874804127277 781.330887462063</t>
  </si>
  <si>
    <t>-501.706711896247 -125.50846527004 824.56489945935</t>
  </si>
  <si>
    <t>9763-20170724T115335.862546100.bin</t>
  </si>
  <si>
    <t>-586.612571473193 29.6257112169917 -93.247804649141</t>
  </si>
  <si>
    <t>-607.400039573609 26.4573597280316 -201.946207179377</t>
  </si>
  <si>
    <t>-619.622964968266 23.6666389816094 -293.971441023978</t>
  </si>
  <si>
    <t>-629.493407150804 21.0925710529341 -377.242525867608</t>
  </si>
  <si>
    <t>-637.625069789755 18.4256550862892 -460.698558850754</t>
  </si>
  <si>
    <t>-647.604921592762 14.4068831018462 -582.8836162431</t>
  </si>
  <si>
    <t>-627.647273307647 14.1286130033698 -658.658424697127</t>
  </si>
  <si>
    <t>-641.258848998286 47.4472230298284 -530.459282626198</t>
  </si>
  <si>
    <t>-614.098216724512 199.978394440444 -512.212001078022</t>
  </si>
  <si>
    <t>-621.974415808249 251.629220148015 -234.995963903542</t>
  </si>
  <si>
    <t>-397.978294242226 235.518154133772 -175.711026539592</t>
  </si>
  <si>
    <t>-586.521332041958 119.967353031872 -97.6315004781778</t>
  </si>
  <si>
    <t>-617.053667903144 137.364602877341 316.455033850954</t>
  </si>
  <si>
    <t>-669.375204259989 172.305344259263 775.25033153319</t>
  </si>
  <si>
    <t>-519.004283425634 177.703475687045 832.199955898709</t>
  </si>
  <si>
    <t>-601.096310078046 -76.9016457560783 322.771248104389</t>
  </si>
  <si>
    <t>-655.761647829416 -107.866883178237 781.310328804228</t>
  </si>
  <si>
    <t>-501.684958043872 -124.901146318761 824.368859395515</t>
  </si>
  <si>
    <t>9763-20170724T115335.931566300.bin</t>
  </si>
  <si>
    <t>-589.325129414469 28.7154951080583 -93.3857928500207</t>
  </si>
  <si>
    <t>-609.964936036073 25.2231684778392 -202.102461249863</t>
  </si>
  <si>
    <t>-622.00580697268 22.1608237678786 -294.143064776685</t>
  </si>
  <si>
    <t>-631.689055700764 19.3284505290499 -377.427702567484</t>
  </si>
  <si>
    <t>-639.610407647436 16.3959790564918 -460.894986930284</t>
  </si>
  <si>
    <t>-649.257708742877 11.9792515329391 -583.093067981452</t>
  </si>
  <si>
    <t>-629.205840944856 11.6986269259994 -658.842887372248</t>
  </si>
  <si>
    <t>-643.365236340063 45.2090462385695 -530.735583219461</t>
  </si>
  <si>
    <t>-618.448528460289 198.235875519834 -513.448437411126</t>
  </si>
  <si>
    <t>-622.231627516698 251.353486806862 -236.423448879544</t>
  </si>
  <si>
    <t>-395.177178066281 236.667178002045 -189.742514564861</t>
  </si>
  <si>
    <t>-590.588455687931 118.802294400262 -97.8050666846234</t>
  </si>
  <si>
    <t>-619.162597985497 136.996422840565 316.387002720373</t>
  </si>
  <si>
    <t>-669.496211075045 172.396798895214 775.355975006164</t>
  </si>
  <si>
    <t>-518.987399099168 177.788059703523 831.940810329165</t>
  </si>
  <si>
    <t>-602.171478912987 -77.3465747025164 322.679353803145</t>
  </si>
  <si>
    <t>-655.957678727361 -107.927299860979 781.271323587523</t>
  </si>
  <si>
    <t>-501.758660891263 -124.655355643693 824.010815103879</t>
  </si>
  <si>
    <t>9763-20170724T115335.964653100.bin</t>
  </si>
  <si>
    <t>-590.422777029673 28.1836340707889 -93.4694035119462</t>
  </si>
  <si>
    <t>-610.983609461346 24.5520208797798 -202.196366387266</t>
  </si>
  <si>
    <t>-622.948750531224 21.3686941973942 -294.242771724466</t>
  </si>
  <si>
    <t>-632.55992609566 18.4216846983902 -377.531894471458</t>
  </si>
  <si>
    <t>-640.40559315455 15.371145480203 -461.002117867848</t>
  </si>
  <si>
    <t>-649.938168165646 10.778623996235 -583.202604199904</t>
  </si>
  <si>
    <t>-629.903783524845 10.4863160167588 -658.957025621132</t>
  </si>
  <si>
    <t>-644.22369529055 44.090874092401 -530.877811321307</t>
  </si>
  <si>
    <t>-620.332143360482 197.339630323826 -514.032614110785</t>
  </si>
  <si>
    <t>-621.895431383938 250.838837089502 -237.059685233531</t>
  </si>
  <si>
    <t>-393.71243826139 236.963868204909 -195.967788699735</t>
  </si>
  <si>
    <t>-592.099296369955 118.16196451349 -97.9111780887089</t>
  </si>
  <si>
    <t>-619.971364137921 136.742796185704 316.311613737682</t>
  </si>
  <si>
    <t>-669.542840660755 172.414701897938 775.361657465234</t>
  </si>
  <si>
    <t>-518.978296309261 177.751440992226 831.803395943179</t>
  </si>
  <si>
    <t>-602.738651424663 -77.6832780050929 322.623697792247</t>
  </si>
  <si>
    <t>-656.052103770816 -107.967924250966 781.257409770763</t>
  </si>
  <si>
    <t>-501.77798166885 -124.381925414777 823.847327489136</t>
  </si>
  <si>
    <t>9763-20170724T115336.032386300.bin</t>
  </si>
  <si>
    <t>-592.130070395198 27.128352075651 -93.647773813071</t>
  </si>
  <si>
    <t>-612.590091500407 23.2760868749165 -202.38631261124</t>
  </si>
  <si>
    <t>-624.511676827204 19.9020555357265 -294.431417090172</t>
  </si>
  <si>
    <t>-634.10054215845 16.7746509095584 -377.716549025636</t>
  </si>
  <si>
    <t>-641.940826051284 13.5391166246454 -461.180367305937</t>
  </si>
  <si>
    <t>-651.484444464141 8.67023001302459 -583.369200369063</t>
  </si>
  <si>
    <t>-631.513787116789 8.31273469854909 -659.140330068859</t>
  </si>
  <si>
    <t>-645.926393273954 42.1086838126057 -531.108122646932</t>
  </si>
  <si>
    <t>-623.664923034767 195.664753145395 -514.903181176009</t>
  </si>
  <si>
    <t>-619.587577552968 248.640998461382 -237.855314947565</t>
  </si>
  <si>
    <t>-389.749423146623 236.992256611948 -206.434566111623</t>
  </si>
  <si>
    <t>-594.460168159947 116.950923870003 -98.1535667481568</t>
  </si>
  <si>
    <t>-621.014288379599 136.247685321785 316.123050303855</t>
  </si>
  <si>
    <t>-669.599035514404 172.436301984232 775.264172826112</t>
  </si>
  <si>
    <t>-518.964207921962 177.904267201577 831.505422602022</t>
  </si>
  <si>
    <t>-603.63883191212 -78.4602456743012 322.509847254891</t>
  </si>
  <si>
    <t>-656.208788200199 -108.103231374595 781.255321371395</t>
  </si>
  <si>
    <t>-501.868034140346 -124.494566269174 823.611900895735</t>
  </si>
  <si>
    <t>9763-20170724T115336.064471600.bin</t>
  </si>
  <si>
    <t>-592.629158843824 26.5272945418956 -93.7260519632893</t>
  </si>
  <si>
    <t>-613.051110152335 22.6030286701275 -202.468989475095</t>
  </si>
  <si>
    <t>-624.950397471964 19.1648355212108 -294.514772944281</t>
  </si>
  <si>
    <t>-634.523108674455 15.9763940138369 -377.79946802479</t>
  </si>
  <si>
    <t>-642.35136091625 12.6768740501495 -461.261778145787</t>
  </si>
  <si>
    <t>-651.881915435168 7.71113662234325 -583.447970264774</t>
  </si>
  <si>
    <t>-631.925542470515 7.30769230370242 -659.222488543841</t>
  </si>
  <si>
    <t>-646.35350252631 41.192013744339 -531.210840061667</t>
  </si>
  <si>
    <t>-624.33729053925 194.792630503437 -515.172524312139</t>
  </si>
  <si>
    <t>-617.470106884116 247.445021684444 -238.118079376079</t>
  </si>
  <si>
    <t>-387.085009745319 236.671310017993 -210.637459540464</t>
  </si>
  <si>
    <t>-595.136531795732 116.327044670492 -98.2610145976421</t>
  </si>
  <si>
    <t>-621.261844684171 135.957652492909 316.027168386775</t>
  </si>
  <si>
    <t>-669.609864236491 172.448397478731 775.183097095976</t>
  </si>
  <si>
    <t>-518.954584962583 177.973685453599 831.363939088164</t>
  </si>
  <si>
    <t>-603.884184132924 -78.8993625466469 322.455709404103</t>
  </si>
  <si>
    <t>-656.271042707245 -108.15190924928 781.249826898365</t>
  </si>
  <si>
    <t>-501.902557912201 -124.487331706539 823.526892185378</t>
  </si>
  <si>
    <t>9763-20170724T115336.127146100.bin</t>
  </si>
  <si>
    <t>-593.006371962731 25.3693551719255 -93.8765499493766</t>
  </si>
  <si>
    <t>-613.436683143662 21.3855365643626 -202.615908815531</t>
  </si>
  <si>
    <t>-625.287242187568 17.8677832068331 -294.664873803709</t>
  </si>
  <si>
    <t>-634.793607387044 14.5945452348367 -377.95384908749</t>
  </si>
  <si>
    <t>-642.533225738924 11.197282259742 -461.420535608515</t>
  </si>
  <si>
    <t>-651.910012602953 6.07367882471226 -583.611912327742</t>
  </si>
  <si>
    <t>-631.972404614025 5.61320638339362 -659.391224874726</t>
  </si>
  <si>
    <t>-646.464790532829 39.6228281989404 -531.410074073367</t>
  </si>
  <si>
    <t>-624.72238318944 193.273929931507 -515.448583628503</t>
  </si>
  <si>
    <t>-612.155308896114 244.817781568293 -238.385661345994</t>
  </si>
  <si>
    <t>-381.063227800166 235.047004842731 -217.184246429156</t>
  </si>
  <si>
    <t>-595.618371096867 115.308218087602 -98.4334897065348</t>
  </si>
  <si>
    <t>-621.320598244752 135.377931501108 315.860101911216</t>
  </si>
  <si>
    <t>-669.613231718239 172.527941775081 774.995473551316</t>
  </si>
  <si>
    <t>-518.92719926468 178.103259569017 831.088761982109</t>
  </si>
  <si>
    <t>-604.09270190621 -79.850806866119 322.380108049254</t>
  </si>
  <si>
    <t>-656.347308768994 -108.334004797901 781.251064845489</t>
  </si>
  <si>
    <t>-501.94124489339 -124.521843709291 823.447484776929</t>
  </si>
  <si>
    <t>9763-20170724T115336.161235400.bin</t>
  </si>
  <si>
    <t>-593.038987772681 24.8621850004117 -93.9472119483278</t>
  </si>
  <si>
    <t>-613.477857792108 20.8824776051904 -202.684905937312</t>
  </si>
  <si>
    <t>-625.309716411091 17.3541629262531 -294.736099256908</t>
  </si>
  <si>
    <t>-634.788720862987 14.0667821874461 -378.027518054258</t>
  </si>
  <si>
    <t>-642.49066269568 10.6504100795278 -461.497009488682</t>
  </si>
  <si>
    <t>-651.800866907756 5.49391157056175 -583.692231171461</t>
  </si>
  <si>
    <t>-631.866605326959 5.01466581096588 -659.472190300143</t>
  </si>
  <si>
    <t>-646.379825594991 39.0568605687545 -531.496482643347</t>
  </si>
  <si>
    <t>-624.659891075293 192.713855284558 -515.530563187133</t>
  </si>
  <si>
    <t>-609.085060612019 243.82035792539 -238.539337008412</t>
  </si>
  <si>
    <t>-377.720040208981 234.408730089569 -220.368358994808</t>
  </si>
  <si>
    <t>-595.534383010486 114.924679226328 -98.5150929539623</t>
  </si>
  <si>
    <t>-621.19742194396 135.142227054872 315.773764728711</t>
  </si>
  <si>
    <t>-669.604837624707 172.579291739838 774.884307266479</t>
  </si>
  <si>
    <t>-518.911699658965 178.175850624473 830.956562071467</t>
  </si>
  <si>
    <t>-604.25830990883 -80.3651804855485 322.336200497104</t>
  </si>
  <si>
    <t>-656.349097192203 -108.436228538577 781.258823179946</t>
  </si>
  <si>
    <t>-501.971353986322 -124.814848044303 823.485402675801</t>
  </si>
  <si>
    <t>9763-20170724T115336.230331100.bin</t>
  </si>
  <si>
    <t>-592.817059721057 24.135314400816 -94.0526833452142</t>
  </si>
  <si>
    <t>-613.266636750895 20.2035929914248 -202.79031938035</t>
  </si>
  <si>
    <t>-625.091792402805 16.6740448493767 -294.842083350146</t>
  </si>
  <si>
    <t>-634.55881062252 13.3716351699729 -378.134409354675</t>
  </si>
  <si>
    <t>-642.242792068346 9.92562762600141 -461.604293627805</t>
  </si>
  <si>
    <t>-651.520412240556 4.70985350722481 -583.799451191631</t>
  </si>
  <si>
    <t>-631.605852639149 4.14801545928367 -659.583914312817</t>
  </si>
  <si>
    <t>-646.051471788653 38.2954333559946 -531.623156390497</t>
  </si>
  <si>
    <t>-624.019043481044 191.927583949058 -515.793151973048</t>
  </si>
  <si>
    <t>-603.396858566224 242.317316239538 -239.000381615128</t>
  </si>
  <si>
    <t>-371.693167374533 233.625211376657 -225.34798288202</t>
  </si>
  <si>
    <t>-594.97928434006 114.398662483262 -98.6381479831873</t>
  </si>
  <si>
    <t>-620.751444193534 134.844526580647 315.632698857033</t>
  </si>
  <si>
    <t>-669.585389030852 172.715612711024 774.669980196431</t>
  </si>
  <si>
    <t>-518.881958172241 178.213762931259 830.724140732501</t>
  </si>
  <si>
    <t>-604.467378250343 -81.0622475647688 322.265343684788</t>
  </si>
  <si>
    <t>-656.309652090436 -108.631704798043 781.29315161911</t>
  </si>
  <si>
    <t>-501.972355717163 -125.103013251034 823.631296950617</t>
  </si>
  <si>
    <t>9763-20170724T115336.263420000.bin</t>
  </si>
  <si>
    <t>-592.642860918433 23.9633086044671 -94.0714322421077</t>
  </si>
  <si>
    <t>-613.119403272707 20.0676924800291 -202.805219835698</t>
  </si>
  <si>
    <t>-624.947888923804 16.5348125276751 -294.856541747916</t>
  </si>
  <si>
    <t>-634.410288668042 13.2172900465248 -378.148782377762</t>
  </si>
  <si>
    <t>-642.082164200165 9.7428880749178 -461.618396490914</t>
  </si>
  <si>
    <t>-651.333939185169 4.47123695857135 -583.813215250041</t>
  </si>
  <si>
    <t>-631.447218551978 3.85230007855284 -659.60459746837</t>
  </si>
  <si>
    <t>-645.820851644883 38.0779160358861 -531.655350411553</t>
  </si>
  <si>
    <t>-623.512470600945 191.679853963317 -515.920266444526</t>
  </si>
  <si>
    <t>-600.703424858436 241.938902871864 -239.275495021976</t>
  </si>
  <si>
    <t>-368.892737594502 233.4935223399 -227.400452908026</t>
  </si>
  <si>
    <t>-594.610944384412 114.31595067082 -98.675146284131</t>
  </si>
  <si>
    <t>-620.500162694103 134.788032140251 315.587116000559</t>
  </si>
  <si>
    <t>-669.582412127051 172.724751759249 774.566058721585</t>
  </si>
  <si>
    <t>-518.883313040327 178.324328797366 830.62185591046</t>
  </si>
  <si>
    <t>-604.421372547667 -81.2707564562422 322.255142003611</t>
  </si>
  <si>
    <t>-656.301717827325 -108.70701332277 781.300493519546</t>
  </si>
  <si>
    <t>-501.977159232641 -125.198438330354 823.677206827009</t>
  </si>
  <si>
    <t>9763-20170724T115336.331156300.bin</t>
  </si>
  <si>
    <t>-592.356114291493 23.7157780995694 -94.1536661465141</t>
  </si>
  <si>
    <t>-612.888724080243 19.878256334383 -202.8790321317</t>
  </si>
  <si>
    <t>-624.683795194493 16.3108440375975 -294.933122243123</t>
  </si>
  <si>
    <t>-634.083994206025 12.9313864223136 -378.22993414456</t>
  </si>
  <si>
    <t>-641.661941694683 9.36199607474077 -461.704299076467</t>
  </si>
  <si>
    <t>-650.741930139248 3.91493900740102 -583.904259509314</t>
  </si>
  <si>
    <t>-631.188031212853 3.18353293087034 -659.781210679476</t>
  </si>
  <si>
    <t>-645.212670610761 37.5918796176247 -531.793271122138</t>
  </si>
  <si>
    <t>-622.50362194776 191.138754296252 -516.175796874634</t>
  </si>
  <si>
    <t>-595.330247100814 241.713836440871 -239.98313178131</t>
  </si>
  <si>
    <t>-363.403676195408 233.20359107116 -230.700551642233</t>
  </si>
  <si>
    <t>-593.89311950949 114.3721125689 -98.7881041601073</t>
  </si>
  <si>
    <t>-619.936645755204 134.796128439112 315.466916942509</t>
  </si>
  <si>
    <t>-669.568961419762 172.765736251287 774.364371460835</t>
  </si>
  <si>
    <t>-518.878260570893 178.429982116581 830.436202575542</t>
  </si>
  <si>
    <t>-604.331855719118 -81.6927269976661 322.210266121605</t>
  </si>
  <si>
    <t>-656.293804588971 -108.863916448052 781.304925539776</t>
  </si>
  <si>
    <t>-502.026226752684 -125.740397148138 823.737454260485</t>
  </si>
  <si>
    <t>9763-20170724T115336.362239500.bin</t>
  </si>
  <si>
    <t>-592.319198846397 23.7097968468095 -94.2029494246793</t>
  </si>
  <si>
    <t>-612.858644918424 19.8896008794068 -202.92752204485</t>
  </si>
  <si>
    <t>-624.60976766285 16.297342257765 -294.986328883549</t>
  </si>
  <si>
    <t>-633.950416633982 12.8803957165433 -378.288338401832</t>
  </si>
  <si>
    <t>-641.449138323482 9.25740729396739 -461.767584304697</t>
  </si>
  <si>
    <t>-650.391837900995 3.71425338133827 -583.973172724934</t>
  </si>
  <si>
    <t>-631.238892846723 2.9440319727305 -659.952093374614</t>
  </si>
  <si>
    <t>-644.890646658064 37.4305230176074 -531.884889366135</t>
  </si>
  <si>
    <t>-622.06929308451 190.977441300328 -516.393765916184</t>
  </si>
  <si>
    <t>-592.916254366842 241.739681462212 -240.437589427104</t>
  </si>
  <si>
    <t>-360.967761141455 232.946446906352 -232.003890668307</t>
  </si>
  <si>
    <t>-593.710916597739 114.510402519399 -98.8500180988084</t>
  </si>
  <si>
    <t>-619.810872812176 134.83751804198 315.406163647777</t>
  </si>
  <si>
    <t>-669.558642985486 172.820787709147 774.2808056052</t>
  </si>
  <si>
    <t>-518.871111792366 178.496160464364 830.360093075239</t>
  </si>
  <si>
    <t>-604.390360304172 -81.7949906069261 322.182367799288</t>
  </si>
  <si>
    <t>-656.279886528185 -108.942920606141 781.308024955942</t>
  </si>
  <si>
    <t>-502.051265143329 -126.070204349178 823.781767203143</t>
  </si>
  <si>
    <t>9763-20170724T115336.432478700.bin</t>
  </si>
  <si>
    <t>-592.408633369 24.1355879775883 -94.2820613828161</t>
  </si>
  <si>
    <t>-612.830617880214 20.3484346187111 -203.029994398895</t>
  </si>
  <si>
    <t>-624.444526041504 16.6819518870809 -295.103268909831</t>
  </si>
  <si>
    <t>-633.646771018715 13.1575726438109 -378.416166799689</t>
  </si>
  <si>
    <t>-640.992994337304 9.38505891098407 -461.902222739581</t>
  </si>
  <si>
    <t>-649.697843733192 3.57646339447547 -584.112818929686</t>
  </si>
  <si>
    <t>-631.49117002209 2.71155313262011 -660.32296223915</t>
  </si>
  <si>
    <t>-644.202222633757 37.400595161663 -532.093807182691</t>
  </si>
  <si>
    <t>-620.954922494683 190.91813306533 -516.921081206994</t>
  </si>
  <si>
    <t>-589.172281200287 241.430861876538 -241.209411750385</t>
  </si>
  <si>
    <t>-357.251320728078 231.104840660857 -233.822545280013</t>
  </si>
  <si>
    <t>-593.559743760533 115.022024168588 -98.9420153190782</t>
  </si>
  <si>
    <t>-619.941669198255 135.240883765875 315.301614759087</t>
  </si>
  <si>
    <t>-669.551868472815 172.97458101855 774.179588795881</t>
  </si>
  <si>
    <t>-518.851912812834 178.54324735941 830.236301560311</t>
  </si>
  <si>
    <t>-604.62227360929 -81.5745568407326 322.129864266585</t>
  </si>
  <si>
    <t>-656.26227046401 -108.996676412247 781.299527572577</t>
  </si>
  <si>
    <t>-502.016742298922 -125.880784340084 823.809135641055</t>
  </si>
  <si>
    <t>9763-20170724T115336.473587900.bin</t>
  </si>
  <si>
    <t>-592.474830757291 24.4987026374088 -94.3110940449152</t>
  </si>
  <si>
    <t>-612.825348227739 20.7328910485871 -203.073041600446</t>
  </si>
  <si>
    <t>-624.376124783563 17.0252721055763 -295.152771650294</t>
  </si>
  <si>
    <t>-633.520710870594 13.440582072689 -378.46938867539</t>
  </si>
  <si>
    <t>-640.809009885344 9.5833133432975 -461.956743570349</t>
  </si>
  <si>
    <t>-649.429165545855 3.62408716801019 -584.166011037052</t>
  </si>
  <si>
    <t>-631.661669285429 2.69251741793551 -660.478918628894</t>
  </si>
  <si>
    <t>-643.915222432704 37.5091155755003 -532.188590642232</t>
  </si>
  <si>
    <t>-620.318653269242 190.986025772098 -517.198497345679</t>
  </si>
  <si>
    <t>-587.500410476317 241.130325558026 -241.54090006128</t>
  </si>
  <si>
    <t>-355.584224265404 230.392864316975 -234.605178664156</t>
  </si>
  <si>
    <t>-593.49258852649 115.391577852268 -98.9800800929618</t>
  </si>
  <si>
    <t>-620.103751474103 135.495152106924 315.254581133479</t>
  </si>
  <si>
    <t>-669.550081122894 173.074749270138 774.152965507281</t>
  </si>
  <si>
    <t>-518.839074787767 178.5377358009 830.190326127215</t>
  </si>
  <si>
    <t>-604.740572690657 -81.3549938526 322.104507133966</t>
  </si>
  <si>
    <t>-656.254386419388 -108.979986967868 781.289719253073</t>
  </si>
  <si>
    <t>-501.98294581149 -125.617320798864 823.802634066907</t>
  </si>
  <si>
    <t>9763-20170724T115336.531834200.bin</t>
  </si>
  <si>
    <t>-592.533178750985 25.2920395717611 -94.356157448629</t>
  </si>
  <si>
    <t>-612.839545453412 21.5514695742963 -203.127228270355</t>
  </si>
  <si>
    <t>-624.34034452542 17.7434569144125 -295.209063991945</t>
  </si>
  <si>
    <t>-633.435518112745 14.0211967408804 -378.525026670965</t>
  </si>
  <si>
    <t>-640.670780651075 9.97816128241516 -462.008355823544</t>
  </si>
  <si>
    <t>-649.210038501357 3.6941398352385 -584.20702293917</t>
  </si>
  <si>
    <t>-632.138712280934 2.62252123053963 -660.676801454688</t>
  </si>
  <si>
    <t>-643.664981048162 37.7130191202252 -532.320583793264</t>
  </si>
  <si>
    <t>-619.756973598688 191.182858378793 -517.671333796313</t>
  </si>
  <si>
    <t>-584.027923933855 239.852160113613 -242.111328643311</t>
  </si>
  <si>
    <t>-352.12266921966 228.441451185273 -235.924499134888</t>
  </si>
  <si>
    <t>-593.281333297311 116.393374454241 -99.0741081482907</t>
  </si>
  <si>
    <t>-620.148889715555 136.087398633223 315.163626571135</t>
  </si>
  <si>
    <t>-669.555033170873 173.231794380879 774.115437636632</t>
  </si>
  <si>
    <t>-518.827679098404 178.62702450107 830.11539213538</t>
  </si>
  <si>
    <t>-604.853077326716 -80.9046251596985 322.067753810093</t>
  </si>
  <si>
    <t>-656.232578821411 -109.06075749374 781.283315614761</t>
  </si>
  <si>
    <t>-502.029403579271 -126.233489835627 823.830937216826</t>
  </si>
  <si>
    <t>9763-20170724T115336.564923100.bin</t>
  </si>
  <si>
    <t>-592.511894034237 25.7948951668766 -94.3593414200923</t>
  </si>
  <si>
    <t>-612.853343537191 22.0908378260931 -203.125129379378</t>
  </si>
  <si>
    <t>-624.369449259978 18.2564972291048 -295.204076989434</t>
  </si>
  <si>
    <t>-633.473085172864 14.488320371971 -378.51703469126</t>
  </si>
  <si>
    <t>-640.711699911541 10.3768744233914 -461.996621760181</t>
  </si>
  <si>
    <t>-649.250477617694 3.96813870804476 -584.188840030466</t>
  </si>
  <si>
    <t>-632.44309480373 2.85141157254293 -660.716471597367</t>
  </si>
  <si>
    <t>-643.682908452918 38.0387136248355 -532.338660228417</t>
  </si>
  <si>
    <t>-619.576640957546 191.477656519436 -517.837069462357</t>
  </si>
  <si>
    <t>-582.358849544821 239.42003569566 -242.346771388009</t>
  </si>
  <si>
    <t>-350.457453730393 227.771917031346 -236.465328937814</t>
  </si>
  <si>
    <t>-593.147914716415 117.005507092804 -99.0921863672239</t>
  </si>
  <si>
    <t>-620.069678372492 136.442415295384 315.154085798875</t>
  </si>
  <si>
    <t>-669.558485272971 173.298689355194 774.109251778458</t>
  </si>
  <si>
    <t>-518.821927633904 178.605182590118 830.09267604399</t>
  </si>
  <si>
    <t>-604.812599601589 -80.5466020263304 322.065052334552</t>
  </si>
  <si>
    <t>-656.225611653029 -109.071979615089 781.276045797119</t>
  </si>
  <si>
    <t>-502.023769260348 -126.252794511949 823.825285823276</t>
  </si>
  <si>
    <t>9763-20170724T115336.631136200.bin</t>
  </si>
  <si>
    <t>-592.457665635978 26.8504477043355 -94.3642178737823</t>
  </si>
  <si>
    <t>-612.91034727798 23.2081285990878 -203.111315088295</t>
  </si>
  <si>
    <t>-624.410474232646 19.3541376239225 -295.191318776305</t>
  </si>
  <si>
    <t>-633.455784298294 15.5403306299247 -378.508621667928</t>
  </si>
  <si>
    <t>-640.592408226017 11.3537928018259 -461.993238281397</t>
  </si>
  <si>
    <t>-648.934501167119 4.80238558394581 -584.191534264181</t>
  </si>
  <si>
    <t>-632.52549816691 3.69221219830501 -660.805593995145</t>
  </si>
  <si>
    <t>-643.412448904368 38.931077426505 -532.37466038867</t>
  </si>
  <si>
    <t>-618.84269725227 192.323603010403 -517.956064482858</t>
  </si>
  <si>
    <t>-578.263992042532 239.093459608462 -242.738830389619</t>
  </si>
  <si>
    <t>-346.39063962577 226.732029020401 -237.218489196156</t>
  </si>
  <si>
    <t>-592.894163600108 118.207754640122 -99.0741381501828</t>
  </si>
  <si>
    <t>-620.00571470452 137.134754530578 315.183394051814</t>
  </si>
  <si>
    <t>-669.570439207368 173.393901587696 774.134866444028</t>
  </si>
  <si>
    <t>-518.821706218869 178.658874098692 830.089524861686</t>
  </si>
  <si>
    <t>-604.609477231495 -79.7155039308429 322.076275044572</t>
  </si>
  <si>
    <t>-656.229866624476 -109.062296993812 781.243687003622</t>
  </si>
  <si>
    <t>-501.976137301536 -125.881989196072 823.749057258971</t>
  </si>
  <si>
    <t>9763-20170724T115336.664204200.bin</t>
  </si>
  <si>
    <t>-592.422969385313 27.2793687570568 -94.3729688077229</t>
  </si>
  <si>
    <t>-612.866519889162 23.6536356597228 -203.122256161764</t>
  </si>
  <si>
    <t>-624.347368404479 19.7781141983708 -295.20375187231</t>
  </si>
  <si>
    <t>-633.370890363962 15.9313587575009 -378.521989199369</t>
  </si>
  <si>
    <t>-640.481402173936 11.6980301145195 -462.006375967951</t>
  </si>
  <si>
    <t>-648.780785836154 5.06289391355745 -584.203020679205</t>
  </si>
  <si>
    <t>-632.554669247964 3.95031455885032 -660.856082561912</t>
  </si>
  <si>
    <t>-643.245538911882 39.2250791785705 -532.40966247709</t>
  </si>
  <si>
    <t>-618.497964484267 192.587114585493 -517.999956879632</t>
  </si>
  <si>
    <t>-576.002681108812 238.805810880551 -242.978945331332</t>
  </si>
  <si>
    <t>-344.167145073103 225.791428964832 -237.37096641042</t>
  </si>
  <si>
    <t>-592.684121144637 118.68199131085 -99.0677632170552</t>
  </si>
  <si>
    <t>-620.009008007908 137.429524574761 315.183888373017</t>
  </si>
  <si>
    <t>-669.583508153824 173.450318672778 774.148622851651</t>
  </si>
  <si>
    <t>-518.829895535312 178.776995215566 830.084409342417</t>
  </si>
  <si>
    <t>-604.562397476739 -79.4185699316254 322.075689466355</t>
  </si>
  <si>
    <t>-656.226199002748 -109.074808396351 781.229927990319</t>
  </si>
  <si>
    <t>-501.992068908076 -126.073623412649 823.735212811012</t>
  </si>
  <si>
    <t>9763-20170724T115336.729376000.bin</t>
  </si>
  <si>
    <t>-592.251435813599 27.9627426640993 -94.3332717981946</t>
  </si>
  <si>
    <t>-612.66903545554 24.3958445007236 -203.089361842435</t>
  </si>
  <si>
    <t>-624.164363117095 20.5326587922307 -295.169675309397</t>
  </si>
  <si>
    <t>-633.215929114863 16.6834660061138 -378.48467394644</t>
  </si>
  <si>
    <t>-640.369727158271 12.4335209860376 -461.964576740031</t>
  </si>
  <si>
    <t>-648.749294213542 5.7588923911112 -584.153545751349</t>
  </si>
  <si>
    <t>-632.842288208289 4.69813431641387 -660.874185046125</t>
  </si>
  <si>
    <t>-643.14219452303 39.9353158419847 -532.377463225184</t>
  </si>
  <si>
    <t>-617.921710073868 193.202470645194 -517.844390045863</t>
  </si>
  <si>
    <t>-571.406990799495 238.304523784399 -243.288693924819</t>
  </si>
  <si>
    <t>-339.681357342799 223.558350326298 -237.431410617542</t>
  </si>
  <si>
    <t>-592.370334769405 119.372904017313 -99.0361532594713</t>
  </si>
  <si>
    <t>-620.007258910202 137.854367284645 315.206811364149</t>
  </si>
  <si>
    <t>-669.596158310073 173.507888939418 774.188147243827</t>
  </si>
  <si>
    <t>-518.839444164162 178.806067295429 830.118051188945</t>
  </si>
  <si>
    <t>-604.467207444814 -78.9879766277261 322.079018011489</t>
  </si>
  <si>
    <t>-656.19964685379 -109.129330723673 781.216608731281</t>
  </si>
  <si>
    <t>-501.971664547559 -126.147476448956 823.736402019775</t>
  </si>
  <si>
    <t>9763-20170724T115336.765469500.bin</t>
  </si>
  <si>
    <t>-592.144578251967 28.2016028817504 -94.302822441274</t>
  </si>
  <si>
    <t>-612.578118951339 24.6688848144684 -203.057173887871</t>
  </si>
  <si>
    <t>-624.113715927509 20.8235908346267 -295.133095949309</t>
  </si>
  <si>
    <t>-633.212510939339 16.9870932687265 -378.443455314614</t>
  </si>
  <si>
    <t>-640.424540990047 12.7460813406594 -461.918853428569</t>
  </si>
  <si>
    <t>-648.901375061394 6.08049795565285 -584.101712155056</t>
  </si>
  <si>
    <t>-633.140392595421 5.0551403295101 -660.852934858884</t>
  </si>
  <si>
    <t>-643.234190268941 40.251952362571 -532.328585295175</t>
  </si>
  <si>
    <t>-617.896335321985 193.493621362771 -517.737534044255</t>
  </si>
  <si>
    <t>-569.036499711372 237.984241719244 -243.489552558921</t>
  </si>
  <si>
    <t>-337.368461287527 222.407709373919 -237.504176963243</t>
  </si>
  <si>
    <t>-592.216589236697 119.674247339348 -99.0082567290099</t>
  </si>
  <si>
    <t>-619.989771030462 137.985997954372 315.233165645627</t>
  </si>
  <si>
    <t>-669.598702711025 173.572078409287 774.221780955533</t>
  </si>
  <si>
    <t>-518.846748228609 178.853953030654 830.166143513871</t>
  </si>
  <si>
    <t>-604.394055006531 -78.8708020523663 322.08502533262</t>
  </si>
  <si>
    <t>-656.190966837116 -109.173260261832 781.20979497872</t>
  </si>
  <si>
    <t>-501.983169427592 -126.354553073819 823.737193432859</t>
  </si>
  <si>
    <t>9763-20170724T115336.829649000.bin</t>
  </si>
  <si>
    <t>-591.79971855411 28.5352754739886 -94.2724353775897</t>
  </si>
  <si>
    <t>-612.315954259423 25.0399375748395 -203.012347309915</t>
  </si>
  <si>
    <t>-623.964279489294 21.2525094317941 -295.076457231472</t>
  </si>
  <si>
    <t>-633.182143948282 17.4795082576893 -378.376753051535</t>
  </si>
  <si>
    <t>-640.530433449256 13.312984944147 -461.843954564206</t>
  </si>
  <si>
    <t>-649.225260880863 6.76831671632908 -584.017871527646</t>
  </si>
  <si>
    <t>-633.6562350785 5.88310802945898 -660.81015989541</t>
  </si>
  <si>
    <t>-643.434780299939 40.8864318437245 -532.223436748032</t>
  </si>
  <si>
    <t>-617.651010842488 194.01824603657 -517.333478739235</t>
  </si>
  <si>
    <t>-564.308682283698 236.475602850342 -243.598986932435</t>
  </si>
  <si>
    <t>-332.7520774429 219.330241773921 -237.591090168813</t>
  </si>
  <si>
    <t>-591.778976452406 120.112684272662 -98.9500073072928</t>
  </si>
  <si>
    <t>-619.701166330349 138.217882949792 315.290484591267</t>
  </si>
  <si>
    <t>-669.571755246585 173.638216030787 774.261392551642</t>
  </si>
  <si>
    <t>-518.830808616623 178.808334815833 830.245734213664</t>
  </si>
  <si>
    <t>-604.134105850402 -78.6724916836401 322.109160302611</t>
  </si>
  <si>
    <t>-656.164895149296 -109.196135711094 781.20528825011</t>
  </si>
  <si>
    <t>-501.967441809646 -126.442757952795 823.743745483469</t>
  </si>
  <si>
    <t>9763-20170724T115336.861734000.bin</t>
  </si>
  <si>
    <t>-591.606645037768 28.6836040055946 -94.2572670089706</t>
  </si>
  <si>
    <t>-612.163520171343 25.1954226290441 -202.989702366374</t>
  </si>
  <si>
    <t>-623.873626413092 21.4376571747819 -295.047246029276</t>
  </si>
  <si>
    <t>-633.158208530035 17.7014801633554 -378.341711006362</t>
  </si>
  <si>
    <t>-640.584054001348 13.5818091387371 -461.804413941152</t>
  </si>
  <si>
    <t>-649.4039777932 7.1168711616674 -583.973706858205</t>
  </si>
  <si>
    <t>-633.910003073091 6.32837948037695 -660.782106105895</t>
  </si>
  <si>
    <t>-643.543959432339 41.1999691776105 -532.164108237227</t>
  </si>
  <si>
    <t>-617.620373670798 194.293124152641 -517.115102333737</t>
  </si>
  <si>
    <t>-562.039707139259 235.379050541071 -243.616801836547</t>
  </si>
  <si>
    <t>-330.539126199023 217.540165074251 -237.469179833056</t>
  </si>
  <si>
    <t>-591.545146669675 120.292112873474 -98.9251096218801</t>
  </si>
  <si>
    <t>-619.535802757142 138.291057586804 315.315298031158</t>
  </si>
  <si>
    <t>-669.561564669391 173.67216533289 774.276824327909</t>
  </si>
  <si>
    <t>-518.83160525795 178.957355606459 830.280143464468</t>
  </si>
  <si>
    <t>-604.003360916008 -78.5549468538629 322.123775921332</t>
  </si>
  <si>
    <t>-656.149947274154 -109.187666420527 781.202138466045</t>
  </si>
  <si>
    <t>-501.94555797801 -126.349165927382 823.749840516547</t>
  </si>
  <si>
    <t>9763-20170724T115336.931962700.bin</t>
  </si>
  <si>
    <t>-591.326511320082 28.8622189652212 -94.2180838843346</t>
  </si>
  <si>
    <t>-611.951039841607 25.3858972123608 -202.938120476379</t>
  </si>
  <si>
    <t>-623.768902809943 21.7113557052626 -294.985133488907</t>
  </si>
  <si>
    <t>-633.170561495477 18.0805648832416 -378.27111590384</t>
  </si>
  <si>
    <t>-640.733078901618 14.0966667175021 -461.728203538098</t>
  </si>
  <si>
    <t>-649.773896328007 7.86386656155946 -583.8933678007</t>
  </si>
  <si>
    <t>-634.424201793954 7.3678432709446 -660.733310998905</t>
  </si>
  <si>
    <t>-643.8284253184 41.8491484518643 -532.029263496974</t>
  </si>
  <si>
    <t>-617.696315564075 194.866615960152 -516.562949430565</t>
  </si>
  <si>
    <t>-557.630834356787 232.650909772535 -243.537237198567</t>
  </si>
  <si>
    <t>-326.260382642057 213.37805851606 -236.843620986513</t>
  </si>
  <si>
    <t>-591.266379184853 120.533172114455 -98.8778730299015</t>
  </si>
  <si>
    <t>-619.341329498949 138.368317256538 315.364041719456</t>
  </si>
  <si>
    <t>-669.558548639351 173.670220107071 774.308777891239</t>
  </si>
  <si>
    <t>-518.845146207134 178.944686242633 830.357661400944</t>
  </si>
  <si>
    <t>-603.777555781338 -78.5255435518268 322.157076068523</t>
  </si>
  <si>
    <t>-656.113658964581 -109.233045626663 781.21213457793</t>
  </si>
  <si>
    <t>-501.925859408885 -126.453200595801 823.796341492685</t>
  </si>
  <si>
    <t>9763-20170724T115336.966044500.bin</t>
  </si>
  <si>
    <t>-591.237433312673 28.9304966394805 -94.2013594152484</t>
  </si>
  <si>
    <t>-611.896309945335 25.4556223650952 -202.914855164334</t>
  </si>
  <si>
    <t>-623.754276407506 21.8230812984345 -294.958559836984</t>
  </si>
  <si>
    <t>-633.196411686833 18.2462045924026 -378.242366982208</t>
  </si>
  <si>
    <t>-640.803349404871 14.3328725177098 -461.698647685338</t>
  </si>
  <si>
    <t>-649.91332789201 8.22129846866824 -583.864843410363</t>
  </si>
  <si>
    <t>-634.632446125554 7.89738170347664 -660.719168279172</t>
  </si>
  <si>
    <t>-643.953275529854 42.1558734179946 -531.969221094919</t>
  </si>
  <si>
    <t>-617.714576578809 195.136818252146 -516.274939710894</t>
  </si>
  <si>
    <t>-555.522907989693 231.388604428306 -243.51752095802</t>
  </si>
  <si>
    <t>-324.226589127949 211.283113914395 -236.711306829266</t>
  </si>
  <si>
    <t>-591.188173023354 120.627122904335 -98.8596237821464</t>
  </si>
  <si>
    <t>-619.277241451757 138.442232160148 315.382112688264</t>
  </si>
  <si>
    <t>-669.542714809486 173.72901089276 774.32109223718</t>
  </si>
  <si>
    <t>-518.83521356474 178.92744667516 830.392997813586</t>
  </si>
  <si>
    <t>-603.688546331957 -78.523954936973 322.163335025471</t>
  </si>
  <si>
    <t>-656.098963216502 -109.255786086995 781.213871480447</t>
  </si>
  <si>
    <t>-501.918631484781 -126.504789097519 823.813334961217</t>
  </si>
  <si>
    <t>9763-20170724T115337.027968300.bin</t>
  </si>
  <si>
    <t>-591.152535373652 29.0178352369667 -94.184648750489</t>
  </si>
  <si>
    <t>-611.846895349711 25.5320272882 -202.891078465806</t>
  </si>
  <si>
    <t>-623.773379206284 21.9816597083359 -294.929141217126</t>
  </si>
  <si>
    <t>-633.29222999576 18.5147921895621 -378.208799139808</t>
  </si>
  <si>
    <t>-640.990421756425 14.7481458875195 -461.663395044084</t>
  </si>
  <si>
    <t>-650.249142280618 8.89205404006316 -583.830996781228</t>
  </si>
  <si>
    <t>-635.128556839678 8.91483702292862 -660.717752045146</t>
  </si>
  <si>
    <t>-644.281394317786 42.7219038979706 -531.867719878681</t>
  </si>
  <si>
    <t>-618.087704274849 195.654448988215 -515.690634453958</t>
  </si>
  <si>
    <t>-551.009364573643 229.19664649429 -243.745860878482</t>
  </si>
  <si>
    <t>-319.914523986948 206.794083691779 -237.277895106425</t>
  </si>
  <si>
    <t>-591.245551221156 120.744712061057 -98.8286001739027</t>
  </si>
  <si>
    <t>-619.225781376474 138.494443915279 315.42333061176</t>
  </si>
  <si>
    <t>-669.539663465239 173.716918156367 774.358164263368</t>
  </si>
  <si>
    <t>-518.851013888853 179.023684539191 830.470478927987</t>
  </si>
  <si>
    <t>-603.461903431505 -78.4912790556898 322.176977022745</t>
  </si>
  <si>
    <t>-656.076536809022 -109.299328036689 781.206667205234</t>
  </si>
  <si>
    <t>-501.902185668783 -126.579615478144 823.815201704579</t>
  </si>
  <si>
    <t>9763-20170724T115337.062056900.bin</t>
  </si>
  <si>
    <t>-591.139555544145 29.0250154811465 -94.1646289676271</t>
  </si>
  <si>
    <t>-611.85332593297 25.5247057737115 -202.866849704987</t>
  </si>
  <si>
    <t>-623.805413216859 22.0258727234325 -294.903565344411</t>
  </si>
  <si>
    <t>-633.350690976133 18.6299706461518 -378.183054816945</t>
  </si>
  <si>
    <t>-641.078293148247 14.9595555170952 -461.639338807202</t>
  </si>
  <si>
    <t>-650.383030841386 9.27173590433404 -583.811395385328</t>
  </si>
  <si>
    <t>-635.340281021701 9.46659043084674 -660.713193634277</t>
  </si>
  <si>
    <t>-644.43130094514 43.0321693154108 -531.801268040286</t>
  </si>
  <si>
    <t>-618.325821337103 195.955257988021 -515.344129147421</t>
  </si>
  <si>
    <t>-548.438506130656 228.575145522582 -243.99499552788</t>
  </si>
  <si>
    <t>-317.409137345096 205.282318687235 -238.391632269462</t>
  </si>
  <si>
    <t>-591.346567279339 120.7308615437 -98.8022509676282</t>
  </si>
  <si>
    <t>-619.267717203003 138.513551591331 315.452247887748</t>
  </si>
  <si>
    <t>-669.541261418721 173.699853282534 774.388571074964</t>
  </si>
  <si>
    <t>-518.859742320942 179.084900459018 830.512625635238</t>
  </si>
  <si>
    <t>-603.364469330708 -78.4932149853771 322.189991969463</t>
  </si>
  <si>
    <t>-656.078745094964 -109.289492397366 781.203442093274</t>
  </si>
  <si>
    <t>-501.885668549211 -126.447451446929 823.793655144862</t>
  </si>
  <si>
    <t>9763-20170724T115337.129252700.bin</t>
  </si>
  <si>
    <t>-591.231050618536 29.0151920671285 -94.1467747150791</t>
  </si>
  <si>
    <t>-611.959539348896 25.4845928812433 -202.845175919815</t>
  </si>
  <si>
    <t>-623.964085304998 22.0745800730786 -294.878439205313</t>
  </si>
  <si>
    <t>-633.572081185434 18.8030820244999 -378.155719599013</t>
  </si>
  <si>
    <t>-641.377242452921 15.3023787720169 -461.611970349575</t>
  </si>
  <si>
    <t>-650.811243795277 9.91222636253542 -583.78763211651</t>
  </si>
  <si>
    <t>-635.907227472742 10.3863967066511 -660.715226714403</t>
  </si>
  <si>
    <t>-644.854126278245 43.5490318608279 -531.69806741165</t>
  </si>
  <si>
    <t>-618.972156935541 196.470284099112 -514.838550722723</t>
  </si>
  <si>
    <t>-543.140158912541 227.158198809799 -244.863845146597</t>
  </si>
  <si>
    <t>-312.16860268859 202.904344066393 -241.338838339117</t>
  </si>
  <si>
    <t>-591.64270549176 120.714169346393 -98.7663874432438</t>
  </si>
  <si>
    <t>-619.36636436043 138.551666451794 315.49899397558</t>
  </si>
  <si>
    <t>-669.52023296328 173.778714232426 774.450919131806</t>
  </si>
  <si>
    <t>-518.844860151228 179.037686046802 830.603275192122</t>
  </si>
  <si>
    <t>-603.224714028908 -78.4846827126448 322.196629672614</t>
  </si>
  <si>
    <t>-656.082435979031 -109.341986458905 781.193260620261</t>
  </si>
  <si>
    <t>-501.860077784754 -126.327385070573 823.746520452438</t>
  </si>
  <si>
    <t>9763-20170724T115337.164345800.bin</t>
  </si>
  <si>
    <t>-591.288230199784 28.987905366206 -94.1275550432581</t>
  </si>
  <si>
    <t>-612.026827986139 25.4487731351094 -202.823867437593</t>
  </si>
  <si>
    <t>-624.076535404143 22.0847093730242 -294.852764590176</t>
  </si>
  <si>
    <t>-633.739672237588 18.8754571977718 -378.126216708944</t>
  </si>
  <si>
    <t>-641.614251973252 15.4577370854649 -461.579501803347</t>
  </si>
  <si>
    <t>-651.165165288243 10.211695143465 -583.752274988585</t>
  </si>
  <si>
    <t>-636.319127249202 10.787932234688 -660.690232029858</t>
  </si>
  <si>
    <t>-645.162838647312 43.7872006083549 -531.628338446709</t>
  </si>
  <si>
    <t>-619.321535564814 196.696978188121 -514.590324519198</t>
  </si>
  <si>
    <t>-540.50620857062 226.135585991581 -245.331794046028</t>
  </si>
  <si>
    <t>-309.470880905014 202.355973184641 -242.936839930241</t>
  </si>
  <si>
    <t>-591.78226980488 120.663836108421 -98.7429933410212</t>
  </si>
  <si>
    <t>-619.40464838639 138.546116427148 315.527285967029</t>
  </si>
  <si>
    <t>-669.51128186362 173.806484705186 774.479580259732</t>
  </si>
  <si>
    <t>-518.843128754444 179.113062202904 830.647007348413</t>
  </si>
  <si>
    <t>-603.177905715918 -78.4749873979279 322.202454803181</t>
  </si>
  <si>
    <t>-656.085330213101 -109.335234435696 781.190753297015</t>
  </si>
  <si>
    <t>-501.838802669527 -126.150433029826 823.724000624572</t>
  </si>
  <si>
    <t>9763-20170724T115337.230355800.bin</t>
  </si>
  <si>
    <t>-591.437110738058 28.8189448070436 -94.090004240804</t>
  </si>
  <si>
    <t>-612.257158063495 25.2791750683296 -202.770626001783</t>
  </si>
  <si>
    <t>-624.375024125269 22.0031671462361 -294.793793007569</t>
  </si>
  <si>
    <t>-634.098961420792 18.9079669292619 -378.064483794916</t>
  </si>
  <si>
    <t>-642.033085178196 15.6388403280062 -461.518093957376</t>
  </si>
  <si>
    <t>-651.669269231634 10.6472925679332 -583.694833422906</t>
  </si>
  <si>
    <t>-636.894025114102 11.3514569154559 -660.645413489175</t>
  </si>
  <si>
    <t>-645.604309878635 44.1125453702859 -531.507348434533</t>
  </si>
  <si>
    <t>-619.77633934972 196.982052906051 -514.136041526324</t>
  </si>
  <si>
    <t>-535.261749579095 224.889216535053 -246.447653704928</t>
  </si>
  <si>
    <t>-304.076882569959 202.487951580715 -246.956110646222</t>
  </si>
  <si>
    <t>-591.987771912517 120.486454112863 -98.6992875671444</t>
  </si>
  <si>
    <t>-619.375041363538 138.441148522939 315.583428900363</t>
  </si>
  <si>
    <t>-669.501472070015 173.788035633506 774.519381467772</t>
  </si>
  <si>
    <t>-518.847941918025 179.177694222504 830.718117967211</t>
  </si>
  <si>
    <t>-603.165170509661 -78.5439486840887 322.217011046919</t>
  </si>
  <si>
    <t>-656.099837639566 -109.356552937814 781.18333488148</t>
  </si>
  <si>
    <t>-501.834678773054 -126.137224972692 823.662661143333</t>
  </si>
  <si>
    <t>9763-20170724T115337.263442900.bin</t>
  </si>
  <si>
    <t>-591.528036336936 28.7284218541192 -94.102944384025</t>
  </si>
  <si>
    <t>-612.375541752102 25.1928568648918 -202.778432997961</t>
  </si>
  <si>
    <t>-624.504745018809 21.9566196897269 -294.801441658402</t>
  </si>
  <si>
    <t>-634.233783511471 18.9119066931817 -378.07343106399</t>
  </si>
  <si>
    <t>-642.167838918854 15.7068568982691 -461.529463139031</t>
  </si>
  <si>
    <t>-651.797992823401 10.8238967655329 -583.711019074898</t>
  </si>
  <si>
    <t>-637.040215235884 11.565070046609 -660.664702453671</t>
  </si>
  <si>
    <t>-645.711522625799 44.2412476292063 -531.495381213693</t>
  </si>
  <si>
    <t>-619.853720651907 197.090666457959 -514.016373773631</t>
  </si>
  <si>
    <t>-532.666484563364 224.71696996475 -247.157257686724</t>
  </si>
  <si>
    <t>-301.432411854906 202.895485637611 -248.93504423025</t>
  </si>
  <si>
    <t>-592.085273744327 120.423169835994 -98.6987953151058</t>
  </si>
  <si>
    <t>-619.374040344364 138.403489396415 315.589261601537</t>
  </si>
  <si>
    <t>-669.486261233237 173.838322979411 774.534559701592</t>
  </si>
  <si>
    <t>-518.835875236268 179.131078987387 830.750754135914</t>
  </si>
  <si>
    <t>-603.197874282056 -78.5791522971117 322.21253759416</t>
  </si>
  <si>
    <t>-656.097314241131 -109.388733165201 781.183856662587</t>
  </si>
  <si>
    <t>-501.818804768074 -126.078661763662 823.65042504632</t>
  </si>
  <si>
    <t>9763-20170724T115337.331346000.bin</t>
  </si>
  <si>
    <t>-591.713940320293 28.4545949710171 -94.1140777707811</t>
  </si>
  <si>
    <t>-612.571198622265 24.9265440610811 -202.788065037186</t>
  </si>
  <si>
    <t>-624.710217865077 21.7247881414075 -294.810961560793</t>
  </si>
  <si>
    <t>-634.448700863607 18.7219406209329 -378.083398618224</t>
  </si>
  <si>
    <t>-642.392504295427 15.5687578027737 -461.540478441583</t>
  </si>
  <si>
    <t>-652.037343808933 10.7714271030954 -583.724222534979</t>
  </si>
  <si>
    <t>-637.32184274809 11.5249240787566 -660.685893102644</t>
  </si>
  <si>
    <t>-645.875373689261 44.1478777526377 -531.491164102899</t>
  </si>
  <si>
    <t>-619.892767172361 196.980320416356 -514.016347579487</t>
  </si>
  <si>
    <t>-528.438247447422 224.241483597117 -248.551738852782</t>
  </si>
  <si>
    <t>-297.146099076414 203.341026036904 -252.507359743386</t>
  </si>
  <si>
    <t>-592.247022294567 120.164539044842 -98.690495106801</t>
  </si>
  <si>
    <t>-619.453020184931 138.242476476183 315.598823290551</t>
  </si>
  <si>
    <t>-669.486715085795 173.878912686988 774.559097629301</t>
  </si>
  <si>
    <t>-518.8421869669 179.186246708106 830.789615520119</t>
  </si>
  <si>
    <t>-603.326180104208 -78.7792867599176 322.201930021592</t>
  </si>
  <si>
    <t>-656.092813984278 -109.460901266226 781.19745022118</t>
  </si>
  <si>
    <t>-501.855466433864 -126.534831701734 823.66088731139</t>
  </si>
  <si>
    <t>9763-20170724T115337.363433100.bin</t>
  </si>
  <si>
    <t>-591.789124738422 28.3439892403353 -94.1205409929629</t>
  </si>
  <si>
    <t>-612.634696323092 24.8167434655068 -202.796727904154</t>
  </si>
  <si>
    <t>-624.777914462926 21.6316302092107 -294.819761810852</t>
  </si>
  <si>
    <t>-634.525642618669 18.6507531278655 -378.091801260659</t>
  </si>
  <si>
    <t>-642.484289393571 15.5252651784992 -461.54854978902</t>
  </si>
  <si>
    <t>-652.156818401802 10.7749504617871 -583.732107563216</t>
  </si>
  <si>
    <t>-637.47335527126 11.5221539933798 -660.699835878904</t>
  </si>
  <si>
    <t>-645.941271443225 44.1284969160752 -531.490709785161</t>
  </si>
  <si>
    <t>-619.804357975613 196.932605311341 -514.034155535593</t>
  </si>
  <si>
    <t>-526.645396045825 223.966009954871 -249.139515188585</t>
  </si>
  <si>
    <t>-295.336956595034 203.451917323906 -254.049475527239</t>
  </si>
  <si>
    <t>-592.290348933159 120.05790506983 -98.6932812316904</t>
  </si>
  <si>
    <t>-619.493087987603 138.182190390953 315.594242024445</t>
  </si>
  <si>
    <t>-669.492161342315 173.872996417701 774.562479256829</t>
  </si>
  <si>
    <t>-518.851280946458 179.293440400522 830.792176971101</t>
  </si>
  <si>
    <t>-603.406143829587 -78.8585901948877 322.19816853347</t>
  </si>
  <si>
    <t>-656.086008939494 -109.492534042515 781.202444274185</t>
  </si>
  <si>
    <t>-501.864723541107 -126.702058099416 823.669538938075</t>
  </si>
  <si>
    <t>9763-20170724T115337.429624600.bin</t>
  </si>
  <si>
    <t>-591.884716162645 28.234392178736 -94.1319971915167</t>
  </si>
  <si>
    <t>-612.686375969539 24.7277510244519 -202.817185819308</t>
  </si>
  <si>
    <t>-624.802331015659 21.5747952554625 -294.845011930205</t>
  </si>
  <si>
    <t>-634.529280252979 18.6298145028939 -378.120608653995</t>
  </si>
  <si>
    <t>-642.470967654046 15.5459467097171 -461.58055417976</t>
  </si>
  <si>
    <t>-652.122875971754 10.8622431621657 -583.768291334895</t>
  </si>
  <si>
    <t>-637.455991764921 11.5411091206588 -660.739881128995</t>
  </si>
  <si>
    <t>-645.840549238495 44.1821615041924 -531.513499969856</t>
  </si>
  <si>
    <t>-619.581287351182 196.97345348556 -514.141914108657</t>
  </si>
  <si>
    <t>-523.176914131423 223.670609618379 -250.376834742016</t>
  </si>
  <si>
    <t>-291.836489349793 204.022157656186 -257.014938266105</t>
  </si>
  <si>
    <t>-592.246301209981 119.983851005864 -98.7133557082246</t>
  </si>
  <si>
    <t>-619.447546826238 138.172544106125 315.571382306544</t>
  </si>
  <si>
    <t>-669.504462642536 173.884127645714 774.551144691652</t>
  </si>
  <si>
    <t>-518.865825754443 179.271294432815 830.789949852315</t>
  </si>
  <si>
    <t>-603.53780408845 -78.9741613417179 322.188607234596</t>
  </si>
  <si>
    <t>-656.062378545872 -109.559301498902 781.215061901339</t>
  </si>
  <si>
    <t>-501.870131104878 -126.977564181318 823.702478189633</t>
  </si>
  <si>
    <t>9763-20170724T115337.465717500.bin</t>
  </si>
  <si>
    <t>-591.941387352329 28.3141874257328 -94.1381961767926</t>
  </si>
  <si>
    <t>-612.707502944772 24.8087856683396 -202.830399578385</t>
  </si>
  <si>
    <t>-624.790523954372 21.6600981979798 -294.862535213673</t>
  </si>
  <si>
    <t>-634.486523674325 18.7204948443903 -378.142032649947</t>
  </si>
  <si>
    <t>-642.395909594083 15.6432837470206 -461.60522427267</t>
  </si>
  <si>
    <t>-651.999281450324 10.9701976788331 -583.797238050131</t>
  </si>
  <si>
    <t>-637.309802236738 11.6038185613725 -660.764969584059</t>
  </si>
  <si>
    <t>-645.717480165385 44.2841641820523 -531.538617592347</t>
  </si>
  <si>
    <t>-619.465117659244 197.084832148548 -514.201352443809</t>
  </si>
  <si>
    <t>-521.388910921166 223.885432956114 -251.063770429165</t>
  </si>
  <si>
    <t>-290.028013614218 204.706573419853 -258.332534127233</t>
  </si>
  <si>
    <t>-592.278265119065 120.115883210582 -98.7289019348137</t>
  </si>
  <si>
    <t>-619.419532434165 138.256020261234 315.561951066395</t>
  </si>
  <si>
    <t>-669.48976278026 173.981189797008 774.541121579405</t>
  </si>
  <si>
    <t>-518.848659412967 179.209888183148 830.788350093268</t>
  </si>
  <si>
    <t>-603.576202974177 -78.9182560074598 322.188767486045</t>
  </si>
  <si>
    <t>-656.055061908564 -109.555537722425 781.220594326093</t>
  </si>
  <si>
    <t>-501.820055455137 -126.610513746043 823.700244229685</t>
  </si>
  <si>
    <t>9763-20170724T115337.531617700.bin</t>
  </si>
  <si>
    <t>-592.004251490362 28.5421427970043 -94.1329506696677</t>
  </si>
  <si>
    <t>-612.749356710026 25.0332128060018 -202.828917713332</t>
  </si>
  <si>
    <t>-624.791906549094 21.8895822933328 -294.866622941327</t>
  </si>
  <si>
    <t>-634.442141094514 18.9567854091899 -378.151673303046</t>
  </si>
  <si>
    <t>-642.296566573586 15.8874886527744 -461.620399658707</t>
  </si>
  <si>
    <t>-651.80945527635 11.2266671332143 -583.819906524662</t>
  </si>
  <si>
    <t>-637.002677740529 11.7651840733311 -660.765834091956</t>
  </si>
  <si>
    <t>-645.519818024639 44.5321091527094 -531.556831070645</t>
  </si>
  <si>
    <t>-619.122015935012 197.317192448895 -514.290734035795</t>
  </si>
  <si>
    <t>-517.960048152922 225.027071461524 -252.418603153707</t>
  </si>
  <si>
    <t>-286.602258352823 205.932680802515 -260.002348468543</t>
  </si>
  <si>
    <t>-592.361736752779 120.36101464605 -98.7305032541337</t>
  </si>
  <si>
    <t>-619.50951401816 138.453844927038 315.561915355178</t>
  </si>
  <si>
    <t>-669.49890117383 174.024840463176 774.547011252689</t>
  </si>
  <si>
    <t>-518.858394904143 179.26861659356 830.794308729207</t>
  </si>
  <si>
    <t>-603.544402051621 -78.7452414780623 322.19363474358</t>
  </si>
  <si>
    <t>-656.044264212657 -109.574102184826 781.221456768523</t>
  </si>
  <si>
    <t>-501.815069771216 -126.707446206165 823.69056950759</t>
  </si>
  <si>
    <t>9763-20170724T115337.564705600.bin</t>
  </si>
  <si>
    <t>-591.992148516004 28.6876714511186 -94.1225088762044</t>
  </si>
  <si>
    <t>-612.729266523334 25.1714955709272 -202.819922117471</t>
  </si>
  <si>
    <t>-624.773063191016 22.0212446578 -294.857177797292</t>
  </si>
  <si>
    <t>-634.427649702081 19.0817371248932 -378.141423544178</t>
  </si>
  <si>
    <t>-642.28973452731 16.0045457405622 -461.609200813394</t>
  </si>
  <si>
    <t>-651.81752829731 11.3304802345845 -583.807008276342</t>
  </si>
  <si>
    <t>-636.949123125536 11.8028205394887 -660.74149999475</t>
  </si>
  <si>
    <t>-645.501106071771 44.6401658710665 -531.549859598081</t>
  </si>
  <si>
    <t>-619.036740940964 197.420780987831 -514.334607463953</t>
  </si>
  <si>
    <t>-516.389262514416 225.530734466161 -253.083862593453</t>
  </si>
  <si>
    <t>-285.031546390723 206.404012291864 -260.587153934641</t>
  </si>
  <si>
    <t>-592.37827808866 120.500547257804 -98.7217243475378</t>
  </si>
  <si>
    <t>-619.543097385412 138.56682750653 315.570777176403</t>
  </si>
  <si>
    <t>-669.497210342242 174.067940537785 774.552047242533</t>
  </si>
  <si>
    <t>-518.854819391369 179.211213375335 830.803511633765</t>
  </si>
  <si>
    <t>-603.493498374038 -78.6717008138246 322.198918887193</t>
  </si>
  <si>
    <t>-656.036940811738 -109.58777709795 781.219923441502</t>
  </si>
  <si>
    <t>-501.817473909974 -126.819127098258 823.684789028281</t>
  </si>
  <si>
    <t>9763-20170724T115337.630882600.bin</t>
  </si>
  <si>
    <t>-591.977506477788 29.1575625696287 -94.1046182903863</t>
  </si>
  <si>
    <t>-612.755415729172 25.623151641073 -202.793624334771</t>
  </si>
  <si>
    <t>-624.842336103652 22.4519738144322 -294.8244637716</t>
  </si>
  <si>
    <t>-634.539563742226 19.4899672563106 -378.103127027409</t>
  </si>
  <si>
    <t>-642.448067363461 16.3865516547748 -461.565343226616</t>
  </si>
  <si>
    <t>-652.047972496324 11.6697052091522 -583.755921128028</t>
  </si>
  <si>
    <t>-637.129998638659 12.0282729066407 -660.681547864716</t>
  </si>
  <si>
    <t>-645.699829917895 44.9976413058901 -531.514132842432</t>
  </si>
  <si>
    <t>-619.359834240676 197.806913361364 -514.402020843426</t>
  </si>
  <si>
    <t>-513.699946579365 226.735382510434 -254.444937210817</t>
  </si>
  <si>
    <t>-282.347017575112 207.490087000864 -261.791340562492</t>
  </si>
  <si>
    <t>-592.472654016526 121.017663690605 -98.7138841184699</t>
  </si>
  <si>
    <t>-619.507103691613 138.800555647802 315.599429456024</t>
  </si>
  <si>
    <t>-669.494414378225 174.107663969647 774.57558403893</t>
  </si>
  <si>
    <t>-518.859356704968 179.308107052389 830.841552027793</t>
  </si>
  <si>
    <t>-603.298329070555 -78.3474578457408 322.222426405009</t>
  </si>
  <si>
    <t>-656.030017120225 -109.604737381415 781.212062137288</t>
  </si>
  <si>
    <t>-501.791270700367 -126.732862744987 823.648580062819</t>
  </si>
  <si>
    <t>9763-20170724T115337.663970800.bin</t>
  </si>
  <si>
    <t>-591.976936839058 29.4822343901212 -94.0939926139499</t>
  </si>
  <si>
    <t>-612.780876290328 25.9295937904883 -202.777367731621</t>
  </si>
  <si>
    <t>-624.882809671127 22.7459885358244 -294.80591302198</t>
  </si>
  <si>
    <t>-634.590794479353 19.7726995289804 -378.082825335744</t>
  </si>
  <si>
    <t>-642.507305602456 16.6579340016306 -461.543873750482</t>
  </si>
  <si>
    <t>-652.115762683 11.9241731936659 -583.733129002973</t>
  </si>
  <si>
    <t>-637.196768767942 12.2472965010718 -660.65865919422</t>
  </si>
  <si>
    <t>-645.75996521072 45.258957752699 -531.496784811919</t>
  </si>
  <si>
    <t>-619.441209559423 198.070408006142 -514.414406916971</t>
  </si>
  <si>
    <t>-512.335447385896 227.366924141239 -255.090959826628</t>
  </si>
  <si>
    <t>-280.989483381425 207.98681199254 -262.301017712724</t>
  </si>
  <si>
    <t>-592.539929322181 121.356137418495 -98.70989956886</t>
  </si>
  <si>
    <t>-619.525492502408 138.971894663801 315.613666602027</t>
  </si>
  <si>
    <t>-669.502725945366 174.096719286211 774.600509154423</t>
  </si>
  <si>
    <t>-518.870525841806 179.314261000779 830.872532089611</t>
  </si>
  <si>
    <t>-603.156176620171 -78.0981996227981 322.236115987961</t>
  </si>
  <si>
    <t>-656.033640767665 -109.585048129287 781.201864878827</t>
  </si>
  <si>
    <t>-501.753820359931 -126.425051019804 823.604385646598</t>
  </si>
  <si>
    <t>9763-20170724T115337.731690200.bin</t>
  </si>
  <si>
    <t>-592.000441820979 30.1063090683408 -94.0636880266335</t>
  </si>
  <si>
    <t>-612.860051107709 26.5093922698923 -202.734873435747</t>
  </si>
  <si>
    <t>-624.983548183767 23.3186322276256 -294.760291312162</t>
  </si>
  <si>
    <t>-634.700424729386 20.3492688327342 -378.03637785364</t>
  </si>
  <si>
    <t>-642.615089457412 17.2487075945651 -461.498081906339</t>
  </si>
  <si>
    <t>-652.209012766448 12.5463596496602 -583.689711492508</t>
  </si>
  <si>
    <t>-637.339891489394 12.8743132332515 -660.624857594531</t>
  </si>
  <si>
    <t>-645.879316778963 45.8692294508087 -531.442512073832</t>
  </si>
  <si>
    <t>-619.636443149929 198.703392806653 -514.402144548309</t>
  </si>
  <si>
    <t>-509.774968586411 228.841097669537 -256.330953658501</t>
  </si>
  <si>
    <t>-278.466457587186 209.005587937222 -263.504027171553</t>
  </si>
  <si>
    <t>-592.681859746143 121.958321272154 -98.6843304491136</t>
  </si>
  <si>
    <t>-619.547780418978 139.32140787346 315.657717820217</t>
  </si>
  <si>
    <t>-669.513342927178 174.102777695295 774.662769722394</t>
  </si>
  <si>
    <t>-518.883566364925 179.387513365348 830.934955162033</t>
  </si>
  <si>
    <t>-602.825517925892 -77.5652908631441 322.287243703837</t>
  </si>
  <si>
    <t>-656.065323763127 -109.572214179358 781.18123113542</t>
  </si>
  <si>
    <t>-501.77108068546 -126.533312387242 823.482827428176</t>
  </si>
  <si>
    <t>9763-20170724T115337.763774900.bin</t>
  </si>
  <si>
    <t>-591.990958202608 30.4438986712557 -94.0417154247126</t>
  </si>
  <si>
    <t>-612.875247157129 26.8525102245198 -202.708385808416</t>
  </si>
  <si>
    <t>-625.022947719141 23.6581844642394 -294.730427284844</t>
  </si>
  <si>
    <t>-634.763285633282 20.681456125398 -378.00355933491</t>
  </si>
  <si>
    <t>-642.702899059404 17.5701404285492 -461.462540723163</t>
  </si>
  <si>
    <t>-652.335113682964 12.8481537680939 -583.650275811872</t>
  </si>
  <si>
    <t>-637.520968594192 13.1840642539514 -660.596035452247</t>
  </si>
  <si>
    <t>-646.007577470514 46.180747621763 -531.409103006501</t>
  </si>
  <si>
    <t>-619.858170352517 199.039313406849 -514.412494087008</t>
  </si>
  <si>
    <t>-508.47610198008 229.270474629629 -257.004935797431</t>
  </si>
  <si>
    <t>-277.175178092759 209.324580737873 -264.1171356079</t>
  </si>
  <si>
    <t>-592.709544259715 122.303645167643 -98.6564217559322</t>
  </si>
  <si>
    <t>-619.522331030007 139.537899427393 315.694490196618</t>
  </si>
  <si>
    <t>-669.504619772499 174.177998512832 774.699092763814</t>
  </si>
  <si>
    <t>-518.870055117566 179.397417400899 830.964586102494</t>
  </si>
  <si>
    <t>-602.603120149327 -77.2722497426259 322.303658261769</t>
  </si>
  <si>
    <t>-656.088377808615 -109.515249731198 781.16257853421</t>
  </si>
  <si>
    <t>-501.75619866447 -126.307653870702 823.393077770462</t>
  </si>
  <si>
    <t>9763-20170724T115337.832019000.bin</t>
  </si>
  <si>
    <t>-591.837440998193 31.0746857051561 -93.9899029903585</t>
  </si>
  <si>
    <t>-612.818643546426 27.4990235056687 -202.638420421645</t>
  </si>
  <si>
    <t>-625.053781574727 24.3170041039373 -294.649276541744</t>
  </si>
  <si>
    <t>-634.875425894005 21.3501947309564 -377.913211905813</t>
  </si>
  <si>
    <t>-642.898763765291 18.2483093065787 -461.3646107219</t>
  </si>
  <si>
    <t>-652.655976444686 13.5395855816114 -583.543048056503</t>
  </si>
  <si>
    <t>-637.973943960468 13.9110621857903 -660.513772174874</t>
  </si>
  <si>
    <t>-646.317673675254 46.869403781179 -531.301328433359</t>
  </si>
  <si>
    <t>-620.350878370438 199.767420256909 -514.40120076957</t>
  </si>
  <si>
    <t>-505.627260269596 230.185451964154 -258.487427385696</t>
  </si>
  <si>
    <t>-274.342283774971 210.098961211844 -265.720751182077</t>
  </si>
  <si>
    <t>-592.602494264806 122.912588086682 -98.5723347234542</t>
  </si>
  <si>
    <t>-619.388817568071 139.899279987855 315.790538218009</t>
  </si>
  <si>
    <t>-669.512156317529 174.14637561923 774.787884711344</t>
  </si>
  <si>
    <t>-518.880824295915 179.448409393548 831.054356906398</t>
  </si>
  <si>
    <t>-602.052581361077 -76.6878486301357 322.346762139174</t>
  </si>
  <si>
    <t>-656.119559037283 -109.495447429726 781.119512537752</t>
  </si>
  <si>
    <t>-501.760928388131 -126.323578261873 823.239007713441</t>
  </si>
  <si>
    <t>9763-20170724T115337.865106800.bin</t>
  </si>
  <si>
    <t>-591.568893032249 31.3980698669475 -93.9580644163166</t>
  </si>
  <si>
    <t>-612.588299287117 27.8278168249083 -202.599392088111</t>
  </si>
  <si>
    <t>-624.878921553764 24.663544582851 -294.603611090081</t>
  </si>
  <si>
    <t>-634.759891841777 21.718151562975 -377.861231213021</t>
  </si>
  <si>
    <t>-642.851775757417 18.6434357279386 -461.306988332991</t>
  </si>
  <si>
    <t>-652.719190597461 13.9811042235563 -583.478186764588</t>
  </si>
  <si>
    <t>-638.126444867757 14.3751517029129 -660.4658909728</t>
  </si>
  <si>
    <t>-646.34586035315 47.2919398516019 -531.228797181803</t>
  </si>
  <si>
    <t>-620.423067192408 200.194397230375 -514.321620053003</t>
  </si>
  <si>
    <t>-503.952863478519 230.835723354307 -259.224764485225</t>
  </si>
  <si>
    <t>-272.682107995558 210.699928868289 -266.770271148652</t>
  </si>
  <si>
    <t>-592.310759231428 123.243852791506 -98.527264639417</t>
  </si>
  <si>
    <t>-619.249434088839 140.094007777132 315.831252716611</t>
  </si>
  <si>
    <t>-669.482874566901 174.263166342193 774.824475287896</t>
  </si>
  <si>
    <t>-518.855664192602 179.416121325149 831.11576509572</t>
  </si>
  <si>
    <t>-601.842733688924 -76.4518836320815 322.369468195169</t>
  </si>
  <si>
    <t>-656.110758790152 -109.503835281209 781.106756414994</t>
  </si>
  <si>
    <t>-501.741238099867 -126.273742725804 823.209555057468</t>
  </si>
  <si>
    <t>9763-20170724T115337.929842400.bin</t>
  </si>
  <si>
    <t>-590.949628745968 31.8580843218881 -93.8912942770144</t>
  </si>
  <si>
    <t>-611.92488880617 28.3288365957353 -202.542557516535</t>
  </si>
  <si>
    <t>-624.305246811529 25.2451046210422 -294.537420957351</t>
  </si>
  <si>
    <t>-634.318099375892 22.3933087590053 -377.782454482475</t>
  </si>
  <si>
    <t>-642.592560989485 19.4343174960532 -461.214515941129</t>
  </si>
  <si>
    <t>-652.782337374794 14.9665803103558 -583.366616078713</t>
  </si>
  <si>
    <t>-638.388346676939 15.4439680899866 -660.391195770535</t>
  </si>
  <si>
    <t>-646.288066354848 48.1954075064866 -531.079741582952</t>
  </si>
  <si>
    <t>-620.396889276371 201.100165900677 -514.151233810381</t>
  </si>
  <si>
    <t>-500.182311825763 232.398232452693 -260.877818283329</t>
  </si>
  <si>
    <t>-268.961788478141 211.894801253632 -268.952757792219</t>
  </si>
  <si>
    <t>-591.547520382621 123.703278413154 -98.4276347940635</t>
  </si>
  <si>
    <t>-618.908083642348 140.372092040446 315.910586816176</t>
  </si>
  <si>
    <t>-669.490299045584 174.31009036957 774.913529804206</t>
  </si>
  <si>
    <t>-518.867918020157 179.421880840407 831.221523648715</t>
  </si>
  <si>
    <t>-601.536938292998 -76.3323146975042 322.41151752289</t>
  </si>
  <si>
    <t>-656.06425129243 -109.520460471803 781.111165154992</t>
  </si>
  <si>
    <t>-501.712060087455 -126.3809579549 823.241339248182</t>
  </si>
  <si>
    <t>9763-20170724T115337.961928100.bin</t>
  </si>
  <si>
    <t>-590.622930330885 32.0060034729815 -93.834356259161</t>
  </si>
  <si>
    <t>-611.554181874936 28.515390700215 -202.495309118066</t>
  </si>
  <si>
    <t>-623.98918993232 25.4880887911631 -294.484631105489</t>
  </si>
  <si>
    <t>-634.088176234855 22.6990482398251 -377.721466936176</t>
  </si>
  <si>
    <t>-642.485583471553 19.8151256004253 -461.143856272411</t>
  </si>
  <si>
    <t>-652.895321179339 15.4716088521516 -583.281894961976</t>
  </si>
  <si>
    <t>-638.628189191023 16.0082849448431 -660.329758203813</t>
  </si>
  <si>
    <t>-646.309988789714 48.6473418781063 -530.972836542001</t>
  </si>
  <si>
    <t>-620.410838230396 201.546155153111 -513.990091633411</t>
  </si>
  <si>
    <t>-498.340307450802 233.136024790361 -261.642208847247</t>
  </si>
  <si>
    <t>-267.150065544684 212.434064375405 -270.069845413036</t>
  </si>
  <si>
    <t>-591.121700196962 123.924223550167 -98.3702616379348</t>
  </si>
  <si>
    <t>-618.691390848654 140.471690833657 315.958986200853</t>
  </si>
  <si>
    <t>-669.491033108271 174.343310363297 774.943488314985</t>
  </si>
  <si>
    <t>-518.873831928971 179.422319125807 831.268245799334</t>
  </si>
  <si>
    <t>-601.42957497823 -76.3318353061427 322.424432007855</t>
  </si>
  <si>
    <t>-656.024505825867 -109.562529805216 781.117500409891</t>
  </si>
  <si>
    <t>-501.708621790084 -126.63827248854 823.293899015876</t>
  </si>
  <si>
    <t>9763-20170724T115338.031617600.bin</t>
  </si>
  <si>
    <t>-589.776457054211 32.2126871884334 -93.7379404450699</t>
  </si>
  <si>
    <t>-610.665348306478 28.8022922223599 -202.409601550045</t>
  </si>
  <si>
    <t>-623.204246340929 25.9128200141979 -294.389250141979</t>
  </si>
  <si>
    <t>-633.452717959918 23.2801486629219 -377.612950511088</t>
  </si>
  <si>
    <t>-642.055145342389 20.5853330752468 -461.02069652089</t>
  </si>
  <si>
    <t>-652.825021179478 16.556099382703 -583.138306427202</t>
  </si>
  <si>
    <t>-638.820761470241 17.2688030037202 -660.232964110682</t>
  </si>
  <si>
    <t>-646.08639550717 49.597194424895 -530.763629282188</t>
  </si>
  <si>
    <t>-620.186040036028 202.481554454446 -513.622104677472</t>
  </si>
  <si>
    <t>-494.262233308968 234.605551333995 -263.242647754379</t>
  </si>
  <si>
    <t>-263.148167169311 213.332709371631 -272.313953055492</t>
  </si>
  <si>
    <t>-590.063010443645 124.279780331166 -98.2527007778</t>
  </si>
  <si>
    <t>-618.110593806278 140.600187692207 316.053398549267</t>
  </si>
  <si>
    <t>-669.474573726451 174.385289499209 774.968386418963</t>
  </si>
  <si>
    <t>-518.878730410908 179.35284468313 831.360236866144</t>
  </si>
  <si>
    <t>-601.147182593286 -76.3789071407721 322.470817348217</t>
  </si>
  <si>
    <t>-655.920621499415 -109.629738136246 781.146560424721</t>
  </si>
  <si>
    <t>-501.685260923022 -127.097819481347 823.456749007724</t>
  </si>
  <si>
    <t>9763-20170724T115338.062700400.bin</t>
  </si>
  <si>
    <t>-589.322039122736 32.407973652359 -93.6997560787166</t>
  </si>
  <si>
    <t>-610.190042243313 29.021429561471 -202.376211482259</t>
  </si>
  <si>
    <t>-622.775535961856 26.1913259264502 -294.351282701614</t>
  </si>
  <si>
    <t>-633.091531328058 23.6297273872683 -377.568860515622</t>
  </si>
  <si>
    <t>-641.786912148562 21.0233177241143 -460.969774171098</t>
  </si>
  <si>
    <t>-652.720466975066 17.1426777085799 -583.07771699547</t>
  </si>
  <si>
    <t>-638.848083113596 17.9556444195325 -660.19513920964</t>
  </si>
  <si>
    <t>-645.900394058987 50.1192781934687 -530.672788625575</t>
  </si>
  <si>
    <t>-619.942477484107 202.978976069657 -513.433340008679</t>
  </si>
  <si>
    <t>-492.086246718481 235.224056006516 -264.050740220892</t>
  </si>
  <si>
    <t>-261.007694737148 213.606024684407 -273.210000481794</t>
  </si>
  <si>
    <t>-589.533153111581 124.515808320173 -98.2045238422709</t>
  </si>
  <si>
    <t>-617.785229322111 140.672678162022 316.094141746902</t>
  </si>
  <si>
    <t>-669.471915365827 174.371120390618 774.978994281664</t>
  </si>
  <si>
    <t>-518.892787072358 179.427525826858 831.407496738035</t>
  </si>
  <si>
    <t>-600.849787851233 -76.3381378461638 322.504576308919</t>
  </si>
  <si>
    <t>-655.870368213839 -109.626178368676 781.158989835263</t>
  </si>
  <si>
    <t>-501.648031797824 -127.07331949735 823.525153833691</t>
  </si>
  <si>
    <t>9763-20170724T115338.131891600.bin</t>
  </si>
  <si>
    <t>-588.322500331259 32.8950962254264 -93.6001400578964</t>
  </si>
  <si>
    <t>-609.157699918093 29.5354328103972 -202.283590614016</t>
  </si>
  <si>
    <t>-621.82549708772 26.8116442578137 -294.250683919474</t>
  </si>
  <si>
    <t>-632.259453267186 24.3817514353063 -377.457458443517</t>
  </si>
  <si>
    <t>-641.116175073995 21.9425491908198 -460.846553129661</t>
  </si>
  <si>
    <t>-652.33288357878 18.3455916616799 -582.937476344768</t>
  </si>
  <si>
    <t>-638.721124666856 19.3480183036747 -660.0991670946</t>
  </si>
  <si>
    <t>-645.33740045332 51.1967295295262 -530.476845285589</t>
  </si>
  <si>
    <t>-619.08141548157 204.000104407831 -513.155534166163</t>
  </si>
  <si>
    <t>-487.820215003511 236.35429692497 -265.562593316994</t>
  </si>
  <si>
    <t>-256.791670852338 214.18233322291 -274.658688455132</t>
  </si>
  <si>
    <t>-588.384677182136 125.128991578465 -98.1158774588918</t>
  </si>
  <si>
    <t>-617.015034997957 140.963653165123 316.169233682342</t>
  </si>
  <si>
    <t>-669.474710374524 174.322412759327 774.997455096039</t>
  </si>
  <si>
    <t>-518.934891607304 179.612343323492 831.509369696969</t>
  </si>
  <si>
    <t>-600.164407887985 -76.1644504224234 322.592337261637</t>
  </si>
  <si>
    <t>-655.808454651862 -109.625233123117 781.173198530742</t>
  </si>
  <si>
    <t>-501.584105983477 -126.946376648905 823.583718080435</t>
  </si>
  <si>
    <t>9763-20170724T115338.163973500.bin</t>
  </si>
  <si>
    <t>-587.782186451705 33.2373834007933 -93.5422156805864</t>
  </si>
  <si>
    <t>-608.605980816243 29.9073530810545 -202.228865252338</t>
  </si>
  <si>
    <t>-621.321877514276 27.230794656122 -294.190665767473</t>
  </si>
  <si>
    <t>-631.822460618596 24.8535272100164 -377.390532187545</t>
  </si>
  <si>
    <t>-640.768831409298 22.4770817536471 -460.771917289718</t>
  </si>
  <si>
    <t>-652.141788301685 18.9832964194752 -582.851224597549</t>
  </si>
  <si>
    <t>-638.686631074052 20.0506178864207 -660.039450630887</t>
  </si>
  <si>
    <t>-645.050288348583 51.7880673251791 -530.374611691747</t>
  </si>
  <si>
    <t>-618.635541122241 204.560359920587 -513.076172143309</t>
  </si>
  <si>
    <t>-485.713684142097 237.085221591699 -266.393118037987</t>
  </si>
  <si>
    <t>-254.701906058067 214.631833965841 -275.220778194118</t>
  </si>
  <si>
    <t>-587.718107724943 125.568070944713 -98.0520208345898</t>
  </si>
  <si>
    <t>-616.63393006372 141.217185104643 316.220348367794</t>
  </si>
  <si>
    <t>-669.453065315606 174.419001532701 775.014477801344</t>
  </si>
  <si>
    <t>-518.924780781691 179.543039982497 831.572459368415</t>
  </si>
  <si>
    <t>-599.806483690502 -75.9971759429693 322.63586009462</t>
  </si>
  <si>
    <t>-655.783462619538 -109.618166293979 781.174665080407</t>
  </si>
  <si>
    <t>-501.569306803363 -127.006392250611 823.594719292087</t>
  </si>
  <si>
    <t>9763-20170724T115338.232168900.bin</t>
  </si>
  <si>
    <t>-586.771029205794 34.1220686725139 -93.4539939217333</t>
  </si>
  <si>
    <t>-607.530420519905 30.8555715379 -202.154830279304</t>
  </si>
  <si>
    <t>-620.297944249222 28.2765318157647 -294.112320218286</t>
  </si>
  <si>
    <t>-630.88732340183 26.0081417565023 -377.303922227369</t>
  </si>
  <si>
    <t>-639.964739161923 23.760251699415 -460.674703027503</t>
  </si>
  <si>
    <t>-651.575400156474 20.4767418526635 -582.737519907093</t>
  </si>
  <si>
    <t>-638.418428663916 21.6201079992804 -659.976074328977</t>
  </si>
  <si>
    <t>-644.300762946366 53.1852709883146 -530.225858826099</t>
  </si>
  <si>
    <t>-617.381882137091 205.872761414671 -512.926959014349</t>
  </si>
  <si>
    <t>-481.552182697738 238.717094898004 -267.875566199845</t>
  </si>
  <si>
    <t>-250.561688428185 215.827899491042 -276.122357235961</t>
  </si>
  <si>
    <t>-586.46019901545 126.604982702437 -97.9523731320584</t>
  </si>
  <si>
    <t>-615.87464123566 141.792018706307 316.302087319072</t>
  </si>
  <si>
    <t>-669.444770118106 174.408262907115 775.047087742203</t>
  </si>
  <si>
    <t>-518.953763816267 179.618798613951 831.696287544994</t>
  </si>
  <si>
    <t>-599.141462861691 -75.4946315016648 322.717281770187</t>
  </si>
  <si>
    <t>-655.743175620478 -109.607779806918 781.16698637371</t>
  </si>
  <si>
    <t>-501.581094193146 -127.419373753889 823.600715168016</t>
  </si>
  <si>
    <t>9763-20170724T115338.265255300.bin</t>
  </si>
  <si>
    <t>-586.275254850645 34.5316367479134 -93.4138719662749</t>
  </si>
  <si>
    <t>-606.969079585267 31.2981735575609 -202.128191212524</t>
  </si>
  <si>
    <t>-619.733215893547 28.7359313762195 -294.08657612488</t>
  </si>
  <si>
    <t>-630.340426414507 26.480759088018 -377.276411562807</t>
  </si>
  <si>
    <t>-639.456854771724 24.2429921396672 -460.643143945731</t>
  </si>
  <si>
    <t>-651.147812240911 20.9712059682493 -582.69855402196</t>
  </si>
  <si>
    <t>-638.127912457543 22.0784203226629 -659.960881933036</t>
  </si>
  <si>
    <t>-643.779835574701 53.6702790466297 -530.194199950178</t>
  </si>
  <si>
    <t>-616.582833994768 206.336882524174 -513.025956542744</t>
  </si>
  <si>
    <t>-479.587533191047 239.467051403717 -268.663110778865</t>
  </si>
  <si>
    <t>-248.587941210649 216.59924049218 -276.711830827489</t>
  </si>
  <si>
    <t>-585.75505488034 127.061829466084 -97.9035547996752</t>
  </si>
  <si>
    <t>-615.508736988092 142.084213372905 316.332629420525</t>
  </si>
  <si>
    <t>-669.434694273082 174.457045039342 775.059633802676</t>
  </si>
  <si>
    <t>-518.955269874711 179.490010319613 831.755569146799</t>
  </si>
  <si>
    <t>-598.850369936326 -75.2566587423291 322.762024858277</t>
  </si>
  <si>
    <t>-655.71842686016 -109.587424895805 781.167663580526</t>
  </si>
  <si>
    <t>-501.558768018769 -127.418529396348 823.602033503012</t>
  </si>
  <si>
    <t>9763-20170724T115338.328978900.bin</t>
  </si>
  <si>
    <t>-585.274840424956 35.1574536113262 -93.2953132236869</t>
  </si>
  <si>
    <t>-605.861498022272 32.0091147317726 -202.03249949906</t>
  </si>
  <si>
    <t>-618.639758830589 29.4407983615945 -293.988776408137</t>
  </si>
  <si>
    <t>-629.302431401117 27.1529856313723 -377.170623249629</t>
  </si>
  <si>
    <t>-638.517610706743 24.8539982737202 -460.524713091531</t>
  </si>
  <si>
    <t>-650.401089793113 21.4614907371163 -582.558352975966</t>
  </si>
  <si>
    <t>-637.640702580228 22.3821221393612 -659.866438016751</t>
  </si>
  <si>
    <t>-642.83111422715 54.2034624102832 -530.109388604038</t>
  </si>
  <si>
    <t>-615.07947080119 206.800334528762 -513.298731444825</t>
  </si>
  <si>
    <t>-475.632649671586 240.253156214048 -270.370607123336</t>
  </si>
  <si>
    <t>-244.625387668301 217.1520348913 -277.478114063645</t>
  </si>
  <si>
    <t>-584.393323792784 127.758109105561 -97.7832135952534</t>
  </si>
  <si>
    <t>-614.803735870118 142.460576563064 316.416834078768</t>
  </si>
  <si>
    <t>-669.431804421776 174.476639728458 775.076388926462</t>
  </si>
  <si>
    <t>-518.978653280595 179.534725480222 831.839775260336</t>
  </si>
  <si>
    <t>-598.375711716653 -74.9121052273715 322.833428747291</t>
  </si>
  <si>
    <t>-655.672170351434 -109.551190070378 781.173967371271</t>
  </si>
  <si>
    <t>-501.500844478115 -127.301994839256 823.59956626886</t>
  </si>
  <si>
    <t>9763-20170724T115338.369086600.bin</t>
  </si>
  <si>
    <t>-584.761410095483 35.3883413320139 -93.2450317193732</t>
  </si>
  <si>
    <t>-605.290628573922 32.276890561023 -201.994105895136</t>
  </si>
  <si>
    <t>-618.07001909091 29.7157835561204 -293.950397144739</t>
  </si>
  <si>
    <t>-628.753885411941 27.4265551260214 -377.129391784019</t>
  </si>
  <si>
    <t>-638.010648112039 25.1177124720739 -460.478855661757</t>
  </si>
  <si>
    <t>-649.977430627691 21.7015735333503 -582.503631852341</t>
  </si>
  <si>
    <t>-637.334786193934 22.5114419430158 -659.832267279383</t>
  </si>
  <si>
    <t>-642.313582024789 54.449004555524 -530.071643020302</t>
  </si>
  <si>
    <t>-614.257251699635 206.993629424232 -513.379586861761</t>
  </si>
  <si>
    <t>-473.513646939495 240.636323620892 -271.226677939481</t>
  </si>
  <si>
    <t>-242.519531536798 217.234730950653 -277.754704694129</t>
  </si>
  <si>
    <t>-583.702416528035 128.012707149632 -97.7277997330743</t>
  </si>
  <si>
    <t>-614.4750054619 142.59572673977 316.449698761943</t>
  </si>
  <si>
    <t>-669.424245321277 174.510636188433 775.074485414023</t>
  </si>
  <si>
    <t>-518.98423647216 179.498259576383 831.879036448938</t>
  </si>
  <si>
    <t>-598.197131400484 -74.8136466267649 322.858873660352</t>
  </si>
  <si>
    <t>-655.64373026631 -109.550797181886 781.177561079062</t>
  </si>
  <si>
    <t>-501.509844427184 -127.588263789274 823.618415325274</t>
  </si>
  <si>
    <t>9763-20170724T115338.431806600.bin</t>
  </si>
  <si>
    <t>-583.699498966919 35.8694238939565 -93.1744497286816</t>
  </si>
  <si>
    <t>-604.10276650073 32.8252335719164 -201.949176994411</t>
  </si>
  <si>
    <t>-616.91460565538 30.2984026649569 -293.901872272065</t>
  </si>
  <si>
    <t>-627.68379097198 28.0347009797906 -377.070689224214</t>
  </si>
  <si>
    <t>-637.082327023036 25.7444134113791 -460.404655856054</t>
  </si>
  <si>
    <t>-649.318504315068 22.3483066352139 -582.403280211534</t>
  </si>
  <si>
    <t>-636.945647554941 22.9179544920457 -659.777714854829</t>
  </si>
  <si>
    <t>-641.41491422227 55.0768957236278 -529.99509211866</t>
  </si>
  <si>
    <t>-612.785439113712 207.536078748694 -513.47541421998</t>
  </si>
  <si>
    <t>-469.551430416588 241.357765787424 -272.812381336819</t>
  </si>
  <si>
    <t>-238.543258200044 217.876532282258 -278.503602479338</t>
  </si>
  <si>
    <t>-582.34734455339 128.546926650748 -97.6406570320152</t>
  </si>
  <si>
    <t>-613.798794083676 142.880779640813 316.494497266079</t>
  </si>
  <si>
    <t>-669.435070838922 174.450270543458 775.066707940361</t>
  </si>
  <si>
    <t>-519.029601461774 179.524341854019 831.954988847098</t>
  </si>
  <si>
    <t>-597.814645735031 -74.6523893604854 322.901135333017</t>
  </si>
  <si>
    <t>-655.538078428603 -109.518974798563 781.18741059209</t>
  </si>
  <si>
    <t>-501.422412361516 -127.508205530596 823.714713105187</t>
  </si>
  <si>
    <t>9763-20170724T115338.465902200.bin</t>
  </si>
  <si>
    <t>-583.189268223931 36.026444380353 -93.129584030337</t>
  </si>
  <si>
    <t>-603.522541351287 33.0128173562473 -201.91831622412</t>
  </si>
  <si>
    <t>-616.3504071193 30.5131790807661 -293.869526969231</t>
  </si>
  <si>
    <t>-627.164243820277 28.2765845450299 -377.033169096111</t>
  </si>
  <si>
    <t>-636.637648309524 26.0155288888473 -460.359490740194</t>
  </si>
  <si>
    <t>-649.016555174873 22.6646616615435 -582.345068580979</t>
  </si>
  <si>
    <t>-636.774585498752 23.1301984331164 -659.740856334109</t>
  </si>
  <si>
    <t>-640.98988183636 55.3685392327316 -529.940089334403</t>
  </si>
  <si>
    <t>-612.079413547888 207.788573955717 -513.498795416685</t>
  </si>
  <si>
    <t>-467.705006914596 241.640760498609 -273.522449391541</t>
  </si>
  <si>
    <t>-236.678756134158 218.287811032327 -279.003616912036</t>
  </si>
  <si>
    <t>-581.676018239532 128.715823997553 -97.5975561930102</t>
  </si>
  <si>
    <t>-613.442260096509 142.944468012944 316.517260840416</t>
  </si>
  <si>
    <t>-669.451608377578 174.373264801745 775.05927664536</t>
  </si>
  <si>
    <t>-519.069972865844 179.617490344759 831.995096342841</t>
  </si>
  <si>
    <t>-597.568095997358 -74.6226441319113 322.93718442823</t>
  </si>
  <si>
    <t>-655.471952346957 -109.544297668572 781.20338862017</t>
  </si>
  <si>
    <t>-501.41668983343 -127.856210632914 823.811719875583</t>
  </si>
  <si>
    <t>9763-20170724T115338.532086000.bin</t>
  </si>
  <si>
    <t>-582.237550693447 36.376363784575 -93.0528048884847</t>
  </si>
  <si>
    <t>-602.442528919725 33.4149257541399 -201.866904148421</t>
  </si>
  <si>
    <t>-615.268952057808 30.9470425557026 -293.819184876373</t>
  </si>
  <si>
    <t>-626.124346232809 28.7385351509106 -376.978150753866</t>
  </si>
  <si>
    <t>-635.682608579959 26.5033362916479 -460.295540692996</t>
  </si>
  <si>
    <t>-648.233150334521 23.1886639752372 -582.264397572992</t>
  </si>
  <si>
    <t>-636.190463594233 23.4803677160585 -659.692474731533</t>
  </si>
  <si>
    <t>-640.034807727858 55.8683558700657 -529.871057689395</t>
  </si>
  <si>
    <t>-610.674265817178 208.227022099775 -513.67955759334</t>
  </si>
  <si>
    <t>-463.929489316742 241.919638208019 -275.122592192801</t>
  </si>
  <si>
    <t>-232.863027217194 218.798549519211 -279.837540474429</t>
  </si>
  <si>
    <t>-580.45737801644 129.149106670676 -97.5204707719411</t>
  </si>
  <si>
    <t>-612.793197026936 143.109074829904 316.559350545669</t>
  </si>
  <si>
    <t>-669.443177580099 174.413212240626 775.034456428944</t>
  </si>
  <si>
    <t>-519.095233567668 179.659379597356 832.058981241678</t>
  </si>
  <si>
    <t>-597.183496517646 -74.5001308340006 323.011168807327</t>
  </si>
  <si>
    <t>-655.362736755967 -109.50640609315 781.227604274569</t>
  </si>
  <si>
    <t>-501.323762510242 -127.729027006034 823.932947970751</t>
  </si>
  <si>
    <t>9763-20170724T115338.566177000.bin</t>
  </si>
  <si>
    <t>-581.817431325263 36.5911488922252 -93.0342412132053</t>
  </si>
  <si>
    <t>-601.937133665483 33.6601339593331 -201.864891940477</t>
  </si>
  <si>
    <t>-614.750016436655 31.2063822247248 -293.819579137659</t>
  </si>
  <si>
    <t>-625.616656717313 29.0081126723073 -376.97730234648</t>
  </si>
  <si>
    <t>-635.209879925534 26.780179257752 -460.290837865375</t>
  </si>
  <si>
    <t>-647.837618456322 23.4732678928349 -582.252055152007</t>
  </si>
  <si>
    <t>-635.884994978254 23.6899451923796 -659.694213976926</t>
  </si>
  <si>
    <t>-639.568407865725 56.1463300165406 -529.865550426903</t>
  </si>
  <si>
    <t>-610.044916271888 208.485930144164 -513.799382830146</t>
  </si>
  <si>
    <t>-462.07188968759 242.003032847842 -275.977605648555</t>
  </si>
  <si>
    <t>-230.985742683835 218.982781615348 -280.195738131841</t>
  </si>
  <si>
    <t>-579.897510970249 129.397936996707 -97.4940592369991</t>
  </si>
  <si>
    <t>-612.534855373313 143.250321266082 316.565752300264</t>
  </si>
  <si>
    <t>-669.443139760695 174.446793755846 775.026373165963</t>
  </si>
  <si>
    <t>-519.103822623565 179.4991413364 832.091193619176</t>
  </si>
  <si>
    <t>-597.054516258239 -74.4167182591298 323.021669904262</t>
  </si>
  <si>
    <t>-655.296926851623 -109.480742071684 781.23498723338</t>
  </si>
  <si>
    <t>-501.254627277476 -127.523183967381 824.004921067052</t>
  </si>
  <si>
    <t>9763-20170724T115338.631903800.bin</t>
  </si>
  <si>
    <t>-580.932192297347 36.8060415534944 -92.9771343470919</t>
  </si>
  <si>
    <t>-600.835149198713 33.9103894798054 -201.848538898938</t>
  </si>
  <si>
    <t>-613.572263419173 31.4964106966663 -293.81466417664</t>
  </si>
  <si>
    <t>-624.413464838757 29.3405212437467 -376.976998859481</t>
  </si>
  <si>
    <t>-634.024148005583 27.1618305507113 -460.289660233682</t>
  </si>
  <si>
    <t>-646.72461477629 23.9348868196221 -582.245523336509</t>
  </si>
  <si>
    <t>-634.923475493094 24.0542201899857 -659.711168743876</t>
  </si>
  <si>
    <t>-638.388878241973 56.5701760015406 -529.846125876305</t>
  </si>
  <si>
    <t>-608.74540049457 208.900123942774 -513.907562594724</t>
  </si>
  <si>
    <t>-458.270863077664 241.603980682454 -277.546695208601</t>
  </si>
  <si>
    <t>-227.164695164776 218.655414035507 -280.98617310182</t>
  </si>
  <si>
    <t>-578.835855819516 129.635460762052 -97.4315733277432</t>
  </si>
  <si>
    <t>-612.071774990951 143.39243390005 316.583794729078</t>
  </si>
  <si>
    <t>-669.47212850457 174.358314630721 775.008133826962</t>
  </si>
  <si>
    <t>-519.16956600565 179.553289289829 832.156795181634</t>
  </si>
  <si>
    <t>-596.705742992584 -74.345985068647 323.067686007503</t>
  </si>
  <si>
    <t>-655.176397002612 -109.500292242442 781.25970582199</t>
  </si>
  <si>
    <t>-501.191961760073 -127.736755970839 824.155505618741</t>
  </si>
  <si>
    <t>9763-20170724T115338.659978500.bin</t>
  </si>
  <si>
    <t>-580.459254245512 36.8426524197323 -92.9504463280177</t>
  </si>
  <si>
    <t>-600.245787402957 33.9638519291068 -201.843557941651</t>
  </si>
  <si>
    <t>-612.941134447815 31.5862111637471 -293.816550461984</t>
  </si>
  <si>
    <t>-623.767117825 29.4725930354498 -376.981792829935</t>
  </si>
  <si>
    <t>-633.384944848178 27.3460332930624 -460.295110668087</t>
  </si>
  <si>
    <t>-646.120388658847 24.2061195218967 -582.249554737705</t>
  </si>
  <si>
    <t>-634.386906468664 24.3111862536921 -659.725438961346</t>
  </si>
  <si>
    <t>-637.761206582647 56.8032233388269 -529.830128804949</t>
  </si>
  <si>
    <t>-608.066592398136 209.116193558508 -513.890982995013</t>
  </si>
  <si>
    <t>-456.399750120656 241.567130054836 -278.258492706267</t>
  </si>
  <si>
    <t>-225.305773986469 218.491144576018 -281.664377448752</t>
  </si>
  <si>
    <t>-578.371113053626 129.787728610324 -97.4040013146109</t>
  </si>
  <si>
    <t>-611.886810299414 143.493833720196 316.590495399591</t>
  </si>
  <si>
    <t>-669.471192500284 174.376069652767 774.999313544668</t>
  </si>
  <si>
    <t>-519.188601145869 179.526183581294 832.204623412175</t>
  </si>
  <si>
    <t>-596.463927888889 -74.3130926297024 323.080792563753</t>
  </si>
  <si>
    <t>-655.118005628325 -109.482834684074 781.26110328435</t>
  </si>
  <si>
    <t>-501.160199496136 -127.795205636495 824.220051759766</t>
  </si>
  <si>
    <t>9763-20170724T115338.728700000.bin</t>
  </si>
  <si>
    <t>-579.514460614 36.7189959459422 -92.8660794664105</t>
  </si>
  <si>
    <t>-599.135545689554 33.864687080508 -201.789762010003</t>
  </si>
  <si>
    <t>-611.803056660963 31.5387599403507 -293.76792198316</t>
  </si>
  <si>
    <t>-622.648543438275 29.4849307441189 -376.931987535128</t>
  </si>
  <si>
    <t>-632.330586860705 27.4313742607155 -460.239834236211</t>
  </si>
  <si>
    <t>-645.208674125569 24.4139361880079 -582.182265036975</t>
  </si>
  <si>
    <t>-633.600687908161 24.4950065745918 -659.677248004994</t>
  </si>
  <si>
    <t>-636.785250916994 56.9583568615362 -529.740338954326</t>
  </si>
  <si>
    <t>-607.062032919523 209.289221119091 -513.911981602658</t>
  </si>
  <si>
    <t>-453.204311650642 240.582521719607 -279.546542669374</t>
  </si>
  <si>
    <t>-222.110523054657 217.475423555609 -282.749818054996</t>
  </si>
  <si>
    <t>-577.549905722604 129.853411721857 -97.3031383289303</t>
  </si>
  <si>
    <t>-611.498969051159 143.481092606497 316.658565865385</t>
  </si>
  <si>
    <t>-669.488178990981 174.305532308096 775.020322784195</t>
  </si>
  <si>
    <t>-519.243219987825 179.461624428856 832.323748609892</t>
  </si>
  <si>
    <t>-595.812286169535 -74.3369871692644 323.121834655675</t>
  </si>
  <si>
    <t>-654.982413074486 -109.498140765721 781.275654170439</t>
  </si>
  <si>
    <t>-501.097035761417 -128.041707945062 824.394694496491</t>
  </si>
  <si>
    <t>9763-20170724T115338.760785000.bin</t>
  </si>
  <si>
    <t>-579.064355908335 36.7266730993545 -92.788464979122</t>
  </si>
  <si>
    <t>-598.658198596328 33.8691245806046 -201.716991239816</t>
  </si>
  <si>
    <t>-611.351813404525 31.5582744119267 -293.691796975707</t>
  </si>
  <si>
    <t>-622.240458079812 29.5249944916443 -376.850824158687</t>
  </si>
  <si>
    <t>-631.985190026039 27.4995880341123 -460.152035962961</t>
  </si>
  <si>
    <t>-644.976347228611 24.5315455333471 -582.083779899464</t>
  </si>
  <si>
    <t>-633.432576792483 24.6164625681138 -659.588220124243</t>
  </si>
  <si>
    <t>-636.51660306513 57.0556804292896 -529.63505250855</t>
  </si>
  <si>
    <t>-606.853057005727 209.398093463243 -513.85278701692</t>
  </si>
  <si>
    <t>-451.969533436795 239.923438663645 -280.06256820673</t>
  </si>
  <si>
    <t>-220.857177162265 216.997756615619 -283.226813762136</t>
  </si>
  <si>
    <t>-577.2076855301 129.898516545252 -97.2330531799215</t>
  </si>
  <si>
    <t>-611.298270080682 143.460276719801 316.719260745202</t>
  </si>
  <si>
    <t>-669.50766947016 174.229009236962 775.049377601917</t>
  </si>
  <si>
    <t>-519.283309332302 179.609336024047 832.386322388333</t>
  </si>
  <si>
    <t>-595.354324165719 -74.2714469607799 323.190614426922</t>
  </si>
  <si>
    <t>-654.940272715151 -109.42947658233 781.278744313161</t>
  </si>
  <si>
    <t>-501.003533495097 -127.494307094338 824.417658365512</t>
  </si>
  <si>
    <t>9763-20170724T115338.828066100.bin</t>
  </si>
  <si>
    <t>-578.285656804808 37.1382654430179 -92.6367693696616</t>
  </si>
  <si>
    <t>-597.879268103135 34.1826834254189 -201.562727230047</t>
  </si>
  <si>
    <t>-610.645356690723 31.8521976342315 -293.526945971818</t>
  </si>
  <si>
    <t>-621.628241011862 29.824348068179 -376.673893530396</t>
  </si>
  <si>
    <t>-631.495664289971 27.8295127314771 -459.961179105514</t>
  </si>
  <si>
    <t>-644.697250493787 24.9335778226039 -581.872057791808</t>
  </si>
  <si>
    <t>-633.225752051244 25.0391887059766 -659.387306858232</t>
  </si>
  <si>
    <t>-636.214504021139 57.4328615245227 -529.411798094861</t>
  </si>
  <si>
    <t>-606.903505855031 209.84608129021 -513.632504363452</t>
  </si>
  <si>
    <t>-449.930166679852 238.876414806937 -281.048819134239</t>
  </si>
  <si>
    <t>-218.711739485298 216.935911406708 -283.324951486435</t>
  </si>
  <si>
    <t>-576.749567997441 130.316978037225 -97.1210896186731</t>
  </si>
  <si>
    <t>-610.92271218043 143.717756688888 316.82960855858</t>
  </si>
  <si>
    <t>-669.510671637108 174.280350696021 775.119857851254</t>
  </si>
  <si>
    <t>-519.297866634725 179.60178393752 832.492557031985</t>
  </si>
  <si>
    <t>-594.484782063142 -73.936844623938 323.3602587853</t>
  </si>
  <si>
    <t>-654.934120291707 -109.400571464693 781.264956491277</t>
  </si>
  <si>
    <t>-501.059372492305 -128.061269739722 824.371405207144</t>
  </si>
  <si>
    <t>9763-20170724T115338.863158600.bin</t>
  </si>
  <si>
    <t>-577.920774732357 37.4221566463877 -92.5716559393688</t>
  </si>
  <si>
    <t>-597.519211149191 34.3952581062431 -201.494726755298</t>
  </si>
  <si>
    <t>-610.335250945351 32.0357172538806 -293.451236990127</t>
  </si>
  <si>
    <t>-621.381575626284 29.9925093908862 -376.589361616346</t>
  </si>
  <si>
    <t>-631.330610180666 27.9945822441709 -459.867000049623</t>
  </si>
  <si>
    <t>-644.671282233279 25.1079881481414 -581.762861363081</t>
  </si>
  <si>
    <t>-633.227658029485 25.2243567799942 -659.282164120103</t>
  </si>
  <si>
    <t>-636.189683955611 57.6087314169304 -529.303330263557</t>
  </si>
  <si>
    <t>-607.138385897983 210.070129043727 -513.481438645603</t>
  </si>
  <si>
    <t>-449.06821495623 238.629267024996 -281.583132960412</t>
  </si>
  <si>
    <t>-217.77436370274 217.406123343874 -282.707573653509</t>
  </si>
  <si>
    <t>-576.594510005757 130.484634231937 -97.074030709943</t>
  </si>
  <si>
    <t>-610.826742124104 143.83727779277 316.873370537888</t>
  </si>
  <si>
    <t>-669.535737363573 174.208546238119 775.160416228534</t>
  </si>
  <si>
    <t>-519.325336266503 179.56237972794 832.536278152552</t>
  </si>
  <si>
    <t>-594.090398073602 -73.7925547075442 323.440395070738</t>
  </si>
  <si>
    <t>-654.945284457456 -109.362760328154 781.257825759079</t>
  </si>
  <si>
    <t>-501.046106695394 -127.950204963997 824.308705197859</t>
  </si>
  <si>
    <t>9763-20170724T115338.927847600.bin</t>
  </si>
  <si>
    <t>-577.228371879916 37.7506443616373 -92.4806496213379</t>
  </si>
  <si>
    <t>-596.86619098129 34.5751778623451 -201.392425107489</t>
  </si>
  <si>
    <t>-609.803449743275 32.1141682881346 -293.329393554355</t>
  </si>
  <si>
    <t>-620.994622269546 29.9859566735665 -376.445964332184</t>
  </si>
  <si>
    <t>-631.123928935095 27.9120188737379 -459.700053197548</t>
  </si>
  <si>
    <t>-644.766818874842 24.9249515405429 -581.56005361922</t>
  </si>
  <si>
    <t>-633.388362194483 25.0123333982292 -659.088956289798</t>
  </si>
  <si>
    <t>-636.267656360588 57.4786216768862 -529.136028137903</t>
  </si>
  <si>
    <t>-607.555588209858 210.001977008238 -513.117713605649</t>
  </si>
  <si>
    <t>-448.587088292202 237.735461274184 -281.733905926293</t>
  </si>
  <si>
    <t>-217.237327178249 217.199852045649 -279.705750319386</t>
  </si>
  <si>
    <t>-576.324709433615 130.632774826249 -97.0247622579559</t>
  </si>
  <si>
    <t>-610.705980320836 143.994698936784 316.910026128159</t>
  </si>
  <si>
    <t>-669.560819870504 174.210866276557 775.223143702185</t>
  </si>
  <si>
    <t>-519.350594524281 179.600183479679 832.596213542104</t>
  </si>
  <si>
    <t>-593.30168395564 -73.5203970984144 323.567348426487</t>
  </si>
  <si>
    <t>-654.982034147497 -109.27171216845 781.242546184408</t>
  </si>
  <si>
    <t>-501.060862570963 -127.967944866282 824.167519005397</t>
  </si>
  <si>
    <t>9763-20170724T115338.964944700.bin</t>
  </si>
  <si>
    <t>-576.812852436316 37.6268941205958 -92.4551269927744</t>
  </si>
  <si>
    <t>-596.466227124097 34.4044594124553 -201.36276870746</t>
  </si>
  <si>
    <t>-609.464044169375 31.8908660032805 -293.289617446748</t>
  </si>
  <si>
    <t>-620.729179917128 29.7097380033595 -376.394858910005</t>
  </si>
  <si>
    <t>-630.951807946802 27.577951712095 -459.636088548789</t>
  </si>
  <si>
    <t>-644.752564532072 24.5011375107813 -581.476041502704</t>
  </si>
  <si>
    <t>-633.443274223087 24.5525393175124 -659.015211085146</t>
  </si>
  <si>
    <t>-636.205722982236 57.0949945511179 -529.08484184223</t>
  </si>
  <si>
    <t>-607.337309995266 209.563911948311 -512.961064936339</t>
  </si>
  <si>
    <t>-449.612535422528 237.875825716843 -280.797482473481</t>
  </si>
  <si>
    <t>-218.311684565089 216.959348735066 -277.490079569528</t>
  </si>
  <si>
    <t>-576.011806336184 130.519348214377 -97.0091015477266</t>
  </si>
  <si>
    <t>-610.586651624361 144.007339745835 316.905425716662</t>
  </si>
  <si>
    <t>-669.571418744727 174.254684965758 775.243467137934</t>
  </si>
  <si>
    <t>-519.358491931516 179.533547127036 832.619763302418</t>
  </si>
  <si>
    <t>-592.9568931895 -73.420376727325 323.619814140102</t>
  </si>
  <si>
    <t>-654.989243384324 -109.229221553672 781.235086657587</t>
  </si>
  <si>
    <t>-501.040357576619 -127.810301320072 824.1104887302</t>
  </si>
  <si>
    <t>9763-20170724T115339.029637300.bin</t>
  </si>
  <si>
    <t>-575.949625896085 37.0466519866543 -92.4274455124769</t>
  </si>
  <si>
    <t>-595.507116252472 33.7250089494123 -201.349394606079</t>
  </si>
  <si>
    <t>-608.419966569538 31.0906639826942 -293.284939343843</t>
  </si>
  <si>
    <t>-619.607135471803 28.7854277356055 -376.397328456545</t>
  </si>
  <si>
    <t>-629.750576951807 26.5154646221833 -459.644427470048</t>
  </si>
  <si>
    <t>-643.434589394997 23.2209500736462 -581.491942251418</t>
  </si>
  <si>
    <t>-632.202044737724 23.1431972864352 -659.042260383268</t>
  </si>
  <si>
    <t>-634.976072838771 55.911475724793 -529.14668939351</t>
  </si>
  <si>
    <t>-606.051800463135 208.342098094458 -512.671925568103</t>
  </si>
  <si>
    <t>-453.395303407256 238.05859781127 -277.317969324517</t>
  </si>
  <si>
    <t>-222.501468919121 213.876188045519 -270.121913204464</t>
  </si>
  <si>
    <t>-575.27502353235 130.06994550383 -97.008969551785</t>
  </si>
  <si>
    <t>-610.315012125625 143.752430553319 316.860065445826</t>
  </si>
  <si>
    <t>-669.599622547145 174.269121769678 775.221542517981</t>
  </si>
  <si>
    <t>-519.416459879686 179.632545410047 832.667816909262</t>
  </si>
  <si>
    <t>-592.398615604129 -73.3966979581537 323.735166301741</t>
  </si>
  <si>
    <t>-654.957712125765 -109.154551485989 781.251313912931</t>
  </si>
  <si>
    <t>-501.018440271283 -127.795657654116 824.135336533664</t>
  </si>
  <si>
    <t>9763-20170724T115339.062729700.bin</t>
  </si>
  <si>
    <t>-575.576016671705 36.6663470269148 -92.4157603451054</t>
  </si>
  <si>
    <t>-595.001908229962 33.301921838523 -201.359896046854</t>
  </si>
  <si>
    <t>-607.824521118557 30.6131919439144 -293.306429834844</t>
  </si>
  <si>
    <t>-618.938694917474 28.2517488121782 -376.427083950527</t>
  </si>
  <si>
    <t>-629.017754288864 25.9190267498748 -459.680276521072</t>
  </si>
  <si>
    <t>-642.617152351404 22.525957227519 -581.534695414559</t>
  </si>
  <si>
    <t>-631.421559443394 22.376664454169 -659.090162049557</t>
  </si>
  <si>
    <t>-634.226474945828 55.2615026205174 -529.206498293664</t>
  </si>
  <si>
    <t>-605.344182399052 207.660779816381 -512.377498465323</t>
  </si>
  <si>
    <t>-456.234693131551 237.776835564315 -274.810771439307</t>
  </si>
  <si>
    <t>-225.783850547818 210.752516007592 -264.293035536859</t>
  </si>
  <si>
    <t>-574.960136969414 129.753992588409 -97.0182462378361</t>
  </si>
  <si>
    <t>-610.296913347138 143.611977373 316.819670761852</t>
  </si>
  <si>
    <t>-669.603633232872 174.293204296538 775.176880446799</t>
  </si>
  <si>
    <t>-519.442673134305 179.654631380823 832.681391172319</t>
  </si>
  <si>
    <t>-592.224381276246 -73.5699561341976 323.783340921373</t>
  </si>
  <si>
    <t>-654.9195376524 -109.114769911188 781.272750172722</t>
  </si>
  <si>
    <t>-500.995865343713 -127.786468888507 824.199381040699</t>
  </si>
  <si>
    <t>9763-20170724T115339.130937800.bin</t>
  </si>
  <si>
    <t>-574.802610776704 35.7451407930214 -92.3537076560137</t>
  </si>
  <si>
    <t>-593.896349424332 32.3273432855062 -201.354819870128</t>
  </si>
  <si>
    <t>-606.580910789044 29.6120118414742 -293.319823313519</t>
  </si>
  <si>
    <t>-617.627237144479 27.2343276822219 -376.449049490265</t>
  </si>
  <si>
    <t>-627.695296981545 24.8938624696309 -459.70341483369</t>
  </si>
  <si>
    <t>-641.340846749804 21.4996950205864 -581.552528834651</t>
  </si>
  <si>
    <t>-630.181132550871 21.2837697626578 -659.113056908096</t>
  </si>
  <si>
    <t>-632.933927775369 54.2359378216102 -529.227604245178</t>
  </si>
  <si>
    <t>-603.448992285364 206.369672143748 -511.279827337022</t>
  </si>
  <si>
    <t>-464.778896048483 239.464678472118 -267.858381002318</t>
  </si>
  <si>
    <t>-235.824238711564 204.352708334615 -250.670063029795</t>
  </si>
  <si>
    <t>-574.336986855563 128.857161477305 -96.9918580724153</t>
  </si>
  <si>
    <t>-610.493074963591 143.219595291691 316.758091376696</t>
  </si>
  <si>
    <t>-669.610100335871 174.311074906633 775.075473617513</t>
  </si>
  <si>
    <t>-519.488685568894 179.706104363123 832.679913492554</t>
  </si>
  <si>
    <t>-592.13021887852 -74.3733956462329 323.797770576232</t>
  </si>
  <si>
    <t>-654.82121522375 -109.133498481626 781.323134370324</t>
  </si>
  <si>
    <t>-500.965920620963 -128.010641774826 824.404760895407</t>
  </si>
  <si>
    <t>9763-20170724T115339.165028800.bin</t>
  </si>
  <si>
    <t>-574.281559725816 35.2353660331914 -92.3129798136663</t>
  </si>
  <si>
    <t>-593.219027571458 31.8208118774746 -201.341441031029</t>
  </si>
  <si>
    <t>-605.841905871678 29.1079949411471 -293.315014638467</t>
  </si>
  <si>
    <t>-616.860555066851 26.7332214790054 -376.4479669658</t>
  </si>
  <si>
    <t>-626.928975084384 24.3961710081651 -459.702403085004</t>
  </si>
  <si>
    <t>-640.606045055128 21.0072199263047 -581.548099411841</t>
  </si>
  <si>
    <t>-629.428883338403 20.7778299368645 -659.106098274342</t>
  </si>
  <si>
    <t>-632.139903131751 53.7375062794433 -529.228886424837</t>
  </si>
  <si>
    <t>-602.203478460664 205.746742645108 -510.868778145714</t>
  </si>
  <si>
    <t>-471.418614596507 240.318068740382 -263.323459071297</t>
  </si>
  <si>
    <t>-243.394061803794 200.896240956672 -243.341942503646</t>
  </si>
  <si>
    <t>-573.785955915542 128.287953531184 -96.9703980731181</t>
  </si>
  <si>
    <t>-610.376986554447 142.936730685303 316.73131137785</t>
  </si>
  <si>
    <t>-669.615620028531 174.225984212515 775.013170998248</t>
  </si>
  <si>
    <t>-519.515204871042 179.783551412934 832.656920608259</t>
  </si>
  <si>
    <t>-592.037915682036 -74.9520678121426 323.785579698519</t>
  </si>
  <si>
    <t>-654.770126789437 -109.152332931451 781.339517636027</t>
  </si>
  <si>
    <t>-500.980507244406 -128.353177129854 824.512393189605</t>
  </si>
  <si>
    <t>9763-20170724T115339.229965800.bin</t>
  </si>
  <si>
    <t>-572.918358446752 34.5491015434416 -92.2565006856853</t>
  </si>
  <si>
    <t>-591.675139072308 31.242142461258 -201.319560238601</t>
  </si>
  <si>
    <t>-604.141696877761 28.5912796169 -293.316236420428</t>
  </si>
  <si>
    <t>-615.01768154512 26.2642569602767 -376.469268154425</t>
  </si>
  <si>
    <t>-624.942060790956 23.9649308745766 -459.742120828723</t>
  </si>
  <si>
    <t>-638.407053001249 20.6205341665809 -581.61256544263</t>
  </si>
  <si>
    <t>-627.154807992633 20.3871978478385 -659.159651635297</t>
  </si>
  <si>
    <t>-629.92768031071 53.3227374882563 -529.278223101293</t>
  </si>
  <si>
    <t>-599.525071538478 205.166176706717 -510.499424028168</t>
  </si>
  <si>
    <t>-488.74979742381 240.892621872261 -253.534337429146</t>
  </si>
  <si>
    <t>-261.475794175965 200.957468550188 -227.072428331116</t>
  </si>
  <si>
    <t>-571.987817309049 127.699881306176 -96.9109262974353</t>
  </si>
  <si>
    <t>-609.254861631517 142.485110377949 316.72560793368</t>
  </si>
  <si>
    <t>-669.557929711472 174.169908552594 774.830955247657</t>
  </si>
  <si>
    <t>-519.509245600959 179.680070044275 832.613609649392</t>
  </si>
  <si>
    <t>-591.592380827524 -75.9623706516195 323.784106656884</t>
  </si>
  <si>
    <t>-654.663520556318 -109.204302200669 781.375823207246</t>
  </si>
  <si>
    <t>-500.931581853016 -128.466379795329 824.726584537353</t>
  </si>
  <si>
    <t>9763-20170724T115339.261041900.bin</t>
  </si>
  <si>
    <t>-572.131995600781 34.3075375479084 -92.2197395386362</t>
  </si>
  <si>
    <t>-590.823795494623 31.0780998242774 -201.296309005297</t>
  </si>
  <si>
    <t>-603.212528721009 28.4532918229188 -293.304282402247</t>
  </si>
  <si>
    <t>-614.00910844345 26.1371095958707 -376.467928612404</t>
  </si>
  <si>
    <t>-623.845275892499 23.8345742834988 -459.751116150678</t>
  </si>
  <si>
    <t>-637.171868762994 20.4702207183416 -581.636417169201</t>
  </si>
  <si>
    <t>-625.877938047224 20.2054509696004 -659.177106097196</t>
  </si>
  <si>
    <t>-628.720333388472 53.1782552273894 -529.301000112896</t>
  </si>
  <si>
    <t>-598.348517538726 205.027470700566 -510.254422418772</t>
  </si>
  <si>
    <t>-499.424710223956 239.923295982727 -248.386163054608</t>
  </si>
  <si>
    <t>-272.021450959316 204.695303792672 -216.838154389611</t>
  </si>
  <si>
    <t>-570.863558478424 127.452267430564 -96.8617546940623</t>
  </si>
  <si>
    <t>-608.524365107278 142.247239569192 316.738756257958</t>
  </si>
  <si>
    <t>-669.555964877735 173.980162783709 774.722837130335</t>
  </si>
  <si>
    <t>-519.550129186158 179.854004341947 832.581124990721</t>
  </si>
  <si>
    <t>-591.461969044974 -76.3320770242999 323.787536554098</t>
  </si>
  <si>
    <t>-654.618444697478 -109.221314467049 781.393593895306</t>
  </si>
  <si>
    <t>-500.91371742447 -128.525386205362 824.822037730468</t>
  </si>
  <si>
    <t>9763-20170724T115339.330233500.bin</t>
  </si>
  <si>
    <t>-570.373963032445 34.1102275986982 -92.1652290173732</t>
  </si>
  <si>
    <t>-588.995728456903 31.0529756595395 -201.258651223406</t>
  </si>
  <si>
    <t>-601.125134470934 28.659933366341 -293.307490835742</t>
  </si>
  <si>
    <t>-611.606067462742 26.5914137139191 -376.51814689829</t>
  </si>
  <si>
    <t>-621.044391566692 24.5730708222038 -459.854551839599</t>
  </si>
  <si>
    <t>-633.698514548762 21.6646292992284 -581.823230722966</t>
  </si>
  <si>
    <t>-622.213021217201 21.5048745636504 -659.336400442607</t>
  </si>
  <si>
    <t>-625.519785221984 54.1753287489692 -529.321714764056</t>
  </si>
  <si>
    <t>-594.244899698143 205.63911845294 -509.340971537892</t>
  </si>
  <si>
    <t>-520.962144212225 240.518369561878 -239.171312181084</t>
  </si>
  <si>
    <t>-295.221412044809 217.834477604575 -189.421107402039</t>
  </si>
  <si>
    <t>-568.440110745899 127.194809718327 -96.7470435301366</t>
  </si>
  <si>
    <t>-607.156429265622 142.025775770117 316.754705113467</t>
  </si>
  <si>
    <t>-669.4979379325 173.887854150434 774.51586664582</t>
  </si>
  <si>
    <t>-519.549227340179 179.705564111455 832.527654811985</t>
  </si>
  <si>
    <t>-591.262342863313 -76.8497270783562 323.756482661829</t>
  </si>
  <si>
    <t>-654.529539110167 -109.247473421048 781.421358112075</t>
  </si>
  <si>
    <t>-500.860409228592 -128.552868556641 824.974973628657</t>
  </si>
  <si>
    <t>9763-20170724T115339.367338000.bin</t>
  </si>
  <si>
    <t>-569.611438444951 34.2090838422193 -92.1540892133705</t>
  </si>
  <si>
    <t>-588.254378307959 31.2150630941005 -201.245749340535</t>
  </si>
  <si>
    <t>-600.236273268195 28.893012192091 -293.315649425427</t>
  </si>
  <si>
    <t>-610.517514162064 26.8956835098224 -376.55298178359</t>
  </si>
  <si>
    <t>-619.689218441321 24.9568774396748 -459.921171186088</t>
  </si>
  <si>
    <t>-631.8800276169 22.1739847131946 -581.93977179568</t>
  </si>
  <si>
    <t>-620.289425274802 22.0655137577598 -659.437339800044</t>
  </si>
  <si>
    <t>-624.01965591609 54.6407810320668 -529.362647838803</t>
  </si>
  <si>
    <t>-593.355755493862 206.25474923414 -508.942940831692</t>
  </si>
  <si>
    <t>-530.704470567322 240.6426311727 -236.049538228954</t>
  </si>
  <si>
    <t>-307.287559172977 223.093938989391 -175.012902990727</t>
  </si>
  <si>
    <t>-567.462909648323 127.285020833859 -96.7230341174317</t>
  </si>
  <si>
    <t>-606.490366032302 142.004816760161 316.753446753432</t>
  </si>
  <si>
    <t>-669.461874936585 173.834811579222 774.416934662792</t>
  </si>
  <si>
    <t>-519.543361980993 179.605850202341 832.51136410724</t>
  </si>
  <si>
    <t>-591.008615558266 -77.0233834108408 323.73517840698</t>
  </si>
  <si>
    <t>-654.491012631202 -109.250406390106 781.414875529787</t>
  </si>
  <si>
    <t>-500.840069861124 -128.592061569525 825.016604758067</t>
  </si>
  <si>
    <t>9763-20170724T115339.428009300.bin</t>
  </si>
  <si>
    <t>-568.500322284696 34.4344502271183 -92.1167990412807</t>
  </si>
  <si>
    <t>-587.19237749589 31.4919681849922 -201.201403347377</t>
  </si>
  <si>
    <t>-598.995696894692 29.3266648934891 -293.298230859616</t>
  </si>
  <si>
    <t>-609.026525236539 27.5128803911257 -376.570297854959</t>
  </si>
  <si>
    <t>-617.858024416508 25.8024519301232 -459.98014193709</t>
  </si>
  <si>
    <t>-629.452208516086 23.4035683549253 -582.065130238357</t>
  </si>
  <si>
    <t>-617.612177082917 23.4831045922276 -659.524931858918</t>
  </si>
  <si>
    <t>-622.112012044394 55.725451079004 -529.32370699725</t>
  </si>
  <si>
    <t>-592.350599332462 207.387537611262 -508.149105235554</t>
  </si>
  <si>
    <t>-552.845461588596 242.068927704016 -230.993669299643</t>
  </si>
  <si>
    <t>-334.54550256704 232.697589963065 -152.216509429847</t>
  </si>
  <si>
    <t>-566.547383301064 127.501042002226 -96.6621258682879</t>
  </si>
  <si>
    <t>-605.668580876666 141.919754879142 316.816061428679</t>
  </si>
  <si>
    <t>-669.410547841657 173.724420132447 774.329071453619</t>
  </si>
  <si>
    <t>-519.557260620204 179.592910786507 832.581732537174</t>
  </si>
  <si>
    <t>-590.081729802157 -77.1143837540774 323.735007715718</t>
  </si>
  <si>
    <t>-654.426052709417 -109.25670546292 781.382030881957</t>
  </si>
  <si>
    <t>-500.794407068777 -128.595871912183 825.052829456813</t>
  </si>
  <si>
    <t>9763-20170724T115339.462100300.bin</t>
  </si>
  <si>
    <t>-568.0333206413 34.5216126294088 -92.0636469031031</t>
  </si>
  <si>
    <t>-586.730837256659 31.5615643350018 -201.146776275136</t>
  </si>
  <si>
    <t>-598.455421177248 29.4555303891493 -293.255132765034</t>
  </si>
  <si>
    <t>-608.381252118524 27.7216955167075 -376.541495238765</t>
  </si>
  <si>
    <t>-617.073258202054 26.1197911836327 -459.968148636673</t>
  </si>
  <si>
    <t>-628.425403669159 23.9102724604488 -582.079412746259</t>
  </si>
  <si>
    <t>-616.46729940291 24.0961946808513 -659.520890103031</t>
  </si>
  <si>
    <t>-621.303939033102 56.1585834317766 -529.262939141789</t>
  </si>
  <si>
    <t>-592.01364652264 207.880410074899 -507.862571161663</t>
  </si>
  <si>
    <t>-563.028120853251 241.701465029696 -229.304569799702</t>
  </si>
  <si>
    <t>-346.701155936766 236.147199271343 -144.92239923677</t>
  </si>
  <si>
    <t>-566.343896492456 127.434469204612 -96.5715766218323</t>
  </si>
  <si>
    <t>-605.589543714965 141.914248792122 316.892668571715</t>
  </si>
  <si>
    <t>-669.406587944091 173.650032225094 774.365830323111</t>
  </si>
  <si>
    <t>-519.571715136943 179.534462315716 832.664347943619</t>
  </si>
  <si>
    <t>-589.618400700113 -77.1313065082045 323.759306390791</t>
  </si>
  <si>
    <t>-654.41763956268 -109.261913322473 781.351211842854</t>
  </si>
  <si>
    <t>-500.771210158363 -128.505306201624 825.012264011328</t>
  </si>
  <si>
    <t>9763-20170724T115339.540438100.bin</t>
  </si>
  <si>
    <t>-567.585018099222 34.8275044268323 -91.9323422131348</t>
  </si>
  <si>
    <t>-586.248746277131 31.8226894422639 -201.02008008614</t>
  </si>
  <si>
    <t>-597.807295191585 29.8129291389002 -293.151494603847</t>
  </si>
  <si>
    <t>-607.527377990131 28.212165445711 -376.464667263704</t>
  </si>
  <si>
    <t>-615.956991838981 26.7952594231251 -459.921744331922</t>
  </si>
  <si>
    <t>-626.862985331228 24.9133555061851 -582.079199411236</t>
  </si>
  <si>
    <t>-614.659459232523 25.3202290632617 -659.481375339005</t>
  </si>
  <si>
    <t>-620.283937610869 57.0423079374857 -529.119899263274</t>
  </si>
  <si>
    <t>-592.584305808836 208.989691244164 -507.192338566797</t>
  </si>
  <si>
    <t>-577.887932183038 240.658388533134 -227.264247809995</t>
  </si>
  <si>
    <t>-363.323326282289 242.332024477662 -138.3386662112</t>
  </si>
  <si>
    <t>-566.560793214178 127.557692267544 -96.3914926248773</t>
  </si>
  <si>
    <t>-605.761300430161 142.002189176461 317.078328922678</t>
  </si>
  <si>
    <t>-669.39181337125 173.657458732821 774.543891437339</t>
  </si>
  <si>
    <t>-519.559297839517 179.413855612757 832.861191279516</t>
  </si>
  <si>
    <t>-589.017204349777 -77.189580526391 323.78621162901</t>
  </si>
  <si>
    <t>-654.41222789928 -109.239787392143 781.282588060419</t>
  </si>
  <si>
    <t>-500.738065017365 -128.360443821329 824.899924008631</t>
  </si>
  <si>
    <t>9763-20170724T115339.565504900.bin</t>
  </si>
  <si>
    <t>-567.514795809649 35.0485443846919 -91.8645618893692</t>
  </si>
  <si>
    <t>-586.17081791272 32.0113910500133 -200.952634849393</t>
  </si>
  <si>
    <t>-597.664083247853 30.0514459169185 -293.093411330905</t>
  </si>
  <si>
    <t>-607.301365855128 28.5223964773463 -376.417581357943</t>
  </si>
  <si>
    <t>-615.623951431902 27.2070669195934 -459.886987022627</t>
  </si>
  <si>
    <t>-626.346577709683 25.5071351734709 -582.063355705219</t>
  </si>
  <si>
    <t>-614.060787100285 26.0133469675789 -659.452015325776</t>
  </si>
  <si>
    <t>-620.038036347974 57.5679555915624 -529.029894664156</t>
  </si>
  <si>
    <t>-593.303812589521 209.636429849424 -506.823284200877</t>
  </si>
  <si>
    <t>-582.689883893627 240.970772003177 -226.673270922553</t>
  </si>
  <si>
    <t>-367.71548582663 243.61077768426 -138.766653309419</t>
  </si>
  <si>
    <t>-566.862312761719 127.673400656469 -96.3033862791849</t>
  </si>
  <si>
    <t>-605.985993362503 142.075031325275 317.175182614046</t>
  </si>
  <si>
    <t>-669.401977671766 173.628962017778 774.671048499503</t>
  </si>
  <si>
    <t>-519.567266851283 179.489466257099 832.972280669738</t>
  </si>
  <si>
    <t>-588.85852154607 -77.1008985846131 323.793774581783</t>
  </si>
  <si>
    <t>-654.410107567896 -109.206710359917 781.255666627989</t>
  </si>
  <si>
    <t>-500.693737167499 -128.059503379226 824.840972370325</t>
  </si>
  <si>
    <t>9763-20170724T115339.631691200.bin</t>
  </si>
  <si>
    <t>-567.670020820199 35.390487415513 -91.7671747948845</t>
  </si>
  <si>
    <t>-586.326748285974 32.2426104443664 -200.852031375008</t>
  </si>
  <si>
    <t>-597.743656096846 30.3144134651513 -293.002970983798</t>
  </si>
  <si>
    <t>-607.280493059914 28.8567790468544 -376.339847279372</t>
  </si>
  <si>
    <t>-615.470535581204 27.6606235152844 -459.824124497141</t>
  </si>
  <si>
    <t>-625.963855301544 26.1872925832572 -582.023445493827</t>
  </si>
  <si>
    <t>-613.554474390152 26.8461018505827 -659.391314153086</t>
  </si>
  <si>
    <t>-620.042939808528 58.1635855926261 -528.894225503788</t>
  </si>
  <si>
    <t>-594.990132530813 210.474060803917 -506.160951425281</t>
  </si>
  <si>
    <t>-587.646070632535 239.986583894306 -225.708399054346</t>
  </si>
  <si>
    <t>-368.62962355983 240.686985976299 -148.378936264693</t>
  </si>
  <si>
    <t>-567.713940977125 127.733878060527 -96.1503577028134</t>
  </si>
  <si>
    <t>-606.517018927922 142.221413696433 317.355414463972</t>
  </si>
  <si>
    <t>-669.43142466554 173.649996334663 774.931260009675</t>
  </si>
  <si>
    <t>-519.574785952381 179.456796408564 833.181436462358</t>
  </si>
  <si>
    <t>-588.568436673817 -76.9546290301382 323.825824379239</t>
  </si>
  <si>
    <t>-654.431232264314 -109.173052011949 781.216668403601</t>
  </si>
  <si>
    <t>-500.664079961381 -127.846998196198 824.699669446387</t>
  </si>
  <si>
    <t>9763-20170724T115339.666784000.bin</t>
  </si>
  <si>
    <t>-567.836681272872 35.4605995199145 -91.7069206142938</t>
  </si>
  <si>
    <t>-586.485053675807 32.2514347397305 -200.791489329131</t>
  </si>
  <si>
    <t>-597.891992179978 30.320388527027 -292.943440821078</t>
  </si>
  <si>
    <t>-607.418358161354 28.8765472253224 -376.281874987202</t>
  </si>
  <si>
    <t>-615.596225572514 27.7122694721636 -459.767844564991</t>
  </si>
  <si>
    <t>-626.069598449201 26.3053038157202 -581.969482676548</t>
  </si>
  <si>
    <t>-613.638487449008 27.0193474146704 -659.333349972846</t>
  </si>
  <si>
    <t>-620.243527987153 58.2563472717616 -528.814706103721</t>
  </si>
  <si>
    <t>-595.722894012325 210.622406068181 -506.021063540247</t>
  </si>
  <si>
    <t>-588.44643198501 240.512399919586 -225.606764513883</t>
  </si>
  <si>
    <t>-367.239288900035 238.835150471182 -154.803358149958</t>
  </si>
  <si>
    <t>-568.160403685651 127.676117163396 -96.0734172602532</t>
  </si>
  <si>
    <t>-606.853661028564 142.25807023242 317.439285948639</t>
  </si>
  <si>
    <t>-669.461820428328 173.640129204419 775.059952122179</t>
  </si>
  <si>
    <t>-519.589343834209 179.459394886901 833.268265704678</t>
  </si>
  <si>
    <t>-588.512376247182 -76.9344489409482 323.856483942624</t>
  </si>
  <si>
    <t>-654.45799666406 -109.180512255168 781.207148341881</t>
  </si>
  <si>
    <t>-500.677531662742 -127.919703714294 824.614921399035</t>
  </si>
  <si>
    <t>9763-20170724T115339.728538900.bin</t>
  </si>
  <si>
    <t>-568.171932206627 35.396606036496 -91.6236340899029</t>
  </si>
  <si>
    <t>-586.841999072244 32.1138191410482 -200.702348576979</t>
  </si>
  <si>
    <t>-598.232000456679 30.1299909041779 -292.855191723312</t>
  </si>
  <si>
    <t>-607.728808566953 28.638245549452 -376.196177256607</t>
  </si>
  <si>
    <t>-615.862778610331 27.4273962470909 -459.685842694261</t>
  </si>
  <si>
    <t>-626.256154479045 25.9535753383993 -581.893531261698</t>
  </si>
  <si>
    <t>-613.810854964164 26.7228717974206 -659.254600299977</t>
  </si>
  <si>
    <t>-620.567908084472 57.9377273071773 -528.743666250882</t>
  </si>
  <si>
    <t>-596.700510551181 210.41462857434 -506.005411853003</t>
  </si>
  <si>
    <t>-587.529115184512 242.423685734421 -225.880722029353</t>
  </si>
  <si>
    <t>-362.930364567228 236.379572984784 -166.996020372836</t>
  </si>
  <si>
    <t>-568.826453528648 127.417739440723 -95.9641130522728</t>
  </si>
  <si>
    <t>-607.390012627502 142.197569991686 317.553706020244</t>
  </si>
  <si>
    <t>-669.508952652279 173.644609544399 775.250587916298</t>
  </si>
  <si>
    <t>-519.607987372456 179.476938927422 833.384060789245</t>
  </si>
  <si>
    <t>-588.524465065505 -77.0148061940558 323.885686818033</t>
  </si>
  <si>
    <t>-654.505605314386 -109.140850518191 781.196687008542</t>
  </si>
  <si>
    <t>-500.658766995796 -127.700094836096 824.446281455523</t>
  </si>
  <si>
    <t>9763-20170724T115339.762625300.bin</t>
  </si>
  <si>
    <t>-568.26152997865 35.3320377339332 -91.6039598751279</t>
  </si>
  <si>
    <t>-586.964726570162 32.0467517517775 -200.67675174466</t>
  </si>
  <si>
    <t>-598.358719459052 30.0115567724602 -292.828201442476</t>
  </si>
  <si>
    <t>-607.849787643366 28.4533197702926 -376.168619603371</t>
  </si>
  <si>
    <t>-615.968926509413 27.1560854691668 -459.65828278585</t>
  </si>
  <si>
    <t>-626.330789453277 25.5343854012806 -581.866883509018</t>
  </si>
  <si>
    <t>-613.924824390374 26.2745634839732 -659.234542122591</t>
  </si>
  <si>
    <t>-620.686537689633 57.5839226649405 -528.751776865172</t>
  </si>
  <si>
    <t>-597.176921784808 210.153383940229 -506.182642225961</t>
  </si>
  <si>
    <t>-585.483031003148 243.131550211652 -226.26432094962</t>
  </si>
  <si>
    <t>-359.777874995219 236.309267085193 -171.866103973194</t>
  </si>
  <si>
    <t>-568.941805974172 127.342114236321 -95.9279352465902</t>
  </si>
  <si>
    <t>-607.483686722299 142.147043922895 317.591079409727</t>
  </si>
  <si>
    <t>-669.519305257906 173.709185139415 775.309677267563</t>
  </si>
  <si>
    <t>-519.601971858252 179.331551079675 833.421610554761</t>
  </si>
  <si>
    <t>-588.5845745843 -77.0748513036338 323.879111990902</t>
  </si>
  <si>
    <t>-654.511458129538 -109.168716929793 781.195257995269</t>
  </si>
  <si>
    <t>-500.697640838664 -128.075419030434 824.411774719963</t>
  </si>
  <si>
    <t>9763-20170724T115339.830834900.bin</t>
  </si>
  <si>
    <t>-568.451946567423 35.3078968211642 -91.577412291696</t>
  </si>
  <si>
    <t>-587.218204667843 31.996664623651 -200.638692369241</t>
  </si>
  <si>
    <t>-598.575810497254 29.8400165030523 -292.791747473344</t>
  </si>
  <si>
    <t>-607.998636951519 28.131968637404 -376.137002013761</t>
  </si>
  <si>
    <t>-616.01425318454 26.6445202013845 -459.633458581196</t>
  </si>
  <si>
    <t>-626.186449156292 24.7000630610023 -581.853392185761</t>
  </si>
  <si>
    <t>-613.817365303478 25.3441789949209 -659.227680206928</t>
  </si>
  <si>
    <t>-620.619062910993 56.8894540522988 -528.814766126703</t>
  </si>
  <si>
    <t>-597.083066055249 209.497520811739 -506.629678413426</t>
  </si>
  <si>
    <t>-582.288115293442 245.23668080692 -227.197213583162</t>
  </si>
  <si>
    <t>-354.872929904702 236.615490354306 -180.758808566738</t>
  </si>
  <si>
    <t>-569.105758888567 127.281971881597 -95.8991731434776</t>
  </si>
  <si>
    <t>-607.499380770193 142.079427451469 317.633842610592</t>
  </si>
  <si>
    <t>-669.551439002862 173.769780201788 775.369777605831</t>
  </si>
  <si>
    <t>-519.62410514177 179.405066656519 833.454691176079</t>
  </si>
  <si>
    <t>-588.724661397402 -77.0102468274024 323.91853436597</t>
  </si>
  <si>
    <t>-654.496860151156 -109.161852026775 781.223613616204</t>
  </si>
  <si>
    <t>-500.619478560457 -127.690901669423 824.3774120123</t>
  </si>
  <si>
    <t>9763-20170724T115339.859912100.bin</t>
  </si>
  <si>
    <t>-568.57647768692 35.2963482241867 -91.5562233920775</t>
  </si>
  <si>
    <t>-587.35619026667 31.979235807092 -200.615118160847</t>
  </si>
  <si>
    <t>-598.657238386272 29.7629209846252 -292.773702363203</t>
  </si>
  <si>
    <t>-608.001863964196 27.979469193963 -376.126079899005</t>
  </si>
  <si>
    <t>-615.912311933806 26.3939766381723 -459.630782159016</t>
  </si>
  <si>
    <t>-625.901193231295 24.2810327340692 -581.863026954063</t>
  </si>
  <si>
    <t>-613.546582789683 24.8378786366368 -659.240421298931</t>
  </si>
  <si>
    <t>-620.373851496241 56.5419982757428 -528.863724722916</t>
  </si>
  <si>
    <t>-596.745798094453 209.191235879834 -506.995520350264</t>
  </si>
  <si>
    <t>-580.823208024308 246.223492734392 -227.793716152069</t>
  </si>
  <si>
    <t>-352.778388261997 237.321357308681 -184.609720519949</t>
  </si>
  <si>
    <t>-569.145231636136 127.239907579297 -95.887359036256</t>
  </si>
  <si>
    <t>-607.612897916478 142.035288998449 317.638886697918</t>
  </si>
  <si>
    <t>-669.590838528705 173.709199963017 775.3844084293</t>
  </si>
  <si>
    <t>-519.657500846635 179.453362373991 833.443245616018</t>
  </si>
  <si>
    <t>-588.896399488095 -77.0189525391768 323.939531766223</t>
  </si>
  <si>
    <t>-654.499999889131 -109.161291640121 781.238745565026</t>
  </si>
  <si>
    <t>-500.616102023329 -127.733706240342 824.350596222299</t>
  </si>
  <si>
    <t>9763-20170724T115339.932129500.bin</t>
  </si>
  <si>
    <t>-568.959068929768 35.4635785912569 -91.6047288563417</t>
  </si>
  <si>
    <t>-587.769740227086 32.1224514564146 -200.657434895714</t>
  </si>
  <si>
    <t>-598.99823627791 29.7253997389339 -292.820373300035</t>
  </si>
  <si>
    <t>-608.238529717383 27.7147019260542 -376.179279382677</t>
  </si>
  <si>
    <t>-616.006317823107 25.8366318575856 -459.691354199892</t>
  </si>
  <si>
    <t>-625.745017108422 23.2240538799344 -581.934072456861</t>
  </si>
  <si>
    <t>-613.410855312805 23.550426424652 -659.316000035593</t>
  </si>
  <si>
    <t>-620.283130267231 55.6998098400318 -529.059296830472</t>
  </si>
  <si>
    <t>-596.70166111469 208.469286474665 -508.055609876486</t>
  </si>
  <si>
    <t>-578.033659879984 246.79800502217 -229.199113460831</t>
  </si>
  <si>
    <t>-349.32024563287 237.393095374109 -189.825918210685</t>
  </si>
  <si>
    <t>-569.418911277479 127.424400199029 -95.9619008882497</t>
  </si>
  <si>
    <t>-607.755773036941 142.185345144447 317.577720244391</t>
  </si>
  <si>
    <t>-669.618581316921 173.838928220729 775.367717138221</t>
  </si>
  <si>
    <t>-519.66520736184 179.394549494749 833.392998842241</t>
  </si>
  <si>
    <t>-589.177874890861 -76.8967065022757 323.931476817463</t>
  </si>
  <si>
    <t>-654.505202109905 -109.165297121996 781.255221766036</t>
  </si>
  <si>
    <t>-500.6256608928 -127.937031817114 824.296246544076</t>
  </si>
  <si>
    <t>9763-20170724T115339.963194700.bin</t>
  </si>
  <si>
    <t>-569.237846947973 35.6540663196247 -91.6159490719114</t>
  </si>
  <si>
    <t>-588.085981454132 32.2757406378043 -200.661000893807</t>
  </si>
  <si>
    <t>-599.289914673369 29.7983170044231 -292.824790427155</t>
  </si>
  <si>
    <t>-608.485673914104 27.6946641554241 -376.186526661227</t>
  </si>
  <si>
    <t>-616.186493968056 25.7031169669913 -459.702081078435</t>
  </si>
  <si>
    <t>-625.803077099372 22.9010003104709 -581.95018183372</t>
  </si>
  <si>
    <t>-613.468945825646 23.1272772667021 -659.332474958542</t>
  </si>
  <si>
    <t>-620.37345039365 55.4578807942041 -529.121955140233</t>
  </si>
  <si>
    <t>-596.61065502567 208.240888834482 -508.35891142429</t>
  </si>
  <si>
    <t>-576.608592439702 246.214457450824 -229.54622512022</t>
  </si>
  <si>
    <t>-347.530499634163 237.629832855556 -192.15544236265</t>
  </si>
  <si>
    <t>-569.725449749158 127.638198509176 -96.0181104480446</t>
  </si>
  <si>
    <t>-607.919467334382 142.337538749208 317.536900250996</t>
  </si>
  <si>
    <t>-669.631185526172 173.908227282677 775.345664475287</t>
  </si>
  <si>
    <t>-519.668766477825 179.375980211659 833.356078362414</t>
  </si>
  <si>
    <t>-589.275579839737 -76.720327425804 323.945002444988</t>
  </si>
  <si>
    <t>-654.496650139332 -109.126256716015 781.263988731622</t>
  </si>
  <si>
    <t>-500.58387144364 -127.709151471756 824.268078278592</t>
  </si>
  <si>
    <t>9763-20170724T115340.027004600.bin</t>
  </si>
  <si>
    <t>-569.796664962749 36.0572163010786 -91.7036427496834</t>
  </si>
  <si>
    <t>-588.744831855354 32.5810026519607 -200.728392154242</t>
  </si>
  <si>
    <t>-599.923258816552 29.9880695388117 -292.892085815694</t>
  </si>
  <si>
    <t>-609.051811507669 27.7648634687062 -376.257894739388</t>
  </si>
  <si>
    <t>-616.64126500218 25.6375781619834 -459.780380333568</t>
  </si>
  <si>
    <t>-626.046463257497 22.6188705683537 -582.039743524664</t>
  </si>
  <si>
    <t>-613.72801507252 22.6966069464677 -659.424948947639</t>
  </si>
  <si>
    <t>-620.69856274566 55.2689522997928 -529.260908457468</t>
  </si>
  <si>
    <t>-596.961435477694 208.102957401966 -508.8756303852</t>
  </si>
  <si>
    <t>-573.14171531445 245.305610656256 -230.259017584727</t>
  </si>
  <si>
    <t>-343.163431308893 239.16057593109 -198.309802818766</t>
  </si>
  <si>
    <t>-570.402607638816 127.975888834138 -96.1469885878383</t>
  </si>
  <si>
    <t>-608.406944781262 142.617651582438 317.427602575376</t>
  </si>
  <si>
    <t>-669.667385913788 174.041482829359 775.314681228483</t>
  </si>
  <si>
    <t>-519.673100178574 179.306859621579 833.261346336118</t>
  </si>
  <si>
    <t>-589.559784090902 -76.3555494110508 323.930450112146</t>
  </si>
  <si>
    <t>-654.509336365012 -109.077172472177 781.264188305447</t>
  </si>
  <si>
    <t>-500.542563387749 -127.467687494632 824.157588761164</t>
  </si>
  <si>
    <t>9763-20170724T115340.065106300.bin</t>
  </si>
  <si>
    <t>-570.128665359808 36.2036988629943 -91.7510880417486</t>
  </si>
  <si>
    <t>-589.095220985656 32.6835356102695 -200.771189643846</t>
  </si>
  <si>
    <t>-600.280269840912 30.0448705263391 -292.93292459586</t>
  </si>
  <si>
    <t>-609.411365809789 27.7752256298793 -376.297144433489</t>
  </si>
  <si>
    <t>-616.999935553582 25.5966572721616 -459.81840897574</t>
  </si>
  <si>
    <t>-626.400007062731 22.4974103536269 -582.076229527833</t>
  </si>
  <si>
    <t>-614.087234250096 22.5261064309736 -659.462360899368</t>
  </si>
  <si>
    <t>-621.065138334056 55.1825948504822 -529.317711562667</t>
  </si>
  <si>
    <t>-597.529232473416 208.06310754697 -509.038822153864</t>
  </si>
  <si>
    <t>-570.877305346409 244.897136195724 -230.629835198502</t>
  </si>
  <si>
    <t>-340.438879531208 239.459827960163 -202.044634484305</t>
  </si>
  <si>
    <t>-570.826540939508 128.048417930525 -96.2081709571848</t>
  </si>
  <si>
    <t>-608.678312748123 142.670252023209 317.38106359254</t>
  </si>
  <si>
    <t>-669.711579634965 173.994941409834 775.300470100063</t>
  </si>
  <si>
    <t>-519.708986562744 179.423290746016 833.210591492797</t>
  </si>
  <si>
    <t>-589.738716057516 -76.2576686452317 323.904989474902</t>
  </si>
  <si>
    <t>-654.505559880033 -109.121376698544 781.259140955243</t>
  </si>
  <si>
    <t>-500.587232317244 -127.954113274443 824.134511254514</t>
  </si>
  <si>
    <t>9763-20170724T115340.129273800.bin</t>
  </si>
  <si>
    <t>-570.690726629366 36.4244158532231 -91.8355587932783</t>
  </si>
  <si>
    <t>-589.693511471559 32.8507906928401 -200.847469000417</t>
  </si>
  <si>
    <t>-600.892705006564 30.1543997658275 -293.005834313235</t>
  </si>
  <si>
    <t>-610.029979605728 27.8262953690235 -376.367800223095</t>
  </si>
  <si>
    <t>-617.618147176557 25.5831037851424 -459.887379041644</t>
  </si>
  <si>
    <t>-627.010483733725 22.3824465050398 -582.143116402719</t>
  </si>
  <si>
    <t>-614.635651750002 22.3935609403095 -659.51925767754</t>
  </si>
  <si>
    <t>-621.700078096139 55.1121740864326 -529.409878169042</t>
  </si>
  <si>
    <t>-598.223446441551 208.01088724715 -509.202181856811</t>
  </si>
  <si>
    <t>-566.683065895313 244.607385524916 -231.273316144626</t>
  </si>
  <si>
    <t>-335.54242765321 238.559031257868 -209.228807160899</t>
  </si>
  <si>
    <t>-571.484109971937 128.253392087085 -96.325330098917</t>
  </si>
  <si>
    <t>-609.167302070719 142.854950902254 317.27995161569</t>
  </si>
  <si>
    <t>-669.751019212317 174.089804443549 775.273179452044</t>
  </si>
  <si>
    <t>-519.720217380463 179.281503176775 833.131929081509</t>
  </si>
  <si>
    <t>-590.03354132606 -76.1793083169405 323.847217354284</t>
  </si>
  <si>
    <t>-654.479315913496 -109.096020738527 781.255184216916</t>
  </si>
  <si>
    <t>-500.486375840675 -127.422711347787 824.081936581074</t>
  </si>
  <si>
    <t>9763-20170724T115340.165369800.bin</t>
  </si>
  <si>
    <t>-570.873824217969 36.4258768169318 -91.8786799445899</t>
  </si>
  <si>
    <t>-589.899161689378 32.839443445484 -200.886312720176</t>
  </si>
  <si>
    <t>-601.099290123714 30.1191629857581 -293.0438178068</t>
  </si>
  <si>
    <t>-610.230118449043 27.7639450607921 -376.405713607901</t>
  </si>
  <si>
    <t>-617.804628646034 25.4879300638643 -459.925701443986</t>
  </si>
  <si>
    <t>-627.169203884402 22.2325802139303 -582.182051137352</t>
  </si>
  <si>
    <t>-614.758114602729 22.258790716349 -659.552496990752</t>
  </si>
  <si>
    <t>-621.871918888678 54.9860873242451 -529.462252693006</t>
  </si>
  <si>
    <t>-598.503298646896 207.923141505683 -509.368889914679</t>
  </si>
  <si>
    <t>-564.79123373978 245.110305629461 -231.773468196956</t>
  </si>
  <si>
    <t>-333.359892432111 238.046613935801 -213.384285943772</t>
  </si>
  <si>
    <t>-571.710153308865 128.246609873717 -96.3693151895831</t>
  </si>
  <si>
    <t>-609.28390746524 142.868794623638 317.245262166832</t>
  </si>
  <si>
    <t>-669.781721194491 174.10099595258 775.261256932781</t>
  </si>
  <si>
    <t>-519.744515256812 179.356376062099 833.097686476744</t>
  </si>
  <si>
    <t>-590.115426145322 -76.1647492599604 323.816428828256</t>
  </si>
  <si>
    <t>-654.463104317142 -109.128702358713 781.251223232978</t>
  </si>
  <si>
    <t>-500.486535459974 -127.590743951917 824.078659881202</t>
  </si>
  <si>
    <t>9763-20170724T115340.229072900.bin</t>
  </si>
  <si>
    <t>-571.147447941593 36.3100681083217 -91.9241444865216</t>
  </si>
  <si>
    <t>-590.147474400086 32.7320447632096 -200.936593524248</t>
  </si>
  <si>
    <t>-601.303693401147 29.9857928620518 -293.098542148714</t>
  </si>
  <si>
    <t>-610.38611314981 27.5938605034473 -376.464654257583</t>
  </si>
  <si>
    <t>-617.903487831599 25.268254430559 -459.988482451579</t>
  </si>
  <si>
    <t>-627.175040568869 21.926586040408 -582.249640790457</t>
  </si>
  <si>
    <t>-614.692193380885 21.9768551284401 -659.608397445797</t>
  </si>
  <si>
    <t>-621.93622135374 54.7179995361696 -529.547418502658</t>
  </si>
  <si>
    <t>-598.7405258983 207.715514049115 -509.72867322203</t>
  </si>
  <si>
    <t>-560.737063254707 246.159293331305 -232.859663558075</t>
  </si>
  <si>
    <t>-328.913966455063 236.931659970947 -221.839553833785</t>
  </si>
  <si>
    <t>-572.005464089351 128.185169593217 -96.419564435226</t>
  </si>
  <si>
    <t>-609.379391064202 142.800733876675 317.213361403287</t>
  </si>
  <si>
    <t>-669.819164436363 174.126711285371 775.22891806624</t>
  </si>
  <si>
    <t>-519.781185986634 179.396261603564 833.061920161701</t>
  </si>
  <si>
    <t>-590.2504976263 -76.1868544827348 323.781429505832</t>
  </si>
  <si>
    <t>-654.408751413207 -109.178975308167 781.244442223461</t>
  </si>
  <si>
    <t>-500.451711464399 -127.724223406644 824.106168707679</t>
  </si>
  <si>
    <t>9763-20170724T115340.261158300.bin</t>
  </si>
  <si>
    <t>-571.360972901207 36.2046302243398 -91.9377514783719</t>
  </si>
  <si>
    <t>-590.264494203701 32.6321840958162 -200.967087634417</t>
  </si>
  <si>
    <t>-601.375284305151 29.8692953926118 -293.134127313252</t>
  </si>
  <si>
    <t>-610.431225543263 27.4541932259742 -376.502431738159</t>
  </si>
  <si>
    <t>-617.936870740014 25.097615251552 -460.026402421641</t>
  </si>
  <si>
    <t>-627.207522728614 21.7025000134684 -582.286165298327</t>
  </si>
  <si>
    <t>-614.709767091336 21.7497258659757 -659.642558433077</t>
  </si>
  <si>
    <t>-621.984894949048 54.5174611494872 -529.597147656645</t>
  </si>
  <si>
    <t>-598.896013835123 207.548428554896 -509.894979850588</t>
  </si>
  <si>
    <t>-558.228230307232 246.65354087541 -233.497479893781</t>
  </si>
  <si>
    <t>-326.316027715899 236.37516810447 -225.777305135287</t>
  </si>
  <si>
    <t>-572.244064002414 128.143392452583 -96.4411802147463</t>
  </si>
  <si>
    <t>-609.472465589876 142.7469224373 317.205220473198</t>
  </si>
  <si>
    <t>-669.831013027544 174.148173225309 775.210885703338</t>
  </si>
  <si>
    <t>-519.795500009036 179.382362944208 833.05345476715</t>
  </si>
  <si>
    <t>-590.406243431196 -76.3113592660816 323.761015242386</t>
  </si>
  <si>
    <t>-654.381711674418 -109.229380889892 781.243803904386</t>
  </si>
  <si>
    <t>-500.449936657383 -127.924834996504 824.13093486439</t>
  </si>
  <si>
    <t>9763-20170724T115340.331473300.bin</t>
  </si>
  <si>
    <t>-571.822782715213 35.9911807367073 -91.9860471871369</t>
  </si>
  <si>
    <t>-590.591642388427 32.406097650658 -201.038229613154</t>
  </si>
  <si>
    <t>-601.680409000924 29.5957962537043 -293.206347572754</t>
  </si>
  <si>
    <t>-610.753535630727 27.1225917376592 -376.571289098266</t>
  </si>
  <si>
    <t>-618.313660873675 24.6933215672789 -460.08816046469</t>
  </si>
  <si>
    <t>-627.70519807771 21.1757680908133 -582.335334354031</t>
  </si>
  <si>
    <t>-615.181000745868 21.1758637427638 -659.687468896727</t>
  </si>
  <si>
    <t>-622.449268747607 54.0443245949541 -529.682877275506</t>
  </si>
  <si>
    <t>-599.798095452628 207.158358775245 -510.196532389916</t>
  </si>
  <si>
    <t>-552.271004622312 247.142236830566 -235.022098499186</t>
  </si>
  <si>
    <t>-320.296509281648 235.529068157742 -233.791712638558</t>
  </si>
  <si>
    <t>-572.885082178021 127.892852889423 -96.4802314090972</t>
  </si>
  <si>
    <t>-609.85995768418 142.672894975747 317.182752511951</t>
  </si>
  <si>
    <t>-669.876262443103 174.133622075607 775.217823846878</t>
  </si>
  <si>
    <t>-519.839735317487 179.500454214933 833.045582807162</t>
  </si>
  <si>
    <t>-590.657363482402 -76.4553960843452 323.731947933246</t>
  </si>
  <si>
    <t>-654.358895519784 -109.211587298817 781.242312635652</t>
  </si>
  <si>
    <t>-500.349311045336 -127.314524578102 824.104459594636</t>
  </si>
  <si>
    <t>9763-20170724T115340.364561100.bin</t>
  </si>
  <si>
    <t>-572.068776895452 35.9107054194035 -92.0150736565132</t>
  </si>
  <si>
    <t>-590.831355513806 32.3121591980582 -201.06787998028</t>
  </si>
  <si>
    <t>-601.959066709258 29.4875442702082 -293.230988803515</t>
  </si>
  <si>
    <t>-611.085296268408 26.9992847519909 -376.589553095896</t>
  </si>
  <si>
    <t>-618.716521546395 24.5531575133843 -460.099496554478</t>
  </si>
  <si>
    <t>-628.231751507537 21.0092962817025 -582.336330111101</t>
  </si>
  <si>
    <t>-615.69790178423 20.9964109692999 -659.686896683238</t>
  </si>
  <si>
    <t>-622.933709712457 53.8896043388722 -529.695405920483</t>
  </si>
  <si>
    <t>-600.472308816586 207.04014835875 -510.267710673531</t>
  </si>
  <si>
    <t>-549.249473154631 246.669645287629 -235.705665385128</t>
  </si>
  <si>
    <t>-317.312734649669 234.303809024562 -236.697854560115</t>
  </si>
  <si>
    <t>-573.237594263728 127.792547402239 -96.5038299691724</t>
  </si>
  <si>
    <t>-610.07388119401 142.673734011833 317.167847894612</t>
  </si>
  <si>
    <t>-669.887332057906 174.193477543207 775.230235188101</t>
  </si>
  <si>
    <t>-519.840813057347 179.490593348386 833.038495958575</t>
  </si>
  <si>
    <t>-590.761365647593 -76.5320111538213 323.704035822418</t>
  </si>
  <si>
    <t>-654.357197225403 -109.21850231971 781.237298131595</t>
  </si>
  <si>
    <t>-500.343830240915 -127.329773978511 824.082265928514</t>
  </si>
  <si>
    <t>9763-20170724T115340.428247000.bin</t>
  </si>
  <si>
    <t>-572.564264850457 35.9504203503254 -92.0376443078736</t>
  </si>
  <si>
    <t>-591.390444677266 32.2832326088615 -201.077205698296</t>
  </si>
  <si>
    <t>-602.582561285292 29.4397110302607 -293.231859969329</t>
  </si>
  <si>
    <t>-611.771042597565 26.9484098225284 -376.583531892829</t>
  </si>
  <si>
    <t>-619.468511320218 24.5132393627059 -460.08776268569</t>
  </si>
  <si>
    <t>-629.08471962977 21.00005348846 -582.317540321188</t>
  </si>
  <si>
    <t>-616.510775882865 20.9880444592941 -659.661587494525</t>
  </si>
  <si>
    <t>-623.727472326276 53.8666784197342 -529.673952360726</t>
  </si>
  <si>
    <t>-601.389740476327 207.048865653851 -510.34912808097</t>
  </si>
  <si>
    <t>-544.001483346728 246.247389121969 -236.947087001337</t>
  </si>
  <si>
    <t>-312.166430754815 232.974583245182 -241.936274366874</t>
  </si>
  <si>
    <t>-573.888894301489 127.856261472671 -96.5724304849255</t>
  </si>
  <si>
    <t>-610.404800080823 142.714863390143 317.128434867597</t>
  </si>
  <si>
    <t>-669.925262528603 174.255357451721 775.252409099782</t>
  </si>
  <si>
    <t>-519.858480320991 179.435395502215 833.018724005886</t>
  </si>
  <si>
    <t>-590.934870231521 -76.4732293435729 323.695223581367</t>
  </si>
  <si>
    <t>-654.374278687418 -109.258293960389 781.229771541883</t>
  </si>
  <si>
    <t>-500.36855475601 -127.57673541695 824.013975325147</t>
  </si>
  <si>
    <t>9763-20170724T115340.461335100.bin</t>
  </si>
  <si>
    <t>-572.743674814942 35.9643167510126 -92.0690408650352</t>
  </si>
  <si>
    <t>-591.594331234943 32.2773940155951 -201.103783044893</t>
  </si>
  <si>
    <t>-602.793192443541 29.4161728455745 -293.257036469859</t>
  </si>
  <si>
    <t>-611.982077127815 26.9084546599493 -376.608171342747</t>
  </si>
  <si>
    <t>-619.674289979354 24.4558154786059 -460.112403701069</t>
  </si>
  <si>
    <t>-629.276555112663 20.915968847924 -582.34238424131</t>
  </si>
  <si>
    <t>-616.69244443833 20.8819115803963 -659.684904433412</t>
  </si>
  <si>
    <t>-623.90586046024 53.7932411921752 -529.706979142064</t>
  </si>
  <si>
    <t>-601.622155483862 207.001513827676 -510.533752461482</t>
  </si>
  <si>
    <t>-541.450931510093 246.039321467809 -237.707647288671</t>
  </si>
  <si>
    <t>-309.65976030777 232.77873386345 -244.456230104925</t>
  </si>
  <si>
    <t>-574.062680044286 127.849405440977 -96.5962471747317</t>
  </si>
  <si>
    <t>-610.52268256635 142.712817783187 317.109389491295</t>
  </si>
  <si>
    <t>-669.944744015221 174.286360894997 775.249935163527</t>
  </si>
  <si>
    <t>-519.866360521071 179.367493235985 832.994958869596</t>
  </si>
  <si>
    <t>-591.002230358466 -76.4285721759675 323.690133710891</t>
  </si>
  <si>
    <t>-654.383166808443 -109.281737438434 781.227240985724</t>
  </si>
  <si>
    <t>-500.386851617313 -127.755171096962 823.978731070203</t>
  </si>
  <si>
    <t>9763-20170724T115340.530025300.bin</t>
  </si>
  <si>
    <t>-573.076484162125 36.0317520306705 -92.1187434218803</t>
  </si>
  <si>
    <t>-591.931810545941 32.3284304772644 -201.152005731628</t>
  </si>
  <si>
    <t>-603.138884853556 29.4157265275978 -293.302737913108</t>
  </si>
  <si>
    <t>-612.337146168512 26.8466953777722 -376.65094872819</t>
  </si>
  <si>
    <t>-620.040813541421 24.3174538711894 -460.151811175035</t>
  </si>
  <si>
    <t>-629.66245894588 20.6481392887106 -582.376609929617</t>
  </si>
  <si>
    <t>-617.089032922317 20.5708251034748 -659.720755305767</t>
  </si>
  <si>
    <t>-624.249074416154 53.5797439103244 -529.779455427255</t>
  </si>
  <si>
    <t>-601.870756161203 206.803745212283 -510.838275326527</t>
  </si>
  <si>
    <t>-536.851924246258 245.181156707554 -239.032555544664</t>
  </si>
  <si>
    <t>-305.115835162247 232.12889065089 -247.782572097959</t>
  </si>
  <si>
    <t>-574.323533447833 127.888765609598 -96.6486950338489</t>
  </si>
  <si>
    <t>-610.750334585349 142.694799804015 317.061886195282</t>
  </si>
  <si>
    <t>-669.99648141775 174.285835706904 775.22793812789</t>
  </si>
  <si>
    <t>-519.905930254222 179.457125076781 832.933263297213</t>
  </si>
  <si>
    <t>-591.219837650844 -76.3195548088604 323.66776860548</t>
  </si>
  <si>
    <t>-654.381060540814 -109.258080318562 781.222305888163</t>
  </si>
  <si>
    <t>-500.337436279383 -127.47660707079 823.912702505746</t>
  </si>
  <si>
    <t>9763-20170724T115340.563113100.bin</t>
  </si>
  <si>
    <t>-573.147053054223 36.0883269372166 -92.1342753257911</t>
  </si>
  <si>
    <t>-591.995398688144 32.3764160741418 -201.168549325517</t>
  </si>
  <si>
    <t>-603.206563977654 29.4483994404145 -293.318276016931</t>
  </si>
  <si>
    <t>-612.412562077984 26.8627258111869 -376.665077122985</t>
  </si>
  <si>
    <t>-620.128139638165 24.3133694882176 -460.164299264397</t>
  </si>
  <si>
    <t>-629.771652955911 20.6113819173829 -582.386314468619</t>
  </si>
  <si>
    <t>-617.23808757065 20.5364389655144 -659.736822315353</t>
  </si>
  <si>
    <t>-624.329853303711 53.5562437229371 -529.800373172009</t>
  </si>
  <si>
    <t>-601.813934377287 206.764664662724 -510.908827857477</t>
  </si>
  <si>
    <t>-534.63419242138 245.150796172669 -239.630410064682</t>
  </si>
  <si>
    <t>-302.943035853944 231.943944452966 -249.290097486825</t>
  </si>
  <si>
    <t>-574.379689298808 127.97139662276 -96.675202235445</t>
  </si>
  <si>
    <t>-610.830572134903 142.743754907696 317.034476766778</t>
  </si>
  <si>
    <t>-670.013344058632 174.338235604793 775.207454805531</t>
  </si>
  <si>
    <t>-519.914447138332 179.426842186711 832.898281546537</t>
  </si>
  <si>
    <t>-591.320898195406 -76.2978353534299 323.650915253171</t>
  </si>
  <si>
    <t>-654.366300461366 -109.28008753534 781.223701917148</t>
  </si>
  <si>
    <t>-500.335689013226 -127.60797553126 823.914317363114</t>
  </si>
  <si>
    <t>9763-20170724T115340.627874500.bin</t>
  </si>
  <si>
    <t>-573.166971835187 36.1805000072031 -92.1648474873849</t>
  </si>
  <si>
    <t>-592.008398483991 32.4647321905936 -201.200063274385</t>
  </si>
  <si>
    <t>-603.220926796785 29.5270716598011 -293.349384728435</t>
  </si>
  <si>
    <t>-612.431109390907 26.9303075610896 -376.695402331613</t>
  </si>
  <si>
    <t>-620.153793606037 24.3674261175906 -460.193435065079</t>
  </si>
  <si>
    <t>-629.810996415636 20.642796773355 -582.413686101965</t>
  </si>
  <si>
    <t>-617.335575774626 20.5882422409989 -659.773778439016</t>
  </si>
  <si>
    <t>-624.349358471356 53.596808617724 -529.835747884277</t>
  </si>
  <si>
    <t>-601.748484309386 206.805976838031 -511.080977727963</t>
  </si>
  <si>
    <t>-530.091660049793 245.532684728012 -240.999256572464</t>
  </si>
  <si>
    <t>-298.521125748678 231.236034286092 -251.918479983118</t>
  </si>
  <si>
    <t>-574.380013025261 128.064553286017 -96.7163186917685</t>
  </si>
  <si>
    <t>-610.870951364088 142.773296693555 316.992036587848</t>
  </si>
  <si>
    <t>-670.059685916944 174.352572630138 775.17889663105</t>
  </si>
  <si>
    <t>-519.948980725091 179.48070326049 832.835736886737</t>
  </si>
  <si>
    <t>-591.377826035592 -76.2544996637771 323.637734609347</t>
  </si>
  <si>
    <t>-654.322760845276 -109.31767367198 781.230024240015</t>
  </si>
  <si>
    <t>-500.315270403567 -127.767818827515 823.951338740205</t>
  </si>
  <si>
    <t>9763-20170724T115340.664972200.bin</t>
  </si>
  <si>
    <t>-573.197797813598 36.3086984044378 -92.1747806416643</t>
  </si>
  <si>
    <t>-592.018766345946 32.5819444129902 -201.213192165263</t>
  </si>
  <si>
    <t>-603.226220965417 29.6231792569752 -293.362420058603</t>
  </si>
  <si>
    <t>-612.436814988246 27.0027481396926 -376.707723340167</t>
  </si>
  <si>
    <t>-620.16505597099 24.4115009357458 -460.204380711002</t>
  </si>
  <si>
    <t>-629.835930089847 20.6408215747401 -582.422052406735</t>
  </si>
  <si>
    <t>-617.383722281541 20.5868741833922 -659.785869154429</t>
  </si>
  <si>
    <t>-624.375567948508 53.6150261222963 -529.856536311322</t>
  </si>
  <si>
    <t>-601.87625783815 206.85724962213 -511.152173011808</t>
  </si>
  <si>
    <t>-527.738560868589 245.481464586268 -241.726078897573</t>
  </si>
  <si>
    <t>-296.226300995859 230.281184934283 -252.660060082075</t>
  </si>
  <si>
    <t>-574.420204116564 128.200889318188 -96.7438395314597</t>
  </si>
  <si>
    <t>-610.883274093867 142.80103047027 316.970897153731</t>
  </si>
  <si>
    <t>-670.08535706501 174.327591261282 775.158166523948</t>
  </si>
  <si>
    <t>-519.978217378932 179.591906232865 832.811944260949</t>
  </si>
  <si>
    <t>-591.354341324002 -76.1927209941568 323.639743272914</t>
  </si>
  <si>
    <t>-654.29461405362 -109.325926518296 781.23151781564</t>
  </si>
  <si>
    <t>-500.274721026849 -127.63231267176 823.969866442232</t>
  </si>
  <si>
    <t>9763-20170724T115340.733738600.bin</t>
  </si>
  <si>
    <t>-573.212766047537 36.5767191161062 -92.1966841417795</t>
  </si>
  <si>
    <t>-591.997035523829 32.8101812130035 -201.240171873505</t>
  </si>
  <si>
    <t>-603.223155263087 29.8128624882388 -293.385729303976</t>
  </si>
  <si>
    <t>-612.470618716875 27.1547199312313 -376.725769127892</t>
  </si>
  <si>
    <t>-620.255807698254 24.5225607849488 -460.215894590212</t>
  </si>
  <si>
    <t>-630.032044171912 20.6880715746634 -582.423317497558</t>
  </si>
  <si>
    <t>-617.595525765654 20.6386709457404 -659.789507181824</t>
  </si>
  <si>
    <t>-624.496059214542 53.6884019290915 -529.882096798603</t>
  </si>
  <si>
    <t>-601.779746455927 206.895239277103 -511.222084052229</t>
  </si>
  <si>
    <t>-523.31762057325 244.804621226957 -242.921512196674</t>
  </si>
  <si>
    <t>-291.896596183596 228.365888334157 -253.993736540893</t>
  </si>
  <si>
    <t>-574.510579562265 128.526103076008 -96.793583440971</t>
  </si>
  <si>
    <t>-611.003184498775 142.978796874059 316.923707704246</t>
  </si>
  <si>
    <t>-670.109526129992 174.386383212518 775.123991263717</t>
  </si>
  <si>
    <t>-520.003772949793 179.557166971495 832.789898153513</t>
  </si>
  <si>
    <t>-591.363321662527 -76.0975729944093 323.633763408024</t>
  </si>
  <si>
    <t>-654.219405756216 -109.381275316028 781.2410998881</t>
  </si>
  <si>
    <t>-500.225588157474 -127.729408558258 824.055561847532</t>
  </si>
  <si>
    <t>9763-20170724T115340.761814300.bin</t>
  </si>
  <si>
    <t>-573.192495889599 36.7076583215051 -92.2032769315797</t>
  </si>
  <si>
    <t>-591.974094046822 32.9244209945825 -201.246572517209</t>
  </si>
  <si>
    <t>-603.233458133363 29.9123610386769 -293.387676094042</t>
  </si>
  <si>
    <t>-612.525292772101 27.2402474133332 -376.72228116062</t>
  </si>
  <si>
    <t>-620.369245880728 24.5934154992383 -460.206451810507</t>
  </si>
  <si>
    <t>-630.247224905394 20.7366645994484 -582.404888877744</t>
  </si>
  <si>
    <t>-617.845600371469 20.6694698343376 -659.776877940245</t>
  </si>
  <si>
    <t>-624.651066481792 53.7458177054768 -529.875760664327</t>
  </si>
  <si>
    <t>-601.841982894523 206.949013245388 -511.269483655794</t>
  </si>
  <si>
    <t>-521.174019367772 244.385026643585 -243.557246441685</t>
  </si>
  <si>
    <t>-289.815467093274 227.029200795861 -254.535867239135</t>
  </si>
  <si>
    <t>-574.513153299913 128.677374120448 -96.8048226904249</t>
  </si>
  <si>
    <t>-611.031069557113 143.086193323265 316.911797075759</t>
  </si>
  <si>
    <t>-670.118370181944 174.444913073531 775.117136575675</t>
  </si>
  <si>
    <t>-520.012016633338 179.558081574025 832.786530900379</t>
  </si>
  <si>
    <t>-591.32963752202 -76.0383406397791 323.638104734355</t>
  </si>
  <si>
    <t>-654.191786791873 -109.387656394764 781.244337840148</t>
  </si>
  <si>
    <t>-500.202332546859 -127.712990962111 824.084191197219</t>
  </si>
  <si>
    <t>9763-20170724T115340.832625500.bin</t>
  </si>
  <si>
    <t>-573.37430571167 37.0035144096964 -92.210438875176</t>
  </si>
  <si>
    <t>-592.216625036883 33.2050829380537 -201.242750199622</t>
  </si>
  <si>
    <t>-603.584766272831 30.1714821054802 -293.369874661482</t>
  </si>
  <si>
    <t>-612.998123531156 27.4765109966193 -376.690023113503</t>
  </si>
  <si>
    <t>-620.98696981697 24.8037897645559 -460.159579596833</t>
  </si>
  <si>
    <t>-631.102567715313 20.9054221769711 -582.337334868975</t>
  </si>
  <si>
    <t>-618.77669781553 20.8117723562962 -659.721303695483</t>
  </si>
  <si>
    <t>-625.394461237299 53.9320689204924 -529.831116992378</t>
  </si>
  <si>
    <t>-602.544229415402 207.125590498527 -511.219810403266</t>
  </si>
  <si>
    <t>-517.272799189445 243.245562775937 -244.75645912061</t>
  </si>
  <si>
    <t>-286.012859854476 224.445742627229 -255.430150306999</t>
  </si>
  <si>
    <t>-574.758513741533 129.1233051106 -96.844034057544</t>
  </si>
  <si>
    <t>-611.095801756119 143.29107443573 316.896778172928</t>
  </si>
  <si>
    <t>-670.138709100318 174.536678350648 775.107924934725</t>
  </si>
  <si>
    <t>-520.033560415556 179.592295296791 832.785639010907</t>
  </si>
  <si>
    <t>-591.281647165012 -75.9297686057666 323.648316907507</t>
  </si>
  <si>
    <t>-654.126095623342 -109.410805267737 781.24954896009</t>
  </si>
  <si>
    <t>-500.163492116856 -127.8282418936 824.146360127266</t>
  </si>
  <si>
    <t>9763-20170724T115340.864709800.bin</t>
  </si>
  <si>
    <t>-573.502673757507 37.119323913455 -92.2140954233937</t>
  </si>
  <si>
    <t>-592.365341369406 33.3266336874947 -201.24296462752</t>
  </si>
  <si>
    <t>-603.770381531034 30.283712148117 -293.365273319194</t>
  </si>
  <si>
    <t>-613.225097866971 27.5747605216131 -376.68033639601</t>
  </si>
  <si>
    <t>-621.263460575417 24.8821988968773 -460.144501594977</t>
  </si>
  <si>
    <t>-631.460513772447 20.9484137230115 -582.314391836373</t>
  </si>
  <si>
    <t>-619.176439397423 20.8606258254654 -659.704985101491</t>
  </si>
  <si>
    <t>-625.7005901002 53.9895674085806 -529.822923386746</t>
  </si>
  <si>
    <t>-602.783264649853 207.182840331739 -511.24645533331</t>
  </si>
  <si>
    <t>-515.581487764261 242.60934616954 -245.315264229143</t>
  </si>
  <si>
    <t>-284.383502456812 222.868282024203 -255.625615298713</t>
  </si>
  <si>
    <t>-574.877168142786 129.272036805585 -96.8402199561566</t>
  </si>
  <si>
    <t>-611.178452498239 143.360239860509 316.906469304637</t>
  </si>
  <si>
    <t>-670.160905296632 174.537027713642 775.120085389168</t>
  </si>
  <si>
    <t>-520.053038292335 179.599215504505 832.790089111945</t>
  </si>
  <si>
    <t>-591.304679587887 -75.8256472612118 323.641998092331</t>
  </si>
  <si>
    <t>-654.09120040587 -109.419859143192 781.248642295668</t>
  </si>
  <si>
    <t>-500.164159250715 -128.030674253733 824.189625234072</t>
  </si>
  <si>
    <t>9763-20170724T115340.926401500.bin</t>
  </si>
  <si>
    <t>-573.885205800633 37.4649581890521 -92.2182079066677</t>
  </si>
  <si>
    <t>-592.777990401829 33.6992545719179 -201.242895935275</t>
  </si>
  <si>
    <t>-604.226971392927 30.6465775370784 -293.359399094094</t>
  </si>
  <si>
    <t>-613.729099988953 27.9161702085114 -376.668371890982</t>
  </si>
  <si>
    <t>-621.822811797564 25.1885893635822 -460.126082724091</t>
  </si>
  <si>
    <t>-632.10970312462 21.1883075136363 -582.28620104061</t>
  </si>
  <si>
    <t>-619.903811067409 21.1325820281475 -659.689140331614</t>
  </si>
  <si>
    <t>-626.260523533259 54.2556951098891 -529.82109535596</t>
  </si>
  <si>
    <t>-603.080813014075 207.412396292113 -511.271230063927</t>
  </si>
  <si>
    <t>-512.318963757315 241.363703888488 -246.340750580553</t>
  </si>
  <si>
    <t>-281.236093947844 219.824032609532 -255.575749897364</t>
  </si>
  <si>
    <t>-575.236868997716 129.622558736585 -96.8286328985467</t>
  </si>
  <si>
    <t>-611.428067536829 143.636935609263 316.930246055999</t>
  </si>
  <si>
    <t>-670.179549239174 174.678115037334 775.166775971373</t>
  </si>
  <si>
    <t>-520.053986807426 179.57606961474 832.804915675399</t>
  </si>
  <si>
    <t>-591.398487406276 -75.5196554425393 323.651307052899</t>
  </si>
  <si>
    <t>-654.04169234935 -109.452213912129 781.24729748768</t>
  </si>
  <si>
    <t>-500.125016415203 -128.052280163803 824.230063075241</t>
  </si>
  <si>
    <t>9763-20170724T115340.963499300.bin</t>
  </si>
  <si>
    <t>-574.130782002974 37.5839105150276 -92.221449978903</t>
  </si>
  <si>
    <t>-593.020170992649 33.840337429167 -201.247407819458</t>
  </si>
  <si>
    <t>-604.469139247364 30.7854936200877 -293.363858527579</t>
  </si>
  <si>
    <t>-613.972558748075 28.0452980497128 -376.672302902173</t>
  </si>
  <si>
    <t>-622.068994215595 25.2991921170924 -460.12922196333</t>
  </si>
  <si>
    <t>-632.361350190072 21.2627601090701 -582.287655920654</t>
  </si>
  <si>
    <t>-620.188199999379 21.2259343448713 -659.695899390382</t>
  </si>
  <si>
    <t>-626.467064364159 54.3437359498334 -529.836431832187</t>
  </si>
  <si>
    <t>-603.026510412581 207.456860958971 -511.2859424032</t>
  </si>
  <si>
    <t>-511.001074269459 240.949136397518 -246.733205019631</t>
  </si>
  <si>
    <t>-280.001424659192 218.351350364533 -255.509632184773</t>
  </si>
  <si>
    <t>-575.404597413848 129.756135173224 -96.831103465599</t>
  </si>
  <si>
    <t>-611.589312213632 143.745980884173 316.929186330637</t>
  </si>
  <si>
    <t>-670.198993072768 174.706079259799 775.198119822343</t>
  </si>
  <si>
    <t>-520.062523075722 179.554638012543 832.811972203702</t>
  </si>
  <si>
    <t>-591.521777052633 -75.4282387427681 323.6411042089</t>
  </si>
  <si>
    <t>-654.027641580812 -109.442937804236 781.24509098589</t>
  </si>
  <si>
    <t>-500.105011930402 -128.001583041626 824.224426642205</t>
  </si>
  <si>
    <t>9763-20170724T115341.027759200.bin</t>
  </si>
  <si>
    <t>-574.530773216682 37.6021795798999 -92.2665662392974</t>
  </si>
  <si>
    <t>-593.415823179957 33.9299269539047 -201.295760778641</t>
  </si>
  <si>
    <t>-604.898940730699 30.8785542389267 -293.408048433837</t>
  </si>
  <si>
    <t>-614.448864963806 28.1213378032851 -376.710664685073</t>
  </si>
  <si>
    <t>-622.607813914979 25.3365059933569 -460.160055464435</t>
  </si>
  <si>
    <t>-633.009500231697 21.2191549405218 -582.306584678435</t>
  </si>
  <si>
    <t>-620.918435687172 21.2004993176765 -659.727676090392</t>
  </si>
  <si>
    <t>-626.961413869615 54.3296565357409 -529.891267753329</t>
  </si>
  <si>
    <t>-602.822788157027 207.329723109784 -511.239618610812</t>
  </si>
  <si>
    <t>-509.19669149648 239.651686887038 -247.103267193155</t>
  </si>
  <si>
    <t>-278.630894303445 212.449486863232 -254.030109326329</t>
  </si>
  <si>
    <t>-575.570702987329 129.819190510189 -96.8483425291084</t>
  </si>
  <si>
    <t>-611.804107254603 143.781516418804 316.908577902352</t>
  </si>
  <si>
    <t>-670.259467972265 174.641807894536 775.22809382907</t>
  </si>
  <si>
    <t>-520.1162149788 179.653322728409 832.810312862725</t>
  </si>
  <si>
    <t>-591.829150525121 -75.336246051618 323.586919920607</t>
  </si>
  <si>
    <t>-653.97611744205 -109.442870447937 781.244755134413</t>
  </si>
  <si>
    <t>-500.061042572002 -127.97425464259 824.262859787222</t>
  </si>
  <si>
    <t>9763-20170724T115341.064856700.bin</t>
  </si>
  <si>
    <t>-574.645563786873 37.5362777671953 -92.3013272368079</t>
  </si>
  <si>
    <t>-593.536016247609 33.907240963604 -201.331082540135</t>
  </si>
  <si>
    <t>-605.060018039475 30.8772586045206 -293.43879834964</t>
  </si>
  <si>
    <t>-614.661567548592 28.135459521033 -376.736077260301</t>
  </si>
  <si>
    <t>-622.886968938367 25.3608956577614 -460.179364711788</t>
  </si>
  <si>
    <t>-633.402180157894 21.2529151213998 -582.316535506067</t>
  </si>
  <si>
    <t>-621.349971572072 21.2551981040901 -659.743500315832</t>
  </si>
  <si>
    <t>-627.226506894817 54.355231808501 -529.910975123895</t>
  </si>
  <si>
    <t>-602.487576785332 207.230794738602 -511.104620718279</t>
  </si>
  <si>
    <t>-508.960947182066 239.348990945751 -246.908136629213</t>
  </si>
  <si>
    <t>-278.729039968278 209.305091357011 -253.166981378586</t>
  </si>
  <si>
    <t>-575.545366473057 129.864487343249 -96.8688440908586</t>
  </si>
  <si>
    <t>-611.906984196906 143.769322679987 316.878809444381</t>
  </si>
  <si>
    <t>-670.279814052304 174.661560484164 775.235325074915</t>
  </si>
  <si>
    <t>-520.135243775211 179.630288665338 832.817756054756</t>
  </si>
  <si>
    <t>-592.05487704649 -75.2755412629488 323.560153242128</t>
  </si>
  <si>
    <t>-653.921839531772 -109.429879741642 781.25859294771</t>
  </si>
  <si>
    <t>-499.998759001501 -127.748667957097 824.339114832661</t>
  </si>
  <si>
    <t>9763-20170724T115341.130037900.bin</t>
  </si>
  <si>
    <t>-574.781534185835 37.1605336769596 -92.3624836744756</t>
  </si>
  <si>
    <t>-593.752846099453 33.6550299136804 -201.382227135345</t>
  </si>
  <si>
    <t>-605.362159137875 30.6876993496194 -293.481404919785</t>
  </si>
  <si>
    <t>-615.047925850231 27.9909072229573 -376.770242009189</t>
  </si>
  <si>
    <t>-623.364956517645 25.2472200832826 -460.205583323451</t>
  </si>
  <si>
    <t>-634.022580933966 21.1685404175325 -582.331284458272</t>
  </si>
  <si>
    <t>-621.992531056234 21.204233657124 -659.761833859533</t>
  </si>
  <si>
    <t>-627.634275691839 54.2499711376549 -529.93802006276</t>
  </si>
  <si>
    <t>-601.742837472861 206.91649412886 -510.919783716767</t>
  </si>
  <si>
    <t>-509.448975722467 238.416014215156 -246.215738113501</t>
  </si>
  <si>
    <t>-280.24064792341 201.022042501819 -249.926091400313</t>
  </si>
  <si>
    <t>-575.271928198406 129.810431776287 -96.9089683685498</t>
  </si>
  <si>
    <t>-611.861517421866 143.608895354415 316.822123607651</t>
  </si>
  <si>
    <t>-670.2840159959 174.71849029222 775.192494707103</t>
  </si>
  <si>
    <t>-520.158783738688 179.666089027412 832.827259582061</t>
  </si>
  <si>
    <t>-592.306188582213 -75.2666816325223 323.517219048247</t>
  </si>
  <si>
    <t>-653.81723969219 -109.451031054577 781.292543938403</t>
  </si>
  <si>
    <t>-499.950950131754 -127.930123637894 824.507230931597</t>
  </si>
  <si>
    <t>9763-20170724T115341.161119700.bin</t>
  </si>
  <si>
    <t>-574.879267095132 37.0696783077699 -92.3768272840356</t>
  </si>
  <si>
    <t>-593.930899743976 33.6160629403701 -201.384217817014</t>
  </si>
  <si>
    <t>-605.622428112512 30.6627671325816 -293.473412362773</t>
  </si>
  <si>
    <t>-615.388477983261 27.9689705916064 -376.753041687137</t>
  </si>
  <si>
    <t>-623.792024713001 25.2175065412166 -460.179305368653</t>
  </si>
  <si>
    <t>-634.583076415126 21.1155872378865 -582.292690385497</t>
  </si>
  <si>
    <t>-622.567794303042 21.1249967017154 -659.725503191957</t>
  </si>
  <si>
    <t>-628.062446907405 54.2024956073549 -529.91921173173</t>
  </si>
  <si>
    <t>-601.750267171232 206.790281783467 -510.851320425301</t>
  </si>
  <si>
    <t>-510.307114482401 237.227420320745 -245.728124915351</t>
  </si>
  <si>
    <t>-281.703298736301 196.204115597975 -248.158503890512</t>
  </si>
  <si>
    <t>-575.193971216092 129.88458272738 -96.9202836212252</t>
  </si>
  <si>
    <t>-611.80877417148 143.594364391635 316.811471773728</t>
  </si>
  <si>
    <t>-670.28223834093 174.764031585201 775.176888178642</t>
  </si>
  <si>
    <t>-520.165758630218 179.592342537122 832.844585806782</t>
  </si>
  <si>
    <t>-592.272500542288 -75.1884754543446 323.525251204851</t>
  </si>
  <si>
    <t>-653.782503385772 -109.469301591026 781.299908873269</t>
  </si>
  <si>
    <t>-499.975107506706 -128.314052951706 824.566331529413</t>
  </si>
  <si>
    <t>9763-20170724T115341.228822900.bin</t>
  </si>
  <si>
    <t>-575.170460865093 37.0824517605231 -92.3635430079303</t>
  </si>
  <si>
    <t>-594.415759439692 33.6966348265057 -201.339063809089</t>
  </si>
  <si>
    <t>-606.288152885699 30.8438777766685 -293.408264940736</t>
  </si>
  <si>
    <t>-616.224190733982 28.2615531275692 -376.671357992374</t>
  </si>
  <si>
    <t>-624.804361148944 25.6394678826587 -460.083856484685</t>
  </si>
  <si>
    <t>-635.860784324285 21.7459453834983 -582.180227168627</t>
  </si>
  <si>
    <t>-623.897609510984 21.7710890349247 -659.621011272419</t>
  </si>
  <si>
    <t>-629.078930439261 54.7341221884512 -529.777667007045</t>
  </si>
  <si>
    <t>-601.722353315765 207.090348033367 -510.389101440416</t>
  </si>
  <si>
    <t>-512.483171165854 235.204451578751 -244.260298581859</t>
  </si>
  <si>
    <t>-285.296887796948 186.892681500305 -245.209394898121</t>
  </si>
  <si>
    <t>-575.248807547684 130.010951817699 -96.9045303615953</t>
  </si>
  <si>
    <t>-611.72212719998 143.640295731779 316.842449911749</t>
  </si>
  <si>
    <t>-670.3230385382 174.673432392113 775.17326342209</t>
  </si>
  <si>
    <t>-520.21010647592 179.553894677308 832.845777761704</t>
  </si>
  <si>
    <t>-592.31173275248 -74.9550237478791 323.566863120256</t>
  </si>
  <si>
    <t>-653.748561336503 -109.448330426702 781.312101372108</t>
  </si>
  <si>
    <t>-499.965091710354 -128.408081110633 824.613361835037</t>
  </si>
  <si>
    <t>9763-20170724T115341.261911800.bin</t>
  </si>
  <si>
    <t>-575.358508105228 37.1822966557866 -92.3695506417114</t>
  </si>
  <si>
    <t>-594.682201531445 33.8163814521258 -201.331699492182</t>
  </si>
  <si>
    <t>-606.61712326864 31.0108250441158 -293.394369850016</t>
  </si>
  <si>
    <t>-616.607969566785 28.4845702090695 -376.652640205867</t>
  </si>
  <si>
    <t>-625.241246504157 25.930613394786 -460.061647298647</t>
  </si>
  <si>
    <t>-636.37300407123 22.1506101239402 -582.154735794543</t>
  </si>
  <si>
    <t>-624.437993506747 22.1704087858195 -659.600025620028</t>
  </si>
  <si>
    <t>-629.496621674451 55.0860236454957 -529.731342748546</t>
  </si>
  <si>
    <t>-601.675172584911 207.333939061412 -510.102362234364</t>
  </si>
  <si>
    <t>-513.520524244235 234.561405511015 -243.520228435354</t>
  </si>
  <si>
    <t>-286.985394547879 183.276693920309 -244.009285011033</t>
  </si>
  <si>
    <t>-575.266303623761 130.093948224551 -96.9110767393448</t>
  </si>
  <si>
    <t>-611.718257880629 143.736394417502 316.837341832383</t>
  </si>
  <si>
    <t>-670.320846141817 174.743651369747 775.164073017794</t>
  </si>
  <si>
    <t>-520.195558440111 179.406799320223 832.822303118999</t>
  </si>
  <si>
    <t>-592.451373044714 -74.8699217578453 323.576934749755</t>
  </si>
  <si>
    <t>-653.759062519688 -109.421103432547 781.313850172908</t>
  </si>
  <si>
    <t>-499.971480333394 -128.415835348016 824.585141976426</t>
  </si>
  <si>
    <t>9763-20170724T115341.331191900.bin</t>
  </si>
  <si>
    <t>-575.888274759992 37.3612612639984 -92.450526235188</t>
  </si>
  <si>
    <t>-595.269887669035 34.035670970055 -201.403632789487</t>
  </si>
  <si>
    <t>-607.265508957011 31.2724521049593 -293.459595374101</t>
  </si>
  <si>
    <t>-617.315794459635 28.7906767742268 -376.712109554468</t>
  </si>
  <si>
    <t>-626.013108476169 26.2861018923522 -460.115930395507</t>
  </si>
  <si>
    <t>-637.243653584071 22.5831008187017 -582.202437375893</t>
  </si>
  <si>
    <t>-625.344608887827 22.5795740723688 -659.653231909712</t>
  </si>
  <si>
    <t>-630.234951363477 55.479341603515 -529.771837496349</t>
  </si>
  <si>
    <t>-601.771988071555 207.585133641645 -509.943710164093</t>
  </si>
  <si>
    <t>-515.7438012458 232.975464134699 -242.487100066438</t>
  </si>
  <si>
    <t>-290.873779068396 174.824509145902 -241.799295375296</t>
  </si>
  <si>
    <t>-575.495263011633 130.125867619832 -96.9911539919331</t>
  </si>
  <si>
    <t>-611.838429199749 143.768002541499 316.766849690853</t>
  </si>
  <si>
    <t>-670.3637527223 174.678421642076 775.12135438325</t>
  </si>
  <si>
    <t>-520.224995832965 179.512894246975 832.730377301796</t>
  </si>
  <si>
    <t>-592.847851171806 -74.7558577445038 323.522270660244</t>
  </si>
  <si>
    <t>-653.797561508953 -109.387951430743 781.307009422037</t>
  </si>
  <si>
    <t>-499.987214870029 -128.411758507786 824.484498800928</t>
  </si>
  <si>
    <t>9763-20170724T115341.364279000.bin</t>
  </si>
  <si>
    <t>-576.114768783563 37.4507319352442 -92.4658723991353</t>
  </si>
  <si>
    <t>-595.526243448558 34.1552399445175 -201.414699387985</t>
  </si>
  <si>
    <t>-607.573554918832 31.4054557862776 -293.464296514022</t>
  </si>
  <si>
    <t>-617.681298942655 28.9323336487128 -376.710126948466</t>
  </si>
  <si>
    <t>-626.447053529981 26.4321474064145 -460.107020558719</t>
  </si>
  <si>
    <t>-637.789612611257 22.7317417291194 -582.183079070107</t>
  </si>
  <si>
    <t>-625.944312293478 22.7166625088191 -659.642099019324</t>
  </si>
  <si>
    <t>-630.705476918027 55.6249211006059 -529.760782801616</t>
  </si>
  <si>
    <t>-601.952985763724 207.654248041157 -509.795632210598</t>
  </si>
  <si>
    <t>-516.804289920505 232.289267683847 -241.987086803551</t>
  </si>
  <si>
    <t>-292.971033251246 170.276127629011 -240.730995409642</t>
  </si>
  <si>
    <t>-575.623388589139 130.106263202223 -97.0124673289048</t>
  </si>
  <si>
    <t>-611.897340670016 143.757591669302 316.751262816153</t>
  </si>
  <si>
    <t>-670.375084022849 174.644699342089 775.099099507516</t>
  </si>
  <si>
    <t>-520.231071460855 179.460900680145 832.696008252171</t>
  </si>
  <si>
    <t>-592.929541143358 -74.5892381285851 323.504502010948</t>
  </si>
  <si>
    <t>-653.834109249027 -109.355174067172 781.291289683019</t>
  </si>
  <si>
    <t>-499.988000679933 -128.293451551679 824.37894104313</t>
  </si>
  <si>
    <t>9763-20170724T115341.433989300.bin</t>
  </si>
  <si>
    <t>-576.219972016782 37.6065626586867 -92.4953850778411</t>
  </si>
  <si>
    <t>-595.750758265775 34.3805656041375 -201.424817458467</t>
  </si>
  <si>
    <t>-607.922771490121 31.7070314438024 -293.46031141675</t>
  </si>
  <si>
    <t>-618.152814943094 29.3101692121015 -376.693344680089</t>
  </si>
  <si>
    <t>-627.050424953498 26.8943645935783 -460.078771652084</t>
  </si>
  <si>
    <t>-638.596255067172 23.3260217208297 -582.139832828793</t>
  </si>
  <si>
    <t>-626.903390282783 23.3734546632243 -659.621932217502</t>
  </si>
  <si>
    <t>-631.430539012292 56.1628654532958 -529.693231678549</t>
  </si>
  <si>
    <t>-602.421824161434 208.093286432479 -509.453114275513</t>
  </si>
  <si>
    <t>-518.588811992158 231.502801646523 -241.120151320928</t>
  </si>
  <si>
    <t>-297.017383972773 161.834917335738 -240.108385361424</t>
  </si>
  <si>
    <t>-575.69429911347 130.126405248993 -97.0055940049148</t>
  </si>
  <si>
    <t>-611.954603899146 143.743863539114 316.760502104671</t>
  </si>
  <si>
    <t>-670.372074067999 174.684343004011 775.081814630497</t>
  </si>
  <si>
    <t>-520.219002981224 179.396494298464 832.663707940983</t>
  </si>
  <si>
    <t>-593.058991049289 -74.4325823830584 323.42474470602</t>
  </si>
  <si>
    <t>-653.858152369273 -109.34298599001 781.243624167849</t>
  </si>
  <si>
    <t>-499.97430797722 -128.151980820448 824.253014904605</t>
  </si>
  <si>
    <t>9763-20170724T115341.464075300.bin</t>
  </si>
  <si>
    <t>-576.172529138754 37.6540862963955 -92.5059615099394</t>
  </si>
  <si>
    <t>-595.718185652291 34.4457934570937 -201.433290496493</t>
  </si>
  <si>
    <t>-607.914687204568 31.8129201489387 -293.466722132134</t>
  </si>
  <si>
    <t>-618.171438866058 29.4631014802706 -376.69777132075</t>
  </si>
  <si>
    <t>-627.100320188034 27.1047164044394 -460.08155243476</t>
  </si>
  <si>
    <t>-638.696668831949 23.6320882157502 -582.140496989873</t>
  </si>
  <si>
    <t>-627.079247238564 23.7318217228542 -659.633943819216</t>
  </si>
  <si>
    <t>-631.527626022262 56.4290635464106 -529.66958002656</t>
  </si>
  <si>
    <t>-602.552886095537 208.35612350605 -509.268502630872</t>
  </si>
  <si>
    <t>-519.079210143469 230.920311523741 -240.751209183888</t>
  </si>
  <si>
    <t>-298.48871711857 158.200133683863 -240.373148611844</t>
  </si>
  <si>
    <t>-575.645408121852 130.094666818817 -96.9944316374906</t>
  </si>
  <si>
    <t>-611.923466476 143.741341003079 316.769066887601</t>
  </si>
  <si>
    <t>-670.379146758377 174.643029010216 775.089820842552</t>
  </si>
  <si>
    <t>-520.229464822301 179.420356534295 832.675243274057</t>
  </si>
  <si>
    <t>-592.992012114518 -74.4364534406163 323.412968666742</t>
  </si>
  <si>
    <t>-653.849985017797 -109.321120496193 781.231258875909</t>
  </si>
  <si>
    <t>-499.946949028577 -128.004718949184 824.226627864123</t>
  </si>
  <si>
    <t>9763-20170724T115341.528620800.bin</t>
  </si>
  <si>
    <t>-576.036691465287 37.7118432352054 -92.482916692074</t>
  </si>
  <si>
    <t>-595.519696539471 34.5101382434796 -201.421637104797</t>
  </si>
  <si>
    <t>-607.671581004759 31.9584284245095 -293.463374216962</t>
  </si>
  <si>
    <t>-617.890709799522 29.7116075154067 -376.701795697819</t>
  </si>
  <si>
    <t>-626.784196884309 27.4873103876998 -460.093019304502</t>
  </si>
  <si>
    <t>-638.331126121866 24.2443457537204 -582.162962724731</t>
  </si>
  <si>
    <t>-626.807192478538 24.4775155248126 -659.670206797894</t>
  </si>
  <si>
    <t>-631.243495318407 56.9465468307239 -529.621886999119</t>
  </si>
  <si>
    <t>-602.469228465844 208.875900448663 -508.965832818138</t>
  </si>
  <si>
    <t>-518.574880644228 230.350530630497 -240.490277707775</t>
  </si>
  <si>
    <t>-299.841694293343 152.225684379525 -241.4031783363</t>
  </si>
  <si>
    <t>-575.620547072924 130.123732244136 -96.9546515729687</t>
  </si>
  <si>
    <t>-611.860749391921 143.768906438544 316.812264761139</t>
  </si>
  <si>
    <t>-670.36001627318 174.7128270385 775.120750454336</t>
  </si>
  <si>
    <t>-520.214061837282 179.208778325938 832.738362467012</t>
  </si>
  <si>
    <t>-592.774710856848 -74.4302507710772 323.413654701521</t>
  </si>
  <si>
    <t>-653.830292149265 -109.316708750048 781.206584277589</t>
  </si>
  <si>
    <t>-499.935278735292 -128.072918058887 824.199073121286</t>
  </si>
  <si>
    <t>9763-20170724T115341.565717900.bin</t>
  </si>
  <si>
    <t>-575.924258302719 37.704241310624 -92.4506163637185</t>
  </si>
  <si>
    <t>-595.372402902812 34.4907710481816 -201.395277099091</t>
  </si>
  <si>
    <t>-607.515439094779 31.9847618647054 -293.439294313257</t>
  </si>
  <si>
    <t>-617.734463107631 29.8006285806562 -376.679494160943</t>
  </si>
  <si>
    <t>-626.635508564973 27.6612846382445 -460.072161010484</t>
  </si>
  <si>
    <t>-638.201514141142 24.5675181893737 -582.144224844788</t>
  </si>
  <si>
    <t>-626.7143374095 24.881777110035 -659.656562627073</t>
  </si>
  <si>
    <t>-631.144916761575 57.2082763053797 -529.560611537307</t>
  </si>
  <si>
    <t>-602.4109733958 209.109139229122 -508.68875798614</t>
  </si>
  <si>
    <t>-517.829592796455 230.112287632732 -240.391499425987</t>
  </si>
  <si>
    <t>-299.961350840241 149.616533944642 -241.939854498439</t>
  </si>
  <si>
    <t>-575.620131333988 130.090938741544 -96.9236867919435</t>
  </si>
  <si>
    <t>-611.847980094095 143.756295803703 316.843649162646</t>
  </si>
  <si>
    <t>-670.365057056017 174.693937402428 775.146366140131</t>
  </si>
  <si>
    <t>-520.224427975391 179.211242714038 832.776263866994</t>
  </si>
  <si>
    <t>-592.654207407742 -74.4526318309422 323.426301568186</t>
  </si>
  <si>
    <t>-653.81096580512 -109.3273598343 781.199754472851</t>
  </si>
  <si>
    <t>-499.908588606596 -127.994644186746 824.204602891772</t>
  </si>
  <si>
    <t>9763-20170724T115341.628401600.bin</t>
  </si>
  <si>
    <t>-575.614747422202 37.4536768571134 -92.4194544397278</t>
  </si>
  <si>
    <t>-594.948237094354 34.2506113664056 -201.384808871661</t>
  </si>
  <si>
    <t>-607.067333887386 31.8103370155741 -293.433710943147</t>
  </si>
  <si>
    <t>-617.293678374149 29.7076511364435 -376.675276762629</t>
  </si>
  <si>
    <t>-626.230647642383 27.6730613944876 -460.06655764076</t>
  </si>
  <si>
    <t>-637.880399132053 24.7582135459395 -582.135053555435</t>
  </si>
  <si>
    <t>-626.41703708534 25.1824130647271 -659.650464897664</t>
  </si>
  <si>
    <t>-630.819403057847 57.3238763563152 -529.505653308851</t>
  </si>
  <si>
    <t>-602.069545196538 209.202084214742 -508.432203877245</t>
  </si>
  <si>
    <t>-516.131539312197 229.535177911434 -240.514696680362</t>
  </si>
  <si>
    <t>-299.979334224899 144.622857414358 -244.594863743843</t>
  </si>
  <si>
    <t>-575.435736768278 129.81655907182 -96.8481681882131</t>
  </si>
  <si>
    <t>-611.786629254367 143.651107064749 316.902781348255</t>
  </si>
  <si>
    <t>-670.361383265934 174.663217812642 775.187727481917</t>
  </si>
  <si>
    <t>-520.239493545605 179.262652877299 832.85990707737</t>
  </si>
  <si>
    <t>-592.548297778956 -74.7198918201857 323.425032160245</t>
  </si>
  <si>
    <t>-653.739878736268 -109.343247688141 781.203209978493</t>
  </si>
  <si>
    <t>-499.852019175674 -127.948111049497 824.287062868383</t>
  </si>
  <si>
    <t>9763-20170724T115341.661489800.bin</t>
  </si>
  <si>
    <t>-575.423235999949 37.3268652358636 -92.4088164669781</t>
  </si>
  <si>
    <t>-594.70380510518 34.1351023318718 -201.383810136981</t>
  </si>
  <si>
    <t>-606.826557061044 31.7123318155345 -293.432767432904</t>
  </si>
  <si>
    <t>-617.075611640398 29.6289095425284 -376.671932892889</t>
  </si>
  <si>
    <t>-626.054681201766 27.6173170453812 -460.059371748113</t>
  </si>
  <si>
    <t>-637.787336113956 24.74054314208 -582.120890853249</t>
  </si>
  <si>
    <t>-626.337783983197 25.1984298177595 -659.637986013336</t>
  </si>
  <si>
    <t>-630.69915599729 57.290380677209 -529.485212009694</t>
  </si>
  <si>
    <t>-602.008574124578 209.179506203427 -508.421320700307</t>
  </si>
  <si>
    <t>-515.353637662928 229.20776446729 -240.711781374569</t>
  </si>
  <si>
    <t>-299.951440697766 142.491251228776 -246.250427632969</t>
  </si>
  <si>
    <t>-575.287045232544 129.726026717861 -96.824029527188</t>
  </si>
  <si>
    <t>-611.657831463915 143.603005605721 316.923646966498</t>
  </si>
  <si>
    <t>-670.346580868594 174.680361952692 775.202125458658</t>
  </si>
  <si>
    <t>-520.238596253254 179.283997820008 832.910138099891</t>
  </si>
  <si>
    <t>-592.451723391251 -74.8613155989515 323.418390114437</t>
  </si>
  <si>
    <t>-653.667268076982 -109.356476124618 781.204516062101</t>
  </si>
  <si>
    <t>-499.833294113646 -128.134686736661 824.40532867522</t>
  </si>
  <si>
    <t>9763-20170724T115341.731200800.bin</t>
  </si>
  <si>
    <t>-575.058062977801 36.9258790002964 -92.3749499394341</t>
  </si>
  <si>
    <t>-594.217634598913 33.7442677845866 -201.371708020412</t>
  </si>
  <si>
    <t>-606.352081194901 31.3846664010298 -293.4208213252</t>
  </si>
  <si>
    <t>-616.656936318853 29.3814260921524 -376.654984966952</t>
  </si>
  <si>
    <t>-625.737090473263 27.4733063403223 -460.033842442088</t>
  </si>
  <si>
    <t>-637.666898960801 24.7740396489444 -582.080221195946</t>
  </si>
  <si>
    <t>-626.234910400504 25.3013369136424 -659.599618918501</t>
  </si>
  <si>
    <t>-630.478127163431 57.2463571005953 -529.410365759189</t>
  </si>
  <si>
    <t>-601.51482495006 209.026279146121 -507.941831933144</t>
  </si>
  <si>
    <t>-514.344433834615 229.062161762571 -240.400406279409</t>
  </si>
  <si>
    <t>-300.415506103454 139.081923250481 -249.701322939657</t>
  </si>
  <si>
    <t>-574.920695025039 129.461576264104 -96.7941481787462</t>
  </si>
  <si>
    <t>-611.465860276538 143.363339919673 316.93739043399</t>
  </si>
  <si>
    <t>-670.327914083511 174.588615772353 775.201345661571</t>
  </si>
  <si>
    <t>-520.270854820164 179.335243182998 833.02998090725</t>
  </si>
  <si>
    <t>-592.191404613723 -75.2717710099917 323.443811375486</t>
  </si>
  <si>
    <t>-653.423898451471 -109.368877329227 781.268676656525</t>
  </si>
  <si>
    <t>-499.668850459539 -127.947465854777 824.835215574894</t>
  </si>
  <si>
    <t>9763-20170724T115341.763268900.bin</t>
  </si>
  <si>
    <t>-574.730493494424 36.5938125505534 -92.3627725472696</t>
  </si>
  <si>
    <t>-593.809342322637 33.4139997210673 -201.373635851832</t>
  </si>
  <si>
    <t>-605.919210441433 31.0951330656437 -293.427046037234</t>
  </si>
  <si>
    <t>-616.219026605934 29.1452269630768 -376.663054301785</t>
  </si>
  <si>
    <t>-625.311113101237 27.3069629542342 -460.042222714832</t>
  </si>
  <si>
    <t>-637.276893925994 24.7277246144806 -582.087831039681</t>
  </si>
  <si>
    <t>-625.83230225776 25.2819464200206 -659.604905361022</t>
  </si>
  <si>
    <t>-630.04143339051 57.1459425641895 -529.391039936524</t>
  </si>
  <si>
    <t>-600.720986603096 208.83258068519 -507.720968412039</t>
  </si>
  <si>
    <t>-514.109204238399 229.39107606356 -240.037649352752</t>
  </si>
  <si>
    <t>-300.695954632134 138.376554334204 -250.977243641275</t>
  </si>
  <si>
    <t>-574.580542331068 129.167999387804 -96.7694825289665</t>
  </si>
  <si>
    <t>-611.350276636505 143.173158298673 316.938666404376</t>
  </si>
  <si>
    <t>-670.318855010446 174.544654493491 775.200506315488</t>
  </si>
  <si>
    <t>-520.291469816883 179.440702014185 833.09372659154</t>
  </si>
  <si>
    <t>-592.079700640629 -75.4388352753808 323.465429362435</t>
  </si>
  <si>
    <t>-653.320799533043 -109.40355952395 781.299940610167</t>
  </si>
  <si>
    <t>-499.644553585216 -128.215959015037 825.043810542782</t>
  </si>
  <si>
    <t>9763-20170724T115341.828304900.bin</t>
  </si>
  <si>
    <t>-574.092460395012 36.0257541763183 -92.3097423240122</t>
  </si>
  <si>
    <t>-592.998376768246 32.8978591474709 -201.352229795656</t>
  </si>
  <si>
    <t>-605.04874431082 30.6368897561197 -293.414752811822</t>
  </si>
  <si>
    <t>-615.329308563586 28.7481471632623 -376.654759639408</t>
  </si>
  <si>
    <t>-624.436636621652 26.9785681796559 -460.033728234676</t>
  </si>
  <si>
    <t>-636.462465826883 24.5087356005376 -582.075632815657</t>
  </si>
  <si>
    <t>-624.99423162722 25.0126648637581 -659.589617528261</t>
  </si>
  <si>
    <t>-629.109666298515 56.8736769385052 -529.362336604945</t>
  </si>
  <si>
    <t>-599.11300880723 208.390292748651 -507.392972294673</t>
  </si>
  <si>
    <t>-514.906095844093 230.55574062207 -239.071294324111</t>
  </si>
  <si>
    <t>-301.099399993227 140.679882927583 -251.623561422137</t>
  </si>
  <si>
    <t>-573.802387183182 128.839564771283 -96.7334295007302</t>
  </si>
  <si>
    <t>-610.921262813723 142.939284789212 316.9403201803</t>
  </si>
  <si>
    <t>-670.254625440662 174.600005111674 775.169236712028</t>
  </si>
  <si>
    <t>-520.291397675865 179.376943371587 833.238536059594</t>
  </si>
  <si>
    <t>-591.768242094151 -75.7067380919448 323.530912860013</t>
  </si>
  <si>
    <t>-653.173616328522 -109.434347925084 781.355845679031</t>
  </si>
  <si>
    <t>-499.557787677336 -128.167678034873 825.345182796597</t>
  </si>
  <si>
    <t>9763-20170724T115341.865403400.bin</t>
  </si>
  <si>
    <t>-573.768337706696 35.7947546257799 -92.2584312547218</t>
  </si>
  <si>
    <t>-592.62036768551 32.6981024984045 -201.311200681058</t>
  </si>
  <si>
    <t>-604.621420364281 30.4492166917703 -293.3805069329</t>
  </si>
  <si>
    <t>-614.855931182772 28.567191001182 -376.626196753068</t>
  </si>
  <si>
    <t>-623.915750014553 26.7992029891541 -460.010407531149</t>
  </si>
  <si>
    <t>-635.87065881874 24.3256557789198 -582.059098086044</t>
  </si>
  <si>
    <t>-624.348757270951 24.7686742835951 -659.565651508648</t>
  </si>
  <si>
    <t>-628.49495798868 56.6886106149068 -529.34777542025</t>
  </si>
  <si>
    <t>-598.206257833797 208.139789126084 -507.390195045587</t>
  </si>
  <si>
    <t>-515.88361582559 231.426517252503 -238.579322607666</t>
  </si>
  <si>
    <t>-301.718439595605 142.449625935027 -251.421420272248</t>
  </si>
  <si>
    <t>-573.394743585003 128.725340717674 -96.6911864976627</t>
  </si>
  <si>
    <t>-610.660259879322 142.855227547874 316.968379196916</t>
  </si>
  <si>
    <t>-670.223037905266 174.628370723499 775.161667438379</t>
  </si>
  <si>
    <t>-520.289171229421 179.344699781707 833.31172746263</t>
  </si>
  <si>
    <t>-591.621658802449 -75.7402835899129 323.575665531509</t>
  </si>
  <si>
    <t>-653.147104879563 -109.459791326555 781.37280615788</t>
  </si>
  <si>
    <t>-499.57319837812 -128.397485641054 825.420970837554</t>
  </si>
  <si>
    <t>9763-20170724T115341.930590600.bin</t>
  </si>
  <si>
    <t>-573.293381735739 35.3818165995131 -92.1713558975234</t>
  </si>
  <si>
    <t>-592.069700193965 32.3441966148118 -201.23884173759</t>
  </si>
  <si>
    <t>-604.002188860852 30.1053226592007 -293.317385979832</t>
  </si>
  <si>
    <t>-614.173066073819 28.2187705127119 -376.57080914838</t>
  </si>
  <si>
    <t>-623.167731097746 26.4313308666813 -459.961586769854</t>
  </si>
  <si>
    <t>-635.025837253055 23.9132585044899 -582.01892631226</t>
  </si>
  <si>
    <t>-623.441999902695 24.1994981322746 -659.516852281077</t>
  </si>
  <si>
    <t>-627.6176421018 56.2898619897016 -529.320557301126</t>
  </si>
  <si>
    <t>-596.962186316374 207.6855223799 -507.451777630734</t>
  </si>
  <si>
    <t>-518.607642032952 232.970208674631 -237.637476066271</t>
  </si>
  <si>
    <t>-303.693923987337 145.806436865738 -250.408506100144</t>
  </si>
  <si>
    <t>-572.775779624116 128.38636865926 -96.5949430770088</t>
  </si>
  <si>
    <t>-610.25591676344 142.621820807721 317.041565434039</t>
  </si>
  <si>
    <t>-670.221803433672 174.443560139041 775.167472293236</t>
  </si>
  <si>
    <t>-520.33117890045 179.459876147972 833.40387319211</t>
  </si>
  <si>
    <t>-591.494253722094 -75.8996461883091 323.644441882495</t>
  </si>
  <si>
    <t>-653.126772664972 -109.402358682148 781.387898276862</t>
  </si>
  <si>
    <t>-499.524226384652 -128.008071292379 825.477643896337</t>
  </si>
  <si>
    <t>9763-20170724T115341.965684500.bin</t>
  </si>
  <si>
    <t>-573.165936784757 35.1903103475895 -92.1771209267299</t>
  </si>
  <si>
    <t>-591.876986140218 32.1708451971824 -201.256372036265</t>
  </si>
  <si>
    <t>-603.780271760698 29.9359570842093 -293.33872199401</t>
  </si>
  <si>
    <t>-613.935219214076 28.049350622902 -376.594044454631</t>
  </si>
  <si>
    <t>-622.924511429047 26.2580133651365 -459.985403390699</t>
  </si>
  <si>
    <t>-634.786461085419 23.7300177120392 -582.042122019923</t>
  </si>
  <si>
    <t>-623.18761537906 23.9435146331746 -659.538063521042</t>
  </si>
  <si>
    <t>-627.367594723299 56.110218660639 -529.347512600642</t>
  </si>
  <si>
    <t>-596.665861774427 207.477912244792 -507.43617074501</t>
  </si>
  <si>
    <t>-520.055098261301 233.468521833031 -237.188412407274</t>
  </si>
  <si>
    <t>-304.834615455647 147.060886142064 -249.931806273158</t>
  </si>
  <si>
    <t>-572.602062030991 128.2497807637 -96.5842999514791</t>
  </si>
  <si>
    <t>-610.203711000485 142.53859318445 317.039329381978</t>
  </si>
  <si>
    <t>-670.200168017292 174.480245191243 775.164568378278</t>
  </si>
  <si>
    <t>-520.31570949813 179.324463939713 833.431303684951</t>
  </si>
  <si>
    <t>-591.622025935963 -76.1179972133468 323.616177559266</t>
  </si>
  <si>
    <t>-653.10668396208 -109.421037695816 781.398396629389</t>
  </si>
  <si>
    <t>-499.534789005249 -128.172779510188 825.533055959635</t>
  </si>
  <si>
    <t>9763-20170724T115342.028870000.bin</t>
  </si>
  <si>
    <t>-573.219727655369 34.8106841181232 -92.2092259572505</t>
  </si>
  <si>
    <t>-591.775892746018 31.8039297877758 -201.315336746395</t>
  </si>
  <si>
    <t>-603.62530500964 29.573151164549 -293.404678921933</t>
  </si>
  <si>
    <t>-613.762465359423 27.688604060651 -376.662261536546</t>
  </si>
  <si>
    <t>-622.7649602691 25.8980279833418 -460.052200270571</t>
  </si>
  <si>
    <t>-634.680376222035 23.3702004853326 -582.103633687508</t>
  </si>
  <si>
    <t>-623.056571383586 23.4738166997486 -659.596054355948</t>
  </si>
  <si>
    <t>-627.24827880781 55.7512604886397 -529.411218101614</t>
  </si>
  <si>
    <t>-596.579071106682 207.139108654209 -507.503874635057</t>
  </si>
  <si>
    <t>-522.978368460676 234.085236867005 -236.514241008935</t>
  </si>
  <si>
    <t>-307.542572380661 148.197021545235 -249.130121629635</t>
  </si>
  <si>
    <t>-572.580159811102 127.833877158307 -96.59256732258</t>
  </si>
  <si>
    <t>-610.295638262132 142.369553123633 317.012090920955</t>
  </si>
  <si>
    <t>-670.198439897706 174.367356345301 775.151777397285</t>
  </si>
  <si>
    <t>-520.326862143329 179.317330337333 833.442823746583</t>
  </si>
  <si>
    <t>-591.918698945788 -76.6115733293307 323.563635189751</t>
  </si>
  <si>
    <t>-653.093546946971 -109.464931933028 781.426805358319</t>
  </si>
  <si>
    <t>-499.565265943375 -128.480576796982 825.600247502753</t>
  </si>
  <si>
    <t>9763-20170724T115342.060953900.bin</t>
  </si>
  <si>
    <t>-573.283404049216 34.6535686966065 -92.2141006260808</t>
  </si>
  <si>
    <t>-591.775618094678 31.6493467586147 -201.330999435022</t>
  </si>
  <si>
    <t>-603.616554286224 29.4155205010977 -293.421418654157</t>
  </si>
  <si>
    <t>-613.764397267854 27.5261536579442 -376.67753288141</t>
  </si>
  <si>
    <t>-622.796016039008 25.729384100285 -460.06422567934</t>
  </si>
  <si>
    <t>-634.774170779224 23.1913812225782 -582.109308647059</t>
  </si>
  <si>
    <t>-623.149453367232 23.2446813505958 -659.601754688039</t>
  </si>
  <si>
    <t>-627.330803594828 55.577977885971 -529.422064900981</t>
  </si>
  <si>
    <t>-596.663499578448 206.956120986385 -507.480329449577</t>
  </si>
  <si>
    <t>-524.410917028923 234.196083863221 -236.157405356622</t>
  </si>
  <si>
    <t>-308.922835317361 148.449956948708 -248.846880926044</t>
  </si>
  <si>
    <t>-572.645566402209 127.701883628216 -96.611129289387</t>
  </si>
  <si>
    <t>-610.380135829265 142.27250679159 316.990593825902</t>
  </si>
  <si>
    <t>-670.182986407189 174.404228797053 775.142082411625</t>
  </si>
  <si>
    <t>-520.310922502532 179.28036923462 833.4379973787</t>
  </si>
  <si>
    <t>-591.993134966496 -76.7176438452589 323.543778446372</t>
  </si>
  <si>
    <t>-653.105029489976 -109.429497687066 781.425532108557</t>
  </si>
  <si>
    <t>-499.56683019792 -128.408864411558 825.580140330822</t>
  </si>
  <si>
    <t>9763-20170724T115342.133150800.bin</t>
  </si>
  <si>
    <t>-573.387113064606 34.3056337060116 -92.2967954950407</t>
  </si>
  <si>
    <t>-591.810984203375 31.2956186092631 -201.425226718771</t>
  </si>
  <si>
    <t>-603.627161647999 29.0607489395329 -293.518684858736</t>
  </si>
  <si>
    <t>-613.765858446297 27.1719531670717 -376.775987885503</t>
  </si>
  <si>
    <t>-622.801564490665 25.3778015605806 -460.162357411624</t>
  </si>
  <si>
    <t>-634.80019662105 22.8464200475617 -582.205420316801</t>
  </si>
  <si>
    <t>-623.155655926727 22.8234230981334 -659.694985916238</t>
  </si>
  <si>
    <t>-627.381898697792 55.2325191710841 -529.514478275923</t>
  </si>
  <si>
    <t>-596.612518330827 206.557676134476 -507.39150001595</t>
  </si>
  <si>
    <t>-527.13442064936 234.782042450949 -235.445356066454</t>
  </si>
  <si>
    <t>-311.661836313058 148.990040439802 -248.087718815788</t>
  </si>
  <si>
    <t>-572.829845984291 127.345143121349 -96.6711837850394</t>
  </si>
  <si>
    <t>-610.573486186922 142.009093984185 316.926378689804</t>
  </si>
  <si>
    <t>-670.187089110278 174.252330800859 775.111539939062</t>
  </si>
  <si>
    <t>-520.330152806102 179.308340652278 833.431020254023</t>
  </si>
  <si>
    <t>-592.21250640566 -76.959883866959 323.468470648002</t>
  </si>
  <si>
    <t>-653.096289346714 -109.41944999968 781.418757817306</t>
  </si>
  <si>
    <t>-499.568734252492 -128.427803420973 825.597980749148</t>
  </si>
  <si>
    <t>9763-20170724T115342.167248900.bin</t>
  </si>
  <si>
    <t>-573.421734196032 34.1518615517848 -92.3435755503402</t>
  </si>
  <si>
    <t>-591.809976354911 31.1307591817099 -201.477562867573</t>
  </si>
  <si>
    <t>-603.601370655673 28.8852919739836 -293.573949724735</t>
  </si>
  <si>
    <t>-613.719888602591 26.9858789544628 -376.833531377535</t>
  </si>
  <si>
    <t>-622.737581614567 25.1806230450331 -460.221603235864</t>
  </si>
  <si>
    <t>-634.712277900161 22.6324269864231 -582.266802574849</t>
  </si>
  <si>
    <t>-623.044177414864 22.5781582307545 -659.752640382077</t>
  </si>
  <si>
    <t>-627.328786229142 55.0276331998848 -529.576332815336</t>
  </si>
  <si>
    <t>-596.657320209946 206.383954685272 -507.486859603204</t>
  </si>
  <si>
    <t>-528.525673959171 235.019613950806 -235.243217641712</t>
  </si>
  <si>
    <t>-313.080510460437 149.153321952675 -247.848597932127</t>
  </si>
  <si>
    <t>-572.892428282848 127.172164721207 -96.7055216367587</t>
  </si>
  <si>
    <t>-610.645499707587 141.910471007818 316.888539219361</t>
  </si>
  <si>
    <t>-670.176139551636 174.245345144775 775.098750846577</t>
  </si>
  <si>
    <t>-520.326909135055 179.252635012535 833.442283755585</t>
  </si>
  <si>
    <t>-592.313670103477 -77.0959649237557 323.435435448557</t>
  </si>
  <si>
    <t>-653.071453345156 -109.399565743657 781.421291455455</t>
  </si>
  <si>
    <t>-499.567780632321 -128.490924837056 825.647604827916</t>
  </si>
  <si>
    <t>9763-20170724T115342.230345900.bin</t>
  </si>
  <si>
    <t>-573.574300370033 33.9545333338795 -92.3364818222202</t>
  </si>
  <si>
    <t>-591.926129019874 30.9144667311671 -201.476165805296</t>
  </si>
  <si>
    <t>-603.710806171572 28.6592243650277 -293.57328183007</t>
  </si>
  <si>
    <t>-613.832865183396 26.7533696023806 -376.832093767497</t>
  </si>
  <si>
    <t>-622.863728950182 24.9450483527237 -460.218653126033</t>
  </si>
  <si>
    <t>-634.868409117941 22.3961215698002 -582.260954197909</t>
  </si>
  <si>
    <t>-623.191141471105 22.3279933606864 -659.745307814745</t>
  </si>
  <si>
    <t>-627.532787598858 54.7957855712707 -529.566476937939</t>
  </si>
  <si>
    <t>-597.226638594461 206.218151434945 -507.457909157763</t>
  </si>
  <si>
    <t>-531.066932456367 235.449545524563 -234.791529729546</t>
  </si>
  <si>
    <t>-315.550800121431 149.815633943713 -247.759021582815</t>
  </si>
  <si>
    <t>-573.15605679633 126.990769367382 -96.724870455608</t>
  </si>
  <si>
    <t>-610.739111231873 141.77273915045 316.88313773218</t>
  </si>
  <si>
    <t>-670.159049665487 174.233953983591 775.084610023373</t>
  </si>
  <si>
    <t>-520.319910066998 179.202321107986 833.457366024465</t>
  </si>
  <si>
    <t>-592.380588633264 -77.2121837274078 323.440244361607</t>
  </si>
  <si>
    <t>-653.050659032422 -109.394468439347 781.433055618867</t>
  </si>
  <si>
    <t>-499.562408815025 -128.478931668543 825.715916154259</t>
  </si>
  <si>
    <t>9763-20170724T115342.264436900.bin</t>
  </si>
  <si>
    <t>-573.667687245257 33.9015835477142 -92.3151261230146</t>
  </si>
  <si>
    <t>-592.049654552945 30.8485686065712 -201.449347820392</t>
  </si>
  <si>
    <t>-603.862222088864 28.5955680816608 -293.542856028829</t>
  </si>
  <si>
    <t>-614.010480649353 26.6963956443171 -376.798838539707</t>
  </si>
  <si>
    <t>-623.068459239913 24.9001170740041 -460.182667347777</t>
  </si>
  <si>
    <t>-635.113703632266 22.3749967186748 -582.221444187042</t>
  </si>
  <si>
    <t>-623.440283155444 22.313075546354 -659.706425807476</t>
  </si>
  <si>
    <t>-627.795775347816 54.7667588185402 -529.519802358506</t>
  </si>
  <si>
    <t>-597.737369000998 206.248163822597 -507.471340930236</t>
  </si>
  <si>
    <t>-532.209147634113 235.681623896306 -234.674200257977</t>
  </si>
  <si>
    <t>-316.566662266641 150.391994484479 -247.80919323346</t>
  </si>
  <si>
    <t>-573.329374093242 126.893947851212 -96.7134572547072</t>
  </si>
  <si>
    <t>-610.800195665953 141.723324230464 316.90303404786</t>
  </si>
  <si>
    <t>-670.180547954523 174.108113972357 775.099261564255</t>
  </si>
  <si>
    <t>-520.341631735659 179.259640101483 833.456578751144</t>
  </si>
  <si>
    <t>-592.427561166307 -77.2215361246065 323.457569927539</t>
  </si>
  <si>
    <t>-653.060917931413 -109.382183224551 781.431968732665</t>
  </si>
  <si>
    <t>-499.585788466066 -128.581608742659 825.710522808947</t>
  </si>
  <si>
    <t>9763-20170724T115342.331507500.bin</t>
  </si>
  <si>
    <t>-574.038528992354 34.0781584360441 -92.3284100939964</t>
  </si>
  <si>
    <t>-592.475987766541 31.0016239011209 -201.452604475618</t>
  </si>
  <si>
    <t>-604.316293916722 28.7412691489101 -293.54252027206</t>
  </si>
  <si>
    <t>-614.481942985226 26.8389020727402 -376.796228772256</t>
  </si>
  <si>
    <t>-623.549617762561 25.0438650626531 -460.179015993805</t>
  </si>
  <si>
    <t>-635.600469976875 22.5255110675696 -582.217273339016</t>
  </si>
  <si>
    <t>-623.875293511177 22.4554623575234 -659.694579262738</t>
  </si>
  <si>
    <t>-628.341524075305 54.9185057941147 -529.508224640026</t>
  </si>
  <si>
    <t>-598.614641999709 206.459356140133 -507.35823861732</t>
  </si>
  <si>
    <t>-533.658722093151 236.032792773896 -234.439319472738</t>
  </si>
  <si>
    <t>-317.857111721468 151.189756380714 -247.85053213447</t>
  </si>
  <si>
    <t>-573.822628147854 126.99304799935 -96.7268037462098</t>
  </si>
  <si>
    <t>-611.011692481788 141.849787126116 316.914240267936</t>
  </si>
  <si>
    <t>-670.159970744987 174.168637667657 775.132108112342</t>
  </si>
  <si>
    <t>-520.296203670679 179.057226628094 833.4483121676</t>
  </si>
  <si>
    <t>-592.57689393003 -77.1530317931267 323.453723682383</t>
  </si>
  <si>
    <t>-653.100301854305 -109.357781463674 781.422325623594</t>
  </si>
  <si>
    <t>-499.601149330339 -128.48821633042 825.647440880919</t>
  </si>
  <si>
    <t>9763-20170724T115342.365598200.bin</t>
  </si>
  <si>
    <t>-574.196086730676 34.1958268123078 -92.3321916916435</t>
  </si>
  <si>
    <t>-592.661744217606 31.1034667355598 -201.451287878652</t>
  </si>
  <si>
    <t>-604.491374228031 28.8228767212731 -293.54181582545</t>
  </si>
  <si>
    <t>-614.633589063643 26.8987414449684 -376.797888845737</t>
  </si>
  <si>
    <t>-623.664041704428 25.0783383566013 -460.184167625707</t>
  </si>
  <si>
    <t>-635.645249404179 22.519100208852 -582.228625515684</t>
  </si>
  <si>
    <t>-623.886747325397 22.437358642512 -659.700823593701</t>
  </si>
  <si>
    <t>-628.429179771221 54.9305422486993 -529.525004554658</t>
  </si>
  <si>
    <t>-598.792238161637 206.484160473233 -507.39014811166</t>
  </si>
  <si>
    <t>-534.277283009098 236.328607500529 -234.396092158067</t>
  </si>
  <si>
    <t>-318.502946768567 151.469875133287 -248.142699894757</t>
  </si>
  <si>
    <t>-573.98093808187 127.020697176544 -96.7256124170324</t>
  </si>
  <si>
    <t>-611.092499652906 141.939033896165 316.920138950071</t>
  </si>
  <si>
    <t>-670.141523767979 174.265245831878 775.151853715452</t>
  </si>
  <si>
    <t>-520.262079961776 179.031513127737 833.437826031991</t>
  </si>
  <si>
    <t>-592.690065118255 -77.0249573724211 323.444654911178</t>
  </si>
  <si>
    <t>-653.112859294032 -109.321894044671 781.417634889016</t>
  </si>
  <si>
    <t>-499.584294847139 -128.268626493296 825.619723934237</t>
  </si>
  <si>
    <t>9763-20170724T115342.430461000.bin</t>
  </si>
  <si>
    <t>-574.436272955276 34.1932584016731 -92.363994981153</t>
  </si>
  <si>
    <t>-592.984657649532 31.1141960015493 -201.469345524135</t>
  </si>
  <si>
    <t>-604.814248132388 28.8039441679132 -293.559272922861</t>
  </si>
  <si>
    <t>-614.92854553981 26.8367249154803 -376.817713295568</t>
  </si>
  <si>
    <t>-623.903392973857 24.9562033360016 -460.20862159369</t>
  </si>
  <si>
    <t>-635.773129517965 22.2899174291588 -582.2616921597</t>
  </si>
  <si>
    <t>-623.982203838909 22.170382585879 -659.728968972735</t>
  </si>
  <si>
    <t>-628.600196401768 54.7471846438166 -529.580408291037</t>
  </si>
  <si>
    <t>-599.048380958414 206.327189769771 -507.493315766492</t>
  </si>
  <si>
    <t>-535.380953095491 236.937448120102 -234.385341535751</t>
  </si>
  <si>
    <t>-319.724080866636 151.92195028734 -248.979896816432</t>
  </si>
  <si>
    <t>-574.218220613412 126.969320298177 -96.7447795269187</t>
  </si>
  <si>
    <t>-611.207738870175 141.847111086255 316.913336348348</t>
  </si>
  <si>
    <t>-670.168434749624 174.114951516035 775.168062641295</t>
  </si>
  <si>
    <t>-520.277857380039 178.952503618237 833.419487606408</t>
  </si>
  <si>
    <t>-592.85945783999 -76.8390752161142 323.408770865742</t>
  </si>
  <si>
    <t>-653.011143614844 -109.28338169963 781.407000916657</t>
  </si>
  <si>
    <t>-499.520678007419 -128.101078357309 825.796193798507</t>
  </si>
  <si>
    <t>9763-20170724T115342.461537900.bin</t>
  </si>
  <si>
    <t>-574.376960541926 34.1788139110799 -92.3493426066659</t>
  </si>
  <si>
    <t>-592.99163001119 31.1000920097042 -201.443343901942</t>
  </si>
  <si>
    <t>-604.83838096225 28.7790705460184 -293.530820405904</t>
  </si>
  <si>
    <t>-614.952822038208 26.7971344990278 -376.788896489066</t>
  </si>
  <si>
    <t>-623.912294816496 24.896878417369 -460.181082064626</t>
  </si>
  <si>
    <t>-635.742586109399 22.1958018275382 -582.237125251329</t>
  </si>
  <si>
    <t>-623.956309870148 22.0623368617905 -659.704999166838</t>
  </si>
  <si>
    <t>-628.560460053114 54.6664560119414 -529.565286455666</t>
  </si>
  <si>
    <t>-598.813232291183 206.1973730344 -507.396464244204</t>
  </si>
  <si>
    <t>-535.933344368548 237.255333268741 -234.156439611789</t>
  </si>
  <si>
    <t>-320.39494881398 152.054954303944 -249.408717708593</t>
  </si>
  <si>
    <t>-574.224324568609 126.900871716946 -96.7325098602746</t>
  </si>
  <si>
    <t>-611.169744549293 141.784882833618 316.929350321599</t>
  </si>
  <si>
    <t>-670.170595817693 174.043361004374 775.19303152993</t>
  </si>
  <si>
    <t>-520.28826166213 179.2022474425 833.438110410697</t>
  </si>
  <si>
    <t>-592.603737552971 -76.7628445535106 323.434873116734</t>
  </si>
  <si>
    <t>-652.529472624418 -109.362945216129 781.426139912489</t>
  </si>
  <si>
    <t>-499.311279613406 -128.238314063284 826.722189926435</t>
  </si>
  <si>
    <t>9763-20170724T115342.527729400.bin</t>
  </si>
  <si>
    <t>-573.461112319177 34.3712476884702 -92.0628120896649</t>
  </si>
  <si>
    <t>-592.199892078138 31.306689910765 -201.136022532055</t>
  </si>
  <si>
    <t>-604.075233274784 28.9856999806186 -293.219812806307</t>
  </si>
  <si>
    <t>-614.184864811139 26.9994011175882 -376.478316984215</t>
  </si>
  <si>
    <t>-623.108899175161 25.0889475254137 -459.874057726391</t>
  </si>
  <si>
    <t>-634.853884164123 22.3656178502793 -581.937792269662</t>
  </si>
  <si>
    <t>-623.109366434312 22.2311331317212 -659.412123920304</t>
  </si>
  <si>
    <t>-627.651894047463 54.8420299516329 -529.272408470247</t>
  </si>
  <si>
    <t>-597.48392827552 206.260410428222 -506.912475535901</t>
  </si>
  <si>
    <t>-536.726870488171 238.249772099285 -233.299919436279</t>
  </si>
  <si>
    <t>-321.545925442658 152.36394419257 -249.71069705235</t>
  </si>
  <si>
    <t>-573.773469187538 127.083793717303 -96.4828923042842</t>
  </si>
  <si>
    <t>-610.622129830458 141.911102962928 317.189677924835</t>
  </si>
  <si>
    <t>-670.097629308257 174.129791047532 775.419599794626</t>
  </si>
  <si>
    <t>-520.210255517053 178.8733357639 833.687007100513</t>
  </si>
  <si>
    <t>-590.955002502711 -76.530559759869 323.842477831507</t>
  </si>
  <si>
    <t>-650.299359690484 -109.699257273724 782.038989404448</t>
  </si>
  <si>
    <t>-498.114981188725 -127.57380488633 831.07195455984</t>
  </si>
  <si>
    <t>9763-20170724T115342.559809500.bin</t>
  </si>
  <si>
    <t>-572.960432280364 34.4361730423639 -91.7844420303899</t>
  </si>
  <si>
    <t>-591.763375050542 31.3797146438924 -200.846872229038</t>
  </si>
  <si>
    <t>-603.631040149277 29.0590990087471 -292.931672949489</t>
  </si>
  <si>
    <t>-613.708947066658 27.069928027611 -376.194025716106</t>
  </si>
  <si>
    <t>-622.576393925413 25.1530172780986 -459.595618110716</t>
  </si>
  <si>
    <t>-634.211252163312 22.4161911716139 -581.669713422775</t>
  </si>
  <si>
    <t>-622.465385259554 22.294565009548 -659.143673035665</t>
  </si>
  <si>
    <t>-627.039734773791 54.8971872831476 -529.002888011934</t>
  </si>
  <si>
    <t>-596.756474846925 206.277722504901 -506.569818811719</t>
  </si>
  <si>
    <t>-537.143184273376 238.618856745101 -232.747010979257</t>
  </si>
  <si>
    <t>-322.102778121071 152.458691118661 -249.557320229266</t>
  </si>
  <si>
    <t>-573.517167433446 127.126836844671 -96.2450544193714</t>
  </si>
  <si>
    <t>-610.338466515967 141.935734225979 317.430491366275</t>
  </si>
  <si>
    <t>-670.054536453017 174.129564598092 775.617888655447</t>
  </si>
  <si>
    <t>-520.176269161337 179.069098428169 833.892486484706</t>
  </si>
  <si>
    <t>-590.145706317963 -76.479323186049 324.177903341612</t>
  </si>
  <si>
    <t>-649.497256898299 -109.79470856104 782.357636809444</t>
  </si>
  <si>
    <t>-497.760986610648 -127.599930777759 832.784798506673</t>
  </si>
  <si>
    <t>9763-20170724T115342.629007400.bin</t>
  </si>
  <si>
    <t>-572.553215309167 34.515789111877 -91.3087134582855</t>
  </si>
  <si>
    <t>-591.481064261247 31.4438491543758 -200.349051461895</t>
  </si>
  <si>
    <t>-603.355747482814 29.1194835671783 -292.432782320193</t>
  </si>
  <si>
    <t>-613.400331444827 27.1296350483537 -375.69921528106</t>
  </si>
  <si>
    <t>-622.194623696995 25.2137940110238 -459.108521601586</t>
  </si>
  <si>
    <t>-633.678717429553 22.4797436676993 -581.196871986109</t>
  </si>
  <si>
    <t>-621.956030629077 22.4134728654517 -658.674549685297</t>
  </si>
  <si>
    <t>-626.544441938148 54.9577042002015 -528.523172993744</t>
  </si>
  <si>
    <t>-596.119137721631 206.287019679201 -505.918120279529</t>
  </si>
  <si>
    <t>-538.746630283552 239.077885406316 -231.670490798727</t>
  </si>
  <si>
    <t>-323.691506180115 152.969645097443 -248.558334260465</t>
  </si>
  <si>
    <t>-573.365434646533 127.229621024493 -95.8060490291724</t>
  </si>
  <si>
    <t>-610.096746124407 141.955682922337 317.880531588749</t>
  </si>
  <si>
    <t>-669.971783217551 174.09636573343 776.032437625501</t>
  </si>
  <si>
    <t>-520.098690162846 179.046515506385 834.319417665974</t>
  </si>
  <si>
    <t>-589.447231237198 -76.4164758514203 324.646857433917</t>
  </si>
  <si>
    <t>-648.899441347999 -109.908431500756 782.643976419767</t>
  </si>
  <si>
    <t>-497.565962801949 -127.78242711799 834.243584418581</t>
  </si>
  <si>
    <t>9763-20170724T115342.662094200.bin</t>
  </si>
  <si>
    <t>-572.63529401607 34.6022644538052 -91.1513813235292</t>
  </si>
  <si>
    <t>-591.623203361879 31.5218012345197 -200.181043187169</t>
  </si>
  <si>
    <t>-603.520730193725 29.1958721483775 -292.261860584965</t>
  </si>
  <si>
    <t>-613.574632270366 27.2066485724472 -375.527127935941</t>
  </si>
  <si>
    <t>-622.366979240033 25.2931538863288 -458.936681690224</t>
  </si>
  <si>
    <t>-633.835763546588 22.5643392310524 -581.026550106828</t>
  </si>
  <si>
    <t>-622.124968521781 22.5236724185907 -658.50602568283</t>
  </si>
  <si>
    <t>-626.708469151497 55.0401123041988 -528.350476697251</t>
  </si>
  <si>
    <t>-596.275607853143 206.350932080021 -505.630752779377</t>
  </si>
  <si>
    <t>-540.065068357896 239.2617398927 -231.157045963415</t>
  </si>
  <si>
    <t>-324.961969413774 153.218861724673 -247.76457894907</t>
  </si>
  <si>
    <t>-573.412570381512 127.305890653102 -95.6493832915667</t>
  </si>
  <si>
    <t>-610.115763897818 142.013068669755 318.040341247062</t>
  </si>
  <si>
    <t>-669.934078917637 174.095007624224 776.200022932573</t>
  </si>
  <si>
    <t>-520.057222337623 179.020350593983 834.479365371415</t>
  </si>
  <si>
    <t>-589.459008974262 -76.4065471578931 324.755706736798</t>
  </si>
  <si>
    <t>-648.958594796573 -109.89627666667 782.660087675048</t>
  </si>
  <si>
    <t>-497.605179842975 -127.668465246201 834.236445456728</t>
  </si>
  <si>
    <t>9763-20170724T115342.727783200.bin</t>
  </si>
  <si>
    <t>-573.158098043028 34.7146187305464 -91.0927872126337</t>
  </si>
  <si>
    <t>-592.298854230085 31.62644631074 -200.095599418116</t>
  </si>
  <si>
    <t>-604.237151313946 29.3244270266059 -292.171666096201</t>
  </si>
  <si>
    <t>-614.292342718864 27.3695654732837 -375.437482885284</t>
  </si>
  <si>
    <t>-623.050164893096 25.5034039490217 -458.851842151503</t>
  </si>
  <si>
    <t>-634.428983205209 22.8583479145409 -580.95203054418</t>
  </si>
  <si>
    <t>-622.748198117618 22.9011287446081 -658.436037893211</t>
  </si>
  <si>
    <t>-627.378056254369 55.3005516518663 -528.24497840461</t>
  </si>
  <si>
    <t>-597.077708314508 206.615061557844 -505.378739719201</t>
  </si>
  <si>
    <t>-543.291610799341 240.093948851192 -230.488167924279</t>
  </si>
  <si>
    <t>-327.943235693068 154.496890252783 -246.196352590436</t>
  </si>
  <si>
    <t>-573.563062670787 127.497520609007 -95.5535015239635</t>
  </si>
  <si>
    <t>-610.268836343902 142.130412491699 318.138676475305</t>
  </si>
  <si>
    <t>-669.864803507686 174.153195007443 776.363012531963</t>
  </si>
  <si>
    <t>-519.969134160952 178.854580719898 834.612650628347</t>
  </si>
  <si>
    <t>-590.207614553215 -76.3490345019379 324.7122226825</t>
  </si>
  <si>
    <t>-649.699502128683 -109.784718603835 782.551481054719</t>
  </si>
  <si>
    <t>-498.004506765697 -127.978764075654 832.964056443633</t>
  </si>
  <si>
    <t>9763-20170724T115342.763938800.bin</t>
  </si>
  <si>
    <t>-573.612429553735 34.7926313264202 -91.2140096558278</t>
  </si>
  <si>
    <t>-592.819891100887 31.7106643385298 -200.205173459215</t>
  </si>
  <si>
    <t>-604.785009158598 29.4124746313778 -292.277830630102</t>
  </si>
  <si>
    <t>-614.852706282496 27.4612215980662 -375.542321081039</t>
  </si>
  <si>
    <t>-623.611262265672 25.599353066136 -458.956637326406</t>
  </si>
  <si>
    <t>-634.978229686274 22.961705846692 -581.058153771062</t>
  </si>
  <si>
    <t>-623.318954400131 23.0271485386572 -658.545383812811</t>
  </si>
  <si>
    <t>-627.962336013195 55.4027183105886 -528.345694240951</t>
  </si>
  <si>
    <t>-597.943675158234 206.786166891942 -505.539228380328</t>
  </si>
  <si>
    <t>-545.033514828003 240.44332476533 -230.500464351258</t>
  </si>
  <si>
    <t>-329.464868955148 155.272716608721 -245.489148763013</t>
  </si>
  <si>
    <t>-573.740218571824 127.590527398964 -95.6345587547336</t>
  </si>
  <si>
    <t>-610.367092630886 142.172935095948 318.066296853608</t>
  </si>
  <si>
    <t>-669.83396784256 174.178142265604 776.334957818473</t>
  </si>
  <si>
    <t>-519.935136085742 178.870435160128 834.576979429849</t>
  </si>
  <si>
    <t>-590.856294053359 -76.2427243362497 324.568693314053</t>
  </si>
  <si>
    <t>-650.332860372154 -109.65122302869 782.389540397042</t>
  </si>
  <si>
    <t>-498.318251203796 -128.024268741476 831.76378013507</t>
  </si>
  <si>
    <t>9763-20170724T115342.832120500.bin</t>
  </si>
  <si>
    <t>-574.745460389059 34.9710402722901 -91.563094942393</t>
  </si>
  <si>
    <t>-594.118150588877 31.9247987975687 -200.525959693898</t>
  </si>
  <si>
    <t>-606.150433488632 29.6389455126987 -292.59033987896</t>
  </si>
  <si>
    <t>-616.250015422374 27.6923933134501 -375.851020786711</t>
  </si>
  <si>
    <t>-625.01167893024 25.8296718267734 -459.264963262642</t>
  </si>
  <si>
    <t>-636.351807302206 23.1846609952056 -581.368826123211</t>
  </si>
  <si>
    <t>-624.719918611257 23.2804597892114 -658.859994428267</t>
  </si>
  <si>
    <t>-629.410534340327 55.6329815113079 -528.650883037263</t>
  </si>
  <si>
    <t>-600.041037351659 207.16789958377 -505.98976514581</t>
  </si>
  <si>
    <t>-548.077522035235 240.89943151734 -230.779719021167</t>
  </si>
  <si>
    <t>-331.811442175815 157.270998095857 -244.337001085017</t>
  </si>
  <si>
    <t>-574.368511742475 127.740048049479 -95.9227462006419</t>
  </si>
  <si>
    <t>-610.802451023127 142.207430831195 317.799222937938</t>
  </si>
  <si>
    <t>-669.80491815191 174.182594583782 776.148905239034</t>
  </si>
  <si>
    <t>-519.896941661192 178.767888213887 834.376058673169</t>
  </si>
  <si>
    <t>-591.990172700322 -76.0318349663253 324.183290016098</t>
  </si>
  <si>
    <t>-651.536437285708 -109.401228571621 782.03199374548</t>
  </si>
  <si>
    <t>-498.943427580447 -128.29555879947 829.38395822049</t>
  </si>
  <si>
    <t>9763-20170724T115342.859196200.bin</t>
  </si>
  <si>
    <t>-575.247857935665 35.1025426158442 -91.7331826489519</t>
  </si>
  <si>
    <t>-594.732907023905 32.0585637286545 -200.676109714859</t>
  </si>
  <si>
    <t>-606.829646153571 29.7726666500528 -292.732005331338</t>
  </si>
  <si>
    <t>-616.975235555834 27.8247278346309 -375.987134976703</t>
  </si>
  <si>
    <t>-625.770796247544 25.959274314147 -459.397382682896</t>
  </si>
  <si>
    <t>-637.147087200042 23.3090084290768 -581.497776566155</t>
  </si>
  <si>
    <t>-625.525483964947 23.4131321542829 -658.990621419213</t>
  </si>
  <si>
    <t>-630.216022831644 55.7611905967492 -528.781037211995</t>
  </si>
  <si>
    <t>-601.02522380997 207.328474187407 -506.130471016314</t>
  </si>
  <si>
    <t>-549.164465560292 240.966342880093 -230.889622822475</t>
  </si>
  <si>
    <t>-332.578602178732 158.086886856485 -243.931679498378</t>
  </si>
  <si>
    <t>-574.780897576943 127.796212261977 -96.0673822957151</t>
  </si>
  <si>
    <t>-611.055235212235 142.224934773324 317.669991458457</t>
  </si>
  <si>
    <t>-669.814011562318 174.138349193687 776.040645522728</t>
  </si>
  <si>
    <t>-519.896627712654 178.696029884475 834.245640090966</t>
  </si>
  <si>
    <t>-592.340261330018 -75.8931157809425 324.015279311439</t>
  </si>
  <si>
    <t>-651.960769971046 -109.267137231398 781.895662495297</t>
  </si>
  <si>
    <t>-499.113039080042 -127.953427472029 828.502653064836</t>
  </si>
  <si>
    <t>9763-20170724T115342.928379000.bin</t>
  </si>
  <si>
    <t>-576.043633220808 35.4108878474403 -91.9767538886241</t>
  </si>
  <si>
    <t>-595.72724786924 32.3607770120684 -200.88381922457</t>
  </si>
  <si>
    <t>-607.963606803389 30.0811851267836 -292.921305813021</t>
  </si>
  <si>
    <t>-618.224124024068 28.141276170946 -376.162596767206</t>
  </si>
  <si>
    <t>-627.123302835088 26.2866459893407 -459.562157151612</t>
  </si>
  <si>
    <t>-638.638615775383 23.6549181483856 -581.649837497898</t>
  </si>
  <si>
    <t>-627.03506334442 23.7385479125157 -659.145461105436</t>
  </si>
  <si>
    <t>-631.673369547452 56.100939086763 -528.93377558993</t>
  </si>
  <si>
    <t>-602.599666445285 207.672698199465 -506.188446428972</t>
  </si>
  <si>
    <t>-550.966120385015 241.322120089144 -230.906218917428</t>
  </si>
  <si>
    <t>-333.811603484367 159.844018307239 -243.306167660058</t>
  </si>
  <si>
    <t>-575.561187705873 127.935396471396 -96.2981403540132</t>
  </si>
  <si>
    <t>-611.526772558837 142.379251606899 317.465646098599</t>
  </si>
  <si>
    <t>-669.84874289439 174.132368963157 775.888690666646</t>
  </si>
  <si>
    <t>-519.891930776231 178.774236875071 833.985338792937</t>
  </si>
  <si>
    <t>-592.775968401705 -75.6236135632091 323.798256252052</t>
  </si>
  <si>
    <t>-652.439419044523 -109.095890866313 781.726035070473</t>
  </si>
  <si>
    <t>-499.30390831619 -127.545032899541 827.475004951033</t>
  </si>
  <si>
    <t>9763-20170724T115342.966488100.bin</t>
  </si>
  <si>
    <t>-576.24977094289 35.561569860419 -92.0733568658512</t>
  </si>
  <si>
    <t>-596.037358456077 32.5208794766104 -200.961807552002</t>
  </si>
  <si>
    <t>-608.344531964664 30.2469642050883 -292.990116137528</t>
  </si>
  <si>
    <t>-618.662223193612 28.3105475180105 -376.224240754352</t>
  </si>
  <si>
    <t>-627.611881500295 26.4577460727282 -459.618660831145</t>
  </si>
  <si>
    <t>-639.193486586093 23.8266960645042 -581.700009334763</t>
  </si>
  <si>
    <t>-627.607037482286 23.8889237026954 -659.19817827135</t>
  </si>
  <si>
    <t>-632.202033299093 56.2725087504161 -528.987301705648</t>
  </si>
  <si>
    <t>-603.228096265475 207.86968641633 -506.265986848972</t>
  </si>
  <si>
    <t>-551.593915568331 241.642551215675 -230.999013142757</t>
  </si>
  <si>
    <t>-334.203098334784 160.760642381131 -243.159572422046</t>
  </si>
  <si>
    <t>-575.77968432034 128.003101678164 -96.3662612472393</t>
  </si>
  <si>
    <t>-611.633852523755 142.440277564378 317.407418286009</t>
  </si>
  <si>
    <t>-669.868979863755 174.131872675679 775.838132006829</t>
  </si>
  <si>
    <t>-519.890968667793 178.711761223336 833.884927438209</t>
  </si>
  <si>
    <t>-592.942928186176 -75.5160790160726 323.708790676103</t>
  </si>
  <si>
    <t>-652.43282774287 -109.114706064244 781.676597433431</t>
  </si>
  <si>
    <t>-499.326986543909 -127.752835903348 827.44821992187</t>
  </si>
  <si>
    <t>9763-20170724T115343.030720900.bin</t>
  </si>
  <si>
    <t>-575.973372983451 35.7312501448989 -92.0591776799208</t>
  </si>
  <si>
    <t>-595.985378014315 32.7563490168866 -200.908525991036</t>
  </si>
  <si>
    <t>-608.440183285088 30.5079438156442 -292.917514793848</t>
  </si>
  <si>
    <t>-618.874696011699 28.5831839095038 -376.137456547319</t>
  </si>
  <si>
    <t>-627.924923480356 26.7303873802839 -459.520787376572</t>
  </si>
  <si>
    <t>-639.635757164974 24.0870906772977 -581.589623930922</t>
  </si>
  <si>
    <t>-628.112241655797 24.107324185368 -659.097275482987</t>
  </si>
  <si>
    <t>-632.603585036366 56.5391551960067 -528.886311334219</t>
  </si>
  <si>
    <t>-603.830645650029 208.168754952224 -506.161696964278</t>
  </si>
  <si>
    <t>-552.421979400876 242.107987125788 -230.872943988628</t>
  </si>
  <si>
    <t>-334.77557357907 161.833549785585 -242.474093213697</t>
  </si>
  <si>
    <t>-575.607769664968 128.102375487308 -96.3373044292217</t>
  </si>
  <si>
    <t>-611.314042485611 142.525918520325 317.449622892449</t>
  </si>
  <si>
    <t>-669.86183092527 174.204541013227 775.82424136577</t>
  </si>
  <si>
    <t>-519.861017836523 178.509735200967 833.833319627565</t>
  </si>
  <si>
    <t>-592.206952953354 -75.4964465087373 323.750588420107</t>
  </si>
  <si>
    <t>-651.054328714928 -109.329252935755 781.875157884823</t>
  </si>
  <si>
    <t>-498.603487351321 -127.386612143033 830.005197665702</t>
  </si>
  <si>
    <t>9763-20170724T115343.065813300.bin</t>
  </si>
  <si>
    <t>-575.50013638113 35.7078822245226 -91.8905886362955</t>
  </si>
  <si>
    <t>-595.649053405432 32.7775268354767 -200.71577501874</t>
  </si>
  <si>
    <t>-608.181406842169 30.5691389708395 -292.715333594917</t>
  </si>
  <si>
    <t>-618.670663655641 28.6818831096869 -375.929146402125</t>
  </si>
  <si>
    <t>-627.760267592194 26.867945395029 -459.309117601572</t>
  </si>
  <si>
    <t>-639.511802620339 24.2825948322081 -581.375258557707</t>
  </si>
  <si>
    <t>-628.063985036045 24.3243963544537 -658.893987124676</t>
  </si>
  <si>
    <t>-632.457006837135 56.7093264533673 -528.659166852807</t>
  </si>
  <si>
    <t>-603.692499574508 208.340183631532 -505.925980221207</t>
  </si>
  <si>
    <t>-552.679913243337 242.327701786259 -230.569462296472</t>
  </si>
  <si>
    <t>-334.872135650225 162.456002526817 -241.919360505811</t>
  </si>
  <si>
    <t>-575.337819302539 128.11171531027 -96.1913063729298</t>
  </si>
  <si>
    <t>-610.972688050895 142.462408918804 317.604312277883</t>
  </si>
  <si>
    <t>-669.855920791259 174.151192897349 775.926060289096</t>
  </si>
  <si>
    <t>-519.855159329903 178.52498994393 833.930017808228</t>
  </si>
  <si>
    <t>-591.280899324987 -75.4962210019419 323.975782189783</t>
  </si>
  <si>
    <t>-649.973068385486 -109.514249413016 782.2474190447</t>
  </si>
  <si>
    <t>-498.076663820038 -127.396078457967 832.16277268202</t>
  </si>
  <si>
    <t>9763-20170724T115343.131656800.bin</t>
  </si>
  <si>
    <t>-574.703955879597 35.5437864645219 -91.4097339393451</t>
  </si>
  <si>
    <t>-595.097243850806 32.6694873434612 -200.190912233136</t>
  </si>
  <si>
    <t>-607.734011275542 30.5257160155311 -292.177647816042</t>
  </si>
  <si>
    <t>-618.27643742915 28.7033583987766 -375.386177636518</t>
  </si>
  <si>
    <t>-627.377968433298 26.9594021016817 -458.766463026132</t>
  </si>
  <si>
    <t>-639.101473225548 24.4812417262831 -580.837421988608</t>
  </si>
  <si>
    <t>-627.773993668868 24.5699043202173 -658.373860425855</t>
  </si>
  <si>
    <t>-632.015630035186 56.8588347114674 -528.095435350036</t>
  </si>
  <si>
    <t>-603.080172680861 208.454016585003 -505.318478761766</t>
  </si>
  <si>
    <t>-553.253344829549 242.723089890922 -229.779928221138</t>
  </si>
  <si>
    <t>-335.112839088145 163.712056155559 -240.757432977967</t>
  </si>
  <si>
    <t>-574.91461161949 127.990768329992 -95.748322351309</t>
  </si>
  <si>
    <t>-610.358565461458 142.327996364053 318.064168404215</t>
  </si>
  <si>
    <t>-669.786817135819 174.136663380847 776.259853430636</t>
  </si>
  <si>
    <t>-519.797267748373 178.515399177246 834.292435826831</t>
  </si>
  <si>
    <t>-589.983409514112 -75.4986349226276 324.523265502722</t>
  </si>
  <si>
    <t>-648.904970768463 -109.75899418747 782.67950496307</t>
  </si>
  <si>
    <t>-497.619698435796 -127.399052993483 834.500495458546</t>
  </si>
  <si>
    <t>9763-20170724T115343.163740700.bin</t>
  </si>
  <si>
    <t>-574.52010600806 35.4330652879455 -91.2098402599236</t>
  </si>
  <si>
    <t>-594.97640533202 32.5713892629926 -199.979533717565</t>
  </si>
  <si>
    <t>-607.636739169536 30.4420583172935 -291.963354730015</t>
  </si>
  <si>
    <t>-618.188533489579 28.6339546617489 -375.171049906059</t>
  </si>
  <si>
    <t>-627.287361943786 26.9050985801587 -458.551920540184</t>
  </si>
  <si>
    <t>-638.993661565587 24.4496716979143 -580.625135299077</t>
  </si>
  <si>
    <t>-627.72340326978 24.5484358906692 -658.169839741029</t>
  </si>
  <si>
    <t>-631.892269995648 56.8159737216622 -527.878162532308</t>
  </si>
  <si>
    <t>-602.896633384099 208.396725862252 -505.082430060086</t>
  </si>
  <si>
    <t>-553.426209294179 242.861224230694 -229.504063000928</t>
  </si>
  <si>
    <t>-335.103301753582 164.301988731655 -240.091007830172</t>
  </si>
  <si>
    <t>-574.756431257149 127.891526144564 -95.5386483562038</t>
  </si>
  <si>
    <t>-610.197882827196 142.238834854364 318.273692143952</t>
  </si>
  <si>
    <t>-669.746696565999 174.143042747972 776.425088338689</t>
  </si>
  <si>
    <t>-519.765515908563 178.578462536636 834.475044005433</t>
  </si>
  <si>
    <t>-589.73200221413 -75.5931422262963 324.696943959299</t>
  </si>
  <si>
    <t>-648.756683924566 -109.803077260708 782.750655575951</t>
  </si>
  <si>
    <t>-497.586029250556 -127.533535258992 834.874399249097</t>
  </si>
  <si>
    <t>9763-20170724T115343.230965100.bin</t>
  </si>
  <si>
    <t>-574.50209417353 35.2428937884438 -90.9664742420151</t>
  </si>
  <si>
    <t>-595.050596062657 32.3741400085366 -199.718600115538</t>
  </si>
  <si>
    <t>-607.789759451728 30.2722446356272 -291.69215025333</t>
  </si>
  <si>
    <t>-618.412877948113 28.5030412040717 -374.891705043606</t>
  </si>
  <si>
    <t>-627.583070844828 26.8266775578895 -458.26574315009</t>
  </si>
  <si>
    <t>-639.393583158225 24.4627773932341 -580.330586502293</t>
  </si>
  <si>
    <t>-628.227333762201 24.5784611761219 -657.890396833934</t>
  </si>
  <si>
    <t>-632.210176130892 56.7871751561029 -527.569084308097</t>
  </si>
  <si>
    <t>-603.081621980857 208.32570472792 -504.683863514873</t>
  </si>
  <si>
    <t>-553.893533068743 242.969229403637 -229.077275696472</t>
  </si>
  <si>
    <t>-335.297155591915 165.116635131247 -239.232481024071</t>
  </si>
  <si>
    <t>-574.579733865028 127.736200737219 -95.3088254726016</t>
  </si>
  <si>
    <t>-610.088199178512 142.11158075687 318.496801961822</t>
  </si>
  <si>
    <t>-669.683575412882 174.075832948874 776.635843419314</t>
  </si>
  <si>
    <t>-519.723094058238 178.69114941321 834.725151827916</t>
  </si>
  <si>
    <t>-589.895365603561 -75.7726066996261 324.837034157556</t>
  </si>
  <si>
    <t>-649.040168565368 -109.845907609331 782.753733766518</t>
  </si>
  <si>
    <t>-497.739877852594 -127.687113748733 834.461877110582</t>
  </si>
  <si>
    <t>9763-20170724T115343.263052200.bin</t>
  </si>
  <si>
    <t>-574.65562766825 35.1145426489563 -90.9871773639223</t>
  </si>
  <si>
    <t>-595.262727386767 32.2355836283052 -199.727965145907</t>
  </si>
  <si>
    <t>-608.066654245162 30.1565317631448 -291.692967803118</t>
  </si>
  <si>
    <t>-618.754298233361 28.4212769283847 -374.884865433845</t>
  </si>
  <si>
    <t>-627.994905954147 26.7919037232107 -458.252092060052</t>
  </si>
  <si>
    <t>-639.914703729793 24.511111745074 -580.308059054322</t>
  </si>
  <si>
    <t>-628.809977762271 24.6364953649997 -657.876586160177</t>
  </si>
  <si>
    <t>-632.660654650498 56.7979389327124 -527.533201986465</t>
  </si>
  <si>
    <t>-603.475628802539 208.309520897078 -504.570123212772</t>
  </si>
  <si>
    <t>-554.263465817869 242.87913334141 -228.958540263303</t>
  </si>
  <si>
    <t>-335.465114849593 165.609026238668 -239.212363515085</t>
  </si>
  <si>
    <t>-574.516684882604 127.6557349814 -95.3117521992093</t>
  </si>
  <si>
    <t>-610.100031222581 142.072673700803 318.486008184484</t>
  </si>
  <si>
    <t>-669.649470960676 174.126787191053 776.65473606839</t>
  </si>
  <si>
    <t>-519.688502964006 178.52957234716 834.7593205941</t>
  </si>
  <si>
    <t>-590.369479208743 -75.883148842018 324.768939910457</t>
  </si>
  <si>
    <t>-649.575430362382 -109.768417063793 782.655939497727</t>
  </si>
  <si>
    <t>-498.035112183518 -128.062443901138 833.495732011705</t>
  </si>
  <si>
    <t>9763-20170724T115343.330255700.bin</t>
  </si>
  <si>
    <t>-575.334979280563 35.1017793091128 -91.2815316542813</t>
  </si>
  <si>
    <t>-596.069487084569 32.2445534623191 -199.998604689038</t>
  </si>
  <si>
    <t>-609.017158893547 30.2093366383976 -291.944626368999</t>
  </si>
  <si>
    <t>-619.849131532579 28.5260673170412 -375.118821227973</t>
  </si>
  <si>
    <t>-629.248617655759 26.9609515025968 -458.469602435554</t>
  </si>
  <si>
    <t>-641.416573408083 24.7879112026747 -580.502911993738</t>
  </si>
  <si>
    <t>-630.424690323269 24.9096089301443 -658.087566000143</t>
  </si>
  <si>
    <t>-634.026762076265 57.0262677931055 -527.717320325595</t>
  </si>
  <si>
    <t>-604.97327359922 208.578585542086 -504.794136253171</t>
  </si>
  <si>
    <t>-555.279600792727 242.574167332991 -229.197583211642</t>
  </si>
  <si>
    <t>-336.037198974664 166.632468708535 -239.882145651742</t>
  </si>
  <si>
    <t>-574.603447617797 127.66211639301 -95.5351557849451</t>
  </si>
  <si>
    <t>-610.203455576065 142.097395704039 318.260478711245</t>
  </si>
  <si>
    <t>-669.602776961373 174.223877830079 776.484636618504</t>
  </si>
  <si>
    <t>-519.644817488755 178.346847875668 834.61746824025</t>
  </si>
  <si>
    <t>-591.66350879474 -75.7861538073669 324.403886848583</t>
  </si>
  <si>
    <t>-651.041799223201 -109.445759545639 782.25338586517</t>
  </si>
  <si>
    <t>-498.67076302666 -127.598254766758 830.599852848753</t>
  </si>
  <si>
    <t>9763-20170724T115343.364330500.bin</t>
  </si>
  <si>
    <t>-575.755454868995 35.086152402826 -91.4756929428473</t>
  </si>
  <si>
    <t>-596.559265294554 32.2494344024092 -200.180031981488</t>
  </si>
  <si>
    <t>-609.565595860412 30.2237858635403 -292.117884141821</t>
  </si>
  <si>
    <t>-620.450553650123 28.5473408597604 -375.285384737476</t>
  </si>
  <si>
    <t>-629.903263797228 26.9861639835062 -458.630248164552</t>
  </si>
  <si>
    <t>-642.149245814047 24.8160365134947 -580.655892972816</t>
  </si>
  <si>
    <t>-631.21455674927 24.9167653502243 -658.248544161256</t>
  </si>
  <si>
    <t>-634.69589483725 57.0510734915454 -527.87708338228</t>
  </si>
  <si>
    <t>-605.646384249593 208.619549421327 -504.995452001091</t>
  </si>
  <si>
    <t>-555.852949389921 242.528263972057 -229.406251148766</t>
  </si>
  <si>
    <t>-336.330910793221 167.434873764247 -240.342075224165</t>
  </si>
  <si>
    <t>-574.737721249416 127.617161605384 -95.7079953404251</t>
  </si>
  <si>
    <t>-610.313076917141 142.031768898585 318.090520193908</t>
  </si>
  <si>
    <t>-669.619904962426 174.128919189537 776.332894824884</t>
  </si>
  <si>
    <t>-519.668439698118 178.432723561519 834.469415672249</t>
  </si>
  <si>
    <t>-592.212626110951 -75.6724581174446 324.193164031167</t>
  </si>
  <si>
    <t>-651.70318922413 -109.284474867599 782.041102222889</t>
  </si>
  <si>
    <t>-499.010615637412 -127.713399997717 829.255208788168</t>
  </si>
  <si>
    <t>9763-20170724T115343.430510400.bin</t>
  </si>
  <si>
    <t>-576.223156443021 34.9902693565321 -91.844629301142</t>
  </si>
  <si>
    <t>-597.200658668213 32.2043825486692 -200.516954711596</t>
  </si>
  <si>
    <t>-610.287235167065 30.1798821025072 -292.443478226557</t>
  </si>
  <si>
    <t>-621.218398984055 28.4877485978939 -375.604582756511</t>
  </si>
  <si>
    <t>-630.69089569946 26.8935455784153 -458.946482376971</t>
  </si>
  <si>
    <t>-642.93705522719 24.6550009802227 -580.970939494221</t>
  </si>
  <si>
    <t>-632.108223407109 24.6594819527888 -658.57855730497</t>
  </si>
  <si>
    <t>-635.424761680396 56.9154944802299 -528.216070474615</t>
  </si>
  <si>
    <t>-606.293986567651 208.494387347907 -505.546829302958</t>
  </si>
  <si>
    <t>-556.306536511168 242.83762016506 -230.04673571173</t>
  </si>
  <si>
    <t>-336.102336408819 169.749698702534 -240.853999565097</t>
  </si>
  <si>
    <t>-574.858086432856 127.445011580629 -96.0371123724967</t>
  </si>
  <si>
    <t>-610.523652265284 141.870926899315 317.753282970359</t>
  </si>
  <si>
    <t>-669.635522651647 174.108214848036 776.014656070696</t>
  </si>
  <si>
    <t>-519.683886336437 178.373595512439 834.153609485914</t>
  </si>
  <si>
    <t>-592.837821032714 -75.5546251401893 323.836548445375</t>
  </si>
  <si>
    <t>-652.379276577557 -109.084947906299 781.78207663217</t>
  </si>
  <si>
    <t>-499.282732167384 -127.304259361573 827.753027291429</t>
  </si>
  <si>
    <t>9763-20170724T115343.462595400.bin</t>
  </si>
  <si>
    <t>-576.250253853897 35.0072142980098 -91.9682932619123</t>
  </si>
  <si>
    <t>-597.275785695531 32.2340284684594 -200.631614135023</t>
  </si>
  <si>
    <t>-610.385973966124 30.1907733563921 -292.554411130244</t>
  </si>
  <si>
    <t>-621.331648389646 28.4701507877139 -375.713091331183</t>
  </si>
  <si>
    <t>-630.812102714853 26.834928716276 -459.053344984046</t>
  </si>
  <si>
    <t>-643.062773511583 24.5223960713051 -581.075838254994</t>
  </si>
  <si>
    <t>-632.295702997927 24.4447111793231 -658.691998963248</t>
  </si>
  <si>
    <t>-635.520404322454 56.8128322350508 -528.34364409748</t>
  </si>
  <si>
    <t>-606.354925182372 208.400781682402 -505.793497117657</t>
  </si>
  <si>
    <t>-556.219011036673 243.242643476362 -230.382850746267</t>
  </si>
  <si>
    <t>-335.6992457431 171.054761801281 -240.797800571096</t>
  </si>
  <si>
    <t>-574.831074327487 127.398736964386 -96.1500663301257</t>
  </si>
  <si>
    <t>-610.501383172106 141.843585105061 317.639177285278</t>
  </si>
  <si>
    <t>-669.647739871455 174.099837578227 775.889624156294</t>
  </si>
  <si>
    <t>-519.694635493639 178.333153430829 834.027123149239</t>
  </si>
  <si>
    <t>-592.989447566482 -75.4623403762 323.738916502582</t>
  </si>
  <si>
    <t>-652.466236317937 -109.072709360825 781.744023216634</t>
  </si>
  <si>
    <t>-499.328670663267 -127.420553477126 827.526850736472</t>
  </si>
  <si>
    <t>9763-20170724T115343.527741800.bin</t>
  </si>
  <si>
    <t>-576.019070385692 35.0985082262262 -92.0762839077726</t>
  </si>
  <si>
    <t>-597.121336357176 32.3635951833301 -200.725822979234</t>
  </si>
  <si>
    <t>-610.229301934828 30.2865966488648 -292.647996070657</t>
  </si>
  <si>
    <t>-621.146456884003 28.5084403171102 -375.80932281563</t>
  </si>
  <si>
    <t>-630.57206749335 26.7874836349679 -459.153920575774</t>
  </si>
  <si>
    <t>-642.713815450495 24.3182510973145 -581.184336265995</t>
  </si>
  <si>
    <t>-632.065604750935 24.0630552363093 -658.816446515418</t>
  </si>
  <si>
    <t>-635.167175205837 56.6727718986044 -528.491976318658</t>
  </si>
  <si>
    <t>-605.897920351002 208.276028636674 -506.203509268344</t>
  </si>
  <si>
    <t>-555.609752899568 244.113436873453 -230.948455263684</t>
  </si>
  <si>
    <t>-334.591489964297 173.412406443434 -240.98960927395</t>
  </si>
  <si>
    <t>-574.588441728989 127.372763958336 -96.2593208178405</t>
  </si>
  <si>
    <t>-610.383580910335 141.815996486463 317.519234746355</t>
  </si>
  <si>
    <t>-669.670536357126 174.098387048947 775.720150869697</t>
  </si>
  <si>
    <t>-519.713532714224 178.344560493784 833.846655878278</t>
  </si>
  <si>
    <t>-593.038461189612 -75.3645207698698 323.667742638999</t>
  </si>
  <si>
    <t>-652.27765507179 -109.111602399026 781.720246919704</t>
  </si>
  <si>
    <t>-499.224259732258 -127.435102943605 827.793341179654</t>
  </si>
  <si>
    <t>9763-20170724T115343.564658300.bin</t>
  </si>
  <si>
    <t>-575.822622864481 35.1088309158206 -92.0644621908798</t>
  </si>
  <si>
    <t>-596.953479258031 32.3942477294129 -200.708855654747</t>
  </si>
  <si>
    <t>-610.050467834583 30.3032654571607 -292.632414928657</t>
  </si>
  <si>
    <t>-620.943826346939 28.5001715780668 -375.796285841587</t>
  </si>
  <si>
    <t>-630.331704743218 26.7415977365029 -459.144460451058</t>
  </si>
  <si>
    <t>-642.403244641306 24.2028177088166 -581.18027446125</t>
  </si>
  <si>
    <t>-631.821757478435 23.8630866039553 -658.821307279579</t>
  </si>
  <si>
    <t>-634.863451797175 56.5855338455549 -528.504247109752</t>
  </si>
  <si>
    <t>-605.543132149332 208.197444921123 -506.346798965123</t>
  </si>
  <si>
    <t>-555.141348836917 244.438242788996 -231.165187016193</t>
  </si>
  <si>
    <t>-333.798638261008 174.753514307648 -241.164047898668</t>
  </si>
  <si>
    <t>-574.443330965108 127.376729571894 -96.2616779901847</t>
  </si>
  <si>
    <t>-610.278510534222 141.806458713938 317.51390235718</t>
  </si>
  <si>
    <t>-669.680012349344 174.085053134163 775.688376033235</t>
  </si>
  <si>
    <t>-519.720618347369 178.179403256293 833.819658852636</t>
  </si>
  <si>
    <t>-592.761451671795 -75.3801344557171 323.690516958831</t>
  </si>
  <si>
    <t>-651.741493761739 -109.207174643727 781.781705187884</t>
  </si>
  <si>
    <t>-498.960320108106 -127.477011701033 828.770505880082</t>
  </si>
  <si>
    <t>9763-20170724T115343.628833600.bin</t>
  </si>
  <si>
    <t>-575.060638340417 35.1788495136068 -91.8101921058729</t>
  </si>
  <si>
    <t>-596.255222790383 32.4787747128053 -200.442571899048</t>
  </si>
  <si>
    <t>-609.321361627743 30.3476236204674 -292.369649602249</t>
  </si>
  <si>
    <t>-620.152954738079 28.4868544226692 -375.540135465269</t>
  </si>
  <si>
    <t>-629.445464256046 26.6477480915896 -458.897251755829</t>
  </si>
  <si>
    <t>-641.3407019209 23.9659133027756 -580.947341130772</t>
  </si>
  <si>
    <t>-630.841119222621 23.4718352128971 -658.598727234983</t>
  </si>
  <si>
    <t>-633.848697850753 56.4081694917868 -528.301276171341</t>
  </si>
  <si>
    <t>-604.390029843438 208.031749276355 -506.42189982915</t>
  </si>
  <si>
    <t>-553.088761809684 245.26587440471 -231.539352282608</t>
  </si>
  <si>
    <t>-331.210383362776 177.281730164359 -241.371555327168</t>
  </si>
  <si>
    <t>-574.096679174163 127.504569766445 -96.0670044926779</t>
  </si>
  <si>
    <t>-609.798893710855 141.854050042871 317.722871959883</t>
  </si>
  <si>
    <t>-669.66325805912 174.118506198429 775.814973970377</t>
  </si>
  <si>
    <t>-519.708924655233 178.178719801586 833.961690071319</t>
  </si>
  <si>
    <t>-591.429381705673 -75.3127834564111 324.039843347944</t>
  </si>
  <si>
    <t>-650.077593085041 -109.514405307077 782.297282589442</t>
  </si>
  <si>
    <t>-498.094326864489 -127.176192688272 832.026306868517</t>
  </si>
  <si>
    <t>9763-20170724T115343.663931700.bin</t>
  </si>
  <si>
    <t>-574.795250987515 35.2831523075554 -91.6012913951331</t>
  </si>
  <si>
    <t>-596.02532565953 32.5623529710297 -200.226243716506</t>
  </si>
  <si>
    <t>-609.067685833748 30.3986269828504 -292.155922884406</t>
  </si>
  <si>
    <t>-619.856280218665 28.5005562965675 -375.331154777238</t>
  </si>
  <si>
    <t>-629.084193666467 26.6161989017055 -458.694432963795</t>
  </si>
  <si>
    <t>-640.861360315861 23.8588171832669 -580.75437899726</t>
  </si>
  <si>
    <t>-630.364758702747 23.2921515224571 -658.405477267352</t>
  </si>
  <si>
    <t>-633.420705391965 56.3337388131536 -528.12100149668</t>
  </si>
  <si>
    <t>-603.93511184283 207.967778144565 -506.33873355</t>
  </si>
  <si>
    <t>-551.557014496778 246.061151321401 -231.777234356802</t>
  </si>
  <si>
    <t>-329.456853916532 178.797861852209 -241.559643260517</t>
  </si>
  <si>
    <t>-574.107010218716 127.610129632508 -95.89462357339</t>
  </si>
  <si>
    <t>-609.667633767506 141.917923807992 317.908855985198</t>
  </si>
  <si>
    <t>-669.649214918977 174.118600391624 775.955355845051</t>
  </si>
  <si>
    <t>-519.696038191998 178.261063021321 834.099151851807</t>
  </si>
  <si>
    <t>-590.942210326143 -75.2331261440693 324.271958043835</t>
  </si>
  <si>
    <t>-649.643486808742 -109.561003169965 782.469234030032</t>
  </si>
  <si>
    <t>-497.875118530158 -126.896209293944 832.963527038949</t>
  </si>
  <si>
    <t>9763-20170724T115343.728122800.bin</t>
  </si>
  <si>
    <t>-574.788015809116 35.4451003803151 -91.3060316992471</t>
  </si>
  <si>
    <t>-596.021044814207 32.6763383104089 -199.929099007014</t>
  </si>
  <si>
    <t>-609.020074951718 30.4229020010814 -291.862745091018</t>
  </si>
  <si>
    <t>-619.751488078556 28.4201719324121 -375.043040405667</t>
  </si>
  <si>
    <t>-628.904262520851 26.4075132869532 -458.411554533248</t>
  </si>
  <si>
    <t>-640.552200540729 23.4357590479292 -580.478846785724</t>
  </si>
  <si>
    <t>-630.023522648475 22.729415197761 -658.124601498878</t>
  </si>
  <si>
    <t>-633.199454661801 56.0055593844502 -527.891753469956</t>
  </si>
  <si>
    <t>-603.947752166445 207.735025409322 -506.459922625828</t>
  </si>
  <si>
    <t>-547.940900697967 247.635596726047 -232.873168629144</t>
  </si>
  <si>
    <t>-325.468012973737 181.660290522526 -242.953203415963</t>
  </si>
  <si>
    <t>-574.536619381444 127.731733771899 -95.6175696563022</t>
  </si>
  <si>
    <t>-609.824176759211 142.035419409543 318.209457505082</t>
  </si>
  <si>
    <t>-669.651486717626 174.037862894822 776.262408561979</t>
  </si>
  <si>
    <t>-519.681287743038 178.226384755715 834.359014879891</t>
  </si>
  <si>
    <t>-590.731296636282 -75.1812026428365 324.511898197613</t>
  </si>
  <si>
    <t>-649.537524109483 -109.619088617224 782.547642443793</t>
  </si>
  <si>
    <t>-497.877508472463 -127.176288470689 833.29016162929</t>
  </si>
  <si>
    <t>9763-20170724T115343.766241400.bin</t>
  </si>
  <si>
    <t>-575.043836051404 35.4407814846811 -91.2497031638684</t>
  </si>
  <si>
    <t>-596.217028972558 32.6463339698093 -199.884008747022</t>
  </si>
  <si>
    <t>-609.1925288149 30.3312678243624 -291.819293959648</t>
  </si>
  <si>
    <t>-619.913966805874 28.2554443031761 -374.999130907162</t>
  </si>
  <si>
    <t>-629.068297665353 26.1526589132056 -458.365268275923</t>
  </si>
  <si>
    <t>-640.731204515479 23.0307826030273 -580.427273039132</t>
  </si>
  <si>
    <t>-630.171223210557 22.2452098990175 -658.068033260637</t>
  </si>
  <si>
    <t>-633.393022071948 55.6668074566064 -527.879408048941</t>
  </si>
  <si>
    <t>-604.333183516781 207.468624501736 -506.672706373596</t>
  </si>
  <si>
    <t>-546.071084813865 248.03297470963 -233.655023506268</t>
  </si>
  <si>
    <t>-323.463595931966 182.554348104009 -243.998448214065</t>
  </si>
  <si>
    <t>-574.856979185727 127.740733926346 -95.5353635889533</t>
  </si>
  <si>
    <t>-610.032410634119 142.091838739278 318.299600301432</t>
  </si>
  <si>
    <t>-669.655828680791 174.028534372041 776.382281184179</t>
  </si>
  <si>
    <t>-519.673528234586 178.269187836359 834.443741088866</t>
  </si>
  <si>
    <t>-590.968033539468 -75.2584832414602 324.510510841886</t>
  </si>
  <si>
    <t>-649.79388236949 -109.64579726754 782.508364517407</t>
  </si>
  <si>
    <t>-498.044095259904 -127.631452028757 832.830709791931</t>
  </si>
  <si>
    <t>9763-20170724T115343.825894000.bin</t>
  </si>
  <si>
    <t>-575.899239607371 35.5045086793129 -91.3652372802114</t>
  </si>
  <si>
    <t>-596.876119754862 32.6554561384587 -200.036042412761</t>
  </si>
  <si>
    <t>-609.787717263751 30.1909560399727 -291.976510301491</t>
  </si>
  <si>
    <t>-620.493311216125 27.9382504219227 -375.1538046085</t>
  </si>
  <si>
    <t>-629.674317705733 25.6176072814058 -458.511125672183</t>
  </si>
  <si>
    <t>-641.423585891376 22.1322891746613 -580.555253463819</t>
  </si>
  <si>
    <t>-630.794294405475 21.1585795288536 -658.184312586733</t>
  </si>
  <si>
    <t>-634.066960129135 54.9259385048551 -528.1081596432</t>
  </si>
  <si>
    <t>-605.313368370098 206.871410654731 -507.552331605936</t>
  </si>
  <si>
    <t>-542.389232172388 248.758333287401 -235.771921893768</t>
  </si>
  <si>
    <t>-319.575817798835 184.057088041121 -246.563777827061</t>
  </si>
  <si>
    <t>-575.52551859589 127.779512661207 -95.5920621403836</t>
  </si>
  <si>
    <t>-610.610863937959 142.250981966657 318.246284595359</t>
  </si>
  <si>
    <t>-669.661980133376 174.07349185807 776.447521535746</t>
  </si>
  <si>
    <t>-519.645275590735 178.177978636047 834.429856752632</t>
  </si>
  <si>
    <t>-592.203832180916 -75.3389790217102 324.285270883121</t>
  </si>
  <si>
    <t>-650.913907367222 -109.468265982096 782.215179350869</t>
  </si>
  <si>
    <t>-498.571072839147 -127.55269928389 830.675828154795</t>
  </si>
  <si>
    <t>9763-20170724T115343.861147300.bin</t>
  </si>
  <si>
    <t>-576.326042136634 35.5484315804108 -91.5081544241498</t>
  </si>
  <si>
    <t>-597.199484106999 32.6926213043794 -200.198781246973</t>
  </si>
  <si>
    <t>-610.085438977886 30.1551740667192 -292.140807975651</t>
  </si>
  <si>
    <t>-620.793182200578 27.810621379208 -375.315296267679</t>
  </si>
  <si>
    <t>-630.002083194237 25.3722339500489 -458.666202426194</t>
  </si>
  <si>
    <t>-641.820787745753 21.6866482342627 -580.697638994189</t>
  </si>
  <si>
    <t>-631.18194264763 20.599169692749 -658.324010232029</t>
  </si>
  <si>
    <t>-634.430729186383 54.5660747771756 -528.3090332931</t>
  </si>
  <si>
    <t>-605.745625161043 206.576211718662 -508.137872291331</t>
  </si>
  <si>
    <t>-540.627066474997 249.129426127826 -236.978595939665</t>
  </si>
  <si>
    <t>-317.788363215486 184.501844242157 -247.689561901662</t>
  </si>
  <si>
    <t>-575.799200520259 127.765659410539 -95.7090459610035</t>
  </si>
  <si>
    <t>-610.960580662892 142.223573327665 318.123369311381</t>
  </si>
  <si>
    <t>-669.677601515874 174.065720567039 776.395367930734</t>
  </si>
  <si>
    <t>-519.646259256146 178.181104643328 834.339154482598</t>
  </si>
  <si>
    <t>-592.894227766105 -75.347213545748 324.09718409353</t>
  </si>
  <si>
    <t>-651.482957180411 -109.354445626743 782.040383972633</t>
  </si>
  <si>
    <t>-498.825113948628 -127.376542868659 829.523181039836</t>
  </si>
  <si>
    <t>9763-20170724T115343.930336400.bin</t>
  </si>
  <si>
    <t>-576.820253509004 35.5404304991009 -91.8451987629072</t>
  </si>
  <si>
    <t>-597.496617141946 32.6740792638022 -200.573061043387</t>
  </si>
  <si>
    <t>-610.342165687726 30.0182939475592 -292.517520572796</t>
  </si>
  <si>
    <t>-621.064965234082 27.5253330602095 -375.685782708429</t>
  </si>
  <si>
    <t>-630.341197971225 24.8965222523109 -459.023334054123</t>
  </si>
  <si>
    <t>-642.316398082538 20.8869164172663 -581.02929629911</t>
  </si>
  <si>
    <t>-631.739281880157 19.5543966921659 -658.660357602399</t>
  </si>
  <si>
    <t>-634.80301896172 53.9011164336778 -528.74310242102</t>
  </si>
  <si>
    <t>-605.979931179287 205.981015833737 -509.2998235314</t>
  </si>
  <si>
    <t>-537.158401368044 249.588472349884 -239.22474007287</t>
  </si>
  <si>
    <t>-314.39863693249 184.677185805331 -249.861510208484</t>
  </si>
  <si>
    <t>-575.889849860287 127.73622698316 -96.0250302120894</t>
  </si>
  <si>
    <t>-611.200190307568 142.248026105979 317.792764200133</t>
  </si>
  <si>
    <t>-669.692115105943 174.136314014792 776.159647904189</t>
  </si>
  <si>
    <t>-519.643938364591 178.016692224117 834.076128858681</t>
  </si>
  <si>
    <t>-593.689070924898 -75.3811897006292 323.769201603385</t>
  </si>
  <si>
    <t>-652.297909101215 -109.1651240233 781.789117229458</t>
  </si>
  <si>
    <t>-499.202060459876 -127.253354851415 827.814111197417</t>
  </si>
  <si>
    <t>9763-20170724T115343.963428500.bin</t>
  </si>
  <si>
    <t>-576.807507796801 35.5453123000277 -91.9813843916129</t>
  </si>
  <si>
    <t>-597.418136400821 32.6615641123574 -200.721382136251</t>
  </si>
  <si>
    <t>-610.230346008618 29.9690761543043 -292.669409509621</t>
  </si>
  <si>
    <t>-620.93213751803 27.4345972841968 -375.838980527663</t>
  </si>
  <si>
    <t>-630.196572076892 24.7558276682801 -459.176457613215</t>
  </si>
  <si>
    <t>-642.164790104711 20.663882144388 -581.180287192634</t>
  </si>
  <si>
    <t>-631.606149841169 19.2173531874239 -658.811707299997</t>
  </si>
  <si>
    <t>-634.634960481015 53.7118841698696 -528.917730288385</t>
  </si>
  <si>
    <t>-605.670688520283 205.793693638107 -509.752750605272</t>
  </si>
  <si>
    <t>-535.022651427128 249.711819337564 -240.200044614162</t>
  </si>
  <si>
    <t>-312.244254303482 184.841455445754 -250.695512878312</t>
  </si>
  <si>
    <t>-575.756543909275 127.778545886913 -96.1673809763387</t>
  </si>
  <si>
    <t>-611.102122275141 142.260433792999 317.648465137745</t>
  </si>
  <si>
    <t>-669.694599953846 174.168030362617 776.010395811997</t>
  </si>
  <si>
    <t>-519.653339319588 178.121703262965 833.939870614357</t>
  </si>
  <si>
    <t>-593.810151248345 -75.40724859895 323.669542623593</t>
  </si>
  <si>
    <t>-652.477992650612 -109.144382121969 781.721762743043</t>
  </si>
  <si>
    <t>-499.297566884418 -127.368314435239 827.410547056132</t>
  </si>
  <si>
    <t>9763-20170724T115344.029107300.bin</t>
  </si>
  <si>
    <t>-576.413630189683 35.7260016875452 -92.1261992487613</t>
  </si>
  <si>
    <t>-596.857928914392 32.7885714469639 -200.896173245836</t>
  </si>
  <si>
    <t>-609.606873444383 30.0211564407755 -292.8508133624</t>
  </si>
  <si>
    <t>-620.282788977817 27.4082114264447 -376.021205736918</t>
  </si>
  <si>
    <t>-629.553026538987 24.6392106651065 -459.355055498356</t>
  </si>
  <si>
    <t>-641.564597437692 20.4028518798837 -581.349690615467</t>
  </si>
  <si>
    <t>-631.117249857473 18.7561166688542 -658.99224993346</t>
  </si>
  <si>
    <t>-633.955013470029 53.5079265594336 -529.134932468687</t>
  </si>
  <si>
    <t>-604.723718401655 205.593884096386 -510.376106721111</t>
  </si>
  <si>
    <t>-530.3779898012 249.690283235635 -241.849003922121</t>
  </si>
  <si>
    <t>-307.525596335043 185.062706239135 -252.271123388862</t>
  </si>
  <si>
    <t>-575.258737196864 128.012640537281 -96.3738842624928</t>
  </si>
  <si>
    <t>-610.761822504854 142.379073781274 317.432506678687</t>
  </si>
  <si>
    <t>-669.721449850782 174.152391632734 775.746269585703</t>
  </si>
  <si>
    <t>-519.691017144503 178.12457756058 833.702483836011</t>
  </si>
  <si>
    <t>-593.750502927143 -75.4067880267789 323.617536116454</t>
  </si>
  <si>
    <t>-652.563043498126 -109.097796457666 781.706240010692</t>
  </si>
  <si>
    <t>-499.33973271721 -127.509980581836 827.175201932493</t>
  </si>
  <si>
    <t>9763-20170724T115344.063701500.bin</t>
  </si>
  <si>
    <t>-576.089805005302 35.8537325201007 -92.1543169841434</t>
  </si>
  <si>
    <t>-596.460259758814 32.9030873190027 -200.937789332826</t>
  </si>
  <si>
    <t>-609.211588891987 30.1073854373017 -292.891166855798</t>
  </si>
  <si>
    <t>-619.915912613822 27.4626176588772 -376.056857366164</t>
  </si>
  <si>
    <t>-629.240971344085 24.6554131831135 -459.383460381483</t>
  </si>
  <si>
    <t>-641.361833193209 20.3562420040971 -581.365167981093</t>
  </si>
  <si>
    <t>-630.990365730058 18.625154253054 -659.015845649955</t>
  </si>
  <si>
    <t>-633.667611192901 53.4850580911684 -529.177772202986</t>
  </si>
  <si>
    <t>-604.303734909633 205.583521883019 -510.688895410538</t>
  </si>
  <si>
    <t>-528.088592853266 249.417641140182 -242.643214166762</t>
  </si>
  <si>
    <t>-305.079333852945 185.302071091989 -252.870474543799</t>
  </si>
  <si>
    <t>-574.915714690895 128.122765195212 -96.4305279325997</t>
  </si>
  <si>
    <t>-610.622143474987 142.501966148302 317.357976051414</t>
  </si>
  <si>
    <t>-669.735161900465 174.17102188748 775.641851931169</t>
  </si>
  <si>
    <t>-519.707046541865 178.145110620452 833.603835581825</t>
  </si>
  <si>
    <t>-593.652311735337 -75.384936217011 323.610578183667</t>
  </si>
  <si>
    <t>-652.565501264641 -109.097883135185 781.701196398458</t>
  </si>
  <si>
    <t>-499.340739559091 -127.57705936103 827.138204318169</t>
  </si>
  <si>
    <t>9763-20170724T115344.128875000.bin</t>
  </si>
  <si>
    <t>-575.377905484582 36.1368317906165 -92.1559248485053</t>
  </si>
  <si>
    <t>-595.604850494271 33.1639495549955 -200.965494993286</t>
  </si>
  <si>
    <t>-608.392202571174 30.3266297427062 -292.912565821642</t>
  </si>
  <si>
    <t>-619.192470637557 27.6372928998098 -376.064652182818</t>
  </si>
  <si>
    <t>-628.677360795852 24.7779741292065 -459.371324683163</t>
  </si>
  <si>
    <t>-641.102356897145 20.3944833697165 -581.319331492212</t>
  </si>
  <si>
    <t>-630.912594118229 18.5342989064054 -658.991175884651</t>
  </si>
  <si>
    <t>-633.199840343644 53.5531927661395 -529.181974122157</t>
  </si>
  <si>
    <t>-603.468851545983 205.626626757559 -511.114743181504</t>
  </si>
  <si>
    <t>-523.795151940586 248.538740265139 -243.927126760282</t>
  </si>
  <si>
    <t>-300.552707106151 185.147950583612 -253.568223290126</t>
  </si>
  <si>
    <t>-574.112481784619 128.356408818314 -96.4935610241507</t>
  </si>
  <si>
    <t>-610.195024220191 142.715326097012 317.262945809095</t>
  </si>
  <si>
    <t>-669.76110560677 174.136314113254 775.467046350877</t>
  </si>
  <si>
    <t>-519.7497619539 178.206530648256 833.465746874509</t>
  </si>
  <si>
    <t>-593.34349259843 -75.2685268648922 323.638670334644</t>
  </si>
  <si>
    <t>-652.532556091596 -109.092416247433 781.694825962958</t>
  </si>
  <si>
    <t>-499.282831183826 -127.382350455095 827.124188348609</t>
  </si>
  <si>
    <t>9763-20170724T115344.161582000.bin</t>
  </si>
  <si>
    <t>-575.009895387476 36.2358960225649 -92.1354033299073</t>
  </si>
  <si>
    <t>-595.199273706191 33.2634000350483 -200.952038091587</t>
  </si>
  <si>
    <t>-608.009133737036 30.4138695322786 -292.895580723203</t>
  </si>
  <si>
    <t>-618.851681064231 27.70971334759 -376.041551628876</t>
  </si>
  <si>
    <t>-628.401019865769 24.8311063000974 -459.340125293575</t>
  </si>
  <si>
    <t>-640.944669003349 20.4148282758081 -581.274877343305</t>
  </si>
  <si>
    <t>-630.860193255984 18.4998288676584 -658.959176498036</t>
  </si>
  <si>
    <t>-632.947580191934 53.5837395850592 -529.158667700338</t>
  </si>
  <si>
    <t>-602.997140982847 205.645223685281 -511.290881959432</t>
  </si>
  <si>
    <t>-521.966043344512 248.23030065987 -244.459406269646</t>
  </si>
  <si>
    <t>-298.555010296661 185.406113829516 -253.902376708116</t>
  </si>
  <si>
    <t>-573.667402463243 128.466731841325 -96.5097904375648</t>
  </si>
  <si>
    <t>-609.90066036809 142.793550666364 317.234744640699</t>
  </si>
  <si>
    <t>-669.751201665928 174.193545951286 775.387741000311</t>
  </si>
  <si>
    <t>-519.74903561446 178.210121665521 833.413970290336</t>
  </si>
  <si>
    <t>-593.172409686818 -75.2485691835939 323.661100906899</t>
  </si>
  <si>
    <t>-652.515876690804 -109.124446437854 781.691596362179</t>
  </si>
  <si>
    <t>-499.316026176151 -127.796017976461 827.133896626886</t>
  </si>
  <si>
    <t>9763-20170724T115344.230776800.bin</t>
  </si>
  <si>
    <t>-574.423187429635 36.2681133623532 -92.1376916857247</t>
  </si>
  <si>
    <t>-594.521045336457 33.3292454084124 -200.972212893352</t>
  </si>
  <si>
    <t>-607.363185175556 30.4669995927313 -292.910773926051</t>
  </si>
  <si>
    <t>-618.279304859195 27.7375359524224 -376.046469713281</t>
  </si>
  <si>
    <t>-627.947020427471 24.8189940138489 -459.329913246659</t>
  </si>
  <si>
    <t>-640.713282641251 20.3284491905179 -581.238945714621</t>
  </si>
  <si>
    <t>-630.843620428462 18.3104187204644 -658.948167348236</t>
  </si>
  <si>
    <t>-632.532655456368 53.5216589474576 -529.166519064702</t>
  </si>
  <si>
    <t>-602.315351722633 205.573774866227 -511.710416452205</t>
  </si>
  <si>
    <t>-518.596771039384 247.969098000403 -245.679554476318</t>
  </si>
  <si>
    <t>-294.997150027893 185.680941770115 -254.160596903682</t>
  </si>
  <si>
    <t>-572.907577725613 128.5548624739 -96.5297561067274</t>
  </si>
  <si>
    <t>-609.386142509186 142.842822538468 317.194548117508</t>
  </si>
  <si>
    <t>-669.761361144106 174.189141440963 775.258912946343</t>
  </si>
  <si>
    <t>-519.781450433588 178.290099616311 833.336752918493</t>
  </si>
  <si>
    <t>-592.943265768442 -75.3278627088584 323.665659541291</t>
  </si>
  <si>
    <t>-652.474788113103 -109.138940918391 781.685650130315</t>
  </si>
  <si>
    <t>-499.269615570033 -127.716755478421 827.148430400788</t>
  </si>
  <si>
    <t>9763-20170724T115344.266876300.bin</t>
  </si>
  <si>
    <t>-574.165358186999 36.2593906452219 -92.1344530933634</t>
  </si>
  <si>
    <t>-594.185217128651 33.3392714410979 -200.983825777097</t>
  </si>
  <si>
    <t>-607.017708991425 30.4893998221066 -292.924125645854</t>
  </si>
  <si>
    <t>-617.947674970561 27.7708249640939 -376.058259435653</t>
  </si>
  <si>
    <t>-627.652059748174 24.8623401630196 -459.337979187411</t>
  </si>
  <si>
    <t>-640.496836529695 20.3863208666844 -581.239124609838</t>
  </si>
  <si>
    <t>-630.713133167519 18.3332011095913 -658.958292492315</t>
  </si>
  <si>
    <t>-632.247124963149 53.5700485651671 -529.17181280924</t>
  </si>
  <si>
    <t>-601.79212319214 205.586895696514 -511.782535009466</t>
  </si>
  <si>
    <t>-516.999373870296 247.838396195156 -246.069278589432</t>
  </si>
  <si>
    <t>-293.270697307543 185.916670016089 -253.796600406211</t>
  </si>
  <si>
    <t>-572.579806023198 128.557246794833 -96.5218406643834</t>
  </si>
  <si>
    <t>-609.224472998234 142.85930518527 317.187274794884</t>
  </si>
  <si>
    <t>-669.758969020835 174.23251235145 775.211693010496</t>
  </si>
  <si>
    <t>-519.785175030844 178.172828887328 833.316466573322</t>
  </si>
  <si>
    <t>-592.835666916773 -75.3712324441383 323.668334492692</t>
  </si>
  <si>
    <t>-652.44962282434 -109.093992086016 781.679343697831</t>
  </si>
  <si>
    <t>-499.201064532869 -127.30556563512 827.144083872293</t>
  </si>
  <si>
    <t>9763-20170724T115344.331571300.bin</t>
  </si>
  <si>
    <t>-573.582969283077 36.2251898758695 -92.0875017379753</t>
  </si>
  <si>
    <t>-593.416292674173 33.3447042688763 -200.971972921448</t>
  </si>
  <si>
    <t>-606.163877282768 30.5411377624848 -292.925655838032</t>
  </si>
  <si>
    <t>-617.046126598117 27.8708642839911 -376.067645536999</t>
  </si>
  <si>
    <t>-626.731827572766 25.0164544954093 -459.351293135974</t>
  </si>
  <si>
    <t>-639.581301538483 20.6256484085436 -581.255087756463</t>
  </si>
  <si>
    <t>-629.937479166437 18.5438160666247 -658.991026065135</t>
  </si>
  <si>
    <t>-631.268198687494 53.7676960400549 -529.171012871692</t>
  </si>
  <si>
    <t>-600.443504719289 205.700170645951 -511.778053755941</t>
  </si>
  <si>
    <t>-513.966621065001 247.589564645736 -246.550625537946</t>
  </si>
  <si>
    <t>-290.138763732383 185.902302570102 -253.207055317424</t>
  </si>
  <si>
    <t>-571.941503899923 128.474851531219 -96.4745668910962</t>
  </si>
  <si>
    <t>-608.94387199951 142.812153527429 317.201468853422</t>
  </si>
  <si>
    <t>-669.7759373468 174.204264738803 775.156176546108</t>
  </si>
  <si>
    <t>-519.81758478955 178.212879188845 833.295980354872</t>
  </si>
  <si>
    <t>-592.551185216077 -75.4793545886184 323.675939598593</t>
  </si>
  <si>
    <t>-652.323590105505 -109.168003809629 781.67499787392</t>
  </si>
  <si>
    <t>-499.1767314208 -127.766412046408 827.325449695063</t>
  </si>
  <si>
    <t>9763-20170724T115344.364659900.bin</t>
  </si>
  <si>
    <t>-573.326379060578 36.241988122239 -92.0712807655392</t>
  </si>
  <si>
    <t>-593.031309619989 33.3851829540527 -200.979815574614</t>
  </si>
  <si>
    <t>-605.695525264277 30.6236861530977 -292.946235667101</t>
  </si>
  <si>
    <t>-616.512359778241 28.000495861389 -376.098136127149</t>
  </si>
  <si>
    <t>-626.142241335205 25.2026724846235 -459.390247202658</t>
  </si>
  <si>
    <t>-638.920698783479 20.9046357440725 -581.304897078495</t>
  </si>
  <si>
    <t>-629.327059043278 18.841581325222 -659.047482067517</t>
  </si>
  <si>
    <t>-630.618881765306 54.0052748547266 -529.192659291645</t>
  </si>
  <si>
    <t>-599.69165594684 205.914934989801 -511.783543499285</t>
  </si>
  <si>
    <t>-512.635142456597 247.615403645447 -246.716052848308</t>
  </si>
  <si>
    <t>-288.738139803068 186.15112498286 -253.103846290808</t>
  </si>
  <si>
    <t>-571.665990959612 128.488546362161 -96.4529444873026</t>
  </si>
  <si>
    <t>-608.798152827609 142.846776454569 317.210682306213</t>
  </si>
  <si>
    <t>-669.7665804183 174.260642952357 775.14666131747</t>
  </si>
  <si>
    <t>-519.813836707428 178.19988784347 833.305757755963</t>
  </si>
  <si>
    <t>-592.402757316643 -75.5022805269937 323.686463296453</t>
  </si>
  <si>
    <t>-652.25776762125 -109.210507728571 781.692360478043</t>
  </si>
  <si>
    <t>-499.139496022315 -127.839871288883 827.42598917845</t>
  </si>
  <si>
    <t>9763-20170724T115344.431911000.bin</t>
  </si>
  <si>
    <t>-572.905592764193 36.226413012057 -92.0432680869494</t>
  </si>
  <si>
    <t>-592.323128139157 33.3987491629439 -201.004159284321</t>
  </si>
  <si>
    <t>-604.830069983917 30.7274165466704 -292.994648294919</t>
  </si>
  <si>
    <t>-615.538332141744 28.2138238786254 -376.164136547249</t>
  </si>
  <si>
    <t>-625.092814997482 25.5537482544971 -459.469453654984</t>
  </si>
  <si>
    <t>-637.797136560746 21.4884878369396 -581.399829656406</t>
  </si>
  <si>
    <t>-628.281184129334 19.5097109272624 -659.154097755283</t>
  </si>
  <si>
    <t>-629.501700546809 54.4872115719531 -529.221957625536</t>
  </si>
  <si>
    <t>-598.456872594594 206.368916528153 -511.739661108893</t>
  </si>
  <si>
    <t>-510.514160496283 247.439259101113 -246.866382520066</t>
  </si>
  <si>
    <t>-286.42316719098 186.646591422849 -252.867310012429</t>
  </si>
  <si>
    <t>-571.175625480738 128.441413346141 -96.4124807558112</t>
  </si>
  <si>
    <t>-608.571361441779 142.770291157674 317.228450154038</t>
  </si>
  <si>
    <t>-669.787370628354 174.172348023442 775.137378591215</t>
  </si>
  <si>
    <t>-519.855503739533 178.252483206849 833.340522277117</t>
  </si>
  <si>
    <t>-592.330104592771 -75.6366424204186 323.687265790975</t>
  </si>
  <si>
    <t>-652.231052783823 -109.20114253719 781.686639485965</t>
  </si>
  <si>
    <t>-499.064953178701 -127.440143863968 827.41750167248</t>
  </si>
  <si>
    <t>9763-20170724T115344.459983200.bin</t>
  </si>
  <si>
    <t>-572.760945789158 36.2316247142535 -92.0320162739129</t>
  </si>
  <si>
    <t>-592.018101585214 33.4209636131275 -201.021835573014</t>
  </si>
  <si>
    <t>-604.447835224031 30.7921502036656 -293.02412437372</t>
  </si>
  <si>
    <t>-615.109337466938 28.3293263224784 -376.200884433101</t>
  </si>
  <si>
    <t>-624.639971763645 25.7324677099909 -459.511021758422</t>
  </si>
  <si>
    <t>-637.33441768404 21.7735284419473 -581.44580454691</t>
  </si>
  <si>
    <t>-627.847227330749 19.835422210738 -659.204703372505</t>
  </si>
  <si>
    <t>-629.038565391488 54.7262684788218 -529.23908937529</t>
  </si>
  <si>
    <t>-598.009439405385 206.606611017187 -511.724077288623</t>
  </si>
  <si>
    <t>-509.522433964667 247.294995619249 -246.973022068742</t>
  </si>
  <si>
    <t>-285.352677708895 186.766390133287 -252.69480053911</t>
  </si>
  <si>
    <t>-570.982281208463 128.431755999949 -96.3899829013645</t>
  </si>
  <si>
    <t>-608.527951099992 142.761868761689 317.237402115749</t>
  </si>
  <si>
    <t>-669.801018421768 174.126950151173 775.133267044574</t>
  </si>
  <si>
    <t>-519.87848256736 178.263002910063 833.356541503471</t>
  </si>
  <si>
    <t>-592.380317118262 -75.7067421341851 323.669594289134</t>
  </si>
  <si>
    <t>-652.243829309582 -109.222547578726 781.673099461076</t>
  </si>
  <si>
    <t>-499.091973396084 -127.67722056948 827.364994619751</t>
  </si>
  <si>
    <t>9763-20170724T115344.530173800.bin</t>
  </si>
  <si>
    <t>-572.531592429397 36.3690107971511 -92.038374918309</t>
  </si>
  <si>
    <t>-591.459993069184 33.5868031517678 -201.08631646448</t>
  </si>
  <si>
    <t>-603.733138404738 31.0310697644352 -293.111744443641</t>
  </si>
  <si>
    <t>-614.301187309096 28.6555358040309 -376.303186701763</t>
  </si>
  <si>
    <t>-623.786130741036 26.1674086057262 -459.621729112113</t>
  </si>
  <si>
    <t>-636.466073304117 22.3916365718073 -581.56393382314</t>
  </si>
  <si>
    <t>-627.023900550832 20.5385025667299 -659.33029830774</t>
  </si>
  <si>
    <t>-628.146230539771 55.2630450151914 -529.309886976412</t>
  </si>
  <si>
    <t>-596.996262165527 207.109854375017 -511.711774542832</t>
  </si>
  <si>
    <t>-507.801343885183 247.168041582299 -247.102271057339</t>
  </si>
  <si>
    <t>-283.547483197136 186.891106972892 -252.14488571779</t>
  </si>
  <si>
    <t>-570.656470741498 128.609722428737 -96.3700962714978</t>
  </si>
  <si>
    <t>-608.482450120839 142.829877286715 317.235495953475</t>
  </si>
  <si>
    <t>-669.801367114649 174.177289825929 775.124093278317</t>
  </si>
  <si>
    <t>-519.892448279949 178.251614943048 833.386669165216</t>
  </si>
  <si>
    <t>-592.482154179578 -75.790104901278 323.616113207015</t>
  </si>
  <si>
    <t>-652.249763392683 -109.243192709344 781.647900763793</t>
  </si>
  <si>
    <t>-499.075686884105 -127.670197798551 827.276547106036</t>
  </si>
  <si>
    <t>9763-20170724T115344.564842700.bin</t>
  </si>
  <si>
    <t>-572.347497946502 36.4711859180934 -92.0460801441061</t>
  </si>
  <si>
    <t>-591.143383611623 33.6936446063662 -201.117215362315</t>
  </si>
  <si>
    <t>-603.345352593505 31.1571886760535 -293.152565350922</t>
  </si>
  <si>
    <t>-613.865196561371 28.8059082348057 -376.35080479373</t>
  </si>
  <si>
    <t>-623.318042786533 26.3483930481907 -459.673904052222</t>
  </si>
  <si>
    <t>-635.968600208264 22.624664942374 -581.620605320813</t>
  </si>
  <si>
    <t>-626.542851668513 20.8018737944312 -659.389824624251</t>
  </si>
  <si>
    <t>-627.636107223816 55.4716696941966 -529.353087009866</t>
  </si>
  <si>
    <t>-596.366309306829 207.293034006254 -511.748277330328</t>
  </si>
  <si>
    <t>-507.056727697405 247.097704916842 -247.13927955927</t>
  </si>
  <si>
    <t>-282.769436947878 186.90719516305 -251.704633672133</t>
  </si>
  <si>
    <t>-570.477180676498 128.720760767168 -96.372412928142</t>
  </si>
  <si>
    <t>-608.420289140852 142.916300030284 317.223333440311</t>
  </si>
  <si>
    <t>-669.802443908925 174.178020357511 775.117645105189</t>
  </si>
  <si>
    <t>-519.901801664512 178.189334413133 833.4059348522</t>
  </si>
  <si>
    <t>-592.487604336147 -75.8073856685967 323.596565619405</t>
  </si>
  <si>
    <t>-652.24017074146 -109.262556638262 781.6448386699</t>
  </si>
  <si>
    <t>-499.078515991123 -127.796748673317 827.271663755167</t>
  </si>
  <si>
    <t>9763-20170724T115344.629520100.bin</t>
  </si>
  <si>
    <t>-571.866182070845 36.7441164650982 -92.0114031182366</t>
  </si>
  <si>
    <t>-590.452183469796 33.9776332945767 -201.118732557534</t>
  </si>
  <si>
    <t>-602.482462266757 31.4533962700666 -293.176996754647</t>
  </si>
  <si>
    <t>-612.849269543456 29.1149917022374 -376.394704478044</t>
  </si>
  <si>
    <t>-622.150988296838 26.6716215393978 -459.735281388485</t>
  </si>
  <si>
    <t>-634.582771353934 22.9697642875558 -581.705311554912</t>
  </si>
  <si>
    <t>-625.14409586303 21.1894051633003 -659.473941337624</t>
  </si>
  <si>
    <t>-626.294655178235 55.8026552285614 -529.421847225792</t>
  </si>
  <si>
    <t>-594.796850905762 207.575013964185 -511.811712384315</t>
  </si>
  <si>
    <t>-505.618660738787 246.975750247008 -247.097970659205</t>
  </si>
  <si>
    <t>-281.346595149485 186.659225843225 -250.63217292512</t>
  </si>
  <si>
    <t>-569.901201786896 129.074490273517 -96.3457041288031</t>
  </si>
  <si>
    <t>-608.168247828005 143.064791438478 317.227151583762</t>
  </si>
  <si>
    <t>-669.825590094755 174.15433538209 775.119032092753</t>
  </si>
  <si>
    <t>-519.936750942751 178.280701467203 833.429808551943</t>
  </si>
  <si>
    <t>-592.273404262245 -75.8078400888414 323.613894806768</t>
  </si>
  <si>
    <t>-652.226528777454 -109.252450343193 781.637395305186</t>
  </si>
  <si>
    <t>-499.061580769837 -127.83632341031 827.23303176819</t>
  </si>
  <si>
    <t>9763-20170724T115344.663114300.bin</t>
  </si>
  <si>
    <t>-571.539582787147 36.9897038677573 -91.9810988939423</t>
  </si>
  <si>
    <t>-590.05176760938 34.2259627950152 -201.101032372431</t>
  </si>
  <si>
    <t>-602.005649189188 31.7077394026057 -293.169443753155</t>
  </si>
  <si>
    <t>-612.29766959311 29.3763552844866 -376.396656063586</t>
  </si>
  <si>
    <t>-621.518793501406 26.9411024776382 -459.746478559269</t>
  </si>
  <si>
    <t>-633.826300639305 23.2521733670126 -581.729475157473</t>
  </si>
  <si>
    <t>-624.368975752411 21.4935009327914 -659.496231487243</t>
  </si>
  <si>
    <t>-625.565710545698 56.0770829779763 -529.436668019328</t>
  </si>
  <si>
    <t>-593.919538193515 207.814318582395 -511.801047890294</t>
  </si>
  <si>
    <t>-504.829364626639 247.085829766514 -247.038556934154</t>
  </si>
  <si>
    <t>-280.584526099011 186.641522928568 -250.083262623621</t>
  </si>
  <si>
    <t>-569.534295413233 129.36752282145 -96.3155229515477</t>
  </si>
  <si>
    <t>-607.996029751621 143.204576500222 317.244479069655</t>
  </si>
  <si>
    <t>-669.832755514018 174.189752068394 775.12093022092</t>
  </si>
  <si>
    <t>-519.943787029181 178.266264272979 833.434669830983</t>
  </si>
  <si>
    <t>-592.081357537633 -75.7213135361023 323.637511012109</t>
  </si>
  <si>
    <t>-652.218348233586 -109.265589003319 781.632917133825</t>
  </si>
  <si>
    <t>-499.092724121827 -128.172931689097 827.227641241951</t>
  </si>
  <si>
    <t>9763-20170724T115344.732842200.bin</t>
  </si>
  <si>
    <t>-570.746355149896 37.5657877230567 -91.9087014172638</t>
  </si>
  <si>
    <t>-589.073879080483 34.8095080123053 -201.060011237821</t>
  </si>
  <si>
    <t>-600.89879562362 32.3103274551952 -293.145489788799</t>
  </si>
  <si>
    <t>-611.084933463197 30.0019814626794 -376.386494440219</t>
  </si>
  <si>
    <t>-620.210564210631 27.5950857124653 -459.747554650208</t>
  </si>
  <si>
    <t>-632.389997987063 23.9530649454853 -581.744846447385</t>
  </si>
  <si>
    <t>-622.909197906186 22.232743585053 -659.509571676956</t>
  </si>
  <si>
    <t>-624.130200605035 56.7526600099179 -529.435998800001</t>
  </si>
  <si>
    <t>-592.145167667441 208.41052979806 -511.712781239981</t>
  </si>
  <si>
    <t>-503.151335488792 247.420304051383 -246.879077178404</t>
  </si>
  <si>
    <t>-278.929702983161 186.871968999621 -249.541182116527</t>
  </si>
  <si>
    <t>-568.674961802375 129.912050521249 -96.2307974644913</t>
  </si>
  <si>
    <t>-607.710848586833 143.522390113333 317.282897844534</t>
  </si>
  <si>
    <t>-669.854377154605 174.198558758248 775.117484583583</t>
  </si>
  <si>
    <t>-519.973837370755 178.309808579507 833.450507948114</t>
  </si>
  <si>
    <t>-591.681797573719 -75.4325376163979 323.686876087501</t>
  </si>
  <si>
    <t>-652.171927564352 -109.223250741951 781.629352787929</t>
  </si>
  <si>
    <t>-499.033798773872 -128.016049583971 827.229434546508</t>
  </si>
  <si>
    <t>9763-20170724T115344.766953700.bin</t>
  </si>
  <si>
    <t>-570.269988441899 37.9533698543237 -91.874512182944</t>
  </si>
  <si>
    <t>-588.49474016152 35.1980045761138 -201.043058641724</t>
  </si>
  <si>
    <t>-600.266983467488 32.7121910075664 -293.13583565246</t>
  </si>
  <si>
    <t>-610.419058713964 30.4214019270976 -376.381269304876</t>
  </si>
  <si>
    <t>-619.524123214046 28.037627386072 -459.745200945275</t>
  </si>
  <si>
    <t>-631.688165142874 24.43592220099 -581.745236575594</t>
  </si>
  <si>
    <t>-622.197555164822 22.7449384473614 -659.509554609051</t>
  </si>
  <si>
    <t>-623.423764459806 57.217210895433 -529.425717481583</t>
  </si>
  <si>
    <t>-591.40932951028 208.861363556436 -511.668004261611</t>
  </si>
  <si>
    <t>-502.289120655057 247.730329102359 -246.856049460183</t>
  </si>
  <si>
    <t>-278.083614817102 187.124024460431 -249.556984234128</t>
  </si>
  <si>
    <t>-568.146265066205 130.308121949739 -96.196933477254</t>
  </si>
  <si>
    <t>-607.534066385373 143.7152302269 317.28997361433</t>
  </si>
  <si>
    <t>-669.857836089618 174.197135691297 775.120457990522</t>
  </si>
  <si>
    <t>-519.987536538329 178.369223369466 833.475560771774</t>
  </si>
  <si>
    <t>-591.462790426953 -75.2292776108334 323.711037939021</t>
  </si>
  <si>
    <t>-652.130611723585 -109.205808627272 781.628239305522</t>
  </si>
  <si>
    <t>-498.986277368345 -127.870849061173 827.259997900163</t>
  </si>
  <si>
    <t>9763-20170724T115344.828097900.bin</t>
  </si>
  <si>
    <t>-569.259460237988 38.7321738082665 -91.7970013936631</t>
  </si>
  <si>
    <t>-587.244962468834 36.003128470488 -201.005828726839</t>
  </si>
  <si>
    <t>-598.844170795505 33.5472286110169 -293.121265818744</t>
  </si>
  <si>
    <t>-608.851203796812 31.2878789195702 -376.385241951921</t>
  </si>
  <si>
    <t>-617.822431778795 28.9394629946994 -459.764732208696</t>
  </si>
  <si>
    <t>-629.803168793229 25.3936496002918 -581.784511162337</t>
  </si>
  <si>
    <t>-620.221696356567 23.7449810550693 -659.538497604867</t>
  </si>
  <si>
    <t>-621.588283071983 58.1478701158476 -529.440364128012</t>
  </si>
  <si>
    <t>-589.457523734862 209.766065545074 -511.588459151099</t>
  </si>
  <si>
    <t>-500.322318364311 248.270370387568 -246.728295135308</t>
  </si>
  <si>
    <t>-276.1429513685 187.573376392713 -249.560257538753</t>
  </si>
  <si>
    <t>-566.958740213659 131.188209662995 -96.1140902066434</t>
  </si>
  <si>
    <t>-607.020021240903 144.183412858197 317.321367359407</t>
  </si>
  <si>
    <t>-669.860001879367 174.213193436864 775.109748628769</t>
  </si>
  <si>
    <t>-520.021105196385 178.451173519736 833.540693804065</t>
  </si>
  <si>
    <t>-591.052015306427 -74.9820980002007 323.750641188181</t>
  </si>
  <si>
    <t>-652.030507034938 -109.248191098363 781.636008721319</t>
  </si>
  <si>
    <t>-498.994303607536 -128.504304849037 827.384739457832</t>
  </si>
  <si>
    <t>9763-20170724T115344.864206600.bin</t>
  </si>
  <si>
    <t>-568.727157945823 39.0531756121134 -91.7600256950705</t>
  </si>
  <si>
    <t>-586.571870159193 36.355106564363 -200.99285595368</t>
  </si>
  <si>
    <t>-598.080944492688 33.9100308998593 -293.119892930748</t>
  </si>
  <si>
    <t>-608.018121612011 31.6552466613568 -376.392286149925</t>
  </si>
  <si>
    <t>-616.931118482431 29.3061173541353 -459.777947890182</t>
  </si>
  <si>
    <t>-628.839454661679 25.7538566236226 -581.804620017578</t>
  </si>
  <si>
    <t>-619.209558657551 24.1068941226827 -659.552764915983</t>
  </si>
  <si>
    <t>-620.639756518494 58.509430108091 -529.458875690171</t>
  </si>
  <si>
    <t>-588.458024314177 210.108991307141 -511.607808204244</t>
  </si>
  <si>
    <t>-499.318605635668 248.338703989983 -246.709320910378</t>
  </si>
  <si>
    <t>-275.147991822154 187.604949404029 -249.442090759385</t>
  </si>
  <si>
    <t>-566.336854823478 131.570506985995 -96.0554721730796</t>
  </si>
  <si>
    <t>-606.790905580907 144.387696981433 317.34722807316</t>
  </si>
  <si>
    <t>-669.865585912793 174.211723653091 775.104321114473</t>
  </si>
  <si>
    <t>-520.047195145681 178.458704508618 833.587233810847</t>
  </si>
  <si>
    <t>-590.819653067955 -74.9347354222339 323.751751049384</t>
  </si>
  <si>
    <t>-651.956160707431 -109.265617990237 781.644840245918</t>
  </si>
  <si>
    <t>-498.94838927737 -128.516854164655 827.490491239875</t>
  </si>
  <si>
    <t>9763-20170724T115344.931389000.bin</t>
  </si>
  <si>
    <t>-567.608256291083 39.6910966071873 -91.5879888090512</t>
  </si>
  <si>
    <t>-585.263392086264 37.0676392522969 -200.853273371114</t>
  </si>
  <si>
    <t>-596.649638105104 34.6657230967026 -292.996774378079</t>
  </si>
  <si>
    <t>-606.490756787534 32.4436751553096 -376.281509419897</t>
  </si>
  <si>
    <t>-615.322664750511 30.1205928792906 -459.676627349753</t>
  </si>
  <si>
    <t>-627.12908682944 26.5991399699335 -581.714088296602</t>
  </si>
  <si>
    <t>-617.364226568725 24.9507656212638 -659.445288649082</t>
  </si>
  <si>
    <t>-618.939771266097 59.3380778163303 -529.356212215738</t>
  </si>
  <si>
    <t>-586.632447679107 210.899408546814 -511.403279754849</t>
  </si>
  <si>
    <t>-497.286330198135 248.635844054878 -246.503638480388</t>
  </si>
  <si>
    <t>-273.139730401337 187.804678461422 -249.033180645467</t>
  </si>
  <si>
    <t>-565.061479790376 132.403456762763 -95.8978791872291</t>
  </si>
  <si>
    <t>-606.19721532249 144.833943589782 317.449316479199</t>
  </si>
  <si>
    <t>-669.830116764452 174.293198931316 775.115281030412</t>
  </si>
  <si>
    <t>-520.058817580596 178.347586579747 833.732050251202</t>
  </si>
  <si>
    <t>-590.113357304431 -74.7834936882239 323.840245459695</t>
  </si>
  <si>
    <t>-651.813635634479 -109.29367126442 781.666584768524</t>
  </si>
  <si>
    <t>-498.852795750989 -128.510354234726 827.683142683773</t>
  </si>
  <si>
    <t>9763-20170724T115344.966994800.bin</t>
  </si>
  <si>
    <t>-567.033196686176 39.9955151264976 -91.4819092465514</t>
  </si>
  <si>
    <t>-584.651834189508 37.3906092835628 -200.7536260073</t>
  </si>
  <si>
    <t>-595.989547956556 35.0025521569319 -292.903437521412</t>
  </si>
  <si>
    <t>-605.779696427456 32.7923734621072 -376.194397502596</t>
  </si>
  <si>
    <t>-614.553527602818 30.4800746837639 -459.595962187669</t>
  </si>
  <si>
    <t>-626.267186833598 26.973210054359 -581.642640963665</t>
  </si>
  <si>
    <t>-616.408156387934 25.3256006058377 -659.36212224608</t>
  </si>
  <si>
    <t>-618.099243923293 59.7040924679545 -529.276612730092</t>
  </si>
  <si>
    <t>-585.750041778795 211.248576186117 -511.251301460523</t>
  </si>
  <si>
    <t>-496.167588200694 248.758138867279 -246.399342555323</t>
  </si>
  <si>
    <t>-272.009000466194 187.969695323647 -248.894914012007</t>
  </si>
  <si>
    <t>-564.432684510103 132.762056644996 -95.7992152189037</t>
  </si>
  <si>
    <t>-605.899228597065 144.994280331364 317.520883265978</t>
  </si>
  <si>
    <t>-669.833898359733 174.275181291492 775.143702686957</t>
  </si>
  <si>
    <t>-520.084952653619 178.448777551492 833.809349664239</t>
  </si>
  <si>
    <t>-589.712303194649 -74.6368351732347 323.916914141759</t>
  </si>
  <si>
    <t>-651.777828557461 -109.272164660223 781.669703439578</t>
  </si>
  <si>
    <t>-498.837625024147 -128.591639825097 827.711866248917</t>
  </si>
  <si>
    <t>9763-20170724T115345.031668300.bin</t>
  </si>
  <si>
    <t>-565.979082168142 40.6992864656631 -91.3318806945542</t>
  </si>
  <si>
    <t>-583.556230012147 38.1408312021747 -200.611312776554</t>
  </si>
  <si>
    <t>-594.825114304736 35.7940284821987 -292.770523350873</t>
  </si>
  <si>
    <t>-604.539417779652 33.6219884359252 -376.071662375235</t>
  </si>
  <si>
    <t>-613.223599094546 31.3483350935398 -459.483534307978</t>
  </si>
  <si>
    <t>-624.791101612487 27.8980227534121 -581.545864314665</t>
  </si>
  <si>
    <t>-614.733422076841 26.2912228106916 -659.240660769071</t>
  </si>
  <si>
    <t>-616.656551924205 60.6017131284832 -529.15747898685</t>
  </si>
  <si>
    <t>-584.236872699697 212.105311640604 -510.892935379935</t>
  </si>
  <si>
    <t>-493.842028949064 248.999556021599 -246.230527354722</t>
  </si>
  <si>
    <t>-269.609865020108 188.481036257986 -248.674290782362</t>
  </si>
  <si>
    <t>-563.284361503883 133.523586583257 -95.6020837482927</t>
  </si>
  <si>
    <t>-605.371795724906 145.398014288144 317.665667030011</t>
  </si>
  <si>
    <t>-669.84964574247 174.223054886793 775.2103654738</t>
  </si>
  <si>
    <t>-520.133439363165 178.41413435471 833.958297018689</t>
  </si>
  <si>
    <t>-588.945062904877 -74.2400405298661 324.029173793772</t>
  </si>
  <si>
    <t>-651.704406406348 -109.275439557377 781.667500379094</t>
  </si>
  <si>
    <t>-498.805578701065 -128.795449837225 827.762383671072</t>
  </si>
  <si>
    <t>9763-20170724T115345.062793100.bin</t>
  </si>
  <si>
    <t>-565.521528896778 41.0020487135744 -91.2561098231995</t>
  </si>
  <si>
    <t>-583.061350154496 38.4666117304037 -200.541989909052</t>
  </si>
  <si>
    <t>-594.272300688071 36.1407755402004 -292.708990461515</t>
  </si>
  <si>
    <t>-603.923582374494 33.988208621264 -376.017694251654</t>
  </si>
  <si>
    <t>-612.534048207694 31.7340311146932 -459.437871223906</t>
  </si>
  <si>
    <t>-623.982000176717 28.3119525054574 -581.512276558991</t>
  </si>
  <si>
    <t>-613.805115078979 26.7298447046819 -659.19204779298</t>
  </si>
  <si>
    <t>-615.88383935745 61.0019086198165 -529.10982195213</t>
  </si>
  <si>
    <t>-583.471922330932 212.487474368698 -510.719086845043</t>
  </si>
  <si>
    <t>-492.579129370221 249.11175188414 -246.189669071377</t>
  </si>
  <si>
    <t>-268.280368002189 188.839673436773 -248.613063182199</t>
  </si>
  <si>
    <t>-562.779486017431 133.79520194133 -95.5114446986111</t>
  </si>
  <si>
    <t>-605.153369010423 145.565274392858 317.730009242839</t>
  </si>
  <si>
    <t>-669.84707934109 174.25043677347 775.25059912396</t>
  </si>
  <si>
    <t>-520.138475774463 178.29795003192 834.027835050875</t>
  </si>
  <si>
    <t>-588.664220162862 -74.1074508400563 324.069150268779</t>
  </si>
  <si>
    <t>-651.667068608182 -109.270625780115 781.668643993333</t>
  </si>
  <si>
    <t>-498.775859267657 -128.803875548119 827.783264773457</t>
  </si>
  <si>
    <t>9763-20170724T115345.128969200.bin</t>
  </si>
  <si>
    <t>-564.81031581414 41.354420376274 -91.1205869970253</t>
  </si>
  <si>
    <t>-582.275231943234 38.876515327911 -200.419896884303</t>
  </si>
  <si>
    <t>-593.326708162511 36.6124206138879 -292.607661399825</t>
  </si>
  <si>
    <t>-602.795002459625 34.5205811741705 -375.938903453491</t>
  </si>
  <si>
    <t>-611.183370360978 32.3306822617642 -459.383438542554</t>
  </si>
  <si>
    <t>-622.26359947718 29.0060236350239 -581.494452964639</t>
  </si>
  <si>
    <t>-611.848205924859 27.4539526995477 -659.143093939811</t>
  </si>
  <si>
    <t>-614.28738238207 61.6505686714338 -529.044842801007</t>
  </si>
  <si>
    <t>-581.795006251033 213.084039398388 -510.330156772618</t>
  </si>
  <si>
    <t>-489.911930733902 249.544220692265 -246.120416596458</t>
  </si>
  <si>
    <t>-265.481907324492 189.752088406917 -248.264924192483</t>
  </si>
  <si>
    <t>-561.975432938621 134.102032070454 -95.3374900178982</t>
  </si>
  <si>
    <t>-604.778109449755 145.731841280588 317.863785300822</t>
  </si>
  <si>
    <t>-669.872436899699 174.21773251831 775.33285440087</t>
  </si>
  <si>
    <t>-520.175517023867 178.325870757421 834.135778178304</t>
  </si>
  <si>
    <t>-588.305142937725 -73.9801859197723 324.136457410411</t>
  </si>
  <si>
    <t>-651.620824259035 -109.251682838486 781.671949269532</t>
  </si>
  <si>
    <t>-498.727840636156 -128.778561989283 827.78340872872</t>
  </si>
  <si>
    <t>9763-20170724T115345.160555200.bin</t>
  </si>
  <si>
    <t>-564.579925686579 41.4517290062017 -91.0767644825982</t>
  </si>
  <si>
    <t>-581.99719706703 39.0133377016714 -200.384568508696</t>
  </si>
  <si>
    <t>-592.945492383758 36.7742556293633 -292.58522389663</t>
  </si>
  <si>
    <t>-602.295283845354 34.7014725675695 -375.93035770927</t>
  </si>
  <si>
    <t>-610.539811094362 32.5264378542649 -459.389567583075</t>
  </si>
  <si>
    <t>-621.381826100708 29.2187311523076 -581.522393014249</t>
  </si>
  <si>
    <t>-610.842136277234 27.657824479485 -659.154146349931</t>
  </si>
  <si>
    <t>-613.480798158282 61.8532192186703 -529.05512612228</t>
  </si>
  <si>
    <t>-580.899986761862 213.257694087208 -510.251675243765</t>
  </si>
  <si>
    <t>-488.706617745818 249.73087299102 -246.151939349163</t>
  </si>
  <si>
    <t>-264.188855453869 190.258134635132 -247.968501515585</t>
  </si>
  <si>
    <t>-561.665203097712 134.155412490067 -95.2642287208563</t>
  </si>
  <si>
    <t>-604.644099923705 145.784625207855 317.918782502189</t>
  </si>
  <si>
    <t>-669.892896015589 174.181625295557 775.369730559647</t>
  </si>
  <si>
    <t>-520.199494049998 178.333793655673 834.17855217045</t>
  </si>
  <si>
    <t>-588.218741968847 -73.95602980937 324.147021656995</t>
  </si>
  <si>
    <t>-651.596536896513 -109.248073068809 781.670554307124</t>
  </si>
  <si>
    <t>-498.697759687209 -128.730968837844 827.781337044015</t>
  </si>
  <si>
    <t>9763-20170724T115345.230744000.bin</t>
  </si>
  <si>
    <t>-564.254972572611 41.4928951390361 -91.0431228992759</t>
  </si>
  <si>
    <t>-581.530435068897 39.1030232934722 -200.374477361284</t>
  </si>
  <si>
    <t>-592.246119516161 36.9079141772788 -292.603516668116</t>
  </si>
  <si>
    <t>-601.340161142958 34.8766994219013 -375.978028591948</t>
  </si>
  <si>
    <t>-609.282968142649 32.7435193178442 -459.467496799459</t>
  </si>
  <si>
    <t>-619.633630251587 29.4961065337247 -581.644621269157</t>
  </si>
  <si>
    <t>-608.856280542321 27.8915852602868 -659.242805794424</t>
  </si>
  <si>
    <t>-611.877501021699 62.0977635650124 -529.135324156147</t>
  </si>
  <si>
    <t>-579.030462868743 213.427590236644 -510.215828421342</t>
  </si>
  <si>
    <t>-486.386105007305 250.537593047567 -246.362680672392</t>
  </si>
  <si>
    <t>-261.770057142367 191.414677923139 -247.167705568417</t>
  </si>
  <si>
    <t>-561.126954836407 134.151744393281 -95.1751220296209</t>
  </si>
  <si>
    <t>-604.498998340291 145.797711099226 317.966297279701</t>
  </si>
  <si>
    <t>-669.90998323906 174.223926438381 775.412241642754</t>
  </si>
  <si>
    <t>-520.220202254595 178.213851834785 834.241423491251</t>
  </si>
  <si>
    <t>-588.256636990439 -73.9969491027068 324.139203696939</t>
  </si>
  <si>
    <t>-651.555901579609 -109.254034990084 781.67544246432</t>
  </si>
  <si>
    <t>-498.682456001677 -128.97493371243 827.769068475009</t>
  </si>
  <si>
    <t>9763-20170724T115345.264350900.bin</t>
  </si>
  <si>
    <t>-564.096911598682 41.4501634316275 -91.0260377915637</t>
  </si>
  <si>
    <t>-581.289406967511 39.0895849437798 -200.371086391645</t>
  </si>
  <si>
    <t>-591.897031375459 36.9161356522777 -292.613105210359</t>
  </si>
  <si>
    <t>-600.877947220484 34.9042032676327 -376.000349073295</t>
  </si>
  <si>
    <t>-608.692161807387 32.7889293052169 -459.502445159737</t>
  </si>
  <si>
    <t>-618.83785804193 29.5658673489827 -581.697467138526</t>
  </si>
  <si>
    <t>-607.938093253177 27.9082845239166 -659.27749645999</t>
  </si>
  <si>
    <t>-611.138527213192 62.1536733466942 -529.171185475306</t>
  </si>
  <si>
    <t>-578.155897929397 213.446852337926 -510.176970494672</t>
  </si>
  <si>
    <t>-485.222129140509 250.857017522474 -246.46808714905</t>
  </si>
  <si>
    <t>-260.567091658947 191.877927468247 -246.804533535159</t>
  </si>
  <si>
    <t>-560.870435063749 134.08166564469 -95.1456592509942</t>
  </si>
  <si>
    <t>-604.431410498654 145.735563662216 317.975715966394</t>
  </si>
  <si>
    <t>-669.92496947647 174.219883526091 775.417850513973</t>
  </si>
  <si>
    <t>-520.241339952972 178.233253820291 834.261170617159</t>
  </si>
  <si>
    <t>-588.294775338629 -74.0678789146987 324.123207637657</t>
  </si>
  <si>
    <t>-651.534278981366 -109.247736627123 781.673822982248</t>
  </si>
  <si>
    <t>-498.663121383972 -128.99741511707 827.762672275509</t>
  </si>
  <si>
    <t>9763-20170724T115345.331028700.bin</t>
  </si>
  <si>
    <t>-563.761525690112 41.284219256054 -90.99320288872</t>
  </si>
  <si>
    <t>-580.776340751829 38.9762885265898 -200.367188120244</t>
  </si>
  <si>
    <t>-591.192843514163 36.8407842343454 -292.631961987612</t>
  </si>
  <si>
    <t>-599.98441605832 34.8611480623158 -376.040050323867</t>
  </si>
  <si>
    <t>-607.592617231385 32.7746904508115 -459.561900072514</t>
  </si>
  <si>
    <t>-617.418757599406 29.5902434788125 -581.783936903347</t>
  </si>
  <si>
    <t>-606.237093261765 27.8019544510792 -659.320897935167</t>
  </si>
  <si>
    <t>-609.800960095589 62.1553739408928 -529.231893551825</t>
  </si>
  <si>
    <t>-576.625192057972 213.391430927484 -510.168257974414</t>
  </si>
  <si>
    <t>-482.944283853005 251.508373089944 -246.825171594258</t>
  </si>
  <si>
    <t>-258.224248383196 192.776768993642 -246.640642068635</t>
  </si>
  <si>
    <t>-560.429511114926 133.870829968421 -95.0798004004067</t>
  </si>
  <si>
    <t>-604.269603896621 145.533077155992 318.011720623232</t>
  </si>
  <si>
    <t>-669.978151561487 174.112724563731 775.418888469284</t>
  </si>
  <si>
    <t>-520.308551620226 178.222922165806 834.291027321657</t>
  </si>
  <si>
    <t>-588.376002008118 -74.2623950157169 324.091329951397</t>
  </si>
  <si>
    <t>-651.469608153186 -109.236817905899 781.683293335757</t>
  </si>
  <si>
    <t>-498.574887412293 -128.781998253556 827.781217852517</t>
  </si>
  <si>
    <t>9763-20170724T115345.361117500.bin</t>
  </si>
  <si>
    <t>-563.559516983693 41.2320708225525 -90.9802337072741</t>
  </si>
  <si>
    <t>-580.492013367352 38.9353119600817 -200.367203670573</t>
  </si>
  <si>
    <t>-590.834984779563 36.8083872751743 -292.640254504789</t>
  </si>
  <si>
    <t>-599.558497979271 34.8360410286709 -376.055908393843</t>
  </si>
  <si>
    <t>-607.096830505991 32.7567576228835 -459.584284461373</t>
  </si>
  <si>
    <t>-616.819054739819 29.5815955638084 -581.814821928645</t>
  </si>
  <si>
    <t>-605.490430821158 27.7344341355235 -659.329089756886</t>
  </si>
  <si>
    <t>-609.220551858996 62.1399300936689 -529.255707232391</t>
  </si>
  <si>
    <t>-575.937947936146 213.354452039606 -510.190513982484</t>
  </si>
  <si>
    <t>-481.761992691223 251.8081496431 -247.07307945376</t>
  </si>
  <si>
    <t>-256.985818771656 193.29161172576 -246.929117240763</t>
  </si>
  <si>
    <t>-560.200788823435 133.807147450383 -95.0509886289153</t>
  </si>
  <si>
    <t>-604.190106852541 145.461816611004 318.024916531613</t>
  </si>
  <si>
    <t>-670.00198518629 174.065612840852 775.418229208675</t>
  </si>
  <si>
    <t>-520.33948665753 178.217142993134 834.305485006714</t>
  </si>
  <si>
    <t>-588.309286271943 -74.3280672381898 324.090846304369</t>
  </si>
  <si>
    <t>-651.437855743252 -109.253862867436 781.685929369563</t>
  </si>
  <si>
    <t>-498.566456907103 -128.958140898151 827.793405619665</t>
  </si>
  <si>
    <t>9763-20170724T115345.430802000.bin</t>
  </si>
  <si>
    <t>-563.004662244892 41.2403869573056 -90.9403224973864</t>
  </si>
  <si>
    <t>-579.787955823154 38.9755706504184 -200.351002032651</t>
  </si>
  <si>
    <t>-590.024485076794 36.8468813769448 -292.635915279767</t>
  </si>
  <si>
    <t>-598.659693930217 34.8625658825574 -376.060349422521</t>
  </si>
  <si>
    <t>-606.118030045564 32.7593269707052 -459.5952122967</t>
  </si>
  <si>
    <t>-615.732371244372 29.5367924022066 -581.833250243447</t>
  </si>
  <si>
    <t>-604.110269086096 27.57001907166 -659.300971047122</t>
  </si>
  <si>
    <t>-608.133657385785 62.1102735458805 -529.283554087286</t>
  </si>
  <si>
    <t>-574.796906156284 213.322773347637 -510.307929585547</t>
  </si>
  <si>
    <t>-479.353389755326 252.284574016389 -247.722597589962</t>
  </si>
  <si>
    <t>-254.4891065707 194.108240614493 -248.034514331661</t>
  </si>
  <si>
    <t>-559.572429707324 133.873583516245 -94.9974705928939</t>
  </si>
  <si>
    <t>-603.935883926501 145.452169929614 318.040582900089</t>
  </si>
  <si>
    <t>-670.007850898364 174.151878619998 775.402957032698</t>
  </si>
  <si>
    <t>-520.357142041801 178.136420466004 834.331878779674</t>
  </si>
  <si>
    <t>-588.169370017442 -74.4505437170355 324.084976317049</t>
  </si>
  <si>
    <t>-651.344426266582 -109.245905512576 781.689450054284</t>
  </si>
  <si>
    <t>-498.487032211373 -128.921474573598 827.855594680991</t>
  </si>
  <si>
    <t>9763-20170724T115345.461903200.bin</t>
  </si>
  <si>
    <t>-562.692181560931 41.3018158779373 -90.9315425310559</t>
  </si>
  <si>
    <t>-579.419565025089 39.0633555675943 -200.351355804236</t>
  </si>
  <si>
    <t>-589.621061203415 36.93819873247 -292.64026741391</t>
  </si>
  <si>
    <t>-598.229706682116 34.9500281107187 -376.067368352015</t>
  </si>
  <si>
    <t>-605.666510472433 32.8361742076036 -459.603946295225</t>
  </si>
  <si>
    <t>-615.255130069509 29.5903460889317 -581.84316963965</t>
  </si>
  <si>
    <t>-603.505227295556 27.5754908102861 -659.290601363424</t>
  </si>
  <si>
    <t>-607.639858867758 62.170928729669 -529.300334459234</t>
  </si>
  <si>
    <t>-574.207704870526 213.372803417072 -510.410500828701</t>
  </si>
  <si>
    <t>-478.322003284422 252.56537384143 -248.020605991521</t>
  </si>
  <si>
    <t>-253.404494889179 194.596927432548 -248.575267170643</t>
  </si>
  <si>
    <t>-559.187487613699 133.958652668658 -94.9684020260087</t>
  </si>
  <si>
    <t>-603.752102550702 145.425308211859 318.051128061954</t>
  </si>
  <si>
    <t>-670.017122132904 174.13331457007 775.387331361415</t>
  </si>
  <si>
    <t>-520.383503376135 178.127177980322 834.358807673084</t>
  </si>
  <si>
    <t>-588.070915568276 -74.4985268436812 324.086128521045</t>
  </si>
  <si>
    <t>-651.280640133532 -109.240985944443 781.698334141546</t>
  </si>
  <si>
    <t>-498.422945623419 -128.776446048338 827.922944112473</t>
  </si>
  <si>
    <t>9763-20170724T115345.529097200.bin</t>
  </si>
  <si>
    <t>-562.02552640532 41.4423562340407 -90.8609507208824</t>
  </si>
  <si>
    <t>-578.656710303792 39.2497233294312 -200.296301588158</t>
  </si>
  <si>
    <t>-588.813322880307 37.1182826662885 -292.590171393596</t>
  </si>
  <si>
    <t>-597.396250537646 35.1090844203795 -376.019246000489</t>
  </si>
  <si>
    <t>-604.822564556883 32.9577506284481 -459.555886421346</t>
  </si>
  <si>
    <t>-614.412743977118 29.6396139873177 -581.793045688873</t>
  </si>
  <si>
    <t>-602.46585580272 27.4989112691567 -659.206900922442</t>
  </si>
  <si>
    <t>-606.745936749072 62.2454492959714 -529.273276394078</t>
  </si>
  <si>
    <t>-573.17882238893 213.447622474225 -510.581334312105</t>
  </si>
  <si>
    <t>-476.428151395911 253.35318044568 -248.616731209743</t>
  </si>
  <si>
    <t>-251.395166640276 195.838051338382 -249.452482277032</t>
  </si>
  <si>
    <t>-558.282218660986 134.204770546435 -94.8833727627676</t>
  </si>
  <si>
    <t>-603.29713492072 145.449932101071 318.093337289129</t>
  </si>
  <si>
    <t>-670.041237340771 174.102474831358 775.357801222322</t>
  </si>
  <si>
    <t>-520.440230130721 178.101057024824 834.411781426693</t>
  </si>
  <si>
    <t>-587.802324189074 -74.5389982286781 324.124648833562</t>
  </si>
  <si>
    <t>-651.159258823815 -109.282123194712 781.724718323558</t>
  </si>
  <si>
    <t>-498.379945142119 -129.132808392759 828.074024747112</t>
  </si>
  <si>
    <t>9763-20170724T115345.567215100.bin</t>
  </si>
  <si>
    <t>-561.620093691798 41.5071559430603 -90.81976302816</t>
  </si>
  <si>
    <t>-578.201981819567 39.3487215868026 -200.263291607097</t>
  </si>
  <si>
    <t>-588.349052746903 37.2214332397448 -292.558207094386</t>
  </si>
  <si>
    <t>-596.936447852932 35.2072041138742 -375.986758420361</t>
  </si>
  <si>
    <t>-604.380391980829 33.0421648644347 -459.521470771825</t>
  </si>
  <si>
    <t>-614.011098757916 29.6940964311038 -581.754772675809</t>
  </si>
  <si>
    <t>-602.023264489728 27.4747627503111 -659.159830793337</t>
  </si>
  <si>
    <t>-606.298320932186 62.3094894439398 -529.24759497422</t>
  </si>
  <si>
    <t>-572.638313995426 213.504801236017 -510.690076033316</t>
  </si>
  <si>
    <t>-475.54904939315 253.916314672823 -248.928406754791</t>
  </si>
  <si>
    <t>-250.475874389181 196.560834534656 -249.900559935879</t>
  </si>
  <si>
    <t>-613.272146655005 0.0168149143487426 -526.991920226041</t>
  </si>
  <si>
    <t>-557.794952943456 134.280590715334 -94.8343172473859</t>
  </si>
  <si>
    <t>-603.069766175985 145.473136575931 318.115432369751</t>
  </si>
  <si>
    <t>-670.065423788252 174.026481448054 775.343869612537</t>
  </si>
  <si>
    <t>-520.481230921017 178.115209887261 834.434307568541</t>
  </si>
  <si>
    <t>-587.645803710538 -74.5537996045896 324.144527001464</t>
  </si>
  <si>
    <t>-651.101733117175 -109.279458295717 781.732830030903</t>
  </si>
  <si>
    <t>-498.341644267164 -129.164293206053 828.130864905423</t>
  </si>
  <si>
    <t>9763-20170724T115345.629886500.bin</t>
  </si>
  <si>
    <t>-560.815600014593 41.6634922416147 -90.7146643745867</t>
  </si>
  <si>
    <t>-577.303379953505 39.545918716879 -200.173169681226</t>
  </si>
  <si>
    <t>-587.382605251744 37.4137689462248 -292.47534661234</t>
  </si>
  <si>
    <t>-595.913567881494 35.3811726518657 -375.909331242855</t>
  </si>
  <si>
    <t>-603.306257538307 33.182677757942 -459.447583630808</t>
  </si>
  <si>
    <t>-612.86785983251 29.7693963898823 -581.684518391748</t>
  </si>
  <si>
    <t>-600.836122376625 27.3960175802954 -659.078430789523</t>
  </si>
  <si>
    <t>-605.126112030738 62.4060637109196 -529.195000238658</t>
  </si>
  <si>
    <t>-571.324384162095 213.594676759033 -510.840081143452</t>
  </si>
  <si>
    <t>-473.593336894543 254.984205558823 -249.470363351816</t>
  </si>
  <si>
    <t>-248.367237060512 198.235462351651 -250.615276159385</t>
  </si>
  <si>
    <t>-612.218507839804 0.128179902680813 -526.901088345195</t>
  </si>
  <si>
    <t>-556.824886832431 134.418473204801 -94.7302772661467</t>
  </si>
  <si>
    <t>-602.598668433679 145.48762469102 318.167832987103</t>
  </si>
  <si>
    <t>-670.09080024432 173.985189220125 775.3253295643</t>
  </si>
  <si>
    <t>-520.536368501109 178.228828043462 834.480030654808</t>
  </si>
  <si>
    <t>-587.289747982228 -74.5050966490787 324.208420530921</t>
  </si>
  <si>
    <t>-651.009485662882 -109.286604180492 781.742434509368</t>
  </si>
  <si>
    <t>-498.278786186881 -129.247519310455 828.204520550064</t>
  </si>
  <si>
    <t>9763-20170724T115345.662624200.bin</t>
  </si>
  <si>
    <t>-560.366054644624 41.6924548831851 -90.685261710993</t>
  </si>
  <si>
    <t>-576.789481187748 39.5917125341036 -200.153757440379</t>
  </si>
  <si>
    <t>-586.81034419968 37.4473508759625 -292.462074096997</t>
  </si>
  <si>
    <t>-595.287104827656 35.3937522531623 -375.900983220205</t>
  </si>
  <si>
    <t>-602.624300676693 33.1637107526876 -459.443459106034</t>
  </si>
  <si>
    <t>-612.103449918206 29.693085298986 -581.685051795469</t>
  </si>
  <si>
    <t>-600.066477407248 27.259424896889 -659.07620933852</t>
  </si>
  <si>
    <t>-604.363116883273 62.3503596872713 -529.20820538677</t>
  </si>
  <si>
    <t>-570.47304463846 213.530530244132 -510.936195822227</t>
  </si>
  <si>
    <t>-472.514076948408 255.476099843699 -249.740498403366</t>
  </si>
  <si>
    <t>-247.234268812924 198.941177954409 -250.898128095277</t>
  </si>
  <si>
    <t>-611.525050243547 0.0815360072235762 -526.884838458244</t>
  </si>
  <si>
    <t>-556.283192653317 134.438350876536 -94.6856066428501</t>
  </si>
  <si>
    <t>-602.338692653898 145.504345402311 318.181249567085</t>
  </si>
  <si>
    <t>-670.099233896714 173.959883189774 775.309694122306</t>
  </si>
  <si>
    <t>-520.561905242186 178.233684709865 834.505595730655</t>
  </si>
  <si>
    <t>-587.082580408541 -74.56162009795 324.219911169209</t>
  </si>
  <si>
    <t>-650.949377140037 -109.314242532999 781.746949940639</t>
  </si>
  <si>
    <t>-498.252445557149 -129.384335650703 828.272887412316</t>
  </si>
  <si>
    <t>9763-20170724T115345.730783300.bin</t>
  </si>
  <si>
    <t>-559.420921215029 41.7146559873329 -90.6002521779246</t>
  </si>
  <si>
    <t>-575.738500643436 39.6599092332438 -200.085481984657</t>
  </si>
  <si>
    <t>-585.680961780677 37.4911225572457 -292.401684442951</t>
  </si>
  <si>
    <t>-594.091813857398 35.3916510830757 -375.846175238496</t>
  </si>
  <si>
    <t>-601.368309835755 33.0912503834038 -459.391864671643</t>
  </si>
  <si>
    <t>-610.765059545079 29.490267727796 -581.636208827091</t>
  </si>
  <si>
    <t>-598.756122213122 26.9845781416277 -659.029515606655</t>
  </si>
  <si>
    <t>-603.012466463526 62.197916613866 -529.192421125224</t>
  </si>
  <si>
    <t>-569.053440295904 213.389777925844 -511.160382189351</t>
  </si>
  <si>
    <t>-470.706329006114 256.216546130887 -250.253774100234</t>
  </si>
  <si>
    <t>-245.365214153895 199.924600154 -251.315745774646</t>
  </si>
  <si>
    <t>-555.215710055902 134.560396261033 -94.5913039800955</t>
  </si>
  <si>
    <t>-601.815479253495 145.431022632058 318.219677595982</t>
  </si>
  <si>
    <t>-670.115180340525 173.874427855189 775.265649008376</t>
  </si>
  <si>
    <t>-520.626393587433 178.128011897819 834.585390778767</t>
  </si>
  <si>
    <t>-586.702485919535 -74.6667562427588 324.264116762102</t>
  </si>
  <si>
    <t>-650.795290320041 -109.341263536352 781.77564195462</t>
  </si>
  <si>
    <t>-498.158313464159 -129.485374224125 828.466042640605</t>
  </si>
  <si>
    <t>9763-20170724T115345.765518200.bin</t>
  </si>
  <si>
    <t>-558.974302547593 41.7524261956103 -90.551107821893</t>
  </si>
  <si>
    <t>-575.25238149065 39.7060625510071 -200.042382135943</t>
  </si>
  <si>
    <t>-585.16638560547 37.5239494785228 -292.361208524924</t>
  </si>
  <si>
    <t>-593.553470898833 35.4053002665983 -375.807649974962</t>
  </si>
  <si>
    <t>-600.808468193051 33.0775036817813 -459.354521461857</t>
  </si>
  <si>
    <t>-610.176270282681 29.4282207802285 -581.599675452612</t>
  </si>
  <si>
    <t>-598.187567069777 26.9051137123481 -658.995393256393</t>
  </si>
  <si>
    <t>-602.419245406535 62.1545128028861 -529.168104938805</t>
  </si>
  <si>
    <t>-568.462421332377 213.351268709849 -511.215526297493</t>
  </si>
  <si>
    <t>-469.83267232444 256.682865811515 -250.498995169566</t>
  </si>
  <si>
    <t>-244.48253746382 200.427965182904 -251.609348311415</t>
  </si>
  <si>
    <t>-554.738568038738 134.624907684522 -94.5432070011914</t>
  </si>
  <si>
    <t>-601.588392710925 145.399688448175 318.242014315949</t>
  </si>
  <si>
    <t>-670.11430306877 173.867044402627 775.247501972137</t>
  </si>
  <si>
    <t>-520.652346857397 178.240870942816 834.626191372938</t>
  </si>
  <si>
    <t>-586.492135629702 -74.6656959480763 324.292356525493</t>
  </si>
  <si>
    <t>-650.7370007768 -109.335855672265 781.784889457706</t>
  </si>
  <si>
    <t>-498.121154065573 -129.509082949168 828.531755168421</t>
  </si>
  <si>
    <t>9763-20170724T115345.828176500.bin</t>
  </si>
  <si>
    <t>-558.152268951484 41.9428187132253 -90.4640700815703</t>
  </si>
  <si>
    <t>-574.378712867936 39.9145593106562 -199.963394220908</t>
  </si>
  <si>
    <t>-584.291993918283 37.7247210668579 -292.282179468244</t>
  </si>
  <si>
    <t>-592.695852169484 35.5904628471371 -375.726554148843</t>
  </si>
  <si>
    <t>-599.98527460358 33.2385707492094 -459.269679612901</t>
  </si>
  <si>
    <t>-609.422877866109 29.5447882242072 -581.508131533656</t>
  </si>
  <si>
    <t>-597.504009993305 27.0327302831413 -658.9149965975</t>
  </si>
  <si>
    <t>-601.621878147748 62.2884430677402 -529.094038481723</t>
  </si>
  <si>
    <t>-567.57414689838 213.47548841627 -511.198769921931</t>
  </si>
  <si>
    <t>-468.290552932656 257.26596234239 -250.807201291502</t>
  </si>
  <si>
    <t>-242.92860711944 201.063112372885 -252.13720899621</t>
  </si>
  <si>
    <t>-608.941657172913 0.0425652293952226 -526.647933555962</t>
  </si>
  <si>
    <t>-553.91274361148 134.852721671068 -94.4427978857293</t>
  </si>
  <si>
    <t>-601.166218366545 145.506721617594 318.299485542487</t>
  </si>
  <si>
    <t>-670.112233317729 173.874539787092 775.235234735856</t>
  </si>
  <si>
    <t>-520.690081554624 178.136902763915 834.722025603908</t>
  </si>
  <si>
    <t>-585.963478175015 -74.6106788126269 324.358067645833</t>
  </si>
  <si>
    <t>-650.621229443017 -109.349593802568 781.793527431892</t>
  </si>
  <si>
    <t>-498.079328074317 -129.81424079456 828.654876790426</t>
  </si>
  <si>
    <t>9763-20170724T115345.865294800.bin</t>
  </si>
  <si>
    <t>-557.772784319761 42.0918573033764 -90.4397935249406</t>
  </si>
  <si>
    <t>-573.976189862314 40.0722162210354 -199.942576697525</t>
  </si>
  <si>
    <t>-583.904475096743 37.8719667511889 -292.259606051234</t>
  </si>
  <si>
    <t>-592.335926327724 35.7215149874755 -375.700666346091</t>
  </si>
  <si>
    <t>-599.667031647533 33.3470480575852 -459.239584944552</t>
  </si>
  <si>
    <t>-609.18126622518 29.6132221448213 -581.470716195119</t>
  </si>
  <si>
    <t>-597.293422977708 27.1056826884917 -658.882716545808</t>
  </si>
  <si>
    <t>-601.339823960174 62.3731605566845 -529.072851200536</t>
  </si>
  <si>
    <t>-567.254106953548 213.5577838029 -511.203287060147</t>
  </si>
  <si>
    <t>-467.718605181278 257.389039278118 -250.914740504438</t>
  </si>
  <si>
    <t>-242.346998230573 201.225079777264 -252.249211905464</t>
  </si>
  <si>
    <t>-608.673189750405 0.130031705851934 -526.600680585012</t>
  </si>
  <si>
    <t>-553.539064905163 135.043876060403 -94.4138484430641</t>
  </si>
  <si>
    <t>-601.00562810542 145.62179802666 318.305909862762</t>
  </si>
  <si>
    <t>-670.09743377796 173.920501827388 775.232373756915</t>
  </si>
  <si>
    <t>-520.701458587245 178.155752731758 834.786810626436</t>
  </si>
  <si>
    <t>-585.72236388894 -74.5509380222891 324.375613781017</t>
  </si>
  <si>
    <t>-650.542520679104 -109.321025302019 781.792454628843</t>
  </si>
  <si>
    <t>-497.995570789194 -129.557235026756 828.736563535398</t>
  </si>
  <si>
    <t>9763-20170724T115345.930478500.bin</t>
  </si>
  <si>
    <t>-557.065117146486 42.3724477532401 -90.3479069399065</t>
  </si>
  <si>
    <t>-573.243339150369 40.3624292224415 -199.854676252667</t>
  </si>
  <si>
    <t>-583.208904514462 38.1487561590116 -292.1672650801</t>
  </si>
  <si>
    <t>-591.697716299915 35.978771386619 -375.602056595318</t>
  </si>
  <si>
    <t>-599.11020352611 33.57714393284 -459.133069938326</t>
  </si>
  <si>
    <t>-608.769698496236 29.7960812954439 -581.35137449567</t>
  </si>
  <si>
    <t>-596.943173099498 27.3017137461893 -658.773038832969</t>
  </si>
  <si>
    <t>-600.850832352113 62.5745210977445 -528.976704253062</t>
  </si>
  <si>
    <t>-566.612262414511 213.729646485822 -511.160266985128</t>
  </si>
  <si>
    <t>-467.14324829135 257.646350955281 -250.860853423787</t>
  </si>
  <si>
    <t>-241.705446626965 201.752871633387 -252.358922196981</t>
  </si>
  <si>
    <t>-608.211541068553 0.335969468422036 -526.46935704236</t>
  </si>
  <si>
    <t>-552.819163915541 135.348748099416 -94.3328787788971</t>
  </si>
  <si>
    <t>-600.664055921139 145.708298293488 318.34873815155</t>
  </si>
  <si>
    <t>-670.104485359352 173.771756306432 775.24556003988</t>
  </si>
  <si>
    <t>-520.775124831647 178.222669565103 834.95112069312</t>
  </si>
  <si>
    <t>-585.301509858003 -74.3744213943373 324.457215122659</t>
  </si>
  <si>
    <t>-650.384533750814 -109.324823487077 781.818946723973</t>
  </si>
  <si>
    <t>-497.906117532208 -129.653290139298 828.945464693623</t>
  </si>
  <si>
    <t>9763-20170724T115345.962997900.bin</t>
  </si>
  <si>
    <t>-556.698161953759 42.4723372141286 -90.3162502205313</t>
  </si>
  <si>
    <t>-572.876157799425 40.4581802005821 -199.82292640633</t>
  </si>
  <si>
    <t>-582.869094744628 38.2255718714152 -292.132263833923</t>
  </si>
  <si>
    <t>-591.393882316239 36.032862438766 -375.562677702627</t>
  </si>
  <si>
    <t>-598.853630595644 33.6030758881782 -459.08866421619</t>
  </si>
  <si>
    <t>-608.594831161249 29.7748283729829 -581.299052093579</t>
  </si>
  <si>
    <t>-596.814437564222 27.2763841772669 -658.72767981385</t>
  </si>
  <si>
    <t>-600.626143743686 62.5716529364543 -528.943432542202</t>
  </si>
  <si>
    <t>-566.24261556766 213.696731918488 -511.105302388393</t>
  </si>
  <si>
    <t>-467.036796916076 257.764877747974 -250.730990244459</t>
  </si>
  <si>
    <t>-241.585971790932 201.925147976714 -252.27578890119</t>
  </si>
  <si>
    <t>-608.014774800096 0.337710162490339 -526.404921240667</t>
  </si>
  <si>
    <t>-552.440756225907 135.531585306504 -94.3052355306138</t>
  </si>
  <si>
    <t>-600.497060787174 145.807052420549 318.353932049269</t>
  </si>
  <si>
    <t>-670.066247601148 173.88444037919 775.243649403044</t>
  </si>
  <si>
    <t>-520.766206381572 178.17910889737 835.033974392982</t>
  </si>
  <si>
    <t>-585.181404662568 -74.2713069143294 324.479274760624</t>
  </si>
  <si>
    <t>-650.301039269741 -109.348370582901 781.824606922379</t>
  </si>
  <si>
    <t>-497.902319506993 -129.988966561456 829.073115210406</t>
  </si>
  <si>
    <t>9763-20170724T115346.028175700.bin</t>
  </si>
  <si>
    <t>-556.056949900002 42.3819900898027 -90.3082263381452</t>
  </si>
  <si>
    <t>-572.220095595624 40.3701256300503 -199.81706574634</t>
  </si>
  <si>
    <t>-582.24394756792 38.0926739598128 -292.121906759422</t>
  </si>
  <si>
    <t>-590.814440099243 35.8426022928638 -375.546268715979</t>
  </si>
  <si>
    <t>-598.338135236114 33.3378533715638 -459.064280974034</t>
  </si>
  <si>
    <t>-608.193140110706 29.3806437722346 -581.261434940078</t>
  </si>
  <si>
    <t>-596.50233921772 26.8788794622553 -658.703467655592</t>
  </si>
  <si>
    <t>-600.12501200007 62.2263808907569 -528.951659206794</t>
  </si>
  <si>
    <t>-565.347635665722 213.274067447547 -511.272019154411</t>
  </si>
  <si>
    <t>-467.491715017801 257.620455171626 -250.434461736804</t>
  </si>
  <si>
    <t>-242.033845796044 201.808705636507 -251.960762786723</t>
  </si>
  <si>
    <t>-607.612721468319 0.00751887782712402 -526.332957703413</t>
  </si>
  <si>
    <t>-551.911548291021 135.581853593988 -94.287261639287</t>
  </si>
  <si>
    <t>-600.309202861724 145.750447782114 318.33469883868</t>
  </si>
  <si>
    <t>-670.04427889704 173.772193710265 775.248974296364</t>
  </si>
  <si>
    <t>-520.83386064573 178.23370846057 835.25038034276</t>
  </si>
  <si>
    <t>-585.053761666233 -74.1140713778432 324.514044990403</t>
  </si>
  <si>
    <t>-650.055528251933 -109.422249131057 781.874806299079</t>
  </si>
  <si>
    <t>-497.788203738438 -130.201525134243 829.484704168274</t>
  </si>
  <si>
    <t>9763-20170724T115346.066284800.bin</t>
  </si>
  <si>
    <t>-555.902847503905 42.2937722994857 -90.2594693837476</t>
  </si>
  <si>
    <t>-572.063492629607 40.277971916415 -199.768727717539</t>
  </si>
  <si>
    <t>-582.115697970767 37.9818883179234 -292.069923886344</t>
  </si>
  <si>
    <t>-590.724200323098 35.7095710930801 -375.489726636957</t>
  </si>
  <si>
    <t>-598.298480859093 33.1768964250184 -459.002235057796</t>
  </si>
  <si>
    <t>-608.241282207039 29.1730495217687 -581.190784156371</t>
  </si>
  <si>
    <t>-596.617849425504 26.6766672555968 -658.643178910083</t>
  </si>
  <si>
    <t>-600.111795807931 62.0358853982113 -528.901408301304</t>
  </si>
  <si>
    <t>-565.183061473455 213.057490741239 -511.328563821386</t>
  </si>
  <si>
    <t>-468.00592590097 257.653763548225 -250.279853261627</t>
  </si>
  <si>
    <t>-242.529962443943 201.914932969691 -251.796837290237</t>
  </si>
  <si>
    <t>-551.818380133053 135.54551831129 -94.2669655362045</t>
  </si>
  <si>
    <t>-600.230143804163 145.625205609624 318.355520191652</t>
  </si>
  <si>
    <t>-670.041215500609 173.670362948317 775.261601111873</t>
  </si>
  <si>
    <t>-520.87861774763 178.382233268069 835.362725831399</t>
  </si>
  <si>
    <t>-584.948139290259 -74.0434098075928 324.57497364743</t>
  </si>
  <si>
    <t>-649.95691915668 -109.445571869904 781.905338923104</t>
  </si>
  <si>
    <t>-497.760112631179 -130.387158393819 829.669357335454</t>
  </si>
  <si>
    <t>9763-20170724T115346.130962100.bin</t>
  </si>
  <si>
    <t>-555.778690754382 42.3053868004124 -90.1535784055225</t>
  </si>
  <si>
    <t>-571.967846883337 40.2380704602017 -199.657711618863</t>
  </si>
  <si>
    <t>-582.140950613131 37.9133250407347 -291.944942194404</t>
  </si>
  <si>
    <t>-590.897427653851 35.6228207727963 -375.348867139591</t>
  </si>
  <si>
    <t>-598.658707774292 33.0788201470373 -458.843812898035</t>
  </si>
  <si>
    <t>-608.917864494867 29.0659516417913 -581.006059236316</t>
  </si>
  <si>
    <t>-597.452930171168 26.5670012833805 -658.481932084234</t>
  </si>
  <si>
    <t>-600.578827316033 61.9232424656655 -528.746107208656</t>
  </si>
  <si>
    <t>-565.107376572582 212.836676165768 -511.334614912041</t>
  </si>
  <si>
    <t>-469.188314185899 257.837232085589 -249.890401732296</t>
  </si>
  <si>
    <t>-243.698307909001 202.15248677199 -251.303754452258</t>
  </si>
  <si>
    <t>-551.767159610634 135.593421695304 -94.2124995907118</t>
  </si>
  <si>
    <t>-600.21791626905 145.585329329943 318.407565757695</t>
  </si>
  <si>
    <t>-670.014887987232 173.791516699258 775.343731432652</t>
  </si>
  <si>
    <t>-520.875225154552 178.276506770023 835.5190105637</t>
  </si>
  <si>
    <t>-584.869097184088 -73.7298373654453 324.709035946007</t>
  </si>
  <si>
    <t>-649.84145757664 -109.374130248273 781.94764628425</t>
  </si>
  <si>
    <t>-497.64211462344 -129.950732309331 829.862108586144</t>
  </si>
  <si>
    <t>9763-20170724T115346.163368000.bin</t>
  </si>
  <si>
    <t>-555.834645426842 42.2816475420386 -90.1171384113767</t>
  </si>
  <si>
    <t>-572.052480295851 40.2113585912227 -199.616836968632</t>
  </si>
  <si>
    <t>-582.317775338662 37.8913651352545 -291.894120012284</t>
  </si>
  <si>
    <t>-591.184925020862 35.6085769676931 -375.286424372863</t>
  </si>
  <si>
    <t>-599.084265636459 33.0763280438216 -458.768891065165</t>
  </si>
  <si>
    <t>-609.575383768838 29.0849352997677 -580.912071338744</t>
  </si>
  <si>
    <t>-598.184540047665 26.568770794569 -658.398374969635</t>
  </si>
  <si>
    <t>-601.106842075685 61.9291730752179 -528.664756365953</t>
  </si>
  <si>
    <t>-565.360902974858 212.787909457618 -511.288277764296</t>
  </si>
  <si>
    <t>-469.970487142301 257.851196559605 -249.661568300278</t>
  </si>
  <si>
    <t>-244.526077073765 201.982958720068 -251.106357934328</t>
  </si>
  <si>
    <t>-551.828225297952 135.576454620967 -94.1858208217049</t>
  </si>
  <si>
    <t>-600.223197611069 145.554941066648 318.441053424248</t>
  </si>
  <si>
    <t>-670.025717210846 173.799703277772 775.384794850429</t>
  </si>
  <si>
    <t>-520.879296617269 178.105439904191 835.556476316744</t>
  </si>
  <si>
    <t>-584.910004982853 -73.630231099482 324.74352738391</t>
  </si>
  <si>
    <t>-649.804940375403 -109.337696890537 781.968596012158</t>
  </si>
  <si>
    <t>-497.641254948556 -130.079846010709 829.924786175814</t>
  </si>
  <si>
    <t>9763-20170724T115346.232552900.bin</t>
  </si>
  <si>
    <t>-556.177753371252 42.0379202260069 -90.1167935353022</t>
  </si>
  <si>
    <t>-572.51637464542 39.9636538378056 -199.598490128474</t>
  </si>
  <si>
    <t>-583.039300532969 37.6508965781818 -291.846787672372</t>
  </si>
  <si>
    <t>-592.201618791715 35.3816679095219 -375.207605244852</t>
  </si>
  <si>
    <t>-600.458980512494 32.869890646489 -458.656191123618</t>
  </si>
  <si>
    <t>-611.542252630553 28.917461928989 -580.748108528582</t>
  </si>
  <si>
    <t>-600.320718060386 26.3342062130869 -658.256914798933</t>
  </si>
  <si>
    <t>-602.780975070697 61.7399581407444 -528.535538850343</t>
  </si>
  <si>
    <t>-566.77774337136 212.549559957429 -511.286344379897</t>
  </si>
  <si>
    <t>-472.219712491604 257.224335572901 -249.291053590807</t>
  </si>
  <si>
    <t>-246.862859066139 201.020838906363 -251.288098876499</t>
  </si>
  <si>
    <t>-552.125679123943 135.37781360721 -94.1897602247769</t>
  </si>
  <si>
    <t>-600.34424440208 145.351963863464 318.457935633206</t>
  </si>
  <si>
    <t>-670.07188479248 173.724525010664 775.420270063694</t>
  </si>
  <si>
    <t>-520.910690667162 177.988567602281 835.55826724309</t>
  </si>
  <si>
    <t>-585.126240109477 -73.5962144942284 324.754956729263</t>
  </si>
  <si>
    <t>-649.795501100186 -109.253080458102 781.991866186473</t>
  </si>
  <si>
    <t>-497.642563902527 -130.130828248424 829.923373244621</t>
  </si>
  <si>
    <t>9763-20170724T115346.265249000.bin</t>
  </si>
  <si>
    <t>-556.420864532664 41.7863119870221 -90.1318463386107</t>
  </si>
  <si>
    <t>-572.848793073754 39.7224243121127 -199.600412464531</t>
  </si>
  <si>
    <t>-583.496928390099 37.42226298178 -291.834745701296</t>
  </si>
  <si>
    <t>-592.792397351195 35.1668400751762 -375.181228832398</t>
  </si>
  <si>
    <t>-601.203031359022 32.6713894491656 -458.614838711877</t>
  </si>
  <si>
    <t>-612.532488891322 28.745868388871 -580.685126373951</t>
  </si>
  <si>
    <t>-601.368579113772 26.1402571860676 -658.201514380728</t>
  </si>
  <si>
    <t>-603.654544224414 61.5554471834214 -528.484015403868</t>
  </si>
  <si>
    <t>-567.563175969006 212.349995663599 -511.267834085339</t>
  </si>
  <si>
    <t>-473.456936705786 256.776152234105 -249.067659862529</t>
  </si>
  <si>
    <t>-248.13608702112 200.44942926397 -251.585817845901</t>
  </si>
  <si>
    <t>-552.356118163202 135.140002100403 -94.2022326502183</t>
  </si>
  <si>
    <t>-600.393710125636 145.139147331172 318.465959039452</t>
  </si>
  <si>
    <t>-670.105404916737 173.632116287635 775.426392862424</t>
  </si>
  <si>
    <t>-520.937973719258 178.100586113526 835.534220354502</t>
  </si>
  <si>
    <t>-585.221709400814 -73.6034785670581 324.757736907927</t>
  </si>
  <si>
    <t>-649.816628723602 -109.195524347591 781.995620797087</t>
  </si>
  <si>
    <t>-497.623519708602 -129.917460800313 829.867087840811</t>
  </si>
  <si>
    <t>9763-20170724T115346.330925000.bin</t>
  </si>
  <si>
    <t>-557.072614614762 41.3370194413951 -90.2428890273944</t>
  </si>
  <si>
    <t>-573.657861189556 39.2433496627054 -199.68714821308</t>
  </si>
  <si>
    <t>-584.525666444114 36.9562881368433 -291.896164802687</t>
  </si>
  <si>
    <t>-594.054355269571 34.7286680019008 -375.217094569332</t>
  </si>
  <si>
    <t>-602.73285179254 32.2776280938836 -458.624590383216</t>
  </si>
  <si>
    <t>-614.491844979665 28.4354641017744 -580.65685679754</t>
  </si>
  <si>
    <t>-603.419785340776 25.813726762384 -658.185891752479</t>
  </si>
  <si>
    <t>-605.40574712049 61.206151380909 -528.467201396748</t>
  </si>
  <si>
    <t>-569.10169050472 211.939258345867 -511.18022224581</t>
  </si>
  <si>
    <t>-475.833426142457 255.939920907467 -248.609146734771</t>
  </si>
  <si>
    <t>-250.489339729633 199.747846666847 -251.929735431891</t>
  </si>
  <si>
    <t>-552.983176688488 134.75094764248 -94.3087054322583</t>
  </si>
  <si>
    <t>-600.660851312979 144.902196281867 318.397445108796</t>
  </si>
  <si>
    <t>-670.111656896135 173.714968492026 775.386544558689</t>
  </si>
  <si>
    <t>-520.909869886189 177.640377901353 835.446934287852</t>
  </si>
  <si>
    <t>-585.605822040802 -73.7770453143833 324.699215949747</t>
  </si>
  <si>
    <t>-649.886762185141 -109.13100575298 781.992517868836</t>
  </si>
  <si>
    <t>-497.686043709291 -130.138083818006 829.715360974589</t>
  </si>
  <si>
    <t>9763-20170724T115346.364096000.bin</t>
  </si>
  <si>
    <t>-557.520562547883 41.0545812885809 -90.3155208013829</t>
  </si>
  <si>
    <t>-574.163495759442 38.9653740402744 -199.751031068359</t>
  </si>
  <si>
    <t>-585.109639623875 36.6947326377826 -291.951113381679</t>
  </si>
  <si>
    <t>-594.720915069593 34.487203325496 -375.263172227053</t>
  </si>
  <si>
    <t>-603.493848709592 32.0617979002677 -458.661518366917</t>
  </si>
  <si>
    <t>-615.403852590811 28.2631217582816 -580.680528321997</t>
  </si>
  <si>
    <t>-604.36769059532 25.6521676104385 -658.215047767242</t>
  </si>
  <si>
    <t>-606.255653970287 61.015634227098 -528.490277746452</t>
  </si>
  <si>
    <t>-569.979321523828 211.75159939205 -511.18419462663</t>
  </si>
  <si>
    <t>-477.028202207392 255.64280758047 -248.482315709023</t>
  </si>
  <si>
    <t>-251.651731214609 199.59961213601 -252.106769940407</t>
  </si>
  <si>
    <t>-553.407607777455 134.448983617597 -94.3771004799912</t>
  </si>
  <si>
    <t>-600.867434850903 144.72798837392 318.351002579335</t>
  </si>
  <si>
    <t>-670.124459705579 173.709633277799 775.351483448121</t>
  </si>
  <si>
    <t>-520.909557075411 177.67642481458 835.376493657181</t>
  </si>
  <si>
    <t>-585.89054606123 -74.0136477749491 324.630696991229</t>
  </si>
  <si>
    <t>-649.927770130956 -109.093226447824 781.987599086664</t>
  </si>
  <si>
    <t>-497.683349483006 -129.994044626719 829.617625207027</t>
  </si>
  <si>
    <t>9763-20170724T115346.431779800.bin</t>
  </si>
  <si>
    <t>-558.485974546539 40.4903404647273 -90.4537279129268</t>
  </si>
  <si>
    <t>-575.250248705011 38.3811737333981 -199.8704601383</t>
  </si>
  <si>
    <t>-586.328073159401 36.1359012111736 -292.055442030395</t>
  </si>
  <si>
    <t>-596.069634184576 33.9683246771895 -375.353293949416</t>
  </si>
  <si>
    <t>-604.984140932559 31.6000522783468 -458.738313424569</t>
  </si>
  <si>
    <t>-617.113010408268 27.9047957089895 -580.738882627014</t>
  </si>
  <si>
    <t>-606.141010437551 25.3610228774273 -658.2847738898</t>
  </si>
  <si>
    <t>-607.899758434102 60.6168241624625 -528.534644227866</t>
  </si>
  <si>
    <t>-571.764609070042 211.360940535558 -511.027237325584</t>
  </si>
  <si>
    <t>-479.124197520198 255.155773031644 -248.199619918216</t>
  </si>
  <si>
    <t>-253.661539297349 199.481590283608 -252.137759440065</t>
  </si>
  <si>
    <t>-554.321387865246 133.750740246602 -94.5324119768959</t>
  </si>
  <si>
    <t>-601.312748756612 144.266168647693 318.243376623101</t>
  </si>
  <si>
    <t>-670.202447201842 173.533604184371 775.278087671289</t>
  </si>
  <si>
    <t>-520.94959853785 177.596996334886 835.202252969415</t>
  </si>
  <si>
    <t>-586.48354313122 -74.3355040504098 324.519133210283</t>
  </si>
  <si>
    <t>-650.033709369673 -108.980352441919 781.965292760935</t>
  </si>
  <si>
    <t>-497.681318007387 -129.636333134029 829.356269422168</t>
  </si>
  <si>
    <t>9763-20170724T115346.464069300.bin</t>
  </si>
  <si>
    <t>-558.920556457603 40.2449814944694 -90.5331689750313</t>
  </si>
  <si>
    <t>-575.745043589045 38.1344237076912 -199.940493472254</t>
  </si>
  <si>
    <t>-586.847989745046 35.9081107729799 -292.122983315492</t>
  </si>
  <si>
    <t>-596.60190325425 33.76483255321 -375.420141515437</t>
  </si>
  <si>
    <t>-605.518031516775 31.4288490264885 -458.805892573429</t>
  </si>
  <si>
    <t>-617.637618616871 27.78858002273 -580.808983760929</t>
  </si>
  <si>
    <t>-606.656684271083 25.317901561448 -658.355994158418</t>
  </si>
  <si>
    <t>-608.445122391596 60.4791801799122 -528.587735623018</t>
  </si>
  <si>
    <t>-572.28876050427 211.205262493028 -510.950018028784</t>
  </si>
  <si>
    <t>-479.982076432138 254.889085566131 -247.986581299675</t>
  </si>
  <si>
    <t>-254.470461943254 199.413959022616 -251.929946882937</t>
  </si>
  <si>
    <t>-554.714492206602 133.411348039301 -94.6020264941861</t>
  </si>
  <si>
    <t>-601.508350916396 144.07328289937 318.192424550893</t>
  </si>
  <si>
    <t>-670.239160714652 173.454791658674 775.230551157378</t>
  </si>
  <si>
    <t>-520.962735480809 177.480492038708 835.098386075437</t>
  </si>
  <si>
    <t>-586.746747832997 -74.4863708964019 324.458399078857</t>
  </si>
  <si>
    <t>-650.103085639571 -108.946727746746 781.94440711717</t>
  </si>
  <si>
    <t>-497.72729487377 -129.747245878591 829.196731022034</t>
  </si>
  <si>
    <t>9763-20170724T115346.531242200.bin</t>
  </si>
  <si>
    <t>-559.54347959745 39.9406822453288 -90.7454649420155</t>
  </si>
  <si>
    <t>-576.424759306842 37.8260456686028 -200.144046520431</t>
  </si>
  <si>
    <t>-587.618471333161 35.6033374847577 -292.315511003859</t>
  </si>
  <si>
    <t>-597.471545710148 33.4666664571785 -375.60117943588</t>
  </si>
  <si>
    <t>-606.504080497304 31.140749462963 -458.974678207775</t>
  </si>
  <si>
    <t>-618.812682490776 27.5194435640171 -580.959531743057</t>
  </si>
  <si>
    <t>-607.938454283062 25.1841335914703 -658.525667192463</t>
  </si>
  <si>
    <t>-609.536102268054 60.2015843162376 -528.747857340519</t>
  </si>
  <si>
    <t>-573.402243790885 210.903944393694 -510.909985563707</t>
  </si>
  <si>
    <t>-481.944325047879 254.326094484435 -247.607004857682</t>
  </si>
  <si>
    <t>-256.37685658267 199.065388588039 -251.362555468464</t>
  </si>
  <si>
    <t>-555.286105501117 132.98399600114 -94.7865369622806</t>
  </si>
  <si>
    <t>-601.901189316694 143.798390156463 318.024214326606</t>
  </si>
  <si>
    <t>-670.271739293661 173.503546741564 775.121918445876</t>
  </si>
  <si>
    <t>-520.957317983581 177.423936739186 834.901937935186</t>
  </si>
  <si>
    <t>-587.219885933124 -74.6164970484617 324.282007602609</t>
  </si>
  <si>
    <t>-650.153738952052 -108.864297638927 781.892856318267</t>
  </si>
  <si>
    <t>-497.705120866786 -129.467858966178 828.996268979093</t>
  </si>
  <si>
    <t>9763-20170724T115346.562970000.bin</t>
  </si>
  <si>
    <t>-559.836656548212 39.7884986159602 -90.8310831194872</t>
  </si>
  <si>
    <t>-576.765040899269 37.6722191261304 -200.222480485729</t>
  </si>
  <si>
    <t>-588.035812814273 35.4599584237774 -292.384787388039</t>
  </si>
  <si>
    <t>-597.973472308207 33.3375062185696 -375.660638630933</t>
  </si>
  <si>
    <t>-607.105567927573 31.0308814575242 -459.023798597092</t>
  </si>
  <si>
    <t>-619.576025492861 27.4439826430878 -580.993328870811</t>
  </si>
  <si>
    <t>-608.774805527644 25.1897541500773 -658.572088174222</t>
  </si>
  <si>
    <t>-610.230983227736 60.1114264880403 -528.784543185856</t>
  </si>
  <si>
    <t>-574.064532625288 210.798466166344 -510.832219421052</t>
  </si>
  <si>
    <t>-482.843752866384 253.796041554801 -247.377165861022</t>
  </si>
  <si>
    <t>-257.271446865557 198.549361110256 -251.047090182447</t>
  </si>
  <si>
    <t>-555.627623802354 132.774897869355 -94.8792786914466</t>
  </si>
  <si>
    <t>-602.059176286986 143.674585897739 317.949918292011</t>
  </si>
  <si>
    <t>-670.292653990575 173.454684135819 775.062629340543</t>
  </si>
  <si>
    <t>-520.973572243495 177.376979746921 834.830774979893</t>
  </si>
  <si>
    <t>-587.358932508971 -74.6302808970645 324.225501243362</t>
  </si>
  <si>
    <t>-650.134685863339 -108.835387730712 781.886139375823</t>
  </si>
  <si>
    <t>-497.683072127416 -129.438119403977 828.980221520816</t>
  </si>
  <si>
    <t>9763-20170724T115346.632155600.bin</t>
  </si>
  <si>
    <t>-560.326975265764 39.7512552819449 -90.9209880306466</t>
  </si>
  <si>
    <t>-577.34642811205 37.6130723954116 -200.297733314086</t>
  </si>
  <si>
    <t>-588.79347349973 35.4129409793632 -292.438659879955</t>
  </si>
  <si>
    <t>-598.930003742297 33.3148291231025 -375.691173106658</t>
  </si>
  <si>
    <t>-608.300752745807 31.0460088284422 -459.028956192301</t>
  </si>
  <si>
    <t>-621.16358067132 27.5297437471711 -580.959742724854</t>
  </si>
  <si>
    <t>-610.521289885967 25.4068373584191 -658.56413399651</t>
  </si>
  <si>
    <t>-611.632531825572 60.1646397327142 -528.76423723752</t>
  </si>
  <si>
    <t>-575.389361642757 210.802067368781 -510.583926889104</t>
  </si>
  <si>
    <t>-483.943727692419 252.980297533515 -247.074453586846</t>
  </si>
  <si>
    <t>-258.395574685603 197.651978128919 -250.990301795351</t>
  </si>
  <si>
    <t>-556.117809586259 132.660727061229 -94.9830716478492</t>
  </si>
  <si>
    <t>-602.406043026981 143.619615635613 317.860626265991</t>
  </si>
  <si>
    <t>-670.335536598285 173.469611888931 774.999793872709</t>
  </si>
  <si>
    <t>-520.992255152345 177.282191347703 834.714733533918</t>
  </si>
  <si>
    <t>-587.598073697681 -74.5892155479789 324.182943929853</t>
  </si>
  <si>
    <t>-650.141518923589 -108.765671084442 781.862805775349</t>
  </si>
  <si>
    <t>-497.621029388207 -129.030100239564 828.880599781904</t>
  </si>
  <si>
    <t>9763-20170724T115346.660842400.bin</t>
  </si>
  <si>
    <t>-560.502552616009 39.7883788732952 -90.9697021734073</t>
  </si>
  <si>
    <t>-577.59317264478 37.6435693565493 -200.3351851568</t>
  </si>
  <si>
    <t>-589.169430659784 35.4520615512893 -292.460200024581</t>
  </si>
  <si>
    <t>-599.450391853801 33.368134148634 -375.695305909252</t>
  </si>
  <si>
    <t>-608.993231689757 31.1206935180328 -459.014157712089</t>
  </si>
  <si>
    <t>-622.138013400071 27.6436712107459 -580.916012373401</t>
  </si>
  <si>
    <t>-611.627263863185 25.5883098704508 -658.540059705911</t>
  </si>
  <si>
    <t>-612.486878213528 60.2618342236265 -528.732114105757</t>
  </si>
  <si>
    <t>-576.210975737219 210.874436685717 -510.376156236352</t>
  </si>
  <si>
    <t>-484.334184726985 252.457835535654 -246.922086826227</t>
  </si>
  <si>
    <t>-258.813269364267 197.038726518806 -251.113217770516</t>
  </si>
  <si>
    <t>-556.287545670848 132.613533131764 -95.0376289352899</t>
  </si>
  <si>
    <t>-602.50754497766 143.603208774275 317.812890893075</t>
  </si>
  <si>
    <t>-670.37535721031 173.414783343555 774.971115595093</t>
  </si>
  <si>
    <t>-521.024040845764 177.363808579617 834.657066145485</t>
  </si>
  <si>
    <t>-587.714263606896 -74.5243505129113 324.154203108503</t>
  </si>
  <si>
    <t>-650.143297384042 -108.708258938272 781.847125348535</t>
  </si>
  <si>
    <t>-497.585167959882 -128.791519709118 828.820491976721</t>
  </si>
  <si>
    <t>9763-20170724T115346.730028000.bin</t>
  </si>
  <si>
    <t>-560.716039489125 39.9243935967227 -91.0157181982015</t>
  </si>
  <si>
    <t>-577.968842646213 37.7782732607084 -200.355769844097</t>
  </si>
  <si>
    <t>-589.809294527899 35.6151780739942 -292.44781050648</t>
  </si>
  <si>
    <t>-600.379818171838 33.570663163478 -375.647735920705</t>
  </si>
  <si>
    <t>-610.263099302833 31.3775006554374 -458.928281786783</t>
  </si>
  <si>
    <t>-623.961232022248 27.9970025122682 -580.771860128804</t>
  </si>
  <si>
    <t>-613.720842701787 26.0579977407804 -658.43511886053</t>
  </si>
  <si>
    <t>-614.083678631082 60.5751340808556 -528.605403798052</t>
  </si>
  <si>
    <t>-577.73397236282 211.128289542509 -509.929725860265</t>
  </si>
  <si>
    <t>-485.205929799009 251.617349880117 -246.533154699538</t>
  </si>
  <si>
    <t>-259.730680631041 196.066222702771 -251.382666430087</t>
  </si>
  <si>
    <t>-556.433990195231 132.756844661833 -95.1216593436698</t>
  </si>
  <si>
    <t>-602.527481961536 143.662389443315 317.745187534953</t>
  </si>
  <si>
    <t>-670.404413930712 173.474982746557 774.902934765052</t>
  </si>
  <si>
    <t>-521.034296320439 177.140736545756 834.559884824049</t>
  </si>
  <si>
    <t>-587.817229684282 -74.3384333307256 324.118990534865</t>
  </si>
  <si>
    <t>-650.121778253512 -108.670412792888 781.825327799315</t>
  </si>
  <si>
    <t>-497.579877982484 -128.95262125667 828.766070289719</t>
  </si>
  <si>
    <t>9763-20170724T115346.764128900.bin</t>
  </si>
  <si>
    <t>-560.803554769914 39.9501977450802 -91.0308842205096</t>
  </si>
  <si>
    <t>-578.165707933486 37.8179587539748 -200.353891671844</t>
  </si>
  <si>
    <t>-590.138724938747 35.6869069224158 -292.429497769951</t>
  </si>
  <si>
    <t>-600.845026467504 33.680094098399 -375.613014500172</t>
  </si>
  <si>
    <t>-610.880137874162 31.5335926305497 -458.876565117436</t>
  </si>
  <si>
    <t>-624.817613889086 28.231839741411 -580.695131020846</t>
  </si>
  <si>
    <t>-614.671261939329 26.3364105245917 -658.371928998734</t>
  </si>
  <si>
    <t>-614.859942915174 60.7792108030981 -528.524736388344</t>
  </si>
  <si>
    <t>-578.502815996913 211.317799711475 -509.714074145303</t>
  </si>
  <si>
    <t>-485.628114433239 251.207768106499 -246.348102047523</t>
  </si>
  <si>
    <t>-260.160747210211 195.64994591586 -251.479413400482</t>
  </si>
  <si>
    <t>-556.5408924303 132.76032589945 -95.1412844101714</t>
  </si>
  <si>
    <t>-602.505031803357 143.625951804939 317.741077343927</t>
  </si>
  <si>
    <t>-670.440896739978 173.380756934356 774.875559809849</t>
  </si>
  <si>
    <t>-521.074121711694 177.218941947317 834.530017050304</t>
  </si>
  <si>
    <t>-587.779448367371 -74.2592628754574 324.116226361271</t>
  </si>
  <si>
    <t>-650.091886268774 -108.67464043719 781.825547226436</t>
  </si>
  <si>
    <t>-497.581786998735 -129.138139592926 828.79079525312</t>
  </si>
  <si>
    <t>9763-20170724T115346.827808000.bin</t>
  </si>
  <si>
    <t>-561.032235398547 40.0050286136966 -91.0245375480669</t>
  </si>
  <si>
    <t>-578.541782186117 37.8783825046278 -200.324020789992</t>
  </si>
  <si>
    <t>-590.693910154301 35.8003069535675 -292.377556212859</t>
  </si>
  <si>
    <t>-601.583574607638 33.860592548039 -375.538831902821</t>
  </si>
  <si>
    <t>-611.823463228885 31.8014055406568 -458.779642367325</t>
  </si>
  <si>
    <t>-626.083615605654 28.6496293324856 -580.564814196153</t>
  </si>
  <si>
    <t>-615.936105260146 26.7957261853562 -658.242422031879</t>
  </si>
  <si>
    <t>-616.019807924837 61.1367379560359 -528.377230299882</t>
  </si>
  <si>
    <t>-579.714784055743 211.663114077493 -509.330472386791</t>
  </si>
  <si>
    <t>-486.15947421847 250.559413569954 -246.056638097651</t>
  </si>
  <si>
    <t>-260.705379720523 194.970539498087 -251.428524137339</t>
  </si>
  <si>
    <t>-556.846111603569 132.871140704452 -95.1522015188471</t>
  </si>
  <si>
    <t>-602.608508113823 143.640923389627 317.755079515182</t>
  </si>
  <si>
    <t>-670.457421246953 173.430999175986 774.858156601729</t>
  </si>
  <si>
    <t>-521.084001412187 177.042121300802 834.510120440494</t>
  </si>
  <si>
    <t>-587.791609501366 -74.1677308483895 324.129445085338</t>
  </si>
  <si>
    <t>-650.050217988382 -108.649148038543 781.817222396059</t>
  </si>
  <si>
    <t>-497.544314121048 -129.11181326177 828.79651004185</t>
  </si>
  <si>
    <t>9763-20170724T115346.866411800.bin</t>
  </si>
  <si>
    <t>-561.144374948804 40.0091098800974 -91.0310430549785</t>
  </si>
  <si>
    <t>-578.688831833489 37.8938429496536 -200.325124630158</t>
  </si>
  <si>
    <t>-590.899292428902 35.8427764553912 -292.37153860267</t>
  </si>
  <si>
    <t>-601.853149058056 33.9343672703342 -375.525104249324</t>
  </si>
  <si>
    <t>-612.168746109615 31.9136012208519 -458.757487250262</t>
  </si>
  <si>
    <t>-626.551920507993 28.8264531935256 -580.529919246233</t>
  </si>
  <si>
    <t>-616.326649841745 26.9858617749323 -658.197617986033</t>
  </si>
  <si>
    <t>-616.454839070683 61.2884015107279 -528.333109306176</t>
  </si>
  <si>
    <t>-580.258000117591 211.820118785003 -509.200962338067</t>
  </si>
  <si>
    <t>-486.439971492051 250.33681019342 -245.964795001955</t>
  </si>
  <si>
    <t>-260.999003355762 194.70273162177 -251.418812926384</t>
  </si>
  <si>
    <t>-556.999649484417 132.840933463608 -95.1483594509488</t>
  </si>
  <si>
    <t>-602.701353723296 143.634916179798 317.765007112061</t>
  </si>
  <si>
    <t>-670.47556467253 173.421101707427 774.866370702865</t>
  </si>
  <si>
    <t>-521.098519040592 177.059562707106 834.507651407516</t>
  </si>
  <si>
    <t>-587.822325417166 -74.1404945298732 324.11739099873</t>
  </si>
  <si>
    <t>-650.025291815496 -108.611372300776 781.807678357485</t>
  </si>
  <si>
    <t>-497.482551754191 -128.783788242476 828.792880789618</t>
  </si>
  <si>
    <t>9763-20170724T115346.928585600.bin</t>
  </si>
  <si>
    <t>-561.487520719832 40.0610452897308 -91.0721864513835</t>
  </si>
  <si>
    <t>-579.124753977973 37.953161179212 -200.351538120442</t>
  </si>
  <si>
    <t>-591.397866361579 35.9580135713054 -292.390774567312</t>
  </si>
  <si>
    <t>-602.401636789617 34.1193917854 -375.539290338962</t>
  </si>
  <si>
    <t>-612.760012745712 32.1883977148457 -458.768582455035</t>
  </si>
  <si>
    <t>-627.197865817871 29.2537341002467 -580.538305620574</t>
  </si>
  <si>
    <t>-616.950823374824 27.530884020129 -658.205851829998</t>
  </si>
  <si>
    <t>-617.091582025897 61.6521348613683 -528.303733731084</t>
  </si>
  <si>
    <t>-581.043539620784 212.186091238426 -508.8934893953</t>
  </si>
  <si>
    <t>-486.933225270593 250.221472555033 -245.691828847714</t>
  </si>
  <si>
    <t>-261.521852391007 194.492386188596 -251.393942115839</t>
  </si>
  <si>
    <t>-557.404028924739 132.895431565712 -95.1775901689122</t>
  </si>
  <si>
    <t>-602.871268994881 143.599312374546 317.763993945876</t>
  </si>
  <si>
    <t>-670.519813449221 173.35186175522 774.89846482716</t>
  </si>
  <si>
    <t>-521.138345214553 177.0338733971 834.525958441171</t>
  </si>
  <si>
    <t>-587.86384696877 -74.0295320167838 324.09230769898</t>
  </si>
  <si>
    <t>-649.964416444042 -108.590397339302 781.803122459181</t>
  </si>
  <si>
    <t>-497.444996610086 -128.830854793238 828.834728745999</t>
  </si>
  <si>
    <t>9763-20170724T115346.964365700.bin</t>
  </si>
  <si>
    <t>-561.697062784989 40.1026216460837 -91.0832292275645</t>
  </si>
  <si>
    <t>-579.375983955903 38.0100633541572 -200.356122383698</t>
  </si>
  <si>
    <t>-591.632303799189 36.0388953088882 -292.398241533765</t>
  </si>
  <si>
    <t>-602.599781128074 34.226309942751 -375.552082155095</t>
  </si>
  <si>
    <t>-612.900950286995 32.3245219078751 -458.789095629657</t>
  </si>
  <si>
    <t>-627.231736673508 29.4367418503 -580.572623726089</t>
  </si>
  <si>
    <t>-616.983427036424 27.8061610907432 -658.241977987372</t>
  </si>
  <si>
    <t>-617.170241416037 61.8148396928011 -528.316808733263</t>
  </si>
  <si>
    <t>-581.092528702517 212.323792297876 -508.769414769395</t>
  </si>
  <si>
    <t>-487.114875103386 250.125054663627 -245.486538294406</t>
  </si>
  <si>
    <t>-261.706602092211 194.397507789315 -251.324690638897</t>
  </si>
  <si>
    <t>-557.640536206001 132.966278485614 -95.1835791168596</t>
  </si>
  <si>
    <t>-602.991473376729 143.645989189539 317.771453222537</t>
  </si>
  <si>
    <t>-670.519229207704 173.419375565374 774.918727769349</t>
  </si>
  <si>
    <t>-521.130526977112 176.85959247338 834.542551220769</t>
  </si>
  <si>
    <t>-587.932308945941 -73.9602529144711 324.079141112882</t>
  </si>
  <si>
    <t>-649.934309313633 -108.611401031759 781.802461006742</t>
  </si>
  <si>
    <t>-497.450610084605 -129.034492658725 828.870926340292</t>
  </si>
  <si>
    <t>9763-20170724T115347.029545200.bin</t>
  </si>
  <si>
    <t>-562.183648184855 40.1436988150185 -91.1156132513105</t>
  </si>
  <si>
    <t>-579.879881370092 38.0711049494303 -200.386067416425</t>
  </si>
  <si>
    <t>-592.085882137412 36.1444227626291 -292.435795902788</t>
  </si>
  <si>
    <t>-602.98179064123 34.3817981545035 -375.600076932212</t>
  </si>
  <si>
    <t>-613.184710298318 32.5402041719558 -458.850545638486</t>
  </si>
  <si>
    <t>-627.342666746561 29.7507875827041 -580.656564943637</t>
  </si>
  <si>
    <t>-617.133143031298 28.3024975057874 -658.334634379589</t>
  </si>
  <si>
    <t>-617.372322070258 62.088736889194 -528.358464287773</t>
  </si>
  <si>
    <t>-581.248168784964 212.543886788672 -508.495296971695</t>
  </si>
  <si>
    <t>-487.441311132007 249.759759979406 -245.06814794614</t>
  </si>
  <si>
    <t>-262.044088604245 194.007941478872 -251.097756960758</t>
  </si>
  <si>
    <t>-558.155876470239 133.028942672924 -95.1980134553961</t>
  </si>
  <si>
    <t>-603.34459744472 143.673029803271 317.775740171271</t>
  </si>
  <si>
    <t>-670.535762233256 173.524277638472 774.975452630149</t>
  </si>
  <si>
    <t>-521.132884778498 176.954390820726 834.564438695881</t>
  </si>
  <si>
    <t>-588.275977775577 -73.8940184790654 324.045608698019</t>
  </si>
  <si>
    <t>-649.857972353938 -108.589768963549 781.808849102395</t>
  </si>
  <si>
    <t>-497.408478681565 -129.076159238849 828.96048067031</t>
  </si>
  <si>
    <t>9763-20170724T115347.063373200.bin</t>
  </si>
  <si>
    <t>-562.458604610813 40.2110001079457 -91.1103365510103</t>
  </si>
  <si>
    <t>-580.153869874411 38.1449862059242 -200.381107350285</t>
  </si>
  <si>
    <t>-592.358601982331 36.2480875413212 -292.43148506705</t>
  </si>
  <si>
    <t>-603.252847389407 34.5223736451364 -375.596847462232</t>
  </si>
  <si>
    <t>-613.453477320948 32.7276837276552 -458.848663390013</t>
  </si>
  <si>
    <t>-627.607335397872 30.0173353550626 -580.656878313108</t>
  </si>
  <si>
    <t>-617.443156211354 28.6491478544824 -658.342405286633</t>
  </si>
  <si>
    <t>-617.641086044471 62.3215830917309 -528.337285392173</t>
  </si>
  <si>
    <t>-581.351627932985 212.711905556464 -508.30200424331</t>
  </si>
  <si>
    <t>-487.687589371784 249.724107277093 -244.795249434498</t>
  </si>
  <si>
    <t>-262.311339332388 193.901564375789 -250.953132919877</t>
  </si>
  <si>
    <t>-625.152427875528 0.0915502045397716 -526.079752546042</t>
  </si>
  <si>
    <t>-558.39686265888 133.071161851752 -95.1936779931133</t>
  </si>
  <si>
    <t>-603.544076380549 143.70762327302 317.784798304462</t>
  </si>
  <si>
    <t>-670.578787498819 173.444556469723 775.013151115181</t>
  </si>
  <si>
    <t>-521.164475083489 176.867004767831 834.573910882937</t>
  </si>
  <si>
    <t>-588.440753702189 -73.8377653537036 324.038141541895</t>
  </si>
  <si>
    <t>-649.837531867618 -108.56334792211 781.815592003373</t>
  </si>
  <si>
    <t>-497.385623406681 -129.021901980855 828.971575985189</t>
  </si>
  <si>
    <t>9763-20170724T115347.129049200.bin</t>
  </si>
  <si>
    <t>-562.93668111603 40.4143342681853 -91.1138067629483</t>
  </si>
  <si>
    <t>-580.725805656181 38.3831418629295 -200.369990930761</t>
  </si>
  <si>
    <t>-592.992942380755 36.5305062463221 -292.41303739511</t>
  </si>
  <si>
    <t>-603.936597708766 34.8513967244457 -375.572923754429</t>
  </si>
  <si>
    <t>-614.179708372861 33.1096279309522 -458.820515243259</t>
  </si>
  <si>
    <t>-628.387812884615 30.4840739533788 -580.624383976814</t>
  </si>
  <si>
    <t>-618.319084235928 29.1862435108287 -658.323321525544</t>
  </si>
  <si>
    <t>-618.407921281992 62.7531273057616 -528.285592678858</t>
  </si>
  <si>
    <t>-581.762604507173 213.032118171463 -508.029350235479</t>
  </si>
  <si>
    <t>-488.31906198812 249.409799622932 -244.356204391298</t>
  </si>
  <si>
    <t>-262.974358165415 193.476652856465 -250.663134119268</t>
  </si>
  <si>
    <t>-625.898952342607 0.519076357628364 -526.070213045678</t>
  </si>
  <si>
    <t>-558.779340552091 133.280250009831 -95.194642248406</t>
  </si>
  <si>
    <t>-603.724311732974 143.835592022014 317.807948794355</t>
  </si>
  <si>
    <t>-670.615233755155 173.507670314299 775.068804678728</t>
  </si>
  <si>
    <t>-521.169032355056 176.681546268661 834.5631855685</t>
  </si>
  <si>
    <t>-588.583913678521 -73.6488593272957 324.026191996423</t>
  </si>
  <si>
    <t>-649.82780699858 -108.500516901454 781.815337248935</t>
  </si>
  <si>
    <t>-497.337216719395 -128.770413337504 828.927720792132</t>
  </si>
  <si>
    <t>9763-20170724T115347.161156800.bin</t>
  </si>
  <si>
    <t>-563.16208202969 40.5046750148019 -91.1168109756912</t>
  </si>
  <si>
    <t>-581.032257706549 38.4856246578661 -200.359951850477</t>
  </si>
  <si>
    <t>-593.323605766721 36.6469799120491 -292.400172416763</t>
  </si>
  <si>
    <t>-604.271440937791 34.9818481834207 -375.559765226131</t>
  </si>
  <si>
    <t>-614.500937376243 33.2552238300741 -458.809301769349</t>
  </si>
  <si>
    <t>-628.669641429475 30.6526319294449 -580.618284517614</t>
  </si>
  <si>
    <t>-618.600837007413 29.3825248814944 -658.317657140936</t>
  </si>
  <si>
    <t>-618.700242993853 62.9110752376205 -528.270803591338</t>
  </si>
  <si>
    <t>-581.855929587018 213.136079244629 -507.959106065587</t>
  </si>
  <si>
    <t>-488.422267174145 249.258366868497 -244.24724661467</t>
  </si>
  <si>
    <t>-263.094840504295 193.271685821632 -250.69509552106</t>
  </si>
  <si>
    <t>-626.204837068976 0.678163843910625 -526.068173417028</t>
  </si>
  <si>
    <t>-558.95470682038 133.387643879436 -95.1982227449007</t>
  </si>
  <si>
    <t>-603.774950512008 143.88518320925 317.819320641083</t>
  </si>
  <si>
    <t>-670.648181401537 173.449733697619 775.08236661601</t>
  </si>
  <si>
    <t>-521.196712108509 176.78835981707 834.554569432853</t>
  </si>
  <si>
    <t>-588.637696694306 -73.5366492943065 324.031868705894</t>
  </si>
  <si>
    <t>-649.825647580454 -108.493292415133 781.814367613563</t>
  </si>
  <si>
    <t>-497.356042343347 -128.958778243355 828.910090950494</t>
  </si>
  <si>
    <t>9763-20170724T115347.231345500.bin</t>
  </si>
  <si>
    <t>-563.549243385996 40.6860939280709 -91.1549344523228</t>
  </si>
  <si>
    <t>-581.577046231718 38.6897294366802 -200.372655911165</t>
  </si>
  <si>
    <t>-593.977623357368 36.8713302337558 -292.398557677314</t>
  </si>
  <si>
    <t>-605.014608507913 35.2256449914573 -375.546590872529</t>
  </si>
  <si>
    <t>-615.323814776593 33.5191674997031 -458.786869660046</t>
  </si>
  <si>
    <t>-629.598597238604 30.9468859415756 -580.583966483582</t>
  </si>
  <si>
    <t>-619.503127029333 29.6971571449565 -658.280369831912</t>
  </si>
  <si>
    <t>-619.574313812163 63.1912371497331 -528.238303717952</t>
  </si>
  <si>
    <t>-582.304894052942 213.303686337784 -507.860272446047</t>
  </si>
  <si>
    <t>-489.127610645677 249.365488240483 -244.049396547382</t>
  </si>
  <si>
    <t>-263.841520143168 193.263854405625 -250.928081921568</t>
  </si>
  <si>
    <t>-627.095538687795 0.960063692957192 -526.042587899834</t>
  </si>
  <si>
    <t>-559.292502775314 133.606198504613 -95.2216891016014</t>
  </si>
  <si>
    <t>-603.909874859876 144.009329073216 317.820332561406</t>
  </si>
  <si>
    <t>-670.66806167577 173.528848104175 775.10879632109</t>
  </si>
  <si>
    <t>-521.197138033037 176.616261259938 834.545622510223</t>
  </si>
  <si>
    <t>-588.72295886326 -73.2341220314602 324.028684431273</t>
  </si>
  <si>
    <t>-649.76765718257 -108.408215892545 781.816014530637</t>
  </si>
  <si>
    <t>-497.292293477845 -128.730635449181 828.95505329015</t>
  </si>
  <si>
    <t>9763-20170724T115347.265939800.bin</t>
  </si>
  <si>
    <t>-563.746168958793 40.7402049145312 -91.1708782373736</t>
  </si>
  <si>
    <t>-581.829140440011 38.7553359172621 -200.379621728228</t>
  </si>
  <si>
    <t>-594.291839396349 36.9374742653313 -292.397134687395</t>
  </si>
  <si>
    <t>-605.391218367776 35.2892177204794 -375.536938039963</t>
  </si>
  <si>
    <t>-615.769320620956 33.5767582309309 -458.768432158216</t>
  </si>
  <si>
    <t>-630.152002653669 30.9921890159007 -580.552661691166</t>
  </si>
  <si>
    <t>-620.058516957972 29.7314565093718 -658.249093614326</t>
  </si>
  <si>
    <t>-620.078601337671 63.2413492253816 -528.219584566608</t>
  </si>
  <si>
    <t>-582.653817341256 213.320448204497 -507.885265924805</t>
  </si>
  <si>
    <t>-489.773592636262 249.520876437256 -243.988831748301</t>
  </si>
  <si>
    <t>-264.49638675001 193.400559072863 -251.004326550781</t>
  </si>
  <si>
    <t>-627.603396440335 1.01119416161259 -526.01020674849</t>
  </si>
  <si>
    <t>-559.475238038972 133.64668069615 -95.2308316962137</t>
  </si>
  <si>
    <t>-604.011614304392 144.035142566685 317.820263986979</t>
  </si>
  <si>
    <t>-670.67890454567 173.549484996688 775.123226236331</t>
  </si>
  <si>
    <t>-521.198862333856 176.579133214251 834.539924538636</t>
  </si>
  <si>
    <t>-588.788128654675 -73.1564509169161 324.021123726731</t>
  </si>
  <si>
    <t>-649.747956836816 -108.415962205772 781.822670490454</t>
  </si>
  <si>
    <t>-497.297395776693 -128.885855142536 828.978054365797</t>
  </si>
  <si>
    <t>9763-20170724T115347.330612600.bin</t>
  </si>
  <si>
    <t>-564.143438335558 40.838541120987 -91.2084530000154</t>
  </si>
  <si>
    <t>-582.344681138333 38.8711506364991 -200.398034570294</t>
  </si>
  <si>
    <t>-594.883582665201 37.052578582327 -292.405047886184</t>
  </si>
  <si>
    <t>-606.042507834157 35.397722676501 -375.536744746491</t>
  </si>
  <si>
    <t>-616.471058171625 33.6722299776211 -458.761759392581</t>
  </si>
  <si>
    <t>-630.917501818245 31.0618073398314 -580.537753826704</t>
  </si>
  <si>
    <t>-620.781967614868 29.7235723099161 -658.227531782288</t>
  </si>
  <si>
    <t>-620.805453746948 63.3207507568807 -528.21799533646</t>
  </si>
  <si>
    <t>-583.070391641423 213.325423411222 -507.95538060437</t>
  </si>
  <si>
    <t>-491.418442757456 249.7838788727 -243.665190913528</t>
  </si>
  <si>
    <t>-266.124650534289 193.748902781722 -250.828866412691</t>
  </si>
  <si>
    <t>-628.351577947981 1.09387654644411 -525.989014240028</t>
  </si>
  <si>
    <t>-559.879456647423 133.733262654356 -95.2735581122517</t>
  </si>
  <si>
    <t>-604.153978856738 144.075537183869 317.806902710915</t>
  </si>
  <si>
    <t>-670.696849769248 173.537617459097 775.142401446607</t>
  </si>
  <si>
    <t>-521.208440326176 176.512590675717 834.540892854694</t>
  </si>
  <si>
    <t>-588.894668442396 -72.9349913090791 324.01094858293</t>
  </si>
  <si>
    <t>-649.737737895247 -108.369902543158 781.805702535483</t>
  </si>
  <si>
    <t>-497.278540655796 -128.826688376559 828.938850057377</t>
  </si>
  <si>
    <t>9763-20170724T115347.365098500.bin</t>
  </si>
  <si>
    <t>-564.307236401723 40.8941468996738 -91.2409245688477</t>
  </si>
  <si>
    <t>-582.537758467832 38.8995492989636 -200.424970156908</t>
  </si>
  <si>
    <t>-595.065681888827 37.037729006659 -292.432655282898</t>
  </si>
  <si>
    <t>-606.200699623332 35.33511481953 -375.566709628729</t>
  </si>
  <si>
    <t>-616.591212831879 33.5534528333369 -458.795225423784</t>
  </si>
  <si>
    <t>-630.966857578608 30.8507320153997 -580.577671783869</t>
  </si>
  <si>
    <t>-620.804050567292 29.4237692159763 -658.262204700168</t>
  </si>
  <si>
    <t>-620.871936904723 63.1476488503758 -528.278035182545</t>
  </si>
  <si>
    <t>-583.160524943003 213.182447141934 -508.11527367708</t>
  </si>
  <si>
    <t>-492.165753448447 249.674681807113 -243.602812466504</t>
  </si>
  <si>
    <t>-266.882138070135 193.600790163182 -250.781798984639</t>
  </si>
  <si>
    <t>-628.445941103223 0.925756618062223 -526.003116663351</t>
  </si>
  <si>
    <t>-560.060464289546 133.760815809098 -95.3103027521771</t>
  </si>
  <si>
    <t>-604.207875244126 144.118635234033 317.783297633994</t>
  </si>
  <si>
    <t>-670.703828739622 173.542966853853 775.152808481241</t>
  </si>
  <si>
    <t>-521.2133295312 176.396502692689 834.552108615001</t>
  </si>
  <si>
    <t>-588.94257583074 -72.7986492596531 324.013387244502</t>
  </si>
  <si>
    <t>-649.703778171341 -108.355043097907 781.80339715084</t>
  </si>
  <si>
    <t>-497.248539244709 -128.753823470317 828.974441278852</t>
  </si>
  <si>
    <t>9763-20170724T115347.432808100.bin</t>
  </si>
  <si>
    <t>-564.702440839123 40.8904750117001 -91.2391214424681</t>
  </si>
  <si>
    <t>-583.006546143492 38.8679860058301 -200.410384828763</t>
  </si>
  <si>
    <t>-595.534079560251 36.9352945930671 -292.416720005603</t>
  </si>
  <si>
    <t>-606.644093208088 35.1488485553202 -375.552167340164</t>
  </si>
  <si>
    <t>-616.98531927152 33.2628578433141 -458.784623521114</t>
  </si>
  <si>
    <t>-631.262496153786 30.3847577010235 -580.574659696252</t>
  </si>
  <si>
    <t>-621.007233682104 28.7983561826125 -658.243869245599</t>
  </si>
  <si>
    <t>-621.211053271099 62.7570984714298 -528.313343478202</t>
  </si>
  <si>
    <t>-583.739702299976 212.88371160462 -508.44842177312</t>
  </si>
  <si>
    <t>-493.6150276722 249.217164054351 -243.616387992053</t>
  </si>
  <si>
    <t>-268.263455076391 193.40918883677 -250.734353087224</t>
  </si>
  <si>
    <t>-628.784539207409 0.538198145195793 -525.955188557007</t>
  </si>
  <si>
    <t>-560.584720000505 133.728118403959 -95.3412800180965</t>
  </si>
  <si>
    <t>-604.414669908722 144.106126688511 317.785636213871</t>
  </si>
  <si>
    <t>-670.731927733559 173.48360569443 775.173879729579</t>
  </si>
  <si>
    <t>-521.236478543745 176.403519136667 834.557475004651</t>
  </si>
  <si>
    <t>-589.055888348237 -72.6603739571815 324.040178918136</t>
  </si>
  <si>
    <t>-649.645254650122 -108.338331544361 781.828442625212</t>
  </si>
  <si>
    <t>-497.233995446427 -128.914674296057 829.064554974469</t>
  </si>
  <si>
    <t>9763-20170724T115347.461387000.bin</t>
  </si>
  <si>
    <t>-564.939409906664 40.9026377314337 -91.2484267089158</t>
  </si>
  <si>
    <t>-583.274730704203 38.8550458221971 -200.414015643642</t>
  </si>
  <si>
    <t>-595.824219923414 36.8850336327323 -292.416473287022</t>
  </si>
  <si>
    <t>-606.952655551649 35.0574003881743 -375.54868308633</t>
  </si>
  <si>
    <t>-617.310850919532 33.1232992084385 -458.777905661216</t>
  </si>
  <si>
    <t>-631.611437406951 30.1670758414966 -580.563261788008</t>
  </si>
  <si>
    <t>-621.318430261059 28.5217455810302 -658.226242591296</t>
  </si>
  <si>
    <t>-621.560521220199 62.5742276458127 -528.323425595863</t>
  </si>
  <si>
    <t>-584.208511426761 212.740393160616 -508.542536722681</t>
  </si>
  <si>
    <t>-494.016404943038 249.014344667114 -243.725213099454</t>
  </si>
  <si>
    <t>-268.635133679535 193.31645707232 -250.765042044819</t>
  </si>
  <si>
    <t>-629.112425225856 0.354256470779774 -525.926411963522</t>
  </si>
  <si>
    <t>-560.920091975612 133.698789911674 -95.3609178713889</t>
  </si>
  <si>
    <t>-604.601445198134 144.077562211231 317.781741441672</t>
  </si>
  <si>
    <t>-670.754237760187 173.425879924455 775.192219332479</t>
  </si>
  <si>
    <t>-521.252165122584 176.507250167244 834.550991126375</t>
  </si>
  <si>
    <t>-589.117263990552 -72.5915344843763 324.041559370497</t>
  </si>
  <si>
    <t>-649.645267857567 -108.290453548452 781.820905586339</t>
  </si>
  <si>
    <t>-497.185795568457 -128.553689253164 829.036735312897</t>
  </si>
  <si>
    <t>9763-20170724T115347.531576800.bin</t>
  </si>
  <si>
    <t>-565.38038379577 40.9111768968646 -91.2875359736453</t>
  </si>
  <si>
    <t>-583.784252030031 38.793209767874 -200.44015354276</t>
  </si>
  <si>
    <t>-596.38580751698 36.7509910985393 -292.434019714815</t>
  </si>
  <si>
    <t>-607.559224824796 34.8511918210675 -375.558619670217</t>
  </si>
  <si>
    <t>-617.960546995786 32.8382555202909 -458.780500951503</t>
  </si>
  <si>
    <t>-632.32219983697 29.7594325901089 -580.55572091537</t>
  </si>
  <si>
    <t>-621.922870172999 28.06186438177 -658.203547560479</t>
  </si>
  <si>
    <t>-622.269507919318 62.2221533223949 -528.350780969287</t>
  </si>
  <si>
    <t>-585.11225275 212.456743740002 -508.694269318242</t>
  </si>
  <si>
    <t>-494.326376755006 248.725232091039 -244.079243488567</t>
  </si>
  <si>
    <t>-268.915606220049 193.147468040083 -251.12401314145</t>
  </si>
  <si>
    <t>-561.57377177069 133.641193634518 -95.4190207287214</t>
  </si>
  <si>
    <t>-604.992898885195 144.167804456678 317.747521037731</t>
  </si>
  <si>
    <t>-670.777783135596 173.415117686671 775.224980261645</t>
  </si>
  <si>
    <t>-521.252936916273 176.29876065167 834.536280072415</t>
  </si>
  <si>
    <t>-589.23147864802 -72.5551466433014 324.030977716369</t>
  </si>
  <si>
    <t>-649.672310107254 -108.230641909272 781.810020249666</t>
  </si>
  <si>
    <t>-497.175974311435 -128.409323404838 828.942953966626</t>
  </si>
  <si>
    <t>9763-20170724T115347.564184400.bin</t>
  </si>
  <si>
    <t>-565.569756454429 40.8997228140304 -91.304831073795</t>
  </si>
  <si>
    <t>-583.99341395952 38.7430344141201 -200.453490443121</t>
  </si>
  <si>
    <t>-596.616891214885 36.6463080962099 -292.443060701506</t>
  </si>
  <si>
    <t>-607.812512977456 34.6876358437794 -375.563126117072</t>
  </si>
  <si>
    <t>-618.238714063296 32.6061806881005 -458.780266110219</t>
  </si>
  <si>
    <t>-632.639666575326 29.4169635107987 -580.547996806741</t>
  </si>
  <si>
    <t>-622.184291312741 27.6803563467927 -658.187420847691</t>
  </si>
  <si>
    <t>-622.570689706919 61.9272259745294 -528.375820510063</t>
  </si>
  <si>
    <t>-585.531103348192 212.2054035632 -508.815961103888</t>
  </si>
  <si>
    <t>-494.354894018873 248.47908891562 -244.335905067959</t>
  </si>
  <si>
    <t>-268.925581954897 192.968601057063 -251.317353685679</t>
  </si>
  <si>
    <t>-561.848235582995 133.620430146294 -95.4519311684946</t>
  </si>
  <si>
    <t>-605.152906002769 144.210283204236 317.724950865676</t>
  </si>
  <si>
    <t>-670.757544088676 173.526149657773 775.224258145747</t>
  </si>
  <si>
    <t>-521.222538216707 176.27890309906 834.516092557176</t>
  </si>
  <si>
    <t>-589.323647730964 -72.5944051037386 324.01322520006</t>
  </si>
  <si>
    <t>-649.700949686899 -108.228417643684 781.799420568792</t>
  </si>
  <si>
    <t>-497.210495590103 -128.58009172174 828.876971441866</t>
  </si>
  <si>
    <t>9763-20170724T115347.627354000.bin</t>
  </si>
  <si>
    <t>-565.916665815315 40.7889319367466 -91.3847560403088</t>
  </si>
  <si>
    <t>-584.456953632994 38.5895670632635 -200.512720132944</t>
  </si>
  <si>
    <t>-597.234801213886 36.4486228191602 -292.479933301922</t>
  </si>
  <si>
    <t>-608.592615693104 34.4461481082112 -375.577134074519</t>
  </si>
  <si>
    <t>-619.203876335951 32.317896131553 -458.769559852376</t>
  </si>
  <si>
    <t>-633.900806908779 29.0564667757278 -580.50001616485</t>
  </si>
  <si>
    <t>-623.451282006373 27.2808378690947 -658.139382803359</t>
  </si>
  <si>
    <t>-623.703003608896 61.5973538936405 -528.371942606763</t>
  </si>
  <si>
    <t>-586.75636221132 211.897387339548 -508.847733906935</t>
  </si>
  <si>
    <t>-494.96601023546 248.117222194999 -244.57280520196</t>
  </si>
  <si>
    <t>-269.505375978836 192.709137433843 -251.353561282398</t>
  </si>
  <si>
    <t>-562.303557051014 133.483327272076 -95.5238212693162</t>
  </si>
  <si>
    <t>-605.409213170082 144.166514925363 317.671563331871</t>
  </si>
  <si>
    <t>-670.787044460071 173.493370178817 775.214130700255</t>
  </si>
  <si>
    <t>-521.232140151889 176.116466655141 834.461719820981</t>
  </si>
  <si>
    <t>-589.458484886844 -72.7889622863167 323.964711354336</t>
  </si>
  <si>
    <t>-649.751547848696 -108.188626560925 781.781951122589</t>
  </si>
  <si>
    <t>-497.230431007093 -128.603546398744 828.732566310221</t>
  </si>
  <si>
    <t>9763-20170724T115347.664600600.bin</t>
  </si>
  <si>
    <t>-566.058330632643 40.6106780682881 -91.4361783865515</t>
  </si>
  <si>
    <t>-584.659222101131 38.3900893576417 -200.553442760311</t>
  </si>
  <si>
    <t>-597.515845191363 36.2330501358017 -292.509324266264</t>
  </si>
  <si>
    <t>-608.955952036573 34.2169295480269 -375.594885913787</t>
  </si>
  <si>
    <t>-619.660874605371 32.0756065186972 -458.775044956381</t>
  </si>
  <si>
    <t>-634.506987831899 28.7964409453675 -580.48690427428</t>
  </si>
  <si>
    <t>-624.077042708862 27.0088119444235 -658.128470508152</t>
  </si>
  <si>
    <t>-624.247129799906 61.3451699150273 -528.375852238251</t>
  </si>
  <si>
    <t>-587.33629438134 211.660115370527 -508.836461228246</t>
  </si>
  <si>
    <t>-495.28536719387 247.818167102701 -244.643782092604</t>
  </si>
  <si>
    <t>-269.792795557887 192.52605915059 -251.308136952329</t>
  </si>
  <si>
    <t>-562.448720222432 133.296564174487 -95.5749747359301</t>
  </si>
  <si>
    <t>-605.466341757846 144.091904003446 317.626569590422</t>
  </si>
  <si>
    <t>-670.800103490209 173.480705498728 775.189520688448</t>
  </si>
  <si>
    <t>-521.238761810248 176.092442482237 834.421381721417</t>
  </si>
  <si>
    <t>-589.546623208502 -72.9384564420504 323.927455390476</t>
  </si>
  <si>
    <t>-649.768817589265 -108.184655773653 781.775233673418</t>
  </si>
  <si>
    <t>-497.253617627011 -128.739745076578 828.683930612077</t>
  </si>
  <si>
    <t>9763-20170724T115347.730779100.bin</t>
  </si>
  <si>
    <t>-566.267377970982 40.2934619737073 -91.5036020924568</t>
  </si>
  <si>
    <t>-584.987470215636 38.0714418918378 -200.60041625869</t>
  </si>
  <si>
    <t>-597.933627883728 35.8632369991415 -292.542512188557</t>
  </si>
  <si>
    <t>-609.45082392786 33.7802599896158 -375.615684079285</t>
  </si>
  <si>
    <t>-620.22940070046 31.5514313165147 -458.784168929709</t>
  </si>
  <si>
    <t>-635.179920026465 28.1209230908992 -580.479033120356</t>
  </si>
  <si>
    <t>-624.821187316627 26.294403723881 -658.129379732361</t>
  </si>
  <si>
    <t>-624.859657397655 60.7324440703676 -528.41915313286</t>
  </si>
  <si>
    <t>-587.883192529843 211.034236831203 -508.96860509614</t>
  </si>
  <si>
    <t>-495.468844674028 247.085498242007 -244.888039059549</t>
  </si>
  <si>
    <t>-269.955277912304 191.859408030632 -251.387106629571</t>
  </si>
  <si>
    <t>-562.778213664529 132.911696936968 -95.6362327900572</t>
  </si>
  <si>
    <t>-605.555942092632 143.813904349511 317.58743129743</t>
  </si>
  <si>
    <t>-670.842156862457 173.321753572956 775.15045765324</t>
  </si>
  <si>
    <t>-521.282971767219 176.294867910287 834.370660676547</t>
  </si>
  <si>
    <t>-589.551850117564 -73.1237302381903 323.879684165814</t>
  </si>
  <si>
    <t>-649.740042774078 -108.150576828559 781.757940351272</t>
  </si>
  <si>
    <t>-497.183192344426 -128.368652527824 828.677630017115</t>
  </si>
  <si>
    <t>9763-20170724T115347.762600700.bin</t>
  </si>
  <si>
    <t>-566.347640626393 40.1578074323418 -91.5044502159592</t>
  </si>
  <si>
    <t>-585.078988472435 37.926446457464 -200.599176877888</t>
  </si>
  <si>
    <t>-598.046317913298 35.7006646848988 -292.537904662296</t>
  </si>
  <si>
    <t>-609.587506520628 33.5975231407274 -375.607180128324</t>
  </si>
  <si>
    <t>-620.395117619042 31.3441822378679 -458.771119702067</t>
  </si>
  <si>
    <t>-635.393548326139 27.873675148611 -580.459056949316</t>
  </si>
  <si>
    <t>-625.088454533368 26.0436387938869 -658.116362651836</t>
  </si>
  <si>
    <t>-625.051070793158 60.5020615443766 -528.414171398578</t>
  </si>
  <si>
    <t>-587.96246194314 210.7785510166 -508.959471190681</t>
  </si>
  <si>
    <t>-495.412110947351 246.925103156014 -244.939743407532</t>
  </si>
  <si>
    <t>-269.938264810159 191.546095627824 -251.515307005755</t>
  </si>
  <si>
    <t>-562.924963064243 132.743486989554 -95.6469752461519</t>
  </si>
  <si>
    <t>-605.624400560773 143.737400087921 317.582344185006</t>
  </si>
  <si>
    <t>-670.836025462645 173.360482641994 775.140691809573</t>
  </si>
  <si>
    <t>-521.276992346885 176.129485553026 834.371182561228</t>
  </si>
  <si>
    <t>-589.554765399698 -73.2091456889896 323.881504669037</t>
  </si>
  <si>
    <t>-649.671313997348 -108.190634752237 781.760418860545</t>
  </si>
  <si>
    <t>-497.171077986028 -128.564457231413 828.79666520818</t>
  </si>
  <si>
    <t>9763-20170724T115347.827275900.bin</t>
  </si>
  <si>
    <t>-566.310411013693 39.8083392596827 -91.4349074310421</t>
  </si>
  <si>
    <t>-585.040510332727 37.5638766744112 -200.529602242713</t>
  </si>
  <si>
    <t>-598.055889686672 35.3378642040984 -292.46151380359</t>
  </si>
  <si>
    <t>-609.66004787442 33.2392094632844 -375.522222887801</t>
  </si>
  <si>
    <t>-620.550177718281 30.9955526039057 -458.67569586681</t>
  </si>
  <si>
    <t>-635.690757314843 27.5449162268865 -580.34644432704</t>
  </si>
  <si>
    <t>-625.516231079221 25.74081057953 -658.021691128809</t>
  </si>
  <si>
    <t>-625.294856646292 60.1657379111962 -528.307517182297</t>
  </si>
  <si>
    <t>-588.140506570418 210.422974590308 -508.833995516719</t>
  </si>
  <si>
    <t>-495.286243642709 246.299791056032 -244.884035790333</t>
  </si>
  <si>
    <t>-269.82301724341 190.896527936713 -251.617593863903</t>
  </si>
  <si>
    <t>-563.028057470472 132.300342102878 -95.6205198840635</t>
  </si>
  <si>
    <t>-605.620624955319 143.509698780752 317.614100986801</t>
  </si>
  <si>
    <t>-670.826245529694 173.339141014708 775.148278303431</t>
  </si>
  <si>
    <t>-521.278007723561 176.213339608452 834.401018261297</t>
  </si>
  <si>
    <t>-589.394801073712 -73.4807761197874 323.931296499401</t>
  </si>
  <si>
    <t>-649.183621263807 -108.282931823548 781.849087739469</t>
  </si>
  <si>
    <t>-496.894514554702 -128.290961481319 829.719008242886</t>
  </si>
  <si>
    <t>9763-20170724T115347.863876200.bin</t>
  </si>
  <si>
    <t>-566.211497937959 39.6465576168812 -91.373506944579</t>
  </si>
  <si>
    <t>-584.963201415769 37.4183911124176 -200.464851238291</t>
  </si>
  <si>
    <t>-597.998648137648 35.2095918529203 -292.394282547187</t>
  </si>
  <si>
    <t>-609.621795808144 33.1275683071337 -375.452779197425</t>
  </si>
  <si>
    <t>-620.531572793956 30.9022599055813 -458.60418086555</t>
  </si>
  <si>
    <t>-635.701820480554 27.4797072253104 -580.272012429838</t>
  </si>
  <si>
    <t>-625.560221860538 25.7047563200254 -657.952196361677</t>
  </si>
  <si>
    <t>-625.290763814762 60.0882005007568 -528.228304482028</t>
  </si>
  <si>
    <t>-588.102441370264 210.333396041244 -508.754209770526</t>
  </si>
  <si>
    <t>-495.297959653159 245.973712478545 -244.754828940542</t>
  </si>
  <si>
    <t>-269.858415005083 190.485461552877 -251.581030441558</t>
  </si>
  <si>
    <t>-563.009967703247 132.132432342329 -95.5678750213364</t>
  </si>
  <si>
    <t>-605.505474981767 143.358815893266 317.676256408239</t>
  </si>
  <si>
    <t>-670.825002102573 173.286103599344 775.186382507341</t>
  </si>
  <si>
    <t>-521.283836597165 176.194532660437 834.455326220753</t>
  </si>
  <si>
    <t>-589.163111676326 -73.5399133020351 324.002534855657</t>
  </si>
  <si>
    <t>-648.827052374458 -108.322756361534 781.964332950913</t>
  </si>
  <si>
    <t>-496.646158042108 -127.78473611928 830.400105094142</t>
  </si>
  <si>
    <t>9763-20170724T115347.928049700.bin</t>
  </si>
  <si>
    <t>-565.979123724452 39.3539130746683 -91.229270269315</t>
  </si>
  <si>
    <t>-584.831073726039 37.1573014559538 -200.304014463917</t>
  </si>
  <si>
    <t>-597.936647695893 34.9954753318902 -292.224689020147</t>
  </si>
  <si>
    <t>-609.617088109514 32.9645949638068 -375.276323179794</t>
  </si>
  <si>
    <t>-620.578059798599 30.7987611009085 -458.422500636432</t>
  </si>
  <si>
    <t>-635.81618269845 27.4725863846843 -580.084570756771</t>
  </si>
  <si>
    <t>-625.765308523161 25.7658343818002 -657.77815553872</t>
  </si>
  <si>
    <t>-625.366991226448 60.0386436578608 -528.022099116382</t>
  </si>
  <si>
    <t>-588.23706314814 210.294528867028 -508.508959665956</t>
  </si>
  <si>
    <t>-495.531187958202 245.305749335995 -244.390831471666</t>
  </si>
  <si>
    <t>-270.172134039443 189.499588468504 -251.2829449499</t>
  </si>
  <si>
    <t>-562.850591947829 131.823074807675 -95.4103552901479</t>
  </si>
  <si>
    <t>-605.235071294648 143.104274687713 317.843708824631</t>
  </si>
  <si>
    <t>-670.797498706363 173.274471941773 775.297814274589</t>
  </si>
  <si>
    <t>-521.268899799377 176.224692262632 834.596323171158</t>
  </si>
  <si>
    <t>-588.838691088371 -73.6774813473394 324.187297914084</t>
  </si>
  <si>
    <t>-648.320024777917 -108.426429771984 782.161054994542</t>
  </si>
  <si>
    <t>-496.406731875229 -127.77038803924 831.476204647248</t>
  </si>
  <si>
    <t>9763-20170724T115347.966153800.bin</t>
  </si>
  <si>
    <t>-566.004234904695 39.2783600136922 -91.1686956268708</t>
  </si>
  <si>
    <t>-584.883262011777 37.0830263509642 -200.238676171536</t>
  </si>
  <si>
    <t>-598.019253501628 34.9497899065784 -292.155564728932</t>
  </si>
  <si>
    <t>-609.729901349708 32.9563308014881 -375.204002372556</t>
  </si>
  <si>
    <t>-620.723635859624 30.8393624121491 -458.347173400057</t>
  </si>
  <si>
    <t>-636.012342392872 27.5971480893475 -580.005127139553</t>
  </si>
  <si>
    <t>-626.007574846602 25.9324178798283 -657.70545755583</t>
  </si>
  <si>
    <t>-625.535940689504 60.1266242485444 -527.925119179516</t>
  </si>
  <si>
    <t>-588.357783085374 210.358251288555 -508.304698104841</t>
  </si>
  <si>
    <t>-495.833225037945 245.025242534216 -244.077506991186</t>
  </si>
  <si>
    <t>-270.518242479551 189.0460165138 -251.006863372797</t>
  </si>
  <si>
    <t>-562.851534441686 131.773508175289 -95.3532144460605</t>
  </si>
  <si>
    <t>-605.181192645439 143.059351050813 317.906273787087</t>
  </si>
  <si>
    <t>-670.77762240228 173.33285839647 775.351172287637</t>
  </si>
  <si>
    <t>-521.249301116825 176.156825474337 834.656713347452</t>
  </si>
  <si>
    <t>-588.912174804535 -73.7217910299237 324.245195748829</t>
  </si>
  <si>
    <t>-648.288227906708 -108.445504178613 782.197308291408</t>
  </si>
  <si>
    <t>-496.410741242454 -127.875574145794 831.588822158081</t>
  </si>
  <si>
    <t>9763-20170724T115348.027318100.bin</t>
  </si>
  <si>
    <t>-566.32417318797 39.146299914177 -91.1442123666785</t>
  </si>
  <si>
    <t>-585.206939496518 36.9349111390218 -200.213242679623</t>
  </si>
  <si>
    <t>-598.356502997053 34.8458222345387 -292.129268562239</t>
  </si>
  <si>
    <t>-610.0829624918 32.9158899690663 -375.176871820618</t>
  </si>
  <si>
    <t>-621.095645400243 30.886152097122 -458.31967751604</t>
  </si>
  <si>
    <t>-636.415133920267 27.7976739624403 -579.977865072857</t>
  </si>
  <si>
    <t>-626.490044092224 26.2310344657656 -657.690390622231</t>
  </si>
  <si>
    <t>-625.925490979562 60.2611600843425 -527.859443578648</t>
  </si>
  <si>
    <t>-588.653869500703 210.450090631205 -508.062006287619</t>
  </si>
  <si>
    <t>-496.433896838418 244.498783746179 -243.648043417576</t>
  </si>
  <si>
    <t>-271.126642098386 188.481714112279 -250.522690576392</t>
  </si>
  <si>
    <t>-563.062762135579 131.633561853319 -95.3289162106792</t>
  </si>
  <si>
    <t>-605.381551038555 143.042699674621 317.928343041651</t>
  </si>
  <si>
    <t>-670.765138096668 173.377035749033 775.405601286613</t>
  </si>
  <si>
    <t>-521.230718545931 175.952900350743 834.706867859286</t>
  </si>
  <si>
    <t>-589.31752277613 -73.8155540440505 324.23611271101</t>
  </si>
  <si>
    <t>-648.506929350625 -108.399458309884 782.160138779889</t>
  </si>
  <si>
    <t>-496.518319563122 -127.858191074332 831.197316982467</t>
  </si>
  <si>
    <t>9763-20170724T115348.060408000.bin</t>
  </si>
  <si>
    <t>-566.567380476111 39.0051608639999 -91.1766203466677</t>
  </si>
  <si>
    <t>-585.456893313045 36.7867693306775 -200.244266517154</t>
  </si>
  <si>
    <t>-598.618652853552 34.7150786672205 -292.158946976598</t>
  </si>
  <si>
    <t>-610.35848078131 32.8101483497512 -375.205227287585</t>
  </si>
  <si>
    <t>-621.386731906113 30.8150973115748 -458.346869599155</t>
  </si>
  <si>
    <t>-636.731368443313 27.7874555230921 -580.003342129295</t>
  </si>
  <si>
    <t>-626.845770242644 26.2826751243217 -657.722229099464</t>
  </si>
  <si>
    <t>-626.235046415767 60.2254087358103 -527.870357689872</t>
  </si>
  <si>
    <t>-588.997047753762 210.415197681245 -508.007499200119</t>
  </si>
  <si>
    <t>-496.7626438673 244.161043295775 -243.559645381329</t>
  </si>
  <si>
    <t>-271.438727420714 188.216482202515 -250.47830861003</t>
  </si>
  <si>
    <t>-563.277856281193 131.472117588628 -95.3661482696007</t>
  </si>
  <si>
    <t>-605.556931889349 142.952512391905 317.893237551574</t>
  </si>
  <si>
    <t>-670.770342115845 173.348154337051 775.398790773882</t>
  </si>
  <si>
    <t>-521.234282275266 176.050925516871 834.69041299634</t>
  </si>
  <si>
    <t>-589.55875472429 -73.9021229364105 324.182082548049</t>
  </si>
  <si>
    <t>-648.687739979022 -108.390863935702 782.118176293891</t>
  </si>
  <si>
    <t>-496.631384093394 -128.07564348197 830.854137040843</t>
  </si>
  <si>
    <t>9763-20170724T115348.136114200.bin</t>
  </si>
  <si>
    <t>-567.104066873283 38.7336984140022 -91.3351228413525</t>
  </si>
  <si>
    <t>-586.040182407328 36.513290586244 -200.394737955677</t>
  </si>
  <si>
    <t>-599.240710892783 34.4898724337027 -292.304843648853</t>
  </si>
  <si>
    <t>-611.014855393523 32.6484160965629 -375.347686777666</t>
  </si>
  <si>
    <t>-622.076544372678 30.7364107158148 -458.486889124102</t>
  </si>
  <si>
    <t>-637.468516864837 27.8525823158461 -580.140942080094</t>
  </si>
  <si>
    <t>-627.587526038937 26.4849303120677 -657.862893482543</t>
  </si>
  <si>
    <t>-626.966963573374 60.230776067131 -527.971859943457</t>
  </si>
  <si>
    <t>-589.892434558817 210.441151505085 -508.024985133368</t>
  </si>
  <si>
    <t>-497.517521408313 243.874096329658 -243.586620573974</t>
  </si>
  <si>
    <t>-272.176496602714 188.022717495968 -250.698270278877</t>
  </si>
  <si>
    <t>-563.737640218564 131.234682051602 -95.4975622184422</t>
  </si>
  <si>
    <t>-605.840039824872 142.815908221857 317.777075006023</t>
  </si>
  <si>
    <t>-670.780234563437 173.333006336017 775.336903665314</t>
  </si>
  <si>
    <t>-521.241935659807 176.077768843685 834.620958401506</t>
  </si>
  <si>
    <t>-590.022014943773 -74.1036601955548 324.031769810887</t>
  </si>
  <si>
    <t>-649.080549633987 -108.300293042218 782.008548382163</t>
  </si>
  <si>
    <t>-496.801690245384 -127.953980898302 830.057541494767</t>
  </si>
  <si>
    <t>9763-20170724T115348.164692400.bin</t>
  </si>
  <si>
    <t>-567.416252354101 38.6225787936337 -91.4228509035091</t>
  </si>
  <si>
    <t>-586.380215415571 36.402281624029 -200.477524769972</t>
  </si>
  <si>
    <t>-599.580428189775 34.4062486541425 -292.388432208741</t>
  </si>
  <si>
    <t>-611.34448317117 32.5999424468646 -375.433463431816</t>
  </si>
  <si>
    <t>-622.386006750934 30.7338163790721 -458.576323139861</t>
  </si>
  <si>
    <t>-637.737334941222 27.9282983117569 -580.237251289989</t>
  </si>
  <si>
    <t>-627.842810328889 26.6389275516524 -657.958898628763</t>
  </si>
  <si>
    <t>-627.259549017712 60.2738761999758 -528.043205836128</t>
  </si>
  <si>
    <t>-590.289877467826 210.503553869571 -508.017019394447</t>
  </si>
  <si>
    <t>-497.811650716717 243.834160437973 -243.601636993166</t>
  </si>
  <si>
    <t>-272.452669739651 188.065417301315 -250.792050312804</t>
  </si>
  <si>
    <t>-563.992805841153 131.145543320228 -95.5679648593701</t>
  </si>
  <si>
    <t>-606.001611635466 142.748491095196 317.715578533665</t>
  </si>
  <si>
    <t>-670.790321257136 173.312844066655 775.2939921973</t>
  </si>
  <si>
    <t>-521.248724808174 176.035617932007 834.570595451908</t>
  </si>
  <si>
    <t>-590.277912003912 -74.1959031084075 323.953771095102</t>
  </si>
  <si>
    <t>-649.291181833113 -108.268544682499 781.954584945031</t>
  </si>
  <si>
    <t>-496.902495685891 -127.964444694382 829.636758894475</t>
  </si>
  <si>
    <t>9763-20170724T115348.226885600.bin</t>
  </si>
  <si>
    <t>-568.017594282735 38.5363826805724 -91.5995004842405</t>
  </si>
  <si>
    <t>-586.998975513767 36.3130517285035 -200.651170213363</t>
  </si>
  <si>
    <t>-600.115818107476 34.343688365391 -292.57456110132</t>
  </si>
  <si>
    <t>-611.764761544235 32.5723629396339 -375.636442318568</t>
  </si>
  <si>
    <t>-622.651135456648 30.7513988946268 -458.800854127521</t>
  </si>
  <si>
    <t>-637.731480139574 28.0224634782508 -580.497556895988</t>
  </si>
  <si>
    <t>-627.743821235728 26.8587744718618 -658.209154471139</t>
  </si>
  <si>
    <t>-627.377970350546 60.3362224370967 -528.258805460342</t>
  </si>
  <si>
    <t>-590.523782827561 210.578999094036 -508.088517344184</t>
  </si>
  <si>
    <t>-498.087126539255 243.60723972411 -243.620804455996</t>
  </si>
  <si>
    <t>-272.670839769582 188.066121668344 -250.777235418179</t>
  </si>
  <si>
    <t>-564.4939361031 131.068345763138 -95.7378281789548</t>
  </si>
  <si>
    <t>-606.330642555068 142.713657756212 317.561942943439</t>
  </si>
  <si>
    <t>-670.80521860707 173.344660415568 775.185178080665</t>
  </si>
  <si>
    <t>-521.252831183265 175.993510880347 834.437934586932</t>
  </si>
  <si>
    <t>-590.814045907423 -74.2567528045572 323.78858050865</t>
  </si>
  <si>
    <t>-649.638932538009 -108.177210752415 781.83539161392</t>
  </si>
  <si>
    <t>-497.064761690653 -127.919315072463 828.901161332638</t>
  </si>
  <si>
    <t>9763-20170724T115348.264987700.bin</t>
  </si>
  <si>
    <t>-568.266154772632 38.5141043164863 -91.6833122534008</t>
  </si>
  <si>
    <t>-587.252158760576 36.2888527073985 -200.734223749254</t>
  </si>
  <si>
    <t>-600.333885363002 34.3229633282695 -292.662591919331</t>
  </si>
  <si>
    <t>-611.935404028135 32.5563796579838 -375.731377640986</t>
  </si>
  <si>
    <t>-622.758588658849 30.7413182832192 -458.90400623283</t>
  </si>
  <si>
    <t>-637.729059333092 28.0226568036785 -580.614451392404</t>
  </si>
  <si>
    <t>-627.675474044217 26.9019294538796 -658.31828290211</t>
  </si>
  <si>
    <t>-627.430242170182 60.3327522478378 -528.362825303273</t>
  </si>
  <si>
    <t>-590.639107524644 210.58468815956 -508.156469017618</t>
  </si>
  <si>
    <t>-498.223070000489 243.31644841331 -243.64463229587</t>
  </si>
  <si>
    <t>-272.794517835982 187.793897379931 -250.554528256462</t>
  </si>
  <si>
    <t>-564.728329341932 131.064504762481 -95.8267392430739</t>
  </si>
  <si>
    <t>-606.512439355067 142.717141342866 317.47810172732</t>
  </si>
  <si>
    <t>-670.814206197547 173.364477538158 775.129415922365</t>
  </si>
  <si>
    <t>-521.257075002892 175.932428221487 834.373747030457</t>
  </si>
  <si>
    <t>-591.031276840885 -74.3122190942097 323.708332904122</t>
  </si>
  <si>
    <t>-649.724330746429 -108.160209112161 781.801084790349</t>
  </si>
  <si>
    <t>-497.106082833109 -127.947691194401 828.704688627444</t>
  </si>
  <si>
    <t>9763-20170724T115348.329164700.bin</t>
  </si>
  <si>
    <t>-568.67644547513 38.4114029339019 -91.8011121495972</t>
  </si>
  <si>
    <t>-587.72459530771 36.1799100408455 -200.841024889872</t>
  </si>
  <si>
    <t>-600.807913479297 34.2077525409577 -292.769062246769</t>
  </si>
  <si>
    <t>-612.390500390221 32.4343561390599 -375.840175894405</t>
  </si>
  <si>
    <t>-623.174295096847 30.611189056063 -459.017892786665</t>
  </si>
  <si>
    <t>-638.064826801362 27.8785474281165 -580.737754251709</t>
  </si>
  <si>
    <t>-627.891787380566 26.7557149391869 -658.426037227076</t>
  </si>
  <si>
    <t>-627.7947574207 60.1940225433229 -528.483788799566</t>
  </si>
  <si>
    <t>-590.983389461094 210.427108292648 -508.197284139424</t>
  </si>
  <si>
    <t>-498.42204937693 242.535692554518 -243.659794541708</t>
  </si>
  <si>
    <t>-272.978694069431 187.047634393733 -250.360042946403</t>
  </si>
  <si>
    <t>-565.141209963378 130.946124924664 -95.9486476888776</t>
  </si>
  <si>
    <t>-606.772570638676 142.665714163438 317.369686723269</t>
  </si>
  <si>
    <t>-670.855552907774 173.306269531884 775.038118172738</t>
  </si>
  <si>
    <t>-521.288200171632 175.984112686376 834.251806000763</t>
  </si>
  <si>
    <t>-591.337457067366 -74.4214368929463 323.609046818638</t>
  </si>
  <si>
    <t>-649.813512628379 -108.113735464833 781.76923759367</t>
  </si>
  <si>
    <t>-497.120453104492 -127.811637580264 828.466682115111</t>
  </si>
  <si>
    <t>9763-20170724T115348.361251100.bin</t>
  </si>
  <si>
    <t>-568.867371916442 38.3679897380771 -91.8461631554943</t>
  </si>
  <si>
    <t>-587.972318849991 36.1371758547327 -200.876043883972</t>
  </si>
  <si>
    <t>-601.091279573581 34.1774816845202 -292.799352443226</t>
  </si>
  <si>
    <t>-612.701155032609 32.419512943098 -375.867079017939</t>
  </si>
  <si>
    <t>-623.507155896365 30.6162279471796 -459.042306076779</t>
  </si>
  <si>
    <t>-638.424584865839 27.9172031172209 -580.759726902897</t>
  </si>
  <si>
    <t>-628.215206402595 26.7932454359716 -658.443020946912</t>
  </si>
  <si>
    <t>-628.141790534463 60.2182023685482 -528.499132740558</t>
  </si>
  <si>
    <t>-591.341579564102 210.445076934986 -508.170911548337</t>
  </si>
  <si>
    <t>-498.48165414927 242.187123615596 -243.694042952116</t>
  </si>
  <si>
    <t>-273.018310949385 186.788284054056 -250.460579827541</t>
  </si>
  <si>
    <t>-565.356024594985 130.886072824111 -96.0047369963333</t>
  </si>
  <si>
    <t>-606.855157814861 142.606966827509 317.326844748506</t>
  </si>
  <si>
    <t>-670.878973135687 173.235084618505 775.000476712959</t>
  </si>
  <si>
    <t>-521.309394060566 176.014553217466 834.203898887555</t>
  </si>
  <si>
    <t>-591.3922221731 -74.4233031472691 323.577711640697</t>
  </si>
  <si>
    <t>-649.848307870343 -108.118730044702 781.751484548261</t>
  </si>
  <si>
    <t>-497.175911239972 -128.126413327086 828.384676097045</t>
  </si>
  <si>
    <t>9763-20170724T115348.431942000.bin</t>
  </si>
  <si>
    <t>-569.189466534822 38.3467893404093 -91.9003075582663</t>
  </si>
  <si>
    <t>-588.441304440763 36.131420217931 -200.904722886454</t>
  </si>
  <si>
    <t>-601.680545174111 34.2024442929173 -292.811382899096</t>
  </si>
  <si>
    <t>-613.39748828055 32.479235033423 -375.864853972757</t>
  </si>
  <si>
    <t>-624.308963595853 30.7174521905833 -459.027145434659</t>
  </si>
  <si>
    <t>-639.378672593243 28.0864995389575 -580.727222721493</t>
  </si>
  <si>
    <t>-629.10196099925 26.9400612638681 -658.401446627909</t>
  </si>
  <si>
    <t>-629.017197829694 60.3565063259061 -528.463245283002</t>
  </si>
  <si>
    <t>-592.169220926639 210.57344467744 -508.139993839509</t>
  </si>
  <si>
    <t>-498.722763279233 241.786869234421 -243.80682511198</t>
  </si>
  <si>
    <t>-273.252981307099 186.437759594037 -250.762471251226</t>
  </si>
  <si>
    <t>-565.691726072021 130.863925392469 -96.0624148008076</t>
  </si>
  <si>
    <t>-607.000541464534 142.622252963643 317.287199884453</t>
  </si>
  <si>
    <t>-670.875674116407 173.326678723902 774.948810052673</t>
  </si>
  <si>
    <t>-521.2958664499 175.834975013446 834.138449382642</t>
  </si>
  <si>
    <t>-591.496620953004 -74.3813592211375 323.539160598438</t>
  </si>
  <si>
    <t>-649.893460826623 -108.086089733887 781.717375125262</t>
  </si>
  <si>
    <t>-497.204638999756 -128.228057207457 828.238897890982</t>
  </si>
  <si>
    <t>9763-20170724T115348.460485700.bin</t>
  </si>
  <si>
    <t>-569.359813945681 38.3215202816939 -91.922756349463</t>
  </si>
  <si>
    <t>-588.685886224924 36.1239158527787 -200.914320568658</t>
  </si>
  <si>
    <t>-601.978027559651 34.2161465047552 -292.8137851069</t>
  </si>
  <si>
    <t>-613.738788032072 32.5144705776702 -375.861485704161</t>
  </si>
  <si>
    <t>-624.69016538822 30.776467771281 -459.019053615937</t>
  </si>
  <si>
    <t>-639.813880054533 28.1829151031302 -580.713391761766</t>
  </si>
  <si>
    <t>-629.508118403397 27.0369579343269 -658.383633066505</t>
  </si>
  <si>
    <t>-629.430204738309 60.4368880551601 -528.443811767535</t>
  </si>
  <si>
    <t>-592.580032286777 210.662945406032 -508.195023620301</t>
  </si>
  <si>
    <t>-498.857200619846 241.680045033105 -243.936484803038</t>
  </si>
  <si>
    <t>-273.359200589413 186.42588603302 -250.730734703438</t>
  </si>
  <si>
    <t>-565.841978661457 130.827934461299 -96.0798669487293</t>
  </si>
  <si>
    <t>-607.06695532519 142.60394967648 317.277627075848</t>
  </si>
  <si>
    <t>-670.890136885142 173.306402048334 774.938768293775</t>
  </si>
  <si>
    <t>-521.304914864871 175.891589375812 834.111366524713</t>
  </si>
  <si>
    <t>-591.553553804043 -74.3743688072282 323.517092905323</t>
  </si>
  <si>
    <t>-649.902985132774 -108.064947759523 781.706210774239</t>
  </si>
  <si>
    <t>-497.199076070297 -128.178530965234 828.190515808042</t>
  </si>
  <si>
    <t>9763-20170724T115348.528167400.bin</t>
  </si>
  <si>
    <t>-569.873798480808 38.3840507049683 -91.9551954254216</t>
  </si>
  <si>
    <t>-589.292512478979 36.2042755352936 -200.930762199793</t>
  </si>
  <si>
    <t>-602.606165114214 34.3080479915564 -292.827313217614</t>
  </si>
  <si>
    <t>-614.363616466995 32.6153041801913 -375.875714039834</t>
  </si>
  <si>
    <t>-625.288905068658 30.8845078020345 -459.036813105315</t>
  </si>
  <si>
    <t>-640.349572586135 28.2988211265649 -580.739044453115</t>
  </si>
  <si>
    <t>-629.952499874216 27.1810843757032 -658.397648308008</t>
  </si>
  <si>
    <t>-630.002256864891 60.5507017898005 -528.460934198788</t>
  </si>
  <si>
    <t>-593.124034694863 210.797180506687 -508.37221585309</t>
  </si>
  <si>
    <t>-499.141538520435 241.55291742296 -244.175261235538</t>
  </si>
  <si>
    <t>-273.607842927794 186.416996542925 -250.741378497452</t>
  </si>
  <si>
    <t>-566.322928682537 130.902657744939 -96.1149187080777</t>
  </si>
  <si>
    <t>-607.288828024318 142.656506893817 317.269007446977</t>
  </si>
  <si>
    <t>-670.921459819746 173.315674476609 774.943317141708</t>
  </si>
  <si>
    <t>-521.318633753386 175.743326805838 834.07813896891</t>
  </si>
  <si>
    <t>-591.758561963643 -74.2186426800074 323.494674555643</t>
  </si>
  <si>
    <t>-649.942244401928 -107.989571177659 781.691370922966</t>
  </si>
  <si>
    <t>-497.165435767419 -127.811812907316 828.061055125332</t>
  </si>
  <si>
    <t>9763-20170724T115348.564764100.bin</t>
  </si>
  <si>
    <t>-570.175754562761 38.4330158852417 -91.9959339549642</t>
  </si>
  <si>
    <t>-589.604669291558 36.2348083159532 -200.969228141103</t>
  </si>
  <si>
    <t>-602.889128023114 34.3150610127288 -292.869646169505</t>
  </si>
  <si>
    <t>-614.605068002406 32.5974076500304 -375.923287926606</t>
  </si>
  <si>
    <t>-625.473856330285 30.8374769065588 -459.091270350847</t>
  </si>
  <si>
    <t>-640.435324956538 28.2046854503226 -580.804737246713</t>
  </si>
  <si>
    <t>-630.009823907185 27.0770448153028 -658.459327617301</t>
  </si>
  <si>
    <t>-630.129687562803 60.4766182200706 -528.530669592014</t>
  </si>
  <si>
    <t>-593.281976727018 210.746979093764 -508.545199924749</t>
  </si>
  <si>
    <t>-499.288489118549 241.290706756945 -244.327692392225</t>
  </si>
  <si>
    <t>-273.738668862796 186.199677728787 -250.714518702544</t>
  </si>
  <si>
    <t>-566.601618792375 130.954038871435 -96.1524361180823</t>
  </si>
  <si>
    <t>-607.475825727469 142.73384110084 317.239748439903</t>
  </si>
  <si>
    <t>-670.935809642596 173.349487999965 774.944352362792</t>
  </si>
  <si>
    <t>-521.319392392386 175.700093632308 834.047850882188</t>
  </si>
  <si>
    <t>-591.930792587356 -74.1226120718836 323.47287362981</t>
  </si>
  <si>
    <t>-649.974255068454 -107.968832046087 781.67557271012</t>
  </si>
  <si>
    <t>-497.207076810159 -128.027264273079 827.975332126454</t>
  </si>
  <si>
    <t>9763-20170724T115348.630441900.bin</t>
  </si>
  <si>
    <t>-570.793091930481 38.4856188715876 -92.0886032941091</t>
  </si>
  <si>
    <t>-590.142847969373 36.2467879482238 -201.075095713704</t>
  </si>
  <si>
    <t>-603.322174827116 34.272106305709 -292.98945345199</t>
  </si>
  <si>
    <t>-614.928025938504 32.495493845963 -376.057476418895</t>
  </si>
  <si>
    <t>-625.671406516473 30.6673574759468 -459.240271785615</t>
  </si>
  <si>
    <t>-640.433056371446 27.9239126281529 -580.975613638012</t>
  </si>
  <si>
    <t>-629.986352087197 26.7278791305368 -658.626342933745</t>
  </si>
  <si>
    <t>-630.197914256271 60.2414859292805 -528.715958259138</t>
  </si>
  <si>
    <t>-593.321695754622 210.526271587487 -508.905334106837</t>
  </si>
  <si>
    <t>-499.579055619768 240.80395542437 -244.568223915834</t>
  </si>
  <si>
    <t>-274.018096214449 185.710426427901 -250.525300746456</t>
  </si>
  <si>
    <t>-567.238806095459 130.939645989614 -96.2601260589852</t>
  </si>
  <si>
    <t>-607.956416311547 142.819108777677 317.144680122326</t>
  </si>
  <si>
    <t>-670.968017445279 173.390007331456 774.924420361625</t>
  </si>
  <si>
    <t>-521.329543163672 175.665413537641 833.975035228612</t>
  </si>
  <si>
    <t>-592.310043996144 -74.0715774064715 323.403384911958</t>
  </si>
  <si>
    <t>-650.007193015065 -107.938930148321 781.655390874392</t>
  </si>
  <si>
    <t>-497.214547820563 -128.036660605544 827.85394686123</t>
  </si>
  <si>
    <t>9763-20170724T115348.661621700.bin</t>
  </si>
  <si>
    <t>-571.034444994985 38.5541386735435 -92.1147703618446</t>
  </si>
  <si>
    <t>-590.357893331999 36.2942815678666 -201.105517448752</t>
  </si>
  <si>
    <t>-603.477912685961 34.2832431374673 -293.027535590219</t>
  </si>
  <si>
    <t>-615.015454196883 32.4655479581913 -376.104151232408</t>
  </si>
  <si>
    <t>-625.675875044479 30.5877722849568 -459.296453206966</t>
  </si>
  <si>
    <t>-640.300216536868 27.7620470121999 -581.046435879548</t>
  </si>
  <si>
    <t>-629.838427678166 26.5229407528343 -658.694563686883</t>
  </si>
  <si>
    <t>-630.116913079788 60.1140041086746 -528.798148810844</t>
  </si>
  <si>
    <t>-593.256539186425 210.413927654621 -509.071279014081</t>
  </si>
  <si>
    <t>-499.642540315476 240.59476933011 -244.677459735017</t>
  </si>
  <si>
    <t>-274.088516130373 185.452306188971 -250.441397403111</t>
  </si>
  <si>
    <t>-567.529028001951 130.984098704859 -96.3054407910319</t>
  </si>
  <si>
    <t>-608.137397348529 142.910611071702 317.108817036413</t>
  </si>
  <si>
    <t>-670.9770513927 173.431237518068 774.912832478239</t>
  </si>
  <si>
    <t>-521.327451906787 175.662070290923 833.936862158773</t>
  </si>
  <si>
    <t>-592.452199629259 -73.9905249493927 323.385480534596</t>
  </si>
  <si>
    <t>-650.015211057724 -107.906844454713 781.649465973202</t>
  </si>
  <si>
    <t>-497.176394748819 -127.761854969894 827.800358241628</t>
  </si>
  <si>
    <t>9763-20170724T115348.728301900.bin</t>
  </si>
  <si>
    <t>-571.333304823147 38.5748449062646 -92.1802187188364</t>
  </si>
  <si>
    <t>-590.648911719693 36.2847596683798 -201.171723681323</t>
  </si>
  <si>
    <t>-603.712790083636 34.2005213000964 -293.100147795275</t>
  </si>
  <si>
    <t>-615.180239554695 32.2965476267398 -376.184559429388</t>
  </si>
  <si>
    <t>-625.751539213722 30.3114311892518 -459.385785594281</t>
  </si>
  <si>
    <t>-640.224887153605 27.3058224791153 -581.149482025987</t>
  </si>
  <si>
    <t>-629.768717763284 26.0042020753435 -658.797353540955</t>
  </si>
  <si>
    <t>-630.099897643454 59.7342234162368 -528.93718910927</t>
  </si>
  <si>
    <t>-593.295957740468 210.075043910601 -509.42890529636</t>
  </si>
  <si>
    <t>-499.88502465545 240.078322204224 -244.942893935821</t>
  </si>
  <si>
    <t>-274.331557859262 184.894109215643 -250.314935394093</t>
  </si>
  <si>
    <t>-567.918136598306 130.924690929974 -96.3827019633678</t>
  </si>
  <si>
    <t>-608.363464919587 142.900386197637 317.046162027591</t>
  </si>
  <si>
    <t>-671.029245217542 173.31299549083 774.881804819453</t>
  </si>
  <si>
    <t>-521.372238271226 175.778798533889 833.877717096406</t>
  </si>
  <si>
    <t>-592.553126639747 -73.9086113868177 323.350292045442</t>
  </si>
  <si>
    <t>-650.013441512798 -107.903389761015 781.635635514426</t>
  </si>
  <si>
    <t>-497.158359500364 -127.719281449074 827.749407725008</t>
  </si>
  <si>
    <t>9763-20170724T115348.763899000.bin</t>
  </si>
  <si>
    <t>-571.40827998925 38.5805131188235 -92.1993022488888</t>
  </si>
  <si>
    <t>-590.724134971932 36.286682131986 -201.190768191218</t>
  </si>
  <si>
    <t>-603.776623516965 34.1753598021201 -293.120273107181</t>
  </si>
  <si>
    <t>-615.229392700097 32.2369663714185 -376.205701437493</t>
  </si>
  <si>
    <t>-625.781751238978 30.2074999467156 -459.408339488446</t>
  </si>
  <si>
    <t>-640.222975684082 27.125749090628 -581.173865401291</t>
  </si>
  <si>
    <t>-629.762459031749 25.8091173614951 -658.821033636172</t>
  </si>
  <si>
    <t>-630.121355969964 59.5878511775379 -528.978073061841</t>
  </si>
  <si>
    <t>-593.416716054416 209.963144621826 -509.581156043351</t>
  </si>
  <si>
    <t>-499.984159706119 239.75493945887 -245.079130265551</t>
  </si>
  <si>
    <t>-274.420034434094 184.592076643784 -250.218821529794</t>
  </si>
  <si>
    <t>-568.031940830209 130.927869826867 -96.4000013964935</t>
  </si>
  <si>
    <t>-608.410059917518 142.909804347587 317.035158866825</t>
  </si>
  <si>
    <t>-671.040905031814 173.31187455081 774.875137827008</t>
  </si>
  <si>
    <t>-521.381522072036 175.715475529561 833.867550596354</t>
  </si>
  <si>
    <t>-592.56271566262 -73.9220142718455 323.337575466737</t>
  </si>
  <si>
    <t>-650.005788312878 -107.910241172036 781.631709553172</t>
  </si>
  <si>
    <t>-497.176745385843 -127.923435657492 827.746553891785</t>
  </si>
  <si>
    <t>9763-20170724T115348.829575000.bin</t>
  </si>
  <si>
    <t>-571.415457015418 38.6435686643733 -92.2046838595588</t>
  </si>
  <si>
    <t>-590.753383204208 36.3417470258823 -201.19206789028</t>
  </si>
  <si>
    <t>-603.830183720581 34.2268995685567 -293.117949244096</t>
  </si>
  <si>
    <t>-615.307265737232 32.2858634368074 -376.200019886426</t>
  </si>
  <si>
    <t>-625.886181862779 30.2553094341154 -459.399259776144</t>
  </si>
  <si>
    <t>-640.368663721247 27.1735481142848 -581.159922724851</t>
  </si>
  <si>
    <t>-629.916222024885 25.8868828717111 -658.808517798056</t>
  </si>
  <si>
    <t>-630.272749249554 59.6387089419734 -528.964860968814</t>
  </si>
  <si>
    <t>-593.625520200993 210.038576885935 -509.626773101471</t>
  </si>
  <si>
    <t>-499.953905852057 239.303184677347 -245.150409550395</t>
  </si>
  <si>
    <t>-274.372729255541 184.189395955258 -250.063171507474</t>
  </si>
  <si>
    <t>-568.07441554364 131.022529216241 -96.4186054278381</t>
  </si>
  <si>
    <t>-608.404958715596 142.975209841237 317.022082168651</t>
  </si>
  <si>
    <t>-671.034043683472 173.390843220393 774.860545978525</t>
  </si>
  <si>
    <t>-521.373642616236 175.54899445502 833.859909773212</t>
  </si>
  <si>
    <t>-592.510331667409 -73.872588206352 323.343091122022</t>
  </si>
  <si>
    <t>-649.981855232042 -107.902289199673 781.623997364718</t>
  </si>
  <si>
    <t>-497.118737373501 -127.642935466522 827.743288198691</t>
  </si>
  <si>
    <t>9763-20170724T115348.864918900.bin</t>
  </si>
  <si>
    <t>-571.400885359341 38.6288834969841 -92.2067283399684</t>
  </si>
  <si>
    <t>-590.752114707153 36.3151610148334 -201.191463191551</t>
  </si>
  <si>
    <t>-603.839882549398 34.1938052712067 -293.115580626617</t>
  </si>
  <si>
    <t>-615.326753814062 32.2480666543013 -376.196216961062</t>
  </si>
  <si>
    <t>-625.915312413216 30.214289307095 -459.394185961801</t>
  </si>
  <si>
    <t>-640.411702614803 27.129430749877 -581.153187677713</t>
  </si>
  <si>
    <t>-629.962315851511 25.870380789785 -658.802594516251</t>
  </si>
  <si>
    <t>-630.334198429807 59.5987816079055 -528.957218365049</t>
  </si>
  <si>
    <t>-593.724690037034 210.010561784067 -509.618591973026</t>
  </si>
  <si>
    <t>-499.833032365088 238.861091296319 -245.174630347193</t>
  </si>
  <si>
    <t>-274.265534608481 183.665673927339 -249.789243191811</t>
  </si>
  <si>
    <t>-568.097159997424 130.986854341546 -96.4217048431033</t>
  </si>
  <si>
    <t>-608.396073345706 142.922686378103 317.022565180741</t>
  </si>
  <si>
    <t>-671.065215514141 173.294894697342 774.861694254156</t>
  </si>
  <si>
    <t>-521.407059052571 175.644797997804 833.859542373475</t>
  </si>
  <si>
    <t>-592.463183312376 -73.8696478729323 323.34430420947</t>
  </si>
  <si>
    <t>-649.96689021417 -107.892213116635 781.623259015797</t>
  </si>
  <si>
    <t>-497.113555850737 -127.675573700588 827.75687420837</t>
  </si>
  <si>
    <t>9763-20170724T115348.930941100.bin</t>
  </si>
  <si>
    <t>-571.322292163176 38.6382736172327 -92.192659542843</t>
  </si>
  <si>
    <t>-590.680837021001 36.315937624297 -201.175889957735</t>
  </si>
  <si>
    <t>-603.745285583875 34.1789380588016 -293.103006130347</t>
  </si>
  <si>
    <t>-615.199449407724 32.2143652316986 -376.187746631657</t>
  </si>
  <si>
    <t>-625.743535470579 30.1577451653036 -459.390621768938</t>
  </si>
  <si>
    <t>-640.162064458345 27.035109232934 -581.157897520962</t>
  </si>
  <si>
    <t>-629.702584012721 25.8853821770383 -658.807760066612</t>
  </si>
  <si>
    <t>-630.171144574139 59.5274139148082 -528.959585272919</t>
  </si>
  <si>
    <t>-593.743292688451 209.982771411715 -509.645487373733</t>
  </si>
  <si>
    <t>-499.563921025113 237.893760453646 -245.202938128379</t>
  </si>
  <si>
    <t>-274.023846398946 182.504380213584 -248.6978098723</t>
  </si>
  <si>
    <t>-568.141021121579 131.015247816036 -96.4057760009516</t>
  </si>
  <si>
    <t>-608.386483090862 142.948479347051 317.043715199989</t>
  </si>
  <si>
    <t>-671.038074285044 173.442514997424 774.854782511662</t>
  </si>
  <si>
    <t>-521.380684869127 175.512410101983 833.865023657539</t>
  </si>
  <si>
    <t>-592.327327208045 -73.8275207116178 323.357466723302</t>
  </si>
  <si>
    <t>-649.891973323938 -107.886742566159 781.625234569418</t>
  </si>
  <si>
    <t>-497.039975855385 -127.467782519874 827.849373232455</t>
  </si>
  <si>
    <t>9763-20170724T115348.963843500.bin</t>
  </si>
  <si>
    <t>-571.273347259953 38.650960388125 -92.1778796017334</t>
  </si>
  <si>
    <t>-590.621352132062 36.3142547189734 -201.162654778843</t>
  </si>
  <si>
    <t>-603.660555716551 34.162177943487 -293.093095172257</t>
  </si>
  <si>
    <t>-615.085430471147 32.1817040352323 -376.181525454732</t>
  </si>
  <si>
    <t>-625.593708501051 30.1072489561566 -459.388393131547</t>
  </si>
  <si>
    <t>-639.952735755518 26.9563884424745 -581.16219060596</t>
  </si>
  <si>
    <t>-629.501997178581 25.8831559777159 -658.814103815356</t>
  </si>
  <si>
    <t>-630.008288584392 59.4632978750994 -528.963832831941</t>
  </si>
  <si>
    <t>-593.66595598289 209.942295228032 -509.666261857729</t>
  </si>
  <si>
    <t>-499.282371576611 237.205286823128 -245.228957917007</t>
  </si>
  <si>
    <t>-273.707590662142 181.9214305261 -248.100096024515</t>
  </si>
  <si>
    <t>-568.189370028782 130.978436140562 -96.3877930901369</t>
  </si>
  <si>
    <t>-608.413754027654 142.932241051024 317.063147338227</t>
  </si>
  <si>
    <t>-671.047061510688 173.428252180925 774.870091200825</t>
  </si>
  <si>
    <t>-521.389968617993 175.670461839152 833.87469095568</t>
  </si>
  <si>
    <t>-592.239953526503 -73.8328086204936 323.371831393891</t>
  </si>
  <si>
    <t>-649.854190062303 -107.904894095696 781.625243260909</t>
  </si>
  <si>
    <t>-497.022486449613 -127.517946353632 827.902906433555</t>
  </si>
  <si>
    <t>9763-20170724T115349.030527600.bin</t>
  </si>
  <si>
    <t>-571.171266966697 38.697064613169 -92.1318057743714</t>
  </si>
  <si>
    <t>-590.52045380596 36.3141427338578 -201.11535032043</t>
  </si>
  <si>
    <t>-603.500070146456 34.1593522586159 -293.054037831498</t>
  </si>
  <si>
    <t>-614.846367903151 32.1894379650905 -376.15353552894</t>
  </si>
  <si>
    <t>-625.251065116412 30.1383164116201 -459.3742445105</t>
  </si>
  <si>
    <t>-639.430927769412 27.035323298775 -581.170010546729</t>
  </si>
  <si>
    <t>-629.00642899433 26.1513427086747 -658.82794837007</t>
  </si>
  <si>
    <t>-629.596837826216 59.5256973078538 -528.940635277777</t>
  </si>
  <si>
    <t>-593.304982848697 210.006267072735 -509.571939978085</t>
  </si>
  <si>
    <t>-498.222823446433 235.929340151931 -245.250227307845</t>
  </si>
  <si>
    <t>-272.608517205039 180.756915216882 -246.897790528536</t>
  </si>
  <si>
    <t>-568.260787829574 130.95820986243 -96.3632388326216</t>
  </si>
  <si>
    <t>-608.399700501304 142.949956420882 317.094968352545</t>
  </si>
  <si>
    <t>-671.065729070212 173.384122165446 774.914851479516</t>
  </si>
  <si>
    <t>-521.406531673784 175.648163462304 833.913272133056</t>
  </si>
  <si>
    <t>-591.94990260965 -73.7590898053118 323.4302730049</t>
  </si>
  <si>
    <t>-649.638318904022 -107.960066877762 781.665239191461</t>
  </si>
  <si>
    <t>-496.907170376743 -127.526831895742 828.293154884617</t>
  </si>
  <si>
    <t>9763-20170724T115349.063115800.bin</t>
  </si>
  <si>
    <t>-571.116829872648 38.6696367706379 -92.1107403056873</t>
  </si>
  <si>
    <t>-590.453360470222 36.2634357513493 -201.096052605008</t>
  </si>
  <si>
    <t>-603.367785492582 34.1006846743826 -293.04378805247</t>
  </si>
  <si>
    <t>-614.633149360669 32.1272725958984 -376.154092348353</t>
  </si>
  <si>
    <t>-624.934726985018 30.0760994779873 -459.387566911965</t>
  </si>
  <si>
    <t>-638.939288225935 26.9767027082887 -581.203841404135</t>
  </si>
  <si>
    <t>-628.496030913726 26.1748600073624 -658.860041342531</t>
  </si>
  <si>
    <t>-629.189439344343 59.4667650698705 -528.958441551759</t>
  </si>
  <si>
    <t>-592.911262249483 209.951968678426 -509.576185870136</t>
  </si>
  <si>
    <t>-497.428245607104 235.18916445525 -245.332498113607</t>
  </si>
  <si>
    <t>-271.78441668365 180.128192877394 -246.62936621013</t>
  </si>
  <si>
    <t>-568.254958599402 130.894622147238 -96.3479615518914</t>
  </si>
  <si>
    <t>-608.355008769934 142.919950746227 317.113016206464</t>
  </si>
  <si>
    <t>-671.074809345244 173.347683918443 774.936195287046</t>
  </si>
  <si>
    <t>-521.416569558985 175.663726643638 833.935119104749</t>
  </si>
  <si>
    <t>-591.836265321683 -73.7584302760067 323.472348432855</t>
  </si>
  <si>
    <t>-649.531106616287 -107.978177355282 781.698940663697</t>
  </si>
  <si>
    <t>-496.846847718773 -127.508702935711 828.495338116191</t>
  </si>
  <si>
    <t>9763-20170724T115349.128821800.bin</t>
  </si>
  <si>
    <t>-570.983455573192 38.4650626692519 -92.0427182671605</t>
  </si>
  <si>
    <t>-590.225983391522 36.0217901633616 -201.043850187238</t>
  </si>
  <si>
    <t>-603.007196377588 33.8350279204735 -293.009582879911</t>
  </si>
  <si>
    <t>-614.13040279695 31.8420734373731 -376.138550450515</t>
  </si>
  <si>
    <t>-624.267857974082 29.772736133126 -459.391733807983</t>
  </si>
  <si>
    <t>-638.00829798881 26.6480018280399 -581.237389602106</t>
  </si>
  <si>
    <t>-627.516511564631 25.9904309825779 -658.888544044716</t>
  </si>
  <si>
    <t>-628.365524040229 59.1482269819091 -528.978355346254</t>
  </si>
  <si>
    <t>-592.036542944587 209.632461109819 -509.65442109172</t>
  </si>
  <si>
    <t>-495.452223632966 233.262791182136 -245.66265908035</t>
  </si>
  <si>
    <t>-269.73631589229 178.489602054633 -246.534472811267</t>
  </si>
  <si>
    <t>-568.221959911403 130.666404759309 -96.3027959015819</t>
  </si>
  <si>
    <t>-608.291905241383 142.773538704103 317.158737214347</t>
  </si>
  <si>
    <t>-671.072220227629 173.375249584749 774.967244797414</t>
  </si>
  <si>
    <t>-521.419326413321 175.646793175119 833.981467753866</t>
  </si>
  <si>
    <t>-591.669906547774 -73.9104611368848 323.547831889619</t>
  </si>
  <si>
    <t>-649.207734270923 -108.040240545594 781.790161968906</t>
  </si>
  <si>
    <t>-496.668864746026 -127.425754948255 829.117907694088</t>
  </si>
  <si>
    <t>9763-20170724T115349.164419200.bin</t>
  </si>
  <si>
    <t>-570.911220270259 38.2781245017195 -91.9899735937418</t>
  </si>
  <si>
    <t>-590.104501371766 35.8340286657165 -200.999770542878</t>
  </si>
  <si>
    <t>-602.841742492386 33.6331984921064 -292.971339176304</t>
  </si>
  <si>
    <t>-613.924404304199 31.6219951253245 -376.105309958703</t>
  </si>
  <si>
    <t>-624.020446147856 29.5292107919097 -459.362789079412</t>
  </si>
  <si>
    <t>-637.699638899369 26.3639150188424 -581.214359874977</t>
  </si>
  <si>
    <t>-627.170205676044 25.745576912155 -658.860701040481</t>
  </si>
  <si>
    <t>-628.078180857422 58.8807731189177 -528.961828980331</t>
  </si>
  <si>
    <t>-591.699401744802 209.357303612756 -509.693328620286</t>
  </si>
  <si>
    <t>-494.405943988311 232.274138275403 -245.899163731241</t>
  </si>
  <si>
    <t>-268.637843355944 177.714134042702 -246.605852271591</t>
  </si>
  <si>
    <t>-568.200174028457 130.463157805633 -96.2609025604228</t>
  </si>
  <si>
    <t>-608.26556373562 142.658648522301 317.198436568264</t>
  </si>
  <si>
    <t>-671.058208362783 173.410003294364 774.983302315949</t>
  </si>
  <si>
    <t>-521.410488217997 175.708705729885 834.009574251042</t>
  </si>
  <si>
    <t>-591.611837654455 -74.046215620994 323.597317352145</t>
  </si>
  <si>
    <t>-649.11871619712 -108.05120092315 781.834839858339</t>
  </si>
  <si>
    <t>-496.627187670449 -127.439012114992 829.313967784676</t>
  </si>
  <si>
    <t>9763-20170724T115349.229603300.bin</t>
  </si>
  <si>
    <t>-570.816659409675 37.8704915879223 -91.9531478198721</t>
  </si>
  <si>
    <t>-589.922977008453 35.4137123448438 -200.978014156376</t>
  </si>
  <si>
    <t>-602.604729250188 33.205168290147 -292.956953729176</t>
  </si>
  <si>
    <t>-613.644458579073 31.1881017433425 -376.096680067468</t>
  </si>
  <si>
    <t>-623.704651617452 29.0907070626824 -459.358353814485</t>
  </si>
  <si>
    <t>-637.339173326809 25.9202167436922 -581.214657607914</t>
  </si>
  <si>
    <t>-626.732111103428 25.3594223569028 -658.850943077686</t>
  </si>
  <si>
    <t>-627.735843713841 58.4391753436569 -528.960322727288</t>
  </si>
  <si>
    <t>-591.24941207901 208.884789802894 -509.715111356897</t>
  </si>
  <si>
    <t>-492.291296493636 230.407487428525 -246.423052471072</t>
  </si>
  <si>
    <t>-266.468090381341 176.074370700463 -246.992665046748</t>
  </si>
  <si>
    <t>-568.178266047624 130.016804258784 -96.2292066305862</t>
  </si>
  <si>
    <t>-608.195181174385 142.377413643422 317.229967008069</t>
  </si>
  <si>
    <t>-671.075490777348 173.252628434459 775.002104359896</t>
  </si>
  <si>
    <t>-521.44088739159 175.775321946948 834.05244371764</t>
  </si>
  <si>
    <t>-591.627560213598 -74.3187827133179 323.623580961922</t>
  </si>
  <si>
    <t>-649.153101813441 -108.053726984881 781.843983728458</t>
  </si>
  <si>
    <t>-496.610404660557 -127.185201085868 829.26265404351</t>
  </si>
  <si>
    <t>9763-20170724T115349.263694300.bin</t>
  </si>
  <si>
    <t>-570.791623986416 37.7464272211087 -91.9613793333083</t>
  </si>
  <si>
    <t>-589.873515303288 35.2819213470918 -200.990209451812</t>
  </si>
  <si>
    <t>-602.541529078196 33.0837602856848 -292.971470907513</t>
  </si>
  <si>
    <t>-613.571331791332 31.0829424728597 -376.112673860737</t>
  </si>
  <si>
    <t>-623.624049906041 29.0087525594254 -459.376030547762</t>
  </si>
  <si>
    <t>-637.250254671533 25.8796711509401 -581.234368925593</t>
  </si>
  <si>
    <t>-626.617716715235 25.3464949601314 -658.867331555306</t>
  </si>
  <si>
    <t>-627.654949409901 58.3814360003089 -528.967604525623</t>
  </si>
  <si>
    <t>-591.171270925624 208.832747219166 -509.732088335351</t>
  </si>
  <si>
    <t>-491.322585084505 229.796296362347 -246.731428291594</t>
  </si>
  <si>
    <t>-265.446701999394 175.683703513043 -247.39354745435</t>
  </si>
  <si>
    <t>-568.164792270815 129.919707140487 -96.2338437749497</t>
  </si>
  <si>
    <t>-608.116950012822 142.317801129017 317.230460317196</t>
  </si>
  <si>
    <t>-671.051472522285 173.300164654664 774.994553032179</t>
  </si>
  <si>
    <t>-521.424614229249 175.639911794324 834.072093298581</t>
  </si>
  <si>
    <t>-591.643066784346 -74.4080773527101 323.615734008744</t>
  </si>
  <si>
    <t>-649.241317511253 -108.047489660277 781.824134786842</t>
  </si>
  <si>
    <t>-496.666893785445 -127.28944397051 829.095855636566</t>
  </si>
  <si>
    <t>9763-20170724T115349.330376000.bin</t>
  </si>
  <si>
    <t>-570.755349857522 37.5515021201786 -91.9968029887879</t>
  </si>
  <si>
    <t>-589.812756488966 35.0607925773777 -201.029453317713</t>
  </si>
  <si>
    <t>-602.462553223912 32.8849170539813 -293.01360589728</t>
  </si>
  <si>
    <t>-613.476478591964 30.9214592117492 -376.157864038618</t>
  </si>
  <si>
    <t>-623.513568342941 28.9021427164362 -459.424450393289</t>
  </si>
  <si>
    <t>-637.116813652286 25.8728248265891 -581.287859196286</t>
  </si>
  <si>
    <t>-626.43799322387 25.4308709338793 -658.91501367616</t>
  </si>
  <si>
    <t>-627.547097920014 58.333776258497 -528.990980441519</t>
  </si>
  <si>
    <t>-591.17004451681 208.808154114664 -509.72212286796</t>
  </si>
  <si>
    <t>-489.52614629458 228.827952177414 -247.336259662733</t>
  </si>
  <si>
    <t>-263.540571672315 175.17598727941 -248.059396779443</t>
  </si>
  <si>
    <t>-568.141837956599 129.703911673824 -96.2610227324932</t>
  </si>
  <si>
    <t>-608.088611106478 142.113029269396 317.203435003899</t>
  </si>
  <si>
    <t>-671.05461936932 173.24987281335 774.964398531851</t>
  </si>
  <si>
    <t>-521.440617095011 175.673883074683 834.070960260056</t>
  </si>
  <si>
    <t>-591.699445250488 -74.5437948236761 323.581308298148</t>
  </si>
  <si>
    <t>-649.497853668701 -108.025759347224 781.759068707513</t>
  </si>
  <si>
    <t>-496.779720514436 -127.238791075569 828.576355441716</t>
  </si>
  <si>
    <t>9763-20170724T115349.365487800.bin</t>
  </si>
  <si>
    <t>-570.756308041292 37.4967486652097 -92.0341642822717</t>
  </si>
  <si>
    <t>-589.79078542978 34.969241227642 -201.069894208128</t>
  </si>
  <si>
    <t>-602.441348807291 32.7965232959045 -293.053974901921</t>
  </si>
  <si>
    <t>-613.463693837299 30.8494561211769 -376.197483703636</t>
  </si>
  <si>
    <t>-623.516741317106 28.8602298064561 -459.462903030642</t>
  </si>
  <si>
    <t>-637.151341566623 25.8902774637645 -581.324344016246</t>
  </si>
  <si>
    <t>-626.468174222986 25.5153071377649 -658.951208524987</t>
  </si>
  <si>
    <t>-627.577035239707 58.3266831959199 -529.013219982609</t>
  </si>
  <si>
    <t>-591.2632846993 208.816457509433 -509.747169195697</t>
  </si>
  <si>
    <t>-488.874293727814 228.418090053557 -247.619540454064</t>
  </si>
  <si>
    <t>-262.810766498067 175.093019708221 -248.120259993705</t>
  </si>
  <si>
    <t>-568.136853327352 129.65020051928 -96.3058869063966</t>
  </si>
  <si>
    <t>-608.103535560203 142.097050073867 317.155535215698</t>
  </si>
  <si>
    <t>-671.05033669107 173.27666908534 774.932667622514</t>
  </si>
  <si>
    <t>-521.438085321148 175.691302730708 834.04403632025</t>
  </si>
  <si>
    <t>-591.785258414676 -74.5937433482927 323.548077651146</t>
  </si>
  <si>
    <t>-649.645267466533 -108.005913125133 781.719811094169</t>
  </si>
  <si>
    <t>-496.869166206229 -127.372563322021 828.283956365338</t>
  </si>
  <si>
    <t>9763-20170724T115349.428676800.bin</t>
  </si>
  <si>
    <t>-570.817998534531 37.4807745796647 -92.119894588262</t>
  </si>
  <si>
    <t>-589.819100499763 34.892198728061 -201.160126075218</t>
  </si>
  <si>
    <t>-602.468065343006 32.724856206572 -293.144516032537</t>
  </si>
  <si>
    <t>-613.499075696802 30.8045584966776 -376.287520279927</t>
  </si>
  <si>
    <t>-623.570461528779 28.8649706317774 -459.551800067274</t>
  </si>
  <si>
    <t>-637.242229532166 25.9925150572183 -581.411390082772</t>
  </si>
  <si>
    <t>-626.59034788998 25.7789030836122 -659.043299765673</t>
  </si>
  <si>
    <t>-627.679750514802 58.3903996747947 -529.074231794173</t>
  </si>
  <si>
    <t>-591.474331745243 208.907963214581 -509.858711551845</t>
  </si>
  <si>
    <t>-487.775957148832 227.265744835777 -248.156144200119</t>
  </si>
  <si>
    <t>-261.570017473133 174.546707782014 -247.835295132188</t>
  </si>
  <si>
    <t>-568.267430890116 129.667314425363 -96.420135534019</t>
  </si>
  <si>
    <t>-608.125094915261 142.077817196388 317.052904084842</t>
  </si>
  <si>
    <t>-671.049555512522 173.321494205302 774.84395742786</t>
  </si>
  <si>
    <t>-521.44055191069 175.673414153951 833.966321267118</t>
  </si>
  <si>
    <t>-591.852831484739 -74.6207701180945 323.486464771615</t>
  </si>
  <si>
    <t>-649.870741780131 -107.974326341369 781.652433933274</t>
  </si>
  <si>
    <t>-497.001237724805 -127.545459271179 827.822879487416</t>
  </si>
  <si>
    <t>9763-20170724T115349.460264900.bin</t>
  </si>
  <si>
    <t>-570.855452805457 37.4955076179624 -92.1605481938084</t>
  </si>
  <si>
    <t>-589.841176951063 34.8781308137284 -201.202752095397</t>
  </si>
  <si>
    <t>-602.510228627724 32.7213825396379 -293.184743899386</t>
  </si>
  <si>
    <t>-613.5723441728 30.8245214596514 -376.324178865172</t>
  </si>
  <si>
    <t>-623.687594917908 28.9226102433408 -459.583935876765</t>
  </si>
  <si>
    <t>-637.43726469119 26.1211398076327 -581.436427657243</t>
  </si>
  <si>
    <t>-626.840144884521 25.9775460649603 -659.075830538369</t>
  </si>
  <si>
    <t>-627.850774367575 58.4896248455268 -529.085462022484</t>
  </si>
  <si>
    <t>-591.683020791728 209.030718459786 -509.904754803224</t>
  </si>
  <si>
    <t>-487.337214409297 226.908133699492 -248.426411823005</t>
  </si>
  <si>
    <t>-261.086159708698 174.386458071876 -247.744802830883</t>
  </si>
  <si>
    <t>-568.336810059504 129.689054931599 -96.4715740635169</t>
  </si>
  <si>
    <t>-608.177533290824 142.070832631984 317.003957376954</t>
  </si>
  <si>
    <t>-671.053901157247 173.331783897385 774.798971778115</t>
  </si>
  <si>
    <t>-521.446443271154 175.640162334483 833.926824367423</t>
  </si>
  <si>
    <t>-591.847804436606 -74.6018173384066 323.462550924173</t>
  </si>
  <si>
    <t>-649.932890486326 -107.962826151953 781.635241648307</t>
  </si>
  <si>
    <t>-496.999307008831 -127.328006544612 827.680148991208</t>
  </si>
  <si>
    <t>9763-20170724T115349.531454500.bin</t>
  </si>
  <si>
    <t>-570.986409446647 37.5117297489617 -92.2266835192549</t>
  </si>
  <si>
    <t>-589.944824764327 34.8628558127805 -201.27279926985</t>
  </si>
  <si>
    <t>-602.69343709795 32.7369404160002 -293.244577588242</t>
  </si>
  <si>
    <t>-613.868038788407 30.8911978428339 -376.370089258265</t>
  </si>
  <si>
    <t>-624.136184140518 29.065043385616 -459.612791034379</t>
  </si>
  <si>
    <t>-638.153361744941 26.4021558984571 -581.437936841015</t>
  </si>
  <si>
    <t>-627.694822117803 26.4005326574538 -659.096489635044</t>
  </si>
  <si>
    <t>-628.492168386893 58.7159340029543 -529.066864295668</t>
  </si>
  <si>
    <t>-592.534167999671 209.311802843988 -509.969968116192</t>
  </si>
  <si>
    <t>-486.483681762734 226.295316849797 -249.118526321678</t>
  </si>
  <si>
    <t>-260.152934412832 174.145951350886 -247.284160092522</t>
  </si>
  <si>
    <t>-568.564492269943 129.718378302912 -96.5605517937811</t>
  </si>
  <si>
    <t>-608.282911193046 142.066043020602 316.927788898405</t>
  </si>
  <si>
    <t>-671.064083214119 173.347357450903 774.728204488603</t>
  </si>
  <si>
    <t>-521.456565522617 175.711284217022 833.85366420926</t>
  </si>
  <si>
    <t>-591.891963234233 -74.6336697430374 323.424246294069</t>
  </si>
  <si>
    <t>-649.989068184212 -107.969606642014 781.611742664891</t>
  </si>
  <si>
    <t>-497.039630645335 -127.464819306207 827.5488911795</t>
  </si>
  <si>
    <t>9763-20170724T115349.562539800.bin</t>
  </si>
  <si>
    <t>-571.099339832453 37.4828942218032 -92.2490355490856</t>
  </si>
  <si>
    <t>-590.043667589154 34.8212575944024 -201.29728688707</t>
  </si>
  <si>
    <t>-602.825792310952 32.7128920943985 -293.26477937766</t>
  </si>
  <si>
    <t>-614.048713427966 30.8942185299445 -376.38437621504</t>
  </si>
  <si>
    <t>-624.382917273698 29.1074159263258 -459.619865713615</t>
  </si>
  <si>
    <t>-638.516181211669 26.5152339297476 -581.433028941528</t>
  </si>
  <si>
    <t>-628.132120483672 26.6018412403682 -659.101518559135</t>
  </si>
  <si>
    <t>-628.825781174442 58.800941635254 -529.05007357368</t>
  </si>
  <si>
    <t>-592.948058786607 209.419980674971 -509.98637045374</t>
  </si>
  <si>
    <t>-485.992651608655 226.126447080059 -249.486742277406</t>
  </si>
  <si>
    <t>-259.626403559272 174.147074005894 -247.252002791804</t>
  </si>
  <si>
    <t>-568.733867219376 129.666394757782 -96.5922790795365</t>
  </si>
  <si>
    <t>-608.375598136054 142.023640470427 316.903105814935</t>
  </si>
  <si>
    <t>-671.095027520179 173.256748618125 774.712697094922</t>
  </si>
  <si>
    <t>-521.485789290641 175.758370910404 833.828179461457</t>
  </si>
  <si>
    <t>-591.930681912258 -74.668880381957 323.412469047259</t>
  </si>
  <si>
    <t>-650.008850957796 -107.960151858618 781.602245347449</t>
  </si>
  <si>
    <t>-497.044804050073 -127.448137193776 827.493931362886</t>
  </si>
  <si>
    <t>9763-20170724T115349.628723600.bin</t>
  </si>
  <si>
    <t>-571.41457979518 37.486131584662 -92.2892932204851</t>
  </si>
  <si>
    <t>-590.329688690192 34.8017100292225 -201.342041285796</t>
  </si>
  <si>
    <t>-603.155598251039 32.7392974562047 -293.304360572714</t>
  </si>
  <si>
    <t>-614.444929926916 30.9878512180687 -376.416435883014</t>
  </si>
  <si>
    <t>-624.872074863422 29.2948922684564 -459.642416039021</t>
  </si>
  <si>
    <t>-639.169739560739 26.8700684128369 -581.439747263928</t>
  </si>
  <si>
    <t>-628.926137141147 27.1523356907742 -659.126432585357</t>
  </si>
  <si>
    <t>-629.438178002294 59.0871409662125 -529.022343921691</t>
  </si>
  <si>
    <t>-593.744239466198 209.761020665908 -510.032608929894</t>
  </si>
  <si>
    <t>-484.796484463625 225.703985067488 -250.312037081376</t>
  </si>
  <si>
    <t>-258.319169284669 174.240960014046 -247.464428600689</t>
  </si>
  <si>
    <t>-569.192490673863 129.711469165181 -96.6423543819556</t>
  </si>
  <si>
    <t>-608.656858879959 142.06435034002 316.870153988151</t>
  </si>
  <si>
    <t>-671.094931301321 173.356029507073 774.701159934692</t>
  </si>
  <si>
    <t>-521.476548403623 175.69367872466 833.800295634482</t>
  </si>
  <si>
    <t>-592.014281293579 -74.6445424824917 323.377347549764</t>
  </si>
  <si>
    <t>-650.030625167537 -107.953770635294 781.578994541271</t>
  </si>
  <si>
    <t>-497.027183963554 -127.263934621653 827.414448738223</t>
  </si>
  <si>
    <t>9763-20170724T115349.663816700.bin</t>
  </si>
  <si>
    <t>-571.589573224046 37.4895741531627 -92.3018340933503</t>
  </si>
  <si>
    <t>-590.507221432749 34.8036267422256 -201.354089635775</t>
  </si>
  <si>
    <t>-603.360953549731 32.7777937660417 -293.313519555618</t>
  </si>
  <si>
    <t>-614.685323544645 31.0743851829191 -376.421755629406</t>
  </si>
  <si>
    <t>-625.157187055649 29.4449468739563 -459.643325364819</t>
  </si>
  <si>
    <t>-639.530717214746 27.1299695952598 -581.433967295967</t>
  </si>
  <si>
    <t>-629.344097700474 27.5154042561644 -659.127533457095</t>
  </si>
  <si>
    <t>-629.785862350223 59.3019756742503 -528.991247688652</t>
  </si>
  <si>
    <t>-594.204450757308 210.001029763671 -509.979623752867</t>
  </si>
  <si>
    <t>-484.22846304792 225.297979260463 -250.653817687565</t>
  </si>
  <si>
    <t>-257.724810775325 173.959454599474 -247.656953646022</t>
  </si>
  <si>
    <t>-569.435800498899 129.750054760173 -96.6560540149463</t>
  </si>
  <si>
    <t>-608.753802044676 142.084449858789 316.870973669239</t>
  </si>
  <si>
    <t>-671.088640814508 173.412571664273 774.703316881385</t>
  </si>
  <si>
    <t>-521.466542344866 175.687119382726 833.79543460575</t>
  </si>
  <si>
    <t>-592.055906585968 -74.6580620576185 323.360438365941</t>
  </si>
  <si>
    <t>-650.027990392273 -107.942941516527 781.572185420569</t>
  </si>
  <si>
    <t>-497.009736450532 -127.162489538724 827.396299934699</t>
  </si>
  <si>
    <t>9763-20170724T115349.729492400.bin</t>
  </si>
  <si>
    <t>-571.95745376837 37.4617597906104 -92.3377227045028</t>
  </si>
  <si>
    <t>-590.858308787736 34.7731762098524 -201.392883220451</t>
  </si>
  <si>
    <t>-603.739417694396 32.8195610189734 -293.349820631541</t>
  </si>
  <si>
    <t>-615.104348094771 31.211014505019 -376.454556694852</t>
  </si>
  <si>
    <t>-625.632187381806 29.7067496077666 -459.671483742514</t>
  </si>
  <si>
    <t>-640.103976444948 27.6078475579518 -581.45431482539</t>
  </si>
  <si>
    <t>-630.003932288856 28.227457246328 -659.15765906506</t>
  </si>
  <si>
    <t>-630.327337623778 59.6880507365097 -528.96122570997</t>
  </si>
  <si>
    <t>-594.817459385512 210.392891177454 -509.877355856229</t>
  </si>
  <si>
    <t>-482.819422962392 224.526518709934 -251.352184381851</t>
  </si>
  <si>
    <t>-256.207250846986 173.680772739597 -248.164167223818</t>
  </si>
  <si>
    <t>-569.886262171993 129.73523612336 -96.6783168962916</t>
  </si>
  <si>
    <t>-608.940204874993 142.091002273118 316.87305074653</t>
  </si>
  <si>
    <t>-671.102071726377 173.409294254396 774.725851171812</t>
  </si>
  <si>
    <t>-521.472033577281 175.644432574331 833.79934700224</t>
  </si>
  <si>
    <t>-592.236014464178 -74.6727121055626 323.326158733189</t>
  </si>
  <si>
    <t>-650.031111595011 -107.968120275178 781.561347759987</t>
  </si>
  <si>
    <t>-497.019489788132 -127.274200406719 827.371216546473</t>
  </si>
  <si>
    <t>9763-20170724T115349.766091900.bin</t>
  </si>
  <si>
    <t>-572.120214290448 37.4659962921062 -92.348144602758</t>
  </si>
  <si>
    <t>-591.009532707308 34.7734336900587 -201.405199454564</t>
  </si>
  <si>
    <t>-603.907560155361 32.85555393964 -293.360585353423</t>
  </si>
  <si>
    <t>-615.298052759061 31.2950095452388 -376.462667699797</t>
  </si>
  <si>
    <t>-625.861475813489 29.8547209688502 -459.676125549614</t>
  </si>
  <si>
    <t>-640.396014340044 27.867228695884 -581.45349689232</t>
  </si>
  <si>
    <t>-630.3270545057 28.6032526529859 -659.159940890546</t>
  </si>
  <si>
    <t>-630.58671516146 59.8986301362622 -528.936776688985</t>
  </si>
  <si>
    <t>-595.033012760663 210.584211456989 -509.79312178532</t>
  </si>
  <si>
    <t>-482.055798306208 224.121584871561 -251.662338953959</t>
  </si>
  <si>
    <t>-255.367255654198 173.632236828901 -248.248170658106</t>
  </si>
  <si>
    <t>-570.061178139836 129.710803824185 -96.6861480106001</t>
  </si>
  <si>
    <t>-609.040670415902 142.075398893092 316.87193274685</t>
  </si>
  <si>
    <t>-671.127733509055 173.347495138948 774.74142916697</t>
  </si>
  <si>
    <t>-521.493890998577 175.749678211888 833.79871747024</t>
  </si>
  <si>
    <t>-592.316756617157 -74.6447863887161 323.319623473451</t>
  </si>
  <si>
    <t>-650.03398454989 -107.994496588518 781.558472435291</t>
  </si>
  <si>
    <t>-497.020392723119 -127.298941087525 827.362505213179</t>
  </si>
  <si>
    <t>9763-20170724T115349.827258600.bin</t>
  </si>
  <si>
    <t>-572.42056634817 37.5735953600351 -92.35530457077</t>
  </si>
  <si>
    <t>-591.31180390127 34.8919154017044 -201.412313670215</t>
  </si>
  <si>
    <t>-604.279587123453 33.0621316172089 -293.359715333286</t>
  </si>
  <si>
    <t>-615.759632555057 31.6139458120629 -376.451392547885</t>
  </si>
  <si>
    <t>-626.438723770417 30.3189982610297 -459.65262736926</t>
  </si>
  <si>
    <t>-641.170401101199 28.5808755672383 -581.409893231949</t>
  </si>
  <si>
    <t>-631.213589049973 29.5534531493042 -659.128212159453</t>
  </si>
  <si>
    <t>-631.255325113524 60.5024689956142 -528.846293462371</t>
  </si>
  <si>
    <t>-595.589648448061 211.139875171679 -509.559124308186</t>
  </si>
  <si>
    <t>-480.518895431769 223.402432990294 -252.290942504645</t>
  </si>
  <si>
    <t>-253.679293447812 173.660656742006 -248.038680939444</t>
  </si>
  <si>
    <t>-570.321556843235 129.846594525917 -96.704312191207</t>
  </si>
  <si>
    <t>-609.170469305932 142.182034174847 316.866961803799</t>
  </si>
  <si>
    <t>-671.11687583585 173.467065113985 774.760184505377</t>
  </si>
  <si>
    <t>-521.469527514839 175.599557780021 833.793531872805</t>
  </si>
  <si>
    <t>-592.482327339658 -74.534615050397 323.303231504548</t>
  </si>
  <si>
    <t>-650.036313240052 -107.976916467437 781.557215913601</t>
  </si>
  <si>
    <t>-497.008686166688 -127.222472879577 827.339076786361</t>
  </si>
  <si>
    <t>9763-20170724T115349.864370500.bin</t>
  </si>
  <si>
    <t>-572.569101116409 37.6224730248236 -92.3711620478601</t>
  </si>
  <si>
    <t>-591.481746317948 34.9465976638783 -201.424571375657</t>
  </si>
  <si>
    <t>-604.492721991473 33.1651404018853 -293.366756298092</t>
  </si>
  <si>
    <t>-616.021360330154 31.7788525767312 -376.45299283248</t>
  </si>
  <si>
    <t>-626.758392157585 30.5638764537061 -459.647801923965</t>
  </si>
  <si>
    <t>-641.584827843065 28.9626659255132 -581.395568892456</t>
  </si>
  <si>
    <t>-631.700147886984 30.0532946392102 -659.121580103832</t>
  </si>
  <si>
    <t>-631.616441471015 60.8236150458258 -528.805227241213</t>
  </si>
  <si>
    <t>-595.855189802382 211.432269974131 -509.427593789974</t>
  </si>
  <si>
    <t>-479.768228962668 222.981820908812 -252.583278364009</t>
  </si>
  <si>
    <t>-252.917960375458 173.327321970828 -247.901609751144</t>
  </si>
  <si>
    <t>-570.435795074046 129.931945427148 -96.7206090207803</t>
  </si>
  <si>
    <t>-609.204343498726 142.185315890548 316.860673377992</t>
  </si>
  <si>
    <t>-671.11879183459 173.490652560516 774.763073797016</t>
  </si>
  <si>
    <t>-521.468861897639 175.654206556655 833.788717172356</t>
  </si>
  <si>
    <t>-592.549564401919 -74.4779280572136 323.293567318753</t>
  </si>
  <si>
    <t>-650.038060897863 -107.94663847536 781.556178921383</t>
  </si>
  <si>
    <t>-496.976898829036 -126.972948177061 827.317487778299</t>
  </si>
  <si>
    <t>9763-20170724T115349.930546600.bin</t>
  </si>
  <si>
    <t>-572.85106918626 37.6646181446829 -92.4127990588313</t>
  </si>
  <si>
    <t>-591.787204997255 34.9898306674113 -201.46211523288</t>
  </si>
  <si>
    <t>-604.827278062902 33.2812277455653 -293.401763064157</t>
  </si>
  <si>
    <t>-616.384971019274 31.9904549569148 -376.485284112649</t>
  </si>
  <si>
    <t>-627.153347714262 30.9003040466996 -459.677891036115</t>
  </si>
  <si>
    <t>-642.027741173997 29.5132825291166 -581.422491103506</t>
  </si>
  <si>
    <t>-632.311644974891 30.8222785402477 -659.166147400691</t>
  </si>
  <si>
    <t>-631.995711175568 61.2767344275376 -528.785075631032</t>
  </si>
  <si>
    <t>-595.985270536422 211.797849714528 -509.132629215115</t>
  </si>
  <si>
    <t>-478.102486206424 221.5241553195 -253.031700050356</t>
  </si>
  <si>
    <t>-251.265578676102 171.857447070682 -247.857976072789</t>
  </si>
  <si>
    <t>-570.652987204676 130.028729356459 -96.7506928536868</t>
  </si>
  <si>
    <t>-609.309759364501 142.247608564008 316.842065370977</t>
  </si>
  <si>
    <t>-671.128447430419 173.520656146081 774.763953999614</t>
  </si>
  <si>
    <t>-521.470900396068 175.489372807756 833.777249532739</t>
  </si>
  <si>
    <t>-592.714555893876 -74.4345975519461 323.282513367585</t>
  </si>
  <si>
    <t>-650.045601869192 -107.968494907573 781.559457790106</t>
  </si>
  <si>
    <t>-497.034897153699 -127.407439867876 827.316207904342</t>
  </si>
  <si>
    <t>9763-20170724T115349.962638200.bin</t>
  </si>
  <si>
    <t>-572.977478463655 37.6091022670548 -92.4268811788032</t>
  </si>
  <si>
    <t>-591.900746609624 34.9333665202862 -201.478517639563</t>
  </si>
  <si>
    <t>-604.945797340841 33.2526044755866 -293.417815927968</t>
  </si>
  <si>
    <t>-616.514000764734 31.9985797216052 -376.500522822502</t>
  </si>
  <si>
    <t>-627.298609625891 30.9566973463675 -459.691541634388</t>
  </si>
  <si>
    <t>-642.202870439833 29.6528224107906 -581.433462419082</t>
  </si>
  <si>
    <t>-632.590167743879 31.0670734869559 -659.188171334081</t>
  </si>
  <si>
    <t>-632.129562420226 61.3770049189909 -528.780402737546</t>
  </si>
  <si>
    <t>-595.963706110613 211.838078327075 -508.986403415263</t>
  </si>
  <si>
    <t>-477.279486006667 220.729568573959 -253.225553651701</t>
  </si>
  <si>
    <t>-250.459523592157 171.013914744114 -247.786375759254</t>
  </si>
  <si>
    <t>-570.781576748112 129.952290285305 -96.7624163816612</t>
  </si>
  <si>
    <t>-609.375939937587 142.194320627055 316.83547663346</t>
  </si>
  <si>
    <t>-671.15547975335 173.444376458254 774.765271648479</t>
  </si>
  <si>
    <t>-521.49493595899 175.623332136339 833.763547940319</t>
  </si>
  <si>
    <t>-592.781843130147 -74.4466919827078 323.275629671666</t>
  </si>
  <si>
    <t>-650.042574813528 -107.946385766073 781.561775177484</t>
  </si>
  <si>
    <t>-496.994194280464 -127.115960456746 827.306054907686</t>
  </si>
  <si>
    <t>9763-20170724T115350.029313600.bin</t>
  </si>
  <si>
    <t>-573.150625323173 37.523085732671 -92.4219078553666</t>
  </si>
  <si>
    <t>-592.108075143519 34.8666672137751 -201.468056434667</t>
  </si>
  <si>
    <t>-605.177539906446 33.2548199891489 -293.405129470076</t>
  </si>
  <si>
    <t>-616.765380978528 32.0845738585465 -376.486385230823</t>
  </si>
  <si>
    <t>-627.56690359854 31.1474295564708 -459.676315392438</t>
  </si>
  <si>
    <t>-642.492462718193 30.0198712159245 -581.417397716752</t>
  </si>
  <si>
    <t>-633.072365300471 31.6672980387752 -659.191106570377</t>
  </si>
  <si>
    <t>-632.383410913929 61.6646336701467 -528.723450591664</t>
  </si>
  <si>
    <t>-596.015526658263 212.025644645905 -508.59819187583</t>
  </si>
  <si>
    <t>-475.340652230205 219.842587749678 -253.73557001015</t>
  </si>
  <si>
    <t>-248.660308869372 169.630844424423 -247.152770376917</t>
  </si>
  <si>
    <t>-570.923081500665 129.905840142459 -96.7683727487363</t>
  </si>
  <si>
    <t>-609.463776917104 142.205119025206 316.832845200871</t>
  </si>
  <si>
    <t>-671.148846239759 173.522879230779 774.764665968411</t>
  </si>
  <si>
    <t>-521.479038991569 175.487288797865 833.747094864312</t>
  </si>
  <si>
    <t>-592.846935648299 -74.4503811598347 323.269075001876</t>
  </si>
  <si>
    <t>-650.061863831868 -107.954273421424 781.559457392184</t>
  </si>
  <si>
    <t>-497.027694515461 -127.31357480866 827.271428273842</t>
  </si>
  <si>
    <t>9763-20170724T115350.065457900.bin</t>
  </si>
  <si>
    <t>-573.22342845403 37.4816401376133 -92.4297760935774</t>
  </si>
  <si>
    <t>-592.22525574941 34.8361544756149 -201.468470760568</t>
  </si>
  <si>
    <t>-605.330771380967 33.2739339435047 -293.401219245747</t>
  </si>
  <si>
    <t>-616.950184930644 32.1649583941935 -376.478835557664</t>
  </si>
  <si>
    <t>-627.782035673752 31.3056259392786 -459.665940103534</t>
  </si>
  <si>
    <t>-642.750253424769 30.309868000285 -581.402762491246</t>
  </si>
  <si>
    <t>-633.455014987365 32.0805544963791 -659.188801792986</t>
  </si>
  <si>
    <t>-632.622780358575 61.8976677606308 -528.678134081776</t>
  </si>
  <si>
    <t>-596.231188660921 212.224711224285 -508.269780795579</t>
  </si>
  <si>
    <t>-474.408389418349 219.312498300088 -253.932367610629</t>
  </si>
  <si>
    <t>-247.743086309363 169.134164189778 -246.617870703181</t>
  </si>
  <si>
    <t>-570.975152886444 129.878475431962 -96.7776756944079</t>
  </si>
  <si>
    <t>-609.456821533694 142.174540384475 316.829133404613</t>
  </si>
  <si>
    <t>-671.149147056119 173.528292901364 774.760321433737</t>
  </si>
  <si>
    <t>-521.477870948007 175.451433014549 833.740268228238</t>
  </si>
  <si>
    <t>-592.849579008773 -74.4513205031451 323.263569965571</t>
  </si>
  <si>
    <t>-650.072601577348 -107.966501400129 781.552479512463</t>
  </si>
  <si>
    <t>-497.042538458023 -127.401507410667 827.246091192343</t>
  </si>
  <si>
    <t>9763-20170724T115350.130132800.bin</t>
  </si>
  <si>
    <t>-573.408834143951 37.2040462959612 -92.4608115516609</t>
  </si>
  <si>
    <t>-592.463774434519 34.5978232774426 -201.4912168466</t>
  </si>
  <si>
    <t>-605.653342797455 33.1481145364519 -293.413756126999</t>
  </si>
  <si>
    <t>-617.363439521041 32.1741365404343 -376.480380846658</t>
  </si>
  <si>
    <t>-628.300297758762 31.4829793832512 -459.655214859854</t>
  </si>
  <si>
    <t>-643.437407582546 30.7692164442276 -581.373226512166</t>
  </si>
  <si>
    <t>-634.41907581731 32.7665974891754 -659.186402499247</t>
  </si>
  <si>
    <t>-633.201827112879 62.230745196144 -528.593945024453</t>
  </si>
  <si>
    <t>-596.558693172236 212.413638009469 -507.548067135054</t>
  </si>
  <si>
    <t>-474.04164955593 218.43174258623 -253.516695780386</t>
  </si>
  <si>
    <t>-247.410956887897 168.120680202012 -246.042579236663</t>
  </si>
  <si>
    <t>-571.079472348269 129.55205054369 -96.7778522443957</t>
  </si>
  <si>
    <t>-609.542184930045 142.034424204167 316.825151359633</t>
  </si>
  <si>
    <t>-671.16844478628 173.493602791881 774.756191727716</t>
  </si>
  <si>
    <t>-521.49607766793 175.496590532959 833.730835069915</t>
  </si>
  <si>
    <t>-592.947109993531 -74.5771890985661 323.236450851113</t>
  </si>
  <si>
    <t>-650.088420096289 -107.959093585347 781.547055440886</t>
  </si>
  <si>
    <t>-497.037413147445 -127.321420153367 827.201285224969</t>
  </si>
  <si>
    <t>9763-20170724T115350.161660600.bin</t>
  </si>
  <si>
    <t>-573.43868831454 37.0098686356905 -92.4571662383482</t>
  </si>
  <si>
    <t>-592.515615253735 34.438253840091 -201.484532508798</t>
  </si>
  <si>
    <t>-605.73809554105 33.0523794158667 -293.403325942056</t>
  </si>
  <si>
    <t>-617.483265334915 32.1510354915854 -376.46585539557</t>
  </si>
  <si>
    <t>-628.46045029169 31.5468165365296 -459.636026675531</t>
  </si>
  <si>
    <t>-643.661852147069 30.9765634206669 -581.346742515103</t>
  </si>
  <si>
    <t>-634.782544760148 33.0753691607902 -659.17329801593</t>
  </si>
  <si>
    <t>-633.372764605163 62.3727370317952 -528.539022661604</t>
  </si>
  <si>
    <t>-596.540012043561 212.454710532936 -507.130641195711</t>
  </si>
  <si>
    <t>-474.784978877827 218.270042863647 -252.728396111833</t>
  </si>
  <si>
    <t>-248.295234907474 167.265528224447 -245.694759277984</t>
  </si>
  <si>
    <t>-640.610470333302 0.0807512248375133 -527.343229246129</t>
  </si>
  <si>
    <t>-571.018473867352 129.336274176333 -96.7599321852466</t>
  </si>
  <si>
    <t>-609.567112463367 141.93083452378 316.831666861505</t>
  </si>
  <si>
    <t>-671.165826714561 173.53146952964 774.754083841119</t>
  </si>
  <si>
    <t>-521.490608672938 175.53196480976 833.721512177458</t>
  </si>
  <si>
    <t>-593.007419688156 -74.6826849350307 323.228487857338</t>
  </si>
  <si>
    <t>-650.09948125363 -107.968316512342 781.546857646939</t>
  </si>
  <si>
    <t>-497.064165050879 -127.489921282729 827.185933051538</t>
  </si>
  <si>
    <t>9763-20170724T115350.230351500.bin</t>
  </si>
  <si>
    <t>-573.294712011945 36.4914955360284 -92.4758114457338</t>
  </si>
  <si>
    <t>-592.354599406986 34.0342304592466 -201.508886090905</t>
  </si>
  <si>
    <t>-605.516497983425 32.7983232244303 -293.438589037732</t>
  </si>
  <si>
    <t>-617.18782148941 32.0562440312135 -376.512962837814</t>
  </si>
  <si>
    <t>-628.071773931394 31.6337890591255 -459.696449485819</t>
  </si>
  <si>
    <t>-643.115141053117 31.3542863241109 -581.427849265017</t>
  </si>
  <si>
    <t>-634.464911902875 33.6525446022447 -659.274605882332</t>
  </si>
  <si>
    <t>-632.840541566088 62.6177398205625 -528.538675955218</t>
  </si>
  <si>
    <t>-595.641474585174 212.507948422922 -506.463362115566</t>
  </si>
  <si>
    <t>-477.802271482636 218.772028952056 -250.234359246766</t>
  </si>
  <si>
    <t>-251.656438422272 166.203974218648 -243.662719270114</t>
  </si>
  <si>
    <t>-640.187927637512 0.336148290526125 -527.487753892121</t>
  </si>
  <si>
    <t>-570.508683706854 128.854582244645 -96.7212680500581</t>
  </si>
  <si>
    <t>-609.448039441149 141.648131438788 316.827565415931</t>
  </si>
  <si>
    <t>-671.165946983923 173.57448494771 774.730289337884</t>
  </si>
  <si>
    <t>-521.490773303129 175.485704081618 833.700765374505</t>
  </si>
  <si>
    <t>-593.153942007958 -74.9369661711594 323.179702145769</t>
  </si>
  <si>
    <t>-650.101172153255 -107.97005309599 781.541155519949</t>
  </si>
  <si>
    <t>-497.049066949599 -127.382597540853 827.170426089394</t>
  </si>
  <si>
    <t>9763-20170724T115350.262952000.bin</t>
  </si>
  <si>
    <t>-573.12939398412 36.2791551895123 -92.484712689908</t>
  </si>
  <si>
    <t>-592.15353931955 33.878579549041 -201.525185230554</t>
  </si>
  <si>
    <t>-605.287699317257 32.7032152449408 -293.459656860522</t>
  </si>
  <si>
    <t>-616.934783556907 32.0227402542534 -376.537969890132</t>
  </si>
  <si>
    <t>-627.7952753831 31.6682484743806 -459.724912890852</t>
  </si>
  <si>
    <t>-642.805304302163 31.4951535497853 -581.4605639634</t>
  </si>
  <si>
    <t>-634.305156117674 33.8514394708823 -659.322186679969</t>
  </si>
  <si>
    <t>-632.523888718234 62.7097958873046 -528.543923925394</t>
  </si>
  <si>
    <t>-595.383302372857 212.578286680188 -506.179032905485</t>
  </si>
  <si>
    <t>-480.648816462259 218.729974878698 -248.542091141119</t>
  </si>
  <si>
    <t>-254.760119716058 164.995797073178 -242.58691211133</t>
  </si>
  <si>
    <t>-639.914208098488 0.432346982059926 -527.54414069506</t>
  </si>
  <si>
    <t>-570.158112726389 128.661255902736 -96.7061948319682</t>
  </si>
  <si>
    <t>-609.325056000551 141.574309140433 316.817433912472</t>
  </si>
  <si>
    <t>-671.147314892865 173.667687153003 774.70119333811</t>
  </si>
  <si>
    <t>-521.478646929675 175.386770151717 833.694125890947</t>
  </si>
  <si>
    <t>-593.174969691139 -75.0762923104628 323.158363391796</t>
  </si>
  <si>
    <t>-650.077761903843 -107.981395068073 781.545463455127</t>
  </si>
  <si>
    <t>-497.050623564367 -127.505272078203 827.21097721683</t>
  </si>
  <si>
    <t>9763-20170724T115350.332140100.bin</t>
  </si>
  <si>
    <t>-572.704781989889 35.877106507708 -92.4568069677492</t>
  </si>
  <si>
    <t>-591.632186678465 33.6267221354044 -201.517216478627</t>
  </si>
  <si>
    <t>-604.808953107051 32.6324126048255 -293.447777135734</t>
  </si>
  <si>
    <t>-616.543465281432 32.1422563104918 -376.515218837561</t>
  </si>
  <si>
    <t>-627.540224009619 32.0036689192118 -459.684832588152</t>
  </si>
  <si>
    <t>-642.802725454529 32.1751028043975 -581.389160519924</t>
  </si>
  <si>
    <t>-634.655983052083 34.6400777886886 -659.284950738623</t>
  </si>
  <si>
    <t>-632.294836404816 63.2256625865061 -528.420347256963</t>
  </si>
  <si>
    <t>-594.269406566834 212.713170047624 -504.983186301812</t>
  </si>
  <si>
    <t>-489.813969598741 218.415494802333 -242.999957691468</t>
  </si>
  <si>
    <t>-263.88340340458 164.761925207951 -237.979963026148</t>
  </si>
  <si>
    <t>-639.916510145518 0.974080470247372 -527.552275737442</t>
  </si>
  <si>
    <t>-569.394104068301 128.218538808654 -96.6159080597499</t>
  </si>
  <si>
    <t>-609.236608767037 141.276437062323 316.83872042356</t>
  </si>
  <si>
    <t>-671.178850389045 173.554043419016 774.673737729701</t>
  </si>
  <si>
    <t>-521.530193300981 175.48151366348 833.710883694</t>
  </si>
  <si>
    <t>-593.107465269288 -75.3706234968649 323.140342016667</t>
  </si>
  <si>
    <t>-650.00391698188 -108.01513846151 781.560560244848</t>
  </si>
  <si>
    <t>-496.994709309594 -127.407061318542 827.342197343324</t>
  </si>
  <si>
    <t>9763-20170724T115350.361781500.bin</t>
  </si>
  <si>
    <t>-572.430433412637 35.7454419521671 -92.4174834111855</t>
  </si>
  <si>
    <t>-591.331791215643 33.546520458166 -201.483480459581</t>
  </si>
  <si>
    <t>-604.496304455911 32.6569969888008 -293.416782969967</t>
  </si>
  <si>
    <t>-616.222862086591 32.2878281524247 -376.485990020013</t>
  </si>
  <si>
    <t>-627.214365637246 32.2957618237658 -459.656431953973</t>
  </si>
  <si>
    <t>-642.471757425047 32.7094197045208 -581.360864774942</t>
  </si>
  <si>
    <t>-634.4304515248 35.2518130892731 -659.265246133411</t>
  </si>
  <si>
    <t>-631.901976781664 63.6465576878063 -528.338052114921</t>
  </si>
  <si>
    <t>-593.150121739196 212.827163134863 -504.335855792022</t>
  </si>
  <si>
    <t>-495.522686748949 219.2899631287 -239.750072153469</t>
  </si>
  <si>
    <t>-269.34244236085 166.829998280346 -233.506542102138</t>
  </si>
  <si>
    <t>-639.65188250249 1.40932109461824 -527.57801236205</t>
  </si>
  <si>
    <t>-568.917329008807 128.076920721077 -96.5661261643664</t>
  </si>
  <si>
    <t>-609.132952731663 141.23462448855 316.84907036484</t>
  </si>
  <si>
    <t>-671.185530158316 173.555440842673 774.668225054017</t>
  </si>
  <si>
    <t>-521.54289120859 175.483945915107 833.720710326416</t>
  </si>
  <si>
    <t>-593.109836683597 -75.5380379659664 323.150743075252</t>
  </si>
  <si>
    <t>-649.968335527552 -108.032395438604 781.574957412151</t>
  </si>
  <si>
    <t>-497.005301210108 -127.640682754717 827.418776830057</t>
  </si>
  <si>
    <t>9763-20170724T115350.429463500.bin</t>
  </si>
  <si>
    <t>-571.759473996352 35.7894069473641 -92.3594072146598</t>
  </si>
  <si>
    <t>-590.697488094152 33.6903373129078 -201.421062853234</t>
  </si>
  <si>
    <t>-603.822491666091 32.8838030049053 -293.36082640674</t>
  </si>
  <si>
    <t>-615.485101674781 32.5909535160456 -376.439262677394</t>
  </si>
  <si>
    <t>-626.384476308843 32.675325727291 -459.621754183353</t>
  </si>
  <si>
    <t>-641.47640295414 33.2001682320199 -581.346412419492</t>
  </si>
  <si>
    <t>-633.584798897599 35.8199058508335 -659.263578880929</t>
  </si>
  <si>
    <t>-630.93114001466 64.0827774997717 -528.286956797134</t>
  </si>
  <si>
    <t>-591.651778677867 213.085846108258 -503.855463359633</t>
  </si>
  <si>
    <t>-509.345421615406 223.740008094509 -234.243365198107</t>
  </si>
  <si>
    <t>-283.306334795538 171.9177247389 -221.231370540893</t>
  </si>
  <si>
    <t>-638.777247227692 1.85696931445636 -527.582481474697</t>
  </si>
  <si>
    <t>-567.885478261028 128.244819706474 -96.4919188058232</t>
  </si>
  <si>
    <t>-608.566728338717 141.287330925242 316.881391567731</t>
  </si>
  <si>
    <t>-671.1624232679 173.647415125344 774.616116611633</t>
  </si>
  <si>
    <t>-521.537896490908 175.333519316723 833.721829329167</t>
  </si>
  <si>
    <t>-592.967886776181 -75.5937136040843 323.153251216835</t>
  </si>
  <si>
    <t>-649.918294700759 -108.047001709648 781.590518068767</t>
  </si>
  <si>
    <t>-496.969322507527 -127.60470170198 827.502809530537</t>
  </si>
  <si>
    <t>9763-20170724T115350.465565800.bin</t>
  </si>
  <si>
    <t>-571.498762782843 35.9056984347378 -92.3364122306257</t>
  </si>
  <si>
    <t>-590.478575008742 33.8358728725123 -201.391456555708</t>
  </si>
  <si>
    <t>-603.676901798002 33.0484091893588 -293.320693070373</t>
  </si>
  <si>
    <t>-615.420916620617 32.771945871383 -376.387887834258</t>
  </si>
  <si>
    <t>-626.417096950496 32.8711897068499 -459.55758526578</t>
  </si>
  <si>
    <t>-641.667382446878 33.4167060309831 -581.262308643435</t>
  </si>
  <si>
    <t>-633.89647424743 36.06631854938 -659.190648743832</t>
  </si>
  <si>
    <t>-631.024153860401 64.2865389838989 -528.215127872408</t>
  </si>
  <si>
    <t>-591.272857336793 213.156689138703 -503.718806426501</t>
  </si>
  <si>
    <t>-518.777928243134 226.557613936935 -231.425668905106</t>
  </si>
  <si>
    <t>-292.93716215687 175.432838603851 -213.239259022136</t>
  </si>
  <si>
    <t>-638.927246618884 2.06810734289365 -527.50370980286</t>
  </si>
  <si>
    <t>-567.601088430568 128.356190499067 -96.4534420827634</t>
  </si>
  <si>
    <t>-608.35335927955 141.336710083466 316.914882969829</t>
  </si>
  <si>
    <t>-671.156148646 173.662552507198 774.599277729786</t>
  </si>
  <si>
    <t>-521.541947723446 175.433259690265 833.728625139571</t>
  </si>
  <si>
    <t>-592.785107215055 -75.5195402352131 323.171444840922</t>
  </si>
  <si>
    <t>-649.90432663787 -108.042448115596 781.590965002942</t>
  </si>
  <si>
    <t>-496.979181980535 -127.745329656706 827.520542462699</t>
  </si>
  <si>
    <t>9763-20170724T115350.527735400.bin</t>
  </si>
  <si>
    <t>-571.122517777395 36.0822600913218 -92.2841650715642</t>
  </si>
  <si>
    <t>-590.165376696336 34.0345895576813 -201.328566926907</t>
  </si>
  <si>
    <t>-603.499473802082 33.2550016677212 -293.238467635568</t>
  </si>
  <si>
    <t>-615.3993809252 32.9815045374869 -376.283304366315</t>
  </si>
  <si>
    <t>-626.58482070045 33.0805414863648 -459.427812017178</t>
  </si>
  <si>
    <t>-642.148489469944 33.6222252988075 -581.092901055555</t>
  </si>
  <si>
    <t>-634.537433419751 36.241254377418 -659.037878974465</t>
  </si>
  <si>
    <t>-631.357639211541 64.4922911121409 -528.075564830245</t>
  </si>
  <si>
    <t>-590.904375064563 213.168928918091 -503.741266678158</t>
  </si>
  <si>
    <t>-539.150769684277 231.252591002522 -227.022707353378</t>
  </si>
  <si>
    <t>-314.375542474895 182.787254632773 -194.224241208612</t>
  </si>
  <si>
    <t>-639.280939514596 2.27674884360613 -527.33895278203</t>
  </si>
  <si>
    <t>-567.275913176416 128.409440967137 -96.3742853322426</t>
  </si>
  <si>
    <t>-608.266875929975 141.34653326626 316.971795442536</t>
  </si>
  <si>
    <t>-671.203811489868 173.490416330611 774.616951165806</t>
  </si>
  <si>
    <t>-521.594875677792 175.56104055635 833.749909039007</t>
  </si>
  <si>
    <t>-592.543767490482 -75.4066502211851 323.203263706731</t>
  </si>
  <si>
    <t>-649.893822754813 -108.071364266629 781.580933752394</t>
  </si>
  <si>
    <t>-496.986235337456 -127.878105219684 827.524209722343</t>
  </si>
  <si>
    <t>9763-20170724T115350.566208100.bin</t>
  </si>
  <si>
    <t>-570.988721545749 36.2830187919512 -92.249267264163</t>
  </si>
  <si>
    <t>-590.064907235542 34.2313785534895 -201.287764806271</t>
  </si>
  <si>
    <t>-603.475453846347 33.4464668359742 -293.18643371347</t>
  </si>
  <si>
    <t>-615.464109934651 33.1669945703659 -376.218615520014</t>
  </si>
  <si>
    <t>-626.758231217109 33.2599002189806 -459.348301768031</t>
  </si>
  <si>
    <t>-642.502786385309 33.7932324368694 -580.990249669004</t>
  </si>
  <si>
    <t>-634.969674368316 36.3720429507387 -658.944106865786</t>
  </si>
  <si>
    <t>-631.712726771156 64.6771339209402 -527.980920988873</t>
  </si>
  <si>
    <t>-591.466999741155 213.41294583102 -503.698607234262</t>
  </si>
  <si>
    <t>-549.081831078272 233.602749571534 -225.535933020548</t>
  </si>
  <si>
    <t>-325.424565386835 186.921671021925 -183.74062985771</t>
  </si>
  <si>
    <t>-639.475711343183 2.44125436537365 -527.248925566848</t>
  </si>
  <si>
    <t>-567.219075136644 128.591936498479 -96.3530524800552</t>
  </si>
  <si>
    <t>-608.231150800168 141.458725143602 316.993038676164</t>
  </si>
  <si>
    <t>-671.206478690705 173.486391472272 774.636073063392</t>
  </si>
  <si>
    <t>-521.595630391175 175.493067279067 833.76630998149</t>
  </si>
  <si>
    <t>-592.431103974038 -75.3137572000946 323.212454066848</t>
  </si>
  <si>
    <t>-649.899716543238 -108.062918586131 781.568707766063</t>
  </si>
  <si>
    <t>-496.988802957975 -127.895092254732 827.489938319991</t>
  </si>
  <si>
    <t>9763-20170724T115350.630396700.bin</t>
  </si>
  <si>
    <t>-570.791390258386 36.8488920725049 -92.1799902994037</t>
  </si>
  <si>
    <t>-590.088218970081 34.7287654823785 -201.178255382138</t>
  </si>
  <si>
    <t>-603.667106205451 33.9851976497371 -293.052624541956</t>
  </si>
  <si>
    <t>-615.800704258117 33.7782500594221 -376.063918117521</t>
  </si>
  <si>
    <t>-627.232111999638 33.9824816671426 -459.174786129901</t>
  </si>
  <si>
    <t>-643.168561974702 34.721567007726 -580.790615406553</t>
  </si>
  <si>
    <t>-635.695436891933 37.308842097078 -658.750036200873</t>
  </si>
  <si>
    <t>-632.517169702382 65.5431823505676 -527.716762572207</t>
  </si>
  <si>
    <t>-592.454919167971 214.298431133754 -503.256481119404</t>
  </si>
  <si>
    <t>-567.013692841584 236.542316980597 -223.19115668589</t>
  </si>
  <si>
    <t>-345.663669549661 199.053043768278 -163.632387799233</t>
  </si>
  <si>
    <t>-639.834324362139 3.25161211503951 -527.136439823426</t>
  </si>
  <si>
    <t>-567.395919700587 129.186447260094 -96.3243655204288</t>
  </si>
  <si>
    <t>-608.184650126665 141.778157084151 317.05234269121</t>
  </si>
  <si>
    <t>-671.188066045999 173.614884240797 774.704608861565</t>
  </si>
  <si>
    <t>-521.568341916237 175.459168542047 833.817753991964</t>
  </si>
  <si>
    <t>-592.004008046734 -74.9812265207484 323.259605545541</t>
  </si>
  <si>
    <t>-649.92052272883 -108.03486415922 781.547062759599</t>
  </si>
  <si>
    <t>-496.963887238198 -127.672931587113 827.399381271295</t>
  </si>
  <si>
    <t>9763-20170724T115350.663488100.bin</t>
  </si>
  <si>
    <t>-570.79291714429 37.0900646287864 -92.1567453843545</t>
  </si>
  <si>
    <t>-590.23184605952 34.909631568338 -201.128657391059</t>
  </si>
  <si>
    <t>-603.871707645201 34.2128806900869 -292.994341448092</t>
  </si>
  <si>
    <t>-616.036158189886 34.0840825061855 -376.001210970662</t>
  </si>
  <si>
    <t>-627.473742273994 34.4041495936381 -459.110903349913</t>
  </si>
  <si>
    <t>-643.391648721115 35.3537026055342 -580.727753498175</t>
  </si>
  <si>
    <t>-635.927571366494 38.0146363346403 -658.68547960216</t>
  </si>
  <si>
    <t>-632.887806912353 66.099404697959 -527.580547305897</t>
  </si>
  <si>
    <t>-593.057581284891 214.894250817749 -502.957588370952</t>
  </si>
  <si>
    <t>-574.927923072373 238.004129140096 -222.394131295801</t>
  </si>
  <si>
    <t>-354.524322265707 205.391608203758 -156.764696832244</t>
  </si>
  <si>
    <t>-639.926219510022 3.77465108389674 -527.145997313954</t>
  </si>
  <si>
    <t>-567.684734212124 129.418729201256 -96.3101085569451</t>
  </si>
  <si>
    <t>-608.26543110022 141.897168565235 317.090502748613</t>
  </si>
  <si>
    <t>-671.206350614797 173.593852947658 774.757718727784</t>
  </si>
  <si>
    <t>-521.577812925251 175.432985308486 833.848725324717</t>
  </si>
  <si>
    <t>-591.798585429437 -74.7923840289664 323.292230359918</t>
  </si>
  <si>
    <t>-649.928377045979 -108.011486485243 781.53379239651</t>
  </si>
  <si>
    <t>-496.943876709832 -127.503738449671 827.355373524006</t>
  </si>
  <si>
    <t>9763-20170724T115350.729686300.bin</t>
  </si>
  <si>
    <t>-570.970148025016 37.4689093777438 -92.1481326333668</t>
  </si>
  <si>
    <t>-590.589476210997 35.0971959018132 -201.083596694173</t>
  </si>
  <si>
    <t>-604.298365005845 34.3568655838326 -292.938840573203</t>
  </si>
  <si>
    <t>-616.491997091217 34.2272772736346 -375.941372240422</t>
  </si>
  <si>
    <t>-627.924930816832 34.5907843784473 -459.051432313229</t>
  </si>
  <si>
    <t>-643.79857806995 35.6529278838266 -580.673066294266</t>
  </si>
  <si>
    <t>-636.364750582751 38.4376926044404 -658.629581670387</t>
  </si>
  <si>
    <t>-633.698096364243 66.3906144770251 -527.443392937895</t>
  </si>
  <si>
    <t>-595.817578165516 215.719596976384 -502.794547138582</t>
  </si>
  <si>
    <t>-586.015531628306 240.963576510033 -222.000509114059</t>
  </si>
  <si>
    <t>-366.489839679554 214.124050269379 -151.031194914959</t>
  </si>
  <si>
    <t>-639.968659841291 3.98296197011177 -527.169881744126</t>
  </si>
  <si>
    <t>-568.612479016099 129.705915817535 -96.3076717713554</t>
  </si>
  <si>
    <t>-608.663199191713 142.073323540585 317.14805752473</t>
  </si>
  <si>
    <t>-671.235160293058 173.576632038613 774.875141547452</t>
  </si>
  <si>
    <t>-521.593373594926 175.501896997668 833.929759323391</t>
  </si>
  <si>
    <t>-591.439176796003 -74.4859506723049 323.34757679282</t>
  </si>
  <si>
    <t>-649.873306778015 -107.976005140099 781.527275401672</t>
  </si>
  <si>
    <t>-496.897051793727 -127.358579002685 827.422845654831</t>
  </si>
  <si>
    <t>9763-20170724T115350.761336900.bin</t>
  </si>
  <si>
    <t>-571.239159689796 37.5907585626155 -92.1203866943572</t>
  </si>
  <si>
    <t>-590.904861130417 35.0930313428571 -201.04486175568</t>
  </si>
  <si>
    <t>-604.65192640587 34.2848569142179 -292.893572175922</t>
  </si>
  <si>
    <t>-616.879945896583 34.1037002391049 -375.89107756015</t>
  </si>
  <si>
    <t>-628.346838680751 34.4291221467222 -458.996577652481</t>
  </si>
  <si>
    <t>-644.269648952453 35.4504582583672 -580.612198666075</t>
  </si>
  <si>
    <t>-636.866537791038 38.2844921439648 -658.56969877475</t>
  </si>
  <si>
    <t>-634.348824922066 66.2257858794021 -527.370324380992</t>
  </si>
  <si>
    <t>-597.608305637551 215.835561201301 -502.763029474045</t>
  </si>
  <si>
    <t>-589.249645300084 242.026639724919 -222.008998553003</t>
  </si>
  <si>
    <t>-369.573805150547 215.394735175851 -151.427355916778</t>
  </si>
  <si>
    <t>-640.216866087433 3.77894971898331 -527.126416211177</t>
  </si>
  <si>
    <t>-569.417869426603 129.798079545155 -96.3198387857627</t>
  </si>
  <si>
    <t>-609.051745496505 142.139424074004 317.176759454294</t>
  </si>
  <si>
    <t>-671.239304800172 173.636972523793 774.953032531411</t>
  </si>
  <si>
    <t>-521.588164353076 175.565023014826 833.983981861511</t>
  </si>
  <si>
    <t>-591.278372035297 -74.4042123668264 323.374906275221</t>
  </si>
  <si>
    <t>-649.838560313812 -107.955763405227 781.532630726986</t>
  </si>
  <si>
    <t>-496.837935750263 -127.052056473701 827.466946086155</t>
  </si>
  <si>
    <t>9763-20170724T115350.828517500.bin</t>
  </si>
  <si>
    <t>-571.967718495434 37.5382078379541 -92.0679881221017</t>
  </si>
  <si>
    <t>-591.878736220443 34.7938371151338 -200.941948852078</t>
  </si>
  <si>
    <t>-605.829642941189 33.8643052225189 -292.758703516397</t>
  </si>
  <si>
    <t>-618.240041362383 33.5975741458685 -375.728931170584</t>
  </si>
  <si>
    <t>-629.886858658465 33.8672995354414 -458.809679217592</t>
  </si>
  <si>
    <t>-646.069450870767 34.8396299984079 -580.391323325737</t>
  </si>
  <si>
    <t>-638.78930553496 37.7232281597396 -658.358687879917</t>
  </si>
  <si>
    <t>-636.342199685021 65.6637963427297 -527.142044669407</t>
  </si>
  <si>
    <t>-601.180615144356 215.614525992366 -502.277627542942</t>
  </si>
  <si>
    <t>-591.676712783853 241.440353903409 -221.526351613915</t>
  </si>
  <si>
    <t>-371.344354240124 210.351099612191 -154.925696585731</t>
  </si>
  <si>
    <t>-641.595193864423 3.16204996798137 -526.942723517529</t>
  </si>
  <si>
    <t>-571.288108589649 129.630003452054 -96.294675557585</t>
  </si>
  <si>
    <t>-610.096508444953 142.150812194093 317.27487280817</t>
  </si>
  <si>
    <t>-671.264731594465 173.732645771183 775.156170125957</t>
  </si>
  <si>
    <t>-521.582499614104 175.491314567163 834.113476435364</t>
  </si>
  <si>
    <t>-590.873878024988 -74.3776728993946 323.446811897631</t>
  </si>
  <si>
    <t>-649.712603722636 -107.995726011132 781.536367937392</t>
  </si>
  <si>
    <t>-496.750775954282 -126.888530920016 827.683610735065</t>
  </si>
  <si>
    <t>9763-20170724T115350.860922300.bin</t>
  </si>
  <si>
    <t>-572.381480152896 37.3683331988134 -92.0594021050919</t>
  </si>
  <si>
    <t>-592.412996922805 34.5134334319578 -200.908249049488</t>
  </si>
  <si>
    <t>-606.469147957258 33.5228176368862 -292.708594357336</t>
  </si>
  <si>
    <t>-618.97574576814 33.2095911338849 -375.664184474413</t>
  </si>
  <si>
    <t>-630.71952977756 33.4437105866325 -458.731267095527</t>
  </si>
  <si>
    <t>-647.044508655986 34.3755452669445 -580.294240428881</t>
  </si>
  <si>
    <t>-639.848599946178 37.2620839206925 -658.269240910211</t>
  </si>
  <si>
    <t>-637.357858456304 65.2260653704141 -527.052739108006</t>
  </si>
  <si>
    <t>-602.804704828173 215.300192606496 -502.132198145906</t>
  </si>
  <si>
    <t>-591.644616072707 240.238555676763 -221.361658252978</t>
  </si>
  <si>
    <t>-370.703028760715 207.039827963252 -157.869872624491</t>
  </si>
  <si>
    <t>-642.404649928024 2.70725720424798 -526.854219796896</t>
  </si>
  <si>
    <t>-572.205381831388 129.353541451176 -96.2773785946661</t>
  </si>
  <si>
    <t>-610.581394703244 142.068110528976 317.326579416046</t>
  </si>
  <si>
    <t>-671.311237859687 173.697043988532 775.29433882879</t>
  </si>
  <si>
    <t>-521.603226105461 175.589073905144 834.181913680155</t>
  </si>
  <si>
    <t>-590.672971361702 -74.3901356208319 323.500453456061</t>
  </si>
  <si>
    <t>-649.538962920705 -108.020867719036 781.565292985677</t>
  </si>
  <si>
    <t>-496.639128497313 -126.657876132983 828.020893742072</t>
  </si>
  <si>
    <t>9763-20170724T115350.931095600.bin</t>
  </si>
  <si>
    <t>-573.317366542378 36.8678931923253 -91.9613342675129</t>
  </si>
  <si>
    <t>-593.595959157394 33.8678236581441 -200.760494239754</t>
  </si>
  <si>
    <t>-607.765306687895 32.8033835013205 -292.542497306721</t>
  </si>
  <si>
    <t>-620.335158603916 32.437849501016 -375.488246807015</t>
  </si>
  <si>
    <t>-632.102854807968 32.6349431504818 -458.552246002543</t>
  </si>
  <si>
    <t>-648.41899168296 33.5289714227354 -580.116682439312</t>
  </si>
  <si>
    <t>-641.435480851672 36.411283189748 -658.11116006101</t>
  </si>
  <si>
    <t>-638.836624569193 64.4040581574038 -526.870426398455</t>
  </si>
  <si>
    <t>-604.656704526123 214.535518182412 -501.805188067876</t>
  </si>
  <si>
    <t>-591.579828918849 239.762479442 -221.143125861787</t>
  </si>
  <si>
    <t>-369.58416880657 200.569744289429 -165.193195924333</t>
  </si>
  <si>
    <t>-643.682538169239 1.869501611945 -526.680130160288</t>
  </si>
  <si>
    <t>-573.822438148948 128.803747757595 -96.1932799494408</t>
  </si>
  <si>
    <t>-611.329245009714 141.84216108056 317.480347151356</t>
  </si>
  <si>
    <t>-671.357472672124 173.856338525351 775.568599801034</t>
  </si>
  <si>
    <t>-521.571586695796 175.622375210324 834.261921447716</t>
  </si>
  <si>
    <t>-590.48875639642 -74.5339517731686 323.648848763522</t>
  </si>
  <si>
    <t>-649.247839843953 -108.062160573116 781.690932473612</t>
  </si>
  <si>
    <t>-496.462172970923 -126.403176074718 828.637416384877</t>
  </si>
  <si>
    <t>9763-20170724T115350.961793700.bin</t>
  </si>
  <si>
    <t>-573.778036443919 36.5259887398277 -91.9072617470387</t>
  </si>
  <si>
    <t>-594.182706314934 33.5079193437869 -200.68245549988</t>
  </si>
  <si>
    <t>-608.3405581109 32.4153332724395 -292.465883688677</t>
  </si>
  <si>
    <t>-620.853068070213 32.0170482915712 -375.420168204888</t>
  </si>
  <si>
    <t>-632.516329929065 32.1742879201192 -458.498817424227</t>
  </si>
  <si>
    <t>-648.628187239349 33.0014728900805 -580.091119254793</t>
  </si>
  <si>
    <t>-641.722050704741 35.8772081136069 -658.0926293528</t>
  </si>
  <si>
    <t>-639.162015458799 63.9078757747832 -526.842300644335</t>
  </si>
  <si>
    <t>-605.237607638441 214.104792412471 -501.806386371564</t>
  </si>
  <si>
    <t>-591.028406446265 240.11071503745 -221.270594953759</t>
  </si>
  <si>
    <t>-368.719505630565 198.010471102981 -168.783786529734</t>
  </si>
  <si>
    <t>-643.954879548262 1.36916425653544 -526.632619314964</t>
  </si>
  <si>
    <t>-574.443368826303 128.40713138799 -96.1317220666183</t>
  </si>
  <si>
    <t>-611.656737542851 141.553327657805 317.564941619676</t>
  </si>
  <si>
    <t>-671.402874075187 173.825194280329 775.679496861639</t>
  </si>
  <si>
    <t>-521.573822595405 175.669320134128 834.25996964215</t>
  </si>
  <si>
    <t>-590.624759980348 -74.5731716229429 323.699826628125</t>
  </si>
  <si>
    <t>-649.157049997736 -108.053017027528 781.731858052728</t>
  </si>
  <si>
    <t>-496.406273486639 -126.234131955138 828.853740451354</t>
  </si>
  <si>
    <t>9763-20170724T115351.029975800.bin</t>
  </si>
  <si>
    <t>-574.355568757417 36.1313488291746 -91.8454358429141</t>
  </si>
  <si>
    <t>-594.906759071111 33.1354194583921 -200.593568962057</t>
  </si>
  <si>
    <t>-609.030604414572 31.9973617453095 -292.381718241548</t>
  </si>
  <si>
    <t>-621.449819590573 31.5313432445419 -375.349705118783</t>
  </si>
  <si>
    <t>-632.957278710179 31.5932066156333 -458.450286025559</t>
  </si>
  <si>
    <t>-648.773245963602 32.2495719356202 -580.082356722175</t>
  </si>
  <si>
    <t>-642.044524576067 35.0900957731512 -658.100633233775</t>
  </si>
  <si>
    <t>-639.430257182827 63.2301558185059 -526.855114402564</t>
  </si>
  <si>
    <t>-605.491665084393 213.404345759811 -501.693049998817</t>
  </si>
  <si>
    <t>-589.098775769181 239.944519871033 -221.32638860824</t>
  </si>
  <si>
    <t>-366.53863518103 192.425354349224 -174.878155867737</t>
  </si>
  <si>
    <t>-644.236475671578 0.692868093881089 -526.567538340573</t>
  </si>
  <si>
    <t>-575.080227747874 127.784455779317 -96.0265183005548</t>
  </si>
  <si>
    <t>-612.194417915463 141.023844907283 317.676073099001</t>
  </si>
  <si>
    <t>-671.435511177656 173.886088676493 775.831961164576</t>
  </si>
  <si>
    <t>-521.530162117498 175.466105914245 834.224623880651</t>
  </si>
  <si>
    <t>-590.990060882275 -74.421798176242 323.763327493384</t>
  </si>
  <si>
    <t>-649.128308586367 -108.041811828254 781.78534791747</t>
  </si>
  <si>
    <t>-496.341703545359 -125.733018375167 828.977491275046</t>
  </si>
  <si>
    <t>9763-20170724T115351.063066100.bin</t>
  </si>
  <si>
    <t>-574.469871990549 35.9687472201028 -91.8407101415931</t>
  </si>
  <si>
    <t>-595.055306164107 32.9659578001288 -200.582286527243</t>
  </si>
  <si>
    <t>-609.175257718694 31.8145159114702 -292.370733852759</t>
  </si>
  <si>
    <t>-621.577678183969 31.3333980661544 -375.34113823136</t>
  </si>
  <si>
    <t>-633.055162233494 31.3763411545733 -458.445847909139</t>
  </si>
  <si>
    <t>-648.812705302577 32.0008056939168 -580.085779105688</t>
  </si>
  <si>
    <t>-642.181322867597 34.8337115138147 -658.112686496395</t>
  </si>
  <si>
    <t>-639.473614079336 62.9936553251555 -526.864809087673</t>
  </si>
  <si>
    <t>-605.371406918717 213.120535478618 -501.623612769462</t>
  </si>
  <si>
    <t>-587.545494474435 239.487943670974 -221.328220841561</t>
  </si>
  <si>
    <t>-364.831657809886 190.557636136237 -177.136552474419</t>
  </si>
  <si>
    <t>-644.323277252278 0.45980348869648 -526.55771602686</t>
  </si>
  <si>
    <t>-575.182876720626 127.465783330297 -96.0239490373144</t>
  </si>
  <si>
    <t>-612.261057286948 140.928342349027 317.674746195021</t>
  </si>
  <si>
    <t>-671.440109318607 173.86254032571 775.855529306263</t>
  </si>
  <si>
    <t>-521.51724618281 175.444999306901 834.203279394781</t>
  </si>
  <si>
    <t>-591.171237274154 -74.4187140286213 323.761274635761</t>
  </si>
  <si>
    <t>-649.149177173929 -108.051683947677 781.774802543601</t>
  </si>
  <si>
    <t>-496.329098842342 -125.458824975201 828.964236657494</t>
  </si>
  <si>
    <t>9763-20170724T115351.128241400.bin</t>
  </si>
  <si>
    <t>-574.545083033778 35.3172207464268 -91.8610915824891</t>
  </si>
  <si>
    <t>-595.227034628672 32.3309245924324 -200.584730855325</t>
  </si>
  <si>
    <t>-609.408594762845 31.1867771941418 -292.363872629484</t>
  </si>
  <si>
    <t>-621.858733586692 30.7108185900702 -375.327115225552</t>
  </si>
  <si>
    <t>-633.376035827223 30.7564042729173 -458.426343909234</t>
  </si>
  <si>
    <t>-649.18309755143 31.3818278157282 -580.059680966314</t>
  </si>
  <si>
    <t>-642.822204786514 34.2313798139817 -658.108577162055</t>
  </si>
  <si>
    <t>-639.764070128107 62.3696767373576 -526.849934719961</t>
  </si>
  <si>
    <t>-605.375165829068 212.412257377876 -501.516021098133</t>
  </si>
  <si>
    <t>-584.314962153418 237.444280774266 -221.322425334417</t>
  </si>
  <si>
    <t>-361.428953793663 186.96815460707 -179.819277553574</t>
  </si>
  <si>
    <t>-575.141850114495 126.808392315022 -96.0506925664633</t>
  </si>
  <si>
    <t>-612.035700851608 140.500847533292 317.65684242989</t>
  </si>
  <si>
    <t>-671.424070410973 173.84771429642 775.825220783807</t>
  </si>
  <si>
    <t>-521.497786921165 175.541060406854 834.16085858924</t>
  </si>
  <si>
    <t>-591.266027504872 -74.8556959607179 323.742387802161</t>
  </si>
  <si>
    <t>-649.06482890146 -108.150871589252 781.820766526015</t>
  </si>
  <si>
    <t>-496.302020807055 -125.555159527093 829.196186615129</t>
  </si>
  <si>
    <t>9763-20170724T115351.163850000.bin</t>
  </si>
  <si>
    <t>-574.489252979112 34.9438727969016 -91.8481245710914</t>
  </si>
  <si>
    <t>-595.223633900111 31.9699386432976 -200.562230751151</t>
  </si>
  <si>
    <t>-609.456507342838 30.8437499760621 -292.333542321978</t>
  </si>
  <si>
    <t>-621.955630879846 30.3883519792391 -375.289588323777</t>
  </si>
  <si>
    <t>-633.524610025568 30.4580943728015 -458.381614130146</t>
  </si>
  <si>
    <t>-649.41014028104 31.1224377721217 -580.004606740726</t>
  </si>
  <si>
    <t>-643.216944777323 34.0127749433861 -658.06549983461</t>
  </si>
  <si>
    <t>-639.911592764522 62.0896826713481 -526.796891771512</t>
  </si>
  <si>
    <t>-605.22140732827 212.052040136226 -501.374657575429</t>
  </si>
  <si>
    <t>-582.808788809297 236.376399300786 -221.223749733211</t>
  </si>
  <si>
    <t>-359.753295031261 185.745363781077 -180.834713241343</t>
  </si>
  <si>
    <t>-575.026056049833 126.497200467777 -96.0486079926314</t>
  </si>
  <si>
    <t>-611.859064968845 140.287156413935 317.661201886387</t>
  </si>
  <si>
    <t>-671.411513764005 173.814322209126 775.791745380594</t>
  </si>
  <si>
    <t>-521.496249619086 175.669640935622 834.150871519947</t>
  </si>
  <si>
    <t>-591.212300702598 -75.0836276426271 323.770205548472</t>
  </si>
  <si>
    <t>-648.995167514872 -108.225924765457 781.853871325335</t>
  </si>
  <si>
    <t>-496.310182030234 -125.869292975488 829.391551103875</t>
  </si>
  <si>
    <t>9763-20170724T115351.230543300.bin</t>
  </si>
  <si>
    <t>-574.070509040209 34.265483808399 -91.8225534963231</t>
  </si>
  <si>
    <t>-594.931402142916 31.3384668568319 -200.513529941339</t>
  </si>
  <si>
    <t>-609.312304535986 30.2554600254466 -292.262396003874</t>
  </si>
  <si>
    <t>-621.961569643916 29.8433602837822 -375.195925519237</t>
  </si>
  <si>
    <t>-633.697280050012 29.9591613951047 -458.264555999819</t>
  </si>
  <si>
    <t>-649.844573911477 30.6945683167114 -579.852523816817</t>
  </si>
  <si>
    <t>-644.060021834458 33.6930655568749 -657.940754112391</t>
  </si>
  <si>
    <t>-640.13271460551 61.6225229297427 -526.66058909559</t>
  </si>
  <si>
    <t>-605.056846119739 211.486069993456 -501.206533854271</t>
  </si>
  <si>
    <t>-580.339466467583 235.285316516064 -221.204347027254</t>
  </si>
  <si>
    <t>-356.951164632355 184.811491013481 -182.492685640507</t>
  </si>
  <si>
    <t>-574.405203455254 125.917636680523 -96.0181553499779</t>
  </si>
  <si>
    <t>-611.3341188566 139.935638273245 317.675448899322</t>
  </si>
  <si>
    <t>-671.351943019362 173.855431861009 775.72150643444</t>
  </si>
  <si>
    <t>-521.456287479724 175.650096480046 834.132946176988</t>
  </si>
  <si>
    <t>-591.092598726418 -75.5498813511208 323.825055798073</t>
  </si>
  <si>
    <t>-648.89955782949 -108.318493829758 781.918416856031</t>
  </si>
  <si>
    <t>-496.274736130131 -125.896593063371 829.673015106242</t>
  </si>
  <si>
    <t>9763-20170724T115351.260628300.bin</t>
  </si>
  <si>
    <t>-573.791092411917 33.9293766814485 -91.8004698351842</t>
  </si>
  <si>
    <t>-594.698936042863 31.0364858452772 -200.483369027194</t>
  </si>
  <si>
    <t>-609.163929151242 29.9942666389863 -292.219540525677</t>
  </si>
  <si>
    <t>-621.906897949755 29.6250790548916 -375.138869628748</t>
  </si>
  <si>
    <t>-633.753968661951 29.7900791693635 -458.191614395321</t>
  </si>
  <si>
    <t>-650.083624599655 30.6035824652333 -579.754834461878</t>
  </si>
  <si>
    <t>-644.533244581603 33.6998774175736 -657.856207742971</t>
  </si>
  <si>
    <t>-640.25063930389 61.4937525091002 -526.563155249213</t>
  </si>
  <si>
    <t>-604.948411005535 211.294814578177 -501.073209503086</t>
  </si>
  <si>
    <t>-579.381244140249 235.146917240175 -221.151734413403</t>
  </si>
  <si>
    <t>-356.005449901057 184.22011818867 -182.96483100355</t>
  </si>
  <si>
    <t>-574.042186902729 125.603709483928 -95.9965408999445</t>
  </si>
  <si>
    <t>-610.99496045981 139.69417040007 317.692401595203</t>
  </si>
  <si>
    <t>-671.3237432076 173.837590187885 775.682011373324</t>
  </si>
  <si>
    <t>-521.439793865699 175.770307515581 834.119032652536</t>
  </si>
  <si>
    <t>-590.992866168792 -75.7910854040954 323.839555152996</t>
  </si>
  <si>
    <t>-648.856484249757 -108.358600328545 781.932544949264</t>
  </si>
  <si>
    <t>-496.277345403127 -126.003056084976 829.808432198057</t>
  </si>
  <si>
    <t>9763-20170724T115351.331821700.bin</t>
  </si>
  <si>
    <t>-573.012628102497 33.2033980920867 -91.7318137174426</t>
  </si>
  <si>
    <t>-594.060152941992 30.3863328748118 -200.389751654486</t>
  </si>
  <si>
    <t>-608.667321037692 29.4182706702841 -292.104194006443</t>
  </si>
  <si>
    <t>-621.548404083134 29.1226572818448 -375.00241035237</t>
  </si>
  <si>
    <t>-633.543596472658 29.3664883918354 -458.033698826304</t>
  </si>
  <si>
    <t>-650.100619476469 30.3019125618732 -579.565314988991</t>
  </si>
  <si>
    <t>-645.08604046651 33.6938911672573 -657.69049470029</t>
  </si>
  <si>
    <t>-640.125592295014 61.1349927941876 -526.367064347355</t>
  </si>
  <si>
    <t>-604.607323756564 210.850605009136 -500.629422201805</t>
  </si>
  <si>
    <t>-577.200392966887 234.117596314779 -220.832968395016</t>
  </si>
  <si>
    <t>-353.459460079798 183.882461873011 -183.88750162695</t>
  </si>
  <si>
    <t>-573.161840923844 124.884695494399 -95.917808330445</t>
  </si>
  <si>
    <t>-610.269401614865 139.113522584186 317.75251637138</t>
  </si>
  <si>
    <t>-671.272730121343 173.693924503494 775.605066652168</t>
  </si>
  <si>
    <t>-521.422886998824 175.785867931595 834.124039352032</t>
  </si>
  <si>
    <t>-590.617340669098 -76.2443702544972 323.892847109424</t>
  </si>
  <si>
    <t>-648.717901116131 -108.465761501297 781.997014191891</t>
  </si>
  <si>
    <t>-496.201509634401 -125.819154204485 830.178301914634</t>
  </si>
  <si>
    <t>9763-20170724T115351.362943700.bin</t>
  </si>
  <si>
    <t>-572.604331571897 32.8646562512308 -91.6953532217606</t>
  </si>
  <si>
    <t>-593.684815974062 30.0706328747426 -200.347509272915</t>
  </si>
  <si>
    <t>-608.346151656478 29.1359045862071 -292.053663941204</t>
  </si>
  <si>
    <t>-621.286706560484 28.8762343210913 -374.942860049775</t>
  </si>
  <si>
    <t>-633.351931892579 29.1623580402475 -457.963692449273</t>
  </si>
  <si>
    <t>-650.022876429814 30.1667144179596 -579.479326408726</t>
  </si>
  <si>
    <t>-645.322163187866 33.7794561655694 -657.614078651288</t>
  </si>
  <si>
    <t>-640.004258344327 60.9703079870808 -526.272104614091</t>
  </si>
  <si>
    <t>-604.509251432821 210.643094167721 -500.274801926372</t>
  </si>
  <si>
    <t>-576.050260318898 233.645567084885 -220.561312316274</t>
  </si>
  <si>
    <t>-352.173615693382 183.1067888261 -184.87384023527</t>
  </si>
  <si>
    <t>-572.783272176377 124.532917457052 -95.8675894424282</t>
  </si>
  <si>
    <t>-609.925358982117 138.82510683634 317.797507627813</t>
  </si>
  <si>
    <t>-671.228752776479 173.681741783901 775.583888943956</t>
  </si>
  <si>
    <t>-521.397070392986 175.748981158363 834.150270419978</t>
  </si>
  <si>
    <t>-590.431142982524 -76.4580124988831 323.921185310287</t>
  </si>
  <si>
    <t>-648.708261406721 -108.521746658766 782.010567646508</t>
  </si>
  <si>
    <t>-496.211297183453 -125.865238604448 830.25690343058</t>
  </si>
  <si>
    <t>9763-20170724T115351.429122900.bin</t>
  </si>
  <si>
    <t>-571.808317336031 32.3142905081561 -91.6204178627441</t>
  </si>
  <si>
    <t>-592.838275740116 29.5303509324162 -200.282649541761</t>
  </si>
  <si>
    <t>-607.574989459572 28.6709755089671 -291.977502264618</t>
  </si>
  <si>
    <t>-620.630473649882 28.5068310546885 -374.848886541893</t>
  </si>
  <si>
    <t>-632.857252034629 28.9171003809879 -457.84560066153</t>
  </si>
  <si>
    <t>-649.815327494867 30.1352253704513 -579.319399227194</t>
  </si>
  <si>
    <t>-645.821022137424 34.3572158719871 -657.46303465099</t>
  </si>
  <si>
    <t>-639.703440921523 60.8479481138445 -526.077296846635</t>
  </si>
  <si>
    <t>-604.273142419178 210.450004834923 -499.619171071438</t>
  </si>
  <si>
    <t>-573.876035262554 233.216898385812 -220.090567271929</t>
  </si>
  <si>
    <t>-349.611265513791 182.859033355873 -186.655156226343</t>
  </si>
  <si>
    <t>-572.080911041939 123.817270221104 -95.766653008955</t>
  </si>
  <si>
    <t>-609.428657642833 138.312383708834 317.872819194858</t>
  </si>
  <si>
    <t>-671.16823333886 173.541074309721 775.564047998652</t>
  </si>
  <si>
    <t>-521.369714253686 175.872709328675 834.205259823947</t>
  </si>
  <si>
    <t>-590.223916704041 -76.7583707391705 323.948645297299</t>
  </si>
  <si>
    <t>-648.809105429039 -108.565706804781 781.989071236861</t>
  </si>
  <si>
    <t>-496.242806532751 -125.530833438406 830.150564867958</t>
  </si>
  <si>
    <t>9763-20170724T115351.464218500.bin</t>
  </si>
  <si>
    <t>-571.444350132861 32.1152615697285 -91.5860634529014</t>
  </si>
  <si>
    <t>-592.416666405076 29.3050369435091 -200.258770111117</t>
  </si>
  <si>
    <t>-607.164579114316 28.4865831000075 -291.952153419831</t>
  </si>
  <si>
    <t>-620.253699967502 28.3847570617638 -374.818263345419</t>
  </si>
  <si>
    <t>-632.537322066872 28.8835413873951 -457.80623282656</t>
  </si>
  <si>
    <t>-649.603737977785 30.2599113746066 -579.263003455564</t>
  </si>
  <si>
    <t>-645.954166926633 34.7843095660864 -657.406618331206</t>
  </si>
  <si>
    <t>-639.471363725252 60.9056527151142 -525.986137620496</t>
  </si>
  <si>
    <t>-604.189676977986 210.502421501249 -499.281748646797</t>
  </si>
  <si>
    <t>-572.878487564439 233.108630066482 -219.840909058006</t>
  </si>
  <si>
    <t>-348.454806787392 182.797513563378 -187.416643299696</t>
  </si>
  <si>
    <t>-571.766275212347 123.482048883111 -95.7388572919741</t>
  </si>
  <si>
    <t>-609.20662038055 138.145212739326 317.886369218213</t>
  </si>
  <si>
    <t>-671.143481918322 173.475667731943 775.552034819355</t>
  </si>
  <si>
    <t>-521.359408961952 175.980182305868 834.223006785465</t>
  </si>
  <si>
    <t>-590.24178519377 -76.9105312216413 323.95493913808</t>
  </si>
  <si>
    <t>-648.884508933004 -108.685606997625 781.973457528129</t>
  </si>
  <si>
    <t>-496.336957759208 -125.998526181588 830.070486304141</t>
  </si>
  <si>
    <t>9763-20170724T115351.530399400.bin</t>
  </si>
  <si>
    <t>-570.872203692613 32.0903235022879 -91.5647605479703</t>
  </si>
  <si>
    <t>-591.704836127515 29.2028750075176 -200.26233332807</t>
  </si>
  <si>
    <t>-606.426604693441 28.4759937896335 -291.960576203888</t>
  </si>
  <si>
    <t>-619.527770186754 28.5190068725026 -374.824913855909</t>
  </si>
  <si>
    <t>-631.858505454198 29.2266958055072 -457.80436315481</t>
  </si>
  <si>
    <t>-649.031491871815 30.9800432213831 -579.241321296741</t>
  </si>
  <si>
    <t>-646.018660344229 35.9596226932438 -657.384428655483</t>
  </si>
  <si>
    <t>-638.959300506406 61.4690303980349 -525.863224503689</t>
  </si>
  <si>
    <t>-604.130776689662 211.050816518587 -498.489943383481</t>
  </si>
  <si>
    <t>-570.963893280777 232.721593038817 -219.189099671043</t>
  </si>
  <si>
    <t>-346.102994919817 183.174064659133 -188.674477400355</t>
  </si>
  <si>
    <t>-571.260262017381 123.295680001617 -95.7282247359361</t>
  </si>
  <si>
    <t>-608.847162570367 138.184591024937 317.875657727568</t>
  </si>
  <si>
    <t>-671.079920224272 173.560244512935 775.509613316308</t>
  </si>
  <si>
    <t>-521.312637017917 175.970099918678 834.227385923678</t>
  </si>
  <si>
    <t>-590.269496457473 -77.0302851278109 323.971049011128</t>
  </si>
  <si>
    <t>-649.185782932959 -108.70309740667 781.935356032291</t>
  </si>
  <si>
    <t>-496.503510421931 -126.058343771448 829.587728262935</t>
  </si>
  <si>
    <t>9763-20170724T115351.562123700.bin</t>
  </si>
  <si>
    <t>-570.67523351337 32.2762885297579 -91.5548012876748</t>
  </si>
  <si>
    <t>-591.442308426653 29.336764564345 -200.263534569121</t>
  </si>
  <si>
    <t>-606.153261143148 28.640110758922 -291.963870744587</t>
  </si>
  <si>
    <t>-619.26216010068 28.7389367422684 -374.826857063012</t>
  </si>
  <si>
    <t>-631.617708360677 29.5328014075947 -457.801800559674</t>
  </si>
  <si>
    <t>-648.845493196196 31.4455477340662 -579.228639253304</t>
  </si>
  <si>
    <t>-646.115673719243 36.5910328709704 -657.37140574509</t>
  </si>
  <si>
    <t>-638.811615238208 61.869313469984 -525.806314263949</t>
  </si>
  <si>
    <t>-604.265346203641 211.467855216388 -498.166754708017</t>
  </si>
  <si>
    <t>-570.183516204082 232.715835853226 -218.943763449608</t>
  </si>
  <si>
    <t>-345.046696781961 183.850478498281 -189.378147955795</t>
  </si>
  <si>
    <t>-571.113666384667 123.396963452615 -95.742845119596</t>
  </si>
  <si>
    <t>-608.692548746597 138.409956161448 317.857239336232</t>
  </si>
  <si>
    <t>-671.065367801698 173.534064419702 775.473417946602</t>
  </si>
  <si>
    <t>-521.309505970793 176.162042510658 834.211021746689</t>
  </si>
  <si>
    <t>-590.227928105506 -76.9236138992658 323.95996701335</t>
  </si>
  <si>
    <t>-649.398603206792 -108.702302124766 781.880888328374</t>
  </si>
  <si>
    <t>-496.620676558885 -126.12507778249 829.200742126821</t>
  </si>
  <si>
    <t>9763-20170724T115351.627803600.bin</t>
  </si>
  <si>
    <t>-570.316335899468 32.8632249886846 -91.5598000454129</t>
  </si>
  <si>
    <t>-591.118301303125 29.8413463150757 -200.259561192166</t>
  </si>
  <si>
    <t>-605.886604524428 29.152889562077 -291.950762637488</t>
  </si>
  <si>
    <t>-619.058196077595 29.2874965978197 -374.803756953402</t>
  </si>
  <si>
    <t>-631.487027677279 30.1479552367352 -457.76713569353</t>
  </si>
  <si>
    <t>-648.83335821764 32.1922324741779 -579.174838073435</t>
  </si>
  <si>
    <t>-646.578025257435 37.5123599051033 -657.321049603737</t>
  </si>
  <si>
    <t>-638.878592094881 62.5680872857868 -525.710458587636</t>
  </si>
  <si>
    <t>-605.094937616603 212.307859308053 -497.890818524015</t>
  </si>
  <si>
    <t>-568.964257365833 232.990972887555 -218.88299885191</t>
  </si>
  <si>
    <t>-343.040807985354 186.51207659047 -191.554739143911</t>
  </si>
  <si>
    <t>-643.565338120555 0.0221668547715126 -526.09395557389</t>
  </si>
  <si>
    <t>-570.981712204894 123.938467091148 -95.794030679953</t>
  </si>
  <si>
    <t>-608.505326212806 138.918815519619 317.812311441637</t>
  </si>
  <si>
    <t>-671.007454523085 173.645336381548 775.407320068431</t>
  </si>
  <si>
    <t>-521.271061853605 176.203206771138 834.197553109061</t>
  </si>
  <si>
    <t>-590.016325290204 -76.412420692044 323.936367207837</t>
  </si>
  <si>
    <t>-649.840194466312 -108.672764112024 781.755478652742</t>
  </si>
  <si>
    <t>-496.839322965338 -126.066057022374 828.360447369033</t>
  </si>
  <si>
    <t>9763-20170724T115351.662972200.bin</t>
  </si>
  <si>
    <t>-570.172797018555 33.1801760470632 -91.5688876890898</t>
  </si>
  <si>
    <t>-591.025978820072 30.1194082372128 -200.257845881937</t>
  </si>
  <si>
    <t>-605.84559370905 29.4053866986199 -291.940399038558</t>
  </si>
  <si>
    <t>-619.066909852727 29.5182597301327 -374.785627126952</t>
  </si>
  <si>
    <t>-631.548947544515 30.3594145226439 -457.741177312781</t>
  </si>
  <si>
    <t>-648.976906816936 32.3781225763037 -579.137583588204</t>
  </si>
  <si>
    <t>-646.884782514057 37.7145749194829 -657.287287774194</t>
  </si>
  <si>
    <t>-639.053099924392 62.7701227691443 -525.676670613959</t>
  </si>
  <si>
    <t>-605.648041213146 212.603290380312 -497.87454967852</t>
  </si>
  <si>
    <t>-568.322937775775 233.042107806413 -219.005989745717</t>
  </si>
  <si>
    <t>-342.022251178136 187.604304380289 -193.084145087895</t>
  </si>
  <si>
    <t>-643.606287995187 0.214364300086345 -526.063128103959</t>
  </si>
  <si>
    <t>-570.953352530779 124.201603729465 -95.8121362342722</t>
  </si>
  <si>
    <t>-608.479532412767 139.117584048544 317.796355637452</t>
  </si>
  <si>
    <t>-670.982888752752 173.682395854007 775.392422501514</t>
  </si>
  <si>
    <t>-521.254614442923 176.34076847554 834.198837728516</t>
  </si>
  <si>
    <t>-589.852639387532 -76.1627482820702 323.932249975723</t>
  </si>
  <si>
    <t>-650.02568616627 -108.662658269418 781.69159677384</t>
  </si>
  <si>
    <t>-496.9470992882 -126.165732748248 827.999396808448</t>
  </si>
  <si>
    <t>9763-20170724T115351.733169100.bin</t>
  </si>
  <si>
    <t>-569.955920633029 33.8692522738932 -91.5737998628073</t>
  </si>
  <si>
    <t>-590.929788959962 30.7483092217108 -200.237706245375</t>
  </si>
  <si>
    <t>-605.909493153393 29.943514871364 -291.893633622058</t>
  </si>
  <si>
    <t>-619.299608867169 29.9563605311073 -374.711705648033</t>
  </si>
  <si>
    <t>-631.975157770342 30.6815103183378 -457.639090598518</t>
  </si>
  <si>
    <t>-649.713435357807 32.5138414259879 -578.993590399389</t>
  </si>
  <si>
    <t>-647.858343597511 37.759616052509 -657.155279771261</t>
  </si>
  <si>
    <t>-639.763612912556 62.9956804994229 -525.588561898869</t>
  </si>
  <si>
    <t>-607.101142109872 213.027007877452 -497.989777407881</t>
  </si>
  <si>
    <t>-567.154913177349 233.151933239493 -219.461845911587</t>
  </si>
  <si>
    <t>-340.2265526583 189.21091495373 -196.630887745415</t>
  </si>
  <si>
    <t>-644.096494127944 0.423879186512295 -525.899975713927</t>
  </si>
  <si>
    <t>-570.916164316446 124.836918105886 -95.8262571221037</t>
  </si>
  <si>
    <t>-608.445935791096 139.526279910285 317.789908495591</t>
  </si>
  <si>
    <t>-670.92814961513 173.831916772093 775.396030868315</t>
  </si>
  <si>
    <t>-521.206314779494 176.30279486436 834.227114154249</t>
  </si>
  <si>
    <t>-589.536738392319 -75.6179209851168 323.944504433531</t>
  </si>
  <si>
    <t>-650.267270462382 -108.635446232599 781.599720014131</t>
  </si>
  <si>
    <t>-497.054223464941 -125.977907883035 827.521685528282</t>
  </si>
  <si>
    <t>9763-20170724T115351.764829500.bin</t>
  </si>
  <si>
    <t>-569.851594330282 34.2001596665043 -91.5471585776065</t>
  </si>
  <si>
    <t>-590.924257898831 31.0729961175073 -200.191821765261</t>
  </si>
  <si>
    <t>-606.000912324967 30.2278407770618 -291.83152458741</t>
  </si>
  <si>
    <t>-619.484526862812 30.1895957379061 -374.634330354197</t>
  </si>
  <si>
    <t>-632.260035788085 30.8495018318604 -457.546855218691</t>
  </si>
  <si>
    <t>-650.151777718286 32.5710741443113 -578.880581888218</t>
  </si>
  <si>
    <t>-648.36739176634 37.7315074247128 -657.049568825916</t>
  </si>
  <si>
    <t>-640.180754920957 63.1049672843224 -525.508965492932</t>
  </si>
  <si>
    <t>-607.895141989925 213.242712365857 -498.077017587771</t>
  </si>
  <si>
    <t>-566.543999803927 233.483601273534 -219.762653840622</t>
  </si>
  <si>
    <t>-339.336628835205 190.227939196203 -198.448541823974</t>
  </si>
  <si>
    <t>-644.421243728072 0.526567790080662 -525.771764021269</t>
  </si>
  <si>
    <t>-570.900487013039 125.170674419177 -95.7960379544438</t>
  </si>
  <si>
    <t>-608.443908831576 139.711521483953 317.824230212399</t>
  </si>
  <si>
    <t>-670.910518659936 173.91614630371 775.430089281344</t>
  </si>
  <si>
    <t>-521.181401115931 176.305651384162 834.246022586253</t>
  </si>
  <si>
    <t>-589.347525651543 -75.3566627096598 323.962854448174</t>
  </si>
  <si>
    <t>-650.309768104692 -108.66901538947 781.58110096073</t>
  </si>
  <si>
    <t>-497.094027728356 -126.137124996757 827.446419117868</t>
  </si>
  <si>
    <t>9763-20170724T115351.832009800.bin</t>
  </si>
  <si>
    <t>-569.71848939414 34.7749342852385 -91.5032232658992</t>
  </si>
  <si>
    <t>-590.95276681589 31.6543919467638 -200.116559588332</t>
  </si>
  <si>
    <t>-606.176957383585 30.7130641718486 -291.730798720572</t>
  </si>
  <si>
    <t>-619.799543490381 30.5468600954875 -374.510962975057</t>
  </si>
  <si>
    <t>-632.720566476516 31.0380393682149 -457.40194392688</t>
  </si>
  <si>
    <t>-650.832875876829 32.4688800674699 -578.706693008245</t>
  </si>
  <si>
    <t>-649.126201897655 37.34541702611 -656.895601802244</t>
  </si>
  <si>
    <t>-640.811298257192 63.1335243119449 -525.419819343296</t>
  </si>
  <si>
    <t>-608.997645522772 213.453124207335 -498.403942237449</t>
  </si>
  <si>
    <t>-565.202974991588 234.249651311825 -220.504486255676</t>
  </si>
  <si>
    <t>-337.553167949143 192.093081998346 -201.878498326521</t>
  </si>
  <si>
    <t>-644.959425472077 0.548533881583353 -525.538700381025</t>
  </si>
  <si>
    <t>-570.825968845928 125.761885590596 -95.7325571885824</t>
  </si>
  <si>
    <t>-608.417149506906 139.964209050652 317.895017003363</t>
  </si>
  <si>
    <t>-670.891666820906 174.003698755133 775.515210183137</t>
  </si>
  <si>
    <t>-521.15169900092 176.553972315408 834.296741074515</t>
  </si>
  <si>
    <t>-588.991961414711 -74.8885839884747 324.027218115683</t>
  </si>
  <si>
    <t>-650.371113190521 -108.712040532567 781.566425854154</t>
  </si>
  <si>
    <t>-497.13195459317 -126.158291043691 827.36174537137</t>
  </si>
  <si>
    <t>9763-20170724T115351.864692500.bin</t>
  </si>
  <si>
    <t>-569.669455816562 35.052384313648 -91.4762161609696</t>
  </si>
  <si>
    <t>-590.977962496048 31.9205106044672 -200.074769442478</t>
  </si>
  <si>
    <t>-606.26720070177 30.9175327333746 -291.677411040102</t>
  </si>
  <si>
    <t>-619.950209799515 30.6741313602704 -374.447348170214</t>
  </si>
  <si>
    <t>-632.933439117943 31.0674607851352 -457.329246045205</t>
  </si>
  <si>
    <t>-651.139222300541 32.3315930413617 -578.621894135087</t>
  </si>
  <si>
    <t>-649.453859051098 37.0297561799343 -656.822198237531</t>
  </si>
  <si>
    <t>-641.08376633207 63.0698671487532 -525.383819665514</t>
  </si>
  <si>
    <t>-609.426266199964 213.461082502563 -498.600532853495</t>
  </si>
  <si>
    <t>-564.514994928671 234.408790321268 -220.890646075823</t>
  </si>
  <si>
    <t>-336.705813628368 192.588954815904 -203.494883111299</t>
  </si>
  <si>
    <t>-645.217633423676 0.483817748946421 -525.415691425707</t>
  </si>
  <si>
    <t>-570.775965726592 126.06509375873 -95.7073124052692</t>
  </si>
  <si>
    <t>-608.404460712208 140.123250267682 317.921847274126</t>
  </si>
  <si>
    <t>-670.872363058813 174.088130153449 775.554627005064</t>
  </si>
  <si>
    <t>-521.127531534434 176.527567019788 834.328428588255</t>
  </si>
  <si>
    <t>-588.863769867609 -74.6884522337468 324.06244925094</t>
  </si>
  <si>
    <t>-650.412356084362 -108.725653312492 781.557416813753</t>
  </si>
  <si>
    <t>-497.155132163116 -126.149493020627 827.300818442262</t>
  </si>
  <si>
    <t>9763-20170724T115351.929868500.bin</t>
  </si>
  <si>
    <t>-569.631384273958 35.6112471170072 -91.4144597806703</t>
  </si>
  <si>
    <t>-591.086746088642 32.4500057438074 -199.983217143301</t>
  </si>
  <si>
    <t>-606.491604275232 31.3272635992535 -291.565210692496</t>
  </si>
  <si>
    <t>-620.276591764788 30.9378106844395 -374.317511425041</t>
  </si>
  <si>
    <t>-633.360095982998 31.1466724343607 -457.184437857777</t>
  </si>
  <si>
    <t>-651.711024529143 32.0992614685758 -578.457933150519</t>
  </si>
  <si>
    <t>-650.028291674314 36.4492136928695 -656.678479497643</t>
  </si>
  <si>
    <t>-641.590856777545 62.9741944256757 -525.311227188447</t>
  </si>
  <si>
    <t>-610.184437871785 213.498779845361 -499.013591092618</t>
  </si>
  <si>
    <t>-562.948709228681 234.559789388927 -221.698277065741</t>
  </si>
  <si>
    <t>-334.691904531759 194.084810845342 -207.236538526502</t>
  </si>
  <si>
    <t>-645.726736826052 0.38838984112158 -525.177112573588</t>
  </si>
  <si>
    <t>-570.70787678342 126.675234740488 -95.6667337097919</t>
  </si>
  <si>
    <t>-608.31655323687 140.473732143178 317.972959558749</t>
  </si>
  <si>
    <t>-670.844542731068 174.24493076031 775.623502284115</t>
  </si>
  <si>
    <t>-521.087287145213 176.54939173593 834.371079955901</t>
  </si>
  <si>
    <t>-588.72672041961 -74.2796346933783 324.12807546852</t>
  </si>
  <si>
    <t>-650.415733333469 -108.755738429463 781.564469961072</t>
  </si>
  <si>
    <t>-497.165461755197 -126.140933282688 827.345871997631</t>
  </si>
  <si>
    <t>9763-20170724T115351.963970800.bin</t>
  </si>
  <si>
    <t>-569.637847834913 35.8862644443777 -91.3863093487316</t>
  </si>
  <si>
    <t>-591.167237755451 32.7066426801296 -199.939874254733</t>
  </si>
  <si>
    <t>-606.62400637151 31.5260679290498 -291.512410864337</t>
  </si>
  <si>
    <t>-620.452057122617 31.0675666979619 -374.257367078751</t>
  </si>
  <si>
    <t>-633.575117323339 31.1905138624161 -457.118125977457</t>
  </si>
  <si>
    <t>-651.980283297258 31.9987774072113 -578.38437005923</t>
  </si>
  <si>
    <t>-650.297452524186 36.1876885668958 -656.61369530086</t>
  </si>
  <si>
    <t>-641.841268422412 62.9371574222766 -525.278358610009</t>
  </si>
  <si>
    <t>-610.517443256906 213.525168366759 -499.209207601139</t>
  </si>
  <si>
    <t>-562.100097054077 234.384565003278 -222.082620308977</t>
  </si>
  <si>
    <t>-333.638653271758 194.605902002907 -208.984625190933</t>
  </si>
  <si>
    <t>-645.967284453394 0.350921059045504 -525.069192352631</t>
  </si>
  <si>
    <t>-570.71086252641 126.977844589709 -95.657888841316</t>
  </si>
  <si>
    <t>-608.306452850791 140.677130700834 317.986334936206</t>
  </si>
  <si>
    <t>-670.844441927666 174.2850361592 775.657142786477</t>
  </si>
  <si>
    <t>-521.080333082399 176.56423488105 834.388215695904</t>
  </si>
  <si>
    <t>-588.696109500527 -74.0632142008933 324.166318668683</t>
  </si>
  <si>
    <t>-650.415440399603 -108.793878922599 781.579762377605</t>
  </si>
  <si>
    <t>-497.157715675161 -126.071335476985 827.376986661424</t>
  </si>
  <si>
    <t>9763-20170724T115352.029650300.bin</t>
  </si>
  <si>
    <t>-569.804603297424 36.3189605386044 -91.3514588700905</t>
  </si>
  <si>
    <t>-591.46619313407 33.1144631762925 -199.878048868979</t>
  </si>
  <si>
    <t>-607.014086924146 31.835925552436 -291.43376918284</t>
  </si>
  <si>
    <t>-620.917132923603 31.2575227850109 -374.165236041214</t>
  </si>
  <si>
    <t>-634.108271272182 31.229396717765 -457.015285205973</t>
  </si>
  <si>
    <t>-652.605842362823 31.7824019120255 -578.26901447579</t>
  </si>
  <si>
    <t>-651.019743376878 35.6324276275952 -656.517842923605</t>
  </si>
  <si>
    <t>-642.430908378642 62.8328567263704 -525.235171208937</t>
  </si>
  <si>
    <t>-611.330608613631 213.539403986204 -499.588004370925</t>
  </si>
  <si>
    <t>-560.138731865871 234.119430741147 -222.939471195099</t>
  </si>
  <si>
    <t>-331.261871918971 195.876182498268 -212.871640356354</t>
  </si>
  <si>
    <t>-646.547651658376 0.246476970791036 -524.892659276067</t>
  </si>
  <si>
    <t>-570.9101845145 127.459768340409 -95.6409406124416</t>
  </si>
  <si>
    <t>-608.373600348096 141.016976206289 318.019910462801</t>
  </si>
  <si>
    <t>-670.821758020842 174.453128334677 775.714169592485</t>
  </si>
  <si>
    <t>-521.04105954461 176.653355438454 834.40596545511</t>
  </si>
  <si>
    <t>-588.590860292835 -73.7110547466798 324.237066109198</t>
  </si>
  <si>
    <t>-650.319390950697 -108.874191134651 781.597617938943</t>
  </si>
  <si>
    <t>-497.116782990185 -126.053607064271 827.615583739444</t>
  </si>
  <si>
    <t>9763-20170724T115352.060807900.bin</t>
  </si>
  <si>
    <t>-569.880100350684 36.4389590559183 -91.316989704715</t>
  </si>
  <si>
    <t>-591.604298009935 33.2326216345114 -199.830778441011</t>
  </si>
  <si>
    <t>-607.200625558115 31.9088237530439 -291.377836761033</t>
  </si>
  <si>
    <t>-621.145946575191 31.2723530218261 -374.101765974455</t>
  </si>
  <si>
    <t>-634.3782266782 31.168727342653 -456.945235541061</t>
  </si>
  <si>
    <t>-652.935057317225 31.5920497820043 -578.190429402106</t>
  </si>
  <si>
    <t>-651.410391912562 35.246539157145 -656.449687459664</t>
  </si>
  <si>
    <t>-642.737984469642 62.6993576294224 -525.194180165998</t>
  </si>
  <si>
    <t>-611.711877788074 213.463018029191 -499.768551348255</t>
  </si>
  <si>
    <t>-559.195310932153 233.828773958541 -223.352410998468</t>
  </si>
  <si>
    <t>-330.129855207625 196.34286194984 -214.846330846986</t>
  </si>
  <si>
    <t>-646.84701554125 0.113055965814283 -524.783884717661</t>
  </si>
  <si>
    <t>-571.034557839226 127.608192734433 -95.6138880273455</t>
  </si>
  <si>
    <t>-608.417508145961 141.151480545734 318.054754419602</t>
  </si>
  <si>
    <t>-670.807139035787 174.546058885634 775.756841520362</t>
  </si>
  <si>
    <t>-521.015662209262 176.583050423471 834.427070654886</t>
  </si>
  <si>
    <t>-588.48194329861 -73.631594239698 324.278665672436</t>
  </si>
  <si>
    <t>-650.13017291414 -108.969234966685 781.649155574773</t>
  </si>
  <si>
    <t>-497.050526198082 -126.283081549293 828.024515807019</t>
  </si>
  <si>
    <t>9763-20170724T115352.127994500.bin</t>
  </si>
  <si>
    <t>-569.871168316794 36.5128684239091 -91.2103037807443</t>
  </si>
  <si>
    <t>-591.659214199273 33.3180276642495 -199.711817852863</t>
  </si>
  <si>
    <t>-607.284440150767 31.8948670618145 -291.252386198956</t>
  </si>
  <si>
    <t>-621.246919417949 31.124542653919 -373.972203834855</t>
  </si>
  <si>
    <t>-634.488165926623 30.8424132415034 -456.813934771067</t>
  </si>
  <si>
    <t>-653.049350980412 30.9564301249513 -578.059123060356</t>
  </si>
  <si>
    <t>-651.647037125516 34.209409307022 -656.338392645702</t>
  </si>
  <si>
    <t>-642.85390772251 62.1992484419234 -525.142243853763</t>
  </si>
  <si>
    <t>-611.950208424068 213.056696098483 -500.160832964956</t>
  </si>
  <si>
    <t>-556.512216026277 233.052239372029 -224.288829593371</t>
  </si>
  <si>
    <t>-327.130576699656 196.983520132375 -218.663608274186</t>
  </si>
  <si>
    <t>-571.168493216339 127.712706219992 -95.5134035651448</t>
  </si>
  <si>
    <t>-608.451627523788 141.18402033252 318.166520393612</t>
  </si>
  <si>
    <t>-670.765853441453 174.686900801804 775.876615965034</t>
  </si>
  <si>
    <t>-520.958568279177 176.732712296953 834.50609361827</t>
  </si>
  <si>
    <t>-588.171673233355 -73.5444204504474 324.412313353888</t>
  </si>
  <si>
    <t>-649.586413185813 -109.093320734255 781.790179622742</t>
  </si>
  <si>
    <t>-496.728310066275 -125.625226864133 829.17080821553</t>
  </si>
  <si>
    <t>9763-20170724T115352.162085200.bin</t>
  </si>
  <si>
    <t>-569.758559335401 36.4796179797916 -91.1303437128207</t>
  </si>
  <si>
    <t>-591.585417019694 33.2947093445125 -199.624268468056</t>
  </si>
  <si>
    <t>-607.233746555087 31.8317897347772 -291.160248745982</t>
  </si>
  <si>
    <t>-621.213784146585 31.0060223195808 -373.876633190543</t>
  </si>
  <si>
    <t>-634.469417751613 30.6492783470369 -456.715673356525</t>
  </si>
  <si>
    <t>-653.048568290311 30.6328147669931 -577.958148201828</t>
  </si>
  <si>
    <t>-651.751292884598 33.6805936260287 -656.247553989573</t>
  </si>
  <si>
    <t>-642.852284277103 61.933031035217 -525.075444134472</t>
  </si>
  <si>
    <t>-612.022304503499 212.837047649166 -500.296147964543</t>
  </si>
  <si>
    <t>-555.086366943437 232.694907284922 -224.719442563527</t>
  </si>
  <si>
    <t>-325.608434409688 197.060062450621 -220.410018047061</t>
  </si>
  <si>
    <t>-571.15559205263 127.68175927271 -95.4405232721338</t>
  </si>
  <si>
    <t>-608.398906322718 141.109661671416 318.24438393194</t>
  </si>
  <si>
    <t>-670.726658870856 174.77145238275 775.945483019873</t>
  </si>
  <si>
    <t>-520.916696237737 176.73547315458 834.570995293782</t>
  </si>
  <si>
    <t>-587.921052458176 -73.5708067923883 324.502067300148</t>
  </si>
  <si>
    <t>-649.198571134321 -109.209699197981 781.917517952413</t>
  </si>
  <si>
    <t>-496.571797198423 -125.910098955878 829.979846175927</t>
  </si>
  <si>
    <t>9763-20170724T115352.229270700.bin</t>
  </si>
  <si>
    <t>-569.525023869961 36.407780566205 -90.9177405835339</t>
  </si>
  <si>
    <t>-591.414414529762 33.244539812812 -199.39968493452</t>
  </si>
  <si>
    <t>-607.18503201301 31.7168487265528 -290.913560859838</t>
  </si>
  <si>
    <t>-621.304208827374 30.7999132280779 -373.605385915518</t>
  </si>
  <si>
    <t>-634.728320934099 30.3196397437246 -456.41658531778</t>
  </si>
  <si>
    <t>-653.586537496637 30.0873770510166 -577.615816924823</t>
  </si>
  <si>
    <t>-652.623936060313 32.709174159892 -655.92564826424</t>
  </si>
  <si>
    <t>-643.27280164798 61.4818783312176 -524.811849866761</t>
  </si>
  <si>
    <t>-612.467015318406 212.442921432649 -500.315827662043</t>
  </si>
  <si>
    <t>-552.460766349418 232.020099520116 -225.371164715828</t>
  </si>
  <si>
    <t>-322.839382149082 197.085414822299 -223.916615378856</t>
  </si>
  <si>
    <t>-571.154767686895 127.555327394412 -95.2275583655011</t>
  </si>
  <si>
    <t>-608.378031472746 140.848659406025 318.463598819658</t>
  </si>
  <si>
    <t>-670.706027208593 174.674807698426 776.154065746291</t>
  </si>
  <si>
    <t>-520.89220229864 176.826217739224 834.762986359669</t>
  </si>
  <si>
    <t>-587.45931884253 -73.5794338755563 324.715050190977</t>
  </si>
  <si>
    <t>-648.50394179824 -109.383983734406 782.122206976148</t>
  </si>
  <si>
    <t>-496.235362659725 -125.517754608455 831.496368394689</t>
  </si>
  <si>
    <t>9763-20170724T115352.265368200.bin</t>
  </si>
  <si>
    <t>-569.392313415904 36.4181945479986 -90.79941234509</t>
  </si>
  <si>
    <t>-591.315552287621 33.2519336467533 -199.274540984486</t>
  </si>
  <si>
    <t>-607.167968278551 31.683947282874 -290.773578666382</t>
  </si>
  <si>
    <t>-621.382618654063 30.7159245581961 -373.448480190378</t>
  </si>
  <si>
    <t>-634.924208287518 30.1696253495074 -456.240156332288</t>
  </si>
  <si>
    <t>-653.978354906686 29.8247116230586 -577.408532075886</t>
  </si>
  <si>
    <t>-653.213575278919 32.2547478342885 -655.726440891362</t>
  </si>
  <si>
    <t>-643.561961355355 61.267207166648 -524.653186814175</t>
  </si>
  <si>
    <t>-612.670699512985 212.227062314864 -500.297576138896</t>
  </si>
  <si>
    <t>-551.329723996756 231.936749190513 -225.657045668739</t>
  </si>
  <si>
    <t>-321.658748420705 197.299026546395 -225.691947778709</t>
  </si>
  <si>
    <t>-571.117887770276 127.571706451967 -95.1062715536141</t>
  </si>
  <si>
    <t>-608.325737151523 140.829120493646 318.587300930614</t>
  </si>
  <si>
    <t>-670.641466436164 174.827346598356 776.273039165978</t>
  </si>
  <si>
    <t>-520.824250398485 176.835513838474 834.878301286485</t>
  </si>
  <si>
    <t>-587.223819923821 -73.5976313971983 324.835128099724</t>
  </si>
  <si>
    <t>-648.187899662211 -109.5005659307 782.260703463317</t>
  </si>
  <si>
    <t>-496.100716173391 -125.628430744606 832.192665048153</t>
  </si>
  <si>
    <t>9763-20170724T115352.327544800.bin</t>
  </si>
  <si>
    <t>-569.144554532243 36.4992912660846 -90.5944607491448</t>
  </si>
  <si>
    <t>-591.064454966601 33.3208305837629 -199.06983585231</t>
  </si>
  <si>
    <t>-607.075080199637 31.6509118772797 -290.539597396368</t>
  </si>
  <si>
    <t>-621.497999778764 30.5557764397754 -373.176871978284</t>
  </si>
  <si>
    <t>-635.313958573654 29.8476775637141 -455.92190000113</t>
  </si>
  <si>
    <t>-654.842351141819 29.2288155675067 -577.013501387231</t>
  </si>
  <si>
    <t>-654.489658678892 31.3548167690087 -655.34355505326</t>
  </si>
  <si>
    <t>-644.192095681352 60.7886272397907 -524.375122850271</t>
  </si>
  <si>
    <t>-613.042924844941 211.771216409847 -500.4556135677</t>
  </si>
  <si>
    <t>-549.198511053665 232.245422183355 -226.442325668708</t>
  </si>
  <si>
    <t>-319.421432835171 198.428266862634 -229.16708219491</t>
  </si>
  <si>
    <t>-570.930742212624 127.659873137434 -94.8973585822505</t>
  </si>
  <si>
    <t>-608.106720351667 140.860167056581 318.800954282266</t>
  </si>
  <si>
    <t>-670.566880024177 174.878229879888 776.490850290099</t>
  </si>
  <si>
    <t>-520.751584960764 176.943231736068 835.099263142676</t>
  </si>
  <si>
    <t>-587.006310558335 -73.5401803021757 325.040919753054</t>
  </si>
  <si>
    <t>-647.847512484762 -109.649598129815 782.401340711411</t>
  </si>
  <si>
    <t>-495.975614613121 -125.526215423973 833.06381128718</t>
  </si>
  <si>
    <t>9763-20170724T115352.365353800.bin</t>
  </si>
  <si>
    <t>-569.035572308924 36.5934034480713 -90.4824171632689</t>
  </si>
  <si>
    <t>-590.959732808967 33.4130483414081 -198.956864075154</t>
  </si>
  <si>
    <t>-607.068467827123 31.6872625485798 -290.408393653973</t>
  </si>
  <si>
    <t>-621.618522367871 30.5205497713309 -373.022373102368</t>
  </si>
  <si>
    <t>-635.600487790655 29.7204353734444 -455.738827705817</t>
  </si>
  <si>
    <t>-655.414512554186 28.9451604289475 -576.783030191598</t>
  </si>
  <si>
    <t>-655.241266699539 30.9301443079526 -655.117299656816</t>
  </si>
  <si>
    <t>-644.628909598666 60.572066573415 -524.212598259593</t>
  </si>
  <si>
    <t>-613.444743536693 211.579758181633 -500.556392282899</t>
  </si>
  <si>
    <t>-548.215928471631 232.576789812137 -226.908961937037</t>
  </si>
  <si>
    <t>-318.416049323698 199.02777456595 -230.783577091931</t>
  </si>
  <si>
    <t>-570.822247678068 127.760712163257 -94.793770491221</t>
  </si>
  <si>
    <t>-608.003726626376 140.889599071873 318.906416697221</t>
  </si>
  <si>
    <t>-670.528688047343 174.916671469841 776.587536426228</t>
  </si>
  <si>
    <t>-520.712805418746 176.973940776583 835.194626524452</t>
  </si>
  <si>
    <t>-586.901091946109 -73.5015944032693 325.120850549141</t>
  </si>
  <si>
    <t>-647.733042698869 -109.717286869028 782.462504578548</t>
  </si>
  <si>
    <t>-495.954169613074 -125.632868388984 833.390824007192</t>
  </si>
  <si>
    <t>9763-20170724T115352.428526900.bin</t>
  </si>
  <si>
    <t>-568.903870547204 36.7723393135225 -90.3089708979318</t>
  </si>
  <si>
    <t>-590.969074131676 33.5700485859848 -198.754250773276</t>
  </si>
  <si>
    <t>-607.332888918331 31.7086596062004 -290.157635599415</t>
  </si>
  <si>
    <t>-622.168933816581 30.3738747444331 -372.71829867388</t>
  </si>
  <si>
    <t>-636.493550298158 29.3601489458788 -455.373702438934</t>
  </si>
  <si>
    <t>-656.871323712298 28.223403577266 -576.321571316671</t>
  </si>
  <si>
    <t>-657.105931707434 29.8475991350399 -654.663815733654</t>
  </si>
  <si>
    <t>-645.824383000895 60.0059342128916 -523.89932485333</t>
  </si>
  <si>
    <t>-614.584703980087 211.08056682332 -500.693142769189</t>
  </si>
  <si>
    <t>-546.407262466067 232.625464097347 -227.808091133029</t>
  </si>
  <si>
    <t>-316.600303755376 199.496738058405 -234.114844421837</t>
  </si>
  <si>
    <t>-570.812316014055 127.958069690581 -94.640405406926</t>
  </si>
  <si>
    <t>-607.876495297352 140.914860068548 319.075706756507</t>
  </si>
  <si>
    <t>-670.448813933683 174.986672971545 776.751738170961</t>
  </si>
  <si>
    <t>-520.63469698634 177.07768493464 835.362065757683</t>
  </si>
  <si>
    <t>-586.609912255124 -73.3324498635322 325.270880476827</t>
  </si>
  <si>
    <t>-647.544500492001 -109.812064415542 782.556311100949</t>
  </si>
  <si>
    <t>-495.906014710611 -125.635889554386 833.929393285183</t>
  </si>
  <si>
    <t>9763-20170724T115352.464624700.bin</t>
  </si>
  <si>
    <t>-568.847225817508 36.8823394653314 -90.2464359140093</t>
  </si>
  <si>
    <t>-591.022907916268 33.6553850926441 -198.66843740389</t>
  </si>
  <si>
    <t>-607.487957698949 31.7123643359059 -290.051996821148</t>
  </si>
  <si>
    <t>-622.419288408752 30.2787530171502 -372.59372223635</t>
  </si>
  <si>
    <t>-636.843294447132 29.1416885092665 -455.230179635932</t>
  </si>
  <si>
    <t>-657.371359515811 27.7972077217373 -576.150620308942</t>
  </si>
  <si>
    <t>-657.786351104144 29.2053017295534 -654.496314443396</t>
  </si>
  <si>
    <t>-646.262391590642 59.669864058573 -523.796397781057</t>
  </si>
  <si>
    <t>-615.015263873551 210.779139801582 -500.838494172605</t>
  </si>
  <si>
    <t>-545.5134922655 232.582775561757 -228.308310475428</t>
  </si>
  <si>
    <t>-315.694084713841 199.833998173878 -235.995891107593</t>
  </si>
  <si>
    <t>-570.891082133964 128.07174481165 -94.5811092312694</t>
  </si>
  <si>
    <t>-607.837387110654 140.916052304937 319.148963802555</t>
  </si>
  <si>
    <t>-670.410151825261 175.005433410186 776.832057885191</t>
  </si>
  <si>
    <t>-520.596835506782 177.037740386689 835.446593733049</t>
  </si>
  <si>
    <t>-586.454654070467 -73.1738490077119 325.344911124917</t>
  </si>
  <si>
    <t>-647.456858076357 -109.854059329743 782.601374683032</t>
  </si>
  <si>
    <t>-495.8818426405 -125.593441956158 834.18735737528</t>
  </si>
  <si>
    <t>9763-20170724T115352.531308100.bin</t>
  </si>
  <si>
    <t>-568.8629279316 37.052694875558 -90.1460087376533</t>
  </si>
  <si>
    <t>-591.175723895076 33.7843135096696 -198.53868793202</t>
  </si>
  <si>
    <t>-607.797919852623 31.6633872120015 -289.889809691582</t>
  </si>
  <si>
    <t>-622.889095131504 30.0107959021705 -372.398366986076</t>
  </si>
  <si>
    <t>-637.491921544912 28.5967634214219 -454.999211045281</t>
  </si>
  <si>
    <t>-658.30282150544 26.7840695216846 -575.864983195396</t>
  </si>
  <si>
    <t>-659.100470000245 27.7679328976881 -654.214318523766</t>
  </si>
  <si>
    <t>-647.082738397109 58.8601135428755 -523.658894970404</t>
  </si>
  <si>
    <t>-615.902862026741 210.073118339486 -501.299739185832</t>
  </si>
  <si>
    <t>-543.495931416773 233.10849877189 -229.628605166306</t>
  </si>
  <si>
    <t>-313.688572032058 201.162510801073 -240.425446356282</t>
  </si>
  <si>
    <t>-571.094873417904 128.245154238194 -94.4653261745457</t>
  </si>
  <si>
    <t>-607.781845511888 140.951751683702 319.292096935262</t>
  </si>
  <si>
    <t>-670.332135257688 175.073373682184 777.001796645277</t>
  </si>
  <si>
    <t>-520.515783893493 177.20588576535 835.605040442458</t>
  </si>
  <si>
    <t>-586.196486901392 -72.9727080947862 325.472099069684</t>
  </si>
  <si>
    <t>-647.374669057747 -109.940688896776 782.667924159785</t>
  </si>
  <si>
    <t>-495.905844359791 -125.792069616274 834.530669717778</t>
  </si>
  <si>
    <t>9763-20170724T115352.565759200.bin</t>
  </si>
  <si>
    <t>-568.985967265661 37.088585016628 -90.0992112845403</t>
  </si>
  <si>
    <t>-591.367414125592 33.8035290671314 -198.477233010716</t>
  </si>
  <si>
    <t>-608.038338109867 31.6014643500012 -289.817584817321</t>
  </si>
  <si>
    <t>-623.170478465089 29.8480860332459 -372.316507742976</t>
  </si>
  <si>
    <t>-637.811651529505 28.3058610836765 -454.90823953028</t>
  </si>
  <si>
    <t>-658.676153709533 26.2756203951792 -575.761329737018</t>
  </si>
  <si>
    <t>-659.626847319117 27.0834355240697 -654.110916237806</t>
  </si>
  <si>
    <t>-647.453416101217 58.447006218393 -523.61447600938</t>
  </si>
  <si>
    <t>-616.369844712448 209.721483563812 -501.601549892418</t>
  </si>
  <si>
    <t>-542.002501465366 233.604876034883 -230.53387988962</t>
  </si>
  <si>
    <t>-312.237652512664 201.940517430382 -242.94413708639</t>
  </si>
  <si>
    <t>-571.308505315578 128.271053638888 -94.4088269671108</t>
  </si>
  <si>
    <t>-607.837180183488 140.954380134365 319.363365197785</t>
  </si>
  <si>
    <t>-670.304693661065 175.068656854377 777.080798303431</t>
  </si>
  <si>
    <t>-520.486056178958 177.289445236021 835.674915417871</t>
  </si>
  <si>
    <t>-586.193458156754 -72.890461358287 325.515681167067</t>
  </si>
  <si>
    <t>-647.351738225291 -109.96928111133 782.692134949323</t>
  </si>
  <si>
    <t>-495.905081296599 -125.695044237199 834.657885751647</t>
  </si>
  <si>
    <t>9763-20170724T115352.629945400.bin</t>
  </si>
  <si>
    <t>-569.621274360626 37.2087631806107 -90.0634514381117</t>
  </si>
  <si>
    <t>-592.14420879573 33.8613531978872 -198.410204263127</t>
  </si>
  <si>
    <t>-608.913136621149 31.5143633073878 -289.729054071705</t>
  </si>
  <si>
    <t>-624.126295084405 29.5908311265093 -372.20926280161</t>
  </si>
  <si>
    <t>-638.841480172582 27.8402987104655 -454.783670869236</t>
  </si>
  <si>
    <t>-659.807083294723 25.4632701660009 -575.612910929814</t>
  </si>
  <si>
    <t>-661.02235709705 25.9719985141219 -653.961345801258</t>
  </si>
  <si>
    <t>-648.581008396077 57.7871286880734 -523.561165335916</t>
  </si>
  <si>
    <t>-617.738209244778 209.183720579927 -501.958711790804</t>
  </si>
  <si>
    <t>-538.266850362653 234.546124983333 -232.478444366227</t>
  </si>
  <si>
    <t>-308.666716599776 203.558108747523 -248.972365947919</t>
  </si>
  <si>
    <t>-572.137661093297 128.464268019664 -94.3899469699795</t>
  </si>
  <si>
    <t>-608.083818385258 141.045727742162 319.436280992129</t>
  </si>
  <si>
    <t>-670.205074081167 175.238079946016 777.21377368951</t>
  </si>
  <si>
    <t>-520.374247362544 177.29509093923 835.78270847693</t>
  </si>
  <si>
    <t>-586.388940562094 -72.7519425072585 325.566414364531</t>
  </si>
  <si>
    <t>-647.351539543445 -110.004156892845 782.734635540499</t>
  </si>
  <si>
    <t>-495.916894773834 -125.405985551632 834.832253370798</t>
  </si>
  <si>
    <t>9763-20170724T115352.662037800.bin</t>
  </si>
  <si>
    <t>-570.172380561058 37.1900446389632 -90.0850346928443</t>
  </si>
  <si>
    <t>-592.750310630705 33.8167564679054 -198.419459597767</t>
  </si>
  <si>
    <t>-609.546315143621 31.3884833824081 -289.731102637191</t>
  </si>
  <si>
    <t>-624.776730358814 29.3669519274945 -372.205994553011</t>
  </si>
  <si>
    <t>-639.502398397153 27.4936060382834 -454.775694179918</t>
  </si>
  <si>
    <t>-660.475987294461 24.9102793401039 -575.599496823687</t>
  </si>
  <si>
    <t>-661.752956790013 25.2681065899162 -653.94771239947</t>
  </si>
  <si>
    <t>-649.252343940533 57.3232364719011 -523.602623619803</t>
  </si>
  <si>
    <t>-618.632778657653 208.800792526608 -502.306152561588</t>
  </si>
  <si>
    <t>-536.350214983323 234.277328537329 -233.681492639498</t>
  </si>
  <si>
    <t>-306.784140318772 204.123557217174 -252.085343304529</t>
  </si>
  <si>
    <t>-572.803133499456 128.469777875973 -94.4068425525776</t>
  </si>
  <si>
    <t>-608.372097300971 141.07819958185 319.4511817958</t>
  </si>
  <si>
    <t>-670.164638904611 175.324896235257 777.281389023291</t>
  </si>
  <si>
    <t>-520.320309883077 177.246735697694 835.820292746522</t>
  </si>
  <si>
    <t>-586.576599711098 -72.7183624707213 325.573373688999</t>
  </si>
  <si>
    <t>-647.364895842844 -110.073610390176 782.75902709033</t>
  </si>
  <si>
    <t>-495.963001815053 -125.63205730884 834.905160747563</t>
  </si>
  <si>
    <t>9763-20170724T115352.729725100.bin</t>
  </si>
  <si>
    <t>-571.661446235143 36.8411964759782 -90.1493560402308</t>
  </si>
  <si>
    <t>-594.338861411044 33.4578840609709 -198.462588069421</t>
  </si>
  <si>
    <t>-611.159811013812 30.8850842014458 -289.765921451237</t>
  </si>
  <si>
    <t>-626.390351796043 28.6777157526703 -372.235783563954</t>
  </si>
  <si>
    <t>-641.0944966773 26.5627487898519 -454.803757832496</t>
  </si>
  <si>
    <t>-662.013748922954 23.5641830924465 -575.627141827982</t>
  </si>
  <si>
    <t>-663.314540229848 23.6328195560534 -653.97589572578</t>
  </si>
  <si>
    <t>-650.809783223023 56.1554603089057 -523.73766602856</t>
  </si>
  <si>
    <t>-620.464782960362 207.784232557773 -503.092871506404</t>
  </si>
  <si>
    <t>-533.011145239624 233.025951746373 -236.084784821517</t>
  </si>
  <si>
    <t>-303.487308408103 205.193844430339 -258.282091268987</t>
  </si>
  <si>
    <t>-574.398131219837 128.228405243224 -94.4545079887448</t>
  </si>
  <si>
    <t>-609.198712106753 140.909525181045 319.46658939241</t>
  </si>
  <si>
    <t>-670.104929445748 175.435212222596 777.412070293973</t>
  </si>
  <si>
    <t>-520.22095644549 177.259163517068 835.852534415526</t>
  </si>
  <si>
    <t>-587.263699547028 -72.9058727185552 325.535004923246</t>
  </si>
  <si>
    <t>-647.481069514766 -110.241537942311 782.777846274261</t>
  </si>
  <si>
    <t>-496.1123744611 -126.2098484502 834.896507777554</t>
  </si>
  <si>
    <t>9763-20170724T115352.765082000.bin</t>
  </si>
  <si>
    <t>-572.572450288761 36.640512914161 -90.206886937233</t>
  </si>
  <si>
    <t>-595.31661110926 33.26641633234 -198.506465567519</t>
  </si>
  <si>
    <t>-612.118886152643 30.628584804547 -289.811307541452</t>
  </si>
  <si>
    <t>-627.303198363843 28.3327389779984 -372.287345030812</t>
  </si>
  <si>
    <t>-641.932155547391 26.0989651782634 -454.86543160542</t>
  </si>
  <si>
    <t>-662.710133703198 22.8931408811516 -575.707997051265</t>
  </si>
  <si>
    <t>-663.952025280421 22.8160083492696 -654.057571950929</t>
  </si>
  <si>
    <t>-651.575539100124 55.5738686162613 -523.85994471346</t>
  </si>
  <si>
    <t>-621.481934817102 207.29710413627 -503.584378913383</t>
  </si>
  <si>
    <t>-531.634896009529 232.685621955647 -237.386086644778</t>
  </si>
  <si>
    <t>-302.134274930616 205.703151409551 -260.83686436416</t>
  </si>
  <si>
    <t>-575.282864080616 128.138403419349 -94.5119323262769</t>
  </si>
  <si>
    <t>-609.662601767653 140.813611756192 319.444576159982</t>
  </si>
  <si>
    <t>-670.082624929615 175.458963666526 777.453123228585</t>
  </si>
  <si>
    <t>-520.177462604842 177.154700568012 835.843177496337</t>
  </si>
  <si>
    <t>-587.759060558457 -73.0129694916543 325.488278710541</t>
  </si>
  <si>
    <t>-647.567477238732 -110.275370720157 782.781935869262</t>
  </si>
  <si>
    <t>-496.153612012903 -126.047463058885 834.829140702336</t>
  </si>
  <si>
    <t>9763-20170724T115352.829250600.bin</t>
  </si>
  <si>
    <t>-574.632197819732 36.1344223856217 -90.4253854716533</t>
  </si>
  <si>
    <t>-597.460436577486 32.7793544169579 -198.708012273571</t>
  </si>
  <si>
    <t>-614.211712440198 30.0288539530093 -290.018727932938</t>
  </si>
  <si>
    <t>-629.302250094191 27.5795879195437 -372.507614558406</t>
  </si>
  <si>
    <t>-643.790346432995 25.1394497364663 -455.104645611041</t>
  </si>
  <si>
    <t>-664.311413224487 21.5731845750076 -575.98098883883</t>
  </si>
  <si>
    <t>-665.375418899614 21.1932718488351 -654.332442509371</t>
  </si>
  <si>
    <t>-653.278294786679 54.4079345246453 -524.208536469366</t>
  </si>
  <si>
    <t>-623.401386299199 206.273667659246 -504.644736872498</t>
  </si>
  <si>
    <t>-529.284465600451 231.746004380515 -239.934108577195</t>
  </si>
  <si>
    <t>-299.722345593224 206.571104794247 -264.75303997334</t>
  </si>
  <si>
    <t>-577.19283010445 127.836160682111 -94.7054527980224</t>
  </si>
  <si>
    <t>-610.601044296823 140.603554503114 319.327692099523</t>
  </si>
  <si>
    <t>-670.018642814323 175.567714879765 777.487025195968</t>
  </si>
  <si>
    <t>-520.068439237015 177.24959423568 835.761694247193</t>
  </si>
  <si>
    <t>-588.927693366818 -73.21376676976 325.317754889422</t>
  </si>
  <si>
    <t>-647.838717967096 -110.383524608693 782.76079778309</t>
  </si>
  <si>
    <t>-496.342236158204 -126.309830317862 834.519792218155</t>
  </si>
  <si>
    <t>9763-20170724T115352.862343300.bin</t>
  </si>
  <si>
    <t>-575.85259256395 35.9191879814623 -90.542004439592</t>
  </si>
  <si>
    <t>-598.716566585996 32.5812739219241 -198.81763117906</t>
  </si>
  <si>
    <t>-615.427175012067 29.7741309760975 -290.134127605998</t>
  </si>
  <si>
    <t>-630.453292735902 27.2447908373738 -372.632351843703</t>
  </si>
  <si>
    <t>-644.84959656551 24.6948629179949 -455.242128260353</t>
  </si>
  <si>
    <t>-665.206773576577 20.935074453836 -576.14036685072</t>
  </si>
  <si>
    <t>-666.136033840491 20.3860041380422 -654.49239934998</t>
  </si>
  <si>
    <t>-654.219054445725 53.8509151021849 -524.409727132649</t>
  </si>
  <si>
    <t>-624.384206822637 205.779170119378 -505.273129453626</t>
  </si>
  <si>
    <t>-528.429667156998 231.474906074245 -241.24465993573</t>
  </si>
  <si>
    <t>-298.836542818842 207.001294352659 -266.474729290462</t>
  </si>
  <si>
    <t>-578.314040803121 127.714541531258 -94.8112673100047</t>
  </si>
  <si>
    <t>-611.160713014797 140.571513621791 319.264092043593</t>
  </si>
  <si>
    <t>-669.996000008693 175.647866301586 777.493899093541</t>
  </si>
  <si>
    <t>-520.014787530685 177.144553860238 835.693660707113</t>
  </si>
  <si>
    <t>-589.583442622418 -73.2835899317611 325.223673934608</t>
  </si>
  <si>
    <t>-647.992512106534 -110.39433649551 782.745252514945</t>
  </si>
  <si>
    <t>-496.450298044914 -126.490118174525 834.317577254866</t>
  </si>
  <si>
    <t>9763-20170724T115352.932535300.bin</t>
  </si>
  <si>
    <t>-578.371196568965 35.4199560899872 -90.8312632680511</t>
  </si>
  <si>
    <t>-601.286807156227 32.1323696962506 -199.097456173278</t>
  </si>
  <si>
    <t>-617.84233571728 29.2333811462329 -290.439366292119</t>
  </si>
  <si>
    <t>-632.649790577912 26.5662264090877 -372.972778626982</t>
  </si>
  <si>
    <t>-646.749367080904 23.8213659653591 -455.627507031993</t>
  </si>
  <si>
    <t>-666.587885726293 19.7118820741234 -576.600454551881</t>
  </si>
  <si>
    <t>-667.140863276145 18.8481431764158 -654.953188482259</t>
  </si>
  <si>
    <t>-655.750731567024 52.771931158363 -524.930020014171</t>
  </si>
  <si>
    <t>-625.831944120339 204.775403136181 -506.541053058754</t>
  </si>
  <si>
    <t>-526.14618560831 231.36924321231 -243.987986044358</t>
  </si>
  <si>
    <t>-296.500721248097 208.010670610076 -269.792277184183</t>
  </si>
  <si>
    <t>-580.710854363796 127.36618941629 -95.0528115885302</t>
  </si>
  <si>
    <t>-612.369577790753 140.440527973882 319.108236963224</t>
  </si>
  <si>
    <t>-669.988626914868 175.7004285574 777.50065898128</t>
  </si>
  <si>
    <t>-519.936019963593 177.183674200775 835.516538204156</t>
  </si>
  <si>
    <t>-590.764095509461 -73.3337076556638 324.992283288173</t>
  </si>
  <si>
    <t>-648.305503468369 -110.342685956522 782.673410563082</t>
  </si>
  <si>
    <t>-496.568116029155 -125.934174954148 833.825109640576</t>
  </si>
  <si>
    <t>9763-20170724T115352.965234600.bin</t>
  </si>
  <si>
    <t>-579.593156927274 35.2380714544656 -90.9579274390314</t>
  </si>
  <si>
    <t>-602.524575133145 31.9908813924696 -199.221927255525</t>
  </si>
  <si>
    <t>-619.002910181062 29.0563192841553 -290.57666258227</t>
  </si>
  <si>
    <t>-633.704967984095 26.3281929059594 -373.12693103832</t>
  </si>
  <si>
    <t>-647.663799913649 23.4924347993719 -455.802563387721</t>
  </si>
  <si>
    <t>-667.258004540235 19.2169777245579 -576.809563913789</t>
  </si>
  <si>
    <t>-667.613769163085 18.18238510939 -655.161352601674</t>
  </si>
  <si>
    <t>-656.496431816042 52.3455953898942 -525.167241399575</t>
  </si>
  <si>
    <t>-626.652300259617 204.402302947784 -507.093414581924</t>
  </si>
  <si>
    <t>-524.963656259507 231.445168349495 -245.355603812593</t>
  </si>
  <si>
    <t>-295.274685797967 208.575755648061 -271.21098843226</t>
  </si>
  <si>
    <t>-581.904314564758 127.178946678195 -95.1392879531211</t>
  </si>
  <si>
    <t>-613.039133205992 140.389516149286 319.057186971549</t>
  </si>
  <si>
    <t>-669.984655174847 175.755187065873 777.519763311851</t>
  </si>
  <si>
    <t>-519.89593025174 177.223649429163 835.442465964567</t>
  </si>
  <si>
    <t>-591.315945326617 -73.3864389655869 324.872345242879</t>
  </si>
  <si>
    <t>-648.393698201206 -110.350636241724 782.637557873412</t>
  </si>
  <si>
    <t>-496.63134095519 -125.957579410659 833.710390137259</t>
  </si>
  <si>
    <t>9763-20170724T115353.029909500.bin</t>
  </si>
  <si>
    <t>-581.671555642733 34.8078959108086 -91.1180031014903</t>
  </si>
  <si>
    <t>-604.65100622647 31.6432726702351 -199.374337319977</t>
  </si>
  <si>
    <t>-620.984140408666 28.6702296384358 -290.753855536387</t>
  </si>
  <si>
    <t>-635.481567191597 25.8623519046371 -373.337673429696</t>
  </si>
  <si>
    <t>-649.162603176321 22.899877721519 -456.055229593755</t>
  </si>
  <si>
    <t>-668.271055248447 18.3862540255955 -577.131181033341</t>
  </si>
  <si>
    <t>-668.295509390789 17.0815923114403 -655.479889591519</t>
  </si>
  <si>
    <t>-657.664012221351 51.612497442622 -525.519686309553</t>
  </si>
  <si>
    <t>-627.955760826197 203.734631639208 -507.827457180413</t>
  </si>
  <si>
    <t>-522.524058828363 231.055060465407 -247.603707003438</t>
  </si>
  <si>
    <t>-292.672474338789 209.674674264917 -273.287551514954</t>
  </si>
  <si>
    <t>-583.967728047574 126.729579084621 -95.2406495790279</t>
  </si>
  <si>
    <t>-614.29363546583 140.258296294149 319.00556446896</t>
  </si>
  <si>
    <t>-669.964702083483 175.868434199349 777.580408415958</t>
  </si>
  <si>
    <t>-519.80785633775 177.146798827386 835.330873859365</t>
  </si>
  <si>
    <t>-592.554084798595 -73.5457185699006 324.709101314454</t>
  </si>
  <si>
    <t>-648.469217683313 -110.452821565809 782.643370913035</t>
  </si>
  <si>
    <t>-496.712307587376 -126.058987615406 833.732639909388</t>
  </si>
  <si>
    <t>9763-20170724T115353.060219000.bin</t>
  </si>
  <si>
    <t>-582.674476781023 34.5806982923077 -91.1945227979389</t>
  </si>
  <si>
    <t>-605.656900045645 31.4607346229166 -199.451537929312</t>
  </si>
  <si>
    <t>-621.883193605852 28.4909070958872 -290.850140564201</t>
  </si>
  <si>
    <t>-636.240518426174 25.671674506659 -373.458003574418</t>
  </si>
  <si>
    <t>-649.737825440386 22.6823782256649 -456.204661498725</t>
  </si>
  <si>
    <t>-668.530046828217 18.1113668527589 -577.328138021455</t>
  </si>
  <si>
    <t>-668.400149373715 16.7169067682528 -655.675160584251</t>
  </si>
  <si>
    <t>-658.020189566063 51.3589817529448 -525.710592401146</t>
  </si>
  <si>
    <t>-628.272825293293 203.482925390202 -508.129004101383</t>
  </si>
  <si>
    <t>-521.297845501007 231.230204977891 -248.581239124319</t>
  </si>
  <si>
    <t>-291.375164690377 210.42355777293 -274.099402043618</t>
  </si>
  <si>
    <t>-584.884967913646 126.521502023325 -95.3000424411058</t>
  </si>
  <si>
    <t>-614.832731443546 140.196162116404 318.968921139786</t>
  </si>
  <si>
    <t>-669.953893220235 175.883050894927 777.601773418844</t>
  </si>
  <si>
    <t>-519.771036956361 177.111186348746 835.285587556555</t>
  </si>
  <si>
    <t>-593.16391684015 -73.5934128254567 324.633951932922</t>
  </si>
  <si>
    <t>-648.517319503587 -110.450193185623 782.636732680709</t>
  </si>
  <si>
    <t>-496.750369506549 -125.970951746536 833.722145516923</t>
  </si>
  <si>
    <t>9763-20170724T115353.131412100.bin</t>
  </si>
  <si>
    <t>-584.609406093668 34.1677060397315 -91.3459802855549</t>
  </si>
  <si>
    <t>-607.589961690413 31.0955199471161 -199.604776849099</t>
  </si>
  <si>
    <t>-623.600925625026 28.1393926174958 -291.041905557546</t>
  </si>
  <si>
    <t>-637.677955456382 25.3211061262714 -373.697950749402</t>
  </si>
  <si>
    <t>-650.808939690035 22.3187292941882 -456.503151871109</t>
  </si>
  <si>
    <t>-668.971176935575 17.7121334835861 -577.721203782587</t>
  </si>
  <si>
    <t>-668.573874733862 16.2235849322049 -656.065620911269</t>
  </si>
  <si>
    <t>-658.669457143567 50.9700492043066 -526.068290760248</t>
  </si>
  <si>
    <t>-628.733593897711 203.07828446723 -508.591627982001</t>
  </si>
  <si>
    <t>-518.987269640148 231.33590996071 -250.258776623247</t>
  </si>
  <si>
    <t>-288.913978026788 211.692398997061 -275.33751153047</t>
  </si>
  <si>
    <t>-586.643739203656 126.13668394836 -95.4353730624234</t>
  </si>
  <si>
    <t>-615.730250292963 140.070218447618 318.886307684585</t>
  </si>
  <si>
    <t>-669.943895435281 175.883816253713 777.628086697953</t>
  </si>
  <si>
    <t>-519.721102402914 177.111837693684 835.207877864929</t>
  </si>
  <si>
    <t>-594.325696225391 -73.7610694572959 324.496895777357</t>
  </si>
  <si>
    <t>-648.521212488834 -110.51125260896 782.664215894195</t>
  </si>
  <si>
    <t>-496.791048506916 -125.995459026565 833.869938795826</t>
  </si>
  <si>
    <t>9763-20170724T115353.162495300.bin</t>
  </si>
  <si>
    <t>-585.428364325254 34.028726076082 -91.4042018342989</t>
  </si>
  <si>
    <t>-608.377882024597 30.9708295714302 -199.669868840807</t>
  </si>
  <si>
    <t>-624.310548737089 28.0121376826723 -291.12066714595</t>
  </si>
  <si>
    <t>-638.296083989016 25.1853018972483 -373.791918793873</t>
  </si>
  <si>
    <t>-651.314804925588 22.1672864631823 -456.614345190371</t>
  </si>
  <si>
    <t>-669.29023101748 17.5294783714671 -577.859055763979</t>
  </si>
  <si>
    <t>-668.810079051012 15.9960305663258 -656.202095068783</t>
  </si>
  <si>
    <t>-659.028804311897 50.79755699473 -526.204494175593</t>
  </si>
  <si>
    <t>-628.963769800878 202.888148538944 -508.813164710004</t>
  </si>
  <si>
    <t>-517.799205102771 231.386983015057 -251.114164235769</t>
  </si>
  <si>
    <t>-287.662749607504 212.009236180517 -275.817578751478</t>
  </si>
  <si>
    <t>-587.406888422334 125.999395473116 -95.4950972846816</t>
  </si>
  <si>
    <t>-616.118406726593 140.060412834699 318.848366487929</t>
  </si>
  <si>
    <t>-669.924840721097 175.909233218343 777.627144029379</t>
  </si>
  <si>
    <t>-519.688830071952 177.078712126846 835.173571495793</t>
  </si>
  <si>
    <t>-594.874082471021 -73.8515177868712 324.442391294994</t>
  </si>
  <si>
    <t>-648.520854839761 -110.54167037467 782.686090938609</t>
  </si>
  <si>
    <t>-496.824285950173 -126.140040829928 833.956567494819</t>
  </si>
  <si>
    <t>9763-20170724T115353.227669200.bin</t>
  </si>
  <si>
    <t>-586.830734290554 33.8890323829662 -91.4783690026345</t>
  </si>
  <si>
    <t>-609.843717114362 30.8564153636596 -199.731317022971</t>
  </si>
  <si>
    <t>-625.700726244873 27.8931622935313 -291.195033041497</t>
  </si>
  <si>
    <t>-639.566266778713 25.0507404884004 -373.885980663726</t>
  </si>
  <si>
    <t>-652.413372513287 22.003864911215 -456.734103434392</t>
  </si>
  <si>
    <t>-670.081256175202 17.3085859084179 -578.021879310679</t>
  </si>
  <si>
    <t>-669.436112737657 15.6964999233549 -656.362166312304</t>
  </si>
  <si>
    <t>-659.904743266085 50.5972534818397 -526.363875796263</t>
  </si>
  <si>
    <t>-629.762053025301 202.669256772349 -509.009383301989</t>
  </si>
  <si>
    <t>-515.219528376201 231.63348845048 -252.846083629279</t>
  </si>
  <si>
    <t>-284.942060095855 212.702161892725 -276.561605363893</t>
  </si>
  <si>
    <t>-588.750746671737 125.838095858741 -95.5696208281486</t>
  </si>
  <si>
    <t>-616.894111104001 140.075561793127 318.806863524072</t>
  </si>
  <si>
    <t>-669.881827480054 176.004262819459 777.641472696457</t>
  </si>
  <si>
    <t>-519.621596231011 177.130177773065 835.125625482677</t>
  </si>
  <si>
    <t>-595.753891600035 -73.9341273260995 324.357306959083</t>
  </si>
  <si>
    <t>-648.548206284592 -110.509675961671 782.711297476618</t>
  </si>
  <si>
    <t>-496.822577817991 -125.680785446438 834.024015401551</t>
  </si>
  <si>
    <t>9763-20170724T115353.264780700.bin</t>
  </si>
  <si>
    <t>-587.418681080298 33.7577186283688 -91.5312877039555</t>
  </si>
  <si>
    <t>-610.499555622569 30.733783000449 -199.770040507189</t>
  </si>
  <si>
    <t>-626.364527837033 27.7786466096322 -291.232698972602</t>
  </si>
  <si>
    <t>-640.217313298157 24.9438367640141 -373.926110830777</t>
  </si>
  <si>
    <t>-653.031770751297 21.9038333505007 -456.779329793885</t>
  </si>
  <si>
    <t>-670.630096954024 17.2174663252081 -578.077573335333</t>
  </si>
  <si>
    <t>-669.932367240738 15.584292095685 -656.416983760311</t>
  </si>
  <si>
    <t>-660.460789460643 50.5004120243582 -526.41453547823</t>
  </si>
  <si>
    <t>-630.211831405718 202.558364581786 -509.064146322253</t>
  </si>
  <si>
    <t>-514.175310820484 231.52131918477 -253.573821861503</t>
  </si>
  <si>
    <t>-283.82470356567 212.778613458514 -276.722130275418</t>
  </si>
  <si>
    <t>-589.329863079901 125.734081054306 -95.6121516646756</t>
  </si>
  <si>
    <t>-617.206603874718 140.026128742468 318.780380319295</t>
  </si>
  <si>
    <t>-669.866867269959 176.013284605665 777.650672199761</t>
  </si>
  <si>
    <t>-519.591320892092 177.188011031178 835.093713908812</t>
  </si>
  <si>
    <t>-596.104345610808 -73.9214310029797 324.315910669411</t>
  </si>
  <si>
    <t>-648.60036227934 -110.552503006887 782.710729093824</t>
  </si>
  <si>
    <t>-496.891994586665 -125.970808993327 834.000807104501</t>
  </si>
  <si>
    <t>9763-20170724T115353.326938600.bin</t>
  </si>
  <si>
    <t>-588.500495428756 33.4640123799159 -91.6154008074168</t>
  </si>
  <si>
    <t>-611.778032743314 30.4769892897077 -199.813055759375</t>
  </si>
  <si>
    <t>-627.706584377076 27.5286365273639 -291.264861162236</t>
  </si>
  <si>
    <t>-641.575936810318 24.6899047567777 -373.955276944501</t>
  </si>
  <si>
    <t>-654.366115799234 21.6347285266427 -456.811784022044</t>
  </si>
  <si>
    <t>-671.884226121783 16.9128729486549 -578.120394651227</t>
  </si>
  <si>
    <t>-671.148065473538 15.2065413272785 -656.457773659958</t>
  </si>
  <si>
    <t>-661.707656992277 50.2072495514647 -526.466197906057</t>
  </si>
  <si>
    <t>-631.307158540641 202.247112846833 -509.243943137593</t>
  </si>
  <si>
    <t>-512.803131315543 231.009573536556 -254.866031774183</t>
  </si>
  <si>
    <t>-282.28663443688 213.080398605762 -276.984351650184</t>
  </si>
  <si>
    <t>-590.348014443283 125.62377699276 -95.700950573286</t>
  </si>
  <si>
    <t>-617.538077196076 139.953022801782 318.736016898062</t>
  </si>
  <si>
    <t>-669.813530612824 176.068451803807 777.649920627667</t>
  </si>
  <si>
    <t>-519.516430068775 177.167166340258 835.038079100667</t>
  </si>
  <si>
    <t>-596.593569564822 -73.9366989209252 324.259397398315</t>
  </si>
  <si>
    <t>-648.710182477202 -110.59104202797 782.695736867351</t>
  </si>
  <si>
    <t>-496.971677201889 -125.948374229951 833.914817479222</t>
  </si>
  <si>
    <t>9763-20170724T115353.362972600.bin</t>
  </si>
  <si>
    <t>-589.058948626426 33.3503567115542 -91.6646495520715</t>
  </si>
  <si>
    <t>-612.432183412488 30.3834775362748 -199.842285901825</t>
  </si>
  <si>
    <t>-628.397226208153 27.4392381513665 -291.287662839856</t>
  </si>
  <si>
    <t>-642.281872300403 24.5989940050645 -373.975552404813</t>
  </si>
  <si>
    <t>-655.069671068312 21.5366114718056 -456.832333274901</t>
  </si>
  <si>
    <t>-672.564927227399 16.7978671161466 -578.143407272575</t>
  </si>
  <si>
    <t>-671.843127744907 15.0372285568701 -656.479813982588</t>
  </si>
  <si>
    <t>-662.38527720011 50.0984400427355 -526.493623606938</t>
  </si>
  <si>
    <t>-631.97043612786 202.14442051804 -509.351070548856</t>
  </si>
  <si>
    <t>-512.195800340755 230.938031996993 -255.572531593138</t>
  </si>
  <si>
    <t>-281.601086875515 213.418400906385 -277.198363326584</t>
  </si>
  <si>
    <t>-590.842697476915 125.597083061678 -95.7404996999793</t>
  </si>
  <si>
    <t>-617.730378590388 139.906201156847 318.716816278144</t>
  </si>
  <si>
    <t>-669.795191671493 176.061777727648 777.646548582334</t>
  </si>
  <si>
    <t>-519.486901218427 177.179080965897 835.004998871267</t>
  </si>
  <si>
    <t>-596.867156490736 -73.9567232406089 324.229553892778</t>
  </si>
  <si>
    <t>-648.78164482696 -110.602522783135 782.693054238924</t>
  </si>
  <si>
    <t>-497.020847189006 -125.960069261413 833.846001847662</t>
  </si>
  <si>
    <t>9763-20170724T115353.430153600.bin</t>
  </si>
  <si>
    <t>-590.205695204382 33.0381660516841 -91.8023069409954</t>
  </si>
  <si>
    <t>-613.726423310131 30.1045510274075 -199.948843886195</t>
  </si>
  <si>
    <t>-629.771141648158 27.1760035160751 -291.38094571346</t>
  </si>
  <si>
    <t>-643.709819306377 24.345514447773 -374.059976736219</t>
  </si>
  <si>
    <t>-656.533869330865 21.2876535477435 -456.911202758901</t>
  </si>
  <si>
    <t>-674.062633096221 16.5492808759748 -578.217571737805</t>
  </si>
  <si>
    <t>-673.39107020869 14.6918468594004 -656.552181508165</t>
  </si>
  <si>
    <t>-663.837614731604 49.8469170226999 -526.57492199432</t>
  </si>
  <si>
    <t>-633.239037583396 201.861628241895 -509.446456278438</t>
  </si>
  <si>
    <t>-510.889884153754 230.789217351935 -256.914293815408</t>
  </si>
  <si>
    <t>-280.223565797229 213.511705485861 -277.963534876413</t>
  </si>
  <si>
    <t>-591.825315184146 125.44921716417 -95.8536318730563</t>
  </si>
  <si>
    <t>-618.224946182655 139.805749440324 318.633490135562</t>
  </si>
  <si>
    <t>-669.749459043192 176.121392098787 777.624908443922</t>
  </si>
  <si>
    <t>-519.414231855292 177.141253012586 834.91447529442</t>
  </si>
  <si>
    <t>-597.698609457048 -74.1094619151227 324.094336513836</t>
  </si>
  <si>
    <t>-649.093633378686 -110.646185517917 782.642663586582</t>
  </si>
  <si>
    <t>-497.228324961885 -126.279544890779 833.400431588743</t>
  </si>
  <si>
    <t>9763-20170724T115353.463244900.bin</t>
  </si>
  <si>
    <t>-590.861357172722 32.8869582233108 -91.8849962174221</t>
  </si>
  <si>
    <t>-614.440127387529 29.969618670086 -200.019333677415</t>
  </si>
  <si>
    <t>-630.510775353799 27.0352596058963 -291.446722151634</t>
  </si>
  <si>
    <t>-644.463821245067 24.191787497326 -374.122979269543</t>
  </si>
  <si>
    <t>-657.293187622668 21.1130135229732 -456.97253154214</t>
  </si>
  <si>
    <t>-674.820017998103 16.3350199509416 -578.277634301451</t>
  </si>
  <si>
    <t>-674.184832301228 14.4291386367386 -656.611256431171</t>
  </si>
  <si>
    <t>-664.583085942525 49.6483168496959 -526.647512556598</t>
  </si>
  <si>
    <t>-633.996118710591 201.665197856183 -509.580884340664</t>
  </si>
  <si>
    <t>-510.214073674378 230.948859549625 -257.789131863296</t>
  </si>
  <si>
    <t>-279.515774284426 213.81322708885 -278.602745851555</t>
  </si>
  <si>
    <t>-592.410451301188 125.329629946159 -95.9263618611343</t>
  </si>
  <si>
    <t>-618.562662547578 139.719359254142 318.575251782714</t>
  </si>
  <si>
    <t>-669.746830213976 176.068021317832 777.602836337478</t>
  </si>
  <si>
    <t>-519.39584522443 177.212752049021 834.84870780371</t>
  </si>
  <si>
    <t>-598.193570966663 -74.1336485700244 324.00360309463</t>
  </si>
  <si>
    <t>-649.254702171268 -110.623175617146 782.585822340883</t>
  </si>
  <si>
    <t>-497.294161522071 -125.996735713227 833.137464570531</t>
  </si>
  <si>
    <t>9763-20170724T115353.529420200.bin</t>
  </si>
  <si>
    <t>-592.267049779093 32.7974559027284 -92.0418895807031</t>
  </si>
  <si>
    <t>-616.006237753417 29.9200987272261 -200.142152045425</t>
  </si>
  <si>
    <t>-632.15049155724 26.9923612105169 -291.556866978535</t>
  </si>
  <si>
    <t>-646.145382311499 24.1442981168741 -374.225807342714</t>
  </si>
  <si>
    <t>-658.992207630988 21.0492656946226 -457.072153391195</t>
  </si>
  <si>
    <t>-676.517779423206 16.234527158379 -578.375914378276</t>
  </si>
  <si>
    <t>-675.977924428203 14.2727453220946 -656.708994921457</t>
  </si>
  <si>
    <t>-666.256777061028 49.5613961740098 -526.75918315077</t>
  </si>
  <si>
    <t>-635.597612252962 201.576985115401 -509.772753371952</t>
  </si>
  <si>
    <t>-508.904942353853 231.679693527589 -259.530142555323</t>
  </si>
  <si>
    <t>-278.133441197011 214.845338675376 -279.769887668136</t>
  </si>
  <si>
    <t>-593.706624166569 125.348208125121 -96.0814733706342</t>
  </si>
  <si>
    <t>-619.106907694577 139.751617770422 318.466413149801</t>
  </si>
  <si>
    <t>-669.696661923872 176.159215846398 777.560179100444</t>
  </si>
  <si>
    <t>-519.316837707271 177.090214055961 834.734256217645</t>
  </si>
  <si>
    <t>-598.897599298315 -74.0245091903694 323.856318350829</t>
  </si>
  <si>
    <t>-649.367159629056 -110.647193912222 782.559525661623</t>
  </si>
  <si>
    <t>-497.408531457979 -126.302512144165 833.030421346786</t>
  </si>
  <si>
    <t>9763-20170724T115353.562190700.bin</t>
  </si>
  <si>
    <t>-593.006386207915 32.6986581319431 -92.0963601071795</t>
  </si>
  <si>
    <t>-616.851094479033 29.8446896746927 -200.173957416049</t>
  </si>
  <si>
    <t>-633.032702896381 26.9197985399733 -291.582060601878</t>
  </si>
  <si>
    <t>-647.04075823742 24.067166886528 -374.248718897932</t>
  </si>
  <si>
    <t>-659.880117094882 20.9601017315103 -457.095765184507</t>
  </si>
  <si>
    <t>-677.372288463572 16.1189484314157 -578.403347313795</t>
  </si>
  <si>
    <t>-676.872895804146 14.144150670669 -656.736284610365</t>
  </si>
  <si>
    <t>-667.118145072511 49.45618182203 -526.792127586246</t>
  </si>
  <si>
    <t>-636.430300454999 201.470874233738 -509.873877702175</t>
  </si>
  <si>
    <t>-508.376391557877 232.02196465164 -260.37949058459</t>
  </si>
  <si>
    <t>-277.573085381245 215.253796570254 -280.309545585243</t>
  </si>
  <si>
    <t>-594.47444435814 125.292265357885 -96.1303133651204</t>
  </si>
  <si>
    <t>-619.394002895977 139.69365717844 318.446825898968</t>
  </si>
  <si>
    <t>-669.70387146683 176.061558812559 777.56537321131</t>
  </si>
  <si>
    <t>-519.308280815875 177.149620305712 834.695125273702</t>
  </si>
  <si>
    <t>-599.178430696801 -73.8923146346399 323.817513834525</t>
  </si>
  <si>
    <t>-649.393008798892 -110.608821303386 782.550137640678</t>
  </si>
  <si>
    <t>-497.421056912799 -126.108746031387 833.028889289649</t>
  </si>
  <si>
    <t>9763-20170724T115353.632884400.bin</t>
  </si>
  <si>
    <t>-594.626807232234 32.4930750009589 -92.1765110790569</t>
  </si>
  <si>
    <t>-618.676910661944 29.695886741099 -200.210135889851</t>
  </si>
  <si>
    <t>-634.916657832606 26.7737343010742 -291.60796610236</t>
  </si>
  <si>
    <t>-648.931255530734 23.9044967870545 -374.273012957299</t>
  </si>
  <si>
    <t>-661.731444806332 20.7606274390573 -457.124683614003</t>
  </si>
  <si>
    <t>-679.116155435246 15.8435351289454 -578.444552247599</t>
  </si>
  <si>
    <t>-678.661197885358 13.8286426666862 -656.776790788645</t>
  </si>
  <si>
    <t>-668.913158335547 49.2138107236431 -526.84444790971</t>
  </si>
  <si>
    <t>-638.32072151554 201.276936967115 -510.123201906508</t>
  </si>
  <si>
    <t>-507.258207083616 232.485815513965 -262.278120734265</t>
  </si>
  <si>
    <t>-276.3679300382 215.760098491877 -281.211098620239</t>
  </si>
  <si>
    <t>-596.125717129759 125.231563935205 -96.1875705920335</t>
  </si>
  <si>
    <t>-619.99584255478 139.71109398017 318.448614098551</t>
  </si>
  <si>
    <t>-669.669335823708 176.088050242698 777.627901570576</t>
  </si>
  <si>
    <t>-519.233112603693 177.081131437748 834.652338900141</t>
  </si>
  <si>
    <t>-599.529052549787 -73.5225525049293 323.789215982773</t>
  </si>
  <si>
    <t>-649.386797071027 -110.607172573327 782.555050128667</t>
  </si>
  <si>
    <t>-497.463176902949 -126.140358813349 833.168846242949</t>
  </si>
  <si>
    <t>9763-20170724T115353.664470100.bin</t>
  </si>
  <si>
    <t>-595.565347130063 32.4595560508628 -92.1830344088482</t>
  </si>
  <si>
    <t>-619.731120690467 29.6761116088674 -200.191265779875</t>
  </si>
  <si>
    <t>-636.005264856208 26.7514598608254 -291.582945816174</t>
  </si>
  <si>
    <t>-650.025551428552 23.8732524481359 -374.246597463473</t>
  </si>
  <si>
    <t>-662.806148153322 20.7134597995805 -457.100641089267</t>
  </si>
  <si>
    <t>-680.134453427826 15.7649709817947 -578.427334541021</t>
  </si>
  <si>
    <t>-679.67521890894 13.7322761036326 -656.75916575257</t>
  </si>
  <si>
    <t>-669.96836491833 49.1496243560455 -526.82946822898</t>
  </si>
  <si>
    <t>-639.516725166532 201.242473646294 -510.169883677151</t>
  </si>
  <si>
    <t>-506.75856005808 232.643649990574 -263.253301034731</t>
  </si>
  <si>
    <t>-275.824213392555 215.94293364326 -281.66390542873</t>
  </si>
  <si>
    <t>-597.112255949759 125.251566912681 -96.1937843994211</t>
  </si>
  <si>
    <t>-620.325204121299 139.796157725806 318.477473018385</t>
  </si>
  <si>
    <t>-669.652010842526 176.098903276599 777.687930917721</t>
  </si>
  <si>
    <t>-519.191084283706 177.072889453624 834.64740800583</t>
  </si>
  <si>
    <t>-599.616935338425 -73.1598116533467 323.796199452127</t>
  </si>
  <si>
    <t>-649.382279866463 -110.531742257657 782.557999202933</t>
  </si>
  <si>
    <t>-497.443076529435 -125.742388636122 833.222924935703</t>
  </si>
  <si>
    <t>9763-20170724T115353.726645000.bin</t>
  </si>
  <si>
    <t>-597.443821984486 32.3913621074014 -92.2082222159489</t>
  </si>
  <si>
    <t>-621.857855889516 29.6130623784247 -200.160742421869</t>
  </si>
  <si>
    <t>-638.219695304335 26.686182330832 -291.536596930649</t>
  </si>
  <si>
    <t>-652.270285543944 23.8006716687141 -374.194979426062</t>
  </si>
  <si>
    <t>-665.032258239731 20.6275368923073 -457.051303009352</t>
  </si>
  <si>
    <t>-682.279658935272 15.6517574427535 -578.388465561852</t>
  </si>
  <si>
    <t>-681.778287864827 13.5952020149182 -656.719353922893</t>
  </si>
  <si>
    <t>-672.155417190101 49.0486453013364 -526.79016877788</t>
  </si>
  <si>
    <t>-641.778534221333 201.168523991928 -510.22576590745</t>
  </si>
  <si>
    <t>-505.976265966169 232.823132661114 -265.002762809805</t>
  </si>
  <si>
    <t>-274.969919655626 216.211395838092 -282.571461985961</t>
  </si>
  <si>
    <t>-599.097679816908 125.22259910701 -96.1924285041481</t>
  </si>
  <si>
    <t>-621.113736776703 139.890007618889 318.539756111393</t>
  </si>
  <si>
    <t>-669.621040926958 176.118777661031 777.830323525098</t>
  </si>
  <si>
    <t>-519.109396293051 177.0085005105 834.657074078426</t>
  </si>
  <si>
    <t>-600.064147234929 -72.3979676095641 323.794083118756</t>
  </si>
  <si>
    <t>-649.492147765664 -110.380951542605 782.538073597657</t>
  </si>
  <si>
    <t>-497.508984263847 -125.435490266921 833.117669480085</t>
  </si>
  <si>
    <t>9763-20170724T115353.764757300.bin</t>
  </si>
  <si>
    <t>-598.274108440542 32.3954307835058 -92.2294646410921</t>
  </si>
  <si>
    <t>-622.780063763119 29.6097091750287 -200.16093652302</t>
  </si>
  <si>
    <t>-639.177584412701 26.674229435238 -291.530202694925</t>
  </si>
  <si>
    <t>-653.243613607564 23.7786058679624 -374.185599575811</t>
  </si>
  <si>
    <t>-666.004146079458 20.5932118628562 -457.041674209284</t>
  </si>
  <si>
    <t>-683.231107817821 15.5961733834745 -578.380986868332</t>
  </si>
  <si>
    <t>-682.707740068949 13.5157093123594 -656.711082735838</t>
  </si>
  <si>
    <t>-673.124928447272 49.003009670583 -526.785356332291</t>
  </si>
  <si>
    <t>-642.844597743876 201.147043002565 -510.309072136793</t>
  </si>
  <si>
    <t>-505.691227956215 232.998682898323 -265.864701193207</t>
  </si>
  <si>
    <t>-274.655348471935 216.456909569749 -283.107595158447</t>
  </si>
  <si>
    <t>-600.007756350287 125.211632159948 -96.195120987551</t>
  </si>
  <si>
    <t>-621.516049772961 139.923910680467 318.562088772125</t>
  </si>
  <si>
    <t>-669.601225420017 176.135863269338 777.892969680807</t>
  </si>
  <si>
    <t>-519.070502922139 176.932549302273 834.670592932078</t>
  </si>
  <si>
    <t>-600.471165057025 -72.0474214613841 323.756373413965</t>
  </si>
  <si>
    <t>-649.585400428237 -110.234463554392 782.51341138598</t>
  </si>
  <si>
    <t>-497.525653634814 -124.942428852055 832.964668360106</t>
  </si>
  <si>
    <t>9763-20170724T115353.832941800.bin</t>
  </si>
  <si>
    <t>-599.704113111184 32.6053386287631 -92.291468471709</t>
  </si>
  <si>
    <t>-624.31791301356 29.8097706124454 -200.197977555528</t>
  </si>
  <si>
    <t>-640.805141869648 26.8701221998833 -291.551056131088</t>
  </si>
  <si>
    <t>-654.951777726839 23.9706258629615 -374.192423387165</t>
  </si>
  <si>
    <t>-667.792600142695 20.7817191737349 -457.036076608301</t>
  </si>
  <si>
    <t>-685.13650935702 15.7801691545649 -578.358485855616</t>
  </si>
  <si>
    <t>-684.664891806506 13.6622762020197 -656.687936801136</t>
  </si>
  <si>
    <t>-675.0188089022 49.1923192802922 -526.768641407158</t>
  </si>
  <si>
    <t>-645.009751481724 201.404668682608 -510.358587779275</t>
  </si>
  <si>
    <t>-504.878242181648 233.73895657289 -267.673277317522</t>
  </si>
  <si>
    <t>-273.754529060972 217.392014353275 -283.894864762981</t>
  </si>
  <si>
    <t>-601.57062872958 125.232346244881 -96.2114534689466</t>
  </si>
  <si>
    <t>-622.322834033208 140.056381089825 318.580325954558</t>
  </si>
  <si>
    <t>-669.577735122282 176.088489104419 778.008155668839</t>
  </si>
  <si>
    <t>-519.011248899346 176.98690100766 834.689302758165</t>
  </si>
  <si>
    <t>-601.347597001441 -71.4693744703989 323.674286520549</t>
  </si>
  <si>
    <t>-649.812107281063 -109.971977316583 782.454644087913</t>
  </si>
  <si>
    <t>-497.641470933222 -124.606791892083 832.591828563538</t>
  </si>
  <si>
    <t>9763-20170724T115353.859018900.bin</t>
  </si>
  <si>
    <t>-600.273661469869 32.7196539736676 -92.3132113391084</t>
  </si>
  <si>
    <t>-624.931170863795 29.9188635840553 -200.209757296538</t>
  </si>
  <si>
    <t>-641.442801888175 26.9782996031615 -291.558173232908</t>
  </si>
  <si>
    <t>-655.606348248428 24.0785371480756 -374.196866017876</t>
  </si>
  <si>
    <t>-668.45902534074 20.8900095645795 -457.038648088145</t>
  </si>
  <si>
    <t>-685.814559974019 15.8901661402426 -578.359348783513</t>
  </si>
  <si>
    <t>-685.362258873164 13.7642242217728 -656.688661358367</t>
  </si>
  <si>
    <t>-675.723492891406 49.3043217294071 -526.765690309012</t>
  </si>
  <si>
    <t>-645.882885104826 201.541498187428 -510.331174274785</t>
  </si>
  <si>
    <t>-504.303504310424 233.946999619738 -268.497137108267</t>
  </si>
  <si>
    <t>-273.121499386648 217.720639141295 -283.99269520608</t>
  </si>
  <si>
    <t>-602.239283864542 125.272653332933 -96.2214509938459</t>
  </si>
  <si>
    <t>-622.614511774505 140.16773791278 318.586394348572</t>
  </si>
  <si>
    <t>-669.551004302289 176.137895885103 778.05552177762</t>
  </si>
  <si>
    <t>-518.96733789229 176.929234524933 834.692595328165</t>
  </si>
  <si>
    <t>-601.753339620351 -71.2240942175586 323.623096297825</t>
  </si>
  <si>
    <t>-649.938385253513 -109.857704460502 782.42449216308</t>
  </si>
  <si>
    <t>-497.723102569051 -124.672182246184 832.373121047431</t>
  </si>
  <si>
    <t>9763-20170724T115353.929201300.bin</t>
  </si>
  <si>
    <t>-601.144521907441 32.9116636156277 -92.3313317325636</t>
  </si>
  <si>
    <t>-625.87897132296 30.0610093471053 -200.20894364521</t>
  </si>
  <si>
    <t>-642.396141666342 27.0797495488675 -291.55519510013</t>
  </si>
  <si>
    <t>-656.540949765912 24.1407823381103 -374.195540470353</t>
  </si>
  <si>
    <t>-669.350984164127 20.9110973990062 -457.042450724233</t>
  </si>
  <si>
    <t>-686.618065763708 15.8478842556278 -578.373003511974</t>
  </si>
  <si>
    <t>-686.206322802343 13.7233281486308 -656.702643251884</t>
  </si>
  <si>
    <t>-676.595707018583 49.2917854470336 -526.785245585526</t>
  </si>
  <si>
    <t>-646.912329628576 201.567760401183 -510.386013746342</t>
  </si>
  <si>
    <t>-503.107190796544 234.614202259427 -269.956034141488</t>
  </si>
  <si>
    <t>-271.823489825106 218.986721441305 -284.521884293387</t>
  </si>
  <si>
    <t>-603.280128266638 125.31480284542 -96.2346772847895</t>
  </si>
  <si>
    <t>-622.988210843736 140.319526459575 318.601489341261</t>
  </si>
  <si>
    <t>-669.516323537544 176.119534858047 778.12215636073</t>
  </si>
  <si>
    <t>-518.905805468855 176.865218569253 834.688432295505</t>
  </si>
  <si>
    <t>-602.244251491927 -70.9719992840737 323.590904741988</t>
  </si>
  <si>
    <t>-650.124467541336 -109.748262782254 782.385162132158</t>
  </si>
  <si>
    <t>-497.806888575535 -124.439774782049 832.057408120762</t>
  </si>
  <si>
    <t>9763-20170724T115353.960293000.bin</t>
  </si>
  <si>
    <t>-601.383830396878 32.8171427093675 -92.3413108531061</t>
  </si>
  <si>
    <t>-626.147213616451 29.9379681713897 -200.211595170966</t>
  </si>
  <si>
    <t>-642.668191236067 26.9205892714735 -291.555854394026</t>
  </si>
  <si>
    <t>-656.808307423142 23.9432034175975 -374.195548008652</t>
  </si>
  <si>
    <t>-669.605622169395 20.6691312601358 -457.042796578072</t>
  </si>
  <si>
    <t>-686.845367494226 15.5342763706299 -578.374266166195</t>
  </si>
  <si>
    <t>-686.458511189959 13.3989856612493 -656.703751698599</t>
  </si>
  <si>
    <t>-676.841855343038 49.0090214399684 -526.802852754277</t>
  </si>
  <si>
    <t>-647.235900184679 201.306792413952 -510.50346894711</t>
  </si>
  <si>
    <t>-502.52355702465 234.631856676566 -270.656919065407</t>
  </si>
  <si>
    <t>-271.185932258588 219.322252238825 -284.694083325493</t>
  </si>
  <si>
    <t>-603.560033803653 125.205687858739 -96.2434313854312</t>
  </si>
  <si>
    <t>-623.09127421841 140.266822578987 318.599046379346</t>
  </si>
  <si>
    <t>-669.500579292948 176.087721925821 778.128239900953</t>
  </si>
  <si>
    <t>-518.882195722205 176.950510090169 834.671850413944</t>
  </si>
  <si>
    <t>-602.449157831108 -71.157065351121 323.568738366966</t>
  </si>
  <si>
    <t>-650.160069780896 -109.811945585339 782.386716079725</t>
  </si>
  <si>
    <t>-497.865284556338 -124.779997632212 832.046414508039</t>
  </si>
  <si>
    <t>9763-20170724T115354.028473600.bin</t>
  </si>
  <si>
    <t>-601.549221592113 32.6567751828154 -92.3542813549614</t>
  </si>
  <si>
    <t>-626.368720520889 29.7305999526006 -200.210277884315</t>
  </si>
  <si>
    <t>-642.938370720515 26.647478675309 -291.543656218568</t>
  </si>
  <si>
    <t>-657.123319894099 23.5997530854111 -374.173223964589</t>
  </si>
  <si>
    <t>-669.966462112866 20.2449520256525 -457.009936111979</t>
  </si>
  <si>
    <t>-687.274561374415 14.9802689559212 -578.326317721609</t>
  </si>
  <si>
    <t>-686.936265562422 12.7659109955296 -656.65364239804</t>
  </si>
  <si>
    <t>-677.250460949639 48.510960443338 -526.795110012012</t>
  </si>
  <si>
    <t>-647.82141273359 200.865512494576 -510.675424339266</t>
  </si>
  <si>
    <t>-501.084485918388 234.382801220154 -272.089101747955</t>
  </si>
  <si>
    <t>-269.622908587768 219.943794150358 -284.957040866227</t>
  </si>
  <si>
    <t>-603.739594979849 125.052857142241 -96.2697750329978</t>
  </si>
  <si>
    <t>-623.082024745674 140.22565356526 318.57755232592</t>
  </si>
  <si>
    <t>-669.448773944019 176.081599818241 778.113406491655</t>
  </si>
  <si>
    <t>-518.824097457647 176.972368354117 834.639795230968</t>
  </si>
  <si>
    <t>-602.655044342164 -71.3757671143856 323.578094833992</t>
  </si>
  <si>
    <t>-650.132165663704 -109.920553174039 782.42258784334</t>
  </si>
  <si>
    <t>-497.928253422061 -125.252661686158 832.249503819196</t>
  </si>
  <si>
    <t>9763-20170724T115354.066599300.bin</t>
  </si>
  <si>
    <t>-601.509414562908 32.4823786598904 -92.362594483514</t>
  </si>
  <si>
    <t>-626.364244887594 29.5414543374632 -200.210093153009</t>
  </si>
  <si>
    <t>-642.982264794592 26.4299040376586 -291.533634264013</t>
  </si>
  <si>
    <t>-657.218565898999 23.3504334270619 -374.15317962968</t>
  </si>
  <si>
    <t>-670.120917360888 19.9578241390304 -456.979202464171</t>
  </si>
  <si>
    <t>-687.524324515964 14.6314188212868 -578.279139793572</t>
  </si>
  <si>
    <t>-687.200603141003 12.359139939681 -656.605029950279</t>
  </si>
  <si>
    <t>-677.455693347555 48.1879353041311 -526.773699507254</t>
  </si>
  <si>
    <t>-648.017673502327 200.552557218421 -510.757205326527</t>
  </si>
  <si>
    <t>-500.35118623796 233.906076996956 -272.722056917218</t>
  </si>
  <si>
    <t>-268.838785357015 219.794833437238 -285.026621549804</t>
  </si>
  <si>
    <t>-603.695177916254 124.946925205541 -96.2915889197861</t>
  </si>
  <si>
    <t>-622.97376738329 140.142345222016 318.557842655466</t>
  </si>
  <si>
    <t>-669.423138986272 176.039750324973 778.094189576413</t>
  </si>
  <si>
    <t>-518.798659749674 176.908958930909 834.621449440826</t>
  </si>
  <si>
    <t>-602.666103359515 -71.4289776830758 323.583690047871</t>
  </si>
  <si>
    <t>-650.087109228467 -109.981393573155 782.450562193113</t>
  </si>
  <si>
    <t>-497.932828517195 -125.373195129179 832.410422229078</t>
  </si>
  <si>
    <t>9763-20170724T115354.127754000.bin</t>
  </si>
  <si>
    <t>-601.300989825077 32.1142860753318 -92.3392653433928</t>
  </si>
  <si>
    <t>-626.235151672944 29.1415310144398 -200.167575726045</t>
  </si>
  <si>
    <t>-642.919409940135 25.9785649985943 -291.477283916261</t>
  </si>
  <si>
    <t>-657.215673757956 22.8425977277934 -374.084313422326</t>
  </si>
  <si>
    <t>-670.17833926913 19.3831412714003 -456.898166347733</t>
  </si>
  <si>
    <t>-687.670528921056 13.9474130287244 -578.180481010617</t>
  </si>
  <si>
    <t>-687.347731233144 11.5480702307098 -656.502503894044</t>
  </si>
  <si>
    <t>-677.539566141473 47.5482955222365 -526.716055795501</t>
  </si>
  <si>
    <t>-648.038660693659 199.918036831034 -510.949300816087</t>
  </si>
  <si>
    <t>-498.864954869196 233.048275815112 -273.824455287775</t>
  </si>
  <si>
    <t>-267.287229172936 219.374141844108 -285.370277140456</t>
  </si>
  <si>
    <t>-603.455191987323 124.599140891883 -96.3027251073114</t>
  </si>
  <si>
    <t>-622.700900249889 139.891372560596 318.544599214587</t>
  </si>
  <si>
    <t>-669.387390660057 175.88385502099 778.04510174087</t>
  </si>
  <si>
    <t>-518.769633350741 177.022160233676 834.585501775756</t>
  </si>
  <si>
    <t>-602.435279882707 -71.8012054689168 323.648917603826</t>
  </si>
  <si>
    <t>-649.922794735008 -110.172267953883 782.530570410079</t>
  </si>
  <si>
    <t>-497.963182535907 -126.193498347089 832.883559481497</t>
  </si>
  <si>
    <t>9763-20170724T115354.161850400.bin</t>
  </si>
  <si>
    <t>-601.163683314766 31.9073977406692 -92.3338198733121</t>
  </si>
  <si>
    <t>-626.114192019454 28.9175821286096 -200.157904769895</t>
  </si>
  <si>
    <t>-642.802709365561 25.7282964121605 -291.465966347295</t>
  </si>
  <si>
    <t>-657.099019489973 22.5641092759799 -374.071938782669</t>
  </si>
  <si>
    <t>-670.058096264504 19.0714083966827 -456.884861175432</t>
  </si>
  <si>
    <t>-687.54116054356 13.58132554345 -578.166045604384</t>
  </si>
  <si>
    <t>-687.2104524895 11.1220204378201 -656.486392358805</t>
  </si>
  <si>
    <t>-677.398826509589 47.2038780248981 -526.718063748449</t>
  </si>
  <si>
    <t>-647.863561810613 199.587943546419 -511.060989377678</t>
  </si>
  <si>
    <t>-497.914515187297 232.556357522002 -274.403169822995</t>
  </si>
  <si>
    <t>-266.313869918078 219.08566161866 -285.726524509327</t>
  </si>
  <si>
    <t>-603.291343319491 124.44008062914 -96.3116538811603</t>
  </si>
  <si>
    <t>-622.542283789622 139.804816136497 318.532861476852</t>
  </si>
  <si>
    <t>-669.344812308924 175.92179736624 778.021649623161</t>
  </si>
  <si>
    <t>-518.729401542249 176.949533772053 834.570449304703</t>
  </si>
  <si>
    <t>-602.313053116808 -72.0517022400047 323.682284615391</t>
  </si>
  <si>
    <t>-649.839461345153 -110.285143813307 782.584448701154</t>
  </si>
  <si>
    <t>-497.974554532144 -126.56931115042 833.138360306987</t>
  </si>
  <si>
    <t>9763-20170724T115354.229023900.bin</t>
  </si>
  <si>
    <t>-600.871744215711 31.5679635412496 -92.3194845172678</t>
  </si>
  <si>
    <t>-625.785692460472 28.5403645142449 -200.150888876483</t>
  </si>
  <si>
    <t>-642.45763311351 25.2963549794033 -291.460148654064</t>
  </si>
  <si>
    <t>-656.74505262628 22.0739257068956 -374.065254292767</t>
  </si>
  <si>
    <t>-669.701721052417 18.5131025256039 -456.875864736615</t>
  </si>
  <si>
    <t>-687.188413341109 12.9131144762905 -578.151429199057</t>
  </si>
  <si>
    <t>-686.849788748889 10.3333107922854 -656.467766948155</t>
  </si>
  <si>
    <t>-677.007351351473 46.5791482179609 -526.739461886005</t>
  </si>
  <si>
    <t>-647.357085168467 198.963224775779 -511.322460220501</t>
  </si>
  <si>
    <t>-496.019951607025 231.807883999086 -275.53264629818</t>
  </si>
  <si>
    <t>-264.390557041813 218.585390814537 -286.556390022949</t>
  </si>
  <si>
    <t>-602.980350918237 124.144011825486 -96.3314820373431</t>
  </si>
  <si>
    <t>-622.341210083325 139.58597840692 318.504969916346</t>
  </si>
  <si>
    <t>-669.277661822136 175.903031500831 777.963779455176</t>
  </si>
  <si>
    <t>-518.672324703303 176.953373665385 834.538904044482</t>
  </si>
  <si>
    <t>-602.148545672664 -72.3950768175077 323.728904065589</t>
  </si>
  <si>
    <t>-649.794677810777 -110.369021787334 782.636110132773</t>
  </si>
  <si>
    <t>-497.973980681964 -126.463175962668 833.383299743729</t>
  </si>
  <si>
    <t>9763-20170724T115354.261729500.bin</t>
  </si>
  <si>
    <t>-600.747178017138 31.401026182396 -92.3279479974547</t>
  </si>
  <si>
    <t>-625.639973911908 28.3660037990937 -200.164064411093</t>
  </si>
  <si>
    <t>-642.306971992463 25.1024510400528 -291.473386344679</t>
  </si>
  <si>
    <t>-656.595417046595 21.8567952436586 -374.077644775438</t>
  </si>
  <si>
    <t>-669.558510702289 18.267901526252 -456.88575708709</t>
  </si>
  <si>
    <t>-687.060960274568 12.6206275050854 -578.157050791812</t>
  </si>
  <si>
    <t>-686.726415306394 9.9823749281943 -656.471330397731</t>
  </si>
  <si>
    <t>-676.868833068537 46.3063054481181 -526.76012269755</t>
  </si>
  <si>
    <t>-647.192128183564 198.695819871672 -511.438623651948</t>
  </si>
  <si>
    <t>-495.155320261075 231.414135691489 -276.081679907551</t>
  </si>
  <si>
    <t>-263.509367039438 218.386269314125 -286.989061068077</t>
  </si>
  <si>
    <t>-602.843457320244 123.988765801834 -96.34225003375</t>
  </si>
  <si>
    <t>-622.268035162403 139.499512751024 318.488640269986</t>
  </si>
  <si>
    <t>-669.238984348418 175.917421497685 777.929362671553</t>
  </si>
  <si>
    <t>-518.638883699159 176.890764135754 834.519915437666</t>
  </si>
  <si>
    <t>-602.066713819083 -72.6459001036415 323.728685644394</t>
  </si>
  <si>
    <t>-649.834557792486 -110.392175674994 782.642627760095</t>
  </si>
  <si>
    <t>-498.051652818892 -126.838355113739 833.390033506098</t>
  </si>
  <si>
    <t>9763-20170724T115354.328908000.bin</t>
  </si>
  <si>
    <t>-600.434809443068 31.1764403564966 -92.3568390766093</t>
  </si>
  <si>
    <t>-625.264306518368 28.1095333192682 -200.20660704901</t>
  </si>
  <si>
    <t>-641.90093098309 24.7994467110032 -291.519764115195</t>
  </si>
  <si>
    <t>-656.171493298645 21.5037826286023 -374.125014955669</t>
  </si>
  <si>
    <t>-669.126501788036 17.8567621997524 -456.93211296301</t>
  </si>
  <si>
    <t>-686.627956244744 12.116129258997 -578.199085262724</t>
  </si>
  <si>
    <t>-686.297419282597 9.38035375736604 -656.51011098237</t>
  </si>
  <si>
    <t>-676.437007567111 45.8413747826673 -526.827884694924</t>
  </si>
  <si>
    <t>-646.841870445177 198.265192216399 -511.736028359046</t>
  </si>
  <si>
    <t>-493.485974621742 230.995419109354 -277.237972296643</t>
  </si>
  <si>
    <t>-261.790177749858 218.480290453638 -287.676263511588</t>
  </si>
  <si>
    <t>-602.50989755172 123.723140320471 -96.3864578150136</t>
  </si>
  <si>
    <t>-622.053168235279 139.316107640598 318.435820788123</t>
  </si>
  <si>
    <t>-669.19777103991 175.785231446324 777.857588933111</t>
  </si>
  <si>
    <t>-518.608544317363 176.996043673356 834.472357254013</t>
  </si>
  <si>
    <t>-602.062713571251 -73.0187958008232 323.703010713576</t>
  </si>
  <si>
    <t>-649.964446051059 -110.419451462398 782.620120025682</t>
  </si>
  <si>
    <t>-498.16714227455 -126.997408949348 833.281475022635</t>
  </si>
  <si>
    <t>9763-20170724T115354.360541600.bin</t>
  </si>
  <si>
    <t>-600.2819329957 31.1866894540219 -92.3689678535342</t>
  </si>
  <si>
    <t>-625.060008366049 28.1126088112287 -200.230437449792</t>
  </si>
  <si>
    <t>-641.674842355734 24.787186735171 -291.54703608555</t>
  </si>
  <si>
    <t>-655.934507283419 21.4741313607724 -374.153464959556</t>
  </si>
  <si>
    <t>-668.887586651043 17.806190680124 -456.959875303392</t>
  </si>
  <si>
    <t>-686.396106018374 12.0313190186193 -578.224054358719</t>
  </si>
  <si>
    <t>-686.064105590089 9.25389871577977 -656.533748030584</t>
  </si>
  <si>
    <t>-676.208840477922 45.7717187417877 -526.862136446171</t>
  </si>
  <si>
    <t>-646.642514089519 198.212280936788 -511.833582914551</t>
  </si>
  <si>
    <t>-492.671032021129 230.87846205985 -277.730325257892</t>
  </si>
  <si>
    <t>-260.942592036418 218.686795948243 -287.8212510975</t>
  </si>
  <si>
    <t>-602.337985729659 123.682325342561 -96.4018538549079</t>
  </si>
  <si>
    <t>-621.965763496191 139.357286141054 318.413373127553</t>
  </si>
  <si>
    <t>-669.155899968975 175.839498572372 777.821506708119</t>
  </si>
  <si>
    <t>-518.569568511253 176.881805069831 834.447471300995</t>
  </si>
  <si>
    <t>-602.073472124475 -73.0629616152905 323.692918709492</t>
  </si>
  <si>
    <t>-650.016916253753 -110.403865646507 782.612126849581</t>
  </si>
  <si>
    <t>-498.177692599664 -126.708314688986 833.236547364119</t>
  </si>
  <si>
    <t>9763-20170724T115354.431236100.bin</t>
  </si>
  <si>
    <t>-599.949088824392 31.072746826685 -92.3784275685447</t>
  </si>
  <si>
    <t>-624.666398346422 27.9893055521143 -200.253521351694</t>
  </si>
  <si>
    <t>-641.245402557861 24.6406345523069 -291.575813838695</t>
  </si>
  <si>
    <t>-655.479177728312 21.2998335454129 -374.185524561862</t>
  </si>
  <si>
    <t>-668.412779806914 17.5984578954499 -456.993509805326</t>
  </si>
  <si>
    <t>-685.900107212793 11.7681578501827 -578.258298042799</t>
  </si>
  <si>
    <t>-685.605509094811 8.94338254351965 -656.56626183215</t>
  </si>
  <si>
    <t>-675.74154096734 45.5337167476475 -526.907109982166</t>
  </si>
  <si>
    <t>-646.304194762934 198.013272082256 -512.045932913222</t>
  </si>
  <si>
    <t>-491.586948981256 230.679431202818 -278.435099034982</t>
  </si>
  <si>
    <t>-259.792994865649 219.035710108559 -287.628630846193</t>
  </si>
  <si>
    <t>-602.049213307239 123.514702253976 -96.4247132295149</t>
  </si>
  <si>
    <t>-621.808240214517 139.245415747607 318.382131666779</t>
  </si>
  <si>
    <t>-669.122342688049 175.736034395605 777.767481312017</t>
  </si>
  <si>
    <t>-518.539893239184 177.080154390937 834.39741228568</t>
  </si>
  <si>
    <t>-601.940475384082 -73.214920500182 323.666689625454</t>
  </si>
  <si>
    <t>-650.133334534663 -110.368903397462 782.600442822094</t>
  </si>
  <si>
    <t>-498.214714109541 -126.321035930203 833.098790630824</t>
  </si>
  <si>
    <t>9763-20170724T115354.463827400.bin</t>
  </si>
  <si>
    <t>-599.769744461958 31.0116897849034 -92.3965215142107</t>
  </si>
  <si>
    <t>-624.463237034841 27.9169657922096 -200.276814968582</t>
  </si>
  <si>
    <t>-641.000905205489 24.5568774819565 -291.606015632009</t>
  </si>
  <si>
    <t>-655.18870143777 21.2045402106228 -374.223282586647</t>
  </si>
  <si>
    <t>-668.067794182555 17.4899896050601 -457.039204311834</t>
  </si>
  <si>
    <t>-685.465890683897 11.6391927568106 -578.315773712955</t>
  </si>
  <si>
    <t>-685.161586977043 8.80863077649019 -656.623568830686</t>
  </si>
  <si>
    <t>-675.365679043444 45.4152521019116 -526.959992770267</t>
  </si>
  <si>
    <t>-645.999512262675 197.912134067231 -512.17897941713</t>
  </si>
  <si>
    <t>-491.099764276276 230.500886496947 -278.678197471394</t>
  </si>
  <si>
    <t>-259.270213299701 219.097189424235 -287.254364737508</t>
  </si>
  <si>
    <t>-601.889048292682 123.507896836417 -96.4443166711461</t>
  </si>
  <si>
    <t>-621.727404727088 139.206024498155 318.35998662945</t>
  </si>
  <si>
    <t>-669.083967853742 175.758631354136 777.732134030055</t>
  </si>
  <si>
    <t>-518.507582902015 177.006610627689 834.380316561911</t>
  </si>
  <si>
    <t>-601.8990327621 -73.4288348638779 323.656412805644</t>
  </si>
  <si>
    <t>-650.2460941449 -110.419977349881 782.584553500153</t>
  </si>
  <si>
    <t>-498.329565644827 -126.792747544645 832.954452938658</t>
  </si>
  <si>
    <t>9763-20170724T115354.527999500.bin</t>
  </si>
  <si>
    <t>-599.617131674374 30.9471059523019 -92.4609404947641</t>
  </si>
  <si>
    <t>-624.136998155462 27.8527529575081 -200.380848659976</t>
  </si>
  <si>
    <t>-640.529483327106 24.4759335728866 -291.735729094019</t>
  </si>
  <si>
    <t>-654.586890099415 21.1013240899129 -374.374236009057</t>
  </si>
  <si>
    <t>-667.336200417343 17.3581410120466 -457.209021954554</t>
  </si>
  <si>
    <t>-684.545334884973 11.4585092157863 -578.510062249337</t>
  </si>
  <si>
    <t>-684.194615165069 8.61961500378106 -656.817443132034</t>
  </si>
  <si>
    <t>-674.556179659194 45.2580016793768 -527.148040426644</t>
  </si>
  <si>
    <t>-645.341317862983 197.802168570023 -512.51464343116</t>
  </si>
  <si>
    <t>-490.164552012583 230.072697551462 -279.153592987082</t>
  </si>
  <si>
    <t>-258.276649892415 219.118750256047 -286.6735712488</t>
  </si>
  <si>
    <t>-601.660344004189 123.342220651066 -96.4887666987792</t>
  </si>
  <si>
    <t>-621.779474852878 139.094890696468 318.300007457922</t>
  </si>
  <si>
    <t>-669.062579997146 175.666855012872 777.665587515356</t>
  </si>
  <si>
    <t>-518.489047956372 177.098273355776 834.317060359574</t>
  </si>
  <si>
    <t>-602.17743496136 -74.0129306647414 323.565366373739</t>
  </si>
  <si>
    <t>-650.634846522799 -110.344325030084 782.501508597436</t>
  </si>
  <si>
    <t>-498.470148093768 -126.157599398424 832.297807902147</t>
  </si>
  <si>
    <t>9763-20170724T115354.560809100.bin</t>
  </si>
  <si>
    <t>-599.672510524992 30.8804640796754 -92.5256167227012</t>
  </si>
  <si>
    <t>-624.0581706124 27.7975271884188 -200.476334399206</t>
  </si>
  <si>
    <t>-640.364866350389 24.4195686626679 -291.846525016724</t>
  </si>
  <si>
    <t>-654.355938713991 21.0404094548503 -374.496157976143</t>
  </si>
  <si>
    <t>-667.049986225799 17.2895582223002 -457.338918983548</t>
  </si>
  <si>
    <t>-684.190704557747 11.3752814010904 -578.649078897487</t>
  </si>
  <si>
    <t>-683.821386472877 8.53816394326941 -656.956297759512</t>
  </si>
  <si>
    <t>-674.233595490391 45.1812444144982 -527.284995632579</t>
  </si>
  <si>
    <t>-645.00553643837 197.728037672427 -512.727876215866</t>
  </si>
  <si>
    <t>-489.826209553227 229.810186644931 -279.342523141491</t>
  </si>
  <si>
    <t>-257.919783719466 218.957158738682 -286.424538348757</t>
  </si>
  <si>
    <t>-601.614482799872 123.25871326754 -96.538302697501</t>
  </si>
  <si>
    <t>-621.896374392843 139.074071856659 318.240088799363</t>
  </si>
  <si>
    <t>-669.056917054314 175.651105638016 777.626874688599</t>
  </si>
  <si>
    <t>-518.477176106093 177.159765398538 834.259811578988</t>
  </si>
  <si>
    <t>-602.501931707543 -74.2819525992263 323.475814183459</t>
  </si>
  <si>
    <t>-650.895195207709 -110.30699264446 782.438959204985</t>
  </si>
  <si>
    <t>-498.575107310268 -125.921088075461 831.821344779185</t>
  </si>
  <si>
    <t>9763-20170724T115354.627994000.bin</t>
  </si>
  <si>
    <t>-600.163023447721 30.9008482284212 -92.7325661287198</t>
  </si>
  <si>
    <t>-624.20950027582 27.841374013884 -200.759853592811</t>
  </si>
  <si>
    <t>-640.333064928557 24.4730580042465 -292.16294760844</t>
  </si>
  <si>
    <t>-654.20015223551 21.1014039038068 -374.833834947929</t>
  </si>
  <si>
    <t>-666.811593264267 17.3576929234525 -457.6895534137</t>
  </si>
  <si>
    <t>-683.876937888786 11.4546652201634 -579.010807825153</t>
  </si>
  <si>
    <t>-683.482428157679 8.63645391651653 -657.318635399677</t>
  </si>
  <si>
    <t>-673.953175563888 45.2558924776333 -527.637379775705</t>
  </si>
  <si>
    <t>-644.643182924086 197.798360395529 -513.231101295092</t>
  </si>
  <si>
    <t>-489.42283435487 229.515936441718 -279.823253308328</t>
  </si>
  <si>
    <t>-257.489868415427 218.728612294262 -286.089430463762</t>
  </si>
  <si>
    <t>-601.756287595228 123.23949289327 -96.7344773871214</t>
  </si>
  <si>
    <t>-622.236754554032 139.186911764383 318.029057406158</t>
  </si>
  <si>
    <t>-669.058949610913 175.655042298237 777.47358861737</t>
  </si>
  <si>
    <t>-518.464132706083 177.124661393978 834.067475816385</t>
  </si>
  <si>
    <t>-603.708540055541 -74.600945947386 323.231367897374</t>
  </si>
  <si>
    <t>-651.68473373348 -110.174737445504 782.245462353529</t>
  </si>
  <si>
    <t>-498.935830927674 -125.572562296524 830.354757917683</t>
  </si>
  <si>
    <t>9763-20170724T115354.663083300.bin</t>
  </si>
  <si>
    <t>-600.519717101798 30.9829385533551 -92.8712284790169</t>
  </si>
  <si>
    <t>-624.395961010029 27.9383818279416 -200.936778844978</t>
  </si>
  <si>
    <t>-640.406132366511 24.581113355199 -292.360110529889</t>
  </si>
  <si>
    <t>-654.182751810851 21.2205536827566 -375.046647995994</t>
  </si>
  <si>
    <t>-666.71575725837 17.4885469102292 -457.914678688915</t>
  </si>
  <si>
    <t>-683.679469396139 11.6042849363848 -579.251183170728</t>
  </si>
  <si>
    <t>-683.249054147479 8.809713908709 -657.559620672679</t>
  </si>
  <si>
    <t>-673.799463232538 45.3976316169342 -527.864060036754</t>
  </si>
  <si>
    <t>-644.434210220806 197.939355417342 -513.552429824534</t>
  </si>
  <si>
    <t>-489.215488775117 229.419795967993 -280.111367402045</t>
  </si>
  <si>
    <t>-257.273606457361 218.603143426842 -285.983838996457</t>
  </si>
  <si>
    <t>-601.859294119253 123.293058915393 -96.8739158930455</t>
  </si>
  <si>
    <t>-622.489958889645 139.254336157116 317.881638758256</t>
  </si>
  <si>
    <t>-669.068658313574 175.627703012827 777.355552645331</t>
  </si>
  <si>
    <t>-518.468359062244 177.156396403795 833.933302858373</t>
  </si>
  <si>
    <t>-604.393342556471 -74.7092873757497 323.079373682885</t>
  </si>
  <si>
    <t>-652.04281090149 -110.093292749141 782.142464643038</t>
  </si>
  <si>
    <t>-499.090310021389 -125.323607648296 829.654499497229</t>
  </si>
  <si>
    <t>9763-20170724T115354.731796400.bin</t>
  </si>
  <si>
    <t>-601.042254936229 31.1635290579868 -93.1446873201046</t>
  </si>
  <si>
    <t>-624.593187973075 28.0896861229369 -201.280819771421</t>
  </si>
  <si>
    <t>-640.386066617838 24.7150256541599 -292.741254009021</t>
  </si>
  <si>
    <t>-653.989317260802 21.3432136130157 -375.455933867548</t>
  </si>
  <si>
    <t>-666.371690764342 17.6045684091066 -458.346415679627</t>
  </si>
  <si>
    <t>-683.140191821515 11.7157700437947 -579.70979046817</t>
  </si>
  <si>
    <t>-682.631069631639 8.97064554601138 -658.019497299</t>
  </si>
  <si>
    <t>-673.31671295747 45.5087318954861 -528.311641330012</t>
  </si>
  <si>
    <t>-643.761759050151 198.031635465644 -514.140335206284</t>
  </si>
  <si>
    <t>-488.415958816627 229.065456889168 -280.724088650372</t>
  </si>
  <si>
    <t>-256.458630481399 218.164337485842 -285.773247469546</t>
  </si>
  <si>
    <t>-602.126756644867 123.476852310561 -97.1761592347854</t>
  </si>
  <si>
    <t>-622.854954900967 139.458560864613 317.573752023647</t>
  </si>
  <si>
    <t>-669.081928300847 175.661295992269 777.102685978953</t>
  </si>
  <si>
    <t>-518.468648909989 177.166515861553 833.646482403492</t>
  </si>
  <si>
    <t>-605.350923162708 -74.7874400553624 322.821201566764</t>
  </si>
  <si>
    <t>-652.377968469819 -110.058730754571 782.009922009083</t>
  </si>
  <si>
    <t>-499.272611255833 -125.419019466723 828.984688609777</t>
  </si>
  <si>
    <t>9763-20170724T115354.762395400.bin</t>
  </si>
  <si>
    <t>-601.100024297217 31.3318292138724 -93.2225296119913</t>
  </si>
  <si>
    <t>-624.535803243942 28.2621042680703 -201.383801521066</t>
  </si>
  <si>
    <t>-640.260615951986 24.8925391700445 -292.856268670774</t>
  </si>
  <si>
    <t>-653.81420327076 21.5261634486278 -375.579170021716</t>
  </si>
  <si>
    <t>-666.158685097168 17.7939579864783 -458.475653774056</t>
  </si>
  <si>
    <t>-682.884752024282 11.9158488662799 -579.845415148326</t>
  </si>
  <si>
    <t>-682.345798079779 9.19450001283303 -658.155767341214</t>
  </si>
  <si>
    <t>-673.063479379721 45.7029916564304 -528.442892703864</t>
  </si>
  <si>
    <t>-643.40959904981 198.210816779715 -514.338331600113</t>
  </si>
  <si>
    <t>-487.921822097429 228.96845674368 -280.980172631919</t>
  </si>
  <si>
    <t>-255.956937349571 217.992832943395 -285.492256654638</t>
  </si>
  <si>
    <t>-602.131471261493 123.661674668497 -97.2772128030377</t>
  </si>
  <si>
    <t>-622.955660914791 139.635894256564 317.468232588913</t>
  </si>
  <si>
    <t>-669.082994790464 175.719960244107 776.997085865059</t>
  </si>
  <si>
    <t>-518.463227985842 177.092384957021 833.527017335167</t>
  </si>
  <si>
    <t>-605.47006213102 -74.6934956812981 322.772366007202</t>
  </si>
  <si>
    <t>-652.366185741844 -110.053309135664 782.020465877873</t>
  </si>
  <si>
    <t>-499.268466005511 -125.461577492561 829.004513143036</t>
  </si>
  <si>
    <t>9763-20170724T115354.827569300.bin</t>
  </si>
  <si>
    <t>-600.881601586299 31.6269884180772 -93.3072549526861</t>
  </si>
  <si>
    <t>-624.173686823405 28.5694274514462 -201.499869412411</t>
  </si>
  <si>
    <t>-639.837299841764 25.2175889155326 -292.983338275349</t>
  </si>
  <si>
    <t>-653.359622687296 21.8715748094423 -375.712349859263</t>
  </si>
  <si>
    <t>-665.696950202198 18.1637971843413 -458.611023931094</t>
  </si>
  <si>
    <t>-682.438986717578 12.326575581955 -579.980492355908</t>
  </si>
  <si>
    <t>-681.870159630141 9.63598807589005 -658.291661893482</t>
  </si>
  <si>
    <t>-672.586674503731 46.0943555326076 -528.571128770594</t>
  </si>
  <si>
    <t>-642.807733750167 198.586097642726 -514.567556806278</t>
  </si>
  <si>
    <t>-486.740019452904 228.756761326432 -281.520052710737</t>
  </si>
  <si>
    <t>-254.758677290658 217.751417618836 -284.99515695311</t>
  </si>
  <si>
    <t>-601.87401231586 123.941854486119 -97.3919545118788</t>
  </si>
  <si>
    <t>-622.953188595796 139.8450207083 317.343364516917</t>
  </si>
  <si>
    <t>-669.095743396626 175.674693102354 776.854012093139</t>
  </si>
  <si>
    <t>-518.472000089611 177.237816829559 833.368288471335</t>
  </si>
  <si>
    <t>-605.376145225346 -74.5686301092626 322.743554740601</t>
  </si>
  <si>
    <t>-652.30824959085 -110.10070345349 782.02434823758</t>
  </si>
  <si>
    <t>-499.246554261697 -125.538285511461 829.115995508772</t>
  </si>
  <si>
    <t>9763-20170724T115354.862679000.bin</t>
  </si>
  <si>
    <t>-600.69218062737 31.7967285736711 -93.3079375762266</t>
  </si>
  <si>
    <t>-623.942199530052 28.754701063227 -201.509915285098</t>
  </si>
  <si>
    <t>-639.610418887714 25.4249696910938 -292.99364069459</t>
  </si>
  <si>
    <t>-653.152923326295 22.1033277978722 -375.720342802242</t>
  </si>
  <si>
    <t>-665.526416736633 18.4245775638719 -458.614796335941</t>
  </si>
  <si>
    <t>-682.338873632707 12.6351326544323 -579.976861374665</t>
  </si>
  <si>
    <t>-681.784378673919 9.98348902436737 -658.28945826732</t>
  </si>
  <si>
    <t>-672.456973014808 46.382605169965 -528.559849794576</t>
  </si>
  <si>
    <t>-642.642612744256 198.869957404896 -514.56510572242</t>
  </si>
  <si>
    <t>-486.149406035849 228.712060688136 -281.760624682227</t>
  </si>
  <si>
    <t>-254.162293414112 217.680968331929 -284.72898325484</t>
  </si>
  <si>
    <t>-601.655100082277 124.100382121619 -97.4172803278544</t>
  </si>
  <si>
    <t>-622.857325609057 139.946622022773 317.313892460243</t>
  </si>
  <si>
    <t>-669.09262930899 175.663696517385 776.805826172766</t>
  </si>
  <si>
    <t>-518.469697382788 177.235404779218 833.322055687316</t>
  </si>
  <si>
    <t>-605.247423608343 -74.4912101298164 322.755310798042</t>
  </si>
  <si>
    <t>-652.288003945142 -110.096282701889 782.022967796401</t>
  </si>
  <si>
    <t>-499.220671200744 -125.385236796703 829.144706472076</t>
  </si>
  <si>
    <t>9763-20170724T115354.927840900.bin</t>
  </si>
  <si>
    <t>-600.240391721129 32.040683073948 -93.2951023993603</t>
  </si>
  <si>
    <t>-623.443845545244 29.0364871166757 -201.508183440218</t>
  </si>
  <si>
    <t>-639.171832925767 25.776872943469 -292.984079071664</t>
  </si>
  <si>
    <t>-652.80773655559 22.5359311130715 -375.698613523517</t>
  </si>
  <si>
    <t>-665.313911807486 18.9558241634843 -458.577643359874</t>
  </si>
  <si>
    <t>-682.363172222889 13.3311091178373 -579.914317975667</t>
  </si>
  <si>
    <t>-681.9108977272 10.7885507530855 -658.231382014956</t>
  </si>
  <si>
    <t>-672.369960995823 47.007762267197 -528.472464971025</t>
  </si>
  <si>
    <t>-642.467873268039 199.471875806168 -514.397868904647</t>
  </si>
  <si>
    <t>-484.981732956436 228.540535825381 -282.165859329075</t>
  </si>
  <si>
    <t>-252.993501170168 217.37674894427 -284.479303340341</t>
  </si>
  <si>
    <t>-601.082997413378 124.397774728697 -97.424982036536</t>
  </si>
  <si>
    <t>-622.666342694756 140.080045265088 317.2927823124</t>
  </si>
  <si>
    <t>-669.07350909904 175.701221906189 776.743403406935</t>
  </si>
  <si>
    <t>-518.45795100514 177.226044870147 833.280666230869</t>
  </si>
  <si>
    <t>-605.093506309406 -74.4525733931343 322.748072979621</t>
  </si>
  <si>
    <t>-652.323940866646 -110.076761520296 781.997409290314</t>
  </si>
  <si>
    <t>-499.252415182529 -125.472158890231 829.070879515768</t>
  </si>
  <si>
    <t>9763-20170724T115354.961938300.bin</t>
  </si>
  <si>
    <t>-599.987740939766 32.1698301076572 -93.2820973605451</t>
  </si>
  <si>
    <t>-623.158593403943 29.1844061651684 -201.502701626181</t>
  </si>
  <si>
    <t>-638.901578804499 25.9719105975232 -292.977635103653</t>
  </si>
  <si>
    <t>-652.567808077722 22.786746938616 -375.689417041588</t>
  </si>
  <si>
    <t>-665.120863462542 19.2762673666084 -458.56423218722</t>
  </si>
  <si>
    <t>-682.256751720588 13.7682702856321 -579.894131371886</t>
  </si>
  <si>
    <t>-681.882204244462 11.2977100588976 -658.213780323465</t>
  </si>
  <si>
    <t>-672.216443796813 47.3945415044898 -528.428502239019</t>
  </si>
  <si>
    <t>-642.236814685896 199.830877449001 -514.245607961836</t>
  </si>
  <si>
    <t>-484.32332755013 228.519109830017 -282.256641857332</t>
  </si>
  <si>
    <t>-252.330525700375 217.434907394699 -284.494725535005</t>
  </si>
  <si>
    <t>-600.755264209973 124.483812722481 -97.4067060319442</t>
  </si>
  <si>
    <t>-622.55593254418 140.131802114243 317.301039646255</t>
  </si>
  <si>
    <t>-669.08480935168 175.647542903856 776.729790225784</t>
  </si>
  <si>
    <t>-518.471736435265 177.267341636738 833.270962832325</t>
  </si>
  <si>
    <t>-605.035892877181 -74.4118075619135 322.742987560009</t>
  </si>
  <si>
    <t>-652.363384438309 -110.082006912724 781.98061133316</t>
  </si>
  <si>
    <t>-499.293833313469 -125.681020398537 828.993464172747</t>
  </si>
  <si>
    <t>9763-20170724T115355.027110100.bin</t>
  </si>
  <si>
    <t>-599.463759390221 32.3167670733758 -93.282428654962</t>
  </si>
  <si>
    <t>-622.562355477026 29.4056887587155 -201.520507152766</t>
  </si>
  <si>
    <t>-638.34052893133 26.3130275342298 -292.993593239431</t>
  </si>
  <si>
    <t>-652.076521423391 23.2615038893628 -375.698746874412</t>
  </si>
  <si>
    <t>-664.737052335174 19.9102900256405 -458.563797912134</t>
  </si>
  <si>
    <t>-682.071061879496 14.6644352215678 -579.877167987436</t>
  </si>
  <si>
    <t>-681.914286711731 12.3769770941062 -658.203085310265</t>
  </si>
  <si>
    <t>-671.932141193401 48.1781712625568 -528.35737805659</t>
  </si>
  <si>
    <t>-641.824793249953 200.571612011262 -513.99084007121</t>
  </si>
  <si>
    <t>-483.107855728864 228.40882295597 -282.446826115148</t>
  </si>
  <si>
    <t>-251.106106915938 217.406949227747 -284.078892256855</t>
  </si>
  <si>
    <t>-600.021404779201 124.636500485082 -97.3724199599222</t>
  </si>
  <si>
    <t>-622.259510481626 140.237713788582 317.31387661195</t>
  </si>
  <si>
    <t>-669.057489843519 175.721017273848 776.694129393389</t>
  </si>
  <si>
    <t>-518.452423322275 177.235900508352 833.259400594472</t>
  </si>
  <si>
    <t>-605.021520997951 -74.4058737711598 322.70593052866</t>
  </si>
  <si>
    <t>-652.474199802518 -110.07592471285 781.929292404539</t>
  </si>
  <si>
    <t>-499.383951900417 -125.98009242695 828.772132670556</t>
  </si>
  <si>
    <t>9763-20170724T115355.064806600.bin</t>
  </si>
  <si>
    <t>-599.213983091823 32.2622122880798 -93.2812719739494</t>
  </si>
  <si>
    <t>-622.280996055596 29.3948974509301 -201.527264941791</t>
  </si>
  <si>
    <t>-638.079146239784 26.3778194796171 -292.99942106621</t>
  </si>
  <si>
    <t>-651.851351410871 23.4120841234981 -375.70173818701</t>
  </si>
  <si>
    <t>-664.566131799257 20.1640001887406 -458.562523996247</t>
  </si>
  <si>
    <t>-681.998928374599 15.0883728577815 -579.869022604088</t>
  </si>
  <si>
    <t>-681.965603205805 12.9161696779331 -658.198449333042</t>
  </si>
  <si>
    <t>-671.801570217596 48.528313156115 -528.312940939924</t>
  </si>
  <si>
    <t>-641.554911159226 200.880378165265 -513.83687664153</t>
  </si>
  <si>
    <t>-482.525376006121 228.423145545281 -282.472294111045</t>
  </si>
  <si>
    <t>-250.519436903537 217.468430129225 -283.803503904212</t>
  </si>
  <si>
    <t>-599.641276298715 124.571567643428 -97.3583372124704</t>
  </si>
  <si>
    <t>-622.107202871602 140.151094845427 317.316411680579</t>
  </si>
  <si>
    <t>-669.072754960592 175.606166049345 776.678467395858</t>
  </si>
  <si>
    <t>-518.474488569142 177.429250025631 833.252826534924</t>
  </si>
  <si>
    <t>-605.023164939968 -74.4440558616016 322.692563794923</t>
  </si>
  <si>
    <t>-652.505684364035 -110.081045807244 781.914023113879</t>
  </si>
  <si>
    <t>-499.409260400417 -126.061091192254 828.710868353106</t>
  </si>
  <si>
    <t>9763-20170724T115355.129978000.bin</t>
  </si>
  <si>
    <t>-598.820442206928 32.2067542233017 -93.2911036095343</t>
  </si>
  <si>
    <t>-621.814231537485 29.4506493516287 -201.555565638217</t>
  </si>
  <si>
    <t>-637.642473183074 26.5859792385706 -293.027336375367</t>
  </si>
  <si>
    <t>-651.477961141919 23.7854031232096 -375.724754176318</t>
  </si>
  <si>
    <t>-664.291812436882 20.7299477763647 -458.577739285485</t>
  </si>
  <si>
    <t>-681.908362511494 15.9667598169385 -579.870416142309</t>
  </si>
  <si>
    <t>-682.101711449238 14.0107496968849 -658.205264022202</t>
  </si>
  <si>
    <t>-671.59606783837 49.2705060700998 -528.24904802198</t>
  </si>
  <si>
    <t>-641.122837522338 201.561270613611 -513.532476082945</t>
  </si>
  <si>
    <t>-481.532481547006 228.189511328755 -282.447280704813</t>
  </si>
  <si>
    <t>-249.521727992847 217.280834820886 -283.181828046308</t>
  </si>
  <si>
    <t>-598.957127812185 124.573532824764 -97.3378781788257</t>
  </si>
  <si>
    <t>-621.866876949532 140.135470331832 317.313221682023</t>
  </si>
  <si>
    <t>-669.031424682339 175.693629386824 776.643960934728</t>
  </si>
  <si>
    <t>-518.449617883171 177.260266590101 833.269822402991</t>
  </si>
  <si>
    <t>-605.090092570082 -74.5397205550614 322.658445280318</t>
  </si>
  <si>
    <t>-652.560922450561 -110.076856576276 781.891697313261</t>
  </si>
  <si>
    <t>-499.422729194773 -125.956911942242 828.585770768352</t>
  </si>
  <si>
    <t>9763-20170724T115355.161622200.bin</t>
  </si>
  <si>
    <t>-598.658131061238 32.1635240207495 -93.2962696337549</t>
  </si>
  <si>
    <t>-621.602490023526 29.4491038982258 -201.572212451494</t>
  </si>
  <si>
    <t>-637.440889464974 26.6582132461735 -293.044574101325</t>
  </si>
  <si>
    <t>-651.305981541397 23.94145224967 -375.739826862814</t>
  </si>
  <si>
    <t>-664.16961865941 20.9869106483748 -458.588770793845</t>
  </si>
  <si>
    <t>-681.880811614271 16.3908403425269 -579.873911985597</t>
  </si>
  <si>
    <t>-682.168763739906 14.5383058587502 -658.211034793158</t>
  </si>
  <si>
    <t>-671.504549073733 49.6213804461995 -528.218292488361</t>
  </si>
  <si>
    <t>-640.881495925079 201.867720224672 -513.339338304201</t>
  </si>
  <si>
    <t>-481.005730336823 228.010152715274 -282.395941237894</t>
  </si>
  <si>
    <t>-248.998425623932 217.01413146533 -282.884362197327</t>
  </si>
  <si>
    <t>-598.66201491091 124.514820397087 -97.3279409564772</t>
  </si>
  <si>
    <t>-621.756747063645 140.099119177615 317.312154690747</t>
  </si>
  <si>
    <t>-669.020676798531 175.690917976502 776.624194218984</t>
  </si>
  <si>
    <t>-518.447942120074 177.256226619944 833.274068176837</t>
  </si>
  <si>
    <t>-605.175641678788 -74.6328145333791 322.635483359736</t>
  </si>
  <si>
    <t>-652.587040409824 -110.11272751276 781.887292570642</t>
  </si>
  <si>
    <t>-499.449356488012 -126.121313659428 828.539173242158</t>
  </si>
  <si>
    <t>9763-20170724T115355.229824400.bin</t>
  </si>
  <si>
    <t>-598.421810326842 31.9088669517266 -93.3154158873447</t>
  </si>
  <si>
    <t>-621.265501531551 29.2636545085334 -201.614404247235</t>
  </si>
  <si>
    <t>-637.122241959402 26.6090547249794 -293.087619460835</t>
  </si>
  <si>
    <t>-651.044642669902 24.0494372892847 -375.778352517258</t>
  </si>
  <si>
    <t>-664.005846018539 21.2863451317035 -458.618664271702</t>
  </si>
  <si>
    <t>-681.903528712794 17.0079179865179 -579.888060238853</t>
  </si>
  <si>
    <t>-682.340732649968 15.3400150080081 -658.228629239934</t>
  </si>
  <si>
    <t>-671.390115362426 50.097652052533 -528.16989499871</t>
  </si>
  <si>
    <t>-640.368954542646 202.228990584281 -512.967023511124</t>
  </si>
  <si>
    <t>-480.415759539029 227.433208148046 -281.973005016462</t>
  </si>
  <si>
    <t>-248.429567784301 215.99129704526 -281.824724273104</t>
  </si>
  <si>
    <t>-598.144639738308 124.170448453618 -97.3225841657678</t>
  </si>
  <si>
    <t>-621.621856936589 139.882347928622 317.291168185173</t>
  </si>
  <si>
    <t>-669.028219056398 175.599613863903 776.574805524289</t>
  </si>
  <si>
    <t>-518.47474613227 177.318043498071 833.271613335636</t>
  </si>
  <si>
    <t>-605.387555562324 -75.0077785514472 322.582276412714</t>
  </si>
  <si>
    <t>-652.698066773395 -110.151334840915 781.867418730143</t>
  </si>
  <si>
    <t>-499.524449297707 -126.353577987932 828.334127497473</t>
  </si>
  <si>
    <t>9763-20170724T115355.261905500.bin</t>
  </si>
  <si>
    <t>-598.358298174205 31.7355268463893 -93.3412608493211</t>
  </si>
  <si>
    <t>-621.153354475553 29.1145594770769 -201.650971008924</t>
  </si>
  <si>
    <t>-636.997184498993 26.5152305214683 -293.128063706541</t>
  </si>
  <si>
    <t>-650.918601836143 24.0210858123578 -375.820918182744</t>
  </si>
  <si>
    <t>-663.889584545296 21.3382646258515 -458.662359088889</t>
  </si>
  <si>
    <t>-681.813060104661 17.1938682360317 -579.932659601835</t>
  </si>
  <si>
    <t>-682.285143331733 15.5984784584059 -658.274635309365</t>
  </si>
  <si>
    <t>-671.26855053342 50.2245841155136 -528.182983981082</t>
  </si>
  <si>
    <t>-640.127727372579 202.318564209943 -512.833832051803</t>
  </si>
  <si>
    <t>-480.158629991074 226.963318338843 -281.790301504042</t>
  </si>
  <si>
    <t>-248.176378752087 215.452120575933 -281.283422645046</t>
  </si>
  <si>
    <t>-597.931236795275 124.006718288116 -97.3419886201694</t>
  </si>
  <si>
    <t>-621.570212365061 139.767870421818 317.260696595857</t>
  </si>
  <si>
    <t>-668.993870236718 175.724509400611 776.528457270368</t>
  </si>
  <si>
    <t>-518.453862450268 177.298035333545 833.265257266276</t>
  </si>
  <si>
    <t>-605.59182295044 -75.3014335442117 322.529871874553</t>
  </si>
  <si>
    <t>-652.782097921781 -110.179980419945 781.846717328831</t>
  </si>
  <si>
    <t>-499.576097805379 -126.484860225013 828.170561477345</t>
  </si>
  <si>
    <t>9763-20170724T115355.331083000.bin</t>
  </si>
  <si>
    <t>-598.281455378675 31.3287304384551 -93.4345702233694</t>
  </si>
  <si>
    <t>-620.908415569083 28.7636064041558 -201.780962995837</t>
  </si>
  <si>
    <t>-636.68832072243 26.2612072823877 -293.271697063564</t>
  </si>
  <si>
    <t>-650.582727266144 23.8773792147467 -375.972342595715</t>
  </si>
  <si>
    <t>-663.557172352027 21.3270002877282 -458.817384450102</t>
  </si>
  <si>
    <t>-681.518764328259 17.4016157539384 -580.089378201372</t>
  </si>
  <si>
    <t>-682.043451540018 15.9109555978878 -658.433049925635</t>
  </si>
  <si>
    <t>-670.900001696787 50.3335090974663 -528.291989676182</t>
  </si>
  <si>
    <t>-639.321731076471 202.303684674217 -512.62985465861</t>
  </si>
  <si>
    <t>-480.054839049857 226.050884301744 -281.007899265176</t>
  </si>
  <si>
    <t>-248.128813833354 213.520548873623 -279.655073842263</t>
  </si>
  <si>
    <t>-597.458468314278 123.662364068717 -97.414430256545</t>
  </si>
  <si>
    <t>-621.490689957422 139.561370258869 317.160387927349</t>
  </si>
  <si>
    <t>-668.987003392033 175.752340520051 776.405456020059</t>
  </si>
  <si>
    <t>-518.480401819939 177.424522907231 833.227807421948</t>
  </si>
  <si>
    <t>-606.155602883812 -75.7958303187825 322.410136420766</t>
  </si>
  <si>
    <t>-652.994291445495 -110.191322278183 781.803772322013</t>
  </si>
  <si>
    <t>-499.677582674501 -126.541173676576 827.743831583795</t>
  </si>
  <si>
    <t>9763-20170724T115355.363996900.bin</t>
  </si>
  <si>
    <t>-598.22440159495 31.0185377312339 -93.4994287740109</t>
  </si>
  <si>
    <t>-620.751758366819 28.5038701776764 -201.867822324662</t>
  </si>
  <si>
    <t>-636.481183949659 26.0406164510377 -293.368240225135</t>
  </si>
  <si>
    <t>-650.343438114055 23.6926643741833 -376.075405756015</t>
  </si>
  <si>
    <t>-663.299091767183 21.1784986697489 -458.924431897424</t>
  </si>
  <si>
    <t>-681.247975549934 17.3065447653198 -580.200006781338</t>
  </si>
  <si>
    <t>-681.785674377505 15.8369087648246 -658.543859274666</t>
  </si>
  <si>
    <t>-670.60630075335 50.212850185346 -528.391064815067</t>
  </si>
  <si>
    <t>-638.852083760771 202.140692845155 -512.676741396282</t>
  </si>
  <si>
    <t>-480.284627090653 225.516757585596 -280.537692750411</t>
  </si>
  <si>
    <t>-248.419135106546 212.053782413023 -278.15455559662</t>
  </si>
  <si>
    <t>-597.160403236886 123.378636527633 -97.4564060389428</t>
  </si>
  <si>
    <t>-621.433426851973 139.410172582056 317.099338056179</t>
  </si>
  <si>
    <t>-669.013676155723 175.686334509441 776.335293958903</t>
  </si>
  <si>
    <t>-518.522439919241 177.422725908011 833.196589018979</t>
  </si>
  <si>
    <t>-606.422137352923 -76.0562215373777 322.331849208166</t>
  </si>
  <si>
    <t>-653.091055388264 -110.194535156732 781.772860840101</t>
  </si>
  <si>
    <t>-499.717893365244 -126.473505845785 827.549388902429</t>
  </si>
  <si>
    <t>9763-20170724T115355.429169800.bin</t>
  </si>
  <si>
    <t>-598.423061235084 30.4560038007651 -93.6011799414297</t>
  </si>
  <si>
    <t>-620.805972605266 28.0165604044028 -202.001137753977</t>
  </si>
  <si>
    <t>-636.422733178694 25.6144588429613 -293.52262449658</t>
  </si>
  <si>
    <t>-650.186685678983 23.3234748900934 -376.247689032707</t>
  </si>
  <si>
    <t>-663.047446803797 20.8673288431971 -459.113298914375</t>
  </si>
  <si>
    <t>-680.861309878928 17.081586954409 -580.411457751277</t>
  </si>
  <si>
    <t>-681.328045724836 15.6340227164462 -658.756251607703</t>
  </si>
  <si>
    <t>-670.253975660837 49.9488253520424 -528.570794287476</t>
  </si>
  <si>
    <t>-638.168522149344 201.79437547148 -512.727238354422</t>
  </si>
  <si>
    <t>-481.111992644613 223.830245994852 -279.432981027</t>
  </si>
  <si>
    <t>-249.339292548556 209.393384707027 -274.793264998759</t>
  </si>
  <si>
    <t>-597.14182036689 123.051851541715 -97.5741913350488</t>
  </si>
  <si>
    <t>-621.517727576123 139.072032985101 316.975894828463</t>
  </si>
  <si>
    <t>-669.034410315845 175.707400053153 776.197332587344</t>
  </si>
  <si>
    <t>-518.5639815116 177.391658195922 833.115103013558</t>
  </si>
  <si>
    <t>-606.915169728009 -76.4903015958521 322.214217162715</t>
  </si>
  <si>
    <t>-653.193237838828 -110.198712716931 781.745140410033</t>
  </si>
  <si>
    <t>-499.771029306864 -126.626042203432 827.303852707702</t>
  </si>
  <si>
    <t>9763-20170724T115355.460886600.bin</t>
  </si>
  <si>
    <t>-598.614254397482 30.2804235226845 -93.6663928294225</t>
  </si>
  <si>
    <t>-620.969319514946 27.839058876541 -202.072102912867</t>
  </si>
  <si>
    <t>-636.524743800092 25.4377253548287 -293.604059965706</t>
  </si>
  <si>
    <t>-650.218120981176 23.1479215540478 -376.340905156542</t>
  </si>
  <si>
    <t>-662.992918839152 20.6934561503106 -459.219823053299</t>
  </si>
  <si>
    <t>-680.664204343815 16.9102501328998 -580.539031541806</t>
  </si>
  <si>
    <t>-681.037180935445 15.4539875991211 -658.884079067644</t>
  </si>
  <si>
    <t>-670.10422817719 49.7751783383144 -528.686882380748</t>
  </si>
  <si>
    <t>-637.872627954083 201.58040896121 -512.762655163776</t>
  </si>
  <si>
    <t>-481.671839333526 223.141828771243 -278.850340852397</t>
  </si>
  <si>
    <t>-250.013532962115 207.434541120495 -272.829543886854</t>
  </si>
  <si>
    <t>-597.317140162409 122.945386119566 -97.6411573992251</t>
  </si>
  <si>
    <t>-621.629703253199 139.025624402107 316.910319762052</t>
  </si>
  <si>
    <t>-669.041302347639 175.739494882564 776.138891309758</t>
  </si>
  <si>
    <t>-518.572362118803 177.388837741064 833.061682087363</t>
  </si>
  <si>
    <t>-607.052680838738 -76.5708893790054 322.175904619492</t>
  </si>
  <si>
    <t>-653.195115868849 -110.221206419026 781.737843923887</t>
  </si>
  <si>
    <t>-499.783095384738 -126.770414129118 827.286695786402</t>
  </si>
  <si>
    <t>9763-20170724T115355.534086400.bin</t>
  </si>
  <si>
    <t>-598.997021692895 30.3458204435221 -93.7335435034747</t>
  </si>
  <si>
    <t>-621.285603280359 27.8420079830423 -202.151537226259</t>
  </si>
  <si>
    <t>-636.729317793873 25.4036545162314 -293.701400058189</t>
  </si>
  <si>
    <t>-650.299361032107 23.0846799264123 -376.457726269941</t>
  </si>
  <si>
    <t>-662.928114582475 20.6050938215171 -459.358239427193</t>
  </si>
  <si>
    <t>-680.360919234992 16.7892027812136 -580.710885519757</t>
  </si>
  <si>
    <t>-680.475216254863 15.2906153484928 -659.055996931304</t>
  </si>
  <si>
    <t>-669.906734206773 49.6684476127962 -528.846592211181</t>
  </si>
  <si>
    <t>-637.618179085345 201.454238826677 -512.851549334541</t>
  </si>
  <si>
    <t>-482.479474393574 221.781611141203 -278.123271216458</t>
  </si>
  <si>
    <t>-251.01319438477 204.331283569288 -269.915287006646</t>
  </si>
  <si>
    <t>-597.909263036843 123.001989295194 -97.7381043399719</t>
  </si>
  <si>
    <t>-621.961696760972 139.077830472385 316.828704650384</t>
  </si>
  <si>
    <t>-669.093537313398 175.729953033531 776.080370520597</t>
  </si>
  <si>
    <t>-518.612850663365 177.482887463038 832.969046664111</t>
  </si>
  <si>
    <t>-606.98454360175 -76.5090848756217 322.154665226817</t>
  </si>
  <si>
    <t>-653.06259368394 -110.199528229017 781.757219561953</t>
  </si>
  <si>
    <t>-499.713777174574 -126.852124699258 827.480899139621</t>
  </si>
  <si>
    <t>9763-20170724T115355.561160700.bin</t>
  </si>
  <si>
    <t>-599.117559270035 30.47890418624 -93.7379564605171</t>
  </si>
  <si>
    <t>-621.391233867063 27.9504910845228 -202.158314137756</t>
  </si>
  <si>
    <t>-636.795688806219 25.48824666154 -293.714219355394</t>
  </si>
  <si>
    <t>-650.319593658586 23.1453594781447 -376.47743869315</t>
  </si>
  <si>
    <t>-662.891654291658 20.6390970223802 -459.385757214269</t>
  </si>
  <si>
    <t>-680.22988006511 16.7811247015679 -580.750577504218</t>
  </si>
  <si>
    <t>-680.202094351156 15.2403856495216 -659.094981740496</t>
  </si>
  <si>
    <t>-669.815338434818 49.6783136431504 -528.889735534114</t>
  </si>
  <si>
    <t>-637.498027115518 201.454098600688 -512.835828789932</t>
  </si>
  <si>
    <t>-482.703155058218 221.431363666685 -277.850691056297</t>
  </si>
  <si>
    <t>-251.307539667577 203.284849562073 -269.172271543468</t>
  </si>
  <si>
    <t>-598.13539740177 123.131447532715 -97.7540116219038</t>
  </si>
  <si>
    <t>-622.129834604129 139.232409784617 316.815166992968</t>
  </si>
  <si>
    <t>-669.113160571763 175.742737988052 776.080117918491</t>
  </si>
  <si>
    <t>-518.621298639363 177.387798823233 832.942332066253</t>
  </si>
  <si>
    <t>-606.918487140114 -76.4095230517369 322.172591131679</t>
  </si>
  <si>
    <t>-653.031657233389 -110.217455582559 781.760516554331</t>
  </si>
  <si>
    <t>-499.708550312343 -126.993218168094 827.525400862131</t>
  </si>
  <si>
    <t>9763-20170724T115355.632854800.bin</t>
  </si>
  <si>
    <t>-599.243797718987 30.7597353495307 -93.7386294575375</t>
  </si>
  <si>
    <t>-621.51431761448 28.2145878979215 -202.159360841854</t>
  </si>
  <si>
    <t>-636.845330776975 25.6666596594323 -293.725148515477</t>
  </si>
  <si>
    <t>-650.275272776609 23.2161606672703 -376.500631316648</t>
  </si>
  <si>
    <t>-662.725984581797 20.5718627359643 -459.422893700116</t>
  </si>
  <si>
    <t>-679.857343795138 16.477639068941 -580.809457076244</t>
  </si>
  <si>
    <t>-679.595649065113 14.7699684922661 -659.149895549956</t>
  </si>
  <si>
    <t>-669.522634223208 49.4747930558121 -528.996160957731</t>
  </si>
  <si>
    <t>-637.199742732843 201.267297717871 -513.091796196151</t>
  </si>
  <si>
    <t>-483.178426164074 221.130516513503 -277.589097209703</t>
  </si>
  <si>
    <t>-251.977648990159 201.247190317986 -267.620598303409</t>
  </si>
  <si>
    <t>-598.289652647637 123.349876111081 -97.7728308737695</t>
  </si>
  <si>
    <t>-622.310357382439 139.388581343278 316.797258160427</t>
  </si>
  <si>
    <t>-669.141931710122 175.73863761373 776.08062771938</t>
  </si>
  <si>
    <t>-518.638768945135 177.450188070427 832.910979172612</t>
  </si>
  <si>
    <t>-606.665379239944 -76.2104216498137 322.190714602134</t>
  </si>
  <si>
    <t>-652.959498694928 -110.175855980879 781.752672732343</t>
  </si>
  <si>
    <t>-499.648912772081 -126.854571383724 827.594867536987</t>
  </si>
  <si>
    <t>9763-20170724T115355.660206300.bin</t>
  </si>
  <si>
    <t>-599.270647201115 30.9178398421195 -93.7263393951504</t>
  </si>
  <si>
    <t>-621.539067919947 28.3841477876108 -202.147729234303</t>
  </si>
  <si>
    <t>-636.842424792165 25.7735846902012 -293.716375304648</t>
  </si>
  <si>
    <t>-650.237649221306 23.2378587376286 -376.494900442784</t>
  </si>
  <si>
    <t>-662.644448177683 20.4786252813935 -459.420167760924</t>
  </si>
  <si>
    <t>-679.701870898073 16.183936305313 -580.81004119434</t>
  </si>
  <si>
    <t>-679.365146368247 14.3269137099007 -659.146767397519</t>
  </si>
  <si>
    <t>-669.37207590519 49.2641506833018 -529.048573129581</t>
  </si>
  <si>
    <t>-636.950847676184 201.05098584141 -513.278728656894</t>
  </si>
  <si>
    <t>-483.49751265329 220.935281112829 -277.407381577826</t>
  </si>
  <si>
    <t>-252.395279999543 200.289159600752 -266.728815660027</t>
  </si>
  <si>
    <t>-598.25834569287 123.482022438964 -97.7645661402516</t>
  </si>
  <si>
    <t>-622.339837974097 139.4213913595 316.805856729878</t>
  </si>
  <si>
    <t>-669.164331327576 175.700705655251 776.088804385372</t>
  </si>
  <si>
    <t>-518.661976257794 177.411042617999 832.9213537649</t>
  </si>
  <si>
    <t>-606.492710124396 -76.0883837814561 322.210536655431</t>
  </si>
  <si>
    <t>-652.935787041774 -110.171148778733 781.748651837306</t>
  </si>
  <si>
    <t>-499.654916611942 -127.055985640052 827.614770576109</t>
  </si>
  <si>
    <t>9763-20170724T115355.731394000.bin</t>
  </si>
  <si>
    <t>-598.985109333741 31.057168533609 -93.7164426055489</t>
  </si>
  <si>
    <t>-621.266163349517 28.5622800401236 -202.136200116222</t>
  </si>
  <si>
    <t>-636.503905753472 25.8386236170413 -293.712442017666</t>
  </si>
  <si>
    <t>-649.810614511912 23.1431369991064 -376.500056676362</t>
  </si>
  <si>
    <t>-662.100510507701 20.1648032912801 -459.435178638736</t>
  </si>
  <si>
    <t>-678.95677302614 15.4840272411607 -580.838905965246</t>
  </si>
  <si>
    <t>-678.505064915803 13.3245434380287 -659.167378988168</t>
  </si>
  <si>
    <t>-668.653455508199 48.7226601335162 -529.173970824946</t>
  </si>
  <si>
    <t>-635.949538189021 200.475524982444 -513.751738910722</t>
  </si>
  <si>
    <t>-483.572870533754 219.957893809258 -277.149965816888</t>
  </si>
  <si>
    <t>-252.881310597259 196.351114833803 -264.0101829752</t>
  </si>
  <si>
    <t>-597.740635725544 123.610130787228 -97.7223105044585</t>
  </si>
  <si>
    <t>-622.132594824778 139.512287851559 316.83140105897</t>
  </si>
  <si>
    <t>-669.193452618978 175.680948486384 776.086524291904</t>
  </si>
  <si>
    <t>-518.697608979443 177.517443914732 832.932307303784</t>
  </si>
  <si>
    <t>-606.310096837575 -75.9025692699709 322.226193954801</t>
  </si>
  <si>
    <t>-652.837075223062 -110.152976803123 781.753830934836</t>
  </si>
  <si>
    <t>-499.574993747992 -126.900364478077 827.733002143961</t>
  </si>
  <si>
    <t>9763-20170724T115355.764487500.bin</t>
  </si>
  <si>
    <t>-598.755839585931 31.1367568488249 -93.7047096291723</t>
  </si>
  <si>
    <t>-620.987907747546 28.6655069595265 -202.135003125647</t>
  </si>
  <si>
    <t>-636.163210072984 25.884285152644 -293.719963315504</t>
  </si>
  <si>
    <t>-649.405926176802 23.1059838337869 -376.515123216162</t>
  </si>
  <si>
    <t>-661.624586920133 20.0135800226465 -459.456547394558</t>
  </si>
  <si>
    <t>-678.369321053 15.131156642736 -580.867924005465</t>
  </si>
  <si>
    <t>-677.848005537192 12.832603364843 -659.192013218581</t>
  </si>
  <si>
    <t>-668.07314056345 48.4516204591662 -529.254098341236</t>
  </si>
  <si>
    <t>-635.15128830059 200.181515860459 -514.031478385523</t>
  </si>
  <si>
    <t>-483.314193526733 219.0310687331 -277.031913897519</t>
  </si>
  <si>
    <t>-252.799973879895 194.390917321126 -262.728576827992</t>
  </si>
  <si>
    <t>-597.406352245656 123.728674692165 -97.7097608983514</t>
  </si>
  <si>
    <t>-621.962051753359 139.626347906524 316.834447885865</t>
  </si>
  <si>
    <t>-669.189623821818 175.767959141006 776.083395841525</t>
  </si>
  <si>
    <t>-518.697576122743 177.344507499899 832.947138584971</t>
  </si>
  <si>
    <t>-606.265627412746 -75.8829952967419 322.236258173799</t>
  </si>
  <si>
    <t>-652.812067472013 -110.132066039294 781.765382554396</t>
  </si>
  <si>
    <t>-499.544363604171 -126.782617005548 827.760927567049</t>
  </si>
  <si>
    <t>9763-20170724T115355.828671200.bin</t>
  </si>
  <si>
    <t>-598.411235633427 31.1819909190588 -93.7096690708495</t>
  </si>
  <si>
    <t>-620.488063627558 28.7445440396707 -202.172481198598</t>
  </si>
  <si>
    <t>-635.530493686697 25.8713703747064 -293.776578345792</t>
  </si>
  <si>
    <t>-648.65357252919 22.9637893408401 -376.586446955642</t>
  </si>
  <si>
    <t>-660.753751657647 19.69420012707 -459.538437630783</t>
  </si>
  <si>
    <t>-677.32725640345 14.5004786887669 -580.960171702193</t>
  </si>
  <si>
    <t>-676.709798995559 11.945913851255 -659.275628030009</t>
  </si>
  <si>
    <t>-667.030744476482 47.9456343010231 -529.427231019166</t>
  </si>
  <si>
    <t>-633.715251870502 199.615876074793 -514.58015414126</t>
  </si>
  <si>
    <t>-483.053984390641 217.754937432971 -276.776242694297</t>
  </si>
  <si>
    <t>-252.893485281472 190.946511158378 -260.776861453443</t>
  </si>
  <si>
    <t>-596.871407895763 123.894821668493 -97.7201688963969</t>
  </si>
  <si>
    <t>-621.734513679252 139.816306864716 316.804754462456</t>
  </si>
  <si>
    <t>-669.212866000651 175.795288506343 776.056844227536</t>
  </si>
  <si>
    <t>-518.737284567065 177.493966075982 832.96057203464</t>
  </si>
  <si>
    <t>-606.285763549016 -76.1086560545182 322.222616218708</t>
  </si>
  <si>
    <t>-652.816255404655 -110.134874776781 781.762596383899</t>
  </si>
  <si>
    <t>-499.554399646035 -126.972583480693 827.709513874314</t>
  </si>
  <si>
    <t>9763-20170724T115355.861432200.bin</t>
  </si>
  <si>
    <t>-598.337503898561 31.1169670951326 -93.7235481776781</t>
  </si>
  <si>
    <t>-620.332166796455 28.6866576022967 -202.203150977193</t>
  </si>
  <si>
    <t>-635.312959263491 25.7821206262327 -293.816333659997</t>
  </si>
  <si>
    <t>-648.383636856034 22.8323554917047 -376.632990369216</t>
  </si>
  <si>
    <t>-660.434827563242 19.5066252494812 -459.589965178901</t>
  </si>
  <si>
    <t>-676.94072235588 14.2156119157335 -581.016696027382</t>
  </si>
  <si>
    <t>-676.278672904226 11.5718536919862 -659.32884511894</t>
  </si>
  <si>
    <t>-666.668078200895 47.7015632460607 -529.505543323841</t>
  </si>
  <si>
    <t>-633.283117678191 199.373981207668 -514.790336799918</t>
  </si>
  <si>
    <t>-483.039952560066 217.264335725464 -276.703177027524</t>
  </si>
  <si>
    <t>-252.953343572281 190.099658751861 -260.248144142517</t>
  </si>
  <si>
    <t>-596.671269112788 123.958019363246 -97.7458714892809</t>
  </si>
  <si>
    <t>-621.640684649543 139.906919177328 316.771589764805</t>
  </si>
  <si>
    <t>-669.231511295217 175.775732320782 776.0283442189</t>
  </si>
  <si>
    <t>-518.762104775235 177.491549759321 832.947800648463</t>
  </si>
  <si>
    <t>-606.389634304089 -76.2926289228849 322.195609820485</t>
  </si>
  <si>
    <t>-652.833384034641 -110.120868262267 781.760042804107</t>
  </si>
  <si>
    <t>-499.559075954322 -127.004519811319 827.648545428243</t>
  </si>
  <si>
    <t>9763-20170724T115355.931622000.bin</t>
  </si>
  <si>
    <t>-598.101818786333 30.9902665470736 -93.7744474036817</t>
  </si>
  <si>
    <t>-619.93816338566 28.5486918105903 -202.285759448279</t>
  </si>
  <si>
    <t>-634.802726389778 25.5895278121754 -293.916087287166</t>
  </si>
  <si>
    <t>-647.775553762493 22.5728776073315 -376.745648798902</t>
  </si>
  <si>
    <t>-659.736117965241 19.1635272833105 -459.712423834877</t>
  </si>
  <si>
    <t>-676.117397298405 13.732735309502 -581.149871244128</t>
  </si>
  <si>
    <t>-675.310217910079 10.9652348612185 -659.456373301657</t>
  </si>
  <si>
    <t>-665.95482926516 47.2838135730835 -529.659309976945</t>
  </si>
  <si>
    <t>-632.778767482079 199.0213240161 -515.08659881028</t>
  </si>
  <si>
    <t>-483.100326009325 216.329601505083 -276.601030013499</t>
  </si>
  <si>
    <t>-253.188975540651 188.295926032511 -259.181896046314</t>
  </si>
  <si>
    <t>-596.357742996675 123.924010690109 -97.8178813988829</t>
  </si>
  <si>
    <t>-621.304030573797 140.018117170001 316.695410163793</t>
  </si>
  <si>
    <t>-669.262038369667 175.73888604875 775.932710572255</t>
  </si>
  <si>
    <t>-518.808196849184 177.525977106438 832.89116280929</t>
  </si>
  <si>
    <t>-606.474728584656 -76.4795555143278 322.155068229768</t>
  </si>
  <si>
    <t>-652.838998140806 -110.095522377301 781.749143191561</t>
  </si>
  <si>
    <t>-499.548960693025 -127.003010883593 827.576243891344</t>
  </si>
  <si>
    <t>9763-20170724T115355.965689100.bin</t>
  </si>
  <si>
    <t>-597.97396375301 30.848615063795 -93.789568874097</t>
  </si>
  <si>
    <t>-619.73464711971 28.3835687885496 -202.315597467553</t>
  </si>
  <si>
    <t>-634.551975692538 25.3922833892839 -293.952534154739</t>
  </si>
  <si>
    <t>-647.488956121721 22.3409661303069 -376.786411745343</t>
  </si>
  <si>
    <t>-659.420435316692 18.8922619882983 -459.755563812089</t>
  </si>
  <si>
    <t>-675.766670557531 13.3989766647308 -581.19503159029</t>
  </si>
  <si>
    <t>-674.868634381771 10.5824763541684 -659.498869330349</t>
  </si>
  <si>
    <t>-665.662644532996 46.9811638802369 -529.713080832268</t>
  </si>
  <si>
    <t>-632.66854154611 198.767719144552 -515.175039924488</t>
  </si>
  <si>
    <t>-483.204734792106 215.833883194194 -276.537507301626</t>
  </si>
  <si>
    <t>-253.274707674578 188.079877820682 -258.918634061147</t>
  </si>
  <si>
    <t>-596.313712355876 123.832556135675 -97.8514591462895</t>
  </si>
  <si>
    <t>-621.225769684373 139.979216823312 316.661858076338</t>
  </si>
  <si>
    <t>-669.264920391767 175.753158645143 775.886507463291</t>
  </si>
  <si>
    <t>-518.815620615041 177.432098807912 832.860331806841</t>
  </si>
  <si>
    <t>-606.338411602839 -76.6716436050699 322.141920886573</t>
  </si>
  <si>
    <t>-652.825464473207 -110.10133928416 781.751630098185</t>
  </si>
  <si>
    <t>-499.556583200596 -127.203328662918 827.577295916088</t>
  </si>
  <si>
    <t>9763-20170724T115356.029861500.bin</t>
  </si>
  <si>
    <t>-597.681192397174 30.3219607408691 -93.8202366030249</t>
  </si>
  <si>
    <t>-619.315691976902 27.7814325665659 -202.369663578623</t>
  </si>
  <si>
    <t>-634.026225627126 24.6771761727093 -294.020158733267</t>
  </si>
  <si>
    <t>-646.867177874347 21.5011544655249 -376.864244149759</t>
  </si>
  <si>
    <t>-658.703168539061 17.9068565790233 -459.840998152134</t>
  </si>
  <si>
    <t>-674.910861954041 12.177339629643 -581.288092671173</t>
  </si>
  <si>
    <t>-673.751222860862 9.21876148553406 -659.583063474181</t>
  </si>
  <si>
    <t>-664.973607961909 45.8703787020345 -529.846150572522</t>
  </si>
  <si>
    <t>-632.493284721923 197.783952501096 -515.450993606133</t>
  </si>
  <si>
    <t>-483.2659116503 215.240866447401 -276.693656942793</t>
  </si>
  <si>
    <t>-253.35912174349 187.645821908911 -258.530358547958</t>
  </si>
  <si>
    <t>-596.403783926646 123.304896586211 -97.8855247643579</t>
  </si>
  <si>
    <t>-621.238553516055 139.712914798668 316.622132592073</t>
  </si>
  <si>
    <t>-669.305140871485 175.623420947011 775.827858936401</t>
  </si>
  <si>
    <t>-518.8623518174 177.477113472332 832.813446150378</t>
  </si>
  <si>
    <t>-605.923595542022 -77.2038228522804 322.131009905423</t>
  </si>
  <si>
    <t>-652.799106204414 -110.077736657118 781.745825996937</t>
  </si>
  <si>
    <t>-499.536603005015 -127.186356964553 827.59038318353</t>
  </si>
  <si>
    <t>9763-20170724T115356.061948600.bin</t>
  </si>
  <si>
    <t>-597.432830267846 30.0243360912029 -93.8156013497711</t>
  </si>
  <si>
    <t>-619.017774553055 27.45396627014 -202.374278637962</t>
  </si>
  <si>
    <t>-633.707579993005 24.2852323772488 -294.025878948231</t>
  </si>
  <si>
    <t>-646.538898214088 21.0331984475456 -376.868445375486</t>
  </si>
  <si>
    <t>-658.374577971027 17.3463718754304 -459.841118695098</t>
  </si>
  <si>
    <t>-674.59229397478 11.4637290921512 -581.279726339038</t>
  </si>
  <si>
    <t>-673.328703954112 8.40234355414873 -659.569099726064</t>
  </si>
  <si>
    <t>-664.699951774798 45.2264201894752 -529.874813980622</t>
  </si>
  <si>
    <t>-632.485651997158 197.199333854717 -515.5397428367</t>
  </si>
  <si>
    <t>-483.249456837423 214.813249349345 -276.799498395852</t>
  </si>
  <si>
    <t>-253.457776016028 186.580347236561 -258.165513455544</t>
  </si>
  <si>
    <t>-596.391875406739 122.992672747852 -97.882717326833</t>
  </si>
  <si>
    <t>-621.268912377452 139.513519471592 316.617920049376</t>
  </si>
  <si>
    <t>-669.303874090954 175.612038898102 775.807886823706</t>
  </si>
  <si>
    <t>-518.867565669213 177.449785303389 832.8109431306</t>
  </si>
  <si>
    <t>-605.628898465561 -77.4933464473813 322.128208002903</t>
  </si>
  <si>
    <t>-652.774684660378 -110.082974205633 781.743825241943</t>
  </si>
  <si>
    <t>-499.519687212118 -127.210013186414 827.606615880335</t>
  </si>
  <si>
    <t>9763-20170724T115356.128124600.bin</t>
  </si>
  <si>
    <t>-596.755050367439 29.1567592472625 -93.7991060245795</t>
  </si>
  <si>
    <t>-618.313754833765 26.5475534079023 -202.362089555347</t>
  </si>
  <si>
    <t>-633.021170801079 23.2664624994777 -294.006788374019</t>
  </si>
  <si>
    <t>-645.885454757171 19.8785826050282 -376.838899720448</t>
  </si>
  <si>
    <t>-657.771805541103 16.0229548847954 -459.796762435947</t>
  </si>
  <si>
    <t>-674.083630430446 9.85740483489599 -581.20843647321</t>
  </si>
  <si>
    <t>-672.644255136447 6.59706983933847 -659.486877322332</t>
  </si>
  <si>
    <t>-664.21591846353 43.7458784917726 -529.881730783947</t>
  </si>
  <si>
    <t>-632.323122492246 195.801123584451 -515.775444289757</t>
  </si>
  <si>
    <t>-483.101923208218 213.979777076809 -277.068133522379</t>
  </si>
  <si>
    <t>-253.609123426514 183.992098820592 -257.514969109213</t>
  </si>
  <si>
    <t>-596.041395189907 122.081378975858 -97.8539013848713</t>
  </si>
  <si>
    <t>-621.012312788283 138.912635596229 316.628632151995</t>
  </si>
  <si>
    <t>-669.311499664376 175.470134660812 775.76750244081</t>
  </si>
  <si>
    <t>-518.90350076907 177.503371864734 832.838608567241</t>
  </si>
  <si>
    <t>-604.945048813682 -78.1522784322046 322.120887309228</t>
  </si>
  <si>
    <t>-652.747699172296 -110.072831187563 781.729798030678</t>
  </si>
  <si>
    <t>-499.481055740012 -127.064358192661 827.604066046846</t>
  </si>
  <si>
    <t>9763-20170724T115356.163020300.bin</t>
  </si>
  <si>
    <t>-596.447978715151 28.5687742476675 -93.7948709526239</t>
  </si>
  <si>
    <t>-618.035356000183 25.9693663444814 -202.352326708095</t>
  </si>
  <si>
    <t>-632.761077388016 22.6440382222384 -293.992617976578</t>
  </si>
  <si>
    <t>-645.640002896556 19.1946818900267 -376.819906768812</t>
  </si>
  <si>
    <t>-657.539503848856 15.2561635945817 -459.771865370659</t>
  </si>
  <si>
    <t>-673.869210652533 8.94621409280512 -581.173891308315</t>
  </si>
  <si>
    <t>-672.345077845516 5.60069637337733 -659.446983057696</t>
  </si>
  <si>
    <t>-664.021603327095 42.8983834300677 -529.885303318565</t>
  </si>
  <si>
    <t>-632.315350535676 195.002946549483 -515.910789765593</t>
  </si>
  <si>
    <t>-482.98055561977 213.4553473215 -277.295625918842</t>
  </si>
  <si>
    <t>-253.613309083637 182.896285415226 -257.162458841619</t>
  </si>
  <si>
    <t>-595.801606483237 121.594562830014 -97.8329240349842</t>
  </si>
  <si>
    <t>-620.721284931252 138.522477165434 316.648697251744</t>
  </si>
  <si>
    <t>-669.292090944905 175.445073676766 775.731453694645</t>
  </si>
  <si>
    <t>-518.90862112946 177.533697118953 832.865285941108</t>
  </si>
  <si>
    <t>-604.577781485878 -78.6537489461441 322.120906985752</t>
  </si>
  <si>
    <t>-652.74685860646 -110.076936545011 781.728731068012</t>
  </si>
  <si>
    <t>-499.503466122656 -127.279780381211 827.601910459699</t>
  </si>
  <si>
    <t>9763-20170724T115356.229196700.bin</t>
  </si>
  <si>
    <t>-595.888836674335 27.509575284538 -93.7550737408275</t>
  </si>
  <si>
    <t>-617.574992959373 24.928642725954 -202.293401024222</t>
  </si>
  <si>
    <t>-632.302627777866 21.560905062742 -293.931734854164</t>
  </si>
  <si>
    <t>-645.151080551716 18.0490004899216 -376.761127303098</t>
  </si>
  <si>
    <t>-656.98810893528 14.0235029958021 -459.717788381268</t>
  </si>
  <si>
    <t>-673.191718285296 7.55875918307356 -581.128627743536</t>
  </si>
  <si>
    <t>-671.445274345128 4.14332892115522 -659.394096585584</t>
  </si>
  <si>
    <t>-663.412304933172 41.5775902985902 -529.871295712052</t>
  </si>
  <si>
    <t>-631.711751287165 193.689151643918 -515.960043699273</t>
  </si>
  <si>
    <t>-482.442383759802 212.895747402168 -277.363448843467</t>
  </si>
  <si>
    <t>-253.437526659756 180.363569656279 -256.22205816617</t>
  </si>
  <si>
    <t>-595.319871697241 120.658468587824 -97.7734506601481</t>
  </si>
  <si>
    <t>-620.133210956355 137.812523132741 316.705287710893</t>
  </si>
  <si>
    <t>-669.265517345146 175.318604731069 775.678043014746</t>
  </si>
  <si>
    <t>-518.930545193281 177.481135002785 832.936596623858</t>
  </si>
  <si>
    <t>-603.833693178383 -79.3403336955321 322.159135124773</t>
  </si>
  <si>
    <t>-652.829252306046 -110.044841946434 781.696195885856</t>
  </si>
  <si>
    <t>-499.551574243895 -127.336551758064 827.421182564672</t>
  </si>
  <si>
    <t>9763-20170724T115356.261294700.bin</t>
  </si>
  <si>
    <t>-595.575241260984 27.0805777820594 -93.7339327013284</t>
  </si>
  <si>
    <t>-617.314799422623 24.4842078480162 -202.261097905861</t>
  </si>
  <si>
    <t>-632.045803501917 21.0920458525236 -293.897984666715</t>
  </si>
  <si>
    <t>-644.880650259989 17.5532919455763 -376.728541084844</t>
  </si>
  <si>
    <t>-656.687601553203 13.4951449194189 -459.687777526013</t>
  </si>
  <si>
    <t>-672.829156930154 6.97649982130838 -581.104112242645</t>
  </si>
  <si>
    <t>-670.952635717781 3.55031925823005 -659.366044274143</t>
  </si>
  <si>
    <t>-663.065422457338 41.0172636094235 -529.858130624957</t>
  </si>
  <si>
    <t>-631.360631223328 193.127329471921 -515.979612545404</t>
  </si>
  <si>
    <t>-482.232107956856 212.293586416923 -277.291706852673</t>
  </si>
  <si>
    <t>-253.456543638028 178.518653182373 -255.623485441964</t>
  </si>
  <si>
    <t>-595.027810382651 120.21359624964 -97.7543463362681</t>
  </si>
  <si>
    <t>-619.849961792198 137.490270033398 316.718835289877</t>
  </si>
  <si>
    <t>-669.257455858748 175.246107075697 775.642724079955</t>
  </si>
  <si>
    <t>-518.942623024325 177.424286994372 832.953470993532</t>
  </si>
  <si>
    <t>-603.564153663283 -79.646850526485 322.175648853084</t>
  </si>
  <si>
    <t>-652.885082032238 -110.035519515217 781.680981770555</t>
  </si>
  <si>
    <t>-499.576743913186 -127.308661563596 827.310051249372</t>
  </si>
  <si>
    <t>9763-20170724T115356.332483200.bin</t>
  </si>
  <si>
    <t>-595.067917161392 26.4221655154688 -93.7336316683943</t>
  </si>
  <si>
    <t>-616.89129261689 23.7937022776719 -202.243278149729</t>
  </si>
  <si>
    <t>-631.652812291349 20.3920095263427 -293.874833975067</t>
  </si>
  <si>
    <t>-644.499042308161 16.8514594111541 -376.70348261062</t>
  </si>
  <si>
    <t>-656.301110884124 12.7976944431414 -459.663729728684</t>
  </si>
  <si>
    <t>-672.417618313363 6.29164480864961 -581.08393515121</t>
  </si>
  <si>
    <t>-670.288837271763 2.86663706711397 -659.33968211477</t>
  </si>
  <si>
    <t>-662.627333852299 40.3234552219972 -529.837196510364</t>
  </si>
  <si>
    <t>-630.781790902082 192.392732193997 -515.831011789573</t>
  </si>
  <si>
    <t>-481.806890348763 211.262477553619 -277.0234689417</t>
  </si>
  <si>
    <t>-253.159473331818 177.011642284663 -254.757691793235</t>
  </si>
  <si>
    <t>-594.555607437357 119.449162165521 -97.7648305053019</t>
  </si>
  <si>
    <t>-619.471560024275 136.92977281044 316.694187739658</t>
  </si>
  <si>
    <t>-669.247398809085 175.107113759271 775.561369159563</t>
  </si>
  <si>
    <t>-518.962995461293 177.483582890295 832.944066178329</t>
  </si>
  <si>
    <t>-603.261059150515 -80.0200875078247 322.198789021172</t>
  </si>
  <si>
    <t>-652.970894957007 -109.948813459724 781.659191359433</t>
  </si>
  <si>
    <t>-499.586675549437 -126.981375287677 827.123363471663</t>
  </si>
  <si>
    <t>9763-20170724T115356.363142900.bin</t>
  </si>
  <si>
    <t>-594.887772578951 26.1358172236235 -93.7381897629946</t>
  </si>
  <si>
    <t>-616.780583229145 23.4813604212914 -202.233168236256</t>
  </si>
  <si>
    <t>-631.566045491257 20.0715926729968 -293.860635790803</t>
  </si>
  <si>
    <t>-644.420016909022 16.528914773354 -376.687984529443</t>
  </si>
  <si>
    <t>-656.21571449053 12.4779461954593 -459.649255618843</t>
  </si>
  <si>
    <t>-672.307542209232 5.98065672565986 -581.073225252038</t>
  </si>
  <si>
    <t>-670.04462430612 2.55822304004141 -659.325291628303</t>
  </si>
  <si>
    <t>-662.499590043323 40.0061387896621 -529.825605482863</t>
  </si>
  <si>
    <t>-630.575147126985 192.064067104329 -515.816891249108</t>
  </si>
  <si>
    <t>-481.847829728437 210.846911836214 -276.848170789767</t>
  </si>
  <si>
    <t>-253.294699480267 176.175780753132 -254.266806855412</t>
  </si>
  <si>
    <t>-594.373066833345 119.110059362697 -97.7903603492271</t>
  </si>
  <si>
    <t>-619.330765189081 136.707402936064 316.661157830168</t>
  </si>
  <si>
    <t>-669.233792071968 175.101379433146 775.508175070119</t>
  </si>
  <si>
    <t>-518.961206648438 177.430649197327 832.923776744339</t>
  </si>
  <si>
    <t>-603.160166467573 -80.1408714930969 322.210796843664</t>
  </si>
  <si>
    <t>-652.997691814524 -109.930638236525 781.657866566009</t>
  </si>
  <si>
    <t>-499.604718477776 -127.03330058896 827.066286229246</t>
  </si>
  <si>
    <t>9763-20170724T115356.432329600.bin</t>
  </si>
  <si>
    <t>-594.72865881211 25.6099779949889 -93.7845502258144</t>
  </si>
  <si>
    <t>-616.762838590933 22.912052043692 -202.249824588834</t>
  </si>
  <si>
    <t>-631.614024401541 19.4661838201093 -293.865439445257</t>
  </si>
  <si>
    <t>-644.505952460238 15.8912820276119 -376.685421438697</t>
  </si>
  <si>
    <t>-656.318344293844 11.8070462698756 -459.642731260004</t>
  </si>
  <si>
    <t>-672.411387984271 5.25928187096406 -581.063715663578</t>
  </si>
  <si>
    <t>-669.912736734082 1.8089750692061 -659.307332971007</t>
  </si>
  <si>
    <t>-662.532795794252 39.2992806426764 -529.839322870258</t>
  </si>
  <si>
    <t>-630.344143544459 191.305893097442 -515.837244039185</t>
  </si>
  <si>
    <t>-482.058389887105 209.69170997932 -276.56360706934</t>
  </si>
  <si>
    <t>-253.626908948327 174.51409026378 -253.539215657562</t>
  </si>
  <si>
    <t>-594.160253608447 118.532029051235 -97.8712894669163</t>
  </si>
  <si>
    <t>-619.141440648179 136.23351874759 316.574413959936</t>
  </si>
  <si>
    <t>-669.242549092782 174.949503171145 775.391030804883</t>
  </si>
  <si>
    <t>-518.993910207957 177.435498908152 832.862568885931</t>
  </si>
  <si>
    <t>-603.091589902278 -80.3486824071347 322.221782050064</t>
  </si>
  <si>
    <t>-653.043180329072 -109.882889763693 781.659932211216</t>
  </si>
  <si>
    <t>-499.616612715062 -126.939465352365 826.972065071122</t>
  </si>
  <si>
    <t>9763-20170724T115356.459411600.bin</t>
  </si>
  <si>
    <t>-594.697440559675 25.4057832927033 -93.8218312764727</t>
  </si>
  <si>
    <t>-616.788806681369 22.6803331510221 -202.274783169241</t>
  </si>
  <si>
    <t>-631.649770687825 19.2033196118548 -293.887585489211</t>
  </si>
  <si>
    <t>-644.535163040259 15.597337755263 -376.707281485835</t>
  </si>
  <si>
    <t>-656.325869380585 11.4777494950192 -459.665952193365</t>
  </si>
  <si>
    <t>-672.370544253937 4.87357787879978 -581.090182046496</t>
  </si>
  <si>
    <t>-669.757864179301 1.38281167570995 -659.3283656004</t>
  </si>
  <si>
    <t>-662.481630968064 38.9341748623967 -529.881681028163</t>
  </si>
  <si>
    <t>-630.143580086125 190.911111966199 -515.945188694165</t>
  </si>
  <si>
    <t>-482.140504323004 209.189947622051 -276.488375531631</t>
  </si>
  <si>
    <t>-253.84100129589 173.321851753918 -253.221735084848</t>
  </si>
  <si>
    <t>-594.065818545024 118.317073875646 -97.923345804386</t>
  </si>
  <si>
    <t>-619.054314033838 136.13361250688 316.516933142334</t>
  </si>
  <si>
    <t>-669.217995058754 175.034827954735 775.317415695844</t>
  </si>
  <si>
    <t>-518.977090233354 177.343241391186 832.81669916572</t>
  </si>
  <si>
    <t>-603.128887189757 -80.4739916790727 322.220157508582</t>
  </si>
  <si>
    <t>-653.07035778976 -109.844840967764 781.662938806083</t>
  </si>
  <si>
    <t>-499.621450125213 -126.84405244433 826.920898763504</t>
  </si>
  <si>
    <t>9763-20170724T115356.525593300.bin</t>
  </si>
  <si>
    <t>-594.916996941398 25.0301215806414 -93.8940587665345</t>
  </si>
  <si>
    <t>-617.039059212911 22.2909105090582 -202.340348335294</t>
  </si>
  <si>
    <t>-631.858306483355 18.7394362439532 -293.957066931416</t>
  </si>
  <si>
    <t>-644.679578426161 15.0408555984561 -376.782607609005</t>
  </si>
  <si>
    <t>-656.380166069481 10.8019892116472 -459.748113227565</t>
  </si>
  <si>
    <t>-672.264972335563 3.99367268150172 -581.182231426468</t>
  </si>
  <si>
    <t>-669.467315947815 0.37731466189598 -659.408173349513</t>
  </si>
  <si>
    <t>-662.389011165044 38.1348912697158 -530.024729349664</t>
  </si>
  <si>
    <t>-629.762105844312 190.078329020283 -516.296545620258</t>
  </si>
  <si>
    <t>-482.226450017883 208.451095012088 -276.558726861397</t>
  </si>
  <si>
    <t>-254.221783746652 171.036040536184 -252.841188135749</t>
  </si>
  <si>
    <t>-594.231470829364 117.919294133201 -98.0314941552467</t>
  </si>
  <si>
    <t>-619.079688100022 135.861877685839 316.411802392775</t>
  </si>
  <si>
    <t>-669.248190192927 174.910279119953 775.19632906672</t>
  </si>
  <si>
    <t>-519.010319414205 177.4184837839 832.695199640273</t>
  </si>
  <si>
    <t>-603.327845767588 -80.6295838264521 322.18050823363</t>
  </si>
  <si>
    <t>-653.10674031555 -109.802850422376 781.653570889921</t>
  </si>
  <si>
    <t>-499.631299377256 -126.778455647731 826.830300404001</t>
  </si>
  <si>
    <t>9763-20170724T115356.564328600.bin</t>
  </si>
  <si>
    <t>-595.126491980444 24.8792811501648 -93.9304013423416</t>
  </si>
  <si>
    <t>-617.25044001337 22.1453465987399 -202.376448376521</t>
  </si>
  <si>
    <t>-632.043559375152 18.5492738309738 -293.995679184202</t>
  </si>
  <si>
    <t>-644.830547117744 14.7909525286586 -376.823769602169</t>
  </si>
  <si>
    <t>-656.486536244041 10.4721282404303 -459.791325277889</t>
  </si>
  <si>
    <t>-672.295242646291 3.52438126970105 -581.227631137861</t>
  </si>
  <si>
    <t>-662.438632994935 37.7229567494371 -530.104697260265</t>
  </si>
  <si>
    <t>-629.743621266835 189.661030942207 -516.557391255564</t>
  </si>
  <si>
    <t>-482.404481348106 207.990525096741 -276.695332919707</t>
  </si>
  <si>
    <t>-254.622061516343 169.402828084857 -252.722697288004</t>
  </si>
  <si>
    <t>-594.47673139249 117.749865863747 -98.0782291596205</t>
  </si>
  <si>
    <t>-619.230909340536 135.750258956729 316.368189757275</t>
  </si>
  <si>
    <t>-669.276457972031 174.82248175672 775.163508334199</t>
  </si>
  <si>
    <t>-519.035162289474 177.470754713709 832.647200192734</t>
  </si>
  <si>
    <t>-603.432176332502 -80.6691397262562 322.149870184459</t>
  </si>
  <si>
    <t>-653.124239742007 -109.780678955743 781.644630248373</t>
  </si>
  <si>
    <t>-499.64832209167 -126.844609660302 826.786531887784</t>
  </si>
  <si>
    <t>9763-20170724T115356.626492500.bin</t>
  </si>
  <si>
    <t>-595.593224461159 24.8561109672746 -94.0013751710652</t>
  </si>
  <si>
    <t>-617.713739062578 22.1127413389747 -202.447922752609</t>
  </si>
  <si>
    <t>-632.508985704147 18.4640247313164 -294.064694445207</t>
  </si>
  <si>
    <t>-645.300588066178 14.639320692303 -376.889048169399</t>
  </si>
  <si>
    <t>-656.964119474784 10.2359373486461 -459.851099315935</t>
  </si>
  <si>
    <t>-672.787479611558 3.14426036901909 -581.277148250086</t>
  </si>
  <si>
    <t>-662.932393343521 37.4042673148435 -530.19500315244</t>
  </si>
  <si>
    <t>-630.179400293007 189.341310891109 -516.81916326662</t>
  </si>
  <si>
    <t>-482.819021003375 207.675787007996 -276.970553367065</t>
  </si>
  <si>
    <t>-255.41032324609 167.048607350642 -252.820098220543</t>
  </si>
  <si>
    <t>-595.032774217518 117.718391044505 -98.1497282356506</t>
  </si>
  <si>
    <t>-619.593409551095 135.785371468827 316.30522436967</t>
  </si>
  <si>
    <t>-669.274622654343 174.892450207667 775.125730859191</t>
  </si>
  <si>
    <t>-519.020832092266 177.403548338631 832.582818560405</t>
  </si>
  <si>
    <t>-603.658708214121 -80.561574844892 322.097856910171</t>
  </si>
  <si>
    <t>-653.137943202201 -109.740127328371 781.625165774293</t>
  </si>
  <si>
    <t>-499.633839490744 -126.64076689054 826.732578021638</t>
  </si>
  <si>
    <t>9763-20170724T115356.662523000.bin</t>
  </si>
  <si>
    <t>-595.800621247543 24.9031493646462 -94.0312588758057</t>
  </si>
  <si>
    <t>-617.919732067636 22.1535050071238 -202.477885600708</t>
  </si>
  <si>
    <t>-632.728970957665 18.4858454672878 -294.091628851025</t>
  </si>
  <si>
    <t>-645.539411554417 14.6384375040348 -376.912082082265</t>
  </si>
  <si>
    <t>-657.227969034226 10.2074680992266 -459.86904206567</t>
  </si>
  <si>
    <t>-673.094825272302 3.07008290087379 -581.286712785384</t>
  </si>
  <si>
    <t>-663.243242842156 37.3516546232756 -530.218411626196</t>
  </si>
  <si>
    <t>-630.581896134169 189.316421723667 -516.907245819873</t>
  </si>
  <si>
    <t>-483.182368597795 207.70255452643 -277.086678591734</t>
  </si>
  <si>
    <t>-255.980003215424 165.951295353033 -252.911346913618</t>
  </si>
  <si>
    <t>-595.248172690229 117.748674631354 -98.1836883849697</t>
  </si>
  <si>
    <t>-619.726761525723 135.825348513083 316.275735905605</t>
  </si>
  <si>
    <t>-669.293100098375 174.852382632276 775.116732520237</t>
  </si>
  <si>
    <t>-519.033845889747 177.38298815651 832.558586804573</t>
  </si>
  <si>
    <t>-603.820718881931 -80.5180640919148 322.076980999243</t>
  </si>
  <si>
    <t>-653.140955002341 -109.729989125495 781.620159180772</t>
  </si>
  <si>
    <t>-499.652737129111 -126.783584216969 826.724147814788</t>
  </si>
  <si>
    <t>9763-20170724T115356.730704300.bin</t>
  </si>
  <si>
    <t>-596.215692077522 25.1753334818438 -94.0653691152336</t>
  </si>
  <si>
    <t>-618.377309754141 22.4091282318877 -202.502958659547</t>
  </si>
  <si>
    <t>-633.243575281392 18.7362101444232 -294.107250015586</t>
  </si>
  <si>
    <t>-646.113758868331 14.8870154146241 -376.918363371437</t>
  </si>
  <si>
    <t>-657.870140753836 10.4584242607586 -459.866047134351</t>
  </si>
  <si>
    <t>-673.844627217438 3.3299666371513 -581.270033892908</t>
  </si>
  <si>
    <t>-664.024677238754 37.6153926016839 -530.198155703704</t>
  </si>
  <si>
    <t>-631.684057129727 189.652973285677 -516.921179129246</t>
  </si>
  <si>
    <t>-484.068769474453 207.869537712852 -277.220450200713</t>
  </si>
  <si>
    <t>-257.270570601154 164.006769713056 -252.988857305679</t>
  </si>
  <si>
    <t>-595.738328947429 118.03812736441 -98.2338015112095</t>
  </si>
  <si>
    <t>-619.977110939415 135.979794322285 316.245586288411</t>
  </si>
  <si>
    <t>-669.321759040015 174.803447109155 775.114232220405</t>
  </si>
  <si>
    <t>-519.056047629088 177.373525321154 832.537497898073</t>
  </si>
  <si>
    <t>-603.911071237668 -80.3196455862294 322.046887181671</t>
  </si>
  <si>
    <t>-653.141202041973 -109.671367036445 781.608328411001</t>
  </si>
  <si>
    <t>-499.614128013016 -126.436223766905 826.688214113757</t>
  </si>
  <si>
    <t>9763-20170724T115356.761849600.bin</t>
  </si>
  <si>
    <t>-596.424252547474 25.3920938891811 -94.072903225627</t>
  </si>
  <si>
    <t>-618.631131362493 22.5976888009927 -202.500647581529</t>
  </si>
  <si>
    <t>-633.522592763953 18.93119408796 -294.101038629899</t>
  </si>
  <si>
    <t>-646.409988600842 15.0987364095099 -376.910126418039</t>
  </si>
  <si>
    <t>-658.177815806885 10.6983610947611 -459.857610339317</t>
  </si>
  <si>
    <t>-674.162439626298 3.62402326618644 -581.263419325204</t>
  </si>
  <si>
    <t>-664.377603469517 37.8905533832997 -530.172258795869</t>
  </si>
  <si>
    <t>-632.178108593919 189.950868637666 -516.812587834217</t>
  </si>
  <si>
    <t>-484.384402685384 207.907146357755 -277.202030985439</t>
  </si>
  <si>
    <t>-257.759971555423 163.0976386633 -253.077364022184</t>
  </si>
  <si>
    <t>-596.04447784462 118.301132514807 -98.2558544856771</t>
  </si>
  <si>
    <t>-620.083839207808 136.167157542092 316.238388268897</t>
  </si>
  <si>
    <t>-669.318411944405 174.863137852817 775.127044913368</t>
  </si>
  <si>
    <t>-519.04572255512 177.32143593682 832.537043738515</t>
  </si>
  <si>
    <t>-603.86822114196 -80.143264160688 322.044566196618</t>
  </si>
  <si>
    <t>-653.143514278415 -109.654304750245 781.595965470405</t>
  </si>
  <si>
    <t>-499.642640162339 -126.647005594492 826.679831762876</t>
  </si>
  <si>
    <t>9763-20170724T115356.829029100.bin</t>
  </si>
  <si>
    <t>-596.747344659579 25.8132760631852 -94.0844191411983</t>
  </si>
  <si>
    <t>-619.045843955542 22.9985728792981 -202.492644069129</t>
  </si>
  <si>
    <t>-633.997347444444 19.3563359855336 -294.084320596686</t>
  </si>
  <si>
    <t>-646.931577402782 15.5606822514867 -376.887905284831</t>
  </si>
  <si>
    <t>-658.738630625179 11.2127311794009 -459.832488176626</t>
  </si>
  <si>
    <t>-674.771913704019 4.23211568936858 -581.237418682488</t>
  </si>
  <si>
    <t>-671.751410641565 0.473611799704713 -659.448372703217</t>
  </si>
  <si>
    <t>-665.033144713973 38.4656880332398 -530.115253489092</t>
  </si>
  <si>
    <t>-633.038322989661 190.563714578857 -516.66052565366</t>
  </si>
  <si>
    <t>-485.045698358102 207.964239939697 -277.131811536305</t>
  </si>
  <si>
    <t>-258.796358424334 161.150454449011 -253.294058506199</t>
  </si>
  <si>
    <t>-596.557607748938 118.732756824984 -98.2501718929427</t>
  </si>
  <si>
    <t>-620.353665290459 136.471644148378 316.263658982003</t>
  </si>
  <si>
    <t>-669.337079446354 174.879973680337 775.189232050039</t>
  </si>
  <si>
    <t>-519.047844908401 177.25712249247 832.559206730181</t>
  </si>
  <si>
    <t>-603.747660141215 -79.7501979625358 322.048229789548</t>
  </si>
  <si>
    <t>-653.144916433671 -109.594704675766 781.576812682595</t>
  </si>
  <si>
    <t>-499.613668954363 -126.361433879535 826.641902163336</t>
  </si>
  <si>
    <t>9763-20170724T115356.865632600.bin</t>
  </si>
  <si>
    <t>-596.913176996549 26.0033794358919 -94.0748348910598</t>
  </si>
  <si>
    <t>-619.249833107115 23.2036311491668 -202.475616005944</t>
  </si>
  <si>
    <t>-634.251441380753 19.581531481836 -294.059802103179</t>
  </si>
  <si>
    <t>-647.238030776042 15.8069241335097 -376.856206315927</t>
  </si>
  <si>
    <t>-659.104552383361 11.4832646634804 -459.793561732117</t>
  </si>
  <si>
    <t>-675.232427105628 4.54212170118399 -581.188208807709</t>
  </si>
  <si>
    <t>-672.237600532185 0.802080084698218 -659.401037775116</t>
  </si>
  <si>
    <t>-665.476794668376 38.7611340167948 -530.059679639959</t>
  </si>
  <si>
    <t>-633.578111188552 190.872103386743 -516.55034800988</t>
  </si>
  <si>
    <t>-485.377410243505 207.948690755409 -277.126927618493</t>
  </si>
  <si>
    <t>-259.418536240087 159.709725573908 -253.375822318089</t>
  </si>
  <si>
    <t>-596.765623937019 118.918594140314 -98.2231259399989</t>
  </si>
  <si>
    <t>-620.500588131421 136.588358538478 316.29709976997</t>
  </si>
  <si>
    <t>-669.341915667025 174.902817655873 775.230247507985</t>
  </si>
  <si>
    <t>-519.044014172389 177.260476201987 832.578320444488</t>
  </si>
  <si>
    <t>-603.702797802267 -79.5842390654475 322.048903095291</t>
  </si>
  <si>
    <t>-653.147849347751 -109.578226048488 781.564371133579</t>
  </si>
  <si>
    <t>-499.642750808918 -126.588178946407 826.627373634433</t>
  </si>
  <si>
    <t>9763-20170724T115356.925792600.bin</t>
  </si>
  <si>
    <t>-597.262255905659 26.3254962516933 -94.0428878489863</t>
  </si>
  <si>
    <t>-619.722957998275 23.5901743306795 -202.419769939082</t>
  </si>
  <si>
    <t>-634.820990165508 20.0237394582462 -293.99033843687</t>
  </si>
  <si>
    <t>-647.891214680297 16.3005490283319 -376.775789663611</t>
  </si>
  <si>
    <t>-659.837823040877 12.0295972942124 -459.704546855063</t>
  </si>
  <si>
    <t>-676.078797661 5.16689390734564 -581.088481960734</t>
  </si>
  <si>
    <t>-673.168592679673 1.39026428259467 -659.302714635913</t>
  </si>
  <si>
    <t>-666.282877081594 39.3536182282946 -529.946032781424</t>
  </si>
  <si>
    <t>-634.295797169148 191.440955677055 -516.351486962294</t>
  </si>
  <si>
    <t>-486.022341668423 207.508116124772 -276.903278472632</t>
  </si>
  <si>
    <t>-260.88387859345 155.277810274883 -253.81230431164</t>
  </si>
  <si>
    <t>-597.069730480296 119.262349777769 -98.1723856169932</t>
  </si>
  <si>
    <t>-620.685066784597 136.76117553302 316.361883820616</t>
  </si>
  <si>
    <t>-669.346695916016 174.903662891596 775.331330817584</t>
  </si>
  <si>
    <t>-519.033161740499 177.253894724732 832.63869421143</t>
  </si>
  <si>
    <t>-603.550084046913 -79.2194767547442 322.049751619022</t>
  </si>
  <si>
    <t>-653.159162759117 -109.531096821361 781.541936404448</t>
  </si>
  <si>
    <t>-499.640606138825 -126.492109212895 826.577436403949</t>
  </si>
  <si>
    <t>9763-20170724T115356.962476700.bin</t>
  </si>
  <si>
    <t>-597.473176856219 26.4226049033105 -94.0213328376831</t>
  </si>
  <si>
    <t>-620.012039376938 23.7415515713831 -202.383307606641</t>
  </si>
  <si>
    <t>-635.145254265729 20.219515745878 -293.949698633369</t>
  </si>
  <si>
    <t>-648.234753146983 16.5363037492727 -376.734108334962</t>
  </si>
  <si>
    <t>-660.188039347695 12.3049862171936 -459.663721925571</t>
  </si>
  <si>
    <t>-676.424894193046 5.49963837214113 -581.05152260366</t>
  </si>
  <si>
    <t>-673.566792943326 1.70294192246888 -659.266865842362</t>
  </si>
  <si>
    <t>-666.623122178285 39.6614903956754 -529.893520236662</t>
  </si>
  <si>
    <t>-634.414161129785 191.691717853214 -516.208688016629</t>
  </si>
  <si>
    <t>-486.243717017145 207.081048965743 -276.652362310527</t>
  </si>
  <si>
    <t>-261.592540634053 152.579345893661 -254.070493646426</t>
  </si>
  <si>
    <t>-597.21844541106 119.388356800823 -98.1322669177315</t>
  </si>
  <si>
    <t>-620.75473811652 136.756985109575 316.412010168458</t>
  </si>
  <si>
    <t>-669.359284898419 174.868354206534 775.392066168187</t>
  </si>
  <si>
    <t>-519.041114476182 177.259526080684 832.685622373451</t>
  </si>
  <si>
    <t>-603.365954628012 -79.018904162609 322.059558602114</t>
  </si>
  <si>
    <t>-653.17916023029 -109.502318425384 781.529676324022</t>
  </si>
  <si>
    <t>-499.662851593201 -126.56006675496 826.536368579807</t>
  </si>
  <si>
    <t>9763-20170724T115357.032659900.bin</t>
  </si>
  <si>
    <t>-597.786356868824 26.5908552575818 -93.9714280557487</t>
  </si>
  <si>
    <t>-620.416128301622 23.9858649688499 -202.316260648619</t>
  </si>
  <si>
    <t>-635.572919176192 20.4910001516964 -293.879925371886</t>
  </si>
  <si>
    <t>-648.6627965477 16.8178245646432 -376.664566858983</t>
  </si>
  <si>
    <t>-660.595862557048 12.5806997824054 -459.596944486254</t>
  </si>
  <si>
    <t>-676.78070890914 5.74924788238172 -580.990201552972</t>
  </si>
  <si>
    <t>-673.985044218692 1.86230220850871 -659.203237000709</t>
  </si>
  <si>
    <t>-666.945968438721 39.916940090978 -529.84229080074</t>
  </si>
  <si>
    <t>-634.192411835165 191.822925161121 -516.090860604627</t>
  </si>
  <si>
    <t>-486.751208512489 206.376556409799 -276.03279423789</t>
  </si>
  <si>
    <t>-263.234267397153 146.838779129392 -254.962599326707</t>
  </si>
  <si>
    <t>-597.417564528129 119.586613020496 -98.0277001721977</t>
  </si>
  <si>
    <t>-620.916248410932 136.791644312806 316.52554886218</t>
  </si>
  <si>
    <t>-669.366328910094 174.860936130631 775.514659281287</t>
  </si>
  <si>
    <t>-519.040234700048 177.119091004987 832.792831947109</t>
  </si>
  <si>
    <t>-603.048454052045 -78.6888914463577 322.082132872926</t>
  </si>
  <si>
    <t>-653.212643293792 -109.384553900709 781.497403214769</t>
  </si>
  <si>
    <t>-499.642331018776 -126.165846540097 826.423670489384</t>
  </si>
  <si>
    <t>9763-20170724T115357.063293900.bin</t>
  </si>
  <si>
    <t>-597.831727334373 26.6682524306975 -93.93599414596</t>
  </si>
  <si>
    <t>-620.502683424039 24.0933870106944 -202.272975461559</t>
  </si>
  <si>
    <t>-635.700513786945 20.6074215293204 -293.830047444841</t>
  </si>
  <si>
    <t>-648.830318996123 16.9358013062904 -376.608444477869</t>
  </si>
  <si>
    <t>-660.806324698701 12.6934850631005 -459.53442988566</t>
  </si>
  <si>
    <t>-677.057572957948 5.84669054296364 -580.917905650809</t>
  </si>
  <si>
    <t>-674.300945425959 1.90356441222411 -659.12954954741</t>
  </si>
  <si>
    <t>-667.170719504359 40.0184239266293 -529.782910813628</t>
  </si>
  <si>
    <t>-634.151974296456 191.868422148395 -516.039624564283</t>
  </si>
  <si>
    <t>-487.020755044537 205.876880186572 -275.759117684795</t>
  </si>
  <si>
    <t>-263.954254048748 144.418232800542 -255.443804738861</t>
  </si>
  <si>
    <t>-597.463402115795 119.681155136248 -97.9682322540777</t>
  </si>
  <si>
    <t>-620.932903775368 136.845221758694 316.588418191497</t>
  </si>
  <si>
    <t>-669.34771261251 174.938859238264 775.57351017551</t>
  </si>
  <si>
    <t>-519.018610780047 177.065750457124 832.848688397556</t>
  </si>
  <si>
    <t>-602.880724299363 -78.5867287430676 322.096381477304</t>
  </si>
  <si>
    <t>-653.228132417946 -109.382514027286 781.490548503154</t>
  </si>
  <si>
    <t>-499.690813883775 -126.516431116978 826.396539527001</t>
  </si>
  <si>
    <t>9763-20170724T115357.130473100.bin</t>
  </si>
  <si>
    <t>-597.846363889068 26.8546045810999 -93.8645851097848</t>
  </si>
  <si>
    <t>-620.695362446907 24.3425586337851 -202.16566145617</t>
  </si>
  <si>
    <t>-636.076713203488 20.8869330591274 -293.693236120232</t>
  </si>
  <si>
    <t>-649.38605309716 17.2344849707927 -376.443835192036</t>
  </si>
  <si>
    <t>-661.555989108712 13.0023442142588 -459.34203307875</t>
  </si>
  <si>
    <t>-678.106828732197 6.16040055062172 -580.685346596668</t>
  </si>
  <si>
    <t>-675.441431505925 2.14132503240398 -658.896224928872</t>
  </si>
  <si>
    <t>-668.042994750535 40.3251097163957 -529.580067565821</t>
  </si>
  <si>
    <t>-634.610789252303 192.085538023787 -515.904267928142</t>
  </si>
  <si>
    <t>-487.612559207982 205.049059084434 -275.483641817189</t>
  </si>
  <si>
    <t>-265.273292267566 140.515871433302 -256.795502790702</t>
  </si>
  <si>
    <t>-597.435382741045 119.900061076871 -97.8547566708819</t>
  </si>
  <si>
    <t>-620.805270392662 136.89153233432 316.714539110921</t>
  </si>
  <si>
    <t>-669.367287727772 174.839620140191 775.703127777525</t>
  </si>
  <si>
    <t>-519.033966189994 177.159206808679 832.959867505049</t>
  </si>
  <si>
    <t>-602.312356141183 -78.2956367795823 322.139547074083</t>
  </si>
  <si>
    <t>-653.276807886709 -109.288539934132 781.469199705407</t>
  </si>
  <si>
    <t>-499.695745935591 -126.288916421119 826.276231077029</t>
  </si>
  <si>
    <t>9763-20170724T115357.162082700.bin</t>
  </si>
  <si>
    <t>-597.843061268053 26.9815253647457 -93.8230195330226</t>
  </si>
  <si>
    <t>-620.82995190106 24.5019818309083 -202.095695903033</t>
  </si>
  <si>
    <t>-636.362702281843 21.0707422131434 -293.598660075186</t>
  </si>
  <si>
    <t>-649.823064354749 17.4398582581227 -376.325692587438</t>
  </si>
  <si>
    <t>-662.158263156801 13.2292728241296 -459.20055918422</t>
  </si>
  <si>
    <t>-678.966489792303 6.41872296319025 -580.510231673115</t>
  </si>
  <si>
    <t>-676.380462047016 2.37792660948958 -658.722815813023</t>
  </si>
  <si>
    <t>-668.77329425067 40.5680251876572 -529.420581767215</t>
  </si>
  <si>
    <t>-635.077246916316 192.278393126652 -515.832074905162</t>
  </si>
  <si>
    <t>-488.15990344368 204.775787546431 -275.33737446986</t>
  </si>
  <si>
    <t>-266.148688104567 138.899222518088 -257.453648033254</t>
  </si>
  <si>
    <t>-597.378574521692 120.071601335786 -97.8008773272187</t>
  </si>
  <si>
    <t>-620.657500328478 136.947058372786 316.778396493248</t>
  </si>
  <si>
    <t>-669.356478035121 174.865103343902 775.762393815524</t>
  </si>
  <si>
    <t>-519.02366396246 177.090272229394 833.024201479352</t>
  </si>
  <si>
    <t>-601.850258856821 -78.0599084594014 322.179102724839</t>
  </si>
  <si>
    <t>-653.30375796772 -109.264250246561 781.455627427376</t>
  </si>
  <si>
    <t>-499.73153061332 -126.486252827141 826.208192208133</t>
  </si>
  <si>
    <t>9763-20170724T115357.227257700.bin</t>
  </si>
  <si>
    <t>-597.870036306512 27.1574060626572 -93.7179348154941</t>
  </si>
  <si>
    <t>-621.184713649149 24.7234934387109 -201.921441228835</t>
  </si>
  <si>
    <t>-637.088398707975 21.3139773359815 -293.361513524551</t>
  </si>
  <si>
    <t>-650.921837407936 17.6979907411342 -376.027734115885</t>
  </si>
  <si>
    <t>-663.668793849156 13.4975810891647 -458.840688460691</t>
  </si>
  <si>
    <t>-681.121283909262 6.69815948003679 -580.059943367738</t>
  </si>
  <si>
    <t>-678.733438198602 2.60518005717654 -658.276058023786</t>
  </si>
  <si>
    <t>-670.648398757587 40.8420599128813 -529.02306458925</t>
  </si>
  <si>
    <t>-636.682237327 192.522148273904 -515.68370951248</t>
  </si>
  <si>
    <t>-489.562890457201 204.485550880107 -275.285419469785</t>
  </si>
  <si>
    <t>-268.142624605988 136.293239898847 -258.81096730787</t>
  </si>
  <si>
    <t>-597.340307007428 120.390442991799 -97.6744992116859</t>
  </si>
  <si>
    <t>-620.359918237391 137.010439019326 316.929501732914</t>
  </si>
  <si>
    <t>-669.351566365736 174.844674117273 775.883252625388</t>
  </si>
  <si>
    <t>-519.02188210526 177.067362838177 833.153393427576</t>
  </si>
  <si>
    <t>-600.980065301025 -77.7326524506877 322.278405131194</t>
  </si>
  <si>
    <t>-653.371137323505 -109.146402412543 781.427453779964</t>
  </si>
  <si>
    <t>-499.76045174272 -126.354221042659 826.053451692741</t>
  </si>
  <si>
    <t>9763-20170724T115357.262860400.bin</t>
  </si>
  <si>
    <t>-597.920172367389 27.2232675318905 -93.6738055437979</t>
  </si>
  <si>
    <t>-621.356843087065 24.8080389724284 -201.851390535736</t>
  </si>
  <si>
    <t>-637.426763948774 21.3861991272574 -293.261894508375</t>
  </si>
  <si>
    <t>-651.43606365972 17.7486675481182 -375.897496612529</t>
  </si>
  <si>
    <t>-664.384887180865 13.5170136671657 -458.677709524447</t>
  </si>
  <si>
    <t>-682.161247333556 6.66157551309243 -579.846648323668</t>
  </si>
  <si>
    <t>-679.883007383604 2.53377142672002 -658.064314175141</t>
  </si>
  <si>
    <t>-671.565895817283 40.8304042294224 -528.85192263124</t>
  </si>
  <si>
    <t>-637.56901574379 192.525455078269 -515.708152068832</t>
  </si>
  <si>
    <t>-490.330181070746 204.275821629639 -275.372492929934</t>
  </si>
  <si>
    <t>-269.18966495147 135.045760262243 -259.478969247131</t>
  </si>
  <si>
    <t>-597.36751019294 120.50508999443 -97.6111638028567</t>
  </si>
  <si>
    <t>-620.283432533078 137.06217872566 317.001074008787</t>
  </si>
  <si>
    <t>-669.34158260579 174.881165890188 775.944478040931</t>
  </si>
  <si>
    <t>-519.00977163072 177.026475827834 833.212010177415</t>
  </si>
  <si>
    <t>-600.693691169081 -77.6021305001295 322.313168285711</t>
  </si>
  <si>
    <t>-653.398639953313 -109.117614750185 781.417700800959</t>
  </si>
  <si>
    <t>-499.789437627668 -126.468090958845 825.993469600347</t>
  </si>
  <si>
    <t>9763-20170724T115357.331041300.bin</t>
  </si>
  <si>
    <t>-598.038536016713 27.3691568259696 -93.5843443108965</t>
  </si>
  <si>
    <t>-621.678810001595 24.964212102818 -201.717861788514</t>
  </si>
  <si>
    <t>-638.058576931358 21.4961917174846 -293.071693298841</t>
  </si>
  <si>
    <t>-652.404034848838 17.7949102191501 -375.646708817747</t>
  </si>
  <si>
    <t>-665.745958248385 13.4797221804281 -458.360074868498</t>
  </si>
  <si>
    <t>-684.160057651503 6.4808703145136 -579.425643397302</t>
  </si>
  <si>
    <t>-682.135163380222 2.26232712765568 -657.64531496551</t>
  </si>
  <si>
    <t>-673.345201741764 40.7148908339079 -528.520696591658</t>
  </si>
  <si>
    <t>-639.304260504538 192.424436050214 -515.758680698075</t>
  </si>
  <si>
    <t>-491.89642935692 203.728974996271 -275.505280427172</t>
  </si>
  <si>
    <t>-271.419445699484 132.118255664788 -261.002370586857</t>
  </si>
  <si>
    <t>-597.639886829211 120.611681353326 -97.497645357291</t>
  </si>
  <si>
    <t>-620.256273789172 137.131826782832 317.132579664823</t>
  </si>
  <si>
    <t>-669.333629309531 174.866424254343 776.075278576308</t>
  </si>
  <si>
    <t>-518.996572619703 176.927422483129 833.332074262767</t>
  </si>
  <si>
    <t>-600.122615828693 -77.337526999079 322.375640736515</t>
  </si>
  <si>
    <t>-653.452894925732 -109.00837564831 781.3961514034</t>
  </si>
  <si>
    <t>-499.804326245194 -126.28285548738 825.865537962407</t>
  </si>
  <si>
    <t>9763-20170724T115357.362741300.bin</t>
  </si>
  <si>
    <t>-598.154688103727 27.341362532379 -93.5307346856152</t>
  </si>
  <si>
    <t>-621.886850614538 24.9343025338665 -201.644128711997</t>
  </si>
  <si>
    <t>-638.388349284522 21.4311869636879 -292.974644870172</t>
  </si>
  <si>
    <t>-652.861912902188 17.6846308683403 -375.525262907277</t>
  </si>
  <si>
    <t>-666.350701170721 13.310686710244 -458.211780696791</t>
  </si>
  <si>
    <t>-685.00014179324 6.21208822395715 -579.23541240863</t>
  </si>
  <si>
    <t>-683.073288766382 1.92039213886551 -657.453659965202</t>
  </si>
  <si>
    <t>-674.11062072828 40.4903653478816 -528.376185308493</t>
  </si>
  <si>
    <t>-639.936907861831 192.191395035023 -515.820444176311</t>
  </si>
  <si>
    <t>-492.677237706995 203.401353207203 -275.471709614685</t>
  </si>
  <si>
    <t>-272.566636753696 130.544437373299 -261.625306547272</t>
  </si>
  <si>
    <t>-597.88760105823 120.536580128118 -97.4341906894493</t>
  </si>
  <si>
    <t>-620.320205346222 137.095625153885 317.204424255325</t>
  </si>
  <si>
    <t>-669.343883621795 174.822867872928 776.156705944843</t>
  </si>
  <si>
    <t>-519.002217965549 177.010285237348 833.396707576708</t>
  </si>
  <si>
    <t>-599.792508310873 -77.2200186288646 322.41456939936</t>
  </si>
  <si>
    <t>-653.483438607598 -108.987058055708 781.387473588375</t>
  </si>
  <si>
    <t>-499.813046006109 -126.210175331707 825.80149634356</t>
  </si>
  <si>
    <t>9763-20170724T115357.427915900.bin</t>
  </si>
  <si>
    <t>-598.435522030607 27.1387966394993 -93.4404686160134</t>
  </si>
  <si>
    <t>-622.307776041423 24.713412703617 -201.52261776487</t>
  </si>
  <si>
    <t>-638.987519493521 21.0870458120037 -292.815917286768</t>
  </si>
  <si>
    <t>-653.647884298416 17.1839585947314 -375.326252373738</t>
  </si>
  <si>
    <t>-667.350297946915 12.6097659029995 -457.966817236164</t>
  </si>
  <si>
    <t>-686.34252501594 5.17018223886362 -578.916753773633</t>
  </si>
  <si>
    <t>-684.514034595607 0.701099409573089 -657.127233895408</t>
  </si>
  <si>
    <t>-675.341745862959 39.5947391384102 -528.180446513856</t>
  </si>
  <si>
    <t>-641.055749656774 191.29875201724 -516.095678055494</t>
  </si>
  <si>
    <t>-494.19228697862 202.217057039975 -275.491269120093</t>
  </si>
  <si>
    <t>-274.893704711182 126.675155183408 -263.240344562461</t>
  </si>
  <si>
    <t>-598.471147736171 120.285862386856 -97.3017484849196</t>
  </si>
  <si>
    <t>-620.482837335189 136.958203113678 317.354947577069</t>
  </si>
  <si>
    <t>-669.338705595365 174.765143516084 776.31331044317</t>
  </si>
  <si>
    <t>-518.994115628008 176.991747366106 833.544137762162</t>
  </si>
  <si>
    <t>-599.17033654959 -77.1836278793837 322.474413080314</t>
  </si>
  <si>
    <t>-653.585787906632 -108.902487548078 781.35070448952</t>
  </si>
  <si>
    <t>-499.88774450889 -126.307526167787 825.597770896335</t>
  </si>
  <si>
    <t>9763-20170724T115357.460603500.bin</t>
  </si>
  <si>
    <t>-598.538344230625 26.9857100814586 -93.3942238739832</t>
  </si>
  <si>
    <t>-622.459860438397 24.5497812771434 -201.46516957863</t>
  </si>
  <si>
    <t>-639.208973523786 20.8737144103986 -292.743835563366</t>
  </si>
  <si>
    <t>-653.943688515781 16.9090757015874 -375.23809630936</t>
  </si>
  <si>
    <t>-667.732546263275 12.2571263017508 -457.859935917107</t>
  </si>
  <si>
    <t>-686.864854040182 4.68597595063147 -578.779528883671</t>
  </si>
  <si>
    <t>-685.059201995593 0.142133729382294 -656.986286303958</t>
  </si>
  <si>
    <t>-675.817091330787 39.166936396877 -528.091691671849</t>
  </si>
  <si>
    <t>-641.384180959813 190.853216871918 -516.189764001052</t>
  </si>
  <si>
    <t>-494.92083693562 201.626520373084 -275.334956832681</t>
  </si>
  <si>
    <t>-275.959451039267 124.953861541153 -264.121428080641</t>
  </si>
  <si>
    <t>-598.652720765265 120.106214798782 -97.2446505297899</t>
  </si>
  <si>
    <t>-620.536326405381 136.844815008596 317.416032366835</t>
  </si>
  <si>
    <t>-669.346626423255 174.691714034549 776.386741225238</t>
  </si>
  <si>
    <t>-519.001123835614 176.976970182218 833.612794477311</t>
  </si>
  <si>
    <t>-599.017903318892 -77.2313652025323 322.497559547908</t>
  </si>
  <si>
    <t>-653.622292756594 -108.869363499663 781.337998772158</t>
  </si>
  <si>
    <t>-499.916397100404 -126.337232160155 825.532996363748</t>
  </si>
  <si>
    <t>9763-20170724T115357.529787300.bin</t>
  </si>
  <si>
    <t>-598.751991515689 26.7592317901508 -93.3337012031293</t>
  </si>
  <si>
    <t>-622.759633573955 24.3073690796664 -201.3851205624</t>
  </si>
  <si>
    <t>-639.622506311867 20.536854150253 -292.639056462524</t>
  </si>
  <si>
    <t>-654.477314285982 16.4545130670801 -375.105965415263</t>
  </si>
  <si>
    <t>-668.404343936056 11.6527843600923 -457.695983909839</t>
  </si>
  <si>
    <t>-687.758905795726 3.8282189171191 -578.564114731041</t>
  </si>
  <si>
    <t>-676.644470293435 38.4178469136884 -527.964954140211</t>
  </si>
  <si>
    <t>-642.11732814281 190.101520552588 -516.331266456377</t>
  </si>
  <si>
    <t>-496.541197133241 200.561669347169 -274.925507470661</t>
  </si>
  <si>
    <t>-278.28775137784 121.603811409338 -266.002135813124</t>
  </si>
  <si>
    <t>-598.975846302701 119.874269531031 -97.1752817102379</t>
  </si>
  <si>
    <t>-620.56251961357 136.661864246383 317.499059980493</t>
  </si>
  <si>
    <t>-669.336859271061 174.643342963889 776.484966801239</t>
  </si>
  <si>
    <t>-518.99604022065 176.886664655843 833.725126168725</t>
  </si>
  <si>
    <t>-598.797095942624 -77.2716901126907 322.545015755063</t>
  </si>
  <si>
    <t>-653.665800395289 -108.77405159055 781.344080225795</t>
  </si>
  <si>
    <t>-499.879621551139 -125.762631184702 825.446532623696</t>
  </si>
  <si>
    <t>9763-20170724T115357.561379000.bin</t>
  </si>
  <si>
    <t>-598.900048534755 26.616617927838 -93.3152106218682</t>
  </si>
  <si>
    <t>-622.908073310805 24.1478210640262 -201.366142117425</t>
  </si>
  <si>
    <t>-639.767223385466 20.3338432249057 -292.618902708834</t>
  </si>
  <si>
    <t>-654.617345115128 16.2000053488684 -375.084107354492</t>
  </si>
  <si>
    <t>-668.538445186162 11.3349818024533 -457.671566065047</t>
  </si>
  <si>
    <t>-687.883105500695 3.40504374746024 -578.534293782801</t>
  </si>
  <si>
    <t>-676.793196932158 38.0405994074442 -527.961421942536</t>
  </si>
  <si>
    <t>-642.31544701162 189.739068477037 -516.369010785364</t>
  </si>
  <si>
    <t>-497.197286793227 199.996182057818 -274.678992230682</t>
  </si>
  <si>
    <t>-279.256696346021 120.036955845849 -267.132412860589</t>
  </si>
  <si>
    <t>-599.156567535905 119.785036547541 -97.1622677857895</t>
  </si>
  <si>
    <t>-620.618331405924 136.611081568933 317.51703382018</t>
  </si>
  <si>
    <t>-669.329337794818 174.620643660581 776.518613578664</t>
  </si>
  <si>
    <t>-518.992646384947 176.838214226413 833.77057648567</t>
  </si>
  <si>
    <t>-598.662526597067 -77.373132073064 322.560384077558</t>
  </si>
  <si>
    <t>-653.684956975495 -108.737488278767 781.346789360912</t>
  </si>
  <si>
    <t>-499.911329708823 -125.89890300711 825.426069051698</t>
  </si>
  <si>
    <t>9763-20170724T115357.631566400.bin</t>
  </si>
  <si>
    <t>-599.185618186781 26.2650861483187 -93.2901137527083</t>
  </si>
  <si>
    <t>-623.171534953079 23.7454438363359 -201.344913938525</t>
  </si>
  <si>
    <t>-639.943528124746 19.8342790942895 -292.609588128068</t>
  </si>
  <si>
    <t>-654.688407136118 15.5879424114021 -375.087941986986</t>
  </si>
  <si>
    <t>-668.477957811953 10.5862068604738 -457.689244577197</t>
  </si>
  <si>
    <t>-687.602082190098 2.42877524760911 -578.572085377912</t>
  </si>
  <si>
    <t>-676.629530779136 37.1619634273964 -528.04038179969</t>
  </si>
  <si>
    <t>-642.162617842804 188.872699965291 -516.469150969047</t>
  </si>
  <si>
    <t>-498.387960101897 198.698416417751 -273.959489684361</t>
  </si>
  <si>
    <t>-281.066478485755 116.861748278503 -269.19874122457</t>
  </si>
  <si>
    <t>-599.613328322915 119.521338421931 -97.1258191461332</t>
  </si>
  <si>
    <t>-620.744234908809 136.491334737314 317.564492995464</t>
  </si>
  <si>
    <t>-669.30965812451 174.603143662463 776.581597158163</t>
  </si>
  <si>
    <t>-518.985400191035 176.85182757308 833.864801624138</t>
  </si>
  <si>
    <t>-597.893085759042 -77.5559070175716 322.617133238708</t>
  </si>
  <si>
    <t>-653.738517343113 -108.711051676311 781.344968624445</t>
  </si>
  <si>
    <t>-499.979184211347 -126.209085044342 825.34168461085</t>
  </si>
  <si>
    <t>9763-20170724T115357.663730700.bin</t>
  </si>
  <si>
    <t>-599.366997257917 26.081833892305 -93.258164986376</t>
  </si>
  <si>
    <t>-623.327475860631 23.5232005582143 -201.31754507186</t>
  </si>
  <si>
    <t>-640.054121982057 19.5463824569852 -292.587699208563</t>
  </si>
  <si>
    <t>-654.748966668629 15.2262699186269 -375.071254149264</t>
  </si>
  <si>
    <t>-668.479847386461 10.1360173194691 -457.676844438541</t>
  </si>
  <si>
    <t>-687.509067734238 1.8328722889471 -578.564698025187</t>
  </si>
  <si>
    <t>-676.593659061357 36.6287129660482 -528.063805600428</t>
  </si>
  <si>
    <t>-642.11457266256 188.337007724638 -516.474124633033</t>
  </si>
  <si>
    <t>-499.079555760308 197.97945448221 -273.520316862135</t>
  </si>
  <si>
    <t>-282.162758016332 115.023579057512 -269.784746944646</t>
  </si>
  <si>
    <t>-599.948987267572 119.376880220835 -97.1042104274279</t>
  </si>
  <si>
    <t>-620.84557961607 136.448016160955 317.593894507877</t>
  </si>
  <si>
    <t>-669.294606969554 174.606229024134 776.614977547862</t>
  </si>
  <si>
    <t>-518.97909131565 176.904327636499 833.919407413154</t>
  </si>
  <si>
    <t>-597.413171697173 -77.6230711469093 322.648371226643</t>
  </si>
  <si>
    <t>-653.773213690833 -108.665940032386 781.329791808577</t>
  </si>
  <si>
    <t>-500.008378031927 -126.254748929257 825.271159863453</t>
  </si>
  <si>
    <t>9763-20170724T115357.730908100.bin</t>
  </si>
  <si>
    <t>-599.759660452489 25.7427639537959 -93.1717163551833</t>
  </si>
  <si>
    <t>-623.67816228661 23.1127760009276 -201.238701974116</t>
  </si>
  <si>
    <t>-640.339204841977 18.9902106561999 -292.514432595234</t>
  </si>
  <si>
    <t>-654.964109727268 14.5002284810048 -375.001293940949</t>
  </si>
  <si>
    <t>-668.615107233157 9.20302129053903 -457.607189133946</t>
  </si>
  <si>
    <t>-687.517430069987 0.556192826849838 -578.490842401193</t>
  </si>
  <si>
    <t>-676.724930478082 35.501882033356 -528.067142759918</t>
  </si>
  <si>
    <t>-642.571211383688 187.281650468717 -516.549332315831</t>
  </si>
  <si>
    <t>-500.993297831807 196.653523862637 -272.732952794937</t>
  </si>
  <si>
    <t>-284.885015922381 111.547767168203 -271.076322153341</t>
  </si>
  <si>
    <t>-600.710742194125 119.101774540318 -97.0173004483725</t>
  </si>
  <si>
    <t>-621.188948940641 136.312953331429 317.695877396618</t>
  </si>
  <si>
    <t>-669.299118867169 174.51457736652 776.728030572205</t>
  </si>
  <si>
    <t>-518.986722817136 176.868172789614 834.038241970368</t>
  </si>
  <si>
    <t>-596.641683814764 -77.7747028612789 322.720905221678</t>
  </si>
  <si>
    <t>-653.834107912485 -108.568735514609 781.308653648737</t>
  </si>
  <si>
    <t>-500.034434006432 -126.096597087256 825.152190841799</t>
  </si>
  <si>
    <t>9763-20170724T115357.764026600.bin</t>
  </si>
  <si>
    <t>-599.957453026126 25.6986333846082 -93.1380696247044</t>
  </si>
  <si>
    <t>-623.839997286299 23.0304127782729 -201.212098310718</t>
  </si>
  <si>
    <t>-640.444840862141 18.8396985576144 -292.494971143974</t>
  </si>
  <si>
    <t>-655.009194350598 14.2715210797862 -374.988270624847</t>
  </si>
  <si>
    <t>-668.590057531575 8.88021057311971 -457.599573005287</t>
  </si>
  <si>
    <t>-687.379546934246 0.0785103932978473 -578.489619431266</t>
  </si>
  <si>
    <t>-676.677688448358 35.0930018217791 -528.094244381915</t>
  </si>
  <si>
    <t>-642.69090395648 186.905992184024 -516.576054733744</t>
  </si>
  <si>
    <t>-501.839956920375 195.902065030976 -272.32483360484</t>
  </si>
  <si>
    <t>-286.041686573773 109.997413920695 -272.138252248341</t>
  </si>
  <si>
    <t>-601.074436497182 119.040433520327 -96.9782918234714</t>
  </si>
  <si>
    <t>-621.368791470465 136.320211583615 317.741021230539</t>
  </si>
  <si>
    <t>-669.304998580003 174.482609183969 776.795284443851</t>
  </si>
  <si>
    <t>-518.98846582701 176.843258434185 834.094408063095</t>
  </si>
  <si>
    <t>-596.402451902493 -77.7458873634396 322.748680035493</t>
  </si>
  <si>
    <t>-653.856323243791 -108.533930027359 781.300760634584</t>
  </si>
  <si>
    <t>-500.050211862287 -126.082721581904 825.11333218376</t>
  </si>
  <si>
    <t>9763-20170724T115357.829199800.bin</t>
  </si>
  <si>
    <t>-600.057017862075 25.8549619818216 -93.042983423328</t>
  </si>
  <si>
    <t>-623.889667133179 23.1054872243024 -201.126057738943</t>
  </si>
  <si>
    <t>-640.401845962087 18.8079441117459 -292.420679064674</t>
  </si>
  <si>
    <t>-654.862556513252 14.1248573522048 -374.925791201898</t>
  </si>
  <si>
    <t>-668.319963592311 8.60121538558496 -457.548562340166</t>
  </si>
  <si>
    <t>-676.384689900621 34.6983223877749 -528.088616242657</t>
  </si>
  <si>
    <t>-642.702646718808 186.57650010936 -516.508709465761</t>
  </si>
  <si>
    <t>-502.904237724299 194.918624321823 -271.630372093382</t>
  </si>
  <si>
    <t>-287.649509789883 107.722909010377 -274.923582700159</t>
  </si>
  <si>
    <t>-601.427471076445 119.106089701877 -96.8990151025882</t>
  </si>
  <si>
    <t>-621.576381258215 136.41676127651 317.826129871979</t>
  </si>
  <si>
    <t>-669.318557855836 174.41561672563 776.918169747794</t>
  </si>
  <si>
    <t>-518.986285541259 176.842929381266 834.173141031686</t>
  </si>
  <si>
    <t>-596.212202826378 -77.5849016100658 322.821979609746</t>
  </si>
  <si>
    <t>-653.885868300209 -108.474049685785 781.299926475778</t>
  </si>
  <si>
    <t>-500.087452840929 -126.148731750795 825.088945076919</t>
  </si>
  <si>
    <t>9763-20170724T115357.862738600.bin</t>
  </si>
  <si>
    <t>-599.997398322511 25.9880981453068 -93.0260187636072</t>
  </si>
  <si>
    <t>-623.821056454564 23.2047319711135 -201.110229333322</t>
  </si>
  <si>
    <t>-640.308651484284 18.8574533063165 -292.407061327733</t>
  </si>
  <si>
    <t>-654.740401808573 14.1202945820382 -374.914064651996</t>
  </si>
  <si>
    <t>-668.162124101507 8.53385933205936 -457.538382499967</t>
  </si>
  <si>
    <t>-676.226756408598 34.5748238315982 -528.09918391456</t>
  </si>
  <si>
    <t>-642.605920044217 186.471107162099 -516.53627413497</t>
  </si>
  <si>
    <t>-503.278681117917 194.909752283771 -271.392869100804</t>
  </si>
  <si>
    <t>-288.41213216936 106.844501318368 -276.434278141449</t>
  </si>
  <si>
    <t>-601.439029991853 119.181435100623 -96.8847502738633</t>
  </si>
  <si>
    <t>-621.596347985853 136.463034719066 317.841214929319</t>
  </si>
  <si>
    <t>-669.321900704618 174.372471294217 776.952802195245</t>
  </si>
  <si>
    <t>-518.985517558729 176.824396322735 834.196038417144</t>
  </si>
  <si>
    <t>-596.197747640083 -77.4988777062958 322.844055070628</t>
  </si>
  <si>
    <t>-653.898895405064 -108.417923421089 781.305662746042</t>
  </si>
  <si>
    <t>-500.07162138937 -125.904896958728 825.068636688979</t>
  </si>
  <si>
    <t>9763-20170724T115357.932923900.bin</t>
  </si>
  <si>
    <t>-599.873697266912 26.1632136285464 -93.0269187270939</t>
  </si>
  <si>
    <t>-623.672051864424 23.367997453289 -201.11636706438</t>
  </si>
  <si>
    <t>-640.152181161705 18.9006293190721 -292.408573382658</t>
  </si>
  <si>
    <t>-654.583343977615 14.0115470060971 -374.907001199726</t>
  </si>
  <si>
    <t>-668.010964270231 8.23047364418812 -457.517075643351</t>
  </si>
  <si>
    <t>-676.144855379246 34.0835800222039 -528.139048039461</t>
  </si>
  <si>
    <t>-642.659243606445 186.031292338904 -516.81617572232</t>
  </si>
  <si>
    <t>-504.391251873896 194.644637100522 -271.079944337661</t>
  </si>
  <si>
    <t>-290.340324071167 104.944170457035 -280.275759548831</t>
  </si>
  <si>
    <t>-601.272961393151 119.359116176488 -96.8771744410203</t>
  </si>
  <si>
    <t>-621.547068530441 136.555651635658 317.846639949105</t>
  </si>
  <si>
    <t>-669.303603539176 174.419293475041 776.993431949054</t>
  </si>
  <si>
    <t>-518.962028510971 176.714332171044 834.229461662738</t>
  </si>
  <si>
    <t>-596.063179382239 -77.3460352838672 322.873497860958</t>
  </si>
  <si>
    <t>-653.921571428609 -108.366723929684 781.318568774252</t>
  </si>
  <si>
    <t>-500.122615868084 -126.152195400734 825.060812656241</t>
  </si>
  <si>
    <t>9763-20170724T115357.963617800.bin</t>
  </si>
  <si>
    <t>-599.759858001821 26.2338888650211 -93.0131339966047</t>
  </si>
  <si>
    <t>-623.550563419314 23.4301251519755 -201.104046034274</t>
  </si>
  <si>
    <t>-640.00919213061 18.9067071413331 -292.397468052591</t>
  </si>
  <si>
    <t>-654.415258766593 13.9473120267455 -374.895911569932</t>
  </si>
  <si>
    <t>-667.812262629603 8.07626250487192 -457.504614948659</t>
  </si>
  <si>
    <t>-675.93500541662 33.8415130380063 -528.159898132454</t>
  </si>
  <si>
    <t>-642.385683215727 185.783359630625 -516.970697928435</t>
  </si>
  <si>
    <t>-504.818344780017 194.365239771497 -270.840106579676</t>
  </si>
  <si>
    <t>-291.057776109208 104.215455481371 -282.152610826576</t>
  </si>
  <si>
    <t>-601.159690487121 119.403238072189 -96.8627827156308</t>
  </si>
  <si>
    <t>-621.498644784885 136.608847606616 317.857394652874</t>
  </si>
  <si>
    <t>-669.317273460599 174.369948410819 777.011150508926</t>
  </si>
  <si>
    <t>-518.973997049621 176.776233246286 834.238135587769</t>
  </si>
  <si>
    <t>-595.966725338614 -77.2504966848683 322.894491793027</t>
  </si>
  <si>
    <t>-653.926952580689 -108.299380616505 781.323573135031</t>
  </si>
  <si>
    <t>-500.079201717494 -125.710176225634 825.044931196511</t>
  </si>
  <si>
    <t>9763-20170724T115358.033809100.bin</t>
  </si>
  <si>
    <t>-599.438966572701 26.3247174511753 -92.9993787564315</t>
  </si>
  <si>
    <t>-623.19853931999 23.4840581090889 -201.096159366954</t>
  </si>
  <si>
    <t>-639.632613025981 18.8754525039601 -292.389825954859</t>
  </si>
  <si>
    <t>-654.017372122414 13.8163804081723 -374.885969769702</t>
  </si>
  <si>
    <t>-667.393870140379 7.8244774251832 -457.489262663828</t>
  </si>
  <si>
    <t>-675.5787873736 33.4794597983123 -528.177435407576</t>
  </si>
  <si>
    <t>-642.04476973453 185.417497514836 -516.934580818205</t>
  </si>
  <si>
    <t>-505.485710558159 194.228313060677 -270.251533332967</t>
  </si>
  <si>
    <t>-292.550650717366 102.98305105295 -287.02944925776</t>
  </si>
  <si>
    <t>-600.874139779093 119.527258740912 -96.8572166467383</t>
  </si>
  <si>
    <t>-621.30568335277 136.689164026063 317.860298611519</t>
  </si>
  <si>
    <t>-669.294088853879 174.40944957897 776.996157596565</t>
  </si>
  <si>
    <t>-518.952824798158 176.612409205134 834.236597563399</t>
  </si>
  <si>
    <t>-595.824715939547 -77.2024998346953 322.919941753395</t>
  </si>
  <si>
    <t>-653.939481807248 -108.248109516876 781.333075968249</t>
  </si>
  <si>
    <t>-500.122179850932 -125.94137442688 825.048129038232</t>
  </si>
  <si>
    <t>9763-20170724T115358.064906000.bin</t>
  </si>
  <si>
    <t>-599.268590010253 26.4280648311646 -92.9982027615617</t>
  </si>
  <si>
    <t>-623.009623192409 23.5555883454688 -201.098275536234</t>
  </si>
  <si>
    <t>-639.41703082895 18.9077003023569 -292.394480736072</t>
  </si>
  <si>
    <t>-653.773188637826 13.807118858457 -374.893176420378</t>
  </si>
  <si>
    <t>-667.116577455504 7.76832602572949 -457.498314264742</t>
  </si>
  <si>
    <t>-675.323942061022 33.3843224525947 -528.198068655084</t>
  </si>
  <si>
    <t>-641.859904800979 185.340072138433 -516.937073253133</t>
  </si>
  <si>
    <t>-505.978283724701 194.265929679269 -269.884335622253</t>
  </si>
  <si>
    <t>-293.414279380547 102.608948341833 -288.964953332122</t>
  </si>
  <si>
    <t>-600.828234097218 119.638649450394 -96.8678934181337</t>
  </si>
  <si>
    <t>-621.285025709991 136.745006604202 317.850699400541</t>
  </si>
  <si>
    <t>-669.284513319221 174.409192544638 776.989437676557</t>
  </si>
  <si>
    <t>-518.948826781042 176.630713366262 834.243939429603</t>
  </si>
  <si>
    <t>-595.64442898219 -77.1454332462529 322.930392861242</t>
  </si>
  <si>
    <t>-653.940558341678 -108.208577064487 781.329208526549</t>
  </si>
  <si>
    <t>-500.124270501904 -125.924790772463 825.03853438807</t>
  </si>
  <si>
    <t>9763-20170724T115358.129077400.bin</t>
  </si>
  <si>
    <t>-598.892912035066 26.6416253259235 -92.9744519542096</t>
  </si>
  <si>
    <t>-622.577063561523 23.6649281317514 -201.084170184307</t>
  </si>
  <si>
    <t>-638.947693444863 18.9914832617212 -292.385801656659</t>
  </si>
  <si>
    <t>-653.27433133841 13.8896620541627 -374.889408371668</t>
  </si>
  <si>
    <t>-666.591317307909 7.87394229242682 -457.50055276439</t>
  </si>
  <si>
    <t>-674.90851121527 33.535842668206 -528.170954570782</t>
  </si>
  <si>
    <t>-641.786125191603 185.550327244078 -516.738908833487</t>
  </si>
  <si>
    <t>-506.866502594214 194.130303827684 -269.147202101923</t>
  </si>
  <si>
    <t>-294.774971681858 102.66818953019 -293.650074597157</t>
  </si>
  <si>
    <t>-600.814364907122 119.792771951086 -96.8700023418438</t>
  </si>
  <si>
    <t>-621.361229658667 136.938354404582 317.842471960596</t>
  </si>
  <si>
    <t>-669.282694722872 174.37081196644 777.018114934828</t>
  </si>
  <si>
    <t>-518.956740608596 176.702521772775 834.293670225941</t>
  </si>
  <si>
    <t>-595.144334761393 -76.9685939659842 322.983131800233</t>
  </si>
  <si>
    <t>-653.957664072935 -108.143373586994 781.315988730288</t>
  </si>
  <si>
    <t>-500.144947275874 -125.916195918492 825.015011741584</t>
  </si>
  <si>
    <t>9763-20170724T115358.162173700.bin</t>
  </si>
  <si>
    <t>-598.734858547416 26.7791055000357 -92.9421558783464</t>
  </si>
  <si>
    <t>-622.388105424113 23.7592247550135 -201.057397939921</t>
  </si>
  <si>
    <t>-638.757192099296 19.1112494544805 -292.360560372261</t>
  </si>
  <si>
    <t>-653.091758528416 14.0553915463722 -374.865745197048</t>
  </si>
  <si>
    <t>-666.425400738557 8.11033638061963 -457.479376650826</t>
  </si>
  <si>
    <t>-674.829920223864 33.8532589945023 -528.109729226971</t>
  </si>
  <si>
    <t>-641.864033807422 185.88907241209 -516.487386871606</t>
  </si>
  <si>
    <t>-507.457598748831 194.038002729219 -268.602092191095</t>
  </si>
  <si>
    <t>-295.470510760318 102.733979844229 -294.555587089499</t>
  </si>
  <si>
    <t>-600.871446816974 119.899706567474 -96.8425776923157</t>
  </si>
  <si>
    <t>-621.371106465613 137.0637628438 317.871522685462</t>
  </si>
  <si>
    <t>-669.284354425996 174.320462246387 777.050275728268</t>
  </si>
  <si>
    <t>-518.960154379992 176.762718286552 834.325946527755</t>
  </si>
  <si>
    <t>-594.832071805178 -76.8996028258382 323.024479314649</t>
  </si>
  <si>
    <t>-653.977649414829 -108.119553621661 781.307728524058</t>
  </si>
  <si>
    <t>-500.166709715642 -125.962284775096 824.984393299342</t>
  </si>
  <si>
    <t>9763-20170724T115358.231357500.bin</t>
  </si>
  <si>
    <t>-598.456650492713 27.0008731050723 -92.8538035517712</t>
  </si>
  <si>
    <t>-622.080983922183 23.8919784526211 -200.972770141406</t>
  </si>
  <si>
    <t>-638.48100882794 19.3018669511157 -292.273331750441</t>
  </si>
  <si>
    <t>-652.864190262889 14.3486798735983 -374.776269738892</t>
  </si>
  <si>
    <t>-666.266084213014 8.55976647315106 -457.389861898691</t>
  </si>
  <si>
    <t>-674.89333290799 34.4818829766782 -527.928102761034</t>
  </si>
  <si>
    <t>-642.18602590521 186.53597253339 -515.809179612363</t>
  </si>
  <si>
    <t>-509.106760276995 193.722829396315 -267.17921746821</t>
  </si>
  <si>
    <t>-297.40837487384 102.594514688946 -295.953452737819</t>
  </si>
  <si>
    <t>-600.971576577843 120.088117820308 -96.7745239086087</t>
  </si>
  <si>
    <t>-621.329605306529 137.236245718445 317.947173406063</t>
  </si>
  <si>
    <t>-669.272020886202 174.260621165575 777.122369233142</t>
  </si>
  <si>
    <t>-518.950530886896 176.73227567174 834.403837285075</t>
  </si>
  <si>
    <t>-594.252211480106 -76.8344207342336 323.106541395256</t>
  </si>
  <si>
    <t>-654.032010438726 -108.079866924588 781.288285484874</t>
  </si>
  <si>
    <t>-500.202201801669 -125.921412106222 824.899051605111</t>
  </si>
  <si>
    <t>9763-20170724T115358.263128300.bin</t>
  </si>
  <si>
    <t>-598.271993749841 27.0564379061184 -92.8201318717589</t>
  </si>
  <si>
    <t>-621.904965478995 23.9164401021369 -200.936387875634</t>
  </si>
  <si>
    <t>-638.332239756693 19.3669415394263 -292.234056427683</t>
  </si>
  <si>
    <t>-652.747028838623 14.476371462988 -374.735219324859</t>
  </si>
  <si>
    <t>-666.187035359809 8.77726960682776 -457.348939147897</t>
  </si>
  <si>
    <t>-674.927272711923 34.7986628298927 -527.836538644377</t>
  </si>
  <si>
    <t>-642.283546602943 186.844554960604 -515.408396814418</t>
  </si>
  <si>
    <t>-510.084044803979 193.594310296634 -266.297415120257</t>
  </si>
  <si>
    <t>-298.59424191652 102.091900338155 -295.416274834547</t>
  </si>
  <si>
    <t>-600.901596693797 120.135901616657 -96.7438027813305</t>
  </si>
  <si>
    <t>-621.221012369699 137.256188243344 317.980951489787</t>
  </si>
  <si>
    <t>-669.25806665619 174.230757126578 777.151033076919</t>
  </si>
  <si>
    <t>-518.940080350883 176.675788171736 834.442820806118</t>
  </si>
  <si>
    <t>-593.963771801826 -76.7869609574091 323.143199014724</t>
  </si>
  <si>
    <t>-654.048027655381 -108.067218075951 781.281747689176</t>
  </si>
  <si>
    <t>-500.253453449151 -126.232462071039 824.883075653454</t>
  </si>
  <si>
    <t>9763-20170724T115358.331309700.bin</t>
  </si>
  <si>
    <t>-597.817212302806 27.1475504518439 -92.7607233751467</t>
  </si>
  <si>
    <t>-621.492756474852 23.9901501924892 -200.867064094163</t>
  </si>
  <si>
    <t>-637.980810243005 19.5589766896858 -292.159754921408</t>
  </si>
  <si>
    <t>-652.458529354616 14.8272439193358 -374.659053202741</t>
  </si>
  <si>
    <t>-665.968351576712 9.34130301190703 -457.275903764524</t>
  </si>
  <si>
    <t>-684.668244494481 0.479092481061571 -578.175423316738</t>
  </si>
  <si>
    <t>-674.90653148637 35.5881187731497 -527.65505902366</t>
  </si>
  <si>
    <t>-642.419141944709 187.625605341669 -514.714319579967</t>
  </si>
  <si>
    <t>-512.310432580477 193.729260584327 -264.488308135842</t>
  </si>
  <si>
    <t>-301.282602459343 101.344790399032 -294.168302201653</t>
  </si>
  <si>
    <t>-600.610614617437 120.191567346553 -96.6582564084913</t>
  </si>
  <si>
    <t>-620.920854238881 137.286404976034 318.068020306282</t>
  </si>
  <si>
    <t>-669.215763279249 174.226870427685 777.215192330451</t>
  </si>
  <si>
    <t>-518.912867621727 176.740153502432 834.54366961397</t>
  </si>
  <si>
    <t>-593.401220660783 -76.6755576971648 323.20641038661</t>
  </si>
  <si>
    <t>-654.07090112815 -107.993428272868 781.265091112179</t>
  </si>
  <si>
    <t>-500.245398129098 -125.93030026867 824.851810053861</t>
  </si>
  <si>
    <t>9763-20170724T115358.361049100.bin</t>
  </si>
  <si>
    <t>-597.630360094109 27.183876335798 -92.7306907240012</t>
  </si>
  <si>
    <t>-621.307247835637 24.0346372764898 -200.837122637683</t>
  </si>
  <si>
    <t>-637.82911578357 19.6695797437403 -292.126702696729</t>
  </si>
  <si>
    <t>-652.349620877247 15.0212380766525 -374.623364980439</t>
  </si>
  <si>
    <t>-665.913949176556 9.64326170745971 -457.238258631811</t>
  </si>
  <si>
    <t>-684.705769447117 0.966743095817947 -578.137022084102</t>
  </si>
  <si>
    <t>-674.974838670428 36.0022704478567 -527.559783840128</t>
  </si>
  <si>
    <t>-642.630168896912 188.047250593379 -514.350695589046</t>
  </si>
  <si>
    <t>-513.476784673537 193.737922571777 -263.620475734952</t>
  </si>
  <si>
    <t>-302.61889832712 101.036161944471 -293.518196899822</t>
  </si>
  <si>
    <t>-600.476580735605 120.24256086386 -96.6142737452038</t>
  </si>
  <si>
    <t>-620.786576007049 137.331477566875 318.112261155406</t>
  </si>
  <si>
    <t>-669.186011906621 174.238005800494 777.249580712145</t>
  </si>
  <si>
    <t>-518.890403966062 176.589046719331 834.603958581998</t>
  </si>
  <si>
    <t>-593.261518468395 -76.6535866069671 323.225550896053</t>
  </si>
  <si>
    <t>-654.083197144952 -107.962366486398 781.259340689836</t>
  </si>
  <si>
    <t>-500.265027762252 -125.963571222248 824.845389312865</t>
  </si>
  <si>
    <t>9763-20170724T115358.434243900.bin</t>
  </si>
  <si>
    <t>-597.466447455002 27.1071298735737 -92.6716213904928</t>
  </si>
  <si>
    <t>-621.138062412322 23.995862108585 -200.780264141781</t>
  </si>
  <si>
    <t>-637.761518971566 19.8107508111161 -292.059935385495</t>
  </si>
  <si>
    <t>-652.414269703563 15.3845580991178 -374.545303890102</t>
  </si>
  <si>
    <t>-666.150199796645 10.2912451299774 -457.149909944364</t>
  </si>
  <si>
    <t>-685.234855009856 2.10038143603902 -578.036734817116</t>
  </si>
  <si>
    <t>-675.509488821586 36.939816636032 -527.322925982595</t>
  </si>
  <si>
    <t>-643.137735843284 188.915617185945 -513.440854522854</t>
  </si>
  <si>
    <t>-515.836417460281 194.024374449598 -261.752741820644</t>
  </si>
  <si>
    <t>-305.238076096993 100.686106494836 -291.499031250219</t>
  </si>
  <si>
    <t>-600.401882400549 120.099658385268 -96.5156503983195</t>
  </si>
  <si>
    <t>-620.76253096666 137.241559593962 318.206168286024</t>
  </si>
  <si>
    <t>-669.179458331881 174.102965547804 777.347659468092</t>
  </si>
  <si>
    <t>-518.891512751432 176.596959737693 834.716075272972</t>
  </si>
  <si>
    <t>-593.227632198053 -76.7402260096885 323.233446210752</t>
  </si>
  <si>
    <t>-654.092794372827 -107.930321024416 781.257175567813</t>
  </si>
  <si>
    <t>-500.255768707985 -125.73358811598 824.858080192341</t>
  </si>
  <si>
    <t>9763-20170724T115358.463327800.bin</t>
  </si>
  <si>
    <t>-597.44962019621 27.0277790153373 -92.6391160516387</t>
  </si>
  <si>
    <t>-621.099073713826 23.935254182715 -200.753144894256</t>
  </si>
  <si>
    <t>-637.741101415315 19.8529965488817 -292.034067195203</t>
  </si>
  <si>
    <t>-652.424570211593 15.5545057108866 -374.520746731944</t>
  </si>
  <si>
    <t>-666.204368687699 10.6252026607331 -457.127945941182</t>
  </si>
  <si>
    <t>-685.367049172068 2.7141204125212 -578.021073760588</t>
  </si>
  <si>
    <t>-675.672057359526 37.4394872527691 -527.223390250805</t>
  </si>
  <si>
    <t>-643.164202864383 189.341734113052 -513.008525082761</t>
  </si>
  <si>
    <t>-516.95164255028 194.333537221532 -260.770384477917</t>
  </si>
  <si>
    <t>-306.60878082601 100.261463283818 -290.0081948651</t>
  </si>
  <si>
    <t>-600.393214815001 120.000899478976 -96.4622873463674</t>
  </si>
  <si>
    <t>-620.799755483488 137.186256061335 318.255553377356</t>
  </si>
  <si>
    <t>-669.158465759641 174.126587056471 777.392159580764</t>
  </si>
  <si>
    <t>-518.870716741291 176.544871692951 834.764293753844</t>
  </si>
  <si>
    <t>-593.232438420289 -76.810759352054 323.240711997492</t>
  </si>
  <si>
    <t>-654.091918761582 -107.924333825366 781.261007880331</t>
  </si>
  <si>
    <t>-500.25992015551 -125.725989150686 824.880284353951</t>
  </si>
  <si>
    <t>9763-20170724T115358.530506300.bin</t>
  </si>
  <si>
    <t>-597.470700987383 26.9020012516892 -92.6117890508825</t>
  </si>
  <si>
    <t>-621.037625259652 23.8525900399729 -200.744965722664</t>
  </si>
  <si>
    <t>-637.693718932149 19.9951734623342 -292.033084650614</t>
  </si>
  <si>
    <t>-652.421320994953 15.9757622053246 -374.526012458969</t>
  </si>
  <si>
    <t>-666.275364396523 11.4038846081432 -457.141419989791</t>
  </si>
  <si>
    <t>-685.578202660564 4.10244421180801 -578.050519927937</t>
  </si>
  <si>
    <t>-684.37485675208 0.0603129066294059 -656.296496344847</t>
  </si>
  <si>
    <t>-675.935874120333 38.5767279016352 -527.072102580795</t>
  </si>
  <si>
    <t>-643.308618480176 190.423978985 -512.318926663486</t>
  </si>
  <si>
    <t>-519.497077217186 194.42015260907 -258.876129272427</t>
  </si>
  <si>
    <t>-309.681024977627 98.9368331626306 -287.313697866692</t>
  </si>
  <si>
    <t>-600.402596149061 119.860688003369 -96.3991566247443</t>
  </si>
  <si>
    <t>-620.853578495259 137.120226367255 318.313416632915</t>
  </si>
  <si>
    <t>-669.123335344966 174.116412417221 777.478333770346</t>
  </si>
  <si>
    <t>-518.841659691565 176.562977627626 834.865172688748</t>
  </si>
  <si>
    <t>-593.261959204503 -76.8879429036792 323.238862682344</t>
  </si>
  <si>
    <t>-654.082275375408 -107.920702503629 781.271494572711</t>
  </si>
  <si>
    <t>-500.293918960501 -125.923232635208 824.962127641117</t>
  </si>
  <si>
    <t>9763-20170724T115358.562318300.bin</t>
  </si>
  <si>
    <t>-597.501891461562 26.9210324018973 -92.5671174629854</t>
  </si>
  <si>
    <t>-621.008453099258 23.8881048061783 -200.713863151079</t>
  </si>
  <si>
    <t>-637.684862676373 20.1274633091252 -292.00241287253</t>
  </si>
  <si>
    <t>-652.458482880263 16.2293194132449 -374.492905480805</t>
  </si>
  <si>
    <t>-666.385695669396 11.8137668374775 -457.104440921775</t>
  </si>
  <si>
    <t>-685.824742347846 4.78015550344981 -578.007622285479</t>
  </si>
  <si>
    <t>-684.712099012488 0.922195948140597 -656.264211136397</t>
  </si>
  <si>
    <t>-676.175950833727 39.1437807071056 -526.955864280796</t>
  </si>
  <si>
    <t>-643.497630014701 190.944797458661 -511.945053055377</t>
  </si>
  <si>
    <t>-520.85357930142 194.332535983632 -257.926237853412</t>
  </si>
  <si>
    <t>-311.202473546066 98.3470401598042 -285.885771512639</t>
  </si>
  <si>
    <t>-600.44410564112 119.885874060317 -96.3565961616616</t>
  </si>
  <si>
    <t>-620.937031085119 137.134934245854 318.354277414747</t>
  </si>
  <si>
    <t>-669.113064281438 174.114795684714 777.522717373469</t>
  </si>
  <si>
    <t>-518.832418737092 176.561883394464 834.912183517021</t>
  </si>
  <si>
    <t>-593.319730056905 -76.9097804840928 323.248623130937</t>
  </si>
  <si>
    <t>-654.083096431076 -107.904101397637 781.28052594206</t>
  </si>
  <si>
    <t>-500.28993044699 -125.809196893088 824.99417876537</t>
  </si>
  <si>
    <t>9763-20170724T115358.629496100.bin</t>
  </si>
  <si>
    <t>-597.463895658672 27.0814401052953 -92.5389444892965</t>
  </si>
  <si>
    <t>-620.871847735689 24.0515244256276 -200.707231088218</t>
  </si>
  <si>
    <t>-637.629907925096 20.518289900192 -291.989926559522</t>
  </si>
  <si>
    <t>-652.54108396954 16.9163189682217 -374.469158571304</t>
  </si>
  <si>
    <t>-666.668544127079 12.890667510125 -457.066598581585</t>
  </si>
  <si>
    <t>-686.46771771935 6.53173886522518 -577.948741754531</t>
  </si>
  <si>
    <t>-685.528755654539 3.17507086809724 -656.230559644751</t>
  </si>
  <si>
    <t>-676.827237104024 40.6169312220809 -526.708945890258</t>
  </si>
  <si>
    <t>-644.024242171276 192.309242565222 -510.985810655727</t>
  </si>
  <si>
    <t>-523.406168136553 194.372859307205 -255.984662456431</t>
  </si>
  <si>
    <t>-313.942771091278 97.6348482287178 -282.731176961908</t>
  </si>
  <si>
    <t>-600.490739300909 120.026075126084 -96.3092113667741</t>
  </si>
  <si>
    <t>-621.051558543249 137.276584328524 318.398256698999</t>
  </si>
  <si>
    <t>-669.074156712398 174.129485984924 777.597927536174</t>
  </si>
  <si>
    <t>-518.796488158737 176.601251861207 834.994342578143</t>
  </si>
  <si>
    <t>-593.432060476933 -76.8567993964712 323.25516464603</t>
  </si>
  <si>
    <t>-654.07415592207 -107.866387691614 781.29106043666</t>
  </si>
  <si>
    <t>-500.290964689247 -125.731864401893 825.056082703702</t>
  </si>
  <si>
    <t>9763-20170724T115358.661627300.bin</t>
  </si>
  <si>
    <t>-597.454325860998 27.2311348233911 -92.5254002636198</t>
  </si>
  <si>
    <t>-620.839063365187 24.1769013150781 -200.697997454233</t>
  </si>
  <si>
    <t>-637.652978659734 20.7713788634699 -291.975261160554</t>
  </si>
  <si>
    <t>-652.643684319326 17.3432570790494 -374.447405570488</t>
  </si>
  <si>
    <t>-666.879060038519 13.5521808316373 -457.037393292626</t>
  </si>
  <si>
    <t>-686.866225420281 7.60359004723136 -577.909544891269</t>
  </si>
  <si>
    <t>-686.027212377668 4.54769395019389 -656.204865131937</t>
  </si>
  <si>
    <t>-677.247729893632 41.5183755214109 -526.552780682983</t>
  </si>
  <si>
    <t>-644.531643987784 193.190153964541 -510.373426184504</t>
  </si>
  <si>
    <t>-524.588952646103 194.367862906897 -255.048356253939</t>
  </si>
  <si>
    <t>-315.200811008669 97.4049605454713 -281.568902050465</t>
  </si>
  <si>
    <t>-600.574769628226 120.173892349304 -96.2979099297606</t>
  </si>
  <si>
    <t>-621.069065228543 137.369944625297 318.415038650228</t>
  </si>
  <si>
    <t>-669.076172717156 174.068698332853 777.634517388341</t>
  </si>
  <si>
    <t>-518.799963824089 176.541532656895 835.034630422392</t>
  </si>
  <si>
    <t>-593.413665090419 -76.7887113537563 323.270942497893</t>
  </si>
  <si>
    <t>-654.065736272623 -107.845178652646 781.302275681667</t>
  </si>
  <si>
    <t>-500.290318826722 -125.676237754112 825.108603148416</t>
  </si>
  <si>
    <t>9763-20170724T115358.730812900.bin</t>
  </si>
  <si>
    <t>-597.394196809858 27.6075098497286 -92.4487190316231</t>
  </si>
  <si>
    <t>-620.790167416361 24.504002262719 -200.617521560024</t>
  </si>
  <si>
    <t>-637.673837343889 21.3365861363889 -291.89046315412</t>
  </si>
  <si>
    <t>-652.749518408144 18.2335205999359 -374.359998420875</t>
  </si>
  <si>
    <t>-667.090569347157 14.8808409286326 -456.95076457711</t>
  </si>
  <si>
    <t>-687.253793819284 9.69813156282612 -577.828863306753</t>
  </si>
  <si>
    <t>-686.609798475249 7.22288870877105 -656.146572454559</t>
  </si>
  <si>
    <t>-677.746674806876 43.2928919861711 -526.241568354218</t>
  </si>
  <si>
    <t>-645.227341336399 194.903495633696 -509.135287473635</t>
  </si>
  <si>
    <t>-525.854094143361 194.242194029657 -253.541505096377</t>
  </si>
  <si>
    <t>-316.812283163853 96.6093475511557 -280.334770985073</t>
  </si>
  <si>
    <t>-600.736565500143 120.510602910092 -96.2346816743652</t>
  </si>
  <si>
    <t>-621.064579040672 137.591190292157 318.491281082975</t>
  </si>
  <si>
    <t>-669.046323143455 174.091488968798 777.715680463127</t>
  </si>
  <si>
    <t>-518.764946859025 176.495825618714 835.10506699911</t>
  </si>
  <si>
    <t>-593.188626290351 -76.5154027084525 323.342972368994</t>
  </si>
  <si>
    <t>-654.065686388411 -107.822671958108 781.316416784903</t>
  </si>
  <si>
    <t>-500.297573032193 -125.616539580648 825.163575870243</t>
  </si>
  <si>
    <t>9763-20170724T115358.761900400.bin</t>
  </si>
  <si>
    <t>-597.336824070805 27.7683547505339 -92.4193400010829</t>
  </si>
  <si>
    <t>-620.720809356638 24.6551157587016 -200.590523022093</t>
  </si>
  <si>
    <t>-637.6234693685 21.612854440275 -291.864145824228</t>
  </si>
  <si>
    <t>-652.726971241954 18.6751049134782 -374.334667611642</t>
  </si>
  <si>
    <t>-667.105969402626 15.541883240169 -456.927510353088</t>
  </si>
  <si>
    <t>-687.335255102427 10.739653559496 -577.81014546476</t>
  </si>
  <si>
    <t>-686.817514777007 8.52815284889493 -656.136723621645</t>
  </si>
  <si>
    <t>-677.907418555263 44.1745848516389 -526.104749187945</t>
  </si>
  <si>
    <t>-645.511360914561 195.762093640308 -508.481291348592</t>
  </si>
  <si>
    <t>-526.115967615024 194.304507389176 -252.901221754012</t>
  </si>
  <si>
    <t>-317.257906632576 96.3627128880016 -279.998318054368</t>
  </si>
  <si>
    <t>-600.776138417837 120.655652521687 -96.1893724992219</t>
  </si>
  <si>
    <t>-621.075460077132 137.68409006021 318.540098586097</t>
  </si>
  <si>
    <t>-669.021696957617 174.122139543914 777.758774746571</t>
  </si>
  <si>
    <t>-518.73581511561 176.434334620336 835.140354643262</t>
  </si>
  <si>
    <t>-593.104382368512 -76.4211737292321 323.36185911934</t>
  </si>
  <si>
    <t>-654.07293634577 -107.83843483193 781.317956008935</t>
  </si>
  <si>
    <t>-500.349129906631 -125.95383297592 825.188708480235</t>
  </si>
  <si>
    <t>9763-20170724T115358.832087700.bin</t>
  </si>
  <si>
    <t>-597.174792243907 28.007516008224 -92.3588144551056</t>
  </si>
  <si>
    <t>-620.453702128518 24.875623785239 -200.552090693524</t>
  </si>
  <si>
    <t>-637.374421154452 22.075268688395 -291.830132665192</t>
  </si>
  <si>
    <t>-652.535355989404 19.456390458646 -374.300811620884</t>
  </si>
  <si>
    <t>-667.01200055616 16.7465669117389 -456.891414850025</t>
  </si>
  <si>
    <t>-687.42730273261 12.6788675224213 -577.769964582192</t>
  </si>
  <si>
    <t>-687.206087952096 10.9665837806103 -656.110464323703</t>
  </si>
  <si>
    <t>-678.132698871442 45.8034160123036 -525.84108447274</t>
  </si>
  <si>
    <t>-645.929078105206 197.329224615039 -507.360848025805</t>
  </si>
  <si>
    <t>-526.456039212879 193.737806153388 -251.838064162395</t>
  </si>
  <si>
    <t>-317.484826705646 96.1535667902176 -279.34969679854</t>
  </si>
  <si>
    <t>-600.888816618402 120.743395802628 -96.0905043199291</t>
  </si>
  <si>
    <t>-621.247693586419 137.718704717122 318.638251693488</t>
  </si>
  <si>
    <t>-669.011604075709 174.022465927692 777.867588207701</t>
  </si>
  <si>
    <t>-518.719505376293 176.528335624414 835.224555498974</t>
  </si>
  <si>
    <t>-592.981625684671 -76.3275023523915 323.376542493429</t>
  </si>
  <si>
    <t>-654.084649469353 -107.79574269265 781.314703826631</t>
  </si>
  <si>
    <t>-500.324304063478 -125.555203176556 825.202916164694</t>
  </si>
  <si>
    <t>9763-20170724T115358.865861800.bin</t>
  </si>
  <si>
    <t>-596.98250375692 28.0988223965721 -92.3091766158577</t>
  </si>
  <si>
    <t>-620.209894350794 24.9673914850596 -200.513489005072</t>
  </si>
  <si>
    <t>-637.144285890757 22.2911133562725 -291.792738224892</t>
  </si>
  <si>
    <t>-652.339708202859 19.8327216526927 -374.26209795446</t>
  </si>
  <si>
    <t>-666.872718903892 17.3334603102046 -456.849396297549</t>
  </si>
  <si>
    <t>-687.393938376069 13.6292152200122 -577.721632708998</t>
  </si>
  <si>
    <t>-687.313176306622 12.1563415692422 -656.067223372482</t>
  </si>
  <si>
    <t>-678.159356712685 46.5990187981431 -525.683634531389</t>
  </si>
  <si>
    <t>-646.017498852813 198.085968751146 -506.782553927753</t>
  </si>
  <si>
    <t>-526.531199387512 193.102588328476 -251.289298038483</t>
  </si>
  <si>
    <t>-317.3936191706 95.9338039362344 -279.00651130531</t>
  </si>
  <si>
    <t>-600.81922354194 120.745325246568 -96.0193690281744</t>
  </si>
  <si>
    <t>-621.291611116732 137.758590581094 318.702285690976</t>
  </si>
  <si>
    <t>-668.995013786918 174.022541656324 777.930059767534</t>
  </si>
  <si>
    <t>-518.700153307904 176.473818382189 835.282230595475</t>
  </si>
  <si>
    <t>-592.889636133946 -76.2891449064773 323.388825126638</t>
  </si>
  <si>
    <t>-654.091464421346 -107.805544175485 781.311920524071</t>
  </si>
  <si>
    <t>-500.356323253458 -125.740866413712 825.216997943551</t>
  </si>
  <si>
    <t>9763-20170724T115358.929029600.bin</t>
  </si>
  <si>
    <t>-596.436071689559 28.4406357761743 -92.2092408663779</t>
  </si>
  <si>
    <t>-619.678885838386 25.3351098932887 -200.411019822327</t>
  </si>
  <si>
    <t>-636.682595784314 22.9379696211254 -291.685131125556</t>
  </si>
  <si>
    <t>-651.962036986167 20.8313333644794 -374.148657124188</t>
  </si>
  <si>
    <t>-666.599650911627 18.7878283919997 -456.730108643184</t>
  </si>
  <si>
    <t>-687.295759255163 15.8642675389476 -577.593788344038</t>
  </si>
  <si>
    <t>-687.411747459248 14.9070928197007 -655.947414855685</t>
  </si>
  <si>
    <t>-678.188088393176 48.4989780006879 -525.322760415923</t>
  </si>
  <si>
    <t>-646.433875205994 199.944964199757 -505.522542940724</t>
  </si>
  <si>
    <t>-526.526742912132 192.747946039432 -250.279277198641</t>
  </si>
  <si>
    <t>-317.153927035496 96.1259916724964 -278.131565805739</t>
  </si>
  <si>
    <t>-600.505964982763 121.014767370929 -95.8665111087064</t>
  </si>
  <si>
    <t>-621.140558103174 137.92154989037 318.851437200867</t>
  </si>
  <si>
    <t>-668.935163952822 174.072368156587 778.058226654623</t>
  </si>
  <si>
    <t>-518.647819956525 176.412991232662 835.434769856649</t>
  </si>
  <si>
    <t>-592.518321221908 -76.0856021631785 323.420731449224</t>
  </si>
  <si>
    <t>-654.108158009859 -107.764880456317 781.295948323236</t>
  </si>
  <si>
    <t>-500.360230656556 -125.588964589438 825.201589919607</t>
  </si>
  <si>
    <t>9763-20170724T115358.965640400.bin</t>
  </si>
  <si>
    <t>-596.180879994891 28.5292097514284 -92.1732193457702</t>
  </si>
  <si>
    <t>-619.474807572565 25.4326408434363 -200.364328435043</t>
  </si>
  <si>
    <t>-636.558037444196 23.1775294168472 -291.627154598802</t>
  </si>
  <si>
    <t>-651.92333737751 21.251985056369 -374.079150130324</t>
  </si>
  <si>
    <t>-666.660574475983 19.4439553247375 -456.648451661987</t>
  </si>
  <si>
    <t>-687.517066136471 16.924913564603 -577.493798861106</t>
  </si>
  <si>
    <t>-687.712246165357 16.2325845523285 -655.85002405152</t>
  </si>
  <si>
    <t>-678.423367606825 49.3848732275417 -525.111474682116</t>
  </si>
  <si>
    <t>-646.82644172697 200.811152983391 -504.816799847542</t>
  </si>
  <si>
    <t>-526.724124703834 192.618507368773 -249.695335402885</t>
  </si>
  <si>
    <t>-317.193783167365 96.3062059653803 -277.435329789484</t>
  </si>
  <si>
    <t>-600.349277262779 121.109690075241 -95.7988565727671</t>
  </si>
  <si>
    <t>-620.991840238093 137.92178284566 318.922598167567</t>
  </si>
  <si>
    <t>-668.910590260146 174.059656514315 778.128329563288</t>
  </si>
  <si>
    <t>-518.632748301518 176.485956253064 835.526087109817</t>
  </si>
  <si>
    <t>-592.261323128827 -76.0686532252882 323.437423215575</t>
  </si>
  <si>
    <t>-654.122146067048 -107.744328146749 781.288551049619</t>
  </si>
  <si>
    <t>-500.370754082739 -125.555283700413 825.187309847649</t>
  </si>
  <si>
    <t>9763-20170724T115359.030812500.bin</t>
  </si>
  <si>
    <t>-595.734769488847 28.7199156480758 -92.062484901291</t>
  </si>
  <si>
    <t>-619.191525550521 25.6463612209004 -200.218898353665</t>
  </si>
  <si>
    <t>-636.39773916158 23.666882360676 -291.465095698856</t>
  </si>
  <si>
    <t>-651.867216424468 22.0911040230803 -373.905128576385</t>
  </si>
  <si>
    <t>-666.701304175202 20.7357553650452 -456.465602393136</t>
  </si>
  <si>
    <t>-687.690706992787 18.9917874693849 -577.301645645732</t>
  </si>
  <si>
    <t>-687.93451350741 18.8135317287265 -655.660657412004</t>
  </si>
  <si>
    <t>-678.668428950691 51.1149623124275 -524.699918778334</t>
  </si>
  <si>
    <t>-647.240886077503 202.437975662029 -503.423753571383</t>
  </si>
  <si>
    <t>-527.163447823235 192.613944880593 -248.348342714148</t>
  </si>
  <si>
    <t>-317.420509963191 96.7277434716439 -275.957595494312</t>
  </si>
  <si>
    <t>-600.030997151763 121.373155836008 -95.6140778494863</t>
  </si>
  <si>
    <t>-620.700070660849 137.931431892694 319.116209996528</t>
  </si>
  <si>
    <t>-668.856484524454 174.103750235034 778.291971832714</t>
  </si>
  <si>
    <t>-518.588680056286 176.3669518813 835.722625362206</t>
  </si>
  <si>
    <t>-591.606478804028 -75.9270002841972 323.509378014059</t>
  </si>
  <si>
    <t>-654.143906790526 -107.695501812138 781.270227561248</t>
  </si>
  <si>
    <t>-500.360502774555 -125.255097217123 825.158157725127</t>
  </si>
  <si>
    <t>9763-20170724T115359.062634800.bin</t>
  </si>
  <si>
    <t>-595.605070398728 28.7784329273054 -92.0036894304511</t>
  </si>
  <si>
    <t>-619.136270394774 25.7434085169227 -200.145124483666</t>
  </si>
  <si>
    <t>-636.392957355152 23.8988872600708 -291.384544458886</t>
  </si>
  <si>
    <t>-651.902705598831 22.485417644489 -373.819923794033</t>
  </si>
  <si>
    <t>-666.7716195182 21.3335044014925 -456.377304860378</t>
  </si>
  <si>
    <t>-687.805685284143 19.9327763760298 -577.210025684881</t>
  </si>
  <si>
    <t>-688.07475139377 19.9701804811907 -655.569021029025</t>
  </si>
  <si>
    <t>-678.822753839825 51.9060539829172 -524.510284765819</t>
  </si>
  <si>
    <t>-647.547937216276 203.187088884188 -502.73353535092</t>
  </si>
  <si>
    <t>-527.43296532539 192.563402549746 -247.707847380792</t>
  </si>
  <si>
    <t>-317.630434399307 96.7854460891735 -275.239719249434</t>
  </si>
  <si>
    <t>-599.953134985936 121.428741320132 -95.5080702865287</t>
  </si>
  <si>
    <t>-620.642203081205 137.900802654237 319.224593277317</t>
  </si>
  <si>
    <t>-668.854670349551 174.011504985066 778.390339831974</t>
  </si>
  <si>
    <t>-518.590541049236 176.47754841506 835.822303841667</t>
  </si>
  <si>
    <t>-591.350305942172 -75.8518366979838 323.537934123832</t>
  </si>
  <si>
    <t>-654.146043992559 -107.74853082808 781.261509213671</t>
  </si>
  <si>
    <t>-500.420330878258 -125.732832888903 825.179524262064</t>
  </si>
  <si>
    <t>9763-20170724T115359.131819000.bin</t>
  </si>
  <si>
    <t>-595.715351468249 28.9683148239703 -91.880518586746</t>
  </si>
  <si>
    <t>-619.358001239978 25.9849226347035 -199.99909878324</t>
  </si>
  <si>
    <t>-636.687934125108 24.4191664517575 -291.229813431734</t>
  </si>
  <si>
    <t>-652.254602692108 23.3504613776183 -373.659768720099</t>
  </si>
  <si>
    <t>-667.170906961316 22.6381110153961 -456.213517708955</t>
  </si>
  <si>
    <t>-688.263341800625 21.9839067872358 -577.042385555542</t>
  </si>
  <si>
    <t>-688.595505521267 22.4618759434381 -655.399668059939</t>
  </si>
  <si>
    <t>-679.353262857411 53.6301542661722 -524.133204536226</t>
  </si>
  <si>
    <t>-648.397022427438 204.832008414895 -501.391599074924</t>
  </si>
  <si>
    <t>-528.282377983148 192.163615283076 -246.459057998022</t>
  </si>
  <si>
    <t>-318.083866605741 97.2210530634979 -273.86388109066</t>
  </si>
  <si>
    <t>-600.142169463531 121.64548171815 -95.3209185218694</t>
  </si>
  <si>
    <t>-620.74662032668 137.989243501626 319.42108396812</t>
  </si>
  <si>
    <t>-668.818733387443 174.043007460718 778.59809247414</t>
  </si>
  <si>
    <t>-518.557620775298 176.421459385276 836.041694781877</t>
  </si>
  <si>
    <t>-590.969376674551 -75.7518471728765 323.58852691589</t>
  </si>
  <si>
    <t>-654.137451764864 -107.754248232645 781.261547098784</t>
  </si>
  <si>
    <t>-500.461983957968 -126.030745175625 825.23472325994</t>
  </si>
  <si>
    <t>9763-20170724T115359.164530200.bin</t>
  </si>
  <si>
    <t>-595.920234546698 29.0706628793969 -91.8107965389594</t>
  </si>
  <si>
    <t>-619.607333204005 26.1019823364238 -199.920057677922</t>
  </si>
  <si>
    <t>-636.943723958794 24.6620057588007 -291.151662331453</t>
  </si>
  <si>
    <t>-652.503371210376 23.7520819176289 -373.584761712758</t>
  </si>
  <si>
    <t>-667.39954388615 23.2438551835928 -456.143708532648</t>
  </si>
  <si>
    <t>-688.447852047722 22.9382262247552 -576.981650316447</t>
  </si>
  <si>
    <t>-688.797411865256 23.6261557576454 -655.337219314829</t>
  </si>
  <si>
    <t>-679.574901032308 54.4314810450874 -523.975068111001</t>
  </si>
  <si>
    <t>-648.613721024197 205.56493422589 -500.792235441329</t>
  </si>
  <si>
    <t>-528.605256589636 191.961652190015 -245.857842066065</t>
  </si>
  <si>
    <t>-318.270131905217 97.2755005953443 -273.101056337375</t>
  </si>
  <si>
    <t>-600.347437767969 121.777048519025 -95.2308200574284</t>
  </si>
  <si>
    <t>-620.889371683181 138.037513939215 319.517568075426</t>
  </si>
  <si>
    <t>-668.818147156955 174.020707544157 778.712672491799</t>
  </si>
  <si>
    <t>-518.552329651816 176.47567228919 836.140649898306</t>
  </si>
  <si>
    <t>-590.924478608379 -75.6366537637114 323.623793727136</t>
  </si>
  <si>
    <t>-654.135722707347 -107.721317122378 781.26744090556</t>
  </si>
  <si>
    <t>-500.456593301758 -125.90245742826 825.267385461537</t>
  </si>
  <si>
    <t>9763-20170724T115359.230707300.bin</t>
  </si>
  <si>
    <t>-596.61476242143 29.4296944542391 -91.7403723357711</t>
  </si>
  <si>
    <t>-620.350579893913 26.5127681271265 -199.840336419141</t>
  </si>
  <si>
    <t>-637.640988519326 25.3156490425818 -291.084241554376</t>
  </si>
  <si>
    <t>-653.123451950859 24.7052970812649 -373.534559828197</t>
  </si>
  <si>
    <t>-667.906114581256 24.5771977098177 -456.115305398649</t>
  </si>
  <si>
    <t>-688.74829092684 24.915122492755 -576.988867345413</t>
  </si>
  <si>
    <t>-689.061051129309 26.0207345145059 -655.339913032366</t>
  </si>
  <si>
    <t>-679.961438849981 56.1256618774701 -523.801076937653</t>
  </si>
  <si>
    <t>-648.502814889558 207.021202030394 -499.781025699397</t>
  </si>
  <si>
    <t>-529.075027806094 191.322345732133 -244.694422683615</t>
  </si>
  <si>
    <t>-318.504780059995 97.0132659574424 -271.424791662169</t>
  </si>
  <si>
    <t>-600.945038826871 122.215868683068 -95.1195460546811</t>
  </si>
  <si>
    <t>-621.231261448028 138.302613469709 319.648217484069</t>
  </si>
  <si>
    <t>-668.803083384979 174.094600073274 778.914988051583</t>
  </si>
  <si>
    <t>-518.516417703216 176.388434413837 836.295222885461</t>
  </si>
  <si>
    <t>-591.222601707217 -75.3207859886511 323.648370285342</t>
  </si>
  <si>
    <t>-654.118841772489 -107.700579703712 781.296630452519</t>
  </si>
  <si>
    <t>-500.459587087742 -125.908341349692 825.354886331458</t>
  </si>
  <si>
    <t>9763-20170724T115359.262546500.bin</t>
  </si>
  <si>
    <t>-597.131480882147 29.6689490956578 -91.7308456314116</t>
  </si>
  <si>
    <t>-620.84349188538 26.7859160067194 -199.836989683371</t>
  </si>
  <si>
    <t>-638.070958698547 25.7113672962735 -291.094272512258</t>
  </si>
  <si>
    <t>-653.479249830591 25.2498902726963 -373.559491777824</t>
  </si>
  <si>
    <t>-668.170145815808 25.3088450159457 -456.156685167959</t>
  </si>
  <si>
    <t>-688.858644752584 25.962208695523 -577.055413477984</t>
  </si>
  <si>
    <t>-689.118331504455 27.2775375720232 -655.403414478677</t>
  </si>
  <si>
    <t>-680.13877945908 57.0338616736794 -523.775387602049</t>
  </si>
  <si>
    <t>-648.332835492794 207.789946995233 -499.331302520434</t>
  </si>
  <si>
    <t>-529.022120631172 190.83743174929 -244.270239442917</t>
  </si>
  <si>
    <t>-318.344360358379 96.6958489062501 -270.74234358086</t>
  </si>
  <si>
    <t>-601.358731379474 122.496232093237 -95.0970898902109</t>
  </si>
  <si>
    <t>-621.491926024082 138.502283651661 319.681286114235</t>
  </si>
  <si>
    <t>-668.796688071731 174.128841804212 778.998279484925</t>
  </si>
  <si>
    <t>-518.498003187196 176.242290041879 836.353997296252</t>
  </si>
  <si>
    <t>-591.575927771689 -75.114556804524 323.636743784649</t>
  </si>
  <si>
    <t>-654.10318679029 -107.697626359723 781.313002148427</t>
  </si>
  <si>
    <t>-500.459123640482 -125.914606877543 825.420432012617</t>
  </si>
  <si>
    <t>9763-20170724T115359.328723600.bin</t>
  </si>
  <si>
    <t>-598.252521950187 30.1427354206039 -91.7303640652282</t>
  </si>
  <si>
    <t>-621.965466471614 27.3171116589554 -199.837754804873</t>
  </si>
  <si>
    <t>-639.141598685272 26.5000119133658 -291.107392629401</t>
  </si>
  <si>
    <t>-654.482076126631 26.3561443955807 -373.586400456564</t>
  </si>
  <si>
    <t>-669.083288956389 26.8176537130125 -456.198387560645</t>
  </si>
  <si>
    <t>-689.616348180287 28.1532209421594 -577.117857419718</t>
  </si>
  <si>
    <t>-689.818009905958 29.8910399403505 -655.457917801793</t>
  </si>
  <si>
    <t>-680.966457686225 58.9238094173511 -523.651973752443</t>
  </si>
  <si>
    <t>-648.636831122158 209.440636088251 -498.380839863988</t>
  </si>
  <si>
    <t>-529.188279126405 188.960250862406 -243.643378431981</t>
  </si>
  <si>
    <t>-318.181684745463 95.5672164627317 -270.148178914488</t>
  </si>
  <si>
    <t>-602.345681548719 122.997225758878 -95.0733675922613</t>
  </si>
  <si>
    <t>-622.165015882747 138.812377703811 319.727414208191</t>
  </si>
  <si>
    <t>-668.804415596322 174.159988426064 779.143818539946</t>
  </si>
  <si>
    <t>-518.479801875028 176.349402163672 836.428447944042</t>
  </si>
  <si>
    <t>-592.345096513473 -74.7144788400576 323.598566686421</t>
  </si>
  <si>
    <t>-654.058336462014 -107.685991002499 781.354395416043</t>
  </si>
  <si>
    <t>-500.465142063049 -126.080997973012 825.565014073183</t>
  </si>
  <si>
    <t>9763-20170724T115359.361395000.bin</t>
  </si>
  <si>
    <t>-598.781547080238 30.3870986390896 -91.736965412859</t>
  </si>
  <si>
    <t>-622.497268477252 27.5722360740237 -199.844094192075</t>
  </si>
  <si>
    <t>-639.654240173941 26.8775610952368 -291.118245459191</t>
  </si>
  <si>
    <t>-654.968344554689 26.8898849584762 -373.602232164811</t>
  </si>
  <si>
    <t>-669.533767147233 27.5533256624451 -456.219177647329</t>
  </si>
  <si>
    <t>-690.003881276707 29.234047895693 -577.144996618212</t>
  </si>
  <si>
    <t>-690.158777003674 31.1819833477743 -655.480091134902</t>
  </si>
  <si>
    <t>-681.36502223396 59.8519390589277 -523.589839538794</t>
  </si>
  <si>
    <t>-648.893523039143 210.266223078578 -497.917228827887</t>
  </si>
  <si>
    <t>-529.139569660017 188.166074476236 -243.458671220189</t>
  </si>
  <si>
    <t>-318.059614735455 94.9346619580392 -269.948232402113</t>
  </si>
  <si>
    <t>-487.496450933302 0.78919100349799 -451.503977192841</t>
  </si>
  <si>
    <t>-602.818796822695 123.234765669346 -95.0581139425402</t>
  </si>
  <si>
    <t>-622.474983991074 139.014576367046 319.75175850162</t>
  </si>
  <si>
    <t>-668.806208526981 174.192985388773 779.239041324777</t>
  </si>
  <si>
    <t>-518.465888326826 176.270915082267 836.486743597018</t>
  </si>
  <si>
    <t>-592.662098137517 -74.4548263883453 323.571110084259</t>
  </si>
  <si>
    <t>-654.042764751443 -107.63388793022 781.344248123223</t>
  </si>
  <si>
    <t>-500.43973263363 -125.857588155297 825.591645918696</t>
  </si>
  <si>
    <t>9763-20170724T115359.428574900.bin</t>
  </si>
  <si>
    <t>-599.718308841066 30.9053022644976 -91.759341081957</t>
  </si>
  <si>
    <t>-623.486350763888 28.1403633196776 -199.856146995899</t>
  </si>
  <si>
    <t>-640.663487881395 27.7133936212426 -291.128431496496</t>
  </si>
  <si>
    <t>-655.985214351391 28.0588834574423 -373.610144147368</t>
  </si>
  <si>
    <t>-670.547280155489 29.1464156711725 -456.223142556634</t>
  </si>
  <si>
    <t>-690.999899957566 31.5470062929267 -577.13977781794</t>
  </si>
  <si>
    <t>-691.062692976855 33.9058302751419 -655.463807275957</t>
  </si>
  <si>
    <t>-682.341850120908 61.8460358347568 -523.406697936862</t>
  </si>
  <si>
    <t>-649.351515079153 212.036061981022 -497.047987958777</t>
  </si>
  <si>
    <t>-529.197795875008 186.972682089399 -243.052895878749</t>
  </si>
  <si>
    <t>-317.931067200802 94.0707356678711 -269.208810089279</t>
  </si>
  <si>
    <t>-488.905350205816 4.31506504000868 -450.918796842134</t>
  </si>
  <si>
    <t>-603.713541372866 123.685883339513 -95.0454984506766</t>
  </si>
  <si>
    <t>-622.992105149262 139.322989784567 319.787529353803</t>
  </si>
  <si>
    <t>-668.813414840145 174.210213431387 779.347567970216</t>
  </si>
  <si>
    <t>-518.441604453329 176.348228863835 836.510190698946</t>
  </si>
  <si>
    <t>-593.204232527963 -73.795176329565 323.512370786339</t>
  </si>
  <si>
    <t>-654.005845283274 -107.575815047874 781.324351016608</t>
  </si>
  <si>
    <t>-500.389781091233 -125.494217473037 825.651085430354</t>
  </si>
  <si>
    <t>9763-20170724T115359.464316200.bin</t>
  </si>
  <si>
    <t>-600.119974736958 31.2056448614455 -91.7707818075914</t>
  </si>
  <si>
    <t>-623.937047722721 28.4710582335754 -199.857512925363</t>
  </si>
  <si>
    <t>-641.148617261383 28.1806553661952 -291.123742031719</t>
  </si>
  <si>
    <t>-656.498302904782 28.6945429617128 -373.599547274707</t>
  </si>
  <si>
    <t>-671.084951355227 29.9955029620419 -456.205045375926</t>
  </si>
  <si>
    <t>-691.569686112298 32.7573634387484 -577.10860705798</t>
  </si>
  <si>
    <t>-691.61723518335 35.3175673400501 -655.426355913985</t>
  </si>
  <si>
    <t>-682.881771204678 62.8958267931978 -523.290056498309</t>
  </si>
  <si>
    <t>-649.634528858625 212.956630238684 -496.555474946365</t>
  </si>
  <si>
    <t>-529.331094512956 186.524173844945 -242.770078824147</t>
  </si>
  <si>
    <t>-317.891081937866 94.0423847685834 -269.014391854648</t>
  </si>
  <si>
    <t>-682.280522970537 0.195202963132488 -524.824304313246</t>
  </si>
  <si>
    <t>-489.598703550217 6.1899283423495 -450.693532965154</t>
  </si>
  <si>
    <t>-604.042342474526 123.91049682947 -95.0417529875896</t>
  </si>
  <si>
    <t>-623.145503793846 139.479030819438 319.801970289008</t>
  </si>
  <si>
    <t>-668.800995001315 174.269774731618 779.382403042169</t>
  </si>
  <si>
    <t>-518.415763929128 176.242486050306 836.515677798091</t>
  </si>
  <si>
    <t>-593.507400422355 -73.4347917288051 323.488874940966</t>
  </si>
  <si>
    <t>-654.002316711548 -107.55914377625 781.306348831337</t>
  </si>
  <si>
    <t>-500.381727113662 -125.395505400888 825.650444577626</t>
  </si>
  <si>
    <t>9763-20170724T115359.528483300.bin</t>
  </si>
  <si>
    <t>-600.687041319691 31.650882564096 -91.831357409815</t>
  </si>
  <si>
    <t>-624.595360204562 28.9838427448492 -199.89968813642</t>
  </si>
  <si>
    <t>-641.88578569802 29.0034774140174 -291.151425897213</t>
  </si>
  <si>
    <t>-657.306669904763 29.8999672430396 -373.610624667744</t>
  </si>
  <si>
    <t>-671.963844168744 31.685754796983 -456.194704480014</t>
  </si>
  <si>
    <t>-692.55038046831 35.2689162080098 -577.059288484797</t>
  </si>
  <si>
    <t>-692.58803527047 38.22118929916 -655.363251199788</t>
  </si>
  <si>
    <t>-683.769891694798 65.0417469948241 -523.052752498941</t>
  </si>
  <si>
    <t>-649.921975617653 214.785159607402 -495.345043269204</t>
  </si>
  <si>
    <t>-529.592538812635 185.85832163466 -241.844213250361</t>
  </si>
  <si>
    <t>-317.802303773091 94.2168501181188 -268.21218070853</t>
  </si>
  <si>
    <t>-683.264504948432 2.3514697159153 -524.997242118781</t>
  </si>
  <si>
    <t>-491.103749529866 10.149809782165 -450.356284971201</t>
  </si>
  <si>
    <t>-604.431708691468 124.290450808332 -95.0507408281018</t>
  </si>
  <si>
    <t>-623.430600049209 139.623412259632 319.806513781225</t>
  </si>
  <si>
    <t>-668.78498782365 174.336844218678 779.418235283352</t>
  </si>
  <si>
    <t>-518.380451522825 176.109271603144 836.507291464238</t>
  </si>
  <si>
    <t>-593.936318912176 -72.9756892782752 323.406150451927</t>
  </si>
  <si>
    <t>-653.995706207097 -107.52530525843 781.266163254941</t>
  </si>
  <si>
    <t>-500.397523329861 -125.478537513779 825.640790145005</t>
  </si>
  <si>
    <t>9763-20170724T115359.673905800.bin</t>
  </si>
  <si>
    <t>-600.883787731409 31.799786311806 -91.8590295047829</t>
  </si>
  <si>
    <t>-624.861295430301 29.1685546159265 -199.913109917528</t>
  </si>
  <si>
    <t>-642.208740902857 29.3634334602634 -291.153693428272</t>
  </si>
  <si>
    <t>-657.679952936741 30.4767773572521 -373.600788317507</t>
  </si>
  <si>
    <t>-672.386080322591 32.5378244666183 -456.16971738796</t>
  </si>
  <si>
    <t>-693.042261606696 36.5875148482664 -577.007946470497</t>
  </si>
  <si>
    <t>-693.092349151845 39.7713425007364 -655.302587954217</t>
  </si>
  <si>
    <t>-684.211834073259 66.1519298399264 -522.89482450017</t>
  </si>
  <si>
    <t>-650.05849714933 215.713703206528 -494.606639291798</t>
  </si>
  <si>
    <t>-529.673878354077 185.587532412251 -241.271749702802</t>
  </si>
  <si>
    <t>-317.718231437233 94.288419503052 -267.497707269289</t>
  </si>
  <si>
    <t>-683.745176257291 3.46908386154632 -525.075418060305</t>
  </si>
  <si>
    <t>-491.921456732975 12.3178273059264 -450.046839418163</t>
  </si>
  <si>
    <t>-604.597938930262 124.43210028612 -95.0647014925419</t>
  </si>
  <si>
    <t>-623.525883741391 139.672791694733 319.799168728788</t>
  </si>
  <si>
    <t>-668.768244479842 174.38648558924 779.427831767176</t>
  </si>
  <si>
    <t>-518.35914946449 176.051822811964 836.508109931995</t>
  </si>
  <si>
    <t>-593.978011356739 -72.801204287651 323.356979976015</t>
  </si>
  <si>
    <t>-653.993233361229 -107.508818740781 781.233869092391</t>
  </si>
  <si>
    <t>-500.360736957653 -125.154422883676 825.613043757938</t>
  </si>
  <si>
    <t>9763-20170724T115359.740588500.bin</t>
  </si>
  <si>
    <t>-601.871611756991 32.3627461721885 -91.9652018016327</t>
  </si>
  <si>
    <t>-626.166773348275 29.871143934472 -199.951478133136</t>
  </si>
  <si>
    <t>-643.796480265867 30.8055031697347 -291.133417982811</t>
  </si>
  <si>
    <t>-659.527649564184 32.8366702249537 -373.513928930552</t>
  </si>
  <si>
    <t>-674.498664989283 36.0673651817181 -455.997568767924</t>
  </si>
  <si>
    <t>-695.547230892615 42.1038999761424 -576.684997032922</t>
  </si>
  <si>
    <t>-695.914223694422 46.3352535799684 -654.929259284961</t>
  </si>
  <si>
    <t>-686.630555271797 70.7727221246028 -522.106331071065</t>
  </si>
  <si>
    <t>-652.003690500788 219.757321403929 -491.405935762629</t>
  </si>
  <si>
    <t>-530.286698985661 184.530671701917 -239.368970670235</t>
  </si>
  <si>
    <t>-318.075325389903 93.8936737500997 -265.822481827105</t>
  </si>
  <si>
    <t>-685.99206408248 8.13748279404263 -525.350591579561</t>
  </si>
  <si>
    <t>-494.762103274037 23.5170254174875 -447.32112968706</t>
  </si>
  <si>
    <t>-605.434381220325 125.165576583825 -95.0836808278624</t>
  </si>
  <si>
    <t>-623.968369703771 139.910896635021 319.815904125186</t>
  </si>
  <si>
    <t>-668.725645296875 174.492911071294 779.469776917088</t>
  </si>
  <si>
    <t>-518.305696535528 175.893245235829 836.528549373995</t>
  </si>
  <si>
    <t>-594.27178159533 -72.2893465461855 323.173066076424</t>
  </si>
  <si>
    <t>-653.937955193882 -107.503483171317 781.076079759864</t>
  </si>
  <si>
    <t>-500.353907208461 -125.170793841479 825.614021847263</t>
  </si>
  <si>
    <t>9763-20170724T115359.765158200.bin</t>
  </si>
  <si>
    <t>-602.372083028616 32.837901187321 -92.0285903942842</t>
  </si>
  <si>
    <t>-626.81448821603 30.4118578709197 -199.983098259849</t>
  </si>
  <si>
    <t>-644.613797813843 31.5927156067978 -291.129330264089</t>
  </si>
  <si>
    <t>-660.517220722208 33.9229251563779 -373.468725668518</t>
  </si>
  <si>
    <t>-675.680278022925 37.5307770270867 -455.901835695971</t>
  </si>
  <si>
    <t>-697.03199101835 44.2045482426731 -576.502347365284</t>
  </si>
  <si>
    <t>-697.658898253733 48.9049026632024 -654.718187255196</t>
  </si>
  <si>
    <t>-688.085045598358 72.5825128133033 -521.776641572901</t>
  </si>
  <si>
    <t>-653.477733251249 221.419002400568 -490.333117902057</t>
  </si>
  <si>
    <t>-530.895127639496 183.952465626716 -239.039749692942</t>
  </si>
  <si>
    <t>-318.51372693368 93.5820593420037 -265.036901001991</t>
  </si>
  <si>
    <t>-687.241014152531 9.96992167314852 -525.391026376889</t>
  </si>
  <si>
    <t>-496.378454337755 28.9316055273698 -445.503879521943</t>
  </si>
  <si>
    <t>-605.899784770709 125.673532141103 -95.1183669456773</t>
  </si>
  <si>
    <t>-624.190933604525 140.145944592021 319.801631835624</t>
  </si>
  <si>
    <t>-668.709927287795 174.530817708939 779.488446924866</t>
  </si>
  <si>
    <t>-518.283866405809 175.915045893342 836.531393259807</t>
  </si>
  <si>
    <t>-594.342899942729 -71.8847195123431 323.043492130543</t>
  </si>
  <si>
    <t>-653.888785202097 -107.471583609009 780.952944278059</t>
  </si>
  <si>
    <t>-500.350109906049 -125.261726609967 825.598335489056</t>
  </si>
  <si>
    <t>9763-20170724T115359.828326400.bin</t>
  </si>
  <si>
    <t>-602.867149902183 33.3966239958947 -92.1111910852144</t>
  </si>
  <si>
    <t>-627.454627698272 31.0041843038132 -200.033592788728</t>
  </si>
  <si>
    <t>-645.339859938389 32.3731803358248 -291.16027797317</t>
  </si>
  <si>
    <t>-661.306449142736 34.9365005185534 -373.48055342094</t>
  </si>
  <si>
    <t>-676.518680669978 38.8417144304262 -455.89098059456</t>
  </si>
  <si>
    <t>-697.927027594628 46.0212787885223 -576.452377490725</t>
  </si>
  <si>
    <t>-698.769292799139 51.140423466687 -654.640004000141</t>
  </si>
  <si>
    <t>-689.0395624177 74.1671056908312 -521.597356065725</t>
  </si>
  <si>
    <t>-654.487357239542 222.905317547177 -489.62730536444</t>
  </si>
  <si>
    <t>-530.944612408459 183.544154427341 -239.094885889623</t>
  </si>
  <si>
    <t>-318.11017621395 93.8082809541779 -263.538790276182</t>
  </si>
  <si>
    <t>-688.026918312487 11.5746901252537 -525.504762142924</t>
  </si>
  <si>
    <t>-497.593260167878 33.6571822529718 -444.182583740889</t>
  </si>
  <si>
    <t>-606.419150196187 126.281716212521 -95.1418849096814</t>
  </si>
  <si>
    <t>-624.469421668416 140.506332950161 319.797250143584</t>
  </si>
  <si>
    <t>-668.670731932464 174.72076364881 779.522989214881</t>
  </si>
  <si>
    <t>-518.23102028402 175.781469754755 836.536887278753</t>
  </si>
  <si>
    <t>-594.244502910601 -71.3082815500734 322.924754682398</t>
  </si>
  <si>
    <t>-653.838224553606 -107.446997509826 780.807037410049</t>
  </si>
  <si>
    <t>-500.364484520806 -125.514505877212 825.56413143909</t>
  </si>
  <si>
    <t>9763-20170724T115359.863423400.bin</t>
  </si>
  <si>
    <t>-603.118002952098 33.633404710735 -92.1509083125836</t>
  </si>
  <si>
    <t>-627.75830622018 31.283556645164 -200.062057429662</t>
  </si>
  <si>
    <t>-645.703785516032 32.7511426680935 -291.17548212316</t>
  </si>
  <si>
    <t>-661.731738292124 35.4284861517115 -373.480269022945</t>
  </si>
  <si>
    <t>-677.012712705096 39.4733444305457 -455.871176742067</t>
  </si>
  <si>
    <t>-698.529909547524 46.8856055483059 -576.399140438546</t>
  </si>
  <si>
    <t>-699.491492079675 52.1808681949424 -654.57370156774</t>
  </si>
  <si>
    <t>-689.640783124225 74.9242145087146 -521.489510461497</t>
  </si>
  <si>
    <t>-655.634725821755 223.713204588489 -489.162440711475</t>
  </si>
  <si>
    <t>-531.321617442184 184.023488069466 -239.063357425824</t>
  </si>
  <si>
    <t>-318.59455628196 93.7067697552086 -262.271428366905</t>
  </si>
  <si>
    <t>-688.535909871316 12.3421793352604 -525.535525023673</t>
  </si>
  <si>
    <t>-498.440701581788 35.5840469823595 -443.637000275174</t>
  </si>
  <si>
    <t>-606.635061184269 126.513698308007 -95.1475788711922</t>
  </si>
  <si>
    <t>-624.665113000419 140.626563067909 319.79626575491</t>
  </si>
  <si>
    <t>-668.678225690189 174.744142417506 779.553156900873</t>
  </si>
  <si>
    <t>-518.225668422803 175.746438891313 836.534357742073</t>
  </si>
  <si>
    <t>-594.227290860975 -71.026588664789 322.862233894096</t>
  </si>
  <si>
    <t>-653.809805573632 -107.428480666056 780.734620362789</t>
  </si>
  <si>
    <t>-500.339452282158 -125.394735004329 825.544082785376</t>
  </si>
  <si>
    <t>9763-20170724T115359.928596200.bin</t>
  </si>
  <si>
    <t>-603.588995334296 33.9573846299982 -92.1953863590579</t>
  </si>
  <si>
    <t>-628.322043078454 31.7679550734902 -200.088761568928</t>
  </si>
  <si>
    <t>-646.328727213962 33.3915178539478 -291.187360893852</t>
  </si>
  <si>
    <t>-662.408797748837 36.2214059890186 -373.476945259109</t>
  </si>
  <si>
    <t>-677.740869488765 40.4315866144145 -455.850065684024</t>
  </si>
  <si>
    <t>-699.33400951638 48.1001945844919 -576.348400454203</t>
  </si>
  <si>
    <t>-700.427247146594 53.6439343752688 -654.503900668423</t>
  </si>
  <si>
    <t>-690.516709765785 76.0186245269852 -521.366005021818</t>
  </si>
  <si>
    <t>-657.962054784239 225.066936817085 -488.699482806812</t>
  </si>
  <si>
    <t>-534.018557142289 186.000583460378 -238.318875243499</t>
  </si>
  <si>
    <t>-321.536460841883 94.8050098580056 -260.302122156521</t>
  </si>
  <si>
    <t>-689.201503141544 13.4519874237187 -525.583467806946</t>
  </si>
  <si>
    <t>-499.321252183745 37.690206887997 -442.866769021637</t>
  </si>
  <si>
    <t>-606.584102255858 126.948204308269 -95.1323538101685</t>
  </si>
  <si>
    <t>-624.896438175083 140.79849744216 319.807971126593</t>
  </si>
  <si>
    <t>-668.678047168353 174.910392609426 779.611618337147</t>
  </si>
  <si>
    <t>-518.196129413496 175.611143341862 836.519666257422</t>
  </si>
  <si>
    <t>-594.292770618611 -70.7100301538685 322.741760466577</t>
  </si>
  <si>
    <t>-653.722865501038 -107.373573033106 780.608511428927</t>
  </si>
  <si>
    <t>-500.313522799575 -125.457320022504 825.579331487395</t>
  </si>
  <si>
    <t>9763-20170724T115359.961386800.bin</t>
  </si>
  <si>
    <t>-603.857960848095 34.0713894235153 -92.1987900010521</t>
  </si>
  <si>
    <t>-628.645519587258 31.9739279492776 -200.081509301097</t>
  </si>
  <si>
    <t>-646.644436284327 33.6719823220064 -291.180243645064</t>
  </si>
  <si>
    <t>-662.697474974864 36.570969197657 -373.472581603738</t>
  </si>
  <si>
    <t>-677.983505644475 40.8514372157683 -455.850737224209</t>
  </si>
  <si>
    <t>-699.48925830325 48.6248611431929 -576.357983205532</t>
  </si>
  <si>
    <t>-700.573844743184 54.2832280272012 -654.505465528445</t>
  </si>
  <si>
    <t>-690.715921053289 76.495205454489 -521.34428734696</t>
  </si>
  <si>
    <t>-658.911115209622 225.730911542507 -488.831101660649</t>
  </si>
  <si>
    <t>-536.872068072535 187.412511871138 -237.401665566499</t>
  </si>
  <si>
    <t>-324.384905815045 96.1154391959908 -258.909281870709</t>
  </si>
  <si>
    <t>-689.389545077756 13.9326640247452 -525.616611017044</t>
  </si>
  <si>
    <t>-499.424187096266 38.1181109420756 -442.500965767621</t>
  </si>
  <si>
    <t>-606.545388539993 127.201339243039 -95.1341436308439</t>
  </si>
  <si>
    <t>-624.879521433711 140.868624475651 319.811227300929</t>
  </si>
  <si>
    <t>-668.681874633289 174.964344999623 779.625585445138</t>
  </si>
  <si>
    <t>-518.18933349213 175.624456979224 836.506078118853</t>
  </si>
  <si>
    <t>-594.446379312481 -70.5732254644122 322.706522977295</t>
  </si>
  <si>
    <t>-653.650420175918 -107.367160135128 780.583617031153</t>
  </si>
  <si>
    <t>-500.297606869691 -125.583613181423 825.693478564899</t>
  </si>
  <si>
    <t>9763-20170724T115400.033576700.bin</t>
  </si>
  <si>
    <t>-604.297820689788 34.113502018854 -92.1967274761488</t>
  </si>
  <si>
    <t>-629.194933732689 32.1872983270835 -200.057379214859</t>
  </si>
  <si>
    <t>-647.105157917852 33.9237981575079 -291.172980255037</t>
  </si>
  <si>
    <t>-663.008045424187 36.8216583820865 -373.494484871227</t>
  </si>
  <si>
    <t>-678.074897928922 41.0636236174389 -455.914913899243</t>
  </si>
  <si>
    <t>-699.185808776844 48.7408296366477 -576.498241573475</t>
  </si>
  <si>
    <t>-700.109442259931 54.4434375893402 -654.644486238209</t>
  </si>
  <si>
    <t>-690.522645821467 76.6574860771427 -521.490379214405</t>
  </si>
  <si>
    <t>-659.600878090695 226.171013820958 -489.447709559201</t>
  </si>
  <si>
    <t>-542.351328293465 189.945312569718 -235.442130671824</t>
  </si>
  <si>
    <t>-330.147910855319 97.6193640074982 -255.295570381473</t>
  </si>
  <si>
    <t>-689.322385236467 14.0868730047614 -525.684179452519</t>
  </si>
  <si>
    <t>-498.594786545767 37.1422337411193 -441.714878578028</t>
  </si>
  <si>
    <t>-606.225875290052 127.411326882863 -95.1257538827136</t>
  </si>
  <si>
    <t>-624.748669408771 140.904329610883 319.81696294192</t>
  </si>
  <si>
    <t>-668.696956837004 174.976147439563 779.631956298032</t>
  </si>
  <si>
    <t>-518.190113391771 175.544548181909 836.475588386537</t>
  </si>
  <si>
    <t>-594.819117343671 -70.3931564051859 322.689737803731</t>
  </si>
  <si>
    <t>-653.582306149359 -107.299127007641 780.605867977764</t>
  </si>
  <si>
    <t>-500.274034406295 -125.610329932579 825.828500551796</t>
  </si>
  <si>
    <t>9763-20170724T115400.061417600.bin</t>
  </si>
  <si>
    <t>-604.547076604192 34.137234616783 -92.1899412147252</t>
  </si>
  <si>
    <t>-629.520084646439 32.2867063683855 -200.034393572549</t>
  </si>
  <si>
    <t>-647.411145935827 33.9993264221519 -291.154113232019</t>
  </si>
  <si>
    <t>-663.263850764022 36.8440300434265 -373.48719217087</t>
  </si>
  <si>
    <t>-678.247948983916 40.999650175311 -455.927098681562</t>
  </si>
  <si>
    <t>-699.202368386236 48.5146473993191 -576.547855940957</t>
  </si>
  <si>
    <t>-700.027652591092 54.1624624541039 -654.699254086651</t>
  </si>
  <si>
    <t>-690.557164809386 76.5068038351208 -521.575664244907</t>
  </si>
  <si>
    <t>-659.676413108369 226.080537411058 -489.709949463267</t>
  </si>
  <si>
    <t>-544.959232978006 190.969526255469 -234.39501481029</t>
  </si>
  <si>
    <t>-333.066116924039 97.4430899275715 -251.791684124443</t>
  </si>
  <si>
    <t>-689.458328477901 13.9274514177325 -525.665396390139</t>
  </si>
  <si>
    <t>-498.217552787366 36.0322355762085 -441.273084138558</t>
  </si>
  <si>
    <t>-606.193457733524 127.484737206354 -95.1272736570184</t>
  </si>
  <si>
    <t>-624.717921914201 140.868580574178 319.818838340802</t>
  </si>
  <si>
    <t>-668.70110281408 174.966396678532 779.631308302795</t>
  </si>
  <si>
    <t>-518.188988734492 175.441225183476 836.46177170024</t>
  </si>
  <si>
    <t>-595.042368186439 -70.2497608288959 322.685302186211</t>
  </si>
  <si>
    <t>-653.589614955718 -107.258630982625 780.609800561298</t>
  </si>
  <si>
    <t>-500.269844574545 -125.501411546961 825.821239416564</t>
  </si>
  <si>
    <t>9763-20170724T115400.131597200.bin</t>
  </si>
  <si>
    <t>-605.208655808593 34.0357746039465 -92.2104705229802</t>
  </si>
  <si>
    <t>-630.310124445801 32.2838464650636 -200.026877699174</t>
  </si>
  <si>
    <t>-648.107395676426 33.8856954436942 -291.1669637972</t>
  </si>
  <si>
    <t>-663.795070915958 36.5567563877719 -373.537491538812</t>
  </si>
  <si>
    <t>-678.533988027527 40.4641311167841 -456.033664777103</t>
  </si>
  <si>
    <t>-699.042421521817 47.5348854941308 -576.75788331798</t>
  </si>
  <si>
    <t>-699.630535176263 53.003967716789 -654.924079650893</t>
  </si>
  <si>
    <t>-690.540818391288 75.730843273247 -521.867510483255</t>
  </si>
  <si>
    <t>-659.920612193678 225.404428481664 -490.348599287521</t>
  </si>
  <si>
    <t>-548.849002232784 193.68776525533 -232.985616254572</t>
  </si>
  <si>
    <t>-337.480719873334 97.5994083428268 -239.230203093475</t>
  </si>
  <si>
    <t>-689.54620141779 13.1336430870497 -525.702816047849</t>
  </si>
  <si>
    <t>-497.345307619297 33.5975057578441 -440.541217214388</t>
  </si>
  <si>
    <t>-606.517969531628 127.320161415156 -95.1318933722433</t>
  </si>
  <si>
    <t>-625.018349527445 140.696943391024 319.815504347178</t>
  </si>
  <si>
    <t>-668.707549296263 174.95243975473 779.629339019096</t>
  </si>
  <si>
    <t>-518.183193388114 175.368042785845 836.427818204669</t>
  </si>
  <si>
    <t>-595.434961865159 -69.9978895817442 322.682608432124</t>
  </si>
  <si>
    <t>-653.51764041873 -107.237252593504 780.637828258681</t>
  </si>
  <si>
    <t>-500.252544940424 -125.622730799824 825.976701041618</t>
  </si>
  <si>
    <t>9763-20170724T115400.161691300.bin</t>
  </si>
  <si>
    <t>-605.632374928182 34.0362945655802 -92.2495593116028</t>
  </si>
  <si>
    <t>-630.785582579245 32.3023365803303 -200.054089709871</t>
  </si>
  <si>
    <t>-648.533371238288 33.8368712964834 -291.205013503942</t>
  </si>
  <si>
    <t>-664.138983696525 36.4154554864374 -373.594111791315</t>
  </si>
  <si>
    <t>-678.758460066235 40.1980197451237 -456.117314091931</t>
  </si>
  <si>
    <t>-699.051081861037 47.0514757808908 -576.890564280448</t>
  </si>
  <si>
    <t>-699.524800195572 52.4187901109162 -655.064504729691</t>
  </si>
  <si>
    <t>-690.630295642865 75.3467272095568 -522.038767269223</t>
  </si>
  <si>
    <t>-660.285336902486 225.145713838173 -490.886563011112</t>
  </si>
  <si>
    <t>-551.188672104605 195.25620756616 -232.462223935693</t>
  </si>
  <si>
    <t>-339.143918928061 100.467569671494 -231.647690645016</t>
  </si>
  <si>
    <t>-689.663422583724 12.7417691546511 -525.753787376066</t>
  </si>
  <si>
    <t>-497.173876127795 32.9436515422046 -440.139166093098</t>
  </si>
  <si>
    <t>-606.863168781777 127.27582318814 -95.1648722487485</t>
  </si>
  <si>
    <t>-625.255253638312 140.6908183834 319.786177910617</t>
  </si>
  <si>
    <t>-668.698873664807 175.000338651396 779.637557046507</t>
  </si>
  <si>
    <t>-518.170824679072 175.18609782585 836.42739098571</t>
  </si>
  <si>
    <t>-595.67264432478 -69.8651083398868 322.664274471293</t>
  </si>
  <si>
    <t>-653.500604996707 -107.21062777459 780.654513113356</t>
  </si>
  <si>
    <t>-500.251490941933 -125.653230347498 826.02414306681</t>
  </si>
  <si>
    <t>9763-20170724T115400.227867000.bin</t>
  </si>
  <si>
    <t>-606.70636349852 34.1060619894829 -92.273481253353</t>
  </si>
  <si>
    <t>-631.966392081793 32.3692133679524 -200.053071156281</t>
  </si>
  <si>
    <t>-649.690435743667 33.7318349533834 -291.211257641573</t>
  </si>
  <si>
    <t>-665.229654358873 36.0876855571803 -373.619597628379</t>
  </si>
  <si>
    <t>-679.737844373571 39.5814759052769 -456.175193659234</t>
  </si>
  <si>
    <t>-699.819025588024 45.9402184590413 -577.010710333523</t>
  </si>
  <si>
    <t>-700.07928484168 51.0606906040102 -655.202333703978</t>
  </si>
  <si>
    <t>-691.548653891231 74.4584737718171 -522.251714801313</t>
  </si>
  <si>
    <t>-662.668894587965 224.721791362415 -491.98162721265</t>
  </si>
  <si>
    <t>-555.701994072058 195.700230435152 -232.569982396249</t>
  </si>
  <si>
    <t>-340.511083167827 109.515926625063 -217.952758623067</t>
  </si>
  <si>
    <t>-690.466489722984 11.8417131792469 -525.726723927119</t>
  </si>
  <si>
    <t>-497.64351016626 32.6061271365797 -438.920195372549</t>
  </si>
  <si>
    <t>-607.929135192705 127.255506740883 -95.2174817389815</t>
  </si>
  <si>
    <t>-625.855036101792 140.689891200486 319.753337630027</t>
  </si>
  <si>
    <t>-668.737937979272 174.931383867147 779.677908823878</t>
  </si>
  <si>
    <t>-518.186451005471 175.269263667696 836.404937405265</t>
  </si>
  <si>
    <t>-596.398808756652 -69.5714839475954 322.624933110943</t>
  </si>
  <si>
    <t>-653.547311764209 -107.134628668934 780.656664754044</t>
  </si>
  <si>
    <t>-500.244274137316 -125.316165305605 825.949398204863</t>
  </si>
  <si>
    <t>9763-20170724T115400.263967600.bin</t>
  </si>
  <si>
    <t>-607.323278848851 34.2364937251889 -92.2959173358879</t>
  </si>
  <si>
    <t>-632.621309742275 32.456441535815 -200.065671598879</t>
  </si>
  <si>
    <t>-650.380533195984 33.7450813869571 -291.218256953459</t>
  </si>
  <si>
    <t>-665.953000824013 36.0189397183358 -373.622578257078</t>
  </si>
  <si>
    <t>-680.496339522328 39.4155696119938 -456.176040378787</t>
  </si>
  <si>
    <t>-700.631130768701 45.6163268533783 -577.01095862453</t>
  </si>
  <si>
    <t>-700.802618000181 50.651959212568 -655.208255667161</t>
  </si>
  <si>
    <t>-692.389032216922 74.2047121118724 -522.284209924218</t>
  </si>
  <si>
    <t>-664.24451497698 224.67142542483 -492.271969536666</t>
  </si>
  <si>
    <t>-556.663054727314 194.663096520838 -233.226941239918</t>
  </si>
  <si>
    <t>-339.450024186544 115.227074154562 -211.85061096352</t>
  </si>
  <si>
    <t>-691.203348104892 11.5862488639186 -525.695106365727</t>
  </si>
  <si>
    <t>-498.268044062726 33.2707050707741 -438.084864173462</t>
  </si>
  <si>
    <t>-608.631118287557 127.365421248033 -95.2590479873599</t>
  </si>
  <si>
    <t>-626.21064112649 140.813352147088 319.72615613959</t>
  </si>
  <si>
    <t>-668.727393539279 175.032801353125 779.691994277366</t>
  </si>
  <si>
    <t>-518.166227161702 175.216311571597 836.394068927846</t>
  </si>
  <si>
    <t>-596.861764163389 -69.3871347624397 322.613944944773</t>
  </si>
  <si>
    <t>-653.565777815375 -107.098600217949 780.668175133585</t>
  </si>
  <si>
    <t>-500.250790344239 -125.234773682245 825.938589906176</t>
  </si>
  <si>
    <t>9763-20170724T115400.329141100.bin</t>
  </si>
  <si>
    <t>-608.604497653039 34.3000312309021 -92.3164169414416</t>
  </si>
  <si>
    <t>-633.99056420911 32.3833698327956 -200.063204541173</t>
  </si>
  <si>
    <t>-651.767699093721 33.5599538949891 -291.213772489803</t>
  </si>
  <si>
    <t>-667.33351425324 35.7320014120382 -373.62207205976</t>
  </si>
  <si>
    <t>-681.847175949336 39.0276094815185 -456.184856945933</t>
  </si>
  <si>
    <t>-701.913235219773 45.0813628793896 -577.03862587927</t>
  </si>
  <si>
    <t>-701.847645366899 50.0023402692202 -655.243485081681</t>
  </si>
  <si>
    <t>-693.757400794953 73.7347056268181 -522.333052166584</t>
  </si>
  <si>
    <t>-665.682957277966 224.26919969722 -492.489849718215</t>
  </si>
  <si>
    <t>-556.138296010644 191.866904920163 -234.558396589175</t>
  </si>
  <si>
    <t>-336.03404487906 123.612925712005 -205.505921038237</t>
  </si>
  <si>
    <t>-692.459448171753 11.1153388459447 -525.685170556275</t>
  </si>
  <si>
    <t>-499.541771570224 35.8895773135712 -436.297840990459</t>
  </si>
  <si>
    <t>-610.135485058829 127.329228860373 -95.3388977934374</t>
  </si>
  <si>
    <t>-626.965266753986 140.981359159991 319.670715989962</t>
  </si>
  <si>
    <t>-668.728407289809 175.106475421989 779.72205934573</t>
  </si>
  <si>
    <t>-518.145313336558 175.146521317339 836.366228127371</t>
  </si>
  <si>
    <t>-597.870165341253 -69.1208133746404 322.6320497272</t>
  </si>
  <si>
    <t>-653.586797959849 -107.015987062691 780.745340800566</t>
  </si>
  <si>
    <t>-500.229210958341 -124.873510242463 825.982314344135</t>
  </si>
  <si>
    <t>9763-20170724T115400.365904600.bin</t>
  </si>
  <si>
    <t>-609.184353530164 34.1515709732344 -92.3359665001137</t>
  </si>
  <si>
    <t>-634.596666367259 32.2076146989364 -200.075977962381</t>
  </si>
  <si>
    <t>-652.380095018783 33.3381957986132 -291.22593604439</t>
  </si>
  <si>
    <t>-667.945402156828 35.4592327030502 -373.635696069826</t>
  </si>
  <si>
    <t>-682.452571790903 38.694607090612 -456.202002432921</t>
  </si>
  <si>
    <t>-702.502486637882 44.6508821570601 -577.063363780614</t>
  </si>
  <si>
    <t>-702.38822249105 49.47451936977 -655.27414527765</t>
  </si>
  <si>
    <t>-694.385839585814 73.3474262451341 -522.374458585119</t>
  </si>
  <si>
    <t>-666.437086788299 223.963865953686 -492.713602577637</t>
  </si>
  <si>
    <t>-555.435087108747 191.152438747424 -235.457815759336</t>
  </si>
  <si>
    <t>-335.109119135395 123.970480153928 -205.598285014576</t>
  </si>
  <si>
    <t>-693.023634008915 10.7271742790333 -525.686525841896</t>
  </si>
  <si>
    <t>-500.166365643879 36.9827851336274 -434.938795462545</t>
  </si>
  <si>
    <t>-610.788089851572 127.147566672181 -95.3668241836632</t>
  </si>
  <si>
    <t>-627.322463899051 140.883873936453 319.651855172653</t>
  </si>
  <si>
    <t>-668.737123659816 175.090507123066 779.730894058399</t>
  </si>
  <si>
    <t>-518.143380379542 175.094972032668 836.346692128619</t>
  </si>
  <si>
    <t>-598.343163157852 -69.1286115554769 322.631479179649</t>
  </si>
  <si>
    <t>-653.585050394008 -106.964743559164 780.794680496058</t>
  </si>
  <si>
    <t>-500.212246432802 -124.698884065141 826.028553184892</t>
  </si>
  <si>
    <t>9763-20170724T115400.429070300.bin</t>
  </si>
  <si>
    <t>-609.967470094845 33.4581491332617 -92.3790340393643</t>
  </si>
  <si>
    <t>-635.40084419285 31.4770483365644 -200.113492992201</t>
  </si>
  <si>
    <t>-653.252243201692 32.4481437069533 -291.252051014478</t>
  </si>
  <si>
    <t>-668.900129581657 34.3728586302307 -373.650833972798</t>
  </si>
  <si>
    <t>-683.511883163883 37.3614147724311 -456.20807144174</t>
  </si>
  <si>
    <t>-703.739528029449 42.9017214277883 -577.059543357406</t>
  </si>
  <si>
    <t>-703.632054563656 47.479548283743 -655.285101957667</t>
  </si>
  <si>
    <t>-695.669880515714 71.7821960324718 -522.460601197441</t>
  </si>
  <si>
    <t>-668.606625011748 222.658972716873 -493.435303921959</t>
  </si>
  <si>
    <t>-554.794920816694 191.234687744712 -237.236103171588</t>
  </si>
  <si>
    <t>-336.778880225926 115.54214288629 -211.003024356337</t>
  </si>
  <si>
    <t>-694.057723934291 9.15921660072195 -525.601362931055</t>
  </si>
  <si>
    <t>-501.333056945484 38.0039376988111 -432.497294415547</t>
  </si>
  <si>
    <t>-611.691830551682 126.37049161452 -95.4149975050119</t>
  </si>
  <si>
    <t>-627.586224086953 140.553380989439 319.613669422644</t>
  </si>
  <si>
    <t>-668.718382485185 175.069031052745 779.711733758057</t>
  </si>
  <si>
    <t>-518.12417728923 175.030531327888 836.326351924849</t>
  </si>
  <si>
    <t>-599.260614638838 -69.5008559843516 322.613672105772</t>
  </si>
  <si>
    <t>-653.547982657042 -106.969237908521 780.914209959491</t>
  </si>
  <si>
    <t>-500.187411125344 -124.582592297025 826.236708568788</t>
  </si>
  <si>
    <t>9763-20170724T115400.463183900.bin</t>
  </si>
  <si>
    <t>-610.213525998347 32.9540714968725 -92.3735865063143</t>
  </si>
  <si>
    <t>-635.689299072272 30.9710523482122 -200.098147693292</t>
  </si>
  <si>
    <t>-653.582502510646 31.8820403995103 -291.228890366653</t>
  </si>
  <si>
    <t>-669.270920012652 33.7285005740537 -373.621903072978</t>
  </si>
  <si>
    <t>-683.926247506263 36.6154473816071 -456.175015272398</t>
  </si>
  <si>
    <t>-704.221102618302 41.982268101825 -577.023080231396</t>
  </si>
  <si>
    <t>-704.102690964453 46.4626944907664 -655.254218510708</t>
  </si>
  <si>
    <t>-696.185007624953 70.9387784472406 -522.459521312486</t>
  </si>
  <si>
    <t>-669.642644811209 221.976131886553 -493.796993844975</t>
  </si>
  <si>
    <t>-554.871567877106 190.931969203632 -237.979770475676</t>
  </si>
  <si>
    <t>-337.783028109774 111.607143477004 -214.986936360788</t>
  </si>
  <si>
    <t>-694.446774550312 8.31584649106526 -525.532480565203</t>
  </si>
  <si>
    <t>-501.868791065972 38.4397923437273 -431.799013344259</t>
  </si>
  <si>
    <t>-612.041068475211 125.838706768568 -95.4155924503727</t>
  </si>
  <si>
    <t>-627.651949659255 140.247875025914 319.616032151169</t>
  </si>
  <si>
    <t>-668.700061433473 175.037112773365 779.689001985018</t>
  </si>
  <si>
    <t>-518.112415506894 175.077812244301 836.320991455346</t>
  </si>
  <si>
    <t>-599.61773387043 -69.795846684068 322.606594436262</t>
  </si>
  <si>
    <t>-653.553663818606 -106.958577884419 780.967564314076</t>
  </si>
  <si>
    <t>-500.173430810694 -124.379182301113 826.298053105863</t>
  </si>
  <si>
    <t>9763-20170724T115400.532369500.bin</t>
  </si>
  <si>
    <t>-610.830685999378 31.8903588280834 -92.4214162292664</t>
  </si>
  <si>
    <t>-636.44155795508 29.8875866121282 -200.113467021629</t>
  </si>
  <si>
    <t>-654.358101984241 30.8131347780288 -291.23959540202</t>
  </si>
  <si>
    <t>-670.03200959134 32.6833807512271 -373.634795414253</t>
  </si>
  <si>
    <t>-684.637610096588 35.6078592535946 -456.195448675651</t>
  </si>
  <si>
    <t>-704.821691352964 41.044611243728 -577.058866016859</t>
  </si>
  <si>
    <t>-704.614595962779 45.501118792698 -655.291297402427</t>
  </si>
  <si>
    <t>-696.97663642915 69.9642631467002 -522.447900830908</t>
  </si>
  <si>
    <t>-671.744204007262 221.254379382912 -493.965697733289</t>
  </si>
  <si>
    <t>-554.112469430092 190.38756067671 -239.429611110224</t>
  </si>
  <si>
    <t>-338.457423599901 104.91947113384 -227.740317023845</t>
  </si>
  <si>
    <t>-694.953531380975 7.35390959716028 -525.602230717345</t>
  </si>
  <si>
    <t>-502.699385803985 38.9494723403568 -431.322420655496</t>
  </si>
  <si>
    <t>-612.93392676601 124.737411793668 -95.4410806431806</t>
  </si>
  <si>
    <t>-627.804775567847 139.571232632782 319.602763516882</t>
  </si>
  <si>
    <t>-668.640615060221 174.992179571958 779.63723251948</t>
  </si>
  <si>
    <t>-518.072925152066 175.026475863301 836.322327154521</t>
  </si>
  <si>
    <t>-599.965465028299 -70.3225081370749 322.568312151663</t>
  </si>
  <si>
    <t>-653.582266978459 -106.961991421706 781.025957711186</t>
  </si>
  <si>
    <t>-500.181440093138 -124.224338594712 826.347186246059</t>
  </si>
  <si>
    <t>9763-20170724T115400.563460100.bin</t>
  </si>
  <si>
    <t>-611.264526206075 31.3644710743654 -92.4502940272107</t>
  </si>
  <si>
    <t>-636.912347796049 29.3043044152803 -200.132504985077</t>
  </si>
  <si>
    <t>-654.855536488152 30.2603196869493 -291.253070133176</t>
  </si>
  <si>
    <t>-670.552105222982 32.1878750803255 -373.642646119684</t>
  </si>
  <si>
    <t>-685.17928951704 35.2009748083956 -456.196278129611</t>
  </si>
  <si>
    <t>-705.393938172525 40.8021633325907 -577.047002440241</t>
  </si>
  <si>
    <t>-705.135994076377 45.3181577304651 -655.275942847008</t>
  </si>
  <si>
    <t>-697.618924607382 69.6439059427278 -522.385014695315</t>
  </si>
  <si>
    <t>-672.939451008564 220.954142570085 -493.551403914871</t>
  </si>
  <si>
    <t>-552.715904343796 189.7757735998 -240.267427508637</t>
  </si>
  <si>
    <t>-337.717011145324 102.075841478795 -234.546856274165</t>
  </si>
  <si>
    <t>-695.428922928926 7.04481272796988 -525.652604129518</t>
  </si>
  <si>
    <t>-503.226763073296 38.8751259675457 -431.138088531675</t>
  </si>
  <si>
    <t>-613.580800778463 124.1771308455 -95.468761405618</t>
  </si>
  <si>
    <t>-627.976866142237 139.263859846618 319.582741707364</t>
  </si>
  <si>
    <t>-668.615741367064 174.970853163151 779.619480816857</t>
  </si>
  <si>
    <t>-518.054975255962 174.970899603519 836.322917316856</t>
  </si>
  <si>
    <t>-600.050682193206 -70.6320030500528 322.557891235139</t>
  </si>
  <si>
    <t>-653.603208529549 -106.952201476988 781.038271493854</t>
  </si>
  <si>
    <t>-500.197796423463 -124.177102271805 826.358334025212</t>
  </si>
  <si>
    <t>9763-20170724T115400.627642400.bin</t>
  </si>
  <si>
    <t>-612.241537490211 30.2704771145416 -92.4781515484816</t>
  </si>
  <si>
    <t>-637.88655456254 28.0895862599518 -200.15861298973</t>
  </si>
  <si>
    <t>-655.84147156255 29.1459630063071 -291.275720214462</t>
  </si>
  <si>
    <t>-671.553790805806 31.2411565312057 -373.658208494835</t>
  </si>
  <si>
    <t>-686.201813679388 34.5005178287852 -456.198796967311</t>
  </si>
  <si>
    <t>-706.452422428223 40.5473812718278 -577.022123759636</t>
  </si>
  <si>
    <t>-705.980110306792 45.3182840480629 -655.234843208063</t>
  </si>
  <si>
    <t>-698.733801567213 69.1840049560728 -522.244294695969</t>
  </si>
  <si>
    <t>-674.546721689177 220.427742753132 -492.578372919659</t>
  </si>
  <si>
    <t>-549.008114788982 188.989937668989 -241.918507288456</t>
  </si>
  <si>
    <t>-335.217065527249 98.3519256671786 -247.081776462827</t>
  </si>
  <si>
    <t>-696.399425551644 6.60424135548828 -525.767505638067</t>
  </si>
  <si>
    <t>-504.358282592638 38.8909276093445 -431.033935812502</t>
  </si>
  <si>
    <t>-615.027705337044 122.918392781175 -95.4871742290418</t>
  </si>
  <si>
    <t>-628.601122560908 138.606363955814 319.569717245303</t>
  </si>
  <si>
    <t>-668.588713812706 174.951749082857 779.61435225951</t>
  </si>
  <si>
    <t>-518.020538274099 174.962805957396 836.298093897467</t>
  </si>
  <si>
    <t>-600.375692410553 -71.3206287070532 322.551786953227</t>
  </si>
  <si>
    <t>-653.640854099809 -106.932941009291 781.075037993587</t>
  </si>
  <si>
    <t>-500.193573280417 -123.804130335212 826.38640009838</t>
  </si>
  <si>
    <t>9763-20170724T115400.663742300.bin</t>
  </si>
  <si>
    <t>-612.685056276877 29.7601585289087 -92.4929593067322</t>
  </si>
  <si>
    <t>-638.261563218911 27.5442500007273 -200.189010636319</t>
  </si>
  <si>
    <t>-656.221940715558 28.6367960102127 -291.304732949545</t>
  </si>
  <si>
    <t>-671.964149150945 30.7898353538651 -373.679891558478</t>
  </si>
  <si>
    <t>-686.666996535376 34.1319184065642 -456.207388182012</t>
  </si>
  <si>
    <t>-707.024927626166 40.3267076332663 -577.005162379338</t>
  </si>
  <si>
    <t>-706.499712853318 45.1978534589159 -655.211425589397</t>
  </si>
  <si>
    <t>-699.258795930169 68.8961758247228 -522.199008019414</t>
  </si>
  <si>
    <t>-675.353605732795 220.145090513335 -492.35511924272</t>
  </si>
  <si>
    <t>-547.488228271463 188.856480733132 -242.855515306057</t>
  </si>
  <si>
    <t>-334.491473996792 96.721722748827 -252.45271252265</t>
  </si>
  <si>
    <t>-696.925332676177 6.32068340642536 -525.80134254617</t>
  </si>
  <si>
    <t>-505.190483796892 38.848804602128 -431.191498585122</t>
  </si>
  <si>
    <t>-615.603479426025 122.322095597269 -95.4895192176828</t>
  </si>
  <si>
    <t>-629.036264189696 138.256838277112 319.562543031364</t>
  </si>
  <si>
    <t>-668.569871648293 174.962633895282 779.618506299744</t>
  </si>
  <si>
    <t>-517.994577698795 174.905608431028 836.283386806757</t>
  </si>
  <si>
    <t>-600.69922633384 -71.7362345014374 322.532429377006</t>
  </si>
  <si>
    <t>-653.661672270185 -106.946000125781 781.101497914931</t>
  </si>
  <si>
    <t>-500.205682686718 -123.755682824977 826.406170773336</t>
  </si>
  <si>
    <t>9763-20170724T115400.729917300.bin</t>
  </si>
  <si>
    <t>-613.160383025647 28.9517741122954 -92.512696918046</t>
  </si>
  <si>
    <t>-638.643988185148 26.71394729298 -200.230275290748</t>
  </si>
  <si>
    <t>-656.607338971553 27.8517276970927 -291.34479872033</t>
  </si>
  <si>
    <t>-672.384748103576 30.0699488777379 -373.711521518649</t>
  </si>
  <si>
    <t>-687.155136820684 33.5015207352371 -456.223447873721</t>
  </si>
  <si>
    <t>-707.647253701566 39.8534938472421 -576.990313927251</t>
  </si>
  <si>
    <t>-707.03281841202 44.7762584614914 -655.19264653288</t>
  </si>
  <si>
    <t>-699.807826660053 68.3522074045159 -522.157747013205</t>
  </si>
  <si>
    <t>-675.860531182099 219.568450295251 -492.156185126724</t>
  </si>
  <si>
    <t>-545.412481283332 188.500665457978 -243.969385693175</t>
  </si>
  <si>
    <t>-334.511537817614 92.8837277928635 -262.044839802458</t>
  </si>
  <si>
    <t>-697.503089034822 5.78050775699649 -525.839932131272</t>
  </si>
  <si>
    <t>-506.616079950981 38.8046003972283 -431.859641721528</t>
  </si>
  <si>
    <t>-616.130172658558 121.378015012516 -95.507814748839</t>
  </si>
  <si>
    <t>-629.362286000887 137.855502810009 319.529606271628</t>
  </si>
  <si>
    <t>-668.569764816578 174.860269473119 779.616312806093</t>
  </si>
  <si>
    <t>-517.984201041367 174.896427370137 836.253846600131</t>
  </si>
  <si>
    <t>-601.372573077633 -72.4672898337674 322.484978750874</t>
  </si>
  <si>
    <t>-653.759939661963 -106.956665549604 781.176919964206</t>
  </si>
  <si>
    <t>-500.259651306348 -123.666965361179 826.368159712541</t>
  </si>
  <si>
    <t>9763-20170724T115400.763030100.bin</t>
  </si>
  <si>
    <t>-613.312997878619 28.7231477900878 -92.5125348462275</t>
  </si>
  <si>
    <t>-638.780088790805 26.5162027651445 -200.234620870484</t>
  </si>
  <si>
    <t>-656.753710628789 27.6606539412433 -291.346993353787</t>
  </si>
  <si>
    <t>-672.550184674087 29.8774908705846 -373.710206017518</t>
  </si>
  <si>
    <t>-687.349337788404 33.3002732353236 -456.217247267613</t>
  </si>
  <si>
    <t>-707.894198696441 39.6308971910219 -576.976250982013</t>
  </si>
  <si>
    <t>-707.250249735446 44.5195419452425 -655.180614644804</t>
  </si>
  <si>
    <t>-700.009659187243 68.1402028377534 -522.155782202974</t>
  </si>
  <si>
    <t>-675.756236927241 219.30610746188 -492.187269240316</t>
  </si>
  <si>
    <t>-544.906114819127 188.062548985168 -244.23418624812</t>
  </si>
  <si>
    <t>-334.898612092679 91.213763436783 -265.813961962037</t>
  </si>
  <si>
    <t>-697.748943886272 5.5657907500613 -525.820723666969</t>
  </si>
  <si>
    <t>-507.263800851827 38.867768633414 -432.166607236093</t>
  </si>
  <si>
    <t>-616.210662885775 121.2142199117 -95.517864621178</t>
  </si>
  <si>
    <t>-629.304891754893 137.722699548297 319.522656657308</t>
  </si>
  <si>
    <t>-668.559017586542 174.82132433098 779.605578614528</t>
  </si>
  <si>
    <t>-517.975313826807 174.937916917035 836.24797768657</t>
  </si>
  <si>
    <t>-601.556702370309 -72.6118152456727 322.475636245486</t>
  </si>
  <si>
    <t>-653.823795319072 -106.937440650459 781.206325404103</t>
  </si>
  <si>
    <t>-500.278476708439 -123.481736670159 826.305602903681</t>
  </si>
  <si>
    <t>9763-20170724T115400.828197700.bin</t>
  </si>
  <si>
    <t>-613.486866274696 28.5980860656123 -92.4939373813704</t>
  </si>
  <si>
    <t>-639.042074304864 26.4366808613158 -200.196034381707</t>
  </si>
  <si>
    <t>-657.105775523095 27.5312599660174 -291.291334940503</t>
  </si>
  <si>
    <t>-672.989101331953 29.6689171515693 -373.639927524708</t>
  </si>
  <si>
    <t>-687.880162016127 32.9766049386037 -456.135082888509</t>
  </si>
  <si>
    <t>-708.564376230765 39.0990762554216 -576.881081259179</t>
  </si>
  <si>
    <t>-707.905811766759 43.7841992579006 -655.097726027848</t>
  </si>
  <si>
    <t>-700.512535820492 67.7075390934388 -522.136567395899</t>
  </si>
  <si>
    <t>-675.259687951217 218.756507305498 -492.408807584041</t>
  </si>
  <si>
    <t>-544.723332064066 187.202781333556 -244.329791711405</t>
  </si>
  <si>
    <t>-336.114303064321 88.61866071384 -271.012625542044</t>
  </si>
  <si>
    <t>-698.464078174167 5.11773083929165 -525.661027458558</t>
  </si>
  <si>
    <t>-508.34521500351 38.6072024619075 -432.532498920748</t>
  </si>
  <si>
    <t>-616.253717145542 121.164654825782 -95.4994499266919</t>
  </si>
  <si>
    <t>-629.129409243136 137.642808816054 319.549142643407</t>
  </si>
  <si>
    <t>-668.536531556633 174.766893090265 779.593338479799</t>
  </si>
  <si>
    <t>-517.960183673037 174.968206479485 836.254994976334</t>
  </si>
  <si>
    <t>-601.834297044803 -72.591221741993 322.492286409057</t>
  </si>
  <si>
    <t>-653.981879118543 -106.900653330776 781.241565200772</t>
  </si>
  <si>
    <t>-500.361877744252 -123.329321932476 826.128252224312</t>
  </si>
  <si>
    <t>9763-20170724T115400.860303500.bin</t>
  </si>
  <si>
    <t>-613.518574809761 28.6042340667464 -92.4946289385032</t>
  </si>
  <si>
    <t>-639.12616676492 26.4491633709472 -200.184359302625</t>
  </si>
  <si>
    <t>-657.236036264695 27.5090252916475 -291.270845683987</t>
  </si>
  <si>
    <t>-673.161359962461 29.6003569072359 -373.612441326851</t>
  </si>
  <si>
    <t>-688.094505950134 32.845374075891 -456.102641299329</t>
  </si>
  <si>
    <t>-708.840073016241 38.8581433486117 -576.843573418219</t>
  </si>
  <si>
    <t>-708.189502087887 43.4324439898116 -655.066763585108</t>
  </si>
  <si>
    <t>-700.703378073495 67.5186360547796 -522.138727282458</t>
  </si>
  <si>
    <t>-674.747818364606 218.466485941812 -492.553646245925</t>
  </si>
  <si>
    <t>-544.753225849087 187.098196638078 -244.166747593026</t>
  </si>
  <si>
    <t>-336.499668239657 88.3162852258279 -272.822052036331</t>
  </si>
  <si>
    <t>-698.770824497775 4.92105863401002 -525.588204816205</t>
  </si>
  <si>
    <t>-508.755879513355 38.3286996553604 -432.622413091064</t>
  </si>
  <si>
    <t>-616.173854700455 121.174394641445 -95.4938645170712</t>
  </si>
  <si>
    <t>-629.062261093381 137.633009040556 319.555099511304</t>
  </si>
  <si>
    <t>-668.529061433849 174.73088687529 779.588053569071</t>
  </si>
  <si>
    <t>-517.956484227302 174.950591436826 836.25955870757</t>
  </si>
  <si>
    <t>-601.943649758364 -72.5697117495727 322.505295759594</t>
  </si>
  <si>
    <t>-654.035190784164 -106.907917063581 781.265177977068</t>
  </si>
  <si>
    <t>-500.45181575307 -123.82358463644 826.096268451135</t>
  </si>
  <si>
    <t>9763-20170724T115400.897387100.bin</t>
  </si>
  <si>
    <t>-613.585478979139 28.7503875707616 -92.4920714544749</t>
  </si>
  <si>
    <t>-639.246564309491 26.6019819136382 -200.169343393835</t>
  </si>
  <si>
    <t>-657.407995236619 27.6036619254148 -291.246132141044</t>
  </si>
  <si>
    <t>-673.382052976024 29.6174322855577 -373.580343838529</t>
  </si>
  <si>
    <t>-688.365922766281 32.7590461831569 -456.065147463357</t>
  </si>
  <si>
    <t>-709.187514552552 38.5920407024632 -576.801966739788</t>
  </si>
  <si>
    <t>-708.5831257801 43.0278850390018 -655.033480910317</t>
  </si>
  <si>
    <t>-700.967176469402 67.3357979998364 -522.153392061639</t>
  </si>
  <si>
    <t>-674.41416292384 218.234321792114 -492.770277672833</t>
  </si>
  <si>
    <t>-544.980053120649 186.926577146556 -244.083278279079</t>
  </si>
  <si>
    <t>-337.138667760023 87.9297928998169 -274.907321620676</t>
  </si>
  <si>
    <t>-699.135184168138 4.72926385855976 -525.494061285317</t>
  </si>
  <si>
    <t>-509.290645078696 38.0233609165202 -432.694995441679</t>
  </si>
  <si>
    <t>-616.171971920027 121.37043522119 -95.4945008389784</t>
  </si>
  <si>
    <t>-629.029745658584 137.726966373766 319.559367048756</t>
  </si>
  <si>
    <t>-668.508724904445 174.778192937947 779.590265911213</t>
  </si>
  <si>
    <t>-517.937070162547 174.92950151974 836.26457261004</t>
  </si>
  <si>
    <t>-602.043614316395 -72.4138378849723 322.517873656417</t>
  </si>
  <si>
    <t>-654.070369050785 -106.862889346913 781.287499119992</t>
  </si>
  <si>
    <t>-500.458224134322 -123.651921454075 826.067609650417</t>
  </si>
  <si>
    <t>9763-20170724T115401.080899700.bin</t>
  </si>
  <si>
    <t>-613.719742669141 28.9578317913713 -92.4849910686885</t>
  </si>
  <si>
    <t>-639.432340057049 26.8172774986911 -200.15014713858</t>
  </si>
  <si>
    <t>-657.646469796934 27.7641744119187 -291.217037118711</t>
  </si>
  <si>
    <t>-673.671416288295 29.7038459516127 -373.543141018621</t>
  </si>
  <si>
    <t>-688.70900643613 32.7462771515866 -456.021813535294</t>
  </si>
  <si>
    <t>-709.612021988811 38.4063711008882 -576.752788590965</t>
  </si>
  <si>
    <t>-709.074763008716 42.6960488273728 -654.992928388846</t>
  </si>
  <si>
    <t>-701.303197631076 67.2304537301479 -522.159971941939</t>
  </si>
  <si>
    <t>-674.226811596828 218.060771640993 -492.971131833743</t>
  </si>
  <si>
    <t>-545.312020152655 186.91466018484 -243.994291297872</t>
  </si>
  <si>
    <t>-337.781110258211 87.5486374371326 -275.709210290021</t>
  </si>
  <si>
    <t>-699.576656016511 4.61529905659586 -525.394358199962</t>
  </si>
  <si>
    <t>-510.017766190401 37.9007788262622 -432.883222724102</t>
  </si>
  <si>
    <t>-616.266319701373 121.642409695291 -95.5049300976476</t>
  </si>
  <si>
    <t>-629.012543330878 137.870436563109 319.557523884529</t>
  </si>
  <si>
    <t>-668.503848232905 174.755356906891 779.601168202095</t>
  </si>
  <si>
    <t>-517.930195114501 174.953130965007 836.270023043596</t>
  </si>
  <si>
    <t>-602.203740634172 -72.1909131339576 322.530977984763</t>
  </si>
  <si>
    <t>-654.09579101017 -106.864337360643 781.312171738217</t>
  </si>
  <si>
    <t>-500.50769495204 -123.912832438339 826.076780599172</t>
  </si>
  <si>
    <t>9763-20170724T115401.130033400.bin</t>
  </si>
  <si>
    <t>-615.389679819533 30.0612342301588 -92.4497881980145</t>
  </si>
  <si>
    <t>-641.308659687748 27.8295250417025 -200.063599323152</t>
  </si>
  <si>
    <t>-659.711661897846 28.3610370060842 -291.095788538203</t>
  </si>
  <si>
    <t>-675.912014443438 29.7905593099376 -373.398055658272</t>
  </si>
  <si>
    <t>-691.129322024139 32.185520135547 -455.865149802532</t>
  </si>
  <si>
    <t>-712.29891623073 36.7479995298966 -576.596058189583</t>
  </si>
  <si>
    <t>-712.161279656052 40.264695351854 -654.87642833059</t>
  </si>
  <si>
    <t>-703.763129886298 66.0705000698895 -522.304600662929</t>
  </si>
  <si>
    <t>-674.843464040966 216.784477044361 -494.237250733299</t>
  </si>
  <si>
    <t>-548.342508770299 185.794719046067 -244.00596513851</t>
  </si>
  <si>
    <t>-340.183801523905 87.2051715603773 -273.982207819258</t>
  </si>
  <si>
    <t>-702.256637216253 3.42149434312637 -524.936304510871</t>
  </si>
  <si>
    <t>-515.199775480938 39.068673601078 -432.337848941182</t>
  </si>
  <si>
    <t>-617.810696749969 122.875132088762 -95.5634704009358</t>
  </si>
  <si>
    <t>-629.898743519368 138.754626994422 319.532083246214</t>
  </si>
  <si>
    <t>-668.509693006002 174.814502532454 779.710884322751</t>
  </si>
  <si>
    <t>-517.903170042408 174.962621061223 836.292540645871</t>
  </si>
  <si>
    <t>-603.635753746276 -71.2207567613505 322.635528356152</t>
  </si>
  <si>
    <t>-654.217382596125 -106.702522908626 781.502774993233</t>
  </si>
  <si>
    <t>-500.555863190463 -123.419904944433 826.140040599691</t>
  </si>
  <si>
    <t>9763-20170724T115401.177975500.bin</t>
  </si>
  <si>
    <t>-615.724960866196 30.1178321712589 -92.4401874150371</t>
  </si>
  <si>
    <t>-641.665625016669 27.8580863249656 -200.048157879258</t>
  </si>
  <si>
    <t>-660.052556981447 28.3243663442563 -291.08408123806</t>
  </si>
  <si>
    <t>-676.224590408542 29.677935440795 -373.39305894486</t>
  </si>
  <si>
    <t>-691.399650848535 31.9800924744557 -455.870726611451</t>
  </si>
  <si>
    <t>-712.492067254195 36.3887377110925 -576.620736242274</t>
  </si>
  <si>
    <t>-712.373545886343 39.8087904018705 -654.90553222933</t>
  </si>
  <si>
    <t>-704.006450868158 65.7800376153548 -522.358528675316</t>
  </si>
  <si>
    <t>-675.248839965751 216.55154712014 -494.422053002182</t>
  </si>
  <si>
    <t>-549.360422793942 185.952802202381 -243.833869707314</t>
  </si>
  <si>
    <t>-341.26915172308 86.9261843559621 -272.821591776716</t>
  </si>
  <si>
    <t>-702.467243543668 3.12870914211544 -524.914833545486</t>
  </si>
  <si>
    <t>-515.654226443901 38.8450411257193 -431.876046858705</t>
  </si>
  <si>
    <t>-618.187978136617 122.956460271229 -95.5689503829858</t>
  </si>
  <si>
    <t>-630.079954895851 138.864985221504 319.531200430116</t>
  </si>
  <si>
    <t>-668.497978064806 174.883633827852 779.732948650484</t>
  </si>
  <si>
    <t>-517.882514920841 174.901331382479 836.290936406528</t>
  </si>
  <si>
    <t>-603.837710635903 -71.1628711646945 322.656200397739</t>
  </si>
  <si>
    <t>-654.225101627023 -106.706805289759 781.548570103499</t>
  </si>
  <si>
    <t>-500.577146786643 -123.543127276105 826.187896010346</t>
  </si>
  <si>
    <t>9763-20170724T115401.230115300.bin</t>
  </si>
  <si>
    <t>-616.511916775935 29.9620668563616 -92.4751699296066</t>
  </si>
  <si>
    <t>-642.525500148188 27.6984734286916 -200.065409114474</t>
  </si>
  <si>
    <t>-660.848254791116 28.1060080420216 -291.114603361214</t>
  </si>
  <si>
    <t>-676.911596798291 29.3844488400316 -373.446071402781</t>
  </si>
  <si>
    <t>-691.926998755488 31.5896261700884 -455.955418653941</t>
  </si>
  <si>
    <t>-712.730074982369 35.8323724828945 -576.761827226397</t>
  </si>
  <si>
    <t>-712.527118684716 39.1596361301044 -655.050362922895</t>
  </si>
  <si>
    <t>-704.387918914797 65.297727147132 -522.517429799803</t>
  </si>
  <si>
    <t>-676.13095755052 216.183686363756 -494.702852696906</t>
  </si>
  <si>
    <t>-552.309714562697 186.136329323909 -243.020412486379</t>
  </si>
  <si>
    <t>-344.648260311681 85.0847395866324 -267.796120040524</t>
  </si>
  <si>
    <t>-702.815789020827 2.64371306785165 -524.988681787508</t>
  </si>
  <si>
    <t>-516.147973294884 37.8490967016387 -431.002915952957</t>
  </si>
  <si>
    <t>-619.011203658453 122.825123967936 -95.6083324315865</t>
  </si>
  <si>
    <t>-630.490542051338 138.786438570499 319.501402562682</t>
  </si>
  <si>
    <t>-668.499118069848 174.87289235033 779.714640990469</t>
  </si>
  <si>
    <t>-517.867225850974 174.963046694955 836.228812976763</t>
  </si>
  <si>
    <t>-604.190653019921 -71.1430172774049 322.623757731828</t>
  </si>
  <si>
    <t>-654.255058970427 -106.633489753095 781.557082316159</t>
  </si>
  <si>
    <t>-500.565227843901 -123.126670865047 826.180405624141</t>
  </si>
  <si>
    <t>9763-20170724T115401.265218000.bin</t>
  </si>
  <si>
    <t>-616.947975068223 29.7393869523237 -92.511799828472</t>
  </si>
  <si>
    <t>-642.998134997038 27.4954082166189 -200.093664543861</t>
  </si>
  <si>
    <t>-661.25476758947 27.9037320377881 -291.156062648323</t>
  </si>
  <si>
    <t>-677.219475701597 29.1769814173522 -373.506734019255</t>
  </si>
  <si>
    <t>-692.097217168741 31.371225499993 -456.041395361353</t>
  </si>
  <si>
    <t>-712.656133274299 35.5919052605602 -576.890251887013</t>
  </si>
  <si>
    <t>-712.345851810961 38.9327417552138 -655.17785970634</t>
  </si>
  <si>
    <t>-704.428998516693 65.0669121780925 -522.633762644845</t>
  </si>
  <si>
    <t>-676.454940486765 216.009870274631 -494.859075405798</t>
  </si>
  <si>
    <t>-553.387194723495 186.416130052634 -242.753661394845</t>
  </si>
  <si>
    <t>-345.75745282468 84.8791797362428 -265.746618031598</t>
  </si>
  <si>
    <t>-702.841147369306 2.41278645765942 -525.091999138049</t>
  </si>
  <si>
    <t>-515.953509227369 37.0427277348247 -430.627636447146</t>
  </si>
  <si>
    <t>-619.407822870533 122.646466844861 -95.6410006119537</t>
  </si>
  <si>
    <t>-630.671420437631 138.648061565868 319.473041558493</t>
  </si>
  <si>
    <t>-668.495418914179 174.855531243951 779.69350803495</t>
  </si>
  <si>
    <t>-517.85906303723 174.880409612557 836.195738743595</t>
  </si>
  <si>
    <t>-604.358639812662 -71.2636691797693 322.584616880711</t>
  </si>
  <si>
    <t>-654.237878960631 -106.657147924846 781.55716646071</t>
  </si>
  <si>
    <t>-500.608327384567 -123.545485890622 826.240099568463</t>
  </si>
  <si>
    <t>9763-20170724T115401.330390400.bin</t>
  </si>
  <si>
    <t>-617.909583408515 29.1644508020638 -92.5846340138896</t>
  </si>
  <si>
    <t>-643.986304757225 26.9576664921456 -200.160858272104</t>
  </si>
  <si>
    <t>-662.124314976489 27.4068366203214 -291.246725658464</t>
  </si>
  <si>
    <t>-677.925609926113 28.7217206057323 -373.628315352192</t>
  </si>
  <si>
    <t>-692.583640330622 30.9630268581693 -456.201004131526</t>
  </si>
  <si>
    <t>-712.759624977681 35.25946533149 -577.111641689928</t>
  </si>
  <si>
    <t>-712.181116898336 38.7218334603056 -655.392528606204</t>
  </si>
  <si>
    <t>-704.74256492325 64.6992657674448 -522.804555587129</t>
  </si>
  <si>
    <t>-677.575554787113 215.777180226996 -494.956945482048</t>
  </si>
  <si>
    <t>-554.556529470279 187.271785726954 -242.70241200685</t>
  </si>
  <si>
    <t>-345.311871729816 87.4011052237552 -256.52454549542</t>
  </si>
  <si>
    <t>-703.070620214427 2.04913489901401 -525.309691076929</t>
  </si>
  <si>
    <t>-515.080425794404 35.3518264236154 -429.862519040333</t>
  </si>
  <si>
    <t>-620.345064070524 122.121185217342 -95.6940890851603</t>
  </si>
  <si>
    <t>-631.107649670032 138.265951247786 319.427725021325</t>
  </si>
  <si>
    <t>-668.482553078125 174.85801880237 779.654426679364</t>
  </si>
  <si>
    <t>-517.831367972668 174.805582964612 836.117147485234</t>
  </si>
  <si>
    <t>-604.892440998628 -71.5596167668416 322.493627671465</t>
  </si>
  <si>
    <t>-654.205311572858 -106.633841297277 781.562591834466</t>
  </si>
  <si>
    <t>-500.576970649821 -123.310067725228 826.329367564023</t>
  </si>
  <si>
    <t>9763-20170724T115401.366057300.bin</t>
  </si>
  <si>
    <t>-618.426278112806 28.8621384254895 -92.6182128086867</t>
  </si>
  <si>
    <t>-644.499294592704 26.6669555501699 -200.195582827754</t>
  </si>
  <si>
    <t>-662.614772500223 27.1382323365488 -291.285831750165</t>
  </si>
  <si>
    <t>-678.388064460037 28.4780483589523 -373.672307475036</t>
  </si>
  <si>
    <t>-693.010489854782 30.7496577736079 -456.250645583414</t>
  </si>
  <si>
    <t>-713.126201312896 35.0961518699355 -577.169620632035</t>
  </si>
  <si>
    <t>-712.437713115924 38.6261708246241 -655.446594082728</t>
  </si>
  <si>
    <t>-705.15191057849 64.5130626053262 -522.843620275224</t>
  </si>
  <si>
    <t>-678.360207922155 215.625138606781 -494.821106832944</t>
  </si>
  <si>
    <t>-554.541272578312 187.626611841133 -242.901476729378</t>
  </si>
  <si>
    <t>-344.48688983226 89.0948405868189 -253.726273154083</t>
  </si>
  <si>
    <t>-703.44727051201 1.8649639978828 -525.379149130787</t>
  </si>
  <si>
    <t>-514.65357992234 34.6456920614148 -429.422909427858</t>
  </si>
  <si>
    <t>-620.865586613181 121.818012330265 -95.7152950029484</t>
  </si>
  <si>
    <t>-631.428246787421 138.107649670094 319.406015440716</t>
  </si>
  <si>
    <t>-668.451465666791 174.924853569927 779.624599879483</t>
  </si>
  <si>
    <t>-517.797430123578 174.65468323425 836.079188171643</t>
  </si>
  <si>
    <t>-605.225655831633 -71.7435211935187 322.44518779345</t>
  </si>
  <si>
    <t>-654.165622967385 -106.615953651287 781.55314728958</t>
  </si>
  <si>
    <t>-500.532329586608 -122.978478319412 826.418603241533</t>
  </si>
  <si>
    <t>9763-20170724T115401.431229000.bin</t>
  </si>
  <si>
    <t>-619.350977745306 28.3280871435345 -92.6926016786468</t>
  </si>
  <si>
    <t>-645.427748517046 26.184057299105 -200.269989641316</t>
  </si>
  <si>
    <t>-663.498965438575 26.7396566377754 -291.368608716897</t>
  </si>
  <si>
    <t>-679.213281001811 28.172773570117 -373.764921056307</t>
  </si>
  <si>
    <t>-693.757779154641 30.5546076196333 -456.353804570686</t>
  </si>
  <si>
    <t>-713.738627525119 35.0815823619009 -577.288373601738</t>
  </si>
  <si>
    <t>-712.843382286538 38.7883244917593 -655.555015430724</t>
  </si>
  <si>
    <t>-705.823362734633 64.4172467371693 -522.910187952758</t>
  </si>
  <si>
    <t>-679.678462862164 215.569511151092 -494.510018809288</t>
  </si>
  <si>
    <t>-554.255991226941 188.053053515759 -243.331528974235</t>
  </si>
  <si>
    <t>-342.438993883198 92.8430549959364 -247.473845598947</t>
  </si>
  <si>
    <t>-704.119054047402 1.7730947640905 -525.536582176244</t>
  </si>
  <si>
    <t>-514.093503875366 33.1990975379319 -428.906222558529</t>
  </si>
  <si>
    <t>-621.783649846293 121.238123357741 -95.7734630305881</t>
  </si>
  <si>
    <t>-632.077262329326 137.775163157454 319.344807968125</t>
  </si>
  <si>
    <t>-668.41603047859 174.926091811156 779.605622826288</t>
  </si>
  <si>
    <t>-517.749942508111 174.559028819516 836.027379527825</t>
  </si>
  <si>
    <t>-605.816197416507 -72.0753101492019 322.350824962069</t>
  </si>
  <si>
    <t>-653.99554826427 -106.673390801926 781.60821575849</t>
  </si>
  <si>
    <t>-500.484516731217 -123.27015375986 826.804853473411</t>
  </si>
  <si>
    <t>9763-20170724T115401.462959300.bin</t>
  </si>
  <si>
    <t>-619.775485233763 28.1388117544861 -92.7105962307683</t>
  </si>
  <si>
    <t>-645.867882243398 26.0382036364329 -200.285138212196</t>
  </si>
  <si>
    <t>-663.904935579473 26.6546876385678 -291.39010281177</t>
  </si>
  <si>
    <t>-679.56948922398 28.153440740625 -373.79476570708</t>
  </si>
  <si>
    <t>-694.045153305523 30.611534563641 -456.393414275856</t>
  </si>
  <si>
    <t>-713.90461769361 35.2613385889651 -577.343409435325</t>
  </si>
  <si>
    <t>-712.943406158218 39.1047394973407 -655.602741229473</t>
  </si>
  <si>
    <t>-706.02307522238 64.5425652020174 -522.930827216649</t>
  </si>
  <si>
    <t>-680.010461299375 215.680656626843 -494.394222753412</t>
  </si>
  <si>
    <t>-554.06958038636 188.429708753655 -243.446326535754</t>
  </si>
  <si>
    <t>-341.419532517693 95.0070504219768 -244.27415665634</t>
  </si>
  <si>
    <t>-704.357813730277 1.89961157502489 -525.612456165247</t>
  </si>
  <si>
    <t>-513.982328208913 32.45672016452 -428.756363156517</t>
  </si>
  <si>
    <t>-622.121573172754 121.085633281282 -95.789699634569</t>
  </si>
  <si>
    <t>-632.311115229665 137.659115077153 319.329665589422</t>
  </si>
  <si>
    <t>-668.380822602276 175.000023759644 779.606161532851</t>
  </si>
  <si>
    <t>-517.708232997393 174.484463485971 836.009386588359</t>
  </si>
  <si>
    <t>-606.051266573294 -72.1912947728945 322.319839982603</t>
  </si>
  <si>
    <t>-653.973179297525 -106.646470612141 781.620048878559</t>
  </si>
  <si>
    <t>-500.457307110922 -123.060172838738 826.867121690287</t>
  </si>
  <si>
    <t>9763-20170724T115401.533142400.bin</t>
  </si>
  <si>
    <t>-620.389926477795 27.8682903118547 -92.7582133342826</t>
  </si>
  <si>
    <t>-646.461873730169 25.8599798385324 -200.339449595295</t>
  </si>
  <si>
    <t>-664.352098829999 26.5858705471771 -291.472497668598</t>
  </si>
  <si>
    <t>-679.831695047035 28.1990468261006 -373.909875539287</t>
  </si>
  <si>
    <t>-694.069455797233 30.7858297649777 -456.546003211874</t>
  </si>
  <si>
    <t>-713.522961938063 35.6389495909555 -577.554000553939</t>
  </si>
  <si>
    <t>-712.405987974481 39.7550522095628 -655.797330656834</t>
  </si>
  <si>
    <t>-705.717110806429 64.8319621345483 -523.083104644734</t>
  </si>
  <si>
    <t>-679.794347769335 215.971460243191 -494.44797142405</t>
  </si>
  <si>
    <t>-553.674148567432 188.401965991383 -243.624777749287</t>
  </si>
  <si>
    <t>-338.503853986702 101.381113828812 -234.813231070061</t>
  </si>
  <si>
    <t>-704.256783192079 2.18683547830165 -525.830339618171</t>
  </si>
  <si>
    <t>-513.309542567925 30.8476910307015 -428.494274787822</t>
  </si>
  <si>
    <t>-622.430056031903 120.859281825759 -95.8088883676207</t>
  </si>
  <si>
    <t>-632.527747489243 137.469362043313 319.31126116702</t>
  </si>
  <si>
    <t>-668.360447109483 174.982185374583 779.59562945594</t>
  </si>
  <si>
    <t>-517.678124237641 174.435076573817 835.972477266201</t>
  </si>
  <si>
    <t>-606.574333797685 -72.3506645481518 322.241269449544</t>
  </si>
  <si>
    <t>-654.035968724209 -106.668423663005 781.602176021159</t>
  </si>
  <si>
    <t>-500.546129227245 -123.430595333198 826.809743287487</t>
  </si>
  <si>
    <t>9763-20170724T115401.563239000.bin</t>
  </si>
  <si>
    <t>-620.554174717583 27.8204149694413 -92.7820950031944</t>
  </si>
  <si>
    <t>-646.624588046859 25.8765405596255 -200.36495788969</t>
  </si>
  <si>
    <t>-664.468638623829 26.662368912378 -291.506580777452</t>
  </si>
  <si>
    <t>-679.888280241631 28.3336600941852 -373.953947924749</t>
  </si>
  <si>
    <t>-694.047682209833 30.9809690052118 -456.60162208932</t>
  </si>
  <si>
    <t>-713.365950202782 35.9258729222786 -577.627581943726</t>
  </si>
  <si>
    <t>-712.197152249698 40.139590276156 -655.864964859983</t>
  </si>
  <si>
    <t>-705.545329153491 65.0799049633881 -523.13792335817</t>
  </si>
  <si>
    <t>-679.577845654779 216.217187485502 -494.472653773701</t>
  </si>
  <si>
    <t>-553.265608627866 187.903758359882 -243.829222799221</t>
  </si>
  <si>
    <t>-336.69132020433 105.003115486638 -230.729943208387</t>
  </si>
  <si>
    <t>-704.233164115927 2.43239937693079 -525.907047306426</t>
  </si>
  <si>
    <t>-512.73130497291 30.218033692192 -428.134153396137</t>
  </si>
  <si>
    <t>-622.416116754033 120.839726219422 -95.8098754943215</t>
  </si>
  <si>
    <t>-632.597141648654 137.40854502117 319.309916858681</t>
  </si>
  <si>
    <t>-668.357014618791 174.924338694834 779.587177733806</t>
  </si>
  <si>
    <t>-517.674324441026 174.341803937049 835.962773728394</t>
  </si>
  <si>
    <t>-606.865220723338 -72.3896956935332 322.199176701069</t>
  </si>
  <si>
    <t>-654.087846979347 -106.639848058399 781.588232354566</t>
  </si>
  <si>
    <t>-500.572101603313 -123.358035543742 826.723994122014</t>
  </si>
  <si>
    <t>9763-20170724T115401.627399500.bin</t>
  </si>
  <si>
    <t>-620.690177675905 27.8219384094332 -92.8669997934662</t>
  </si>
  <si>
    <t>-646.72924333153 25.9640057773211 -200.458981859877</t>
  </si>
  <si>
    <t>-664.540931178024 26.8692288131017 -291.605872080728</t>
  </si>
  <si>
    <t>-679.928544996854 28.6705276725042 -374.056432502359</t>
  </si>
  <si>
    <t>-694.052904782462 31.4674029057303 -456.705194755448</t>
  </si>
  <si>
    <t>-713.316551325562 36.6519408338079 -577.729871807555</t>
  </si>
  <si>
    <t>-712.09057489388 41.048971362341 -655.956255854648</t>
  </si>
  <si>
    <t>-705.381891437985 65.701612187906 -523.20096402112</t>
  </si>
  <si>
    <t>-679.187133191616 216.742904450649 -494.257710175648</t>
  </si>
  <si>
    <t>-551.813110135458 186.857850602461 -244.334982278562</t>
  </si>
  <si>
    <t>-332.146467229482 114.46761017652 -223.010270757472</t>
  </si>
  <si>
    <t>-704.345785952742 3.05243942492939 -526.049715492357</t>
  </si>
  <si>
    <t>-511.33979216355 29.1370083679797 -427.213514085796</t>
  </si>
  <si>
    <t>-622.189120769747 120.854227486657 -95.8765638983173</t>
  </si>
  <si>
    <t>-632.568400647112 137.444284881426 319.237480468787</t>
  </si>
  <si>
    <t>-668.322730485097 174.91453011706 779.526335169723</t>
  </si>
  <si>
    <t>-517.644613791362 174.383583203715 835.914809888339</t>
  </si>
  <si>
    <t>-607.622180019318 -72.4515287371703 322.105993596243</t>
  </si>
  <si>
    <t>-654.196854726172 -106.593836566224 781.561648089447</t>
  </si>
  <si>
    <t>-500.623775546797 -123.169882824802 826.554539959563</t>
  </si>
  <si>
    <t>9763-20170724T115401.664504000.bin</t>
  </si>
  <si>
    <t>-620.656010094244 27.9202892023184 -92.9092038993944</t>
  </si>
  <si>
    <t>-646.686702208202 26.1052543596131 -200.503869780488</t>
  </si>
  <si>
    <t>-664.485736884207 27.0596491693429 -291.652769069383</t>
  </si>
  <si>
    <t>-679.859607826057 28.9115997276838 -374.104801858541</t>
  </si>
  <si>
    <t>-693.967649572533 31.7647558287072 -456.754408614015</t>
  </si>
  <si>
    <t>-713.204565427124 37.0372785201068 -577.779601800376</t>
  </si>
  <si>
    <t>-711.96722526516 41.5158069653887 -656.001163779857</t>
  </si>
  <si>
    <t>-705.213398397879 66.0487963470518 -523.238541536575</t>
  </si>
  <si>
    <t>-679.087717678224 217.087848448908 -494.198617590363</t>
  </si>
  <si>
    <t>-550.970448325906 186.727371870401 -244.71348997764</t>
  </si>
  <si>
    <t>-329.737159788927 120.163892711147 -220.762280626964</t>
  </si>
  <si>
    <t>-704.313756742265 3.39869724139385 -526.110970219455</t>
  </si>
  <si>
    <t>-510.658044897102 28.1754128239438 -426.6289801488</t>
  </si>
  <si>
    <t>-621.978856042545 121.005123618992 -95.916429529721</t>
  </si>
  <si>
    <t>-632.438719713363 137.522713331819 319.198412114788</t>
  </si>
  <si>
    <t>-668.280041132602 174.99459746008 779.477414577471</t>
  </si>
  <si>
    <t>-517.615047574734 174.194455398245 835.897661182881</t>
  </si>
  <si>
    <t>-607.947544698686 -72.4463990417876 322.059873362992</t>
  </si>
  <si>
    <t>-654.244048348543 -106.59266645795 781.557403890991</t>
  </si>
  <si>
    <t>-500.64867569748 -123.144252634504 826.483300728757</t>
  </si>
  <si>
    <t>9763-20170724T115401.728676800.bin</t>
  </si>
  <si>
    <t>-620.541906657062 28.1619330185408 -92.9974081375244</t>
  </si>
  <si>
    <t>-646.568730139409 26.4289608155816 -200.594334709358</t>
  </si>
  <si>
    <t>-664.326615486481 27.4704271901069 -291.750218539125</t>
  </si>
  <si>
    <t>-679.647192706392 29.4110498879095 -374.210310203689</t>
  </si>
  <si>
    <t>-693.685241383612 32.3596490648338 -456.868480282313</t>
  </si>
  <si>
    <t>-712.800921587207 37.7787022071816 -577.906251939349</t>
  </si>
  <si>
    <t>-711.547583828693 42.4883173605472 -656.114098721742</t>
  </si>
  <si>
    <t>-704.688784050434 66.727428516594 -523.349802993869</t>
  </si>
  <si>
    <t>-678.594762957033 217.741995731196 -494.136143980003</t>
  </si>
  <si>
    <t>-549.092864620623 186.247422680102 -245.508042971634</t>
  </si>
  <si>
    <t>-324.667737019545 132.912998274526 -218.354103866332</t>
  </si>
  <si>
    <t>-704.137449648798 4.07422549269199 -526.241996648453</t>
  </si>
  <si>
    <t>-509.471895630989 25.5861437571386 -425.707353139511</t>
  </si>
  <si>
    <t>-621.532296387359 121.245413380468 -95.9985623788984</t>
  </si>
  <si>
    <t>-632.135113402773 137.636755398751 319.117697521137</t>
  </si>
  <si>
    <t>-668.239879780549 174.977421816972 779.393706254729</t>
  </si>
  <si>
    <t>-517.594012025958 174.125069180251 835.864153477982</t>
  </si>
  <si>
    <t>-608.355054422566 -72.3523383755803 321.984518096071</t>
  </si>
  <si>
    <t>-654.337947001927 -106.532199620269 781.53273368386</t>
  </si>
  <si>
    <t>-500.698496453578 -123.049253505633 826.320370418086</t>
  </si>
  <si>
    <t>9763-20170724T115401.764774200.bin</t>
  </si>
  <si>
    <t>-620.435749577762 28.3368412663065 -93.0323283704935</t>
  </si>
  <si>
    <t>-646.438880712257 26.6109387877684 -200.635081555005</t>
  </si>
  <si>
    <t>-664.163270195497 27.6645824070472 -291.797442514161</t>
  </si>
  <si>
    <t>-679.447312167241 29.6192945529076 -374.263797649356</t>
  </si>
  <si>
    <t>-693.441801851734 32.5834539425261 -456.928879073733</t>
  </si>
  <si>
    <t>-712.485671160114 38.0259100017533 -577.97706216772</t>
  </si>
  <si>
    <t>-711.217090529821 42.8455036513139 -656.177740992936</t>
  </si>
  <si>
    <t>-704.291905796758 66.9659581376768 -523.428018712593</t>
  </si>
  <si>
    <t>-678.053187245666 217.9247925486 -494.058120088725</t>
  </si>
  <si>
    <t>-547.94570317868 186.326309503169 -245.759594123597</t>
  </si>
  <si>
    <t>-322.288559478206 138.515178148869 -218.52952584775</t>
  </si>
  <si>
    <t>-703.966830349468 4.30979731631351 -526.296228380538</t>
  </si>
  <si>
    <t>-508.60987495688 23.6008015541272 -425.293629465941</t>
  </si>
  <si>
    <t>-621.306975253726 121.434955952571 -96.0480837009176</t>
  </si>
  <si>
    <t>-631.902267370626 137.734939860562 319.071915140268</t>
  </si>
  <si>
    <t>-668.245799561025 174.876176025449 779.350513350717</t>
  </si>
  <si>
    <t>-517.608098313232 174.194781980362 835.845090122725</t>
  </si>
  <si>
    <t>-608.422383608528 -72.2733322446124 321.964049052583</t>
  </si>
  <si>
    <t>-654.36512733331 -106.485738822102 781.517589665793</t>
  </si>
  <si>
    <t>-500.679806082789 -122.700623729581 826.258092067875</t>
  </si>
  <si>
    <t>9763-20170724T115401.827943400.bin</t>
  </si>
  <si>
    <t>-620.079737529089 28.6349812362569 -93.0833249443937</t>
  </si>
  <si>
    <t>-646.07936678801 26.9277424740599 -200.687267021384</t>
  </si>
  <si>
    <t>-663.763256368963 27.9709457930758 -291.857508240459</t>
  </si>
  <si>
    <t>-678.994049162948 29.9061465038876 -374.334289122462</t>
  </si>
  <si>
    <t>-692.917643745739 32.8377291452905 -457.012415374864</t>
  </si>
  <si>
    <t>-711.837491402899 38.217229213604 -578.082699821167</t>
  </si>
  <si>
    <t>-710.568949939342 43.2292821194219 -656.271458995058</t>
  </si>
  <si>
    <t>-703.53415028013 67.1869754954103 -523.566311878355</t>
  </si>
  <si>
    <t>-677.720129730913 218.186304813184 -494.042420034721</t>
  </si>
  <si>
    <t>-546.203935275647 187.021090163903 -246.432317000626</t>
  </si>
  <si>
    <t>-318.724885172331 148.095974372099 -220.228265135327</t>
  </si>
  <si>
    <t>-703.537151758134 4.52638132683273 -526.350007345997</t>
  </si>
  <si>
    <t>-505.59330203922 16.3498926697537 -424.231991390741</t>
  </si>
  <si>
    <t>-620.787263421931 121.995763875383 -96.1248969446231</t>
  </si>
  <si>
    <t>-631.452811454956 137.933346985941 319.007442354857</t>
  </si>
  <si>
    <t>-668.237450800431 174.78555278815 779.268724570895</t>
  </si>
  <si>
    <t>-517.618343496431 174.26487659717 835.814650198486</t>
  </si>
  <si>
    <t>-608.294693226514 -72.4516822404996 321.924843180114</t>
  </si>
  <si>
    <t>-654.359047451117 -106.527735963399 781.518662097443</t>
  </si>
  <si>
    <t>-500.764088483265 -123.465938241223 826.301632545962</t>
  </si>
  <si>
    <t>9763-20170724T115401.862042200.bin</t>
  </si>
  <si>
    <t>-620.000693452444 28.9644623272372 -93.0852110757063</t>
  </si>
  <si>
    <t>-645.998833984509 27.2520624525628 -200.689445721841</t>
  </si>
  <si>
    <t>-663.663297508316 28.2911822722594 -291.863564939552</t>
  </si>
  <si>
    <t>-678.86823356838 30.2225377352311 -374.345065246009</t>
  </si>
  <si>
    <t>-692.756932755901 33.1488337811677 -457.029291200043</t>
  </si>
  <si>
    <t>-711.615308506364 38.5178650173223 -578.109776378601</t>
  </si>
  <si>
    <t>-710.330246627894 43.6364645981209 -656.291328457515</t>
  </si>
  <si>
    <t>-703.244633329012 67.4928936444674 -523.606255606697</t>
  </si>
  <si>
    <t>-677.545447616212 218.517555413242 -494.101206541274</t>
  </si>
  <si>
    <t>-545.769477234563 187.809639272759 -246.571946241593</t>
  </si>
  <si>
    <t>-317.591515573994 152.436091839988 -221.431297646371</t>
  </si>
  <si>
    <t>-703.436215417616 4.83095415407047 -526.355104910577</t>
  </si>
  <si>
    <t>-503.672981501681 11.5805309188972 -423.72753669308</t>
  </si>
  <si>
    <t>-620.723994919117 122.385118357084 -96.1465093782803</t>
  </si>
  <si>
    <t>-631.323262276333 138.083598015693 318.996620731675</t>
  </si>
  <si>
    <t>-668.233261423249 174.751413082879 779.252642245107</t>
  </si>
  <si>
    <t>-517.620917670299 174.359467861898 835.817732481976</t>
  </si>
  <si>
    <t>-608.179872017768 -72.2252940432734 321.927827976236</t>
  </si>
  <si>
    <t>-654.343640912624 -106.511772284461 781.51519878716</t>
  </si>
  <si>
    <t>-500.769924913165 -123.561717622568 826.328561266893</t>
  </si>
  <si>
    <t>9763-20170724T115401.931226400.bin</t>
  </si>
  <si>
    <t>-619.823426158119 29.7574512186604 -93.0599364796724</t>
  </si>
  <si>
    <t>-645.85864864359 28.0675003021745 -200.655481643723</t>
  </si>
  <si>
    <t>-663.575523472138 29.1057548889021 -291.819440039536</t>
  </si>
  <si>
    <t>-678.834739188399 31.0290113733415 -374.291270734538</t>
  </si>
  <si>
    <t>-692.783916410621 33.9365529599313 -456.965961272424</t>
  </si>
  <si>
    <t>-711.736599912767 39.2654759109657 -578.0334971105</t>
  </si>
  <si>
    <t>-710.413665730928 44.5362773556415 -656.204204574013</t>
  </si>
  <si>
    <t>-703.150718562565 68.2587921590707 -523.573130790416</t>
  </si>
  <si>
    <t>-677.562400088338 219.311196143495 -494.108503671387</t>
  </si>
  <si>
    <t>-545.744003608621 189.828724262577 -246.45290576534</t>
  </si>
  <si>
    <t>-316.530332457452 160.096030495665 -223.527067182365</t>
  </si>
  <si>
    <t>-703.689922574502 5.59569005649041 -526.247003825381</t>
  </si>
  <si>
    <t>-620.366893313872 123.279842815952 -96.1337898441253</t>
  </si>
  <si>
    <t>-631.088293746588 138.568188269661 319.021543098797</t>
  </si>
  <si>
    <t>-668.226112488366 174.766662117459 779.268453546923</t>
  </si>
  <si>
    <t>-517.61968261813 174.180584745478 835.847553938158</t>
  </si>
  <si>
    <t>-607.98014308004 -71.726345021651 321.949477013429</t>
  </si>
  <si>
    <t>-654.315705487617 -106.398350751579 781.509330886814</t>
  </si>
  <si>
    <t>-500.74164330136 -123.357468398894 826.355892683619</t>
  </si>
  <si>
    <t>9763-20170724T115401.962076200.bin</t>
  </si>
  <si>
    <t>-619.708473916231 30.240069448178 -93.0370646343102</t>
  </si>
  <si>
    <t>-645.797770035493 28.5997382649825 -200.620263358056</t>
  </si>
  <si>
    <t>-663.500494158261 29.6352461211025 -291.787092784018</t>
  </si>
  <si>
    <t>-678.721914331986 31.5388196989429 -374.266239247188</t>
  </si>
  <si>
    <t>-692.607520908862 34.4070673720762 -456.952943791834</t>
  </si>
  <si>
    <t>-711.438206488661 39.656295437474 -578.043079084062</t>
  </si>
  <si>
    <t>-709.996396021893 44.9749799244187 -656.208479549338</t>
  </si>
  <si>
    <t>-702.764341430148 68.6847852604674 -523.61548055078</t>
  </si>
  <si>
    <t>-676.996170704563 219.699928297079 -494.205467300172</t>
  </si>
  <si>
    <t>-545.48415344473 191.037868603558 -246.290759809638</t>
  </si>
  <si>
    <t>-315.86058963451 163.729658538841 -224.477459461166</t>
  </si>
  <si>
    <t>-703.586596018243 6.02118303520956 -526.204065113149</t>
  </si>
  <si>
    <t>-620.102092357564 123.791520805893 -96.1058061020751</t>
  </si>
  <si>
    <t>-630.988529847612 138.831378414994 319.054273273595</t>
  </si>
  <si>
    <t>-668.234072780916 174.738441086598 779.297583394</t>
  </si>
  <si>
    <t>-517.626348833977 174.075676762795 835.872254607446</t>
  </si>
  <si>
    <t>-607.950473837446 -71.4077572359392 321.962472203024</t>
  </si>
  <si>
    <t>-654.284627019445 -106.402986038185 781.507892270034</t>
  </si>
  <si>
    <t>-500.772075535633 -123.725405428293 826.42616207245</t>
  </si>
  <si>
    <t>9763-20170724T115402.029263800.bin</t>
  </si>
  <si>
    <t>-619.649248251882 31.1419134232819 -93.0142936515708</t>
  </si>
  <si>
    <t>-645.794535688351 29.6231869158526 -200.585736607165</t>
  </si>
  <si>
    <t>-663.514225001912 30.6891721879394 -291.748807451176</t>
  </si>
  <si>
    <t>-678.737593279679 32.5961343264635 -374.227602021526</t>
  </si>
  <si>
    <t>-692.611109824283 35.4381723044689 -456.917265895529</t>
  </si>
  <si>
    <t>-711.408064176885 40.6157827947941 -578.015628540909</t>
  </si>
  <si>
    <t>-709.787632065105 46.0448952715221 -656.16992856972</t>
  </si>
  <si>
    <t>-702.46063040075 69.6731618012775 -523.647777794481</t>
  </si>
  <si>
    <t>-675.874122859524 220.605306729576 -494.48242646162</t>
  </si>
  <si>
    <t>-545.182827513287 193.634292507158 -245.944858855524</t>
  </si>
  <si>
    <t>-315.054551228298 169.653134985701 -225.587481233384</t>
  </si>
  <si>
    <t>-703.859618019078 7.01476101522098 -526.10955052151</t>
  </si>
  <si>
    <t>-619.502466388109 124.777046914097 -96.0858780988226</t>
  </si>
  <si>
    <t>-630.676264234 139.342594985084 319.083542095007</t>
  </si>
  <si>
    <t>-668.22683678281 174.763761885313 779.336474744672</t>
  </si>
  <si>
    <t>-517.620047502157 173.973960677937 835.912030971198</t>
  </si>
  <si>
    <t>-608.091128169424 -70.7578476830199 321.990741440473</t>
  </si>
  <si>
    <t>-654.226152894081 -106.354638616949 781.530426087609</t>
  </si>
  <si>
    <t>-500.732265945874 -123.622637214952 826.533450900818</t>
  </si>
  <si>
    <t>9763-20170724T115402.066378900.bin</t>
  </si>
  <si>
    <t>-619.765716657239 31.5507732293852 -92.9965630721834</t>
  </si>
  <si>
    <t>-645.922858891626 30.1093375897774 -200.566240831587</t>
  </si>
  <si>
    <t>-663.645397985774 31.1810225759371 -291.728740333998</t>
  </si>
  <si>
    <t>-678.867876835594 33.0714056128627 -374.208016518846</t>
  </si>
  <si>
    <t>-692.736620769497 35.8726090897608 -456.899904828441</t>
  </si>
  <si>
    <t>-711.522047683753 40.9625860147371 -578.003617449708</t>
  </si>
  <si>
    <t>-709.817675385456 46.4193908271695 -656.154440080378</t>
  </si>
  <si>
    <t>-702.416693085019 70.0562108057763 -523.681512020808</t>
  </si>
  <si>
    <t>-675.288285529618 220.921284883105 -494.656006372122</t>
  </si>
  <si>
    <t>-545.10102482122 194.475984475326 -245.797577722352</t>
  </si>
  <si>
    <t>-314.796905196338 171.702956935118 -226.050455609766</t>
  </si>
  <si>
    <t>-704.141584637541 7.40217408644617 -526.047331850245</t>
  </si>
  <si>
    <t>-619.346978030304 125.214584863944 -96.0706530462802</t>
  </si>
  <si>
    <t>-630.616750985865 139.552801501621 319.104066073106</t>
  </si>
  <si>
    <t>-668.218727535751 174.782433971288 779.352672923849</t>
  </si>
  <si>
    <t>-517.615313121514 173.900550451217 835.935850707805</t>
  </si>
  <si>
    <t>-608.230907784857 -70.4589465592776 321.99199428574</t>
  </si>
  <si>
    <t>-654.214126782057 -106.332569310793 781.531047823769</t>
  </si>
  <si>
    <t>-500.755910328961 -123.863135041555 826.554134100996</t>
  </si>
  <si>
    <t>9763-20170724T115402.129517100.bin</t>
  </si>
  <si>
    <t>-620.226216224687 32.2110847539259 -92.9807081861575</t>
  </si>
  <si>
    <t>-646.380793107306 30.8970498340666 -200.552608268561</t>
  </si>
  <si>
    <t>-664.034973284582 31.9917939563018 -291.728078180294</t>
  </si>
  <si>
    <t>-679.167079464335 33.8742864003686 -374.224126054335</t>
  </si>
  <si>
    <t>-692.915797672154 36.6313049043627 -456.937579062554</t>
  </si>
  <si>
    <t>-711.492074793156 41.6152547688705 -578.078023005078</t>
  </si>
  <si>
    <t>-709.582066034674 47.122464310585 -656.220522754992</t>
  </si>
  <si>
    <t>-702.083659544969 70.7452233342476 -523.827141084553</t>
  </si>
  <si>
    <t>-673.515591951322 221.414957420422 -495.224589644591</t>
  </si>
  <si>
    <t>-544.696977896863 196.352980339852 -245.51223377621</t>
  </si>
  <si>
    <t>-314.24266262767 174.401813459632 -226.605371632801</t>
  </si>
  <si>
    <t>-704.598266911703 8.11147768059436 -526.018388977611</t>
  </si>
  <si>
    <t>-619.203299013109 125.862153733032 -96.0665571748782</t>
  </si>
  <si>
    <t>-630.798490221727 140.015881196932 319.105465115977</t>
  </si>
  <si>
    <t>-668.217947691918 174.847285321881 779.396941534868</t>
  </si>
  <si>
    <t>-517.610673449228 173.737608410632 835.965929582633</t>
  </si>
  <si>
    <t>-608.588546621486 -69.8054023477578 322.001182367298</t>
  </si>
  <si>
    <t>-654.17759524313 -106.266768826547 781.532364963695</t>
  </si>
  <si>
    <t>-500.739211084876 -123.833945078082 826.608831330894</t>
  </si>
  <si>
    <t>9763-20170724T115402.165545100.bin</t>
  </si>
  <si>
    <t>-620.593020607857 32.4706795503407 -92.9929221309656</t>
  </si>
  <si>
    <t>-646.720910459419 31.2202132383588 -200.572071639459</t>
  </si>
  <si>
    <t>-664.301135290865 32.3348033875689 -291.761484342643</t>
  </si>
  <si>
    <t>-679.344593803921 34.224068676775 -374.273746328731</t>
  </si>
  <si>
    <t>-692.98203822948 36.972947286238 -457.005917088375</t>
  </si>
  <si>
    <t>-711.370288421014 41.9271275487442 -578.176151923199</t>
  </si>
  <si>
    <t>-709.33645826233 47.4523319283953 -656.314254006383</t>
  </si>
  <si>
    <t>-701.825159898785 71.0619405569373 -523.951669250706</t>
  </si>
  <si>
    <t>-672.369825875186 221.591677826976 -495.505360227505</t>
  </si>
  <si>
    <t>-544.500409178465 197.147927530371 -245.244540919879</t>
  </si>
  <si>
    <t>-314.02501246001 175.255261420578 -226.527513807478</t>
  </si>
  <si>
    <t>-704.778199842746 8.44467602324289 -526.063732274107</t>
  </si>
  <si>
    <t>-619.245942619887 126.129385809847 -96.0786162425575</t>
  </si>
  <si>
    <t>-630.924899340529 140.246918629963 319.092268276969</t>
  </si>
  <si>
    <t>-668.210525994042 174.94018291963 779.421515675445</t>
  </si>
  <si>
    <t>-517.598181988555 173.599404803451 835.9720150288</t>
  </si>
  <si>
    <t>-608.806334039004 -69.513373823831 321.999830621613</t>
  </si>
  <si>
    <t>-654.153268548939 -106.226502178825 781.541787870322</t>
  </si>
  <si>
    <t>-500.713482808426 -123.733729060902 826.636653477196</t>
  </si>
  <si>
    <t>9763-20170724T115402.228712900.bin</t>
  </si>
  <si>
    <t>-621.573880013761 32.861958091238 -92.9928810392413</t>
  </si>
  <si>
    <t>-647.663702799772 31.7877051344694 -200.583160614077</t>
  </si>
  <si>
    <t>-665.090698975475 32.9931225776152 -291.800915597707</t>
  </si>
  <si>
    <t>-679.945673452914 34.9481513626927 -374.345683165591</t>
  </si>
  <si>
    <t>-693.343952193775 37.7390034244918 -457.115459479081</t>
  </si>
  <si>
    <t>-711.326231448694 42.7274549523545 -578.345312704471</t>
  </si>
  <si>
    <t>-709.103149647557 48.2924805182565 -656.475360643577</t>
  </si>
  <si>
    <t>-701.593701094762 71.8291035562556 -524.136343192767</t>
  </si>
  <si>
    <t>-670.614833483065 222.110929490488 -496.004794883595</t>
  </si>
  <si>
    <t>-544.884289385764 198.609527007485 -244.572696896892</t>
  </si>
  <si>
    <t>-314.410965354463 176.487221247403 -226.101806717942</t>
  </si>
  <si>
    <t>-705.277910753712 9.24785726801338 -526.164967482081</t>
  </si>
  <si>
    <t>-619.431664576501 126.574141877686 -96.1033272966275</t>
  </si>
  <si>
    <t>-631.185039883575 140.55339528104 319.070112225753</t>
  </si>
  <si>
    <t>-668.244550117516 174.947318280156 779.447921144824</t>
  </si>
  <si>
    <t>-517.615341101685 173.491659810323 835.950541400547</t>
  </si>
  <si>
    <t>-609.588574701544 -69.0803745379264 321.97352472252</t>
  </si>
  <si>
    <t>-654.118347652551 -106.163526040111 781.550767288833</t>
  </si>
  <si>
    <t>-500.704916423213 -123.808684160462 826.681550640848</t>
  </si>
  <si>
    <t>9763-20170724T115402.262335000.bin</t>
  </si>
  <si>
    <t>-622.17332360234 33.0482401644283 -93.0187572322324</t>
  </si>
  <si>
    <t>-648.230618907384 32.0674874257575 -200.617831915357</t>
  </si>
  <si>
    <t>-665.519136247962 33.3094681401024 -291.86135599274</t>
  </si>
  <si>
    <t>-680.204163071819 35.2838607500873 -374.436115630057</t>
  </si>
  <si>
    <t>-693.387296674223 38.0777840012963 -457.240364477217</t>
  </si>
  <si>
    <t>-711.005333954407 43.0521464592657 -578.524142868447</t>
  </si>
  <si>
    <t>-708.649873053491 48.6141463779215 -656.65067864208</t>
  </si>
  <si>
    <t>-701.28688372891 72.1518301422952 -524.311701046304</t>
  </si>
  <si>
    <t>-669.88177658312 222.368320095523 -496.222286360664</t>
  </si>
  <si>
    <t>-545.013891871424 199.091234182823 -244.33996400324</t>
  </si>
  <si>
    <t>-314.55032083537 176.843333619033 -225.897922810297</t>
  </si>
  <si>
    <t>-705.262476815554 9.58714516087343 -526.300247047307</t>
  </si>
  <si>
    <t>-619.631331495561 126.813395006482 -96.139334208577</t>
  </si>
  <si>
    <t>-631.338721410715 140.697611715896 319.038667232061</t>
  </si>
  <si>
    <t>-668.265834950724 174.944142295483 779.443312997173</t>
  </si>
  <si>
    <t>-517.628608813413 173.410425294369 835.922456194778</t>
  </si>
  <si>
    <t>-610.138831056218 -68.8827281550628 321.941070584386</t>
  </si>
  <si>
    <t>-654.084221559968 -106.125410376064 781.566841707548</t>
  </si>
  <si>
    <t>-500.669155089087 -123.658427506283 826.735795362993</t>
  </si>
  <si>
    <t>9763-20170724T115402.326503900.bin</t>
  </si>
  <si>
    <t>-623.445236213722 33.4730428280916 -93.1071093452863</t>
  </si>
  <si>
    <t>-649.370582558964 32.6502223749862 -200.739452902633</t>
  </si>
  <si>
    <t>-666.350508232002 33.960520701585 -292.039901662896</t>
  </si>
  <si>
    <t>-680.676275551449 35.9763870772242 -374.676733103604</t>
  </si>
  <si>
    <t>-693.419015306364 38.7852057454882 -457.549394112426</t>
  </si>
  <si>
    <t>-710.303695800064 43.7509456745609 -578.937882883998</t>
  </si>
  <si>
    <t>-707.650578280614 49.3147313524526 -657.054581039318</t>
  </si>
  <si>
    <t>-700.604172892797 72.834724813659 -524.713517306323</t>
  </si>
  <si>
    <t>-668.04838557325 222.791274056104 -496.599073192367</t>
  </si>
  <si>
    <t>-544.994536201143 200.116393438113 -243.770766673665</t>
  </si>
  <si>
    <t>-314.707723721692 176.584924569942 -224.724049426094</t>
  </si>
  <si>
    <t>-705.185554603899 10.3092818662253 -526.633958522129</t>
  </si>
  <si>
    <t>-620.145005327966 127.326403054152 -96.2333032027209</t>
  </si>
  <si>
    <t>-631.899027233326 141.00999125447 318.950064738535</t>
  </si>
  <si>
    <t>-668.307154383979 174.968417183292 779.420903958871</t>
  </si>
  <si>
    <t>-517.650030631317 173.379566208294 835.845573123819</t>
  </si>
  <si>
    <t>-611.438786333572 -68.5183294460887 321.847903166347</t>
  </si>
  <si>
    <t>-654.030969963753 -106.095110307572 781.593694568969</t>
  </si>
  <si>
    <t>-500.658872892037 -123.847027006005 826.823054668429</t>
  </si>
  <si>
    <t>9763-20170724T115402.363118200.bin</t>
  </si>
  <si>
    <t>-624.130503650392 33.6426430461111 -93.1617741348873</t>
  </si>
  <si>
    <t>-649.954270593284 32.8673106656659 -200.818803036297</t>
  </si>
  <si>
    <t>-666.831779842972 34.2128360270065 -292.137863464186</t>
  </si>
  <si>
    <t>-681.058054130177 36.2607910801039 -374.791172909227</t>
  </si>
  <si>
    <t>-693.694125626229 39.1000070431983 -457.679055178291</t>
  </si>
  <si>
    <t>-710.41488550765 44.1082151243138 -579.08848149788</t>
  </si>
  <si>
    <t>-707.666488311319 49.6684464953898 -657.20206877245</t>
  </si>
  <si>
    <t>-700.680999299153 73.16545540524 -524.855993924753</t>
  </si>
  <si>
    <t>-667.710707352439 223.011526858244 -496.628467478573</t>
  </si>
  <si>
    <t>-545.398624960747 200.400102073731 -243.434661084812</t>
  </si>
  <si>
    <t>-315.190490446801 176.435173454756 -223.981433956322</t>
  </si>
  <si>
    <t>-705.474883739299 10.6559278672892 -526.774163364135</t>
  </si>
  <si>
    <t>-620.531884609319 127.4958380332 -96.2877606191028</t>
  </si>
  <si>
    <t>-632.312911357575 141.201479559163 318.894179850576</t>
  </si>
  <si>
    <t>-668.328203371721 175.013124226337 779.407352499978</t>
  </si>
  <si>
    <t>-517.661364839918 173.154318907784 835.797605152208</t>
  </si>
  <si>
    <t>-612.123052851287 -68.3918085876408 321.800669575171</t>
  </si>
  <si>
    <t>-654.012506694123 -106.071795478153 781.604202005115</t>
  </si>
  <si>
    <t>-500.64420611156 -123.841103897522 826.839541122502</t>
  </si>
  <si>
    <t>9763-20170724T115402.430292100.bin</t>
  </si>
  <si>
    <t>-625.4814484623 33.9781565794872 -93.2658335383201</t>
  </si>
  <si>
    <t>-651.064764586513 33.2596349959526 -200.98066845939</t>
  </si>
  <si>
    <t>-667.690128269982 34.688765702535 -292.344669012291</t>
  </si>
  <si>
    <t>-681.667805232579 36.82816222268 -375.038098648647</t>
  </si>
  <si>
    <t>-694.033768721014 39.7719361483078 -457.963018788765</t>
  </si>
  <si>
    <t>-710.335568497582 44.9464069411522 -579.42254400976</t>
  </si>
  <si>
    <t>-707.412642297469 50.5366859569888 -657.527568463395</t>
  </si>
  <si>
    <t>-700.635994860777 73.9179100168765 -525.137891972536</t>
  </si>
  <si>
    <t>-667.343526608617 223.630317583915 -496.595557512593</t>
  </si>
  <si>
    <t>-546.302850405053 200.619339269559 -242.827445860118</t>
  </si>
  <si>
    <t>-316.149978022047 176.400459035968 -223.03778744285</t>
  </si>
  <si>
    <t>-705.72896672327 11.433795832321 -527.116240756408</t>
  </si>
  <si>
    <t>-621.605178926283 127.747723774977 -96.4006410009501</t>
  </si>
  <si>
    <t>-633.339152789275 141.439159216581 318.782995564577</t>
  </si>
  <si>
    <t>-668.418862760688 174.973729850065 779.387511651136</t>
  </si>
  <si>
    <t>-517.713658180631 173.133177658115 835.675919366664</t>
  </si>
  <si>
    <t>-613.625865732594 -68.2098927416382 321.670783755764</t>
  </si>
  <si>
    <t>-653.97803481344 -105.990826751505 781.610436432578</t>
  </si>
  <si>
    <t>-500.593760688491 -123.585312697373 826.859906763145</t>
  </si>
  <si>
    <t>9763-20170724T115402.460934200.bin</t>
  </si>
  <si>
    <t>-626.113463814722 34.1551142247924 -93.3162463690262</t>
  </si>
  <si>
    <t>-651.553280160744 33.4492254767358 -201.065238676774</t>
  </si>
  <si>
    <t>-668.064334712743 34.9335929280669 -292.448999301455</t>
  </si>
  <si>
    <t>-681.940954864645 37.1405719473923 -375.157628806039</t>
  </si>
  <si>
    <t>-694.207544962138 40.1690987068118 -458.094321541334</t>
  </si>
  <si>
    <t>-710.365726067787 45.4855185498939 -579.566851146767</t>
  </si>
  <si>
    <t>-707.370545703089 51.1240961601848 -657.665682741264</t>
  </si>
  <si>
    <t>-700.682600211593 74.3898700951859 -525.243452899869</t>
  </si>
  <si>
    <t>-667.332619873772 224.048766652735 -496.495579936668</t>
  </si>
  <si>
    <t>-546.854276895903 200.86185476624 -242.476144904754</t>
  </si>
  <si>
    <t>-316.6758905465 176.727111797131 -222.881500766703</t>
  </si>
  <si>
    <t>-705.868684230309 11.9156508313558 -527.287944207093</t>
  </si>
  <si>
    <t>-622.204992766821 127.89657723058 -96.4513707658591</t>
  </si>
  <si>
    <t>-633.789665943221 141.597324449596 318.736107310817</t>
  </si>
  <si>
    <t>-668.46722222994 174.922466833059 779.377959870604</t>
  </si>
  <si>
    <t>-517.744469571561 173.091795793771 835.619616985165</t>
  </si>
  <si>
    <t>-614.265548598826 -68.1064424776396 321.613025375032</t>
  </si>
  <si>
    <t>-653.950193798413 -105.980722800969 781.609888935191</t>
  </si>
  <si>
    <t>-500.602043616216 -123.818934730102 826.886406762079</t>
  </si>
  <si>
    <t>9763-20170724T115402.530086300.bin</t>
  </si>
  <si>
    <t>-627.124340438282 34.5615625259229 -93.3654377320689</t>
  </si>
  <si>
    <t>-652.37838207711 33.8444286320864 -201.157973293622</t>
  </si>
  <si>
    <t>-668.753334862726 35.440024919294 -292.564477637279</t>
  </si>
  <si>
    <t>-682.514230035738 37.7949451270476 -375.288215480711</t>
  </si>
  <si>
    <t>-694.671660595452 41.0186522320419 -458.23360948454</t>
  </si>
  <si>
    <t>-710.676802428063 46.6722828492325 -579.711166038872</t>
  </si>
  <si>
    <t>-707.561383698602 52.4776784762012 -657.793224317833</t>
  </si>
  <si>
    <t>-701.049690466145 75.4247663965625 -525.297431551841</t>
  </si>
  <si>
    <t>-667.909112356454 225.029607769473 -496.00918954602</t>
  </si>
  <si>
    <t>-547.858065464645 201.837352560827 -241.788000477032</t>
  </si>
  <si>
    <t>-317.558142902635 178.207540395565 -223.02328956483</t>
  </si>
  <si>
    <t>-706.258039467213 12.9583755100739 -527.518376472664</t>
  </si>
  <si>
    <t>-623.261130573035 128.237022277517 -96.5085488820888</t>
  </si>
  <si>
    <t>-634.56637741386 141.920051697931 318.687314144677</t>
  </si>
  <si>
    <t>-668.5558428507 174.874241902199 779.396185332665</t>
  </si>
  <si>
    <t>-517.794612165204 172.916295531471 835.530334954363</t>
  </si>
  <si>
    <t>-614.972785642792 -67.8707307172847 321.529962478061</t>
  </si>
  <si>
    <t>-653.86058985617 -105.911016591727 781.606209353837</t>
  </si>
  <si>
    <t>-500.507348508323 -123.511108001712 826.958662521012</t>
  </si>
  <si>
    <t>9763-20170724T115402.563184700.bin</t>
  </si>
  <si>
    <t>-627.464727247117 34.7935711663615 -93.3681879313406</t>
  </si>
  <si>
    <t>-652.69019501828 34.0537690919591 -201.167338702875</t>
  </si>
  <si>
    <t>-669.034343944374 35.6859543622288 -292.578622794127</t>
  </si>
  <si>
    <t>-682.764071206962 38.0948379233355 -375.306111078781</t>
  </si>
  <si>
    <t>-694.886546015513 41.3936024159407 -458.253703571408</t>
  </si>
  <si>
    <t>-710.836197477157 47.1791807247605 -579.73226607152</t>
  </si>
  <si>
    <t>-707.637030314451 53.0790433518973 -657.803795506538</t>
  </si>
  <si>
    <t>-701.245605661387 75.873313003505 -525.281253728971</t>
  </si>
  <si>
    <t>-668.341479639891 225.485097286247 -495.752163885311</t>
  </si>
  <si>
    <t>-548.238363062144 202.332017460305 -241.551955610327</t>
  </si>
  <si>
    <t>-317.871731537817 179.031677177928 -223.19861737341</t>
  </si>
  <si>
    <t>-706.429653575769 13.4076441785573 -527.575641025494</t>
  </si>
  <si>
    <t>-623.773144241297 128.49184507922 -96.516794171369</t>
  </si>
  <si>
    <t>-634.805823178609 142.093018043579 318.689075950429</t>
  </si>
  <si>
    <t>-668.573747420533 174.900343908147 779.405314433121</t>
  </si>
  <si>
    <t>-517.79968720752 172.838467724928 835.501275132584</t>
  </si>
  <si>
    <t>-615.071746732768 -67.7127420526333 321.505616064873</t>
  </si>
  <si>
    <t>-653.816698258225 -105.879480576147 781.603791264133</t>
  </si>
  <si>
    <t>-500.495082204806 -123.62990787282 827.00454656585</t>
  </si>
  <si>
    <t>9763-20170724T115402.628357900.bin</t>
  </si>
  <si>
    <t>-627.785435531912 35.1942301681579 -93.3490462910155</t>
  </si>
  <si>
    <t>-653.07483732802 34.3934788829699 -201.132623572248</t>
  </si>
  <si>
    <t>-669.411579835966 36.088671461792 -292.544116254386</t>
  </si>
  <si>
    <t>-683.10815832111 38.5955407511319 -375.274299619056</t>
  </si>
  <si>
    <t>-695.169762306564 42.033503161779 -458.225095775191</t>
  </si>
  <si>
    <t>-710.998919873889 48.0668690060829 -579.707319888116</t>
  </si>
  <si>
    <t>-707.595134459798 54.1697807284013 -657.754668263808</t>
  </si>
  <si>
    <t>-701.48723651623 76.6518971806991 -525.185153353239</t>
  </si>
  <si>
    <t>-669.019822239238 226.263177128611 -495.1932418221</t>
  </si>
  <si>
    <t>-548.572488299436 203.431897100249 -241.126667856292</t>
  </si>
  <si>
    <t>-318.129708947314 180.483094403029 -223.294189834749</t>
  </si>
  <si>
    <t>-706.61922511396 14.1871748751598 -527.618714460538</t>
  </si>
  <si>
    <t>-624.539105630128 128.90683628592 -96.4796339984692</t>
  </si>
  <si>
    <t>-635.077399517353 142.332222322857 318.744775170317</t>
  </si>
  <si>
    <t>-668.625241288143 174.797078344299 779.470480913733</t>
  </si>
  <si>
    <t>-517.829097019739 172.828612816989 835.510334322289</t>
  </si>
  <si>
    <t>-614.724496423834 -67.3252902685874 321.517134820285</t>
  </si>
  <si>
    <t>-653.65015599805 -105.791209419543 781.596626421507</t>
  </si>
  <si>
    <t>-500.391624934475 -123.534652114191 827.212602591066</t>
  </si>
  <si>
    <t>9763-20170724T115402.664803300.bin</t>
  </si>
  <si>
    <t>-627.803774379348 35.4255413861051 -93.3199026692644</t>
  </si>
  <si>
    <t>-653.167599482169 34.591334727814 -201.085706410153</t>
  </si>
  <si>
    <t>-669.528994585367 36.3095001068953 -292.492499964526</t>
  </si>
  <si>
    <t>-683.231450992944 38.8548591368346 -375.220363030499</t>
  </si>
  <si>
    <t>-695.281888102347 42.3490240257379 -458.170355607049</t>
  </si>
  <si>
    <t>-711.075288915797 48.4831491731663 -579.652256928097</t>
  </si>
  <si>
    <t>-707.585756227961 54.6568472395434 -657.690278743472</t>
  </si>
  <si>
    <t>-701.583731997144 77.0233548186216 -525.103001408891</t>
  </si>
  <si>
    <t>-669.276544000932 226.637693542608 -494.94685252053</t>
  </si>
  <si>
    <t>-548.663054408253 204.013669373641 -240.940749568025</t>
  </si>
  <si>
    <t>-318.191736626208 181.219639961549 -223.278724758655</t>
  </si>
  <si>
    <t>-706.706780888458 14.5599570679797 -527.591155661554</t>
  </si>
  <si>
    <t>-624.812122157107 129.161186221004 -96.4400766537767</t>
  </si>
  <si>
    <t>-635.061830033294 142.486888061003 318.794764927363</t>
  </si>
  <si>
    <t>-668.622700137798 174.814840048265 779.519502977227</t>
  </si>
  <si>
    <t>-517.826395004541 172.689226268519 835.553200699504</t>
  </si>
  <si>
    <t>-614.362464766711 -67.0716105813003 321.54246014554</t>
  </si>
  <si>
    <t>-653.577125605466 -105.746387380256 781.59731014864</t>
  </si>
  <si>
    <t>-500.338243540244 -123.428966923862 827.302843884339</t>
  </si>
  <si>
    <t>9763-20170724T115402.731983600.bin</t>
  </si>
  <si>
    <t>-627.718403478585 35.8447530583674 -93.2253558392817</t>
  </si>
  <si>
    <t>-653.245145730885 34.9656008906729 -200.952358168669</t>
  </si>
  <si>
    <t>-669.656439026305 36.6877258169752 -292.350051767159</t>
  </si>
  <si>
    <t>-683.367010586893 39.248787347384 -375.076059703701</t>
  </si>
  <si>
    <t>-695.387539076733 42.7699242372573 -458.029344162614</t>
  </si>
  <si>
    <t>-711.094444938795 48.9542528433842 -579.51989193043</t>
  </si>
  <si>
    <t>-707.47392174741 55.1468644700351 -657.550490122057</t>
  </si>
  <si>
    <t>-701.626867553497 77.4706466766722 -524.95431110668</t>
  </si>
  <si>
    <t>-669.567915378099 227.103213232783 -494.63317479836</t>
  </si>
  <si>
    <t>-548.927351049847 204.845886927285 -240.607524148418</t>
  </si>
  <si>
    <t>-318.466402043392 182.045284115747 -222.819496506938</t>
  </si>
  <si>
    <t>-706.777953005164 15.0105694540298 -527.467713521881</t>
  </si>
  <si>
    <t>-625.154461819475 129.599281010607 -96.3077700247508</t>
  </si>
  <si>
    <t>-634.813443010249 142.725296180419 318.94759269856</t>
  </si>
  <si>
    <t>-668.666578665875 174.623191404048 779.663855840579</t>
  </si>
  <si>
    <t>-517.861876019183 172.787816126741 835.685218797767</t>
  </si>
  <si>
    <t>-613.428035362973 -66.4870727086852 321.620530334004</t>
  </si>
  <si>
    <t>-653.510930975111 -105.616702555115 781.570747365434</t>
  </si>
  <si>
    <t>-500.290194326764 -123.289263496452 827.340945496703</t>
  </si>
  <si>
    <t>9763-20170724T115402.762100600.bin</t>
  </si>
  <si>
    <t>-627.617220168308 36.022732802943 -93.1664032189676</t>
  </si>
  <si>
    <t>-653.218891281786 35.1568791482896 -200.875717168301</t>
  </si>
  <si>
    <t>-669.646159145844 36.8803779190248 -292.270564672335</t>
  </si>
  <si>
    <t>-683.351498419409 39.4370575366459 -374.997625915067</t>
  </si>
  <si>
    <t>-695.346618855361 42.9472422842136 -457.955074081998</t>
  </si>
  <si>
    <t>-710.993773127835 49.1076450554947 -579.454578686703</t>
  </si>
  <si>
    <t>-707.330378693419 55.2686208928617 -657.485536062923</t>
  </si>
  <si>
    <t>-701.50917527437 77.6313934793629 -524.895636837685</t>
  </si>
  <si>
    <t>-669.312279655087 227.237954453131 -494.58772716722</t>
  </si>
  <si>
    <t>-548.985607053843 205.267489951149 -240.388279480934</t>
  </si>
  <si>
    <t>-318.54652385347 182.321578602003 -222.503938079487</t>
  </si>
  <si>
    <t>-706.746611368972 15.1777956474759 -527.387730768692</t>
  </si>
  <si>
    <t>-625.150564220142 129.823904891994 -96.2199211942499</t>
  </si>
  <si>
    <t>-634.610404815227 142.887824822347 319.04197269855</t>
  </si>
  <si>
    <t>-668.669561038861 174.593069672352 779.753895272321</t>
  </si>
  <si>
    <t>-517.864352164817 172.758134295386 835.773891536227</t>
  </si>
  <si>
    <t>-612.948830145892 -66.1458790132826 321.655813918382</t>
  </si>
  <si>
    <t>-653.47710426593 -105.550662179479 781.552321633176</t>
  </si>
  <si>
    <t>-500.253299030558 -123.114406463954 827.354146263923</t>
  </si>
  <si>
    <t>9763-20170724T115402.831249900.bin</t>
  </si>
  <si>
    <t>-627.510200939223 36.5226676748607 -92.9909504632461</t>
  </si>
  <si>
    <t>-653.19445812103 35.7231057982967 -200.681097439443</t>
  </si>
  <si>
    <t>-669.606518636865 37.4417680006486 -292.078679696622</t>
  </si>
  <si>
    <t>-683.263518163838 39.9697397986831 -374.814671004015</t>
  </si>
  <si>
    <t>-695.175472153775 43.4245876122641 -457.786258975407</t>
  </si>
  <si>
    <t>-710.66267870966 49.4734710052485 -579.311966717028</t>
  </si>
  <si>
    <t>-706.933743529887 55.5379116485649 -657.347378315186</t>
  </si>
  <si>
    <t>-701.15256892475 78.0393238609092 -524.779624774242</t>
  </si>
  <si>
    <t>-668.680437675286 227.590890522368 -494.534604964241</t>
  </si>
  <si>
    <t>-549.032756848685 206.340325885002 -239.953665446068</t>
  </si>
  <si>
    <t>-318.704214064469 182.657182640277 -221.612499106419</t>
  </si>
  <si>
    <t>-706.581573058129 15.5990438152933 -527.195706699271</t>
  </si>
  <si>
    <t>-624.936095227716 130.344322024083 -96.0048599805683</t>
  </si>
  <si>
    <t>-634.213238367114 143.262697787103 319.265749184075</t>
  </si>
  <si>
    <t>-668.694949637552 174.50949022005 779.984377543801</t>
  </si>
  <si>
    <t>-517.881752048835 172.551478977204 835.978779913783</t>
  </si>
  <si>
    <t>-612.250335918314 -65.5591912619316 321.767733826568</t>
  </si>
  <si>
    <t>-653.387871073335 -105.424020733482 781.534856068091</t>
  </si>
  <si>
    <t>-500.208759672267 -123.108277755741 827.439685316908</t>
  </si>
  <si>
    <t>9763-20170724T115402.862164900.bin</t>
  </si>
  <si>
    <t>-627.441687010956 36.8399817075679 -92.9412831676643</t>
  </si>
  <si>
    <t>-653.11352328394 36.0807008849752 -200.634741318512</t>
  </si>
  <si>
    <t>-669.476049819164 37.8012496666477 -292.041186978483</t>
  </si>
  <si>
    <t>-683.072576091372 40.3193027167449 -374.787357551527</t>
  </si>
  <si>
    <t>-694.908317167675 43.7513744729918 -457.770949251039</t>
  </si>
  <si>
    <t>-710.266986063727 49.752391109763 -579.315252528756</t>
  </si>
  <si>
    <t>-706.494102451591 55.7828328564819 -657.351247624828</t>
  </si>
  <si>
    <t>-700.757313028633 78.3350073380684 -524.791612874551</t>
  </si>
  <si>
    <t>-668.084060072372 227.838765951874 -494.529850141024</t>
  </si>
  <si>
    <t>-548.920710270004 206.972743457025 -239.690169955809</t>
  </si>
  <si>
    <t>-318.645496501027 182.975353555863 -221.08960824433</t>
  </si>
  <si>
    <t>-706.298155385115 15.9033054058175 -527.173817559375</t>
  </si>
  <si>
    <t>-624.700946682357 130.654450212347 -95.9417796282712</t>
  </si>
  <si>
    <t>-634.116829518675 143.406388438101 319.330837316982</t>
  </si>
  <si>
    <t>-668.705878883685 174.505066448923 780.061169566502</t>
  </si>
  <si>
    <t>-517.887474746877 172.535081906343 836.041047289501</t>
  </si>
  <si>
    <t>-612.207138856172 -65.3681916582207 321.778605964324</t>
  </si>
  <si>
    <t>-653.392955410646 -105.379260731846 781.497118690313</t>
  </si>
  <si>
    <t>-500.227240976887 -123.235679210513 827.379991046852</t>
  </si>
  <si>
    <t>9763-20170724T115402.928307100.bin</t>
  </si>
  <si>
    <t>-627.180003226903 37.4844495158707 -92.9259623265948</t>
  </si>
  <si>
    <t>-652.682257037999 36.8043736452885 -200.660146408133</t>
  </si>
  <si>
    <t>-668.891306906751 38.532812062419 -292.093895772786</t>
  </si>
  <si>
    <t>-682.345275380704 41.0373964252258 -374.863779128947</t>
  </si>
  <si>
    <t>-694.034616707127 44.4331388631924 -457.869682331197</t>
  </si>
  <si>
    <t>-709.17524049814 50.3558790348454 -579.445107425052</t>
  </si>
  <si>
    <t>-705.2898928446 56.3123825027487 -657.481272398396</t>
  </si>
  <si>
    <t>-699.624956879907 78.9617567887499 -524.940682213789</t>
  </si>
  <si>
    <t>-666.485083976886 228.394631646478 -494.779753806736</t>
  </si>
  <si>
    <t>-548.660303236232 207.982963569929 -239.281635128218</t>
  </si>
  <si>
    <t>-318.44019666527 183.890573893672 -220.12982363215</t>
  </si>
  <si>
    <t>-705.438362982409 16.55227544019 -527.25696887939</t>
  </si>
  <si>
    <t>-623.951358995338 131.223109752468 -95.8965718637872</t>
  </si>
  <si>
    <t>-634.021606137033 143.767818742626 319.367009313662</t>
  </si>
  <si>
    <t>-668.767964255041 174.395546222897 780.134930423406</t>
  </si>
  <si>
    <t>-517.933168074654 172.484079023699 836.072645501632</t>
  </si>
  <si>
    <t>-612.400536281686 -65.0483992385264 321.764544617922</t>
  </si>
  <si>
    <t>-653.445147743828 -105.228817152022 781.440173693839</t>
  </si>
  <si>
    <t>-500.221093360662 -122.963684473172 827.175195128751</t>
  </si>
  <si>
    <t>9763-20170724T115402.962969000.bin</t>
  </si>
  <si>
    <t>-627.011719759797 37.7763028795951 -92.9194794572666</t>
  </si>
  <si>
    <t>-652.394323902023 37.1252608743803 -200.682195229623</t>
  </si>
  <si>
    <t>-668.511565133771 38.8606942870533 -292.131908038162</t>
  </si>
  <si>
    <t>-681.88607230663 41.3667294276095 -374.91462224078</t>
  </si>
  <si>
    <t>-693.499509285434 44.7575279911939 -457.931365356933</t>
  </si>
  <si>
    <t>-708.533314179959 50.6654564905402 -579.520791142935</t>
  </si>
  <si>
    <t>-704.582677442506 56.5868012106516 -657.556302096366</t>
  </si>
  <si>
    <t>-698.961586043425 79.2717511550136 -525.020179962954</t>
  </si>
  <si>
    <t>-665.53405455745 228.624042677676 -494.834713473161</t>
  </si>
  <si>
    <t>-548.47251865949 208.529945115406 -238.96103092243</t>
  </si>
  <si>
    <t>-318.287029860295 184.292961076535 -219.576978610449</t>
  </si>
  <si>
    <t>-704.911651488027 16.8743827351407 -527.316347927503</t>
  </si>
  <si>
    <t>-623.568424385098 131.486892731229 -95.8940940105801</t>
  </si>
  <si>
    <t>-634.03680404883 143.92789689914 319.362777237424</t>
  </si>
  <si>
    <t>-668.7978080254 174.381630976231 780.159061545073</t>
  </si>
  <si>
    <t>-517.952523840802 172.451553136041 836.068004901678</t>
  </si>
  <si>
    <t>-612.53680356123 -64.9760200843064 321.755931989426</t>
  </si>
  <si>
    <t>-653.48070189205 -105.203927382045 781.433118653005</t>
  </si>
  <si>
    <t>-500.27073553399 -123.257086410417 827.090692477926</t>
  </si>
  <si>
    <t>9763-20170724T115403.029145000.bin</t>
  </si>
  <si>
    <t>-626.487926195584 38.2512802852862 -92.8846213338904</t>
  </si>
  <si>
    <t>-651.667770710245 37.6333731193517 -200.695061982317</t>
  </si>
  <si>
    <t>-667.548425499961 39.3793275205003 -292.185920917291</t>
  </si>
  <si>
    <t>-680.682724408704 41.8896881421729 -375.007068570286</t>
  </si>
  <si>
    <t>-692.029299477979 45.2776390972761 -458.060679928271</t>
  </si>
  <si>
    <t>-706.643509568673 51.1735552112179 -579.701983763313</t>
  </si>
  <si>
    <t>-702.517408014666 57.065018363706 -657.730556120164</t>
  </si>
  <si>
    <t>-697.162066226804 79.7762844519966 -525.183713392301</t>
  </si>
  <si>
    <t>-663.406444649457 229.051108973303 -494.9071427679</t>
  </si>
  <si>
    <t>-547.934955157384 209.418322924575 -238.276112443968</t>
  </si>
  <si>
    <t>-317.800549152883 185.084686966195 -218.412875340144</t>
  </si>
  <si>
    <t>-703.299804699282 17.3966847493032 -527.469969753908</t>
  </si>
  <si>
    <t>-622.742217805587 131.969342065711 -95.8872739874885</t>
  </si>
  <si>
    <t>-633.897664974299 144.199685997695 319.357939275312</t>
  </si>
  <si>
    <t>-668.860225931974 174.3316323697 780.180156516704</t>
  </si>
  <si>
    <t>-518.000826171008 172.186818637747 836.043002363847</t>
  </si>
  <si>
    <t>-612.62084475457 -64.7781286193449 321.786293455839</t>
  </si>
  <si>
    <t>-653.514401961869 -105.088056139417 781.465502633465</t>
  </si>
  <si>
    <t>-500.262482999437 -123.140139039464 826.982439010561</t>
  </si>
  <si>
    <t>9763-20170724T115403.062244100.bin</t>
  </si>
  <si>
    <t>-626.153213169951 38.3990079836892 -92.8787860547209</t>
  </si>
  <si>
    <t>-651.207458552037 37.7779197689952 -200.71846274804</t>
  </si>
  <si>
    <t>-666.938075967123 39.5128270926407 -292.235432017599</t>
  </si>
  <si>
    <t>-679.918843283606 42.0101435256124 -375.081174992846</t>
  </si>
  <si>
    <t>-691.093605109445 45.3809449659218 -458.158942809937</t>
  </si>
  <si>
    <t>-705.43654473791 51.2463367476259 -579.833905297206</t>
  </si>
  <si>
    <t>-701.200090006086 57.1268062983529 -657.857512608321</t>
  </si>
  <si>
    <t>-696.034127361322 79.858674667754 -525.306999074272</t>
  </si>
  <si>
    <t>-662.210838368838 229.107500588971 -494.98780647316</t>
  </si>
  <si>
    <t>-547.56307019331 209.591307867996 -237.978835666881</t>
  </si>
  <si>
    <t>-317.439962715198 185.337671310423 -217.888067053347</t>
  </si>
  <si>
    <t>-702.251845102798 17.4865525253447 -527.580746631921</t>
  </si>
  <si>
    <t>-622.334734927918 132.057424040736 -95.8806315756419</t>
  </si>
  <si>
    <t>-633.780991857904 144.22017223543 319.35867719372</t>
  </si>
  <si>
    <t>-668.914431892387 174.189797769107 780.186062917867</t>
  </si>
  <si>
    <t>-518.044158732751 172.264779294662 836.027628945663</t>
  </si>
  <si>
    <t>-612.574653403802 -64.7577689772738 321.811612062014</t>
  </si>
  <si>
    <t>-653.54723146754 -105.055633224616 781.489507953458</t>
  </si>
  <si>
    <t>-500.272576470929 -123.138779506087 826.917487046257</t>
  </si>
  <si>
    <t>9763-20170724T115403.128415900.bin</t>
  </si>
  <si>
    <t>-625.230453413719 38.5877214931136 -92.8533851793591</t>
  </si>
  <si>
    <t>-650.05460441332 37.9548399980706 -200.746204341064</t>
  </si>
  <si>
    <t>-665.519736542223 39.681658125962 -292.308662834563</t>
  </si>
  <si>
    <t>-678.231226365973 42.1710393457554 -375.196243685971</t>
  </si>
  <si>
    <t>-689.106618306116 45.5317115973949 -458.314037155555</t>
  </si>
  <si>
    <t>-702.978523174521 51.378953038738 -580.044602370071</t>
  </si>
  <si>
    <t>-698.537789803815 57.227733996406 -658.0591792685</t>
  </si>
  <si>
    <t>-693.729250741004 79.9937873807255 -525.492856841117</t>
  </si>
  <si>
    <t>-659.838450996945 229.201242794421 -495.050632867818</t>
  </si>
  <si>
    <t>-546.702547936737 210.156602319179 -237.337268229199</t>
  </si>
  <si>
    <t>-316.622941884086 185.973206130821 -216.671465394135</t>
  </si>
  <si>
    <t>-700.054077914934 17.6326019448013 -527.767649421817</t>
  </si>
  <si>
    <t>-621.416651969464 132.180583186608 -95.8465026287386</t>
  </si>
  <si>
    <t>-633.488840021141 144.268202426677 319.377291636315</t>
  </si>
  <si>
    <t>-668.984788116471 173.991867864762 780.173911167199</t>
  </si>
  <si>
    <t>-518.114905597397 172.181614033055 836.020306418553</t>
  </si>
  <si>
    <t>-612.306028610172 -64.8258606534234 321.865467218238</t>
  </si>
  <si>
    <t>-653.656655042873 -104.954831241366 781.522683604845</t>
  </si>
  <si>
    <t>-500.330162596352 -123.265007091935 826.684002938276</t>
  </si>
  <si>
    <t>9763-20170724T115403.164515100.bin</t>
  </si>
  <si>
    <t>-624.657164690632 38.5531128834332 -92.8478307505989</t>
  </si>
  <si>
    <t>-649.346908834943 37.9107045697999 -200.771443889943</t>
  </si>
  <si>
    <t>-664.687705229045 39.6407379437014 -292.354697748622</t>
  </si>
  <si>
    <t>-677.282069559387 42.1370930472226 -375.260103611491</t>
  </si>
  <si>
    <t>-688.035377345145 45.5078178553651 -458.393282532132</t>
  </si>
  <si>
    <t>-701.723011532781 51.3733512864314 -580.143684371453</t>
  </si>
  <si>
    <t>-697.175221186419 57.2068892238335 -658.153321671316</t>
  </si>
  <si>
    <t>-692.538404365363 79.9784021925218 -525.576000515153</t>
  </si>
  <si>
    <t>-658.617767346925 229.157938923826 -495.075490617255</t>
  </si>
  <si>
    <t>-546.198544664734 210.460295180077 -237.023362629864</t>
  </si>
  <si>
    <t>-316.125962888073 186.35498542317 -216.189144437954</t>
  </si>
  <si>
    <t>-698.8955322962 17.6208917183662 -527.865393329641</t>
  </si>
  <si>
    <t>-620.841576982821 132.138880366412 -95.8357058224542</t>
  </si>
  <si>
    <t>-633.352759652386 144.240184335522 319.374625717788</t>
  </si>
  <si>
    <t>-669.011537043259 173.915726920074 780.163295227156</t>
  </si>
  <si>
    <t>-518.1464579299 172.149795759203 836.024092860987</t>
  </si>
  <si>
    <t>-612.193783725001 -65.0569061204762 321.875432661444</t>
  </si>
  <si>
    <t>-653.710769527745 -104.905147153517 781.532868822302</t>
  </si>
  <si>
    <t>-500.36988983691 -123.383723065706 826.576554555371</t>
  </si>
  <si>
    <t>9763-20170724T115403.231696400.bin</t>
  </si>
  <si>
    <t>-623.388062919223 38.2439661302283 -92.8779093931697</t>
  </si>
  <si>
    <t>-647.84478270328 37.595019368558 -200.854468029572</t>
  </si>
  <si>
    <t>-662.976202684388 39.3386065581703 -292.472370933543</t>
  </si>
  <si>
    <t>-675.375837820587 41.8535509199744 -375.406538805692</t>
  </si>
  <si>
    <t>-685.928231885597 45.2490754903768 -458.564448928673</t>
  </si>
  <si>
    <t>-699.315285394532 51.1567584697043 -580.34629829398</t>
  </si>
  <si>
    <t>-694.559662386719 56.9763611345293 -658.344530417401</t>
  </si>
  <si>
    <t>-690.247856255694 79.7411560152316 -525.748113347261</t>
  </si>
  <si>
    <t>-656.414220196539 228.931939580122 -495.160532980632</t>
  </si>
  <si>
    <t>-545.292170021725 210.587854596564 -236.521894505699</t>
  </si>
  <si>
    <t>-315.182237760773 186.917676284634 -215.601370298633</t>
  </si>
  <si>
    <t>-696.634469708055 17.3878786330877 -528.070789928184</t>
  </si>
  <si>
    <t>-619.623900626463 131.885669270993 -95.8580832674119</t>
  </si>
  <si>
    <t>-632.842031622902 144.030737862354 319.329148114726</t>
  </si>
  <si>
    <t>-669.099857646542 173.586526293996 780.087096534104</t>
  </si>
  <si>
    <t>-518.241497243773 172.305410156157 835.979362390986</t>
  </si>
  <si>
    <t>-611.646769775282 -65.6791369133011 321.846705889305</t>
  </si>
  <si>
    <t>-653.751238754164 -104.789588336358 781.550079225868</t>
  </si>
  <si>
    <t>-500.341895187226 -123.106597036641 826.426454772636</t>
  </si>
  <si>
    <t>9763-20170724T115403.262299000.bin</t>
  </si>
  <si>
    <t>-622.703290523227 38.179294152523 -92.8825419836883</t>
  </si>
  <si>
    <t>-647.096373029693 37.5381915107962 -200.873611691242</t>
  </si>
  <si>
    <t>-662.153481551767 39.3003190174054 -292.50336087518</t>
  </si>
  <si>
    <t>-674.477576841869 41.8357811836484 -375.448000051105</t>
  </si>
  <si>
    <t>-684.9457032341 45.2560216477848 -458.615689303938</t>
  </si>
  <si>
    <t>-698.199881688593 51.204034296999 -580.410130515108</t>
  </si>
  <si>
    <t>-693.347287083879 57.0305282487591 -658.401778261709</t>
  </si>
  <si>
    <t>-689.19329152795 79.7703820389861 -525.792518068309</t>
  </si>
  <si>
    <t>-655.444262779964 228.949501179097 -495.111893406451</t>
  </si>
  <si>
    <t>-545.043884567517 210.74996634788 -236.154055591077</t>
  </si>
  <si>
    <t>-314.912837843648 187.248737713793 -215.275170138716</t>
  </si>
  <si>
    <t>-695.574880745093 17.417708872099 -528.143120081764</t>
  </si>
  <si>
    <t>-619.005520957225 131.82286507139 -95.8669782201432</t>
  </si>
  <si>
    <t>-632.47392144466 143.953513896452 319.312550307038</t>
  </si>
  <si>
    <t>-669.124118755864 173.481652072716 780.03660732466</t>
  </si>
  <si>
    <t>-518.274040770541 172.204774191718 835.951215914073</t>
  </si>
  <si>
    <t>-611.104969716605 -65.7118422322517 321.848549081296</t>
  </si>
  <si>
    <t>-653.798405158901 -104.733239539276 781.521516985002</t>
  </si>
  <si>
    <t>-500.359275435699 -123.114171131431 826.269679104849</t>
  </si>
  <si>
    <t>9763-20170724T115403.329469700.bin</t>
  </si>
  <si>
    <t>-621.432127322579 37.830305897292 -92.8946146765272</t>
  </si>
  <si>
    <t>-645.751877821486 37.193736567709 -200.902163925224</t>
  </si>
  <si>
    <t>-660.67531156823 39.0008811983364 -292.553077830313</t>
  </si>
  <si>
    <t>-672.848894504764 41.5922044319414 -375.518268624755</t>
  </si>
  <si>
    <t>-683.136152936191 45.0825619766804 -458.705474593776</t>
  </si>
  <si>
    <t>-696.092176239936 51.1479893235087 -580.526151639193</t>
  </si>
  <si>
    <t>-691.038118801288 57.0121062015814 -658.502298672457</t>
  </si>
  <si>
    <t>-687.205807690292 79.6604215761649 -525.860625293293</t>
  </si>
  <si>
    <t>-653.4489649667 228.803514341624 -494.955558304685</t>
  </si>
  <si>
    <t>-544.599612468277 210.800878590911 -235.328261167116</t>
  </si>
  <si>
    <t>-314.360073586327 188.066402445454 -214.799574686981</t>
  </si>
  <si>
    <t>-693.608520097644 17.3127302194298 -528.283919522477</t>
  </si>
  <si>
    <t>-617.781674432393 131.504131056646 -95.8755703194859</t>
  </si>
  <si>
    <t>-631.646610837834 143.620430805919 319.291345683356</t>
  </si>
  <si>
    <t>-669.172303991621 173.208773759295 779.92475688249</t>
  </si>
  <si>
    <t>-518.347559445755 172.145390881648 835.912104567193</t>
  </si>
  <si>
    <t>-609.974120322463 -66.0637072334519 321.830269952179</t>
  </si>
  <si>
    <t>-653.894444416971 -104.579628659402 781.436260403098</t>
  </si>
  <si>
    <t>-500.415266642178 -123.226249778441 825.936452941114</t>
  </si>
  <si>
    <t>9763-20170724T115403.363066000.bin</t>
  </si>
  <si>
    <t>-620.820674463026 37.5417390457858 -92.8995278519659</t>
  </si>
  <si>
    <t>-645.128406894097 36.9072572839054 -200.909869445881</t>
  </si>
  <si>
    <t>-660.026322839026 38.7360362093261 -292.564402407896</t>
  </si>
  <si>
    <t>-672.170421494 41.354198343274 -375.532989189158</t>
  </si>
  <si>
    <t>-682.421538781904 44.8788608996069 -458.723395110696</t>
  </si>
  <si>
    <t>-695.317363929432 51.0021782409121 -580.547466670113</t>
  </si>
  <si>
    <t>-690.182899572428 56.8733354113649 -658.517798145946</t>
  </si>
  <si>
    <t>-686.46582274618 79.4893698778815 -525.863246190716</t>
  </si>
  <si>
    <t>-652.75319441123 228.619881168939 -494.863713781813</t>
  </si>
  <si>
    <t>-544.594611349644 210.625302879205 -234.947465215286</t>
  </si>
  <si>
    <t>-314.313946768812 188.224981337449 -214.51292258173</t>
  </si>
  <si>
    <t>-692.851702366802 17.1413745040265 -528.32096535847</t>
  </si>
  <si>
    <t>-617.191492883569 131.254880333081 -95.8714753385112</t>
  </si>
  <si>
    <t>-631.183295668303 143.364918571049 319.291351684972</t>
  </si>
  <si>
    <t>-669.201117308369 173.029908653224 779.868466879207</t>
  </si>
  <si>
    <t>-518.393904169604 172.18180040626 835.9067394355</t>
  </si>
  <si>
    <t>-609.435656949637 -66.3307318884958 321.825548600345</t>
  </si>
  <si>
    <t>-653.899617827142 -104.5404663761 781.412591442513</t>
  </si>
  <si>
    <t>-500.428962165378 -123.365332946517 825.867056309731</t>
  </si>
  <si>
    <t>9763-20170724T115403.426233500.bin</t>
  </si>
  <si>
    <t>-619.42618275327 37.1543662951913 -92.8627404528569</t>
  </si>
  <si>
    <t>-643.718945092332 36.5106416386125 -200.876372937829</t>
  </si>
  <si>
    <t>-658.593794150794 38.3712212220053 -292.533954412108</t>
  </si>
  <si>
    <t>-670.712551373301 41.0325090099789 -375.504846021604</t>
  </si>
  <si>
    <t>-680.933564131472 44.6154830092871 -458.696505569327</t>
  </si>
  <si>
    <t>-693.779852683753 50.8408245451519 -580.520766717454</t>
  </si>
  <si>
    <t>-688.522585452427 56.7275211834299 -658.481717749383</t>
  </si>
  <si>
    <t>-684.994235669916 79.2864526665865 -525.804026730181</t>
  </si>
  <si>
    <t>-651.533934434721 228.437357016475 -494.633918647703</t>
  </si>
  <si>
    <t>-544.580232853856 210.339061690494 -234.226708801773</t>
  </si>
  <si>
    <t>-314.173429110053 188.82402484084 -214.268178743094</t>
  </si>
  <si>
    <t>-691.291799884751 16.9319273104247 -528.326496112181</t>
  </si>
  <si>
    <t>-615.893756749773 130.807013236781 -95.8135190747457</t>
  </si>
  <si>
    <t>-630.269942476361 142.89529850068 319.336756967682</t>
  </si>
  <si>
    <t>-669.285074522727 172.627831020054 779.795284617675</t>
  </si>
  <si>
    <t>-518.506261731567 172.247206613553 835.915147289998</t>
  </si>
  <si>
    <t>-608.473409933571 -66.6556663319839 321.872677642531</t>
  </si>
  <si>
    <t>-653.891007010327 -104.425762161389 781.382144705769</t>
  </si>
  <si>
    <t>-500.375389628445 -123.043659953284 825.768597538735</t>
  </si>
  <si>
    <t>9763-20170724T115403.463336600.bin</t>
  </si>
  <si>
    <t>-618.761920478383 37.0599868007459 -92.8593333603468</t>
  </si>
  <si>
    <t>-643.021594844583 36.3982187291126 -200.880401505261</t>
  </si>
  <si>
    <t>-657.873653042529 38.262773707318 -292.541564382325</t>
  </si>
  <si>
    <t>-669.973744505903 40.9340038342621 -375.514939289179</t>
  </si>
  <si>
    <t>-680.177569422223 44.5340205285229 -458.707859834768</t>
  </si>
  <si>
    <t>-693.00043630244 50.79139270936 -580.532866064717</t>
  </si>
  <si>
    <t>-687.691864298927 56.6819283526011 -658.490083197769</t>
  </si>
  <si>
    <t>-684.241806180395 79.2242188055743 -525.805340432514</t>
  </si>
  <si>
    <t>-650.909398931134 228.392775306782 -494.579145171526</t>
  </si>
  <si>
    <t>-544.359913634315 210.337338977522 -234.00319849326</t>
  </si>
  <si>
    <t>-313.892874766186 189.318273117106 -214.212218299134</t>
  </si>
  <si>
    <t>-690.505941328354 16.8672501913875 -528.348833792528</t>
  </si>
  <si>
    <t>-615.333854282982 130.632298057522 -95.7905144780437</t>
  </si>
  <si>
    <t>-629.92639749981 142.783075806519 319.350401225756</t>
  </si>
  <si>
    <t>-669.289274192343 172.575997735246 779.763135092232</t>
  </si>
  <si>
    <t>-518.525946100416 172.157438132884 835.924168069512</t>
  </si>
  <si>
    <t>-608.081378044838 -66.7583660419789 321.886777703313</t>
  </si>
  <si>
    <t>-653.874878823972 -104.384788780091 781.367927510109</t>
  </si>
  <si>
    <t>-500.353742585003 -122.989767792263 825.740573469115</t>
  </si>
  <si>
    <t>9763-20170724T115403.528540800.bin</t>
  </si>
  <si>
    <t>-617.818601810857 36.7904878518839 -92.8471680325201</t>
  </si>
  <si>
    <t>-642.002531177479 36.0958631920746 -200.884803623267</t>
  </si>
  <si>
    <t>-656.815249386147 37.9676930717878 -292.552283798615</t>
  </si>
  <si>
    <t>-668.888703141453 40.6570535767708 -375.528986994042</t>
  </si>
  <si>
    <t>-679.07427013105 44.2866724296373 -458.722779446165</t>
  </si>
  <si>
    <t>-691.879030548781 50.5992192483684 -580.546955128707</t>
  </si>
  <si>
    <t>-686.523147213947 56.4848092441591 -658.501306181015</t>
  </si>
  <si>
    <t>-683.128691048884 79.0072241498081 -525.805216115199</t>
  </si>
  <si>
    <t>-649.820750077917 228.157039681162 -494.486805651178</t>
  </si>
  <si>
    <t>-543.886374360395 210.729680600251 -233.617572547402</t>
  </si>
  <si>
    <t>-313.341748436838 190.42869589135 -213.981721381172</t>
  </si>
  <si>
    <t>-689.392170177475 16.651338517479 -528.377960133115</t>
  </si>
  <si>
    <t>-614.62593393101 130.288932763148 -95.7690535963941</t>
  </si>
  <si>
    <t>-629.573767475084 142.588012014232 319.354937331065</t>
  </si>
  <si>
    <t>-669.335420924336 172.39011888441 779.735311287544</t>
  </si>
  <si>
    <t>-518.594122968267 172.124044101413 835.956444675972</t>
  </si>
  <si>
    <t>-607.520428301781 -67.0936525383356 321.89692678677</t>
  </si>
  <si>
    <t>-653.818097076992 -104.36088691708 781.357868685689</t>
  </si>
  <si>
    <t>-500.326873697795 -123.151249914674 825.755867399302</t>
  </si>
  <si>
    <t>9763-20170724T115403.563200600.bin</t>
  </si>
  <si>
    <t>-617.49897116125 36.6347891944747 -92.8328486160602</t>
  </si>
  <si>
    <t>-641.659270259188 35.927403891634 -200.875824547283</t>
  </si>
  <si>
    <t>-656.461027309009 37.8006544617162 -292.544944226454</t>
  </si>
  <si>
    <t>-668.527771234366 40.4956501910463 -375.522385991695</t>
  </si>
  <si>
    <t>-678.709763232828 44.1343981233927 -458.71628186151</t>
  </si>
  <si>
    <t>-691.512435779924 50.4643095053405 -580.539732595118</t>
  </si>
  <si>
    <t>-686.155110166192 56.3437300147482 -658.494472158092</t>
  </si>
  <si>
    <t>-682.75747064971 78.8639428983502 -525.794407592003</t>
  </si>
  <si>
    <t>-649.35790007618 227.988708217924 -494.444498819069</t>
  </si>
  <si>
    <t>-543.724121466924 210.914611895363 -233.429945349938</t>
  </si>
  <si>
    <t>-313.161941692129 190.872863326349 -213.733958628374</t>
  </si>
  <si>
    <t>-689.031984963707 16.5096402264126 -528.374990794401</t>
  </si>
  <si>
    <t>-614.385240755795 130.119910099778 -95.7529946333772</t>
  </si>
  <si>
    <t>-629.395062496778 142.496969763922 319.36637139506</t>
  </si>
  <si>
    <t>-669.348116493033 172.346075791203 779.726963962619</t>
  </si>
  <si>
    <t>-518.617382085813 172.079259835991 835.976353319986</t>
  </si>
  <si>
    <t>-607.28152430221 -67.253270815022 321.908236892739</t>
  </si>
  <si>
    <t>-653.792961131378 -104.320097319763 781.359889133889</t>
  </si>
  <si>
    <t>-500.29276443888 -123.032818127577 825.759714677032</t>
  </si>
  <si>
    <t>9763-20170724T115403.629375500.bin</t>
  </si>
  <si>
    <t>-617.141527704207 36.4418329136377 -92.8000639429735</t>
  </si>
  <si>
    <t>-641.265702427234 35.7146020186206 -200.850904181908</t>
  </si>
  <si>
    <t>-656.013699289913 37.5416019003642 -292.529692518522</t>
  </si>
  <si>
    <t>-668.02258137505 40.182368124717 -375.517362388412</t>
  </si>
  <si>
    <t>-678.137152532151 43.7543573989828 -458.722369781914</t>
  </si>
  <si>
    <t>-690.830949783695 49.972213107972 -580.563017274993</t>
  </si>
  <si>
    <t>-685.472031048468 55.7729038460482 -658.523465770093</t>
  </si>
  <si>
    <t>-682.105091447169 78.4203512044433 -525.838019206392</t>
  </si>
  <si>
    <t>-648.443317796056 227.485504646995 -494.475657310039</t>
  </si>
  <si>
    <t>-543.497567661954 210.943203433378 -233.14960124283</t>
  </si>
  <si>
    <t>-312.864119757456 191.512591811515 -213.676410535075</t>
  </si>
  <si>
    <t>-688.416980412052 16.0673094271494 -528.362467886744</t>
  </si>
  <si>
    <t>-614.095962298431 129.86501808705 -95.7249909807933</t>
  </si>
  <si>
    <t>-629.18351289788 142.248607428111 319.39137244</t>
  </si>
  <si>
    <t>-669.407482903635 172.178399667592 779.729626644051</t>
  </si>
  <si>
    <t>-518.686017796196 172.081384504229 836.004439887768</t>
  </si>
  <si>
    <t>-607.014114965458 -67.3535004588448 321.946730075143</t>
  </si>
  <si>
    <t>-653.771671870696 -104.284348012483 781.35276672647</t>
  </si>
  <si>
    <t>-500.288447044299 -123.172152936055 825.737112516918</t>
  </si>
  <si>
    <t>9763-20170724T115403.694554400.bin</t>
  </si>
  <si>
    <t>-617.025484962987 36.394954349531 -92.8010194561944</t>
  </si>
  <si>
    <t>-641.073355159807 35.6443690209924 -200.868739751338</t>
  </si>
  <si>
    <t>-655.767716332921 37.4094881411347 -292.55729955522</t>
  </si>
  <si>
    <t>-667.732729437703 39.9777988959704 -375.553530561623</t>
  </si>
  <si>
    <t>-677.808319316095 43.4598002312268 -458.767111202784</t>
  </si>
  <si>
    <t>-690.450389256752 49.5273431714722 -580.620680630332</t>
  </si>
  <si>
    <t>-685.091234916101 55.1779495202668 -658.592257387378</t>
  </si>
  <si>
    <t>-681.710592160463 78.0394056926691 -525.931329971418</t>
  </si>
  <si>
    <t>-647.727495406139 227.083436059186 -494.834427955932</t>
  </si>
  <si>
    <t>-543.319976591373 211.260111012961 -233.248336852038</t>
  </si>
  <si>
    <t>-312.640593344382 192.245260704453 -213.909692954222</t>
  </si>
  <si>
    <t>-688.095714752272 15.6905794340978 -528.373538300722</t>
  </si>
  <si>
    <t>-613.915915146428 129.706209909123 -95.7357137353495</t>
  </si>
  <si>
    <t>-629.197945089093 142.167102020517 319.371262948859</t>
  </si>
  <si>
    <t>-669.46381742003 172.102121924422 779.716726037106</t>
  </si>
  <si>
    <t>-518.740902433713 172.058283418228 835.987666654428</t>
  </si>
  <si>
    <t>-607.105968366163 -67.3045579829497 321.963284424691</t>
  </si>
  <si>
    <t>-653.753717436776 -104.184302254845 781.353637358866</t>
  </si>
  <si>
    <t>-500.224339394391 -122.810455766638 825.688937720538</t>
  </si>
  <si>
    <t>9763-20170724T115403.725634000.bin</t>
  </si>
  <si>
    <t>-617.044284419276 36.4120574554195 -92.8056062369226</t>
  </si>
  <si>
    <t>-641.062853080545 35.647380516079 -200.879809998072</t>
  </si>
  <si>
    <t>-655.751266577929 37.357321392557 -292.570285134841</t>
  </si>
  <si>
    <t>-667.718729900276 39.8590583927735 -375.568226384857</t>
  </si>
  <si>
    <t>-677.804824803665 43.2574881053511 -458.784042670848</t>
  </si>
  <si>
    <t>-690.47147702998 49.1837773490031 -580.641979680473</t>
  </si>
  <si>
    <t>-685.118981571341 54.697061856139 -658.623777901654</t>
  </si>
  <si>
    <t>-681.699991978373 77.7571525914097 -525.989688142786</t>
  </si>
  <si>
    <t>-647.572173836335 226.809347022269 -495.056266954792</t>
  </si>
  <si>
    <t>-543.293107563637 211.373254588375 -233.395967211853</t>
  </si>
  <si>
    <t>-312.601898703061 192.610572884897 -213.952341123922</t>
  </si>
  <si>
    <t>-688.126915269819 15.4096203646588 -528.353737674437</t>
  </si>
  <si>
    <t>-613.901241631777 129.690540576467 -95.7505667709934</t>
  </si>
  <si>
    <t>-629.210945448674 142.189196193407 319.354316846217</t>
  </si>
  <si>
    <t>-669.486109827879 172.122248200764 779.707178078986</t>
  </si>
  <si>
    <t>-518.758433167363 172.027022734005 835.965289583009</t>
  </si>
  <si>
    <t>-607.204415701185 -67.2446339212536 321.968682612451</t>
  </si>
  <si>
    <t>-653.754519053336 -104.164178940871 781.357916271094</t>
  </si>
  <si>
    <t>-500.236384105639 -122.947782933523 825.665804469487</t>
  </si>
  <si>
    <t>9763-20170724T115403.765746300.bin</t>
  </si>
  <si>
    <t>-617.11403672494 36.4156448296953 -92.8035619471536</t>
  </si>
  <si>
    <t>-641.126229187651 35.6412745829464 -200.879034775637</t>
  </si>
  <si>
    <t>-655.816678896542 37.2840356444895 -292.570486740194</t>
  </si>
  <si>
    <t>-667.789420566385 39.701951649783 -375.570107093422</t>
  </si>
  <si>
    <t>-677.884590014819 42.9927968606378 -458.789088975329</t>
  </si>
  <si>
    <t>-690.56886263202 48.7358281933271 -580.654032489831</t>
  </si>
  <si>
    <t>-685.224101221307 54.0817295715108 -658.648090910524</t>
  </si>
  <si>
    <t>-681.762856336793 77.3885594102956 -526.048869681486</t>
  </si>
  <si>
    <t>-647.512026847617 226.462352434465 -495.3625593222</t>
  </si>
  <si>
    <t>-543.384932626967 211.523091003667 -233.612799286426</t>
  </si>
  <si>
    <t>-312.688729639541 192.932762226165 -214.062736909521</t>
  </si>
  <si>
    <t>-688.243411941151 15.0430196635116 -528.312493612812</t>
  </si>
  <si>
    <t>-613.927388656519 129.644920412117 -95.7719371322833</t>
  </si>
  <si>
    <t>-629.244216775856 142.1457909511 319.332530448779</t>
  </si>
  <si>
    <t>-669.531725277447 172.024858669299 779.690791053441</t>
  </si>
  <si>
    <t>-518.794792028725 172.123425114974 835.924157963995</t>
  </si>
  <si>
    <t>-607.331690396088 -67.195454876527 321.973456601188</t>
  </si>
  <si>
    <t>-653.758119819468 -104.133870692787 781.360341455938</t>
  </si>
  <si>
    <t>-500.216243891284 -122.838569693641 825.619197726848</t>
  </si>
  <si>
    <t>9763-20170724T115403.829916700.bin</t>
  </si>
  <si>
    <t>-617.257287244553 36.5529867419364 -92.8636718138666</t>
  </si>
  <si>
    <t>-641.276411753829 35.7646728175625 -200.937523483696</t>
  </si>
  <si>
    <t>-655.949102058549 37.2317323423172 -292.634836874249</t>
  </si>
  <si>
    <t>-667.897773450621 39.4259813743581 -375.644133294148</t>
  </si>
  <si>
    <t>-677.96171201724 42.4272018012748 -458.877784696624</t>
  </si>
  <si>
    <t>-690.593409976102 47.6741831046311 -580.77045396523</t>
  </si>
  <si>
    <t>-685.169466753227 52.6061646565443 -658.786375795841</t>
  </si>
  <si>
    <t>-681.764591655314 76.5443995627734 -526.283682044993</t>
  </si>
  <si>
    <t>-647.104364578107 225.669287556088 -496.283943317521</t>
  </si>
  <si>
    <t>-543.483755411574 211.929117906809 -234.267551414889</t>
  </si>
  <si>
    <t>-312.790927034541 193.842124968287 -214.212221450485</t>
  </si>
  <si>
    <t>-688.336873988576 14.1993256800276 -528.286432125721</t>
  </si>
  <si>
    <t>-613.982965393789 129.656033666144 -95.8471183913892</t>
  </si>
  <si>
    <t>-629.432683474858 142.1277145016 319.253236239412</t>
  </si>
  <si>
    <t>-669.594336327071 171.964978484031 779.634701695625</t>
  </si>
  <si>
    <t>-518.845920185635 171.985354128921 835.837224895347</t>
  </si>
  <si>
    <t>-607.55567240405 -66.8933688506386 321.963400921754</t>
  </si>
  <si>
    <t>-653.811611229053 -104.046881091402 781.342637973557</t>
  </si>
  <si>
    <t>-500.206856053554 -122.620051417452 825.438491578543</t>
  </si>
  <si>
    <t>9763-20170724T115403.861573900.bin</t>
  </si>
  <si>
    <t>-617.284020654668 36.5923341260204 -92.8855075755677</t>
  </si>
  <si>
    <t>-641.300297594013 35.7902989450085 -200.959917957945</t>
  </si>
  <si>
    <t>-655.977051557987 37.1404741407327 -292.658267928185</t>
  </si>
  <si>
    <t>-667.932737311017 39.1874463279403 -375.670443860104</t>
  </si>
  <si>
    <t>-678.007670396811 41.9985446620574 -458.909455185789</t>
  </si>
  <si>
    <t>-690.66021210444 46.9205701221097 -580.813500943479</t>
  </si>
  <si>
    <t>-685.196661911233 51.6017862264814 -658.84203472675</t>
  </si>
  <si>
    <t>-681.788107343803 75.9324217678088 -526.409162040737</t>
  </si>
  <si>
    <t>-646.928778231529 225.098389284888 -496.875562619445</t>
  </si>
  <si>
    <t>-543.525095594655 212.21522162819 -234.729926662493</t>
  </si>
  <si>
    <t>-312.845872738499 194.367206136021 -214.307424900374</t>
  </si>
  <si>
    <t>-688.428621604386 13.5893557709676 -528.237057149379</t>
  </si>
  <si>
    <t>-614.001244741678 129.632072963486 -95.8819992645562</t>
  </si>
  <si>
    <t>-629.54135435603 142.073418213309 319.215962099238</t>
  </si>
  <si>
    <t>-669.626146641659 171.943049263894 779.605696369209</t>
  </si>
  <si>
    <t>-518.874414193321 171.873001843432 835.799457992127</t>
  </si>
  <si>
    <t>-607.586228586698 -66.7945930513249 321.959247128738</t>
  </si>
  <si>
    <t>-653.83987905426 -104.007060306675 781.32873259244</t>
  </si>
  <si>
    <t>-500.205137566504 -122.526082307875 825.342772040924</t>
  </si>
  <si>
    <t>9763-20170724T115403.928752800.bin</t>
  </si>
  <si>
    <t>-617.247294025562 36.4348482891376 -92.950084865239</t>
  </si>
  <si>
    <t>-641.293622254518 35.5881826917953 -201.017529498437</t>
  </si>
  <si>
    <t>-656.068530069276 36.6709071262562 -292.703599225029</t>
  </si>
  <si>
    <t>-668.14396132651 38.3837444315441 -375.705999787347</t>
  </si>
  <si>
    <t>-678.370963188994 40.7669396616593 -458.939758974449</t>
  </si>
  <si>
    <t>-691.282285251671 44.96012019722 -580.843971629564</t>
  </si>
  <si>
    <t>-685.760264684261 49.0583230028624 -658.901124379331</t>
  </si>
  <si>
    <t>-682.227887937124 74.289559425986 -526.640203942123</t>
  </si>
  <si>
    <t>-646.998330128837 223.572328229978 -498.151768869777</t>
  </si>
  <si>
    <t>-543.804089468474 212.360628555236 -235.846939023106</t>
  </si>
  <si>
    <t>-313.120690604592 195.125592589762 -214.95033400272</t>
  </si>
  <si>
    <t>-689.005905822627 11.950824452656 -528.066800021361</t>
  </si>
  <si>
    <t>-614.021560793532 129.38101132175 -95.9685678990342</t>
  </si>
  <si>
    <t>-629.680973305422 141.867032153999 319.123552349502</t>
  </si>
  <si>
    <t>-669.687132956443 171.855415200806 779.523271554305</t>
  </si>
  <si>
    <t>-518.929647959354 171.930212957921 835.70150569687</t>
  </si>
  <si>
    <t>-607.784705033285 -66.8763936163309 321.925415914101</t>
  </si>
  <si>
    <t>-653.857099168136 -103.953361256489 781.309619856584</t>
  </si>
  <si>
    <t>-500.18928223519 -122.432210673235 825.225007386449</t>
  </si>
  <si>
    <t>9763-20170724T115403.964854100.bin</t>
  </si>
  <si>
    <t>-617.284570828442 36.4057005717491 -92.9987148517035</t>
  </si>
  <si>
    <t>-641.367337323073 35.541042456573 -201.057788131415</t>
  </si>
  <si>
    <t>-656.217744612595 36.4967834523761 -292.733232527166</t>
  </si>
  <si>
    <t>-668.380369713224 38.0502695110495 -375.726008219717</t>
  </si>
  <si>
    <t>-678.714431256264 40.2289684080008 -458.952133900285</t>
  </si>
  <si>
    <t>-691.804512574184 44.0738988393518 -580.848685218298</t>
  </si>
  <si>
    <t>-686.290675776118 47.8804535780564 -658.921280111127</t>
  </si>
  <si>
    <t>-682.655806038524 73.5565938803238 -526.743956653736</t>
  </si>
  <si>
    <t>-647.330303724694 222.893635407576 -498.693819970046</t>
  </si>
  <si>
    <t>-543.852080578338 212.374600858461 -236.472148172562</t>
  </si>
  <si>
    <t>-313.142314566571 195.548238944046 -215.534025403299</t>
  </si>
  <si>
    <t>-689.465571845367 11.2170656049841 -527.979065770072</t>
  </si>
  <si>
    <t>-614.083948963525 129.354353980383 -96.0268277167734</t>
  </si>
  <si>
    <t>-629.708675117822 141.85156969284 319.066311926531</t>
  </si>
  <si>
    <t>-669.688133222635 171.919758331411 779.475429089135</t>
  </si>
  <si>
    <t>-518.931282047966 171.688018116809 835.654966044024</t>
  </si>
  <si>
    <t>-607.922688759562 -66.8790881593061 321.900246622015</t>
  </si>
  <si>
    <t>-653.842270034065 -103.926067622959 781.308481210048</t>
  </si>
  <si>
    <t>-500.151384748415 -122.248745753159 825.208566973922</t>
  </si>
  <si>
    <t>9763-20170724T115404.033037200.bin</t>
  </si>
  <si>
    <t>-617.375706868876 36.2672430931357 -93.0443216351182</t>
  </si>
  <si>
    <t>-641.55125367052 35.3696882098479 -201.082488858434</t>
  </si>
  <si>
    <t>-656.530456034265 36.0767947467605 -292.739176982079</t>
  </si>
  <si>
    <t>-668.832073478345 37.3170392833802 -375.716761035935</t>
  </si>
  <si>
    <t>-679.329136452497 39.0940498976993 -458.932027829858</t>
  </si>
  <si>
    <t>-692.685226303765 42.2544873434965 -580.819435167285</t>
  </si>
  <si>
    <t>-687.207552096016 45.5441143917344 -658.918100343681</t>
  </si>
  <si>
    <t>-683.404142882553 72.0388519618537 -526.903004011082</t>
  </si>
  <si>
    <t>-647.862840235579 221.477567726683 -499.680159790175</t>
  </si>
  <si>
    <t>-543.947570319573 212.446840149153 -237.575947989667</t>
  </si>
  <si>
    <t>-313.164429131191 196.301663307542 -216.912132620563</t>
  </si>
  <si>
    <t>-690.245248607921 9.69652728440155 -527.76979538408</t>
  </si>
  <si>
    <t>-614.193063774351 129.186059763091 -96.1089540560843</t>
  </si>
  <si>
    <t>-629.796464690571 141.683504942103 318.984962093267</t>
  </si>
  <si>
    <t>-669.744827935671 171.843887247227 779.38315920554</t>
  </si>
  <si>
    <t>-518.985008190521 171.74140866774 835.555147165521</t>
  </si>
  <si>
    <t>-608.118018465697 -66.9568646588411 321.880685683491</t>
  </si>
  <si>
    <t>-653.809066374654 -103.897184989391 781.3111976966</t>
  </si>
  <si>
    <t>-500.120993023369 -122.248139403962 825.209219836458</t>
  </si>
  <si>
    <t>9763-20170724T115404.062120000.bin</t>
  </si>
  <si>
    <t>-617.401896597227 36.2662996259135 -93.0739898493169</t>
  </si>
  <si>
    <t>-641.638434289961 35.3483840386186 -201.098227092896</t>
  </si>
  <si>
    <t>-656.667620612087 35.9416173272582 -292.747700770581</t>
  </si>
  <si>
    <t>-669.014654206896 37.0400740054095 -375.720358698454</t>
  </si>
  <si>
    <t>-679.557949468728 38.6359639294024 -458.933498263309</t>
  </si>
  <si>
    <t>-692.983237722734 41.4878879764738 -580.820974999702</t>
  </si>
  <si>
    <t>-687.545715919008 44.5689229965496 -658.93086122825</t>
  </si>
  <si>
    <t>-683.657688819404 71.4070497591533 -526.986851128427</t>
  </si>
  <si>
    <t>-648.047203687474 220.897962690092 -500.152080488892</t>
  </si>
  <si>
    <t>-543.920733443554 212.688750322809 -238.10462702723</t>
  </si>
  <si>
    <t>-313.141311793759 196.668425245043 -217.302121631918</t>
  </si>
  <si>
    <t>-690.527007952701 9.06590576852886 -527.688962725248</t>
  </si>
  <si>
    <t>-614.262021607918 129.179386727607 -96.1536046129395</t>
  </si>
  <si>
    <t>-629.801978974086 141.665847047896 318.943005710246</t>
  </si>
  <si>
    <t>-669.757304127294 171.865444601003 779.33686914132</t>
  </si>
  <si>
    <t>-518.996550720421 171.645437041937 835.506046557984</t>
  </si>
  <si>
    <t>-608.180588159417 -66.9301894508715 321.875195406326</t>
  </si>
  <si>
    <t>-653.801748103871 -103.88852029861 781.307523198455</t>
  </si>
  <si>
    <t>-500.122123383091 -122.332818517185 825.196069165701</t>
  </si>
  <si>
    <t>9763-20170724T115404.128295700.bin</t>
  </si>
  <si>
    <t>-617.530189214668 36.2484945939179 -93.1182502437703</t>
  </si>
  <si>
    <t>-641.844013686938 35.2490789002754 -201.12441846155</t>
  </si>
  <si>
    <t>-656.960679762259 35.6365706219758 -292.760436803551</t>
  </si>
  <si>
    <t>-669.396960289907 36.4926391804163 -375.722837182339</t>
  </si>
  <si>
    <t>-680.040432603922 37.7892958997472 -458.928348080496</t>
  </si>
  <si>
    <t>-693.624816437355 40.1410785926544 -580.808930192892</t>
  </si>
  <si>
    <t>-688.258387766501 42.8868185141932 -658.936126443849</t>
  </si>
  <si>
    <t>-684.217622269808 70.2795952465283 -527.111548724782</t>
  </si>
  <si>
    <t>-648.408348113756 219.826123358084 -500.833064453303</t>
  </si>
  <si>
    <t>-543.736947954465 212.416851404232 -238.978739668683</t>
  </si>
  <si>
    <t>-313.042135624698 196.744328146938 -217.005652587651</t>
  </si>
  <si>
    <t>-691.110646337038 7.93856254578304 -527.54611325936</t>
  </si>
  <si>
    <t>-614.602671512677 129.089125976762 -96.241885808454</t>
  </si>
  <si>
    <t>-629.995886835642 141.561654574333 318.860566849065</t>
  </si>
  <si>
    <t>-669.813228891182 171.803566142919 779.26537573975</t>
  </si>
  <si>
    <t>-519.041862144643 171.774667919938 835.406426569728</t>
  </si>
  <si>
    <t>-608.201535441773 -66.8622098415069 321.887280117519</t>
  </si>
  <si>
    <t>-653.774978385372 -103.868526027623 781.303984432602</t>
  </si>
  <si>
    <t>-500.10790997813 -122.420465865842 825.19114112373</t>
  </si>
  <si>
    <t>9763-20170724T115404.161126800.bin</t>
  </si>
  <si>
    <t>-617.624866591543 36.2332647693997 -93.1327751807208</t>
  </si>
  <si>
    <t>-641.966734823939 35.1825107423144 -201.132067314064</t>
  </si>
  <si>
    <t>-657.130753441501 35.4927999198967 -292.760636559473</t>
  </si>
  <si>
    <t>-669.619564946895 36.2641438973158 -375.715834170588</t>
  </si>
  <si>
    <t>-680.325581595502 37.4610447966381 -458.915013818948</t>
  </si>
  <si>
    <t>-694.012468545216 39.6503144993246 -580.787069468741</t>
  </si>
  <si>
    <t>-688.688196077233 42.2812893737992 -658.921231676254</t>
  </si>
  <si>
    <t>-684.565884094226 69.8610075171337 -527.137178139637</t>
  </si>
  <si>
    <t>-648.694339854894 219.420011908343 -501.037481724993</t>
  </si>
  <si>
    <t>-543.63654600073 212.144003882046 -239.334433215771</t>
  </si>
  <si>
    <t>-312.975734276569 196.599543169633 -216.918056215321</t>
  </si>
  <si>
    <t>-691.447692614935 7.5183072074708 -527.484123428756</t>
  </si>
  <si>
    <t>-614.880736666907 129.021055640455 -96.2705221055367</t>
  </si>
  <si>
    <t>-630.201404153933 141.501810105774 318.834448529107</t>
  </si>
  <si>
    <t>-669.85039733538 171.759521733368 779.247078193622</t>
  </si>
  <si>
    <t>-519.069603342982 171.738807814025 835.362867676091</t>
  </si>
  <si>
    <t>-608.188730478954 -66.813547579271 321.893891955484</t>
  </si>
  <si>
    <t>-653.769061136112 -103.814274822961 781.299337658153</t>
  </si>
  <si>
    <t>-500.060944866378 -122.057667124604 825.172056284436</t>
  </si>
  <si>
    <t>9763-20170724T115404.225297500.bin</t>
  </si>
  <si>
    <t>-617.799737698029 36.1506555955712 -93.139676361425</t>
  </si>
  <si>
    <t>-642.191184846903 34.9897762821167 -201.126728089317</t>
  </si>
  <si>
    <t>-657.446498300161 35.176230741878 -292.740531507289</t>
  </si>
  <si>
    <t>-670.03805067803 35.8201047807802 -375.681207681283</t>
  </si>
  <si>
    <t>-680.867228863321 36.8751719560814 -458.866267866145</t>
  </si>
  <si>
    <t>-694.756689801552 38.8410226747808 -580.719315327341</t>
  </si>
  <si>
    <t>-689.571794476924 41.3214859307222 -658.867658727165</t>
  </si>
  <si>
    <t>-685.270581472557 69.1554454337897 -527.1349166363</t>
  </si>
  <si>
    <t>-649.59625962622 218.816613046125 -501.309151492167</t>
  </si>
  <si>
    <t>-543.575708879639 211.54550070257 -239.9944333318</t>
  </si>
  <si>
    <t>-312.925483194607 195.763801453408 -217.634940391062</t>
  </si>
  <si>
    <t>-692.053694132916 6.80134484996165 -527.367616203748</t>
  </si>
  <si>
    <t>-615.411833864963 128.835194482525 -96.3110833566117</t>
  </si>
  <si>
    <t>-630.572675181494 141.412793978932 318.796873568582</t>
  </si>
  <si>
    <t>-669.897172861443 171.758266665212 779.231553923581</t>
  </si>
  <si>
    <t>-519.092628194423 171.745900107702 835.283453242093</t>
  </si>
  <si>
    <t>-608.068733131612 -66.758491896627 321.913585329546</t>
  </si>
  <si>
    <t>-653.745004846212 -103.796035493668 781.291881661004</t>
  </si>
  <si>
    <t>-500.049107330207 -122.099901069774 825.182226714697</t>
  </si>
  <si>
    <t>9763-20170724T115404.263936900.bin</t>
  </si>
  <si>
    <t>-617.888240597964 36.1139062139266 -93.1530364419394</t>
  </si>
  <si>
    <t>-642.286121851571 34.8936166618334 -201.138046467851</t>
  </si>
  <si>
    <t>-657.56502152754 35.0312643512141 -292.747879345322</t>
  </si>
  <si>
    <t>-670.185212572115 35.6302404411792 -375.684626038013</t>
  </si>
  <si>
    <t>-681.050379054135 36.6400362981533 -458.865612993679</t>
  </si>
  <si>
    <t>-695.000438044892 38.5394166813555 -580.712721060441</t>
  </si>
  <si>
    <t>-689.884281495159 40.9846977993691 -658.866722908187</t>
  </si>
  <si>
    <t>-685.526301347368 68.8873517216302 -527.145094434921</t>
  </si>
  <si>
    <t>-650.109499314493 218.626659398456 -501.44052869863</t>
  </si>
  <si>
    <t>-543.548844253893 211.196042696267 -240.350085593303</t>
  </si>
  <si>
    <t>-312.917567812212 195.057493893324 -218.049884845808</t>
  </si>
  <si>
    <t>-692.232243778675 6.52471271567424 -527.349370246452</t>
  </si>
  <si>
    <t>-615.699389013776 128.751348362321 -96.3355818556453</t>
  </si>
  <si>
    <t>-630.737852161248 141.330939571402 318.776725113293</t>
  </si>
  <si>
    <t>-669.92115388568 171.729990634302 779.221986583761</t>
  </si>
  <si>
    <t>-519.108951817967 171.757308656264 835.253260922961</t>
  </si>
  <si>
    <t>-608.010302919583 -66.7215392034836 321.922981833488</t>
  </si>
  <si>
    <t>-653.712646410844 -103.780162904042 781.290478037018</t>
  </si>
  <si>
    <t>-499.998476270556 -121.848335462723 825.214502415588</t>
  </si>
  <si>
    <t>9763-20170724T115404.329111100.bin</t>
  </si>
  <si>
    <t>-617.905656029646 35.9497659273677 -93.1431670874013</t>
  </si>
  <si>
    <t>-642.310240603959 34.6524558495403 -201.125818279476</t>
  </si>
  <si>
    <t>-657.63073633809 34.7556276401135 -292.728713170854</t>
  </si>
  <si>
    <t>-670.30273313606 35.3334815366636 -375.657758031849</t>
  </si>
  <si>
    <t>-681.233629273524 36.3335504644779 -458.830223897918</t>
  </si>
  <si>
    <t>-695.294873844556 38.2311627936738 -580.664484478324</t>
  </si>
  <si>
    <t>-690.384411082631 40.690208367165 -658.831306062782</t>
  </si>
  <si>
    <t>-685.818598387823 68.5848350616889 -527.100493717182</t>
  </si>
  <si>
    <t>-650.700978433751 218.400180528632 -501.410911031597</t>
  </si>
  <si>
    <t>-543.55299580718 210.770528093575 -240.566809733526</t>
  </si>
  <si>
    <t>-312.910528188665 194.069341498429 -218.803324381707</t>
  </si>
  <si>
    <t>-692.43116589811 6.21233500528911 -527.308768999089</t>
  </si>
  <si>
    <t>-615.978210007596 128.379279188644 -96.3421698113026</t>
  </si>
  <si>
    <t>-631.00922473193 141.149276862132 318.764556653206</t>
  </si>
  <si>
    <t>-669.965637853842 171.683340388736 779.21684493238</t>
  </si>
  <si>
    <t>-519.139176555005 171.765984324682 835.209612225304</t>
  </si>
  <si>
    <t>-607.939864596352 -66.697681964419 321.950666697605</t>
  </si>
  <si>
    <t>-653.64146489371 -103.75587917431 781.292751021075</t>
  </si>
  <si>
    <t>-499.914386050281 -121.494831657087 825.305539733845</t>
  </si>
  <si>
    <t>9763-20170724T115404.363820300.bin</t>
  </si>
  <si>
    <t>-617.834832292893 35.8267391187533 -93.1358574342132</t>
  </si>
  <si>
    <t>-642.235714218237 34.5113831333078 -201.118991643148</t>
  </si>
  <si>
    <t>-657.564186628299 34.6070171780775 -292.720690709755</t>
  </si>
  <si>
    <t>-670.247713823619 35.1810784138518 -375.647896090136</t>
  </si>
  <si>
    <t>-681.194552472829 36.1804462568398 -458.81832159641</t>
  </si>
  <si>
    <t>-695.28393422984 38.0803607672588 -580.649333753124</t>
  </si>
  <si>
    <t>-690.478022365835 40.567381781945 -658.821859874663</t>
  </si>
  <si>
    <t>-685.806271352883 68.4341228065566 -527.085638025715</t>
  </si>
  <si>
    <t>-650.763477545308 218.267775298753 -501.398286165757</t>
  </si>
  <si>
    <t>-543.610060296273 210.546698721335 -240.559107227987</t>
  </si>
  <si>
    <t>-312.97421581372 193.695372023707 -218.840964203435</t>
  </si>
  <si>
    <t>-692.396967023572 6.05929632627203 -527.296086944659</t>
  </si>
  <si>
    <t>-615.967589352877 128.218026225406 -96.3446523502186</t>
  </si>
  <si>
    <t>-631.014410137235 141.050160163028 318.759582269467</t>
  </si>
  <si>
    <t>-669.968347941993 171.700494023709 779.200064596673</t>
  </si>
  <si>
    <t>-519.14120348304 171.63375237673 835.190962424897</t>
  </si>
  <si>
    <t>-607.91602775355 -66.7528056577232 321.962969952012</t>
  </si>
  <si>
    <t>-653.597659169428 -103.79495255996 781.306179223387</t>
  </si>
  <si>
    <t>-499.90696790873 -121.667330860072 825.392051711542</t>
  </si>
  <si>
    <t>9763-20170724T115404.427991300.bin</t>
  </si>
  <si>
    <t>-617.498958318731 35.4876004098448 -93.1431021952014</t>
  </si>
  <si>
    <t>-641.893910189829 34.1834331704904 -201.127694206162</t>
  </si>
  <si>
    <t>-657.24555524979 34.3223328484869 -292.725485613084</t>
  </si>
  <si>
    <t>-669.961381250779 34.9494057519378 -375.647358372731</t>
  </si>
  <si>
    <t>-680.951779555384 36.0168666685547 -458.811204135069</t>
  </si>
  <si>
    <t>-695.117084874053 38.0337912659063 -580.631423504384</t>
  </si>
  <si>
    <t>-690.541428210727 40.6625469666965 -658.813048284768</t>
  </si>
  <si>
    <t>-685.655196007594 68.3411285179766 -527.038796864087</t>
  </si>
  <si>
    <t>-650.646775213433 218.136644177924 -501.117168719725</t>
  </si>
  <si>
    <t>-543.762821792159 209.841331674559 -240.185156784589</t>
  </si>
  <si>
    <t>-313.175630038864 192.889284082869 -218.033021576863</t>
  </si>
  <si>
    <t>-692.147765112859 5.95639711153353 -527.316822238019</t>
  </si>
  <si>
    <t>-615.711982966053 127.803904375361 -96.3438407865435</t>
  </si>
  <si>
    <t>-630.777715227596 140.792836737176 318.754844319092</t>
  </si>
  <si>
    <t>-669.975799601162 171.656078276839 779.163197104982</t>
  </si>
  <si>
    <t>-519.158030839828 171.837476856025 835.179284362701</t>
  </si>
  <si>
    <t>-607.834439258517 -66.9545139296408 321.959545039436</t>
  </si>
  <si>
    <t>-653.539832284684 -103.847053244551 781.309286844194</t>
  </si>
  <si>
    <t>-499.883813357652 -121.793921029478 825.485804667628</t>
  </si>
  <si>
    <t>9763-20170724T115404.465219200.bin</t>
  </si>
  <si>
    <t>-617.238605641659 35.2552202797772 -93.1269776659387</t>
  </si>
  <si>
    <t>-641.632062459133 33.9670196317065 -201.112133878641</t>
  </si>
  <si>
    <t>-656.964097117695 34.1580956472392 -292.712983891468</t>
  </si>
  <si>
    <t>-669.654511844865 34.8478423707243 -375.638374220575</t>
  </si>
  <si>
    <t>-680.611489504449 35.9940892988025 -458.8054333045</t>
  </si>
  <si>
    <t>-694.719019314283 38.1438162965023 -580.630302586908</t>
  </si>
  <si>
    <t>-690.229915778801 40.8636258266067 -658.813813796825</t>
  </si>
  <si>
    <t>-685.304386959335 68.3950472663394 -526.997634117776</t>
  </si>
  <si>
    <t>-650.294035807075 218.152978239056 -500.836413915255</t>
  </si>
  <si>
    <t>-543.563282378959 209.443596302552 -239.855096263749</t>
  </si>
  <si>
    <t>-312.966629098461 192.630615389723 -217.695690285235</t>
  </si>
  <si>
    <t>-691.753106209639 6.0060698371592 -527.351740747616</t>
  </si>
  <si>
    <t>-615.484915824685 127.539796509922 -96.3213801124818</t>
  </si>
  <si>
    <t>-630.631830031267 140.636251806204 318.770919036924</t>
  </si>
  <si>
    <t>-669.971644151255 171.638413730917 779.14453741783</t>
  </si>
  <si>
    <t>-519.165499576907 171.785360287101 835.191882650465</t>
  </si>
  <si>
    <t>-607.71324703604 -67.1066754438091 321.97020445707</t>
  </si>
  <si>
    <t>-653.524201398821 -103.83058140414 781.311362532048</t>
  </si>
  <si>
    <t>-499.830342058507 -121.42779198358 825.496891566938</t>
  </si>
  <si>
    <t>9763-20170724T115404.528389900.bin</t>
  </si>
  <si>
    <t>-616.540393804787 34.5600839105443 -93.1380705404812</t>
  </si>
  <si>
    <t>-640.926887975089 33.2947222500884 -201.125127225811</t>
  </si>
  <si>
    <t>-656.276421540929 33.5974020957462 -292.72283648924</t>
  </si>
  <si>
    <t>-668.991225690149 34.4245429110531 -375.643031271273</t>
  </si>
  <si>
    <t>-679.980743088562 35.7457898301059 -458.803328797932</t>
  </si>
  <si>
    <t>-694.144277013292 38.1930007602723 -580.616031490906</t>
  </si>
  <si>
    <t>-689.809492904666 41.1266579523867 -658.800470521151</t>
  </si>
  <si>
    <t>-684.756503933818 68.3183970681416 -526.907754431406</t>
  </si>
  <si>
    <t>-649.838403683213 218.016198641578 -500.284152241213</t>
  </si>
  <si>
    <t>-543.287369113228 208.360190141302 -239.262693583528</t>
  </si>
  <si>
    <t>-312.726638633057 191.448020056876 -216.806742708985</t>
  </si>
  <si>
    <t>-691.102381766738 5.91994885991039 -527.423570174551</t>
  </si>
  <si>
    <t>-614.942316352952 126.812913699148 -96.2842301861086</t>
  </si>
  <si>
    <t>-630.334833244673 140.127725763603 318.792137917437</t>
  </si>
  <si>
    <t>-669.956195991057 171.589794463026 779.111515978778</t>
  </si>
  <si>
    <t>-519.179430217304 171.817542698774 835.237523893675</t>
  </si>
  <si>
    <t>-607.35806785194 -67.7131266067704 321.943091676764</t>
  </si>
  <si>
    <t>-653.512230899282 -103.89088629355 781.304665561205</t>
  </si>
  <si>
    <t>-499.858334263513 -121.746966603239 825.525256243637</t>
  </si>
  <si>
    <t>9763-20170724T115404.560475900.bin</t>
  </si>
  <si>
    <t>-616.169836834399 34.1452540413663 -93.1417470753333</t>
  </si>
  <si>
    <t>-640.550437745542 32.8853621808896 -201.13024284605</t>
  </si>
  <si>
    <t>-655.903712144017 33.250175717244 -292.727016773911</t>
  </si>
  <si>
    <t>-668.624836030224 34.1558974915608 -375.645610171887</t>
  </si>
  <si>
    <t>-679.623235275476 35.5789408214278 -458.802950811015</t>
  </si>
  <si>
    <t>-693.802155466479 38.2003789198518 -580.610083371042</t>
  </si>
  <si>
    <t>-689.517861649662 41.2754708599343 -658.792056720091</t>
  </si>
  <si>
    <t>-684.430305974721 68.2511523781977 -526.85739787494</t>
  </si>
  <si>
    <t>-649.614134940972 217.926798362923 -500.006956905848</t>
  </si>
  <si>
    <t>-543.100859501431 207.942791140862 -238.982525098725</t>
  </si>
  <si>
    <t>-312.564286308816 190.851395187058 -216.41432411476</t>
  </si>
  <si>
    <t>-690.730816790544 5.84905272660262 -527.466956489276</t>
  </si>
  <si>
    <t>-614.618140964281 126.451775538157 -96.2689641398424</t>
  </si>
  <si>
    <t>-630.08364443965 139.877806751629 318.801069042549</t>
  </si>
  <si>
    <t>-669.956188477216 171.519701449807 779.095350210437</t>
  </si>
  <si>
    <t>-519.195648790291 171.864137409654 835.264371346848</t>
  </si>
  <si>
    <t>-607.118267285616 -68.1312596179444 321.928792086755</t>
  </si>
  <si>
    <t>-653.505349473976 -103.904575699029 781.306294196541</t>
  </si>
  <si>
    <t>-499.839195585305 -121.648297035609 825.529563072854</t>
  </si>
  <si>
    <t>9763-20170724T115404.630674600.bin</t>
  </si>
  <si>
    <t>-615.372772894767 33.4754797636879 -93.1154327283977</t>
  </si>
  <si>
    <t>-639.728110037064 32.1831184419138 -201.109211325894</t>
  </si>
  <si>
    <t>-655.029181567565 32.682769965835 -292.71403339175</t>
  </si>
  <si>
    <t>-667.688861837061 33.7733504021742 -375.639897495333</t>
  </si>
  <si>
    <t>-678.610248132602 35.4445958633276 -458.802689427826</t>
  </si>
  <si>
    <t>-692.658407749391 38.498314826594 -580.61504734164</t>
  </si>
  <si>
    <t>-688.383607667894 41.9154180568974 -658.783289959591</t>
  </si>
  <si>
    <t>-683.379201641501 68.3617021233936 -526.741899118185</t>
  </si>
  <si>
    <t>-648.772416890079 217.97876555112 -499.272294474163</t>
  </si>
  <si>
    <t>-542.403617300166 207.225545827318 -238.21927108419</t>
  </si>
  <si>
    <t>-311.885032338947 189.89002104359 -215.653889772976</t>
  </si>
  <si>
    <t>-689.609171490453 5.95502920873901 -527.587910065759</t>
  </si>
  <si>
    <t>-613.995681065091 125.876358836224 -96.2374470883032</t>
  </si>
  <si>
    <t>-629.444064392067 139.515641501962 318.826293210819</t>
  </si>
  <si>
    <t>-669.95537759294 171.397010231178 779.056515810348</t>
  </si>
  <si>
    <t>-519.227821221695 172.041446480271 835.311415936575</t>
  </si>
  <si>
    <t>-606.418763366927 -68.6804159265785 321.951966527735</t>
  </si>
  <si>
    <t>-653.491709608769 -103.89568516698 781.296826413886</t>
  </si>
  <si>
    <t>-499.83638878046 -121.666866836775 825.546722053451</t>
  </si>
  <si>
    <t>9763-20170724T115404.663383400.bin</t>
  </si>
  <si>
    <t>-615.001927870987 33.2540763673844 -93.0838880563419</t>
  </si>
  <si>
    <t>-639.350775906539 31.9418031149403 -201.078873479073</t>
  </si>
  <si>
    <t>-654.633035815977 32.4974342589089 -292.686696904827</t>
  </si>
  <si>
    <t>-667.269459345449 33.6665224164842 -375.6148014785</t>
  </si>
  <si>
    <t>-678.160777213468 35.4445837017038 -458.779541149951</t>
  </si>
  <si>
    <t>-692.156969239747 38.6854106332319 -580.592906687275</t>
  </si>
  <si>
    <t>-687.881724703466 42.2732890794869 -658.753482262791</t>
  </si>
  <si>
    <t>-682.920061883806 68.4678294904249 -526.667797902359</t>
  </si>
  <si>
    <t>-648.523446271749 218.08465773335 -498.94440428893</t>
  </si>
  <si>
    <t>-542.260078565863 206.762006315636 -237.872696133864</t>
  </si>
  <si>
    <t>-311.754724191721 189.432282543286 -215.168318513249</t>
  </si>
  <si>
    <t>-689.111038694908 6.05893828651074 -527.616771934187</t>
  </si>
  <si>
    <t>-613.788300534269 125.650039855463 -96.2071570688128</t>
  </si>
  <si>
    <t>-629.284651249394 139.358092853894 318.852548515975</t>
  </si>
  <si>
    <t>-669.925979327852 171.442649361166 779.047379538967</t>
  </si>
  <si>
    <t>-519.214651142208 172.001218233296 835.346663977855</t>
  </si>
  <si>
    <t>-606.072532927546 -68.8532938119299 321.976283444141</t>
  </si>
  <si>
    <t>-653.456739082654 -103.913609611221 781.301479093843</t>
  </si>
  <si>
    <t>-499.820121792648 -121.722883889294 825.601002128539</t>
  </si>
  <si>
    <t>9763-20170724T115404.728555500.bin</t>
  </si>
  <si>
    <t>-614.406856280003 32.8918381825099 -93.024545592956</t>
  </si>
  <si>
    <t>-638.752449383214 31.5523591191102 -201.019896955938</t>
  </si>
  <si>
    <t>-654.01593922358 32.2326469125906 -292.629953224222</t>
  </si>
  <si>
    <t>-666.627480103475 33.571481296633 -375.559405704282</t>
  </si>
  <si>
    <t>-677.484959571884 35.5777234986169 -458.723200759626</t>
  </si>
  <si>
    <t>-691.420883394671 39.2161764316409 -580.53249559422</t>
  </si>
  <si>
    <t>-687.154988451151 43.1282444353255 -658.677932958265</t>
  </si>
  <si>
    <t>-682.278057208436 68.82882869847 -526.497811554409</t>
  </si>
  <si>
    <t>-648.255551834334 218.418217125817 -498.166630941201</t>
  </si>
  <si>
    <t>-542.233171568979 206.100098417947 -237.041918463648</t>
  </si>
  <si>
    <t>-311.761688172222 188.563155405469 -214.153158498809</t>
  </si>
  <si>
    <t>-688.333775399074 6.41049949594594 -527.669497005057</t>
  </si>
  <si>
    <t>-613.45121589473 125.187432364138 -96.1328675029924</t>
  </si>
  <si>
    <t>-629.128490838966 139.035444955395 318.915387014146</t>
  </si>
  <si>
    <t>-669.927413155056 171.32017457178 779.065386712112</t>
  </si>
  <si>
    <t>-519.237545403993 172.015375948215 835.420499579466</t>
  </si>
  <si>
    <t>-605.681460174141 -69.100461980365 322.031819972423</t>
  </si>
  <si>
    <t>-653.405121062276 -103.899722059428 781.314876322705</t>
  </si>
  <si>
    <t>-499.754480278877 -121.37401278368 825.698917697166</t>
  </si>
  <si>
    <t>9763-20170724T115404.765220600.bin</t>
  </si>
  <si>
    <t>-614.141601422096 32.7567820637835 -93.01347296554</t>
  </si>
  <si>
    <t>-638.481103962827 31.3987835184269 -201.009990129798</t>
  </si>
  <si>
    <t>-653.746212464608 32.1441394090564 -292.619256851767</t>
  </si>
  <si>
    <t>-666.361352456763 33.5731209324717 -375.546630100996</t>
  </si>
  <si>
    <t>-677.223965115025 35.7023627424833 -458.706772880226</t>
  </si>
  <si>
    <t>-691.168799626147 39.5565047618256 -580.508314959015</t>
  </si>
  <si>
    <t>-686.936787058598 43.62420629756 -658.647692884345</t>
  </si>
  <si>
    <t>-682.070155576843 69.0779818665558 -526.416223770326</t>
  </si>
  <si>
    <t>-648.266149083355 218.668362224592 -497.822684763702</t>
  </si>
  <si>
    <t>-542.367523064838 205.906400699358 -236.669128534368</t>
  </si>
  <si>
    <t>-311.900582823092 188.373227530553 -213.732406836332</t>
  </si>
  <si>
    <t>-688.029715804505 6.65265993958064 -527.70936987247</t>
  </si>
  <si>
    <t>-613.253430193093 125.007410971862 -96.1086873230454</t>
  </si>
  <si>
    <t>-629.006139645482 138.915968409806 318.934677062116</t>
  </si>
  <si>
    <t>-669.929581749851 171.266895247873 779.074865292082</t>
  </si>
  <si>
    <t>-519.249541675557 172.076896066615 835.454641363462</t>
  </si>
  <si>
    <t>-605.545670619838 -69.2360758798009 322.048957319463</t>
  </si>
  <si>
    <t>-653.396055766304 -103.924274788595 781.322932721305</t>
  </si>
  <si>
    <t>-499.781760136546 -121.650025664166 825.73311468125</t>
  </si>
  <si>
    <t>9763-20170724T115404.831394800.bin</t>
  </si>
  <si>
    <t>-613.714376328242 32.6806517670243 -92.9840237171028</t>
  </si>
  <si>
    <t>-638.067894725477 31.28565830918 -200.976826563189</t>
  </si>
  <si>
    <t>-653.343112384328 32.1294628849766 -292.583622692796</t>
  </si>
  <si>
    <t>-665.965716042225 33.6983054951311 -375.507307315712</t>
  </si>
  <si>
    <t>-676.833385126549 36.020253430572 -458.661714575031</t>
  </si>
  <si>
    <t>-690.782469228542 40.2144091211433 -580.451493117223</t>
  </si>
  <si>
    <t>-686.634073107211 44.5456363307273 -658.581064773272</t>
  </si>
  <si>
    <t>-681.782044313287 69.5939116065306 -526.265755372239</t>
  </si>
  <si>
    <t>-648.491945826365 219.199771390506 -497.166645484715</t>
  </si>
  <si>
    <t>-542.7110020331 205.835916228219 -235.995505407413</t>
  </si>
  <si>
    <t>-312.250891173298 188.263972176168 -213.019478069504</t>
  </si>
  <si>
    <t>-687.541443172982 7.15411741959656 -527.756511460145</t>
  </si>
  <si>
    <t>-612.962638177333 124.907694535132 -96.0694353628307</t>
  </si>
  <si>
    <t>-628.763783413678 138.851831604331 318.970904204862</t>
  </si>
  <si>
    <t>-669.910135120504 171.301863958395 779.088284034655</t>
  </si>
  <si>
    <t>-519.245066423667 172.122508974587 835.508030362297</t>
  </si>
  <si>
    <t>-605.265789220721 -69.3688815591875 322.065756250787</t>
  </si>
  <si>
    <t>-653.423427503832 -103.903124720891 781.325381190638</t>
  </si>
  <si>
    <t>-499.753622208401 -121.291876872633 825.676852521593</t>
  </si>
  <si>
    <t>9763-20170724T115404.863031700.bin</t>
  </si>
  <si>
    <t>-613.608091173398 32.6258718352071 -92.9763814297795</t>
  </si>
  <si>
    <t>-637.960223006005 31.2131469492906 -200.969288587243</t>
  </si>
  <si>
    <t>-653.214800811556 32.0944328003843 -292.579187098957</t>
  </si>
  <si>
    <t>-665.810524351364 33.71699813139 -375.505977738002</t>
  </si>
  <si>
    <t>-676.642780379123 36.1133549055437 -458.662705814151</t>
  </si>
  <si>
    <t>-690.530327507224 40.4391528581923 -580.454915940792</t>
  </si>
  <si>
    <t>-686.420684771281 44.8903409226373 -658.579952908605</t>
  </si>
  <si>
    <t>-681.596417252331 69.7634147578742 -526.228484573098</t>
  </si>
  <si>
    <t>-648.488387631312 219.369632492834 -496.898452516547</t>
  </si>
  <si>
    <t>-542.890938700322 205.844072456933 -235.661238493073</t>
  </si>
  <si>
    <t>-312.424132248813 188.234458772994 -212.781659538292</t>
  </si>
  <si>
    <t>-687.276808179611 7.3184336957429 -527.798726719826</t>
  </si>
  <si>
    <t>-612.915371622538 124.895520169102 -96.0587549260888</t>
  </si>
  <si>
    <t>-628.731589769282 138.835939899653 318.981163535022</t>
  </si>
  <si>
    <t>-669.906508407223 171.32287785078 779.093493735836</t>
  </si>
  <si>
    <t>-519.24639901026 171.99525106155 835.528508478992</t>
  </si>
  <si>
    <t>-605.134687675384 -69.4500609126196 322.070426783964</t>
  </si>
  <si>
    <t>-653.454439176769 -103.889766899443 781.318204582439</t>
  </si>
  <si>
    <t>-499.78698391056 -121.428847336128 825.618549443024</t>
  </si>
  <si>
    <t>9763-20170724T115404.929207700.bin</t>
  </si>
  <si>
    <t>-613.609981287629 32.5010682271384 -92.9706417582875</t>
  </si>
  <si>
    <t>-637.898139799263 31.0506458273094 -200.977509772592</t>
  </si>
  <si>
    <t>-653.055220981702 31.9634916301541 -292.603070534843</t>
  </si>
  <si>
    <t>-665.545064288318 33.6387247016276 -375.544865482297</t>
  </si>
  <si>
    <t>-676.253316230307 36.1133831069567 -458.715535496953</t>
  </si>
  <si>
    <t>-689.939509190697 40.5821453660628 -580.525358018319</t>
  </si>
  <si>
    <t>-685.915319268861 45.2281569606987 -658.643368081654</t>
  </si>
  <si>
    <t>-681.193887580702 69.8513664647342 -526.238343632022</t>
  </si>
  <si>
    <t>-648.635414123745 219.534740847918 -496.704421655722</t>
  </si>
  <si>
    <t>-543.517556317671 205.96349525765 -235.276325723892</t>
  </si>
  <si>
    <t>-313.027035782234 188.07207630698 -212.858894110966</t>
  </si>
  <si>
    <t>-686.674343627616 7.39123192310171 -527.914046626567</t>
  </si>
  <si>
    <t>-612.988771220729 124.788079746194 -96.0432429966777</t>
  </si>
  <si>
    <t>-628.858629409618 138.789516599405 318.992539515004</t>
  </si>
  <si>
    <t>-669.916677921158 171.376935925124 779.115293284215</t>
  </si>
  <si>
    <t>-519.257494798686 172.09510761169 835.552139427073</t>
  </si>
  <si>
    <t>-605.006395057994 -69.5565959241146 322.072821017178</t>
  </si>
  <si>
    <t>-653.535836017388 -103.909352019036 781.302100101415</t>
  </si>
  <si>
    <t>-499.835167795961 -121.515762667819 825.460231958864</t>
  </si>
  <si>
    <t>9763-20170724T115404.963397100.bin</t>
  </si>
  <si>
    <t>-613.670829086956 32.5226847561817 -92.9604906114372</t>
  </si>
  <si>
    <t>-637.902887818207 31.0722096898337 -200.979947366187</t>
  </si>
  <si>
    <t>-652.984899984261 31.9967341216877 -292.617824276193</t>
  </si>
  <si>
    <t>-665.39610744129 33.6866954434324 -375.571157004102</t>
  </si>
  <si>
    <t>-676.014821830307 36.1814264693771 -458.752532206856</t>
  </si>
  <si>
    <t>-689.558370548354 40.6856502461224 -580.577123989927</t>
  </si>
  <si>
    <t>-685.55050002413 45.3899229569131 -658.692565022953</t>
  </si>
  <si>
    <t>-680.932178363183 69.9437358805665 -526.26501598652</t>
  </si>
  <si>
    <t>-648.692906667329 219.675197490085 -496.628256544262</t>
  </si>
  <si>
    <t>-543.873330280133 206.255730748983 -235.072606010851</t>
  </si>
  <si>
    <t>-313.354980107877 188.141250269867 -213.125253031859</t>
  </si>
  <si>
    <t>-686.298983676446 7.47474972115492 -527.978073950485</t>
  </si>
  <si>
    <t>-613.072880349581 124.836801765742 -96.0332461990358</t>
  </si>
  <si>
    <t>-629.010910778952 138.785482871965 319.001685600882</t>
  </si>
  <si>
    <t>-669.926041903193 171.377985414102 779.124628634046</t>
  </si>
  <si>
    <t>-519.267867334849 172.105461147736 835.564136961487</t>
  </si>
  <si>
    <t>-605.006781320634 -69.5861803059604 322.064698600132</t>
  </si>
  <si>
    <t>-653.575595755893 -103.899137608311 781.291426658095</t>
  </si>
  <si>
    <t>-499.866422922856 -121.597464972072 825.383186874408</t>
  </si>
  <si>
    <t>9763-20170724T115405.031577400.bin</t>
  </si>
  <si>
    <t>-613.949244541075 32.6871476938727 -92.9919811515391</t>
  </si>
  <si>
    <t>-638.031604251961 31.2328573995667 -201.044860561131</t>
  </si>
  <si>
    <t>-652.948400143594 32.1560835169748 -292.709860545212</t>
  </si>
  <si>
    <t>-665.195277335969 33.8453607569475 -375.687490215937</t>
  </si>
  <si>
    <t>-675.634749628426 36.3409185109319 -458.89164322036</t>
  </si>
  <si>
    <t>-688.899964012834 40.8491961582704 -580.746586093292</t>
  </si>
  <si>
    <t>-684.824345613618 45.6065536947772 -658.855304924081</t>
  </si>
  <si>
    <t>-680.473033684477 70.1115540185831 -526.405627072749</t>
  </si>
  <si>
    <t>-648.583813370601 219.88485947407 -496.616538229881</t>
  </si>
  <si>
    <t>-544.800019451567 206.979408174522 -234.622315925445</t>
  </si>
  <si>
    <t>-314.290127919056 188.410530497783 -212.967927809854</t>
  </si>
  <si>
    <t>-685.685564184737 7.63048284248407 -528.149683164708</t>
  </si>
  <si>
    <t>-613.320799424331 125.012064519916 -96.0446843027167</t>
  </si>
  <si>
    <t>-629.465107015347 138.895463702121 318.984448359554</t>
  </si>
  <si>
    <t>-669.963441949104 171.400562345796 779.152638366389</t>
  </si>
  <si>
    <t>-519.296531597242 172.256127616037 835.566840250236</t>
  </si>
  <si>
    <t>-605.235513209652 -69.6114832355215 322.025597016805</t>
  </si>
  <si>
    <t>-653.648303898957 -103.908556563916 781.275190391702</t>
  </si>
  <si>
    <t>-499.891074012763 -121.523600934728 825.232534959219</t>
  </si>
  <si>
    <t>9763-20170724T115405.066488200.bin</t>
  </si>
  <si>
    <t>-614.147523378811 32.8705210927974 -93.0008311039379</t>
  </si>
  <si>
    <t>-638.171577862014 31.4054630883732 -201.066420192821</t>
  </si>
  <si>
    <t>-653.021702907299 32.3111806245824 -292.742485985304</t>
  </si>
  <si>
    <t>-665.201494749288 33.9809434847346 -375.730413895308</t>
  </si>
  <si>
    <t>-675.567028501161 36.4537028307814 -458.94453571145</t>
  </si>
  <si>
    <t>-688.71683697227 40.9246467261646 -580.8133516957</t>
  </si>
  <si>
    <t>-684.561688159625 45.6655237544508 -658.918949038483</t>
  </si>
  <si>
    <t>-680.361827864767 70.2053380561106 -526.47118239804</t>
  </si>
  <si>
    <t>-648.528671003112 219.986421503936 -496.677758632852</t>
  </si>
  <si>
    <t>-545.424676368118 207.284072818984 -234.405350039418</t>
  </si>
  <si>
    <t>-314.963354105247 188.506051126153 -212.416835801771</t>
  </si>
  <si>
    <t>-685.531830763826 7.72032999137014 -528.205632097317</t>
  </si>
  <si>
    <t>-613.508716569432 125.20249673399 -96.0629267735964</t>
  </si>
  <si>
    <t>-629.6298532522 139.059892299291 318.967985943908</t>
  </si>
  <si>
    <t>-669.977055698962 171.439995837147 779.160413906926</t>
  </si>
  <si>
    <t>-519.304711001836 172.223964078883 835.561248550447</t>
  </si>
  <si>
    <t>-605.379632429434 -69.5055984829582 322.009354301792</t>
  </si>
  <si>
    <t>-653.673718152957 -103.894611575977 781.270140576453</t>
  </si>
  <si>
    <t>-499.888607112224 -121.399786099088 825.173879557037</t>
  </si>
  <si>
    <t>9763-20170724T115405.127650700.bin</t>
  </si>
  <si>
    <t>-614.660455850809 33.463277646362 -93.0105740323218</t>
  </si>
  <si>
    <t>-638.639213930619 32.0033454990264 -201.08642370437</t>
  </si>
  <si>
    <t>-653.405823319705 32.8715926128261 -292.776222396419</t>
  </si>
  <si>
    <t>-665.492730643208 34.4914121808852 -375.778761355107</t>
  </si>
  <si>
    <t>-675.748389971939 36.8986172724826 -459.008317697074</t>
  </si>
  <si>
    <t>-688.719367472156 41.2570282843667 -580.900428650426</t>
  </si>
  <si>
    <t>-684.365048548792 45.8721497302506 -659.002584649727</t>
  </si>
  <si>
    <t>-680.492675076395 70.59154824141 -526.567796564954</t>
  </si>
  <si>
    <t>-648.68557155957 220.390451374665 -496.816294311315</t>
  </si>
  <si>
    <t>-546.850681547745 207.757940820142 -234.045264875559</t>
  </si>
  <si>
    <t>-316.4884690095 188.798283405002 -211.191141634324</t>
  </si>
  <si>
    <t>-685.563025633058 8.09735629993952 -528.262740759671</t>
  </si>
  <si>
    <t>-613.964858996469 125.867747685478 -96.0988440776467</t>
  </si>
  <si>
    <t>-629.910258423647 139.495001318289 318.946452318218</t>
  </si>
  <si>
    <t>-670.002272977724 171.54180029926 779.186163096654</t>
  </si>
  <si>
    <t>-519.312368679337 172.233300364383 835.541345953319</t>
  </si>
  <si>
    <t>-605.575412404977 -69.064142408829 322.002180622198</t>
  </si>
  <si>
    <t>-653.672230595744 -103.903698412495 781.259466849381</t>
  </si>
  <si>
    <t>-499.916539991069 -121.684179120914 825.155556039822</t>
  </si>
  <si>
    <t>9763-20170724T115405.162863100.bin</t>
  </si>
  <si>
    <t>-614.941481069569 33.84252072558 -93.0252851196591</t>
  </si>
  <si>
    <t>-638.889687594375 32.377417259971 -201.107818609922</t>
  </si>
  <si>
    <t>-653.612941688047 33.2056193723686 -292.804996801519</t>
  </si>
  <si>
    <t>-665.654073894276 34.7752494962338 -375.815118709582</t>
  </si>
  <si>
    <t>-675.857643901375 37.1182790147627 -459.052992470733</t>
  </si>
  <si>
    <t>-688.745858132306 41.3677875191809 -580.957677124458</t>
  </si>
  <si>
    <t>-684.272921714116 45.8799335005922 -659.059142612726</t>
  </si>
  <si>
    <t>-680.574740252602 70.7524420784432 -526.643631647012</t>
  </si>
  <si>
    <t>-648.744660524641 220.569691931512 -496.993690854492</t>
  </si>
  <si>
    <t>-547.314597196756 207.987651802506 -234.063619199675</t>
  </si>
  <si>
    <t>-317.007469451139 188.822254068267 -210.829040781542</t>
  </si>
  <si>
    <t>-685.606520738518 8.25377052674321 -528.290208667874</t>
  </si>
  <si>
    <t>-614.203502943809 126.270953368501 -96.1085345443996</t>
  </si>
  <si>
    <t>-630.058135485087 139.779616766011 318.944243784342</t>
  </si>
  <si>
    <t>-670.017977559375 171.610515379154 779.208966601517</t>
  </si>
  <si>
    <t>-519.315629731826 172.155892775802 835.532467833049</t>
  </si>
  <si>
    <t>-605.682338171953 -68.7907733028001 322.002053497344</t>
  </si>
  <si>
    <t>-653.617986928982 -103.915526899549 781.266046338369</t>
  </si>
  <si>
    <t>-499.907257567056 -121.87489492452 825.246720104666</t>
  </si>
  <si>
    <t>9763-20170724T115405.227033400.bin</t>
  </si>
  <si>
    <t>-615.581499205384 34.5831730047169 -93.0169091868967</t>
  </si>
  <si>
    <t>-639.439850915161 33.0740807789728 -201.118675017216</t>
  </si>
  <si>
    <t>-654.077706762345 33.7684553902777 -292.830720674411</t>
  </si>
  <si>
    <t>-666.038929515672 35.1774965219822 -375.85523149249</t>
  </si>
  <si>
    <t>-676.160194097679 37.3208620945204 -459.108578877609</t>
  </si>
  <si>
    <t>-688.926022098155 41.2355639441219 -581.037468307225</t>
  </si>
  <si>
    <t>-684.254393168914 45.4788499151616 -659.142367667331</t>
  </si>
  <si>
    <t>-680.830870978954 70.770973099111 -526.7937253322</t>
  </si>
  <si>
    <t>-648.839713413057 220.624574979964 -497.489719691115</t>
  </si>
  <si>
    <t>-547.521268089708 208.467959685984 -234.4967344868</t>
  </si>
  <si>
    <t>-317.370122577648 188.31634496165 -210.561488825316</t>
  </si>
  <si>
    <t>-685.818063038051 8.26477007619064 -528.278320313856</t>
  </si>
  <si>
    <t>-614.858238855947 126.996448986213 -96.1189454951248</t>
  </si>
  <si>
    <t>-630.518896755218 140.28614225361 318.94816179229</t>
  </si>
  <si>
    <t>-670.076403316329 171.628146569504 779.260618546892</t>
  </si>
  <si>
    <t>-519.346000556781 172.162509983985 835.508979019506</t>
  </si>
  <si>
    <t>-605.954945962145 -68.2605870750363 322.016046889082</t>
  </si>
  <si>
    <t>-653.4930151899 -103.881891474231 781.294236766614</t>
  </si>
  <si>
    <t>-499.795303655127 -121.529671743055 825.446070810756</t>
  </si>
  <si>
    <t>9763-20170724T115405.262134300.bin</t>
  </si>
  <si>
    <t>-615.904076846818 34.9251021487553 -92.9996895737251</t>
  </si>
  <si>
    <t>-639.726438219709 33.3925184159541 -201.109103842153</t>
  </si>
  <si>
    <t>-654.320227799471 34.0071564042521 -292.828684512435</t>
  </si>
  <si>
    <t>-666.236505586129 35.3193718062539 -375.86132131402</t>
  </si>
  <si>
    <t>-676.307850952064 37.3408540098526 -459.123700775759</t>
  </si>
  <si>
    <t>-688.995634486859 41.0490355677648 -581.067014475392</t>
  </si>
  <si>
    <t>-684.26228921007 45.1461132852021 -659.176121425004</t>
  </si>
  <si>
    <t>-680.935051476333 70.6762361493238 -526.868289653366</t>
  </si>
  <si>
    <t>-648.830742911397 220.558042009075 -497.862649815936</t>
  </si>
  <si>
    <t>-547.336926453576 208.771602342597 -234.920139671914</t>
  </si>
  <si>
    <t>-317.258423829523 188.086849666421 -210.742572383833</t>
  </si>
  <si>
    <t>-685.92164998625 8.16755669032568 -528.250457108649</t>
  </si>
  <si>
    <t>-615.237714249302 127.297525998168 -96.1187170623775</t>
  </si>
  <si>
    <t>-630.877377520571 140.483243128522 318.952577440118</t>
  </si>
  <si>
    <t>-670.091240931276 171.701568045744 779.29430371387</t>
  </si>
  <si>
    <t>-519.34443171732 172.105696821427 835.499786373562</t>
  </si>
  <si>
    <t>-606.090612464923 -67.983865844152 322.033275569863</t>
  </si>
  <si>
    <t>-653.432254411378 -103.891320664915 781.311602626983</t>
  </si>
  <si>
    <t>-499.771927424293 -121.640591677778 825.552911584911</t>
  </si>
  <si>
    <t>9763-20170724T115405.332318500.bin</t>
  </si>
  <si>
    <t>-616.413915149123 35.5457884334596 -92.9709412037976</t>
  </si>
  <si>
    <t>-640.187919097913 33.9681525149517 -201.090414417049</t>
  </si>
  <si>
    <t>-654.719261031913 34.4366500633423 -292.820705487114</t>
  </si>
  <si>
    <t>-666.571226932408 35.571700312722 -375.865193165388</t>
  </si>
  <si>
    <t>-676.570649498343 37.3705383405011 -459.141267190249</t>
  </si>
  <si>
    <t>-689.145346113155 40.7027781704742 -581.107212164657</t>
  </si>
  <si>
    <t>-684.386908318079 44.491690448644 -659.230321526923</t>
  </si>
  <si>
    <t>-681.115512719413 70.4953660611739 -526.994655713009</t>
  </si>
  <si>
    <t>-648.800204556135 220.450859139385 -498.614224995175</t>
  </si>
  <si>
    <t>-546.497306348248 209.525509032924 -235.948386404025</t>
  </si>
  <si>
    <t>-316.481349955443 188.431262940103 -211.530891278054</t>
  </si>
  <si>
    <t>-686.139820599514 7.985897858106 -528.184517103072</t>
  </si>
  <si>
    <t>-615.806946157178 127.827703301178 -96.1169621855585</t>
  </si>
  <si>
    <t>-631.447996606299 140.838665868785 318.959746563059</t>
  </si>
  <si>
    <t>-670.11479749307 171.838268025712 779.359936231926</t>
  </si>
  <si>
    <t>-519.338353855447 172.172712538767 835.486370877154</t>
  </si>
  <si>
    <t>-606.323335481373 -67.45157975079 322.07624713501</t>
  </si>
  <si>
    <t>-653.340183423385 -103.887115012496 781.33489535297</t>
  </si>
  <si>
    <t>-499.717429437214 -121.658006671926 825.697828365995</t>
  </si>
  <si>
    <t>9763-20170724T115405.362027600.bin</t>
  </si>
  <si>
    <t>-616.589989667388 35.8332392036225 -92.9697289513831</t>
  </si>
  <si>
    <t>-640.341716948816 34.2456841130502 -201.093892577126</t>
  </si>
  <si>
    <t>-654.851040840115 34.6553406476669 -292.828037276129</t>
  </si>
  <si>
    <t>-666.682163520347 35.717511551896 -375.876239187825</t>
  </si>
  <si>
    <t>-676.660140600635 37.4230106410334 -459.157015200864</t>
  </si>
  <si>
    <t>-689.202996697039 40.5963491834893 -581.130456848374</t>
  </si>
  <si>
    <t>-684.442628495455 44.2505076290149 -659.259874155998</t>
  </si>
  <si>
    <t>-681.173593006457 70.4582853638342 -527.056110493038</t>
  </si>
  <si>
    <t>-648.847144478094 220.472705503812 -499.011062150577</t>
  </si>
  <si>
    <t>-545.917359214423 209.900054576385 -236.575749268314</t>
  </si>
  <si>
    <t>-315.905148843784 189.005078310197 -211.952347544962</t>
  </si>
  <si>
    <t>-686.225007889908 7.94950654179183 -528.163057968909</t>
  </si>
  <si>
    <t>-615.981401483467 128.055741548603 -96.1223589869319</t>
  </si>
  <si>
    <t>-631.633098199768 141.002028403395 318.95599519252</t>
  </si>
  <si>
    <t>-670.145860802745 171.821232032638 779.397519170588</t>
  </si>
  <si>
    <t>-519.353064808377 172.235899398102 835.479431870154</t>
  </si>
  <si>
    <t>-606.44781093661 -67.2211364049156 322.088044369565</t>
  </si>
  <si>
    <t>-653.328925931947 -103.87790039714 781.336522118041</t>
  </si>
  <si>
    <t>-499.682691816359 -121.449618712934 825.697502760123</t>
  </si>
  <si>
    <t>9763-20170724T115405.431210400.bin</t>
  </si>
  <si>
    <t>-616.651806232585 36.3393114302385 -92.9482783463563</t>
  </si>
  <si>
    <t>-640.316765619754 34.7500731633745 -201.091438499082</t>
  </si>
  <si>
    <t>-654.762575936151 35.0521229563783 -292.836049725037</t>
  </si>
  <si>
    <t>-666.541320357571 35.9758884234302 -375.893455022913</t>
  </si>
  <si>
    <t>-676.472540811249 37.5008432124032 -459.183186735072</t>
  </si>
  <si>
    <t>-688.953765066858 40.3645308124769 -581.170649493701</t>
  </si>
  <si>
    <t>-684.175397560434 43.7835783934506 -659.309495724855</t>
  </si>
  <si>
    <t>-680.904483725082 70.3599200377419 -527.173197747758</t>
  </si>
  <si>
    <t>-648.55227044654 220.472659939146 -499.646076933129</t>
  </si>
  <si>
    <t>-544.194340182566 210.026135068766 -237.770431256947</t>
  </si>
  <si>
    <t>-314.165180411649 189.968557159046 -212.614583878256</t>
  </si>
  <si>
    <t>-686.049725932961 7.85606901831761 -528.113997296954</t>
  </si>
  <si>
    <t>-615.923880871265 128.531277272352 -96.1276694565416</t>
  </si>
  <si>
    <t>-631.721589242303 141.329595070331 318.949685580752</t>
  </si>
  <si>
    <t>-670.163861097407 171.928839190369 779.420659990908</t>
  </si>
  <si>
    <t>-519.351219253965 172.197662080091 835.450116365669</t>
  </si>
  <si>
    <t>-606.72809686929 -66.8560940306406 322.114401536768</t>
  </si>
  <si>
    <t>-653.317220252633 -103.882107110439 781.336841966191</t>
  </si>
  <si>
    <t>-499.661910743492 -121.403417461416 825.686343884627</t>
  </si>
  <si>
    <t>9763-20170724T115405.461370800.bin</t>
  </si>
  <si>
    <t>-616.479600791744 36.5479963361586 -92.9418570935852</t>
  </si>
  <si>
    <t>-640.120017003397 34.9765351495771 -201.090646254549</t>
  </si>
  <si>
    <t>-654.572399287638 35.2493576188417 -292.834314336237</t>
  </si>
  <si>
    <t>-666.368471053522 36.1304243458869 -375.889705259882</t>
  </si>
  <si>
    <t>-676.328911758663 37.5960806705227 -459.177090518931</t>
  </si>
  <si>
    <t>-688.866200912773 40.3550705492548 -581.16113795926</t>
  </si>
  <si>
    <t>-684.099311269711 43.6769828334213 -659.305031432795</t>
  </si>
  <si>
    <t>-680.783102136051 70.3960900571542 -527.194205661824</t>
  </si>
  <si>
    <t>-648.399317160542 220.537641738237 -499.856317297394</t>
  </si>
  <si>
    <t>-543.453053115084 210.123347359081 -238.214489313988</t>
  </si>
  <si>
    <t>-313.420967544928 190.276556840374 -212.919105281699</t>
  </si>
  <si>
    <t>-685.946785144414 7.89281500771131 -528.077071940918</t>
  </si>
  <si>
    <t>-615.707128880194 128.747496318439 -96.1308693803351</t>
  </si>
  <si>
    <t>-631.653591538862 141.463146254721 318.943438387793</t>
  </si>
  <si>
    <t>-670.144200530884 172.033959561945 779.402470135231</t>
  </si>
  <si>
    <t>-519.333126574642 172.155560879129 835.436577566426</t>
  </si>
  <si>
    <t>-606.824505051252 -66.7527459210032 322.122456010623</t>
  </si>
  <si>
    <t>-653.320376141725 -103.915114157979 781.342309263765</t>
  </si>
  <si>
    <t>-499.675857238262 -121.563326911932 825.67883374353</t>
  </si>
  <si>
    <t>9763-20170724T115405.531561000.bin</t>
  </si>
  <si>
    <t>-615.699391108242 36.922927518156 -92.9713081239572</t>
  </si>
  <si>
    <t>-639.326720400155 35.3851821032165 -201.123454730362</t>
  </si>
  <si>
    <t>-653.856804246651 35.6143717661271 -292.854912053953</t>
  </si>
  <si>
    <t>-665.759986901444 36.4286005192307 -375.895765008494</t>
  </si>
  <si>
    <t>-675.865100821149 37.8008548637722 -459.167262197535</t>
  </si>
  <si>
    <t>-688.655713895584 40.3950773575921 -581.128661044494</t>
  </si>
  <si>
    <t>-683.95105149236 43.5702285549012 -659.282314389494</t>
  </si>
  <si>
    <t>-680.45922466532 70.5088806333927 -527.219394695279</t>
  </si>
  <si>
    <t>-648.051286992875 220.690441826007 -500.163366222605</t>
  </si>
  <si>
    <t>-542.299983701288 210.635268895459 -238.831998866461</t>
  </si>
  <si>
    <t>-312.265769088807 190.471948997608 -213.806924184574</t>
  </si>
  <si>
    <t>-685.627381612158 8.00463356915338 -528.006901792045</t>
  </si>
  <si>
    <t>-614.825189224041 129.084768709259 -96.1420627956868</t>
  </si>
  <si>
    <t>-631.300524004749 141.629033003346 318.916727364073</t>
  </si>
  <si>
    <t>-670.127060365432 172.099793001777 779.368321339196</t>
  </si>
  <si>
    <t>-519.328166064564 172.131132688942 835.435345407019</t>
  </si>
  <si>
    <t>-606.698337330579 -66.5856425533541 322.113479311509</t>
  </si>
  <si>
    <t>-653.347830409377 -103.921658559342 781.323963361287</t>
  </si>
  <si>
    <t>-499.669561259904 -121.447607672213 825.591934327972</t>
  </si>
  <si>
    <t>9763-20170724T115405.564376600.bin</t>
  </si>
  <si>
    <t>-615.122807033273 37.0285473372264 -92.9700863056795</t>
  </si>
  <si>
    <t>-638.755651100677 35.4939993385224 -201.121018637716</t>
  </si>
  <si>
    <t>-653.33272413176 35.7019091614984 -292.845060765119</t>
  </si>
  <si>
    <t>-665.295654905102 36.4880828027633 -375.877642933059</t>
  </si>
  <si>
    <t>-675.478168874622 37.8236300713766 -459.140285682081</t>
  </si>
  <si>
    <t>-688.401554346902 40.3549548626888 -581.089034059443</t>
  </si>
  <si>
    <t>-683.72089367145 43.4863888532343 -659.246035281014</t>
  </si>
  <si>
    <t>-680.161291767597 70.497712483211 -527.202530533607</t>
  </si>
  <si>
    <t>-647.843606349809 220.716971797794 -500.242135826137</t>
  </si>
  <si>
    <t>-541.750903956268 210.789860170105 -239.044095421153</t>
  </si>
  <si>
    <t>-311.731995400609 190.417511128755 -214.048082494492</t>
  </si>
  <si>
    <t>-685.300472604118 7.99082933635009 -527.955431057621</t>
  </si>
  <si>
    <t>-614.287625855802 129.196607884994 -96.1355973472021</t>
  </si>
  <si>
    <t>-630.943250572094 141.686397737335 318.917687956277</t>
  </si>
  <si>
    <t>-670.119299938928 172.104846243633 779.345078933168</t>
  </si>
  <si>
    <t>-519.332059302433 172.182352005396 835.443390838687</t>
  </si>
  <si>
    <t>-606.37675297486 -66.6426247314957 322.115790443283</t>
  </si>
  <si>
    <t>-653.360924470444 -103.961064676934 781.313745135067</t>
  </si>
  <si>
    <t>-499.697166860023 -121.668390368911 825.559954389938</t>
  </si>
  <si>
    <t>9763-20170724T115405.628538800.bin</t>
  </si>
  <si>
    <t>-613.878465052828 37.1174932385413 -92.8909910998836</t>
  </si>
  <si>
    <t>-637.626906368285 35.6175319920942 -201.017102451426</t>
  </si>
  <si>
    <t>-652.393085031486 35.8251129555078 -292.71082558648</t>
  </si>
  <si>
    <t>-664.564285902997 36.5994157064715 -375.713236972151</t>
  </si>
  <si>
    <t>-674.993019492841 37.9128906931403 -458.945844386331</t>
  </si>
  <si>
    <t>-688.318244800642 40.4012529760741 -580.852134095036</t>
  </si>
  <si>
    <t>-683.799435356117 43.487473569427 -659.020336705213</t>
  </si>
  <si>
    <t>-679.937168103949 70.5658444433666 -526.999674366894</t>
  </si>
  <si>
    <t>-647.591044357148 220.77535339006 -500.012422395199</t>
  </si>
  <si>
    <t>-541.349865766496 210.834535988759 -238.875316680209</t>
  </si>
  <si>
    <t>-311.366694719072 190.235087033368 -213.736889900327</t>
  </si>
  <si>
    <t>-685.005390017556 8.05271950136012 -527.721790901433</t>
  </si>
  <si>
    <t>-613.104521454144 129.352117038552 -96.0424862863929</t>
  </si>
  <si>
    <t>-630.174937701946 141.672774350845 318.99899865063</t>
  </si>
  <si>
    <t>-670.117526000472 172.073776322722 779.349204141423</t>
  </si>
  <si>
    <t>-519.351333283334 172.211537197456 835.504007153522</t>
  </si>
  <si>
    <t>-605.291969627555 -66.6863686688648 322.177736778363</t>
  </si>
  <si>
    <t>-653.327327963105 -103.958403894225 781.290773260641</t>
  </si>
  <si>
    <t>-499.710041699963 -121.958174054562 825.580349549029</t>
  </si>
  <si>
    <t>9763-20170724T115405.660628400.bin</t>
  </si>
  <si>
    <t>-613.205682556467 37.2162319112683 -92.8242968975206</t>
  </si>
  <si>
    <t>-636.997992747073 35.7285225006933 -200.940988318556</t>
  </si>
  <si>
    <t>-651.809869551786 35.9498426101841 -292.627340992229</t>
  </si>
  <si>
    <t>-664.025936287551 36.7377441846515 -375.623018478559</t>
  </si>
  <si>
    <t>-674.503203848933 38.0662727895833 -458.849165878866</t>
  </si>
  <si>
    <t>-687.903356414059 40.5789518814654 -580.746833287905</t>
  </si>
  <si>
    <t>-683.444624051381 43.6718315000676 -658.918353007315</t>
  </si>
  <si>
    <t>-679.513883265657 70.7349505187442 -526.89079174789</t>
  </si>
  <si>
    <t>-647.224864533799 220.941450487819 -499.881311038482</t>
  </si>
  <si>
    <t>-541.092519255549 210.965977564434 -238.701313697438</t>
  </si>
  <si>
    <t>-311.11800409905 190.369610928803 -213.481653597131</t>
  </si>
  <si>
    <t>-684.533080079824 8.21792525303749 -527.627721690533</t>
  </si>
  <si>
    <t>-612.492016986591 129.446476886845 -95.9649651518882</t>
  </si>
  <si>
    <t>-629.774810095184 141.661123042363 319.07082844605</t>
  </si>
  <si>
    <t>-670.111917625557 172.041005172403 779.366256825478</t>
  </si>
  <si>
    <t>-519.358450159341 172.244065474563 835.555161559779</t>
  </si>
  <si>
    <t>-604.606465191722 -66.5962031714923 322.241324477522</t>
  </si>
  <si>
    <t>-653.255048648704 -103.944556003947 781.287886675804</t>
  </si>
  <si>
    <t>-499.651794869802 -121.799058279624 825.684717480247</t>
  </si>
  <si>
    <t>9763-20170724T115405.730442300.bin</t>
  </si>
  <si>
    <t>-611.73148372789 37.654824194065 -92.659870012202</t>
  </si>
  <si>
    <t>-635.596822108388 36.1545902180342 -200.760263967597</t>
  </si>
  <si>
    <t>-650.532577885195 36.4050091746858 -292.426503913628</t>
  </si>
  <si>
    <t>-662.885634388804 37.234177816701 -375.401418877086</t>
  </si>
  <si>
    <t>-673.524901332417 38.6214367249331 -458.606111810407</t>
  </si>
  <si>
    <t>-687.189430733886 41.2389408734305 -580.472175292123</t>
  </si>
  <si>
    <t>-682.905499535374 44.45836993031 -658.648251608477</t>
  </si>
  <si>
    <t>-678.759745360636 71.3544799766573 -526.599812341653</t>
  </si>
  <si>
    <t>-646.540151921171 221.559618063287 -499.4529844945</t>
  </si>
  <si>
    <t>-540.374189685876 211.289891157413 -238.298012438969</t>
  </si>
  <si>
    <t>-310.418190259979 191.024762102471 -212.64471760923</t>
  </si>
  <si>
    <t>-683.627358190024 8.82628978643788 -527.397114508867</t>
  </si>
  <si>
    <t>-611.21158460969 129.835493519894 -95.7978111255528</t>
  </si>
  <si>
    <t>-628.979946503169 141.878712255704 319.222480022493</t>
  </si>
  <si>
    <t>-670.07545983019 172.089880041519 779.458953606603</t>
  </si>
  <si>
    <t>-519.348015382927 172.315002366269 835.71737214851</t>
  </si>
  <si>
    <t>-603.315625767998 -66.2579573805397 322.421022584754</t>
  </si>
  <si>
    <t>-653.071844371272 -103.86371892051 781.314562372923</t>
  </si>
  <si>
    <t>-499.52008816912 -121.478074718016 825.984624083527</t>
  </si>
  <si>
    <t>9763-20170724T115405.762540000.bin</t>
  </si>
  <si>
    <t>-611.040612900899 37.802972188184 -92.5641633087946</t>
  </si>
  <si>
    <t>-634.901042796372 36.2906886616097 -200.665473162568</t>
  </si>
  <si>
    <t>-649.88411709191 36.5571246683755 -292.323852911247</t>
  </si>
  <si>
    <t>-662.300785057949 37.4112556730231 -375.289090562431</t>
  </si>
  <si>
    <t>-673.02459253884 38.8350584855664 -458.48243578913</t>
  </si>
  <si>
    <t>-686.835621705789 41.5197168688946 -580.330480031115</t>
  </si>
  <si>
    <t>-682.639550686738 44.8459185043246 -658.506948117329</t>
  </si>
  <si>
    <t>-678.386104678097 71.6090488521311 -526.446563064096</t>
  </si>
  <si>
    <t>-646.182105345612 221.805450575947 -499.24008572772</t>
  </si>
  <si>
    <t>-539.937148304179 211.439986333671 -238.120969323019</t>
  </si>
  <si>
    <t>-309.974297741097 191.436577088076 -212.324264583533</t>
  </si>
  <si>
    <t>-683.164802910718 9.07441375512803 -527.282736053962</t>
  </si>
  <si>
    <t>-610.540371659076 129.907781629082 -95.6993823484166</t>
  </si>
  <si>
    <t>-628.559200915574 141.942905575417 319.310309376103</t>
  </si>
  <si>
    <t>-670.093105888624 171.971595524872 779.511223344567</t>
  </si>
  <si>
    <t>-519.377777609798 172.417348809013 835.800795154095</t>
  </si>
  <si>
    <t>-602.781526449484 -66.1910328507397 322.512827269201</t>
  </si>
  <si>
    <t>-652.995884928759 -103.880656656056 781.340186589835</t>
  </si>
  <si>
    <t>-499.504362839665 -121.73712068227 826.121067416129</t>
  </si>
  <si>
    <t>9763-20170724T115405.830722100.bin</t>
  </si>
  <si>
    <t>-610.090179210274 37.9730663684431 -92.4034094416485</t>
  </si>
  <si>
    <t>-633.927947786203 36.4383973641125 -200.509424271497</t>
  </si>
  <si>
    <t>-648.955910752351 36.7281385175399 -292.160451008565</t>
  </si>
  <si>
    <t>-661.43904479063 37.6213432901247 -375.115278641587</t>
  </si>
  <si>
    <t>-672.255522010028 39.1040171525515 -458.295460082392</t>
  </si>
  <si>
    <t>-686.23081234483 41.8977226470845 -580.122466082288</t>
  </si>
  <si>
    <t>-682.05459237991 45.4106061557482 -658.291679354236</t>
  </si>
  <si>
    <t>-677.788942404662 71.9445860237797 -526.213664191068</t>
  </si>
  <si>
    <t>-645.988909768056 222.223926859192 -498.97664662906</t>
  </si>
  <si>
    <t>-539.220296386138 211.833263531774 -238.072413299624</t>
  </si>
  <si>
    <t>-309.223707214089 192.276752019068 -212.233304433041</t>
  </si>
  <si>
    <t>-682.408243004243 9.39913668016106 -527.11806622641</t>
  </si>
  <si>
    <t>-609.567749758272 130.12256094162 -95.5668246946818</t>
  </si>
  <si>
    <t>-627.915945532175 142.097920895506 319.430237930076</t>
  </si>
  <si>
    <t>-670.075872797123 171.967523958107 779.573407144431</t>
  </si>
  <si>
    <t>-519.386332932365 172.509596963336 835.931294129987</t>
  </si>
  <si>
    <t>-602.112179270067 -66.1763631256511 322.648710184132</t>
  </si>
  <si>
    <t>-653.014778789504 -103.879236556291 781.363568361226</t>
  </si>
  <si>
    <t>-499.488146256701 -121.589683381211 826.082068414101</t>
  </si>
  <si>
    <t>9763-20170724T115405.861314100.bin</t>
  </si>
  <si>
    <t>-609.853478728581 37.8852545517273 -92.3855891556988</t>
  </si>
  <si>
    <t>-633.669506726152 36.3377714113465 -200.496204993304</t>
  </si>
  <si>
    <t>-648.669399636956 36.6395739603975 -292.151805904212</t>
  </si>
  <si>
    <t>-661.12338694989 37.5530673959713 -375.110835272536</t>
  </si>
  <si>
    <t>-671.906791528456 39.0662256754765 -458.294627081428</t>
  </si>
  <si>
    <t>-685.829556781969 41.9159616081774 -580.126424619429</t>
  </si>
  <si>
    <t>-681.582332662205 45.5028887052415 -658.288441490813</t>
  </si>
  <si>
    <t>-677.449824491438 71.94079113572 -526.195608966814</t>
  </si>
  <si>
    <t>-645.869507440537 222.253894294421 -498.866700124008</t>
  </si>
  <si>
    <t>-539.035196600608 211.715238327375 -237.995238143174</t>
  </si>
  <si>
    <t>-309.022085059737 192.362010067767 -212.150184172662</t>
  </si>
  <si>
    <t>-681.990950733066 9.39012520615097 -527.139758331862</t>
  </si>
  <si>
    <t>-609.300854602753 130.126467086511 -95.5482665449106</t>
  </si>
  <si>
    <t>-627.721682556319 142.130246660558 319.444714456353</t>
  </si>
  <si>
    <t>-670.066435629589 171.98984576827 779.581306596279</t>
  </si>
  <si>
    <t>-519.390810287876 172.434316317656 835.977004383309</t>
  </si>
  <si>
    <t>-601.937285753854 -66.3500872782156 322.667060942825</t>
  </si>
  <si>
    <t>-653.11988807782 -103.904281531287 781.355474064593</t>
  </si>
  <si>
    <t>-499.563574376035 -121.807863635309 825.894708465431</t>
  </si>
  <si>
    <t>9763-20170724T115405.925991100.bin</t>
  </si>
  <si>
    <t>-609.650655143418 37.5714689471154 -92.415500314853</t>
  </si>
  <si>
    <t>-633.34742058175 35.9985968428173 -200.551961742679</t>
  </si>
  <si>
    <t>-648.178179344586 36.3115597802257 -292.235004591122</t>
  </si>
  <si>
    <t>-660.451810660433 37.2475789907537 -375.220557115278</t>
  </si>
  <si>
    <t>-671.027176206093 38.7966264387642 -458.430577268704</t>
  </si>
  <si>
    <t>-684.615238591939 41.7141942649862 -580.298451775858</t>
  </si>
  <si>
    <t>-680.252734693171 45.4130631763101 -658.448902381056</t>
  </si>
  <si>
    <t>-676.461822733639 71.7145118778844 -526.319420799816</t>
  </si>
  <si>
    <t>-645.44238625707 222.097172104139 -498.734969087351</t>
  </si>
  <si>
    <t>-538.966448494626 211.359875924639 -237.724931707952</t>
  </si>
  <si>
    <t>-308.917385160138 192.474075309864 -211.854546581381</t>
  </si>
  <si>
    <t>-680.843996149815 9.15353228826098 -527.328496996792</t>
  </si>
  <si>
    <t>-608.977859827836 129.924852537637 -95.5551196515021</t>
  </si>
  <si>
    <t>-627.556557870693 142.047052582968 319.427413432972</t>
  </si>
  <si>
    <t>-670.085263900226 171.969877456421 779.554052490104</t>
  </si>
  <si>
    <t>-519.427154433247 172.445838342503 835.996339324407</t>
  </si>
  <si>
    <t>-601.943955445709 -66.759971124399 322.618714301273</t>
  </si>
  <si>
    <t>-653.359819496645 -103.935491660545 781.300467026159</t>
  </si>
  <si>
    <t>-499.743846826962 -122.314396322056 825.438558137038</t>
  </si>
  <si>
    <t>9763-20170724T115405.964096300.bin</t>
  </si>
  <si>
    <t>-609.592379801328 37.3771628391605 -92.4551900212468</t>
  </si>
  <si>
    <t>-633.184952467122 35.7843571104047 -200.61411020208</t>
  </si>
  <si>
    <t>-647.88209997844 36.0896211207787 -292.318739173159</t>
  </si>
  <si>
    <t>-660.016644989704 37.0214525310323 -375.32493303463</t>
  </si>
  <si>
    <t>-670.434397903537 38.5696625161015 -458.554735315203</t>
  </si>
  <si>
    <t>-683.77176984951 41.4896021136515 -580.450243366099</t>
  </si>
  <si>
    <t>-679.318684013094 45.2202960773507 -658.594128468675</t>
  </si>
  <si>
    <t>-675.777431208301 71.4920516297111 -526.448600520158</t>
  </si>
  <si>
    <t>-645.057251835971 221.922074017356 -498.777751926529</t>
  </si>
  <si>
    <t>-539.008708409599 211.174400187581 -237.594424569096</t>
  </si>
  <si>
    <t>-308.95842141116 192.584734426094 -211.521159911841</t>
  </si>
  <si>
    <t>-680.061448776027 8.92469043100414 -527.478544823412</t>
  </si>
  <si>
    <t>-608.976043446137 129.68522079698 -95.5792064744919</t>
  </si>
  <si>
    <t>-627.623687360292 141.927370382409 319.396698458807</t>
  </si>
  <si>
    <t>-670.115897224491 171.902676344017 779.52950938694</t>
  </si>
  <si>
    <t>-519.460418938301 172.545270148116 835.977062143442</t>
  </si>
  <si>
    <t>-602.102848364499 -66.9681808826142 322.574062298484</t>
  </si>
  <si>
    <t>-653.429465684389 -103.902086911597 781.281955806997</t>
  </si>
  <si>
    <t>-499.736721187692 -121.965213343256 825.282938342594</t>
  </si>
  <si>
    <t>9763-20170724T115406.028266600.bin</t>
  </si>
  <si>
    <t>-609.369277786574 36.9761651837907 -92.5249779522071</t>
  </si>
  <si>
    <t>-632.714533420875 35.3408937177876 -200.73689362114</t>
  </si>
  <si>
    <t>-647.135851277979 35.6052715068681 -292.485472995858</t>
  </si>
  <si>
    <t>-658.994466348269 36.4952962887894 -375.531932861301</t>
  </si>
  <si>
    <t>-669.109050718542 37.9984461325225 -458.799941156868</t>
  </si>
  <si>
    <t>-681.973614023314 40.8481204920313 -580.747886780689</t>
  </si>
  <si>
    <t>-677.350210309949 44.5943865430206 -658.881120179779</t>
  </si>
  <si>
    <t>-674.268641980357 70.8870450237036 -526.724316343889</t>
  </si>
  <si>
    <t>-644.032238342269 221.393843696105 -498.94704619901</t>
  </si>
  <si>
    <t>-538.8075239577 210.816493438928 -237.423618435331</t>
  </si>
  <si>
    <t>-308.737865395973 192.800383540981 -211.119692664842</t>
  </si>
  <si>
    <t>-678.388833245942 8.30847758708001 -527.752136343214</t>
  </si>
  <si>
    <t>-608.888108449945 129.199795897991 -95.6496022398362</t>
  </si>
  <si>
    <t>-627.73984835933 141.769182144673 319.307362933146</t>
  </si>
  <si>
    <t>-670.140219872919 171.884458249548 779.447293202272</t>
  </si>
  <si>
    <t>-519.492048518673 172.551652595241 835.914110803617</t>
  </si>
  <si>
    <t>-602.337608911395 -67.4747606387191 322.493405052477</t>
  </si>
  <si>
    <t>-653.481861025 -103.961580035651 781.276144128356</t>
  </si>
  <si>
    <t>-499.748019318361 -121.968821734241 825.156360447086</t>
  </si>
  <si>
    <t>9763-20170724T115406.064062600.bin</t>
  </si>
  <si>
    <t>-609.236697686702 36.740314051666 -92.5576360735774</t>
  </si>
  <si>
    <t>-632.499193833989 35.084728993992 -200.787037037596</t>
  </si>
  <si>
    <t>-646.827157720836 35.3205442882577 -292.550277092583</t>
  </si>
  <si>
    <t>-658.591992908054 36.1793696994816 -375.610370699517</t>
  </si>
  <si>
    <t>-668.60345709382 37.6461590480983 -458.891602209626</t>
  </si>
  <si>
    <t>-681.306944586747 40.4372322295717 -580.857796470696</t>
  </si>
  <si>
    <t>-676.612215880641 44.1662657885202 -658.987603306467</t>
  </si>
  <si>
    <t>-673.705250750713 70.5040522570596 -526.835085843953</t>
  </si>
  <si>
    <t>-643.744735711326 221.072567710842 -499.09659967564</t>
  </si>
  <si>
    <t>-538.791103048996 210.670656397439 -237.457286366451</t>
  </si>
  <si>
    <t>-308.70993798468 192.887347705366 -211.09542292522</t>
  </si>
  <si>
    <t>-677.7602910275 7.92089040192263 -527.845032510297</t>
  </si>
  <si>
    <t>-608.846261958498 128.945925050119 -95.6849423328047</t>
  </si>
  <si>
    <t>-627.751321091806 141.606502794629 319.266772514046</t>
  </si>
  <si>
    <t>-670.145754435536 171.898665842665 779.406018158619</t>
  </si>
  <si>
    <t>-519.502045039324 172.572807145072 835.884625926701</t>
  </si>
  <si>
    <t>-602.372642184289 -67.7063873919419 322.463751555162</t>
  </si>
  <si>
    <t>-653.480116068236 -103.978532803914 781.279505720741</t>
  </si>
  <si>
    <t>-499.727215695628 -121.87214676594 825.139375360963</t>
  </si>
  <si>
    <t>9763-20170724T115406.132244300.bin</t>
  </si>
  <si>
    <t>-608.896233696621 36.2990707821484 -92.6315198878176</t>
  </si>
  <si>
    <t>-632.074218456501 34.6069908616391 -200.878438885625</t>
  </si>
  <si>
    <t>-646.253449810795 34.7889488269464 -292.664865870751</t>
  </si>
  <si>
    <t>-657.852977599947 35.5879799462734 -375.748947183811</t>
  </si>
  <si>
    <t>-667.667873543767 36.9845847697263 -459.05476072056</t>
  </si>
  <si>
    <t>-680.049899460747 39.6609840075562 -581.056512419001</t>
  </si>
  <si>
    <t>-675.149818570041 43.3038725062709 -659.177829669361</t>
  </si>
  <si>
    <t>-672.628940182064 69.7809688044822 -527.038436659844</t>
  </si>
  <si>
    <t>-643.021639987606 220.432145168695 -499.403621246095</t>
  </si>
  <si>
    <t>-538.499651830994 210.425179954452 -237.576083699889</t>
  </si>
  <si>
    <t>-308.383769504682 193.059390362262 -211.239432398747</t>
  </si>
  <si>
    <t>-676.604663272537 7.19211053240451 -528.007885853996</t>
  </si>
  <si>
    <t>-608.645436481491 128.498349639425 -95.7451173876045</t>
  </si>
  <si>
    <t>-627.643736750853 141.326826450212 319.197204067963</t>
  </si>
  <si>
    <t>-670.16176923017 171.900819919134 779.320967812924</t>
  </si>
  <si>
    <t>-519.530768952 172.648750784218 835.832608481206</t>
  </si>
  <si>
    <t>-602.217584104152 -68.0908024353139 322.440043828114</t>
  </si>
  <si>
    <t>-653.471545435844 -104.030131265209 781.278281885624</t>
  </si>
  <si>
    <t>-499.737115618626 -122.120690080525 825.122158179449</t>
  </si>
  <si>
    <t>9763-20170724T115406.187397500.bin</t>
  </si>
  <si>
    <t>-608.753481925567 36.0539187050163 -92.6475675572284</t>
  </si>
  <si>
    <t>-631.900359676696 34.3477216737656 -200.901032486239</t>
  </si>
  <si>
    <t>-646.014160631579 34.5101504415563 -292.697577339664</t>
  </si>
  <si>
    <t>-657.538756020315 35.2879762974658 -375.792311990334</t>
  </si>
  <si>
    <t>-667.262863532655 36.6593226954094 -459.109111785921</t>
  </si>
  <si>
    <t>-679.494647680973 39.2945272066306 -581.126959222303</t>
  </si>
  <si>
    <t>-674.479964074614 42.8785451169822 -659.243757307389</t>
  </si>
  <si>
    <t>-672.143828274757 69.4330180038842 -527.109572359994</t>
  </si>
  <si>
    <t>-642.628442636732 220.117302813778 -499.529656437621</t>
  </si>
  <si>
    <t>-538.335180623445 210.265108778373 -237.605169439418</t>
  </si>
  <si>
    <t>-308.203916432785 193.048641006191 -211.304345813815</t>
  </si>
  <si>
    <t>-676.111050814353 6.84346262287477 -528.063540196986</t>
  </si>
  <si>
    <t>-608.552362337165 128.236416297445 -95.764395500963</t>
  </si>
  <si>
    <t>-627.601996084916 141.154610391192 319.172764411599</t>
  </si>
  <si>
    <t>-670.183011913959 171.853443757139 779.283363945573</t>
  </si>
  <si>
    <t>-519.558147878802 172.71563541837 835.809850031928</t>
  </si>
  <si>
    <t>-602.125978718626 -68.2981414170604 322.436589630348</t>
  </si>
  <si>
    <t>-653.469414311456 -104.057611981232 781.278786647869</t>
  </si>
  <si>
    <t>-499.722634537479 -122.065417697968 825.113334709625</t>
  </si>
  <si>
    <t>9763-20170724T115406.230517300.bin</t>
  </si>
  <si>
    <t>-608.569162282784 35.5041748132082 -92.6767533045335</t>
  </si>
  <si>
    <t>-631.664035393759 33.7682572406004 -200.940839990961</t>
  </si>
  <si>
    <t>-645.661273912575 33.8637076614484 -292.755339742735</t>
  </si>
  <si>
    <t>-657.051356201931 34.5632360523045 -375.869113294726</t>
  </si>
  <si>
    <t>-666.611657153861 35.8374010103903 -459.206492027542</t>
  </si>
  <si>
    <t>-678.571727434439 38.309370507242 -581.254773849423</t>
  </si>
  <si>
    <t>-673.301256328268 41.7422466694493 -659.361425254103</t>
  </si>
  <si>
    <t>-671.312575731043 68.5182863935686 -527.264371332218</t>
  </si>
  <si>
    <t>-641.817785661896 219.250477677702 -499.917415997772</t>
  </si>
  <si>
    <t>-538.04304716411 209.550848708019 -237.78145674355</t>
  </si>
  <si>
    <t>-307.910116903205 192.569020453286 -211.343345265528</t>
  </si>
  <si>
    <t>-675.334932538615 5.93111334632704 -528.137786132951</t>
  </si>
  <si>
    <t>-608.409274696808 127.776199143413 -95.8210837188514</t>
  </si>
  <si>
    <t>-627.497336333062 140.816834459081 319.110459011436</t>
  </si>
  <si>
    <t>-670.204244349205 171.857375596035 779.197841612272</t>
  </si>
  <si>
    <t>-519.591851972825 172.793504838099 835.75630632995</t>
  </si>
  <si>
    <t>-602.101559141063 -68.8231882931318 322.420085691897</t>
  </si>
  <si>
    <t>-653.446949580861 -104.114305456804 781.281898037366</t>
  </si>
  <si>
    <t>-499.746718646719 -122.479700828282 825.1313877946</t>
  </si>
  <si>
    <t>9763-20170724T115406.263610700.bin</t>
  </si>
  <si>
    <t>-608.536201639923 35.2926146005043 -92.7023082201795</t>
  </si>
  <si>
    <t>-631.636636567968 33.5493435807327 -200.965043599805</t>
  </si>
  <si>
    <t>-645.607500126596 33.6065605156582 -292.783685753734</t>
  </si>
  <si>
    <t>-656.961324459848 34.2586572430032 -375.902822126873</t>
  </si>
  <si>
    <t>-666.472980532671 35.471892810803 -459.246644450614</t>
  </si>
  <si>
    <t>-678.348504795236 37.8394790463062 -581.30522896811</t>
  </si>
  <si>
    <t>-672.968212309779 41.1913147532655 -659.407996913184</t>
  </si>
  <si>
    <t>-671.107310060409 68.0932726215858 -527.337531524213</t>
  </si>
  <si>
    <t>-641.574443301645 218.845185923042 -500.136928452597</t>
  </si>
  <si>
    <t>-538.005906527024 209.15576310152 -237.918871741107</t>
  </si>
  <si>
    <t>-307.876406430141 192.292454344256 -211.375281220143</t>
  </si>
  <si>
    <t>-675.167978562676 5.50783721233438 -528.15637905369</t>
  </si>
  <si>
    <t>-608.368008298075 127.614919563703 -95.8536544714731</t>
  </si>
  <si>
    <t>-627.461910155715 140.714380621023 319.075739905847</t>
  </si>
  <si>
    <t>-670.213393184857 171.859564969476 779.146478671852</t>
  </si>
  <si>
    <t>-519.607963759177 172.753333209097 835.724070721455</t>
  </si>
  <si>
    <t>-602.116824501389 -69.003640069745 322.411217856265</t>
  </si>
  <si>
    <t>-653.441130916092 -104.09567931851 781.288311248264</t>
  </si>
  <si>
    <t>-499.705960134857 -122.200118815091 825.123806555921</t>
  </si>
  <si>
    <t>9763-20170724T115406.297701700.bin</t>
  </si>
  <si>
    <t>-608.54894677049 35.107693425279 -92.7304596341183</t>
  </si>
  <si>
    <t>-631.652503682963 33.360910262317 -200.992511460076</t>
  </si>
  <si>
    <t>-645.60585556374 33.3832001552184 -292.813723035953</t>
  </si>
  <si>
    <t>-656.935921342288 33.9909756431732 -375.936517409751</t>
  </si>
  <si>
    <t>-666.415999863098 35.1464762899345 -459.284798759851</t>
  </si>
  <si>
    <t>-678.236784854897 37.4148931309944 -581.350450291334</t>
  </si>
  <si>
    <t>-672.772611057638 40.6871833552568 -659.45066412301</t>
  </si>
  <si>
    <t>-671.00134843616 67.7114760329923 -527.405955371517</t>
  </si>
  <si>
    <t>-641.431054703761 218.475792323669 -500.340629063283</t>
  </si>
  <si>
    <t>-537.999490747909 208.869258044971 -238.065561239689</t>
  </si>
  <si>
    <t>-307.875613733037 192.083342416353 -211.423963745563</t>
  </si>
  <si>
    <t>-675.098454437143 5.12779183409134 -528.172256348664</t>
  </si>
  <si>
    <t>-608.349675555438 127.47774340009 -95.893037699509</t>
  </si>
  <si>
    <t>-627.428497534969 140.620358510966 319.035692622584</t>
  </si>
  <si>
    <t>-670.211706927143 171.88713573791 779.096652769647</t>
  </si>
  <si>
    <t>-519.610682444831 172.768611887763 835.686225844617</t>
  </si>
  <si>
    <t>-602.175215394972 -69.139417378557 322.3909758495</t>
  </si>
  <si>
    <t>-653.438292457062 -104.108207191516 781.289037168406</t>
  </si>
  <si>
    <t>-499.71154487158 -122.298105781105 825.118635274797</t>
  </si>
  <si>
    <t>9763-20170724T115406.363425000.bin</t>
  </si>
  <si>
    <t>-608.641053170599 34.940229412374 -92.7798451001725</t>
  </si>
  <si>
    <t>-631.760508200858 33.181072980668 -201.038229181073</t>
  </si>
  <si>
    <t>-645.696466026319 33.1288580097155 -292.862261698552</t>
  </si>
  <si>
    <t>-656.998769834005 33.6433545293137 -375.989369332384</t>
  </si>
  <si>
    <t>-666.439253918259 34.6785944944697 -459.343673613606</t>
  </si>
  <si>
    <t>-678.189358906483 36.7413943481081 -581.419970880592</t>
  </si>
  <si>
    <t>-672.610646222139 39.8468609175345 -659.518892639876</t>
  </si>
  <si>
    <t>-670.956811264127 67.1270160056238 -527.524954941816</t>
  </si>
  <si>
    <t>-641.346589937312 217.937555231204 -500.7475673937</t>
  </si>
  <si>
    <t>-538.138588474456 208.563459235499 -238.376038219071</t>
  </si>
  <si>
    <t>-308.027741523978 191.929409628082 -211.527663394491</t>
  </si>
  <si>
    <t>-675.110170924661 4.54561234464677 -528.182803979091</t>
  </si>
  <si>
    <t>-608.450097672387 127.312751970809 -95.9638801107426</t>
  </si>
  <si>
    <t>-627.412463671577 140.504676992113 318.968679683542</t>
  </si>
  <si>
    <t>-670.248850952808 171.841519340501 779.025954119816</t>
  </si>
  <si>
    <t>-519.647400635959 172.78697290132 835.613280398089</t>
  </si>
  <si>
    <t>-602.261528265673 -69.2297065086971 322.36161872386</t>
  </si>
  <si>
    <t>-653.413043081363 -104.125808425225 781.286408225696</t>
  </si>
  <si>
    <t>-499.708890546552 -122.442340552924 825.142494595634</t>
  </si>
  <si>
    <t>9763-20170724T115406.396517100.bin</t>
  </si>
  <si>
    <t>-608.701910682271 34.9466721910555 -92.7923543376987</t>
  </si>
  <si>
    <t>-631.837079885944 33.1782625710646 -201.047336540796</t>
  </si>
  <si>
    <t>-645.772321101896 33.0869989649764 -292.871296103203</t>
  </si>
  <si>
    <t>-657.068366542109 33.5536388436917 -375.999531213461</t>
  </si>
  <si>
    <t>-666.497148321712 34.5276668778397 -459.355926794108</t>
  </si>
  <si>
    <t>-678.224254954665 36.4860015333445 -581.436097788059</t>
  </si>
  <si>
    <t>-672.614739944089 39.5054236767262 -659.536194583608</t>
  </si>
  <si>
    <t>-670.978202449886 66.9159755959133 -527.568294526029</t>
  </si>
  <si>
    <t>-641.278815413781 217.737178856122 -500.943710538697</t>
  </si>
  <si>
    <t>-538.217338462759 208.565325161565 -238.507364782082</t>
  </si>
  <si>
    <t>-308.11385396693 192.058961458225 -211.51730947858</t>
  </si>
  <si>
    <t>-675.178859271621 4.33728557498398 -528.168475977292</t>
  </si>
  <si>
    <t>-608.523335854596 127.308819307154 -95.9843172212416</t>
  </si>
  <si>
    <t>-627.457715510443 140.538332643028 318.948301945757</t>
  </si>
  <si>
    <t>-670.254005346906 171.881060880506 779.002366872139</t>
  </si>
  <si>
    <t>-519.651403723173 172.646734649773 835.589311040327</t>
  </si>
  <si>
    <t>-602.250694509796 -69.1871679824251 322.358491170126</t>
  </si>
  <si>
    <t>-653.399142471332 -104.096344385472 781.284874859889</t>
  </si>
  <si>
    <t>-499.643424871989 -121.988953146021 825.135286115869</t>
  </si>
  <si>
    <t>9763-20170724T115406.462189200.bin</t>
  </si>
  <si>
    <t>-608.936194375369 34.9205822551367 -92.8206129538473</t>
  </si>
  <si>
    <t>-632.094556949861 33.1505281383588 -201.070651508486</t>
  </si>
  <si>
    <t>-646.037518673083 32.9748685862075 -292.89325845535</t>
  </si>
  <si>
    <t>-657.336161621623 33.3316037086652 -376.021774313733</t>
  </si>
  <si>
    <t>-666.7633639252 34.1610827785394 -459.379827934871</t>
  </si>
  <si>
    <t>-678.483955269366 35.8687647663285 -581.464493003285</t>
  </si>
  <si>
    <t>-672.842258283785 38.7155490784321 -659.568708534976</t>
  </si>
  <si>
    <t>-671.185893715499 66.4057241351322 -527.6640421104</t>
  </si>
  <si>
    <t>-641.260884162497 217.238040095207 -501.358442086662</t>
  </si>
  <si>
    <t>-538.524606764467 208.435566283131 -238.782052263329</t>
  </si>
  <si>
    <t>-308.459828412707 192.030930234828 -211.402636883702</t>
  </si>
  <si>
    <t>-675.49619702788 3.83325642746536 -528.12553396138</t>
  </si>
  <si>
    <t>-608.775313548843 127.269585895599 -96.0206781096856</t>
  </si>
  <si>
    <t>-627.642086090799 140.475339502907 318.915840148506</t>
  </si>
  <si>
    <t>-670.302208708674 171.812378499588 778.976572426364</t>
  </si>
  <si>
    <t>-519.690495725856 172.929996104016 835.533623790971</t>
  </si>
  <si>
    <t>-602.296938255265 -69.1686864185333 322.343772314777</t>
  </si>
  <si>
    <t>-653.380652736016 -104.110126152017 781.276127089751</t>
  </si>
  <si>
    <t>-499.653649157203 -122.208916218481 825.142578607506</t>
  </si>
  <si>
    <t>9763-20170724T115406.532014100.bin</t>
  </si>
  <si>
    <t>-609.112664462323 35.1089661040453 -92.8335850748789</t>
  </si>
  <si>
    <t>-632.293090442086 33.330819342995 -201.078745323092</t>
  </si>
  <si>
    <t>-646.253506355871 33.076618177628 -292.89845845983</t>
  </si>
  <si>
    <t>-657.56807708392 33.333183647459 -376.025194211599</t>
  </si>
  <si>
    <t>-667.011617113984 34.0327734780899 -459.382682779454</t>
  </si>
  <si>
    <t>-678.756766806301 35.5180862318691 -581.467781158686</t>
  </si>
  <si>
    <t>-673.139911774727 38.2288298325689 -659.578803901484</t>
  </si>
  <si>
    <t>-671.418007713821 66.1508445850104 -527.727538698535</t>
  </si>
  <si>
    <t>-641.357971531244 216.995837742769 -501.688189635936</t>
  </si>
  <si>
    <t>-538.910690816165 208.482298370472 -238.989506268202</t>
  </si>
  <si>
    <t>-308.88179371052 192.185034813019 -211.246869729967</t>
  </si>
  <si>
    <t>-675.788176516752 3.58176873252887 -528.06826141713</t>
  </si>
  <si>
    <t>-608.933097047946 127.468079996567 -96.0457906665665</t>
  </si>
  <si>
    <t>-627.745490562648 140.623928053497 318.894749732839</t>
  </si>
  <si>
    <t>-670.318622708679 171.908401613691 778.969303684067</t>
  </si>
  <si>
    <t>-519.696000092331 172.769295696165 835.501720554683</t>
  </si>
  <si>
    <t>-602.345790688622 -69.0021345296273 322.342696343105</t>
  </si>
  <si>
    <t>-653.355495559221 -104.119225648298 781.271842921278</t>
  </si>
  <si>
    <t>-499.639836212783 -122.269420057983 825.156810546093</t>
  </si>
  <si>
    <t>9763-20170724T115406.563104300.bin</t>
  </si>
  <si>
    <t>-609.205631331971 35.25907054817 -92.8360169517385</t>
  </si>
  <si>
    <t>-632.404128952697 33.4725168674063 -201.077102699879</t>
  </si>
  <si>
    <t>-646.375032507892 33.1892465362498 -292.895251005363</t>
  </si>
  <si>
    <t>-657.697260996128 33.4109217811369 -376.020989609842</t>
  </si>
  <si>
    <t>-667.146735592821 34.0668155579956 -459.378059360313</t>
  </si>
  <si>
    <t>-678.898971616072 35.4779313291858 -581.463420255634</t>
  </si>
  <si>
    <t>-673.307851350993 38.1431804840665 -659.577686932011</t>
  </si>
  <si>
    <t>-671.550671714628 66.1429786166402 -527.742748774079</t>
  </si>
  <si>
    <t>-641.452746408529 217.006065219247 -501.832233757513</t>
  </si>
  <si>
    <t>-539.121472290698 208.628317624913 -239.083817163871</t>
  </si>
  <si>
    <t>-309.102129890339 192.501783048863 -211.163086885853</t>
  </si>
  <si>
    <t>-675.933667048728 3.5745942615938 -528.044186574332</t>
  </si>
  <si>
    <t>-609.033312300479 127.609742093215 -96.0558882177182</t>
  </si>
  <si>
    <t>-627.808694372105 140.684904926877 318.888871868007</t>
  </si>
  <si>
    <t>-670.343472384852 171.899668182694 778.972393548432</t>
  </si>
  <si>
    <t>-519.7138464981 172.79921004399 835.485442055285</t>
  </si>
  <si>
    <t>-602.371573666897 -68.877112944075 322.346470997844</t>
  </si>
  <si>
    <t>-653.347860480517 -104.120558781406 781.272654853603</t>
  </si>
  <si>
    <t>-499.635904813855 -122.295542701324 825.160380686223</t>
  </si>
  <si>
    <t>9763-20170724T115406.627750700.bin</t>
  </si>
  <si>
    <t>-609.441357777591 35.5983865175256 -92.8455325765932</t>
  </si>
  <si>
    <t>-632.663441183017 33.8033065447796 -201.081492964564</t>
  </si>
  <si>
    <t>-646.674066030729 33.4639775876265 -292.893219360217</t>
  </si>
  <si>
    <t>-658.040533798796 33.6153664626584 -376.01325266618</t>
  </si>
  <si>
    <t>-667.542951500811 34.1808599949218 -459.365043772457</t>
  </si>
  <si>
    <t>-679.382145805584 35.4381913750901 -581.443489732684</t>
  </si>
  <si>
    <t>-673.823839065443 38.0085026854458 -659.563455767969</t>
  </si>
  <si>
    <t>-671.978869511614 66.169605290778 -527.768511918082</t>
  </si>
  <si>
    <t>-641.837653623733 217.068499313656 -502.127593914384</t>
  </si>
  <si>
    <t>-539.539011840683 208.778211255128 -239.363799870958</t>
  </si>
  <si>
    <t>-309.542081213537 193.066028703803 -211.025378566274</t>
  </si>
  <si>
    <t>-676.395542853465 3.6032997732998 -527.984518674647</t>
  </si>
  <si>
    <t>-609.280565262347 127.936591186952 -96.0712945161918</t>
  </si>
  <si>
    <t>-628.029069877487 140.880867171719 318.878776170208</t>
  </si>
  <si>
    <t>-670.38191413406 171.928134975728 778.981472361167</t>
  </si>
  <si>
    <t>-519.739454891211 172.740998384596 835.461760091245</t>
  </si>
  <si>
    <t>-602.421233287124 -68.5951742464997 322.357268123892</t>
  </si>
  <si>
    <t>-653.329607137951 -104.07812400885 781.267239312217</t>
  </si>
  <si>
    <t>-499.57816918088 -121.940893364105 825.144814423213</t>
  </si>
  <si>
    <t>9763-20170724T115406.663448200.bin</t>
  </si>
  <si>
    <t>-609.541751963151 35.778511515826 -92.8386632998491</t>
  </si>
  <si>
    <t>-632.792490181692 33.97708007201 -201.068274664982</t>
  </si>
  <si>
    <t>-646.846538656501 33.6243011200647 -292.873512503441</t>
  </si>
  <si>
    <t>-658.25999781572 33.7604969201759 -375.986890033264</t>
  </si>
  <si>
    <t>-667.817293206769 34.3074995440411 -459.332646738497</t>
  </si>
  <si>
    <t>-679.745464639101 35.5340700825225 -581.402711974569</t>
  </si>
  <si>
    <t>-674.208991852956 38.0618207512625 -659.525641143482</t>
  </si>
  <si>
    <t>-672.2918374885 66.2782747062902 -527.742023908935</t>
  </si>
  <si>
    <t>-642.089343719791 217.179380164504 -502.165857845607</t>
  </si>
  <si>
    <t>-539.698515150794 208.840857178073 -239.439417870861</t>
  </si>
  <si>
    <t>-309.706980091316 193.234543484081 -210.998805451906</t>
  </si>
  <si>
    <t>-676.73112591311 3.71351433165432 -527.936996086437</t>
  </si>
  <si>
    <t>-609.369171364943 128.117652605014 -96.072985051414</t>
  </si>
  <si>
    <t>-628.0957365404 141.018222056452 318.879340888012</t>
  </si>
  <si>
    <t>-670.379058712923 172.026458529452 778.987815152277</t>
  </si>
  <si>
    <t>-519.731497875199 172.777520198489 835.455283231281</t>
  </si>
  <si>
    <t>-602.438936976543 -68.4275410703533 322.362286029701</t>
  </si>
  <si>
    <t>-653.327816905352 -104.085555654551 781.26646473019</t>
  </si>
  <si>
    <t>-499.597794568566 -122.132911943597 825.143525088543</t>
  </si>
  <si>
    <t>9763-20170724T115406.730986400.bin</t>
  </si>
  <si>
    <t>-609.788825047939 36.1695901869771 -92.8144688187425</t>
  </si>
  <si>
    <t>-633.127694709459 34.3698617205034 -201.025097585088</t>
  </si>
  <si>
    <t>-647.274103142167 33.9958012959016 -292.816081030433</t>
  </si>
  <si>
    <t>-658.778465649853 34.1036003808645 -375.917036264467</t>
  </si>
  <si>
    <t>-668.43429229004 34.6129537000434 -459.251588796272</t>
  </si>
  <si>
    <t>-680.514981821551 35.774358101535 -581.307402953418</t>
  </si>
  <si>
    <t>-674.949997192068 38.2026107330257 -659.431343053448</t>
  </si>
  <si>
    <t>-672.980203729076 66.5462670103259 -527.673929970285</t>
  </si>
  <si>
    <t>-642.725487225855 217.456914297534 -502.244728490273</t>
  </si>
  <si>
    <t>-540.116485116733 208.895585184366 -239.610520364811</t>
  </si>
  <si>
    <t>-310.144241982768 193.436073175859 -210.934808693461</t>
  </si>
  <si>
    <t>-677.44794139829 3.98333211103431 -527.827021936329</t>
  </si>
  <si>
    <t>-609.617592057937 128.502684065336 -96.0730320875722</t>
  </si>
  <si>
    <t>-628.250654192409 141.223450376748 318.889151967961</t>
  </si>
  <si>
    <t>-670.39646098205 172.102123757615 779.012982478569</t>
  </si>
  <si>
    <t>-519.739223171999 172.692740387107 835.456542294827</t>
  </si>
  <si>
    <t>-602.520998782274 -68.0230682345848 322.373667663036</t>
  </si>
  <si>
    <t>-653.344331632771 -104.101891826381 781.253450854966</t>
  </si>
  <si>
    <t>-499.620209309299 -122.316520551306 825.082010966465</t>
  </si>
  <si>
    <t>9763-20170724T115406.763078800.bin</t>
  </si>
  <si>
    <t>-609.903872155379 36.3908344401013 -92.8151167609315</t>
  </si>
  <si>
    <t>-633.28399449463 34.5912297489922 -201.0169762086</t>
  </si>
  <si>
    <t>-647.476890388609 34.2147075406826 -292.800777017146</t>
  </si>
  <si>
    <t>-659.02797715903 34.3195805632433 -375.895263092838</t>
  </si>
  <si>
    <t>-668.735377861137 34.8252592217123 -459.22376963316</t>
  </si>
  <si>
    <t>-680.896673711614 35.9806702799508 -581.271611467563</t>
  </si>
  <si>
    <t>-675.303610315515 38.3817040245694 -659.394402062308</t>
  </si>
  <si>
    <t>-673.323226651619 66.7549421055332 -527.644923328967</t>
  </si>
  <si>
    <t>-643.026737774694 217.669982140857 -502.266038998275</t>
  </si>
  <si>
    <t>-540.301971946709 209.023034202312 -239.679970277709</t>
  </si>
  <si>
    <t>-310.352482933135 193.588736928283 -210.808833576315</t>
  </si>
  <si>
    <t>-677.797579890647 4.19241309211225 -527.791196256598</t>
  </si>
  <si>
    <t>-609.719713820167 128.703184098947 -96.0698376452752</t>
  </si>
  <si>
    <t>-628.332476328717 141.34141774 318.895728975225</t>
  </si>
  <si>
    <t>-670.417300572908 172.099393100061 779.032318317748</t>
  </si>
  <si>
    <t>-519.753871449138 172.657056207387 835.459624353186</t>
  </si>
  <si>
    <t>-602.553502532694 -67.8044837342741 322.37801997604</t>
  </si>
  <si>
    <t>-653.344874944775 -104.077691021489 781.24532672173</t>
  </si>
  <si>
    <t>-499.578859922139 -121.997905981804 825.048328891396</t>
  </si>
  <si>
    <t>9763-20170724T115406.830269600.bin</t>
  </si>
  <si>
    <t>-610.092660612364 36.6845573722721 -92.8146519091545</t>
  </si>
  <si>
    <t>-633.560184285142 34.8860578305957 -200.997539675572</t>
  </si>
  <si>
    <t>-647.848615364579 34.5157014350159 -292.766423377861</t>
  </si>
  <si>
    <t>-659.494754940048 34.6285781442816 -375.847642424486</t>
  </si>
  <si>
    <t>-669.306020599343 35.1448181286059 -459.164102628831</t>
  </si>
  <si>
    <t>-681.62888435451 36.3184133991747 -581.195624311593</t>
  </si>
  <si>
    <t>-675.968677247752 38.7038637402954 -659.314027228439</t>
  </si>
  <si>
    <t>-673.984117496699 67.084700221196 -527.574287860868</t>
  </si>
  <si>
    <t>-643.635781886771 218.004769725466 -502.303146847549</t>
  </si>
  <si>
    <t>-540.69712741051 209.208990563516 -239.805712352221</t>
  </si>
  <si>
    <t>-310.76321579407 193.949422447543 -210.718126413656</t>
  </si>
  <si>
    <t>-678.459281746324 4.52228835222513 -527.724078563142</t>
  </si>
  <si>
    <t>-609.932668251809 129.023109538572 -96.0592102710065</t>
  </si>
  <si>
    <t>-628.520301039346 141.542289166906 318.911194792433</t>
  </si>
  <si>
    <t>-670.434593130852 172.191251044764 779.069999531774</t>
  </si>
  <si>
    <t>-519.757893267032 172.710288625878 835.462207162732</t>
  </si>
  <si>
    <t>-602.555185443523 -67.5894879407747 322.386881092945</t>
  </si>
  <si>
    <t>-653.349097093 -104.087971745117 781.23610346292</t>
  </si>
  <si>
    <t>-499.602609263667 -122.231046774528 825.015943170327</t>
  </si>
  <si>
    <t>9763-20170724T115406.861844400.bin</t>
  </si>
  <si>
    <t>-610.167387629671 36.7828281295049 -92.8236033548397</t>
  </si>
  <si>
    <t>-633.679695746226 34.987817720111 -200.996825281595</t>
  </si>
  <si>
    <t>-648.009028298735 34.6375122945149 -292.759515483636</t>
  </si>
  <si>
    <t>-659.693283066506 34.7758327868366 -375.835258764662</t>
  </si>
  <si>
    <t>-669.543809479221 35.3250953635052 -459.146754733589</t>
  </si>
  <si>
    <t>-681.925238595776 36.5557961695583 -581.171881555104</t>
  </si>
  <si>
    <t>-676.234854814307 38.9572688949986 -659.287575902063</t>
  </si>
  <si>
    <t>-674.270980679366 67.2981903559537 -527.538197538821</t>
  </si>
  <si>
    <t>-643.963555441324 218.236783914958 -502.337921750226</t>
  </si>
  <si>
    <t>-540.942777161027 209.382732344586 -239.874678856684</t>
  </si>
  <si>
    <t>-311.023077501221 194.109853003803 -210.682417375696</t>
  </si>
  <si>
    <t>-678.713720881449 4.73356081206407 -527.718390557461</t>
  </si>
  <si>
    <t>-609.995401796607 129.141669681335 -96.0640666794656</t>
  </si>
  <si>
    <t>-628.567102453742 141.624754773304 318.908067906422</t>
  </si>
  <si>
    <t>-670.445939548733 172.214557861215 779.083694594478</t>
  </si>
  <si>
    <t>-519.764721022917 172.746870164743 835.463847420295</t>
  </si>
  <si>
    <t>-602.560363819365 -67.5054469636757 322.379390079331</t>
  </si>
  <si>
    <t>-653.350590361393 -104.063215931051 781.228556426054</t>
  </si>
  <si>
    <t>-499.563874671258 -121.923724111014 824.983246665109</t>
  </si>
  <si>
    <t>9763-20170724T115406.931085400.bin</t>
  </si>
  <si>
    <t>-610.38186142208 36.9155756263065 -92.8180668661111</t>
  </si>
  <si>
    <t>-633.935940670567 35.1198309349206 -200.982297139305</t>
  </si>
  <si>
    <t>-648.297290166454 34.8149256517993 -292.740089661257</t>
  </si>
  <si>
    <t>-660.008952018304 35.0129147278637 -375.811933390853</t>
  </si>
  <si>
    <t>-669.885122368649 35.6414356676978 -459.119825284455</t>
  </si>
  <si>
    <t>-682.302074973006 37.0095055445338 -581.13973343971</t>
  </si>
  <si>
    <t>-676.526262933833 39.438357281816 -659.248329301729</t>
  </si>
  <si>
    <t>-674.658482613853 67.6932282232833 -527.471011166312</t>
  </si>
  <si>
    <t>-644.281104322778 218.624766310751 -502.227922623445</t>
  </si>
  <si>
    <t>-541.01722843401 209.671736128123 -239.863737738406</t>
  </si>
  <si>
    <t>-311.114008350156 194.254961680228 -210.617048985829</t>
  </si>
  <si>
    <t>-679.048791196068 5.12518405521223 -527.725772887876</t>
  </si>
  <si>
    <t>-610.192144137079 129.296233591726 -96.0607208982184</t>
  </si>
  <si>
    <t>-628.661111881664 141.681901843443 318.918876967353</t>
  </si>
  <si>
    <t>-670.476725928828 172.197621390114 779.111826932456</t>
  </si>
  <si>
    <t>-519.789463519904 172.7427375323 835.47565644897</t>
  </si>
  <si>
    <t>-602.63729607336 -67.353519484363 322.38234028575</t>
  </si>
  <si>
    <t>-653.346511906733 -104.084122843369 781.222219607482</t>
  </si>
  <si>
    <t>-499.579031017556 -122.120709363466 824.972247197976</t>
  </si>
  <si>
    <t>9763-20170724T115406.962170700.bin</t>
  </si>
  <si>
    <t>-610.492295907981 36.9361507250085 -92.8191699073872</t>
  </si>
  <si>
    <t>-634.044830167552 35.1213617128356 -200.98329470535</t>
  </si>
  <si>
    <t>-648.402489468011 34.8192956721534 -292.74165202752</t>
  </si>
  <si>
    <t>-660.109585868284 35.0271215685043 -375.8141397861</t>
  </si>
  <si>
    <t>-669.979832668638 35.6725926891236 -459.122652454508</t>
  </si>
  <si>
    <t>-682.386442933412 37.0732440125664 -581.143228657061</t>
  </si>
  <si>
    <t>-676.565662640407 39.507670489643 -659.248278123143</t>
  </si>
  <si>
    <t>-674.743488342791 67.7424172059123 -527.466187138095</t>
  </si>
  <si>
    <t>-644.248548001853 218.639859418968 -502.220753815734</t>
  </si>
  <si>
    <t>-540.924579104419 209.698470963923 -239.87984590773</t>
  </si>
  <si>
    <t>-311.040684865621 194.121369361266 -210.566377712932</t>
  </si>
  <si>
    <t>-679.141577115955 5.17483147877851 -527.737182648521</t>
  </si>
  <si>
    <t>-610.339261450684 129.328488108026 -96.0701741296048</t>
  </si>
  <si>
    <t>-628.744064021257 141.709338742841 318.912491953713</t>
  </si>
  <si>
    <t>-670.490964019892 172.192490741605 779.118138757293</t>
  </si>
  <si>
    <t>-519.800472139984 172.862120868294 835.471933531545</t>
  </si>
  <si>
    <t>-602.675807708646 -67.3379059622707 322.383732451256</t>
  </si>
  <si>
    <t>-653.339795124235 -104.099318420911 781.223081314649</t>
  </si>
  <si>
    <t>-499.563093575629 -122.05932212243 824.972200059137</t>
  </si>
  <si>
    <t>9763-20170724T115407.028950000.bin</t>
  </si>
  <si>
    <t>-610.71262580109 36.820134888477 -92.8211624013886</t>
  </si>
  <si>
    <t>-634.282424366604 34.9989859764526 -200.981413062993</t>
  </si>
  <si>
    <t>-648.655574768266 34.7137964001176 -292.737441818557</t>
  </si>
  <si>
    <t>-660.37656643901 34.9447698588767 -375.807809864143</t>
  </si>
  <si>
    <t>-670.260475970946 35.6204406588045 -459.114505283927</t>
  </si>
  <si>
    <t>-682.686489789592 37.0724919622221 -581.132603736121</t>
  </si>
  <si>
    <t>-676.804401681796 39.4494504868662 -659.234849276092</t>
  </si>
  <si>
    <t>-675.005320386287 67.7169422918196 -527.446763867373</t>
  </si>
  <si>
    <t>-644.187556562186 218.54870368558 -502.196956550444</t>
  </si>
  <si>
    <t>-540.633903176356 209.470785820627 -239.951277642335</t>
  </si>
  <si>
    <t>-310.86404154258 192.864685844623 -210.310338356137</t>
  </si>
  <si>
    <t>-679.462814589775 5.15372618891956 -527.737294161012</t>
  </si>
  <si>
    <t>-610.635460152665 129.239708090966 -96.0718299115076</t>
  </si>
  <si>
    <t>-628.906448943877 141.681054813666 318.914885670667</t>
  </si>
  <si>
    <t>-670.516349203524 172.196077911755 779.123100003497</t>
  </si>
  <si>
    <t>-519.82263394499 172.867254160743 835.468128719874</t>
  </si>
  <si>
    <t>-602.713841792384 -67.4296825447645 322.3770387078</t>
  </si>
  <si>
    <t>-653.327409752472 -104.104793900839 781.229311263293</t>
  </si>
  <si>
    <t>-499.561136061775 -122.148619456015 824.980645933051</t>
  </si>
  <si>
    <t>9763-20170724T115407.061522700.bin</t>
  </si>
  <si>
    <t>-610.787952949686 36.760983041926 -92.8286323766786</t>
  </si>
  <si>
    <t>-634.367218731889 34.9292067981642 -200.986643348025</t>
  </si>
  <si>
    <t>-648.762776986855 34.6569907303945 -292.739151300656</t>
  </si>
  <si>
    <t>-660.509522416444 34.9079124355385 -375.805929716653</t>
  </si>
  <si>
    <t>-670.424388758895 35.6115733772751 -459.108683476255</t>
  </si>
  <si>
    <t>-682.901255157349 37.1129590556066 -581.120955584368</t>
  </si>
  <si>
    <t>-677.008361699027 39.4358885041186 -659.224092438545</t>
  </si>
  <si>
    <t>-675.170526004192 67.7337094662405 -527.428815838091</t>
  </si>
  <si>
    <t>-644.172466804617 218.518296684162 -502.137605841076</t>
  </si>
  <si>
    <t>-540.520592100182 209.213411402965 -239.938690717614</t>
  </si>
  <si>
    <t>-310.810938925674 192.00926931681 -210.17230684046</t>
  </si>
  <si>
    <t>-679.682502279187 5.17461431482889 -527.737214161265</t>
  </si>
  <si>
    <t>-610.756483666007 129.183946542695 -96.0802295304288</t>
  </si>
  <si>
    <t>-628.9750683195 141.667299869315 318.907539244581</t>
  </si>
  <si>
    <t>-670.513888661558 172.23087211905 779.122851891752</t>
  </si>
  <si>
    <t>-519.820680112929 172.79736270294 835.470639102594</t>
  </si>
  <si>
    <t>-602.758228727563 -67.4759135757545 322.373792512503</t>
  </si>
  <si>
    <t>-653.330159220372 -104.114727224931 781.231604729404</t>
  </si>
  <si>
    <t>-499.553039861545 -122.086660341659 824.974448133253</t>
  </si>
  <si>
    <t>9763-20170724T115407.130754100.bin</t>
  </si>
  <si>
    <t>-610.769227967836 36.5412586653083 -92.8435327933589</t>
  </si>
  <si>
    <t>-634.397633838084 34.7203957354434 -200.991112791154</t>
  </si>
  <si>
    <t>-648.930207329047 34.5209280781039 -292.72228186725</t>
  </si>
  <si>
    <t>-660.838661311323 34.8641816709121 -375.765626100685</t>
  </si>
  <si>
    <t>-670.953015971294 35.686787181512 -459.043297784102</t>
  </si>
  <si>
    <t>-683.762673876189 37.3914398605748 -581.018358238448</t>
  </si>
  <si>
    <t>-677.920978592418 39.6298060595002 -659.127660581177</t>
  </si>
  <si>
    <t>-675.845389246517 67.9199541730727 -527.300795494561</t>
  </si>
  <si>
    <t>-644.567507925681 218.64677962059 -501.984841989504</t>
  </si>
  <si>
    <t>-540.841963968408 208.819806846416 -239.834158339178</t>
  </si>
  <si>
    <t>-311.332520473935 190.143060844461 -209.418321857709</t>
  </si>
  <si>
    <t>-680.438382769865 5.36709345409963 -527.692652787635</t>
  </si>
  <si>
    <t>-610.684668942887 128.9903992375 -96.0967077155577</t>
  </si>
  <si>
    <t>-628.901099702785 141.598931856124 318.887380079284</t>
  </si>
  <si>
    <t>-670.519018067887 172.252184077016 779.109918558333</t>
  </si>
  <si>
    <t>-519.828745147793 172.756669274245 835.466080180891</t>
  </si>
  <si>
    <t>-602.822718695687 -67.6827425560402 322.349572364295</t>
  </si>
  <si>
    <t>-653.325348545456 -104.13591937804 781.230609986947</t>
  </si>
  <si>
    <t>-499.554655165031 -122.162623390052 824.973480107933</t>
  </si>
  <si>
    <t>9763-20170724T115407.160341900.bin</t>
  </si>
  <si>
    <t>-610.691986179838 36.3887920081181 -92.8410435915698</t>
  </si>
  <si>
    <t>-634.359573722365 34.5922549790814 -200.980395282846</t>
  </si>
  <si>
    <t>-648.983303912484 34.4344450742012 -292.697177959728</t>
  </si>
  <si>
    <t>-660.997353507546 34.8254372441563 -375.72504662192</t>
  </si>
  <si>
    <t>-671.240756280275 35.7057899270894 -458.98630103404</t>
  </si>
  <si>
    <t>-684.264798705988 37.5063689333315 -580.93727405561</t>
  </si>
  <si>
    <t>-678.456700813445 39.7125018977931 -659.050113690061</t>
  </si>
  <si>
    <t>-676.246753435285 67.9921040587985 -527.210458412619</t>
  </si>
  <si>
    <t>-644.869646372064 218.694319718073 -501.866459488438</t>
  </si>
  <si>
    <t>-541.132895253257 208.49447865274 -239.734433486436</t>
  </si>
  <si>
    <t>-311.746960600788 188.982034801478 -208.914141030595</t>
  </si>
  <si>
    <t>-680.853204656639 5.44042859474303 -527.642194177515</t>
  </si>
  <si>
    <t>-610.564282642826 128.857994332934 -96.0923671350353</t>
  </si>
  <si>
    <t>-628.732816040412 141.48390308902 318.893288252226</t>
  </si>
  <si>
    <t>-670.534251395424 172.187090022028 779.09354476504</t>
  </si>
  <si>
    <t>-519.847304543045 172.889539574971 835.456545527076</t>
  </si>
  <si>
    <t>-602.783448790509 -67.7973129032241 322.335968808797</t>
  </si>
  <si>
    <t>-653.31778543171 -104.121994735141 781.230135599254</t>
  </si>
  <si>
    <t>-499.533503875292 -122.031209823464 824.97336636836</t>
  </si>
  <si>
    <t>9763-20170724T115407.231526100.bin</t>
  </si>
  <si>
    <t>-610.404110031179 36.1110336895863 -92.8416951094584</t>
  </si>
  <si>
    <t>-634.159642037606 34.3393181125023 -200.962146383772</t>
  </si>
  <si>
    <t>-648.974789188095 34.2521696046099 -292.648185253784</t>
  </si>
  <si>
    <t>-661.208575923163 34.728729212648 -375.643706971925</t>
  </si>
  <si>
    <t>-671.718719090507 35.7166168579938 -458.870408675102</t>
  </si>
  <si>
    <t>-685.184017966043 37.6994445552969 -580.770825499991</t>
  </si>
  <si>
    <t>-679.476681208528 39.8907233939103 -658.89138887886</t>
  </si>
  <si>
    <t>-676.951044148965 68.1032783197652 -527.029971614666</t>
  </si>
  <si>
    <t>-645.275618563651 218.752797703308 -501.72858788403</t>
  </si>
  <si>
    <t>-541.401014095647 208.051130979429 -239.671111706254</t>
  </si>
  <si>
    <t>-312.373018561767 185.833510387979 -208.031121730749</t>
  </si>
  <si>
    <t>-681.600102125238 5.55542868880525 -527.53386504868</t>
  </si>
  <si>
    <t>-610.214390982916 128.644191508992 -96.0933258507542</t>
  </si>
  <si>
    <t>-628.404704541417 141.26376456179 318.891534721558</t>
  </si>
  <si>
    <t>-670.529259439487 172.158288973448 779.043658430137</t>
  </si>
  <si>
    <t>-519.859392539503 172.880594118462 835.451945863673</t>
  </si>
  <si>
    <t>-602.54391361218 -67.9729990730784 322.344655674129</t>
  </si>
  <si>
    <t>-653.313427716621 -104.132978680749 781.229556566885</t>
  </si>
  <si>
    <t>-499.529462959483 -122.074999265955 824.960506785456</t>
  </si>
  <si>
    <t>9763-20170724T115407.264116700.bin</t>
  </si>
  <si>
    <t>-610.237112694005 35.979181413165 -92.8397909024644</t>
  </si>
  <si>
    <t>-634.029440026418 34.2087936978046 -200.952268909213</t>
  </si>
  <si>
    <t>-648.971174192473 34.1481187690449 -292.617791974934</t>
  </si>
  <si>
    <t>-661.357650233062 34.6586834241721 -375.590359133617</t>
  </si>
  <si>
    <t>-672.058750381865 35.6914245446437 -458.792178675865</t>
  </si>
  <si>
    <t>-685.845177921283 37.7517045344464 -580.655285765453</t>
  </si>
  <si>
    <t>-680.240597953593 39.9139225141648 -658.784255968364</t>
  </si>
  <si>
    <t>-677.462054991905 68.1207834253262 -526.91821911323</t>
  </si>
  <si>
    <t>-645.651667692103 218.747415856494 -501.675607536352</t>
  </si>
  <si>
    <t>-541.466408447384 207.745505317464 -239.75373462533</t>
  </si>
  <si>
    <t>-312.577756399187 184.428902955642 -207.897064799979</t>
  </si>
  <si>
    <t>-682.129590864621 5.57457419988896 -527.447531516528</t>
  </si>
  <si>
    <t>-610.122259624623 128.489467500841 -96.0843374944685</t>
  </si>
  <si>
    <t>-628.322029901954 141.156590736848 318.898654174346</t>
  </si>
  <si>
    <t>-670.530855875658 172.121267082124 779.031101708877</t>
  </si>
  <si>
    <t>-519.869300406048 172.949508546163 835.460065392176</t>
  </si>
  <si>
    <t>-602.356644736179 -68.0466977820827 322.348891498805</t>
  </si>
  <si>
    <t>-653.318912219668 -104.14117902236 781.2255116941</t>
  </si>
  <si>
    <t>-499.527676171102 -122.04945877688 824.944750568658</t>
  </si>
  <si>
    <t>9763-20170724T115407.330423200.bin</t>
  </si>
  <si>
    <t>-610.01974092462 35.7329968359152 -92.7796139263846</t>
  </si>
  <si>
    <t>-633.913477900501 33.9661855725099 -200.869636567796</t>
  </si>
  <si>
    <t>-649.107144015451 33.9290677119425 -292.493820492931</t>
  </si>
  <si>
    <t>-661.787867668103 34.4687852535437 -375.421751604634</t>
  </si>
  <si>
    <t>-672.85000810798 35.5392836522449 -458.575955982272</t>
  </si>
  <si>
    <t>-687.237398531337 37.6643383431465 -580.368451327412</t>
  </si>
  <si>
    <t>-681.866847735166 39.7179316767056 -658.516648769158</t>
  </si>
  <si>
    <t>-678.564816959265 68.0030478549061 -526.660062316943</t>
  </si>
  <si>
    <t>-646.495432674958 218.60950575213 -501.598405846804</t>
  </si>
  <si>
    <t>-541.697088773188 207.371501414901 -239.931422771646</t>
  </si>
  <si>
    <t>-313.139561585665 180.992039483683 -208.086400756134</t>
  </si>
  <si>
    <t>-683.283870164826 5.46067972210994 -527.193777404477</t>
  </si>
  <si>
    <t>-610.050225399489 128.208296508994 -96.0185945124348</t>
  </si>
  <si>
    <t>-628.139063986381 140.998339957684 318.965461950128</t>
  </si>
  <si>
    <t>-670.530634680079 172.076619916653 779.056436875572</t>
  </si>
  <si>
    <t>-519.87926650116 172.920396253122 835.512497686675</t>
  </si>
  <si>
    <t>-601.69726924432 -68.1027691750994 322.387149970215</t>
  </si>
  <si>
    <t>-653.348486139115 -104.138630542919 781.205307344009</t>
  </si>
  <si>
    <t>-499.547435312295 -122.092017365617 824.871456901267</t>
  </si>
  <si>
    <t>9763-20170724T115407.362018800.bin</t>
  </si>
  <si>
    <t>-609.9487085821 35.6209369954322 -92.7480819679104</t>
  </si>
  <si>
    <t>-633.905602515747 33.8541425540016 -200.824168768139</t>
  </si>
  <si>
    <t>-649.200860279012 33.8033998784392 -292.431396833584</t>
  </si>
  <si>
    <t>-661.99276493605 34.3254434973121 -375.342426886724</t>
  </si>
  <si>
    <t>-673.185767421558 35.3726256481243 -458.479393484489</t>
  </si>
  <si>
    <t>-687.786061432272 37.4574419571536 -580.247217049005</t>
  </si>
  <si>
    <t>-682.529670023 39.4576760465729 -658.404662420013</t>
  </si>
  <si>
    <t>-679.007764043859 67.813059805532 -526.565538295275</t>
  </si>
  <si>
    <t>-646.876124302259 218.430535644573 -501.71012433042</t>
  </si>
  <si>
    <t>-541.837598371907 207.243828266401 -240.137335444309</t>
  </si>
  <si>
    <t>-313.38631474117 179.930340769289 -208.317482022058</t>
  </si>
  <si>
    <t>-683.751394781031 5.27229584934548 -527.067521911239</t>
  </si>
  <si>
    <t>-610.046779550257 128.111212943977 -95.9796905473457</t>
  </si>
  <si>
    <t>-628.029701252929 140.923119803934 319.008378410998</t>
  </si>
  <si>
    <t>-670.526144245943 172.068294882868 779.082217607712</t>
  </si>
  <si>
    <t>-519.880068651288 172.948483115662 835.55174556549</t>
  </si>
  <si>
    <t>-601.34874270418 -68.1074302180141 322.416199335684</t>
  </si>
  <si>
    <t>-653.368765374127 -104.13869537819 781.188820535378</t>
  </si>
  <si>
    <t>-499.571850875786 -122.208930460818 824.821347165682</t>
  </si>
  <si>
    <t>9763-20170724T115407.429220900.bin</t>
  </si>
  <si>
    <t>-609.828010172884 35.4720250193213 -92.6773714934122</t>
  </si>
  <si>
    <t>-633.898605691126 33.6827445380827 -200.727860094823</t>
  </si>
  <si>
    <t>-649.394533321617 33.6013278029609 -292.301425030781</t>
  </si>
  <si>
    <t>-662.409956875441 34.0910718858249 -375.177709508944</t>
  </si>
  <si>
    <t>-673.86903026814 35.1019886010124 -458.278957748498</t>
  </si>
  <si>
    <t>-688.905224048203 37.1295206227821 -579.994718923184</t>
  </si>
  <si>
    <t>-683.922211636159 39.0523299790884 -658.172000022893</t>
  </si>
  <si>
    <t>-679.937373853718 67.5105236478889 -526.358770387358</t>
  </si>
  <si>
    <t>-647.717861285067 218.173009155714 -501.847922410861</t>
  </si>
  <si>
    <t>-542.224467545043 207.301321347429 -240.444968902687</t>
  </si>
  <si>
    <t>-313.980133131446 178.626480692459 -208.338699856347</t>
  </si>
  <si>
    <t>-684.677587098939 4.96906525898498 -526.815038531724</t>
  </si>
  <si>
    <t>-610.037629807216 127.988025775623 -95.8996012274113</t>
  </si>
  <si>
    <t>-627.834226294776 140.810168399079 319.096124565457</t>
  </si>
  <si>
    <t>-670.524690081746 172.03926541111 779.146058400849</t>
  </si>
  <si>
    <t>-519.887280019322 172.989757623612 835.637606843076</t>
  </si>
  <si>
    <t>-600.717242164212 -68.0722255449407 322.488147388369</t>
  </si>
  <si>
    <t>-653.407341314934 -104.110077137982 781.16444561136</t>
  </si>
  <si>
    <t>-499.585366153146 -122.165991354731 824.714538485156</t>
  </si>
  <si>
    <t>9763-20170724T115407.461309800.bin</t>
  </si>
  <si>
    <t>-609.767649601074 35.485770660239 -92.6451167536162</t>
  </si>
  <si>
    <t>-633.871194994069 33.6812630464963 -200.687973218933</t>
  </si>
  <si>
    <t>-649.454256862784 33.5682556650866 -292.24672596707</t>
  </si>
  <si>
    <t>-662.572372574403 34.022252138695 -375.107064419887</t>
  </si>
  <si>
    <t>-674.158556800793 34.9898943870469 -458.191207456706</t>
  </si>
  <si>
    <t>-689.407246103368 36.9467809383859 -579.881690986635</t>
  </si>
  <si>
    <t>-684.559235232931 38.8139564105547 -658.068780202851</t>
  </si>
  <si>
    <t>-680.347953350202 67.3591260171399 -526.278781924848</t>
  </si>
  <si>
    <t>-648.096814262602 218.040066654925 -501.93590032617</t>
  </si>
  <si>
    <t>-542.498419919328 207.303319145914 -240.569844373457</t>
  </si>
  <si>
    <t>-314.314092812276 178.331186283327 -208.304426863893</t>
  </si>
  <si>
    <t>-685.084534949664 4.81710493155401 -526.691055832873</t>
  </si>
  <si>
    <t>-610.050378162622 127.994046574336 -95.8638702131709</t>
  </si>
  <si>
    <t>-627.798586580185 140.819046702987 319.133882638566</t>
  </si>
  <si>
    <t>-670.513053995742 172.07953293383 779.176031164376</t>
  </si>
  <si>
    <t>-519.879465366072 172.903849651002 835.679745037998</t>
  </si>
  <si>
    <t>-600.522047374608 -68.0209759750383 322.512759143784</t>
  </si>
  <si>
    <t>-653.423410963156 -104.0792000003 781.154318490174</t>
  </si>
  <si>
    <t>-499.575385834556 -121.980655482072 824.676126562599</t>
  </si>
  <si>
    <t>9763-20170724T115407.526531600.bin</t>
  </si>
  <si>
    <t>-609.572676735059 35.6043993737653 -92.596300802013</t>
  </si>
  <si>
    <t>-633.691932567934 33.7599758217373 -200.634945884059</t>
  </si>
  <si>
    <t>-649.404597253094 33.5722621618349 -292.171462693008</t>
  </si>
  <si>
    <t>-662.687121734849 33.9418284269811 -375.005912356941</t>
  </si>
  <si>
    <t>-674.485532123394 34.8094515540017 -458.06125991887</t>
  </si>
  <si>
    <t>-690.097308449891 36.6031009536157 -579.708191454748</t>
  </si>
  <si>
    <t>-685.484658422366 38.359195851277 -657.912202162413</t>
  </si>
  <si>
    <t>-680.897303062824 67.0887985013055 -526.171125617483</t>
  </si>
  <si>
    <t>-648.617052179918 217.827517271954 -502.253052015133</t>
  </si>
  <si>
    <t>-542.949878532109 207.422216579776 -240.901156164235</t>
  </si>
  <si>
    <t>-314.955296283229 177.618322217799 -208.057277615307</t>
  </si>
  <si>
    <t>-685.59664894421 4.5434850086433 -526.490174222983</t>
  </si>
  <si>
    <t>-610.032353024232 127.993466291638 -95.8080992853389</t>
  </si>
  <si>
    <t>-627.839539145906 140.865146397624 319.18568758596</t>
  </si>
  <si>
    <t>-670.507395134551 172.098399747177 779.243030665983</t>
  </si>
  <si>
    <t>-519.877073654137 172.911124273468 835.755543556596</t>
  </si>
  <si>
    <t>-600.324064805131 -67.8537414996588 322.564009880402</t>
  </si>
  <si>
    <t>-653.428553472339 -104.061417038912 781.153330973929</t>
  </si>
  <si>
    <t>-499.557349253795 -121.807215331615 824.656974703948</t>
  </si>
  <si>
    <t>9763-20170724T115407.564637900.bin</t>
  </si>
  <si>
    <t>-609.479925978369 35.6472326335579 -92.5733409991473</t>
  </si>
  <si>
    <t>-633.601858904192 33.7804531436614 -200.61110241687</t>
  </si>
  <si>
    <t>-649.403399388433 33.5527748283048 -292.132053030881</t>
  </si>
  <si>
    <t>-662.801372476629 33.8783415155149 -374.948198942567</t>
  </si>
  <si>
    <t>-674.750728630763 34.6947105468539 -457.982359120874</t>
  </si>
  <si>
    <t>-690.62240813544 36.4059696995446 -579.596938146475</t>
  </si>
  <si>
    <t>-686.136782949223 38.0850053759741 -657.809901750797</t>
  </si>
  <si>
    <t>-681.321624492125 66.9289785181713 -526.098393144927</t>
  </si>
  <si>
    <t>-649.022559840065 217.701969304127 -502.368384227449</t>
  </si>
  <si>
    <t>-543.281256849912 207.319377123556 -241.045535409982</t>
  </si>
  <si>
    <t>-315.369780271343 177.145088608558 -207.963920023216</t>
  </si>
  <si>
    <t>-685.994437056793 4.38134885035561 -526.368706796784</t>
  </si>
  <si>
    <t>-609.998908957527 127.987192400207 -95.7962857226797</t>
  </si>
  <si>
    <t>-627.809028308297 140.879958511692 319.19672234354</t>
  </si>
  <si>
    <t>-670.510948045647 172.082138966289 779.268980728724</t>
  </si>
  <si>
    <t>-519.881158992238 172.959599387921 835.781945957731</t>
  </si>
  <si>
    <t>-600.262536065662 -67.8068086203918 322.590098747437</t>
  </si>
  <si>
    <t>-653.426861481831 -104.112575189275 781.157682172345</t>
  </si>
  <si>
    <t>-499.60734224179 -122.251304595251 824.682029077457</t>
  </si>
  <si>
    <t>9763-20170724T115407.628884700.bin</t>
  </si>
  <si>
    <t>-609.367436616073 35.8231170268775 -92.526339498257</t>
  </si>
  <si>
    <t>-633.552496838612 33.9253001080972 -200.549408008481</t>
  </si>
  <si>
    <t>-649.515353845462 33.6133746623823 -292.042260911719</t>
  </si>
  <si>
    <t>-663.103560143812 33.8400121960374 -374.82771845977</t>
  </si>
  <si>
    <t>-675.288438892973 34.5362586957415 -457.828846011707</t>
  </si>
  <si>
    <t>-691.554658485831 36.0498390457699 -579.393779039204</t>
  </si>
  <si>
    <t>-687.256529299555 37.5854562493034 -657.620148690047</t>
  </si>
  <si>
    <t>-682.137490073036 66.663847852531 -525.96762232724</t>
  </si>
  <si>
    <t>-649.948098391687 217.520762125419 -502.699996144607</t>
  </si>
  <si>
    <t>-544.065584247822 207.295553544539 -241.428198356461</t>
  </si>
  <si>
    <t>-316.29140565999 176.510385997465 -207.965949389896</t>
  </si>
  <si>
    <t>-686.696890979141 4.10754487361237 -526.136489150952</t>
  </si>
  <si>
    <t>-609.979562507842 128.172871719129 -95.7672227621363</t>
  </si>
  <si>
    <t>-627.68262592225 140.98539471412 319.232800459293</t>
  </si>
  <si>
    <t>-670.497013302025 172.117897456159 779.305985754565</t>
  </si>
  <si>
    <t>-519.868932135226 173.03891241958 835.822865190594</t>
  </si>
  <si>
    <t>-600.097446828047 -67.6367844789934 322.647562365345</t>
  </si>
  <si>
    <t>-653.413227946447 -104.07090745798 781.175271751389</t>
  </si>
  <si>
    <t>-499.572347907508 -121.986516533273 824.716517636985</t>
  </si>
  <si>
    <t>9763-20170724T115407.659968300.bin</t>
  </si>
  <si>
    <t>-609.329091983033 35.9155459495237 -92.5165569116718</t>
  </si>
  <si>
    <t>-633.52578086168 34.0017783963456 -200.536691527396</t>
  </si>
  <si>
    <t>-649.513694144108 33.6401029368205 -292.024888590397</t>
  </si>
  <si>
    <t>-663.131114230361 33.8068802131781 -374.805786935724</t>
  </si>
  <si>
    <t>-675.351940372752 34.4288335843728 -457.802134201347</t>
  </si>
  <si>
    <t>-691.67841879411 35.8176668729745 -579.360572292454</t>
  </si>
  <si>
    <t>-687.432614079463 37.2786689490385 -657.591233852136</t>
  </si>
  <si>
    <t>-682.2485721815 66.4873551393464 -525.968840216036</t>
  </si>
  <si>
    <t>-650.064827753832 217.390304335531 -502.941737771033</t>
  </si>
  <si>
    <t>-544.221784854215 207.303806982858 -241.648610405438</t>
  </si>
  <si>
    <t>-316.641266762982 175.378594113483 -207.937824231559</t>
  </si>
  <si>
    <t>-686.780442869302 3.92905982409047 -526.074841811501</t>
  </si>
  <si>
    <t>-610.003628944903 128.259820888566 -95.7561030545388</t>
  </si>
  <si>
    <t>-627.705470261889 141.046925204749 319.244742352101</t>
  </si>
  <si>
    <t>-670.492660221992 172.151845019032 779.326776067547</t>
  </si>
  <si>
    <t>-519.864477832168 173.081092844961 835.843235258154</t>
  </si>
  <si>
    <t>-600.039222121496 -67.5451213519996 322.664855125314</t>
  </si>
  <si>
    <t>-653.424545699896 -104.076047870718 781.176777796142</t>
  </si>
  <si>
    <t>-499.577478393547 -121.973609483872 824.703568070296</t>
  </si>
  <si>
    <t>9763-20170724T115407.728689100.bin</t>
  </si>
  <si>
    <t>-609.173852206191 36.1089772918183 -92.4774644526957</t>
  </si>
  <si>
    <t>-633.310348423315 34.1414863394832 -200.51012023376</t>
  </si>
  <si>
    <t>-649.297193985842 33.6503847350393 -291.997883013417</t>
  </si>
  <si>
    <t>-662.934214650353 33.6659087433782 -374.775748032895</t>
  </si>
  <si>
    <t>-675.195818042716 34.1017887989919 -457.767227610823</t>
  </si>
  <si>
    <t>-691.605455739974 35.180651247173 -579.317636462178</t>
  </si>
  <si>
    <t>-687.410575034373 36.3901565750107 -657.555407303112</t>
  </si>
  <si>
    <t>-682.124752877062 65.9855182892711 -526.012598455341</t>
  </si>
  <si>
    <t>-649.559435116688 216.876886244312 -503.458069743106</t>
  </si>
  <si>
    <t>-543.913948391612 207.229732804614 -242.068331716446</t>
  </si>
  <si>
    <t>-316.821110550967 172.738045036423 -207.60536637544</t>
  </si>
  <si>
    <t>-686.68530774655 3.42911553943759 -525.95208848577</t>
  </si>
  <si>
    <t>-609.966661162669 128.33406586311 -95.7315943420856</t>
  </si>
  <si>
    <t>-627.759596405822 141.147885004349 319.264573255866</t>
  </si>
  <si>
    <t>-670.514001426154 172.096689762629 779.368699301351</t>
  </si>
  <si>
    <t>-519.883428551344 173.0560640376 835.878245724129</t>
  </si>
  <si>
    <t>-599.847691561039 -67.3569787121667 322.720647052489</t>
  </si>
  <si>
    <t>-653.444141396536 -104.06333094755 781.174800082885</t>
  </si>
  <si>
    <t>-499.539693682511 -121.547853106583 824.66659317218</t>
  </si>
  <si>
    <t>9763-20170724T115407.761279400.bin</t>
  </si>
  <si>
    <t>-609.050190583829 36.1615995788168 -92.4563735390204</t>
  </si>
  <si>
    <t>-633.149408006043 34.1820622668338 -200.497185453137</t>
  </si>
  <si>
    <t>-649.144006219188 33.6193232174387 -291.983172870278</t>
  </si>
  <si>
    <t>-662.804368476694 33.5454689925077 -374.757185088773</t>
  </si>
  <si>
    <t>-675.106013086109 33.8674081791596 -457.743262167895</t>
  </si>
  <si>
    <t>-691.592923415111 34.752517254652 -579.284652619864</t>
  </si>
  <si>
    <t>-687.426307491505 35.8059587464754 -657.526178638008</t>
  </si>
  <si>
    <t>-682.063884826279 65.6412268788995 -526.036865712992</t>
  </si>
  <si>
    <t>-649.311188350612 216.530016641857 -503.735749660181</t>
  </si>
  <si>
    <t>-543.671500703047 207.145785517121 -242.33414470139</t>
  </si>
  <si>
    <t>-317.000678766673 170.413516683554 -207.411244570191</t>
  </si>
  <si>
    <t>-686.653317109299 3.08711012841763 -525.86983798001</t>
  </si>
  <si>
    <t>-609.850957186683 128.372778827919 -95.712940340274</t>
  </si>
  <si>
    <t>-627.724816866405 141.217580359515 319.278823008098</t>
  </si>
  <si>
    <t>-670.511201449677 172.108622493709 779.376740658921</t>
  </si>
  <si>
    <t>-519.881485469172 173.080290898343 835.88833261167</t>
  </si>
  <si>
    <t>-599.839945770893 -67.3484272293879 322.739350076789</t>
  </si>
  <si>
    <t>-653.455248701801 -104.118614386197 781.178966140839</t>
  </si>
  <si>
    <t>-499.605445643814 -122.071208432945 824.673412101735</t>
  </si>
  <si>
    <t>9763-20170724T115407.825488200.bin</t>
  </si>
  <si>
    <t>-608.692912856116 36.1711584372515 -92.4495420754301</t>
  </si>
  <si>
    <t>-632.753465654263 34.1991426418588 -200.498975151335</t>
  </si>
  <si>
    <t>-648.801208562653 33.5049701093569 -291.974887552461</t>
  </si>
  <si>
    <t>-662.545588340334 33.2587666307372 -374.734547876894</t>
  </si>
  <si>
    <t>-674.968342199903 33.3544587609745 -457.703294677306</t>
  </si>
  <si>
    <t>-691.673992893577 33.8499423804985 -579.217022602682</t>
  </si>
  <si>
    <t>-687.56826689455 34.5947353569854 -657.465258460374</t>
  </si>
  <si>
    <t>-682.017906382388 64.9068329966212 -526.090065218958</t>
  </si>
  <si>
    <t>-648.91306162464 215.799683342082 -504.339805594822</t>
  </si>
  <si>
    <t>-543.343636904367 206.629207072128 -242.902354456435</t>
  </si>
  <si>
    <t>-317.544016822546 165.257174964414 -207.526871550572</t>
  </si>
  <si>
    <t>-686.669484885016 2.35822756568655 -525.705595103351</t>
  </si>
  <si>
    <t>-609.366617570264 128.429464829298 -95.7190300809174</t>
  </si>
  <si>
    <t>-627.456803601538 141.285543719508 319.2629726693</t>
  </si>
  <si>
    <t>-670.494700152019 172.136586568614 779.354107331468</t>
  </si>
  <si>
    <t>-519.873077248231 173.130988933306 835.886873701823</t>
  </si>
  <si>
    <t>-599.778665976864 -67.471875504044 322.745109699934</t>
  </si>
  <si>
    <t>-653.470406630811 -104.077303014197 781.187360701408</t>
  </si>
  <si>
    <t>-499.557884617145 -121.573642363381 824.645816136435</t>
  </si>
  <si>
    <t>9763-20170724T115407.862678000.bin</t>
  </si>
  <si>
    <t>-608.538170935894 36.1431426036515 -92.4549372096159</t>
  </si>
  <si>
    <t>-632.596962032716 34.1774612064125 -200.505014114415</t>
  </si>
  <si>
    <t>-648.679804786049 33.4007966424497 -291.974020792818</t>
  </si>
  <si>
    <t>-662.471605747913 33.0461109966645 -374.72546601756</t>
  </si>
  <si>
    <t>-674.958138506908 32.9991059720953 -457.684468694721</t>
  </si>
  <si>
    <t>-691.775486616183 33.2490414025544 -579.183656378807</t>
  </si>
  <si>
    <t>-687.689759774803 33.8121923825124 -657.434578728844</t>
  </si>
  <si>
    <t>-682.054605625736 64.4120973923712 -526.130709341581</t>
  </si>
  <si>
    <t>-648.851469719755 215.323028174452 -504.65654525913</t>
  </si>
  <si>
    <t>-543.292684849401 206.466558605498 -243.203784419669</t>
  </si>
  <si>
    <t>-317.941844999851 162.681648859986 -207.870888087748</t>
  </si>
  <si>
    <t>-686.737723238715 1.86679431645507 -525.611062876576</t>
  </si>
  <si>
    <t>-609.12161377865 128.478308729435 -95.7365420113455</t>
  </si>
  <si>
    <t>-627.246529773064 141.326889119593 319.244169359259</t>
  </si>
  <si>
    <t>-670.472932813354 172.187722898137 779.321087270747</t>
  </si>
  <si>
    <t>-519.860954266109 173.132155994454 835.880467181837</t>
  </si>
  <si>
    <t>-599.753311868721 -67.5485586119066 322.747195398778</t>
  </si>
  <si>
    <t>-653.470993587629 -104.086030866166 781.19507023691</t>
  </si>
  <si>
    <t>-499.58569323899 -121.805644092736 824.659419656648</t>
  </si>
  <si>
    <t>9763-20170724T115407.931862900.bin</t>
  </si>
  <si>
    <t>-608.030101750838 36.1779030420682 -92.4654139376617</t>
  </si>
  <si>
    <t>-632.120256769882 34.2130593125707 -200.508489572417</t>
  </si>
  <si>
    <t>-648.267687098025 33.2704916505111 -291.964469376699</t>
  </si>
  <si>
    <t>-662.134741283399 32.7007365918898 -374.702170053074</t>
  </si>
  <si>
    <t>-674.714626563399 32.3725940048971 -457.646526871085</t>
  </si>
  <si>
    <t>-691.689355752603 32.13882803869 -579.123886349626</t>
  </si>
  <si>
    <t>-687.679073277826 32.3464731549777 -657.380354804375</t>
  </si>
  <si>
    <t>-681.852980177161 63.5091028547872 -526.214555103869</t>
  </si>
  <si>
    <t>-648.065933806549 214.36804781183 -505.291746339469</t>
  </si>
  <si>
    <t>-542.656587843799 206.611213489507 -243.743803067758</t>
  </si>
  <si>
    <t>-318.52404140717 156.057375240496 -209.7226591469</t>
  </si>
  <si>
    <t>-686.628979812414 0.973772676854651 -525.426773456423</t>
  </si>
  <si>
    <t>-608.472399826671 128.536151311406 -95.7606392203544</t>
  </si>
  <si>
    <t>-626.844972907612 141.451368108741 319.207122541331</t>
  </si>
  <si>
    <t>-670.457968695479 172.223943560147 779.262789559028</t>
  </si>
  <si>
    <t>-519.863083855238 173.138595121532 835.868110922435</t>
  </si>
  <si>
    <t>-599.511633010157 -67.5091985814101 322.773038939866</t>
  </si>
  <si>
    <t>-653.481455478755 -104.118791006174 781.204246050803</t>
  </si>
  <si>
    <t>-499.605492225868 -121.95173780432 824.655327633402</t>
  </si>
  <si>
    <t>9763-20170724T115407.964451700.bin</t>
  </si>
  <si>
    <t>-607.738987066111 36.2265202188901 -92.4497099318312</t>
  </si>
  <si>
    <t>-631.852044357912 34.2505388719096 -200.487375979485</t>
  </si>
  <si>
    <t>-648.052997014953 33.1978045201427 -291.932809292352</t>
  </si>
  <si>
    <t>-661.9832506341 32.4885651997683 -374.658665266385</t>
  </si>
  <si>
    <t>-674.641868328814 31.9808554357091 -457.590267014653</t>
  </si>
  <si>
    <t>-691.749376548159 31.4407030630043 -579.047932065191</t>
  </si>
  <si>
    <t>-687.791386715195 31.4240098636983 -657.307482090967</t>
  </si>
  <si>
    <t>-681.836293873199 62.942902700049 -526.231372535359</t>
  </si>
  <si>
    <t>-647.859514095876 213.807577365428 -505.607102008635</t>
  </si>
  <si>
    <t>-542.265597266667 206.612891312952 -244.117574082015</t>
  </si>
  <si>
    <t>-318.664341807639 153.192915102014 -210.99182166261</t>
  </si>
  <si>
    <t>-686.649173264654 0.412705356095785 -525.275405877391</t>
  </si>
  <si>
    <t>-608.180917142776 128.569529629397 -95.7699286496551</t>
  </si>
  <si>
    <t>-626.57191447519 141.504649976845 319.196402656408</t>
  </si>
  <si>
    <t>-670.461063456616 172.168244457071 779.231383067513</t>
  </si>
  <si>
    <t>-519.878417233643 173.260204391602 835.866073137888</t>
  </si>
  <si>
    <t>-599.28144564955 -67.4740394130797 322.807633802901</t>
  </si>
  <si>
    <t>-653.495037364547 -104.134633579695 781.201029591521</t>
  </si>
  <si>
    <t>-499.639415299802 -122.162045892307 824.643949896634</t>
  </si>
  <si>
    <t>9763-20170724T115408.031712800.bin</t>
  </si>
  <si>
    <t>-607.350890482418 36.364315306357 -92.4340125005705</t>
  </si>
  <si>
    <t>-631.541530414823 34.3897962727369 -200.454341577759</t>
  </si>
  <si>
    <t>-647.872481017145 33.1016426489289 -291.873723967226</t>
  </si>
  <si>
    <t>-661.948492521418 32.0866905049711 -374.571751030537</t>
  </si>
  <si>
    <t>-674.78301847115 31.1794925228994 -457.472791981071</t>
  </si>
  <si>
    <t>-692.182264077204 29.9529071156242 -578.884078856062</t>
  </si>
  <si>
    <t>-688.378847563564 29.441681223708 -657.14949167482</t>
  </si>
  <si>
    <t>-682.120751582538 61.7512995624827 -526.273471507317</t>
  </si>
  <si>
    <t>-647.846570632756 212.640622404323 -506.446430388497</t>
  </si>
  <si>
    <t>-541.700712429924 206.925304058243 -245.144014578476</t>
  </si>
  <si>
    <t>-318.950298421256 149.219202725061 -213.508662935802</t>
  </si>
  <si>
    <t>-607.73453512174 128.79138534676 -95.7793351206775</t>
  </si>
  <si>
    <t>-626.171505238106 141.662897136321 319.186917612824</t>
  </si>
  <si>
    <t>-670.431787018847 172.205988970929 779.191890852014</t>
  </si>
  <si>
    <t>-519.868632588936 173.210428953829 835.87999111416</t>
  </si>
  <si>
    <t>-598.827581551871 -67.339373900204 322.859291166257</t>
  </si>
  <si>
    <t>-653.530424962223 -104.11834802075 781.189642803239</t>
  </si>
  <si>
    <t>-499.649346030547 -122.067667794618 824.574713104677</t>
  </si>
  <si>
    <t>9763-20170724T115408.062796000.bin</t>
  </si>
  <si>
    <t>-607.31015149572 36.4205433312413 -92.4342428674524</t>
  </si>
  <si>
    <t>-631.543086018998 34.4338813677928 -200.444855855818</t>
  </si>
  <si>
    <t>-647.946117287589 33.022210900577 -291.849418481596</t>
  </si>
  <si>
    <t>-662.103091032507 31.8507407786267 -374.531631987691</t>
  </si>
  <si>
    <t>-675.035204382425 30.7422012126556 -457.415062032515</t>
  </si>
  <si>
    <t>-692.596087716207 29.1721663548519 -578.798998779997</t>
  </si>
  <si>
    <t>-688.896801234452 28.4432268100168 -657.067798464105</t>
  </si>
  <si>
    <t>-682.456801714227 61.1185603597639 -526.293200088813</t>
  </si>
  <si>
    <t>-648.127404464337 212.061730821083 -506.936379292908</t>
  </si>
  <si>
    <t>-541.649055594883 207.167176339032 -245.752611171683</t>
  </si>
  <si>
    <t>-319.101313929145 148.521665355359 -214.420066070888</t>
  </si>
  <si>
    <t>-607.636367755017 128.901626280121 -95.789793987136</t>
  </si>
  <si>
    <t>-626.061498663378 141.750204631711 319.17770454133</t>
  </si>
  <si>
    <t>-670.422524833124 172.222465139244 779.176648339748</t>
  </si>
  <si>
    <t>-519.865850228965 173.198236799273 835.882574061588</t>
  </si>
  <si>
    <t>-598.646055338905 -67.2886119733118 322.878405563259</t>
  </si>
  <si>
    <t>-653.54937954844 -104.134371174912 781.186916304369</t>
  </si>
  <si>
    <t>-499.691358445495 -122.332206162365 824.550127444729</t>
  </si>
  <si>
    <t>9763-20170724T115408.127506500.bin</t>
  </si>
  <si>
    <t>-607.416715513216 36.5535578117397 -92.4282682813023</t>
  </si>
  <si>
    <t>-631.743509147381 34.5050712010755 -200.416742599232</t>
  </si>
  <si>
    <t>-648.3114566128 32.8238784333712 -291.786848220989</t>
  </si>
  <si>
    <t>-662.65413174684 31.3225156897888 -374.431793758477</t>
  </si>
  <si>
    <t>-675.810427400169 29.7977998180738 -457.273283029607</t>
  </si>
  <si>
    <t>-693.742559258455 27.5255902716874 -578.591917627392</t>
  </si>
  <si>
    <t>-690.300344207757 26.3565402239724 -656.867015117666</t>
  </si>
  <si>
    <t>-683.47205714402 59.7776071838209 -526.298786344407</t>
  </si>
  <si>
    <t>-649.123873801981 210.839590884402 -507.878864347382</t>
  </si>
  <si>
    <t>-542.139673092077 207.658041436885 -246.875182977225</t>
  </si>
  <si>
    <t>-319.96989570335 147.344419213926 -216.030582033969</t>
  </si>
  <si>
    <t>-607.761925440329 129.087964665996 -95.8324746647572</t>
  </si>
  <si>
    <t>-625.98989622568 141.928347759055 319.144034943769</t>
  </si>
  <si>
    <t>-670.435481798121 172.179836515247 779.151804070856</t>
  </si>
  <si>
    <t>-519.884251289438 173.29986633667 835.869518281448</t>
  </si>
  <si>
    <t>-598.470545761447 -67.1415736026827 322.908880894167</t>
  </si>
  <si>
    <t>-653.582506958826 -104.113346919846 781.177175211227</t>
  </si>
  <si>
    <t>-499.711321249048 -122.348302067199 824.478058144007</t>
  </si>
  <si>
    <t>9763-20170724T115408.163606700.bin</t>
  </si>
  <si>
    <t>-607.52624635897 36.6868887270678 -92.4310558857163</t>
  </si>
  <si>
    <t>-631.904397837678 34.6012618968059 -200.407237737669</t>
  </si>
  <si>
    <t>-648.527923211291 32.7665340469794 -291.76432233013</t>
  </si>
  <si>
    <t>-662.927068778785 31.0768979308534 -374.395734156478</t>
  </si>
  <si>
    <t>-676.146754137137 29.3153086544005 -457.22250586833</t>
  </si>
  <si>
    <t>-694.179996400756 26.6433162497706 -578.517951162955</t>
  </si>
  <si>
    <t>-690.844602163479 25.2468605630168 -656.794027813548</t>
  </si>
  <si>
    <t>-683.904306848464 59.0705722578275 -526.334354911368</t>
  </si>
  <si>
    <t>-649.637922535908 210.200895673019 -508.390726945831</t>
  </si>
  <si>
    <t>-542.237072225146 207.904183079066 -247.549173938825</t>
  </si>
  <si>
    <t>-320.19842945668 146.974998854081 -216.971234056447</t>
  </si>
  <si>
    <t>-607.909209086146 129.251094462814 -95.8626500346058</t>
  </si>
  <si>
    <t>-625.996710704461 142.034386733861 319.121707793835</t>
  </si>
  <si>
    <t>-670.428603432114 172.213102190785 779.137739341778</t>
  </si>
  <si>
    <t>-519.877549432003 173.268169352457 835.857116237787</t>
  </si>
  <si>
    <t>-598.422699873581 -67.0167279038951 322.924443353853</t>
  </si>
  <si>
    <t>-653.589447022653 -104.078092843862 781.176305085872</t>
  </si>
  <si>
    <t>-499.695767754595 -122.159001301864 824.461828386025</t>
  </si>
  <si>
    <t>9763-20170724T115408.231288800.bin</t>
  </si>
  <si>
    <t>-607.889098381455 36.7744371176163 -92.4831931208363</t>
  </si>
  <si>
    <t>-632.301157712394 34.5433145901943 -200.448773581963</t>
  </si>
  <si>
    <t>-648.998899882496 32.3793516105516 -291.78520864506</t>
  </si>
  <si>
    <t>-663.485492567204 30.3082136980117 -374.392644342198</t>
  </si>
  <si>
    <t>-676.814483984863 28.0819599060167 -457.190691035328</t>
  </si>
  <si>
    <t>-695.03263885108 24.6400857048588 -578.439010085553</t>
  </si>
  <si>
    <t>-691.929026997089 22.7620404222841 -656.714535644426</t>
  </si>
  <si>
    <t>-684.750283596716 57.4037554983317 -526.467290982125</t>
  </si>
  <si>
    <t>-650.651971219981 208.701484211432 -509.560905474784</t>
  </si>
  <si>
    <t>-542.428153689999 208.650497476096 -249.049493680867</t>
  </si>
  <si>
    <t>-320.662188871119 146.435201742203 -219.088941021475</t>
  </si>
  <si>
    <t>-608.479917794124 129.312235411261 -95.966015259159</t>
  </si>
  <si>
    <t>-626.188138313723 142.174611162742 319.032299152203</t>
  </si>
  <si>
    <t>-670.452735546549 172.186305420659 779.103475847947</t>
  </si>
  <si>
    <t>-519.894769833753 173.314543328074 835.803078158987</t>
  </si>
  <si>
    <t>-598.39332102897 -66.8947457487643 322.957337640817</t>
  </si>
  <si>
    <t>-653.595033573642 -104.049990277083 781.186352373134</t>
  </si>
  <si>
    <t>-499.695213553528 -122.105339156939 824.460659372339</t>
  </si>
  <si>
    <t>9763-20170724T115408.265396000.bin</t>
  </si>
  <si>
    <t>-608.107556096848 36.7139803010368 -92.4975425652908</t>
  </si>
  <si>
    <t>-632.530743501617 34.4088561948531 -200.45909492483</t>
  </si>
  <si>
    <t>-649.267539402574 32.075219182567 -291.784158540863</t>
  </si>
  <si>
    <t>-663.802448868626 29.806659311168 -374.377877736182</t>
  </si>
  <si>
    <t>-677.193559598951 27.3396655270276 -457.159079789065</t>
  </si>
  <si>
    <t>-695.518337346345 23.4984017103834 -578.379383632448</t>
  </si>
  <si>
    <t>-692.518022115791 21.3637630272117 -656.652366610129</t>
  </si>
  <si>
    <t>-685.243466662326 56.4372361250937 -526.516999313281</t>
  </si>
  <si>
    <t>-651.346070837702 207.834851044664 -510.16122291257</t>
  </si>
  <si>
    <t>-542.401898419409 208.943888528289 -249.95255041685</t>
  </si>
  <si>
    <t>-320.69856000336 146.412242606713 -220.187595339375</t>
  </si>
  <si>
    <t>-608.837777380188 129.239984776534 -96.0192520515452</t>
  </si>
  <si>
    <t>-626.358600163226 142.181605224188 318.984508332918</t>
  </si>
  <si>
    <t>-670.449353503977 172.229048464038 779.072257653953</t>
  </si>
  <si>
    <t>-519.887909647516 173.271699295466 835.764385486616</t>
  </si>
  <si>
    <t>-598.352260688592 -66.8917169823608 322.971712502584</t>
  </si>
  <si>
    <t>-653.610352001213 -104.022216649063 781.192249952483</t>
  </si>
  <si>
    <t>-499.663501992135 -121.755934971545 824.432308756989</t>
  </si>
  <si>
    <t>9763-20170724T115408.327577600.bin</t>
  </si>
  <si>
    <t>-608.573944302397 36.4457176172632 -92.5276624545207</t>
  </si>
  <si>
    <t>-633.062195562504 33.9848129209774 -200.471103529847</t>
  </si>
  <si>
    <t>-649.874762307591 31.3682776481849 -291.774517419706</t>
  </si>
  <si>
    <t>-664.488166917626 28.779985417442 -374.344981587686</t>
  </si>
  <si>
    <t>-677.968572197896 25.9318754815597 -457.099464386421</t>
  </si>
  <si>
    <t>-696.436560641097 21.4668277482083 -578.276688275514</t>
  </si>
  <si>
    <t>-693.586893927768 18.9260681118858 -656.543167774949</t>
  </si>
  <si>
    <t>-686.258695504787 54.6842197472886 -526.573128981258</t>
  </si>
  <si>
    <t>-652.748243322967 206.254488884613 -511.144198720895</t>
  </si>
  <si>
    <t>-541.995031790708 209.673596741101 -251.720531037744</t>
  </si>
  <si>
    <t>-320.700847194393 145.690372263145 -221.995646030165</t>
  </si>
  <si>
    <t>-609.682260498809 128.916406242356 -96.1279120289269</t>
  </si>
  <si>
    <t>-626.712156206746 142.025316921581 318.891081299641</t>
  </si>
  <si>
    <t>-670.46569497365 172.182989644046 779.007883601068</t>
  </si>
  <si>
    <t>-519.900461272132 173.374590348794 835.686999043965</t>
  </si>
  <si>
    <t>-598.233096573395 -66.9316928033616 322.990700391444</t>
  </si>
  <si>
    <t>-653.657226962678 -104.009298618929 781.184309663063</t>
  </si>
  <si>
    <t>-499.705380009575 -121.847069098902 824.363776344291</t>
  </si>
  <si>
    <t>9763-20170724T115408.365166200.bin</t>
  </si>
  <si>
    <t>-608.807774658472 36.2136751364808 -92.5495040722559</t>
  </si>
  <si>
    <t>-633.36214660951 33.6961880112049 -200.476546584414</t>
  </si>
  <si>
    <t>-650.208569419876 30.9873092106891 -291.771147179319</t>
  </si>
  <si>
    <t>-664.843885188223 28.2963475041186 -374.334307350574</t>
  </si>
  <si>
    <t>-678.337681140422 25.3282484533338 -457.082460699335</t>
  </si>
  <si>
    <t>-696.815924896993 20.6690255033259 -578.250798381192</t>
  </si>
  <si>
    <t>-694.008644433033 17.9915060868634 -656.514168728452</t>
  </si>
  <si>
    <t>-686.770752556139 53.9789067965846 -526.580781600255</t>
  </si>
  <si>
    <t>-653.650286232951 205.679878908962 -511.489997862027</t>
  </si>
  <si>
    <t>-541.887821552237 210.084418727675 -252.514555180725</t>
  </si>
  <si>
    <t>-320.716947498257 145.656237559975 -222.833145979507</t>
  </si>
  <si>
    <t>-610.08557958538 128.665142812547 -96.1667597566626</t>
  </si>
  <si>
    <t>-626.805554008976 141.912239909393 318.860389871235</t>
  </si>
  <si>
    <t>-670.454306161862 172.206611472651 778.978120051264</t>
  </si>
  <si>
    <t>-519.887933935927 173.296096340781 835.656298056903</t>
  </si>
  <si>
    <t>-598.120524573034 -66.9645491504089 322.997343435438</t>
  </si>
  <si>
    <t>-653.677050275149 -103.985165116051 781.179121215244</t>
  </si>
  <si>
    <t>-499.697380805537 -121.652862248631 824.329294882838</t>
  </si>
  <si>
    <t>9763-20170724T115408.428846100.bin</t>
  </si>
  <si>
    <t>-609.283333902515 35.6279244542466 -92.5884750109956</t>
  </si>
  <si>
    <t>-633.887715627057 32.9964273872763 -200.501456693262</t>
  </si>
  <si>
    <t>-650.7610372129 30.1226486518187 -291.785960198566</t>
  </si>
  <si>
    <t>-665.414662535358 27.2513597966592 -374.339924245862</t>
  </si>
  <si>
    <t>-678.920503699425 24.0775407013994 -457.078480465714</t>
  </si>
  <si>
    <t>-697.409481457088 19.0910304045753 -578.232099848815</t>
  </si>
  <si>
    <t>-694.683081607219 16.261214535647 -656.493080294165</t>
  </si>
  <si>
    <t>-687.715037348498 52.5631886851122 -526.599851590496</t>
  </si>
  <si>
    <t>-655.933127251577 204.597593728512 -512.062891654041</t>
  </si>
  <si>
    <t>-541.94559328716 210.693547965471 -254.093402595205</t>
  </si>
  <si>
    <t>-321.129751542209 145.183636899873 -224.1376149987</t>
  </si>
  <si>
    <t>-610.990649855314 128.061143404 -96.2257706509856</t>
  </si>
  <si>
    <t>-627.032737124099 141.523040992191 318.821259539442</t>
  </si>
  <si>
    <t>-670.465606557197 172.109649573865 778.928229525676</t>
  </si>
  <si>
    <t>-519.903739664302 173.529549357243 835.61094791672</t>
  </si>
  <si>
    <t>-597.987233551127 -67.2799234034237 322.987311513882</t>
  </si>
  <si>
    <t>-653.72287191077 -103.986699368327 781.163662065277</t>
  </si>
  <si>
    <t>-499.730306036032 -121.674091655796 824.259625104443</t>
  </si>
  <si>
    <t>9763-20170724T115408.460433900.bin</t>
  </si>
  <si>
    <t>-609.410682672838 35.2702904128248 -92.604923424836</t>
  </si>
  <si>
    <t>-634.02876027857 32.5963746599778 -200.513641929336</t>
  </si>
  <si>
    <t>-650.926130519844 29.6742483313924 -291.79221504658</t>
  </si>
  <si>
    <t>-665.606204017896 26.7525357048737 -374.33974763307</t>
  </si>
  <si>
    <t>-679.143074880809 23.5248352685244 -457.071016989647</t>
  </si>
  <si>
    <t>-697.682335621374 18.4563787216443 -578.213670183684</t>
  </si>
  <si>
    <t>-694.972084825468 15.5983637330785 -656.474131025332</t>
  </si>
  <si>
    <t>-688.166978013091 51.974241260456 -526.577868296128</t>
  </si>
  <si>
    <t>-657.09806625183 204.179398243526 -512.221028687935</t>
  </si>
  <si>
    <t>-541.978195738234 210.993351380171 -254.77280043301</t>
  </si>
  <si>
    <t>-321.34956402755 145.014516865537 -224.469012488284</t>
  </si>
  <si>
    <t>-611.345105676634 127.663618333391 -96.2328819197169</t>
  </si>
  <si>
    <t>-627.222838806476 141.345686011574 318.813232619216</t>
  </si>
  <si>
    <t>-670.444980705287 172.157284309551 778.916693626804</t>
  </si>
  <si>
    <t>-519.884577577453 173.538817826154 835.604277113322</t>
  </si>
  <si>
    <t>-597.964382968389 -67.5005657911888 322.973694432489</t>
  </si>
  <si>
    <t>-653.753038702152 -104.042437651651 781.154141290163</t>
  </si>
  <si>
    <t>-499.785622606798 -121.997941126944 824.229235735676</t>
  </si>
  <si>
    <t>9763-20170724T115408.530631500.bin</t>
  </si>
  <si>
    <t>-609.550080950426 34.510450117491 -92.6190127421509</t>
  </si>
  <si>
    <t>-634.223342345825 31.7768968913476 -200.513717345244</t>
  </si>
  <si>
    <t>-651.235506795298 28.8660688516711 -291.771205360011</t>
  </si>
  <si>
    <t>-666.045535901803 25.9760808256722 -374.296644269175</t>
  </si>
  <si>
    <t>-679.737923886261 22.8093312220251 -457.004784974491</t>
  </si>
  <si>
    <t>-698.531793006194 17.8648071086166 -578.113343137211</t>
  </si>
  <si>
    <t>-695.917437933632 15.0936984370037 -656.380149951391</t>
  </si>
  <si>
    <t>-689.359146515251 51.3496608943917 -526.394139547769</t>
  </si>
  <si>
    <t>-659.710595496786 203.840015222532 -512.229219137316</t>
  </si>
  <si>
    <t>-542.07160950672 212.140847168354 -255.966212012426</t>
  </si>
  <si>
    <t>-321.58534617537 146.213909212859 -224.534038705265</t>
  </si>
  <si>
    <t>-611.914578782403 126.707298544234 -96.2263526816785</t>
  </si>
  <si>
    <t>-627.513624030072 140.810278284897 318.816242876932</t>
  </si>
  <si>
    <t>-670.445294459613 172.079671964567 778.923295616953</t>
  </si>
  <si>
    <t>-519.881125070964 173.562672484653 835.598133249637</t>
  </si>
  <si>
    <t>-597.91403531389 -67.958460266063 322.944015403757</t>
  </si>
  <si>
    <t>-653.799907054537 -104.072822506809 781.135077954449</t>
  </si>
  <si>
    <t>-499.801470042951 -121.856501804554 824.170461667341</t>
  </si>
  <si>
    <t>9763-20170724T115408.563732000.bin</t>
  </si>
  <si>
    <t>-609.645598387636 34.1325358440351 -92.6189729741997</t>
  </si>
  <si>
    <t>-634.35592635913 31.3870501161607 -200.504821301647</t>
  </si>
  <si>
    <t>-651.473326907791 28.5169495318589 -291.743987165025</t>
  </si>
  <si>
    <t>-666.407443178635 25.683129824361 -374.248989448014</t>
  </si>
  <si>
    <t>-680.252682947891 22.5961321150298 -456.934675792075</t>
  </si>
  <si>
    <t>-699.300901215741 17.7965975147617 -578.009295487941</t>
  </si>
  <si>
    <t>-696.800273202362 15.0921966742703 -656.282187382128</t>
  </si>
  <si>
    <t>-690.277820951493 51.2278583235911 -526.229186745482</t>
  </si>
  <si>
    <t>-661.527799950367 203.913471112888 -512.044233942178</t>
  </si>
  <si>
    <t>-542.29733761998 213.004527288815 -256.544618890493</t>
  </si>
  <si>
    <t>-321.947184022131 146.844161524949 -224.651875694922</t>
  </si>
  <si>
    <t>-612.185838490515 126.323781000136 -96.2123378421436</t>
  </si>
  <si>
    <t>-627.532547069798 140.55165369802 318.835435807226</t>
  </si>
  <si>
    <t>-670.422902281503 172.12010339077 778.92836066707</t>
  </si>
  <si>
    <t>-519.85916016211 173.460520332284 835.608083819875</t>
  </si>
  <si>
    <t>-597.867904812016 -68.1743389897929 322.928002398858</t>
  </si>
  <si>
    <t>-653.834252955322 -104.090702671805 781.124122283886</t>
  </si>
  <si>
    <t>-499.817298273297 -121.799185776534 824.124313051449</t>
  </si>
  <si>
    <t>9763-20170724T115408.630980000.bin</t>
  </si>
  <si>
    <t>-609.74204816205 33.421446762771 -92.5914624731606</t>
  </si>
  <si>
    <t>-634.59102164805 30.6421083077771 -200.444576636385</t>
  </si>
  <si>
    <t>-651.95388285059 27.8462143688016 -291.63971179073</t>
  </si>
  <si>
    <t>-667.159933114795 25.1176581872066 -374.098683770171</t>
  </si>
  <si>
    <t>-681.326905595623 22.1837038110768 -456.735322507372</t>
  </si>
  <si>
    <t>-700.899410446523 17.663388182031 -577.736981558916</t>
  </si>
  <si>
    <t>-698.659583683032 15.1108753124815 -656.022795505419</t>
  </si>
  <si>
    <t>-692.214708519423 50.9855084103779 -525.828756198903</t>
  </si>
  <si>
    <t>-665.437812056362 204.008335290515 -511.53592774774</t>
  </si>
  <si>
    <t>-543.012814739206 214.475431079341 -257.604695964273</t>
  </si>
  <si>
    <t>-322.559724935031 149.148775665751 -224.720088167649</t>
  </si>
  <si>
    <t>-612.681811785262 125.536615429797 -96.1301561960054</t>
  </si>
  <si>
    <t>-627.561857714912 140.059745742281 318.924343051483</t>
  </si>
  <si>
    <t>-670.395421863986 172.125066695216 778.967408142374</t>
  </si>
  <si>
    <t>-519.832122929937 173.499880657852 835.647444886075</t>
  </si>
  <si>
    <t>-597.647656136095 -68.5575581343264 322.916893657734</t>
  </si>
  <si>
    <t>-653.921416018001 -104.105752909257 781.097937000993</t>
  </si>
  <si>
    <t>-499.87179527005 -121.746492439542 824.008866486318</t>
  </si>
  <si>
    <t>9763-20170724T115408.660062100.bin</t>
  </si>
  <si>
    <t>-609.718451411053 33.1647935630074 -92.5686107163575</t>
  </si>
  <si>
    <t>-634.612163681875 30.3444173615308 -200.410423820837</t>
  </si>
  <si>
    <t>-652.093212383548 27.5857982422785 -291.584011997843</t>
  </si>
  <si>
    <t>-667.437729544951 24.9172639827816 -374.019084433603</t>
  </si>
  <si>
    <t>-681.774897795336 22.074417284713 -456.629641096181</t>
  </si>
  <si>
    <t>-701.630688203496 17.7227382403805 -577.591307514889</t>
  </si>
  <si>
    <t>-699.544177782579 15.2773310457694 -655.885008655065</t>
  </si>
  <si>
    <t>-693.109052721347 50.973618746985 -525.610644714</t>
  </si>
  <si>
    <t>-667.326567223416 204.161483085825 -511.167482653615</t>
  </si>
  <si>
    <t>-543.016199905481 215.642935402617 -258.197678168816</t>
  </si>
  <si>
    <t>-322.495949055116 150.77747622881 -224.853590515445</t>
  </si>
  <si>
    <t>-612.946122379731 125.203823814517 -96.0815179750421</t>
  </si>
  <si>
    <t>-627.629785683533 139.884783351095 318.974484333401</t>
  </si>
  <si>
    <t>-670.379401179423 172.164353171989 779.006384688289</t>
  </si>
  <si>
    <t>-519.810319994052 173.464785836866 835.672840824751</t>
  </si>
  <si>
    <t>-597.488427388816 -68.6572231787391 322.917917013715</t>
  </si>
  <si>
    <t>-653.971444491683 -104.099835089696 781.07797567824</t>
  </si>
  <si>
    <t>-499.881280482958 -121.546895570198 823.922364674733</t>
  </si>
  <si>
    <t>9763-20170724T115408.730252600.bin</t>
  </si>
  <si>
    <t>-609.551170963995 32.7655040729446 -92.4657416339088</t>
  </si>
  <si>
    <t>-634.6038561373 29.8017941508831 -200.266855818917</t>
  </si>
  <si>
    <t>-652.32349662933 27.0610273132031 -291.395033205386</t>
  </si>
  <si>
    <t>-667.924747241825 24.4563417731306 -373.784084180086</t>
  </si>
  <si>
    <t>-682.559845913806 21.7351652200937 -456.346392145033</t>
  </si>
  <si>
    <t>-702.896139883922 17.627063003162 -577.236735152596</t>
  </si>
  <si>
    <t>-701.063908295862 15.3552279367191 -655.541916351735</t>
  </si>
  <si>
    <t>-694.745068123215 50.7674091333004 -525.126186165651</t>
  </si>
  <si>
    <t>-671.036880398139 204.243936328182 -510.37225013141</t>
  </si>
  <si>
    <t>-542.665937562579 217.789948068491 -259.54156725089</t>
  </si>
  <si>
    <t>-321.739683310634 155.084881436203 -224.782593213004</t>
  </si>
  <si>
    <t>-497.488115625109 1.50720909195275 -461.805553976967</t>
  </si>
  <si>
    <t>-613.531468413252 124.552429173637 -95.9476008992299</t>
  </si>
  <si>
    <t>-627.756275762158 139.58686242017 319.111718257878</t>
  </si>
  <si>
    <t>-670.394535093015 172.104071169076 779.129443740892</t>
  </si>
  <si>
    <t>-519.804126961654 173.590280252206 835.734563115058</t>
  </si>
  <si>
    <t>-596.824688148731 -68.6783715150107 322.990480811051</t>
  </si>
  <si>
    <t>-654.112186287097 -104.075306743376 781.035881186509</t>
  </si>
  <si>
    <t>-499.951554405153 -121.3871976731 823.681228935146</t>
  </si>
  <si>
    <t>9763-20170724T115408.761337200.bin</t>
  </si>
  <si>
    <t>-609.452836085251 32.6837992587032 -92.3878875313685</t>
  </si>
  <si>
    <t>-634.611340926961 29.6457776493435 -200.162352662315</t>
  </si>
  <si>
    <t>-652.459227964535 26.9188745382778 -291.265860806169</t>
  </si>
  <si>
    <t>-668.19151239112 24.3536760035167 -373.631137208401</t>
  </si>
  <si>
    <t>-682.973089747099 21.7035407368519 -456.169656866128</t>
  </si>
  <si>
    <t>-703.540429200151 17.7349633651763 -577.025764840765</t>
  </si>
  <si>
    <t>-701.830043911343 15.5710887502435 -655.336532669395</t>
  </si>
  <si>
    <t>-695.590795896572 50.807688183289 -524.840915027331</t>
  </si>
  <si>
    <t>-672.948174397915 204.431091041109 -509.824730079484</t>
  </si>
  <si>
    <t>-542.321616098681 219.511534881281 -260.249295626937</t>
  </si>
  <si>
    <t>-321.412799944962 157.065012579239 -224.918595738844</t>
  </si>
  <si>
    <t>-497.449246585944 5.98308460040289 -463.862524011046</t>
  </si>
  <si>
    <t>-613.845491171995 124.357895757438 -95.8603421077466</t>
  </si>
  <si>
    <t>-627.766196975785 139.497789168088 319.205386548743</t>
  </si>
  <si>
    <t>-670.388416503465 172.104546596411 779.206131375532</t>
  </si>
  <si>
    <t>-519.790780974007 173.618112039819 835.791333116284</t>
  </si>
  <si>
    <t>-596.262015745144 -68.5090356829862 323.054472944749</t>
  </si>
  <si>
    <t>-654.199224065887 -104.044377719925 781.007331986496</t>
  </si>
  <si>
    <t>-499.979858776187 -121.138527232086 823.527834711844</t>
  </si>
  <si>
    <t>9763-20170724T115408.830067900.bin</t>
  </si>
  <si>
    <t>-609.229108179885 32.7261734329982 -92.2113907676481</t>
  </si>
  <si>
    <t>-634.625622884703 29.5028867121293 -199.924632775395</t>
  </si>
  <si>
    <t>-652.761551719783 26.7865296161046 -290.971538092782</t>
  </si>
  <si>
    <t>-668.788516902367 24.2891643346213 -373.282111281664</t>
  </si>
  <si>
    <t>-683.899957755696 21.7747024563093 -455.765132669599</t>
  </si>
  <si>
    <t>-704.988160327541 18.0809248362987 -576.540105603695</t>
  </si>
  <si>
    <t>-703.570864045555 16.17538134802 -654.863555246358</t>
  </si>
  <si>
    <t>-697.391422586391 51.0120859284857 -524.213377906193</t>
  </si>
  <si>
    <t>-677.05392473377 204.915707023116 -508.765862719732</t>
  </si>
  <si>
    <t>-542.183623059675 223.408305725527 -261.689817891235</t>
  </si>
  <si>
    <t>-321.83858058274 159.541971259992 -225.389865089937</t>
  </si>
  <si>
    <t>-498.041967884976 14.4114375004176 -467.512747389998</t>
  </si>
  <si>
    <t>-614.462658375169 124.207694782727 -95.6492724767625</t>
  </si>
  <si>
    <t>-627.790527111675 139.439381991236 319.432659156139</t>
  </si>
  <si>
    <t>-670.368876891981 172.196611581346 779.416055955287</t>
  </si>
  <si>
    <t>-519.755096098697 173.672119679138 835.959271560038</t>
  </si>
  <si>
    <t>-594.854685913196 -68.045982204037 323.23414026481</t>
  </si>
  <si>
    <t>-654.395633789767 -104.000736348311 780.936300606763</t>
  </si>
  <si>
    <t>-500.09828212049 -121.104837238494 823.169070223534</t>
  </si>
  <si>
    <t>9763-20170724T115408.860652900.bin</t>
  </si>
  <si>
    <t>-609.076891781165 32.819184891438 -92.0974099474419</t>
  </si>
  <si>
    <t>-634.564351735602 29.5041291512218 -199.78629573906</t>
  </si>
  <si>
    <t>-652.809399944287 26.7827796310967 -290.811305648726</t>
  </si>
  <si>
    <t>-668.947772426778 24.3053969282298 -373.100635360125</t>
  </si>
  <si>
    <t>-684.183937025222 21.8398103401285 -455.562286752319</t>
  </si>
  <si>
    <t>-705.469016454871 18.2502930594699 -576.30580132873</t>
  </si>
  <si>
    <t>-704.170629862402 16.4820294827102 -654.63467851671</t>
  </si>
  <si>
    <t>-698.056714688448 51.1216975297652 -523.915211219587</t>
  </si>
  <si>
    <t>-678.835843227923 205.147230752212 -508.265365926933</t>
  </si>
  <si>
    <t>-542.165172865335 225.385053826926 -262.31798024169</t>
  </si>
  <si>
    <t>-322.313820010815 159.989229132445 -225.748888357243</t>
  </si>
  <si>
    <t>-498.073976772772 18.3036188446831 -469.085037673224</t>
  </si>
  <si>
    <t>-614.707610186878 124.218754765474 -95.5161141076906</t>
  </si>
  <si>
    <t>-627.842189363713 139.470385529753 319.57116130228</t>
  </si>
  <si>
    <t>-670.346921696819 172.314627277777 779.539361623416</t>
  </si>
  <si>
    <t>-519.721069976549 173.669297484823 836.053435621253</t>
  </si>
  <si>
    <t>-594.074153283354 -67.7993326972378 323.341781229251</t>
  </si>
  <si>
    <t>-654.493878608714 -103.969892268889 780.901761116618</t>
  </si>
  <si>
    <t>-500.154651276757 -121.055632537752 822.988586775148</t>
  </si>
  <si>
    <t>9763-20170724T115408.926831400.bin</t>
  </si>
  <si>
    <t>-608.626445128162 33.095325999398 -91.8438225543658</t>
  </si>
  <si>
    <t>-634.200928469378 29.6045078671702 -199.506499796584</t>
  </si>
  <si>
    <t>-652.61560438832 26.9048264924643 -290.498009794431</t>
  </si>
  <si>
    <t>-668.945706130798 24.5061285499273 -372.751893408073</t>
  </si>
  <si>
    <t>-684.413080559331 22.1870284904005 -455.174586728329</t>
  </si>
  <si>
    <t>-706.079976641056 18.8873305644745 -575.858563829189</t>
  </si>
  <si>
    <t>-705.012631922703 17.4315258462627 -654.197136687629</t>
  </si>
  <si>
    <t>-699.015683794013 51.5983824766233 -523.319576671457</t>
  </si>
  <si>
    <t>-681.83869392048 205.817307206405 -507.251396829848</t>
  </si>
  <si>
    <t>-542.163708549772 229.705221928857 -263.327514634024</t>
  </si>
  <si>
    <t>-323.331701933719 160.912980569158 -226.876188606901</t>
  </si>
  <si>
    <t>-498.298768694872 25.6800174138273 -471.511377243799</t>
  </si>
  <si>
    <t>-615.049844317175 124.245823453313 -95.2277706277177</t>
  </si>
  <si>
    <t>-628.005884414468 139.607957729646 319.861076129698</t>
  </si>
  <si>
    <t>-670.338330346238 172.352538127365 779.835005603813</t>
  </si>
  <si>
    <t>-519.690492300795 173.88025379131 836.286108145682</t>
  </si>
  <si>
    <t>-592.59027995124 -67.2792880873692 323.543040693954</t>
  </si>
  <si>
    <t>-654.676382677388 -103.931356775006 780.809177689822</t>
  </si>
  <si>
    <t>-500.239481154277 -120.78426534952 822.630784180576</t>
  </si>
  <si>
    <t>9763-20170724T115408.962936600.bin</t>
  </si>
  <si>
    <t>-608.314572206794 33.2490837727537 -91.7667156829275</t>
  </si>
  <si>
    <t>-633.910382205386 29.6817948115099 -199.421771469803</t>
  </si>
  <si>
    <t>-652.420774387339 26.9935706293923 -290.394210867785</t>
  </si>
  <si>
    <t>-668.868503362236 24.6314981513246 -372.625818142048</t>
  </si>
  <si>
    <t>-684.48536249852 22.3794475487384 -455.022199225786</t>
  </si>
  <si>
    <t>-706.406120617247 19.2113919765075 -575.663742909409</t>
  </si>
  <si>
    <t>-705.488420803427 17.8952174460635 -654.006848905187</t>
  </si>
  <si>
    <t>-699.485898396489 51.8446566861444 -523.057465117366</t>
  </si>
  <si>
    <t>-683.444756496796 206.16609633873 -506.764428288509</t>
  </si>
  <si>
    <t>-542.295184584754 231.595999469391 -263.847417822299</t>
  </si>
  <si>
    <t>-324.181077622203 160.331079989472 -227.846285277441</t>
  </si>
  <si>
    <t>-498.721215276461 29.0087458900537 -472.153228593872</t>
  </si>
  <si>
    <t>-615.110885198636 124.321861152598 -95.1372631701328</t>
  </si>
  <si>
    <t>-628.022647101564 139.670614925693 319.95347866461</t>
  </si>
  <si>
    <t>-670.329025750318 172.374621518105 779.9302674007</t>
  </si>
  <si>
    <t>-519.676709729318 173.936477329895 836.368425371941</t>
  </si>
  <si>
    <t>-591.881909957214 -67.1065692473655 323.585548021449</t>
  </si>
  <si>
    <t>-654.751684637525 -103.928869029037 780.714056722628</t>
  </si>
  <si>
    <t>-500.316866856955 -121.022034990578 822.445746299819</t>
  </si>
  <si>
    <t>9763-20170724T115409.030115800.bin</t>
  </si>
  <si>
    <t>-607.619930909428 33.6868851801626 -91.6918350069052</t>
  </si>
  <si>
    <t>-633.266821337619 30.0003726613495 -199.330710378108</t>
  </si>
  <si>
    <t>-651.961900414917 27.3961367524043 -290.267834864128</t>
  </si>
  <si>
    <t>-668.633759345531 25.1765040807531 -372.458189042215</t>
  </si>
  <si>
    <t>-684.53361883177 23.1407993565349 -454.806099836482</t>
  </si>
  <si>
    <t>-706.933669773727 20.3713081138444 -575.369394059904</t>
  </si>
  <si>
    <t>-706.346130502147 19.3860711292755 -653.720527372552</t>
  </si>
  <si>
    <t>-700.294224972351 52.7848287734359 -522.591304526541</t>
  </si>
  <si>
    <t>-686.264550064884 207.233385641616 -505.664775597123</t>
  </si>
  <si>
    <t>-542.570212788613 234.926674540298 -264.493490407142</t>
  </si>
  <si>
    <t>-325.75615923822 159.870292115679 -228.344598310495</t>
  </si>
  <si>
    <t>-500.080967914789 36.5177353532388 -472.919847783503</t>
  </si>
  <si>
    <t>-615.039585576133 124.713229843822 -95.0399565911887</t>
  </si>
  <si>
    <t>-628.03582952455 139.892836334743 320.054384350689</t>
  </si>
  <si>
    <t>-670.291415679493 172.485299804244 780.033961638519</t>
  </si>
  <si>
    <t>-519.634088028509 174.052460457992 836.458438060278</t>
  </si>
  <si>
    <t>-590.423370726394 -66.7800984076637 323.6041982097</t>
  </si>
  <si>
    <t>-654.903003373735 -103.912621387217 780.479296826499</t>
  </si>
  <si>
    <t>-500.408988038639 -120.92156785676 822.025835251331</t>
  </si>
  <si>
    <t>9763-20170724T115409.061202800.bin</t>
  </si>
  <si>
    <t>-607.252796175657 33.8601388793804 -91.680241627246</t>
  </si>
  <si>
    <t>-632.924054006201 30.1171557952953 -199.311449908432</t>
  </si>
  <si>
    <t>-651.683767674629 27.572636194227 -290.236899585316</t>
  </si>
  <si>
    <t>-668.432140212256 25.4464545677631 -372.414154693969</t>
  </si>
  <si>
    <t>-684.427549628355 23.5472006601012 -454.746907338581</t>
  </si>
  <si>
    <t>-706.988644248211 21.0253771123953 -575.285451092757</t>
  </si>
  <si>
    <t>-706.571112219566 20.2315389552332 -653.639837101461</t>
  </si>
  <si>
    <t>-700.515768481667 53.3054243104052 -522.404936437644</t>
  </si>
  <si>
    <t>-687.461374054187 207.801766389568 -505.13161193691</t>
  </si>
  <si>
    <t>-542.901101428484 236.253039337227 -264.566845726279</t>
  </si>
  <si>
    <t>-326.666330741761 159.176172998699 -229.20866512306</t>
  </si>
  <si>
    <t>-500.876540245995 39.8310732854432 -472.895593727262</t>
  </si>
  <si>
    <t>-614.93264735915 124.862244328315 -95.0107988831136</t>
  </si>
  <si>
    <t>-627.931360784108 139.972623463404 320.08592924661</t>
  </si>
  <si>
    <t>-670.278817403748 172.50415610959 780.064270749338</t>
  </si>
  <si>
    <t>-519.622232837461 174.153915208423 836.488402353604</t>
  </si>
  <si>
    <t>-589.650707983763 -66.6187165918377 323.598795635265</t>
  </si>
  <si>
    <t>-654.976591937169 -103.928534147456 780.34557412357</t>
  </si>
  <si>
    <t>-500.479753173159 -121.122406122968 821.805419367264</t>
  </si>
  <si>
    <t>9763-20170724T115409.129387400.bin</t>
  </si>
  <si>
    <t>-606.644657918431 34.3738635229033 -91.7051745021586</t>
  </si>
  <si>
    <t>-632.26245656008 30.5269263641476 -199.345426433782</t>
  </si>
  <si>
    <t>-651.088020799958 28.0235333986263 -290.258460634951</t>
  </si>
  <si>
    <t>-667.940808670483 25.9790011693467 -372.416466368124</t>
  </si>
  <si>
    <t>-684.08715890977 24.211545273997 -454.72260383358</t>
  </si>
  <si>
    <t>-706.920602300489 21.9383794117218 -575.214815742588</t>
  </si>
  <si>
    <t>-706.790500833101 21.4457084395492 -653.572741609573</t>
  </si>
  <si>
    <t>-700.719055660185 54.0636013537896 -522.207656434117</t>
  </si>
  <si>
    <t>-689.583501877644 208.648103134697 -504.368003583463</t>
  </si>
  <si>
    <t>-543.253009886587 237.8862520316 -264.970615284763</t>
  </si>
  <si>
    <t>-328.050138542731 157.492172016839 -230.720874084643</t>
  </si>
  <si>
    <t>-501.919351715901 45.9028814264136 -471.834075868326</t>
  </si>
  <si>
    <t>-614.849863727264 125.433779905427 -94.9926390901256</t>
  </si>
  <si>
    <t>-627.92419001809 140.280195713414 320.111281259441</t>
  </si>
  <si>
    <t>-670.232272455265 172.670555269526 780.106591742201</t>
  </si>
  <si>
    <t>-519.580000200475 174.201514808762 836.545765123852</t>
  </si>
  <si>
    <t>-588.185993838788 -66.2790837978027 323.542866962073</t>
  </si>
  <si>
    <t>-655.072435762455 -103.946271414636 780.06187915578</t>
  </si>
  <si>
    <t>-500.602403421776 -121.584647634598 821.43478621661</t>
  </si>
  <si>
    <t>9763-20170724T115409.160481100.bin</t>
  </si>
  <si>
    <t>-606.445398220564 34.6628691251778 -91.7045306547228</t>
  </si>
  <si>
    <t>-632.047718318901 30.7677423223506 -199.346835015014</t>
  </si>
  <si>
    <t>-650.912854385475 28.2723604088424 -290.251717719898</t>
  </si>
  <si>
    <t>-667.822749234817 26.2507972430897 -372.398514226519</t>
  </si>
  <si>
    <t>-684.04800608285 24.5249567129599 -454.690081400711</t>
  </si>
  <si>
    <t>-707.02121949347 22.3328615351966 -575.157395904503</t>
  </si>
  <si>
    <t>-706.983886380792 21.9564276213014 -653.515895267525</t>
  </si>
  <si>
    <t>-700.915210223501 54.4025062140224 -522.105466099913</t>
  </si>
  <si>
    <t>-690.575811928734 209.013623966416 -504.059159235989</t>
  </si>
  <si>
    <t>-543.425110494845 238.287326498808 -265.169393904987</t>
  </si>
  <si>
    <t>-328.902774404381 155.689050746231 -231.909316261399</t>
  </si>
  <si>
    <t>-502.479643429296 48.750907823566 -470.881405902507</t>
  </si>
  <si>
    <t>-614.88868328277 125.708701150946 -94.9781396342308</t>
  </si>
  <si>
    <t>-628.041492744779 140.487729753029 320.125708569796</t>
  </si>
  <si>
    <t>-670.226139822271 172.694159442947 780.134345796138</t>
  </si>
  <si>
    <t>-519.572825558468 174.32165506352 836.567985671177</t>
  </si>
  <si>
    <t>-587.474507062661 -66.0634344390592 323.513291190081</t>
  </si>
  <si>
    <t>-655.113508950124 -103.940411255718 779.907306318135</t>
  </si>
  <si>
    <t>-500.615427297794 -121.413421807204 821.245628485411</t>
  </si>
  <si>
    <t>9763-20170724T115409.230669600.bin</t>
  </si>
  <si>
    <t>-606.258863229541 35.438129506874 -91.7333344469416</t>
  </si>
  <si>
    <t>-631.86270261382 31.4138651209178 -199.370539378464</t>
  </si>
  <si>
    <t>-650.793198346287 28.9482720405199 -290.26262479917</t>
  </si>
  <si>
    <t>-667.788237222622 27.0035656452276 -372.393782847873</t>
  </si>
  <si>
    <t>-684.126060203542 25.4078931391323 -454.66565629137</t>
  </si>
  <si>
    <t>-707.294626652319 23.464710774701 -575.099843179568</t>
  </si>
  <si>
    <t>-707.403476749828 23.267898741864 -653.458963498014</t>
  </si>
  <si>
    <t>-701.340466475463 55.3928475954806 -521.94543992365</t>
  </si>
  <si>
    <t>-691.992243488841 210.022119848343 -503.594555225324</t>
  </si>
  <si>
    <t>-543.460491491562 238.869840144945 -265.509090466996</t>
  </si>
  <si>
    <t>-330.340201233867 152.119743598128 -233.843780259688</t>
  </si>
  <si>
    <t>-504.130596456859 54.2818191081099 -469.044527037904</t>
  </si>
  <si>
    <t>-615.227879107736 126.449532667512 -94.993963843731</t>
  </si>
  <si>
    <t>-628.292492295109 141.031218234025 320.119623008545</t>
  </si>
  <si>
    <t>-670.211991931131 172.797463438842 780.189373242229</t>
  </si>
  <si>
    <t>-519.547787079256 174.509024037739 836.591388610046</t>
  </si>
  <si>
    <t>-586.443970470823 -65.336560915008 323.449823700405</t>
  </si>
  <si>
    <t>-655.162649121806 -103.94000820947 779.60036867813</t>
  </si>
  <si>
    <t>-500.644616707869 -121.267446237096 820.925394746105</t>
  </si>
  <si>
    <t>9763-20170724T115409.261253100.bin</t>
  </si>
  <si>
    <t>-606.315936088174 35.8445346382853 -91.765697657137</t>
  </si>
  <si>
    <t>-631.919711837856 31.8006698594772 -199.402059779919</t>
  </si>
  <si>
    <t>-650.873899557472 29.367927115406 -290.290209495961</t>
  </si>
  <si>
    <t>-667.900171624243 27.4705730601672 -372.415934002499</t>
  </si>
  <si>
    <t>-684.27944298336 25.9414907314861 -454.680898242829</t>
  </si>
  <si>
    <t>-707.52006544779 24.1170236603448 -575.103002939209</t>
  </si>
  <si>
    <t>-707.673983156516 23.9653398801554 -653.462261069618</t>
  </si>
  <si>
    <t>-701.612755140809 55.9819103686664 -521.905465319058</t>
  </si>
  <si>
    <t>-692.528323965534 210.620644068177 -503.45517999842</t>
  </si>
  <si>
    <t>-543.543140556686 239.040263195721 -265.601510050948</t>
  </si>
  <si>
    <t>-331.304330539404 149.508237264449 -235.814865584956</t>
  </si>
  <si>
    <t>-505.255785284879 57.0157932699765 -468.40899752252</t>
  </si>
  <si>
    <t>-615.423301266624 126.844808723729 -95.0004503043039</t>
  </si>
  <si>
    <t>-628.409578532056 141.32514710889 320.11916573465</t>
  </si>
  <si>
    <t>-670.201568305861 172.870377296874 780.21404779125</t>
  </si>
  <si>
    <t>-519.525925754756 174.552576392502 836.586470710673</t>
  </si>
  <si>
    <t>-586.267839421409 -65.029417743358 323.391208536497</t>
  </si>
  <si>
    <t>-655.178059298067 -103.989776354597 779.462751577316</t>
  </si>
  <si>
    <t>-500.692990663831 -121.549842083391 820.812897428851</t>
  </si>
  <si>
    <t>9763-20170724T115409.329477500.bin</t>
  </si>
  <si>
    <t>-606.799847536984 36.5501509665605 -91.8762827387363</t>
  </si>
  <si>
    <t>-632.37386756576 32.5487817490095 -199.521258702501</t>
  </si>
  <si>
    <t>-651.324051729604 30.2320039221968 -290.413356721338</t>
  </si>
  <si>
    <t>-668.355990783669 28.4720070724279 -372.540892408848</t>
  </si>
  <si>
    <t>-684.751045324577 27.1136390605511 -454.80580722388</t>
  </si>
  <si>
    <t>-708.026418604345 25.5756020114377 -575.225137348043</t>
  </si>
  <si>
    <t>-708.230697892129 25.5002891143113 -653.584255739458</t>
  </si>
  <si>
    <t>-702.195336463182 57.300749847419 -521.935753619301</t>
  </si>
  <si>
    <t>-693.269768282166 211.93241988419 -503.417798944869</t>
  </si>
  <si>
    <t>-543.85819086325 239.581588814549 -265.741047987418</t>
  </si>
  <si>
    <t>-333.202460981763 145.127885514185 -240.222666531211</t>
  </si>
  <si>
    <t>-507.780154831142 62.1926437800207 -467.734851976819</t>
  </si>
  <si>
    <t>-615.77864316212 127.568705579157 -95.0543948885294</t>
  </si>
  <si>
    <t>-628.737508664527 141.845504370004 320.073141962953</t>
  </si>
  <si>
    <t>-670.195466978627 172.994371796455 780.257465546649</t>
  </si>
  <si>
    <t>-519.488427922236 174.591888732158 836.548300481752</t>
  </si>
  <si>
    <t>-586.615387978614 -64.611780528091 323.223814212484</t>
  </si>
  <si>
    <t>-655.214568360218 -104.049963480978 779.263874773684</t>
  </si>
  <si>
    <t>-500.733904952728 -121.566903455893 820.64868029541</t>
  </si>
  <si>
    <t>9763-20170724T115409.365068200.bin</t>
  </si>
  <si>
    <t>-607.219832443688 36.7941252612302 -91.9357404627606</t>
  </si>
  <si>
    <t>-632.750809177431 32.8436877922104 -199.592871771439</t>
  </si>
  <si>
    <t>-651.674015898819 30.6008301607044 -290.49235988798</t>
  </si>
  <si>
    <t>-668.686040394992 28.9210896054585 -372.625849563912</t>
  </si>
  <si>
    <t>-685.065812005964 27.6564956252951 -454.895175988361</t>
  </si>
  <si>
    <t>-708.324278287639 26.2708145853721 -575.319671499214</t>
  </si>
  <si>
    <t>-708.538917285717 26.2291217726197 -653.678759912448</t>
  </si>
  <si>
    <t>-702.515175124238 57.9265419679314 -521.986527832453</t>
  </si>
  <si>
    <t>-693.549919066632 212.576441785354 -503.530518110105</t>
  </si>
  <si>
    <t>-544.109120004812 239.806587566816 -265.823665971951</t>
  </si>
  <si>
    <t>-334.026208089791 143.450308571761 -242.820144113073</t>
  </si>
  <si>
    <t>-509.077282561165 64.6927247355268 -467.624102110095</t>
  </si>
  <si>
    <t>-616.00789406742 127.883711977059 -95.1001976822381</t>
  </si>
  <si>
    <t>-628.910321606219 142.08046862531 320.031780704478</t>
  </si>
  <si>
    <t>-670.197109505989 173.064283739254 780.272860507596</t>
  </si>
  <si>
    <t>-519.472149395809 174.539970602997 836.519015085699</t>
  </si>
  <si>
    <t>-587.016820123471 -64.4767631595482 323.129041743787</t>
  </si>
  <si>
    <t>-655.228760295773 -104.077449611689 779.206203807792</t>
  </si>
  <si>
    <t>-500.754570832645 -121.608011549556 820.609456172631</t>
  </si>
  <si>
    <t>9763-20170724T115409.431245300.bin</t>
  </si>
  <si>
    <t>-608.229193934753 37.0678542466767 -92.0388644889076</t>
  </si>
  <si>
    <t>-633.681184965079 33.2569233261358 -199.719755503151</t>
  </si>
  <si>
    <t>-652.570559470228 31.1636595569021 -290.629820231698</t>
  </si>
  <si>
    <t>-669.566382532276 29.6349146521657 -372.7696392424</t>
  </si>
  <si>
    <t>-685.944752706096 28.536893957096 -455.0414927027</t>
  </si>
  <si>
    <t>-709.218049139904 27.4119356575152 -575.465847951565</t>
  </si>
  <si>
    <t>-709.450503844583 27.4147177726472 -653.825033027463</t>
  </si>
  <si>
    <t>-703.42462174884 58.9487137949905 -522.060831272087</t>
  </si>
  <si>
    <t>-694.315572733258 213.609583703674 -503.72838519793</t>
  </si>
  <si>
    <t>-544.728491336396 239.579216187804 -265.972413835106</t>
  </si>
  <si>
    <t>-335.50801316207 140.205716700824 -248.645490027553</t>
  </si>
  <si>
    <t>-511.845957775623 69.1539898045785 -467.299780145228</t>
  </si>
  <si>
    <t>-616.548898450887 128.32130291573 -95.1668732588987</t>
  </si>
  <si>
    <t>-629.339802832567 142.407601032011 319.972396359294</t>
  </si>
  <si>
    <t>-670.18926151442 173.242151421777 780.29097746883</t>
  </si>
  <si>
    <t>-519.429525767263 174.59811225707 836.446879263496</t>
  </si>
  <si>
    <t>-587.978812230133 -64.3444748576685 322.963753556285</t>
  </si>
  <si>
    <t>-655.248648385224 -104.160705643826 779.158997297871</t>
  </si>
  <si>
    <t>-500.810462722303 -121.896780278806 820.608951433807</t>
  </si>
  <si>
    <t>9763-20170724T115409.462329200.bin</t>
  </si>
  <si>
    <t>-608.784546261258 37.18849636815 -92.0731705144088</t>
  </si>
  <si>
    <t>-634.213520878571 33.4391478758173 -199.761684022443</t>
  </si>
  <si>
    <t>-653.074407559138 31.4188440294392 -290.679290363977</t>
  </si>
  <si>
    <t>-670.041438486539 29.9657808662002 -372.826361523133</t>
  </si>
  <si>
    <t>-686.388194793234 28.9531671949069 -455.105803145799</t>
  </si>
  <si>
    <t>-709.612511909538 27.9641665498652 -575.540687031697</t>
  </si>
  <si>
    <t>-709.83843120445 27.9741877789504 -653.899910650264</t>
  </si>
  <si>
    <t>-703.857433342489 59.438303945926 -522.094436266748</t>
  </si>
  <si>
    <t>-694.785113548123 214.09588105277 -503.783840818242</t>
  </si>
  <si>
    <t>-544.928248290596 239.5723319309 -266.144383351296</t>
  </si>
  <si>
    <t>-335.950787422543 139.312171619894 -251.149328735372</t>
  </si>
  <si>
    <t>-513.205487836943 70.9160649740461 -467.016595713654</t>
  </si>
  <si>
    <t>-616.905863363867 128.525878170774 -95.1910390736823</t>
  </si>
  <si>
    <t>-629.582873724171 142.553674507216 319.95368182858</t>
  </si>
  <si>
    <t>-670.164479183943 173.3959475914 780.2915191631</t>
  </si>
  <si>
    <t>-519.389356833286 174.545271451518 836.410653453223</t>
  </si>
  <si>
    <t>-588.496217463854 -64.2942738480874 322.891903938377</t>
  </si>
  <si>
    <t>-655.259014136749 -104.204791761062 779.158205936106</t>
  </si>
  <si>
    <t>-500.815905844233 -121.862327203159 820.623405200191</t>
  </si>
  <si>
    <t>9763-20170724T115409.528508400.bin</t>
  </si>
  <si>
    <t>-609.868711321562 37.3782936647826 -92.1558093008088</t>
  </si>
  <si>
    <t>-635.277221573331 33.7314979448179 -199.852611941907</t>
  </si>
  <si>
    <t>-654.123921606395 31.8294462011029 -290.775800055521</t>
  </si>
  <si>
    <t>-671.080095922606 30.4975717927111 -372.927186505604</t>
  </si>
  <si>
    <t>-687.41844763064 29.6202832985152 -455.209736667139</t>
  </si>
  <si>
    <t>-710.633614763603 28.8452010886281 -575.648085417178</t>
  </si>
  <si>
    <t>-710.844919371091 28.896628853624 -654.007242178922</t>
  </si>
  <si>
    <t>-704.914788940268 60.2195093806331 -522.139239524354</t>
  </si>
  <si>
    <t>-695.859260575872 214.878531859873 -503.794004083066</t>
  </si>
  <si>
    <t>-545.308484773652 239.068208068361 -266.458942517721</t>
  </si>
  <si>
    <t>-336.757295492504 137.21052440611 -257.517707802267</t>
  </si>
  <si>
    <t>-516.303383309675 73.7350959869714 -466.424174408727</t>
  </si>
  <si>
    <t>-617.751949438478 128.744321039676 -95.2385888329408</t>
  </si>
  <si>
    <t>-630.158095464605 142.728316635646 319.915758391982</t>
  </si>
  <si>
    <t>-670.155426000296 173.437748877873 780.310708795547</t>
  </si>
  <si>
    <t>-519.351116123356 174.434872900507 836.354417247288</t>
  </si>
  <si>
    <t>-589.443873732171 -64.0979193481505 322.768108407144</t>
  </si>
  <si>
    <t>-655.271151748461 -104.282363832526 779.164517556298</t>
  </si>
  <si>
    <t>-500.848028493915 -122.011822332974 820.673357452635</t>
  </si>
  <si>
    <t>9763-20170724T115409.562603600.bin</t>
  </si>
  <si>
    <t>-610.421660862823 37.4659069228785 -92.2003892824905</t>
  </si>
  <si>
    <t>-635.838813086205 33.8565806147601 -199.896399579334</t>
  </si>
  <si>
    <t>-654.686148060543 32.0030748027079 -290.820506257459</t>
  </si>
  <si>
    <t>-671.64063703112 30.721854435777 -372.973065993395</t>
  </si>
  <si>
    <t>-687.975000736318 29.9028086782819 -455.257055158115</t>
  </si>
  <si>
    <t>-711.182110915183 29.2207893577543 -575.697346402658</t>
  </si>
  <si>
    <t>-711.368416960409 29.313866506581 -654.05656071203</t>
  </si>
  <si>
    <t>-705.475251894823 60.5525462897772 -522.162362993448</t>
  </si>
  <si>
    <t>-696.375307852504 215.196134247497 -503.770529922144</t>
  </si>
  <si>
    <t>-545.620728846802 238.659872044232 -266.492067625567</t>
  </si>
  <si>
    <t>-337.008215705546 136.767137200378 -259.619913974859</t>
  </si>
  <si>
    <t>-517.882592972496 74.8503258049241 -466.175925500041</t>
  </si>
  <si>
    <t>-618.257538985771 128.834523313461 -95.2682702561223</t>
  </si>
  <si>
    <t>-630.488881848564 142.786517526906 319.892357347587</t>
  </si>
  <si>
    <t>-670.171446756772 173.429661429151 780.308403867635</t>
  </si>
  <si>
    <t>-519.353910543538 174.453079022264 836.315886918424</t>
  </si>
  <si>
    <t>-589.794159298851 -63.9943246221176 322.709092375119</t>
  </si>
  <si>
    <t>-655.285838001979 -104.273650029224 779.154982423934</t>
  </si>
  <si>
    <t>-500.817509664332 -121.607328467177 820.662771550818</t>
  </si>
  <si>
    <t>9763-20170724T115409.627617000.bin</t>
  </si>
  <si>
    <t>-611.540250324898 37.6424406079634 -92.2863886473494</t>
  </si>
  <si>
    <t>-636.989810239175 34.0656965908343 -199.975891796228</t>
  </si>
  <si>
    <t>-655.813211494824 32.2629941085529 -290.905862615026</t>
  </si>
  <si>
    <t>-672.725806749422 31.0379782218511 -373.067856079089</t>
  </si>
  <si>
    <t>-688.998291813067 30.2855455327281 -455.36479719568</t>
  </si>
  <si>
    <t>-712.093048308992 29.7131157987978 -575.827451049268</t>
  </si>
  <si>
    <t>-712.224186637251 29.8958667152265 -654.186628030378</t>
  </si>
  <si>
    <t>-706.453161348482 60.9935889179869 -522.255397881838</t>
  </si>
  <si>
    <t>-697.104646884141 215.622658205252 -503.794188827111</t>
  </si>
  <si>
    <t>-546.57099504371 236.952881848989 -266.174295431169</t>
  </si>
  <si>
    <t>-337.450028209934 135.885143800007 -264.66922401254</t>
  </si>
  <si>
    <t>-520.760685133954 76.8243045580853 -465.784249925141</t>
  </si>
  <si>
    <t>-619.291870437176 129.028122112621 -95.3424188474188</t>
  </si>
  <si>
    <t>-631.115774249373 142.904331831666 319.832518476222</t>
  </si>
  <si>
    <t>-670.192201221321 173.42791813441 780.301886586117</t>
  </si>
  <si>
    <t>-519.352168742652 174.546189417803 836.246979566522</t>
  </si>
  <si>
    <t>-590.343147283865 -63.792138736376 322.598103884275</t>
  </si>
  <si>
    <t>-655.313453597642 -104.340575704261 779.116337407125</t>
  </si>
  <si>
    <t>-500.848271824905 -121.683362285862 820.632140973023</t>
  </si>
  <si>
    <t>9763-20170724T115409.660208700.bin</t>
  </si>
  <si>
    <t>-612.082727633194 37.7275582720588 -92.3285245557688</t>
  </si>
  <si>
    <t>-637.55274289019 34.1669292985503 -200.013796550958</t>
  </si>
  <si>
    <t>-656.377380970551 32.3908204070322 -290.943884635598</t>
  </si>
  <si>
    <t>-673.284751263824 31.1955366160691 -373.107397404574</t>
  </si>
  <si>
    <t>-689.545787628304 30.4784751843513 -455.406946050226</t>
  </si>
  <si>
    <t>-712.616959728107 29.9643784715934 -575.874291661915</t>
  </si>
  <si>
    <t>-712.728612378947 30.1548780281723 -654.233483414155</t>
  </si>
  <si>
    <t>-706.984929087567 61.2193165249284 -522.2865566877</t>
  </si>
  <si>
    <t>-697.418280496787 215.828898929602 -503.816610511377</t>
  </si>
  <si>
    <t>-547.326938125696 235.720021705886 -265.792415645763</t>
  </si>
  <si>
    <t>-337.784784994261 135.517148818508 -265.880984562197</t>
  </si>
  <si>
    <t>-522.179075209407 77.7619745009033 -465.692700257336</t>
  </si>
  <si>
    <t>-619.788003142471 129.113924040795 -95.3744614642316</t>
  </si>
  <si>
    <t>-631.414743577766 142.963257299763 319.806949436704</t>
  </si>
  <si>
    <t>-670.214300654958 173.425411879493 780.298642182114</t>
  </si>
  <si>
    <t>-519.362055218549 174.401115037413 836.213442902876</t>
  </si>
  <si>
    <t>-590.599747063825 -63.6863716280634 322.539548822024</t>
  </si>
  <si>
    <t>-655.323503554029 -104.351939153901 779.088757409298</t>
  </si>
  <si>
    <t>-500.843558621483 -121.549518167103 820.61002277092</t>
  </si>
  <si>
    <t>9763-20170724T115409.731516700.bin</t>
  </si>
  <si>
    <t>-613.060534824322 37.9070655006763 -92.4125514666832</t>
  </si>
  <si>
    <t>-638.615537486838 34.3490325163734 -200.077750712344</t>
  </si>
  <si>
    <t>-657.43768371978 32.5920220349406 -291.008758646091</t>
  </si>
  <si>
    <t>-674.313234446175 31.4217450625224 -373.179247530995</t>
  </si>
  <si>
    <t>-690.51288483317 30.7382255812504 -455.491167937012</t>
  </si>
  <si>
    <t>-713.462171727374 30.2823482096342 -575.982032231488</t>
  </si>
  <si>
    <t>-713.520447482081 30.4550584120389 -654.341310834616</t>
  </si>
  <si>
    <t>-707.897343583189 61.5094101581165 -522.370864264809</t>
  </si>
  <si>
    <t>-697.869855435414 216.084901526702 -503.930117379165</t>
  </si>
  <si>
    <t>-548.342200159576 233.102940332781 -265.329195655775</t>
  </si>
  <si>
    <t>-338.390491528964 133.770396476441 -266.692483420964</t>
  </si>
  <si>
    <t>-524.684586926072 79.8307984190219 -465.53921737984</t>
  </si>
  <si>
    <t>-620.702726831688 129.342835009235 -95.4543845819674</t>
  </si>
  <si>
    <t>-631.874807409618 143.094222424273 319.742731748086</t>
  </si>
  <si>
    <t>-670.2494158656 173.419433775751 780.290187186302</t>
  </si>
  <si>
    <t>-519.376868452887 174.205757470766 836.153213794691</t>
  </si>
  <si>
    <t>-591.088149938853 -63.4952194276409 322.434898831566</t>
  </si>
  <si>
    <t>-655.339584078695 -104.430185559383 779.042143189385</t>
  </si>
  <si>
    <t>-500.885938173611 -121.799149399051 820.589881634083</t>
  </si>
  <si>
    <t>9763-20170724T115409.763102400.bin</t>
  </si>
  <si>
    <t>-613.532039701647 37.9453349767625 -92.4526636782338</t>
  </si>
  <si>
    <t>-639.139819628309 34.375948436636 -200.10480637646</t>
  </si>
  <si>
    <t>-657.955249667409 32.6394324208211 -291.037648936193</t>
  </si>
  <si>
    <t>-674.804505951139 31.5002891638642 -373.213970816129</t>
  </si>
  <si>
    <t>-690.957760957326 30.8610768268559 -455.535313990548</t>
  </si>
  <si>
    <t>-713.817315975857 30.4849602240288 -576.0436011724</t>
  </si>
  <si>
    <t>-713.848205579856 30.6788788305264 -654.402888285495</t>
  </si>
  <si>
    <t>-708.304342731555 61.6748994437055 -522.405523149894</t>
  </si>
  <si>
    <t>-697.786984850239 216.216875493012 -503.972767024816</t>
  </si>
  <si>
    <t>-548.506369988539 232.111327815801 -265.139560932138</t>
  </si>
  <si>
    <t>-338.316241317212 133.275757719575 -265.556492399096</t>
  </si>
  <si>
    <t>-525.874165773832 81.2914862158996 -465.387913578737</t>
  </si>
  <si>
    <t>-621.171472296764 129.405830145397 -95.4924477460323</t>
  </si>
  <si>
    <t>-632.065029667377 143.14725915972 319.712468033579</t>
  </si>
  <si>
    <t>-670.258113814909 173.425843964993 780.283530664057</t>
  </si>
  <si>
    <t>-519.379448999469 174.194772726534 836.130329070807</t>
  </si>
  <si>
    <t>-591.355504174824 -63.4100008130868 322.397319991347</t>
  </si>
  <si>
    <t>-655.34221576867 -104.438530127626 779.028846202535</t>
  </si>
  <si>
    <t>-500.900035812447 -121.866524627491 820.594477914245</t>
  </si>
  <si>
    <t>9763-20170724T115409.828289300.bin</t>
  </si>
  <si>
    <t>-614.499034592238 37.8409833530525 -92.5294667807686</t>
  </si>
  <si>
    <t>-640.161720013963 34.2519773488207 -200.167971323953</t>
  </si>
  <si>
    <t>-658.911608691959 32.5864019768824 -291.115710001939</t>
  </si>
  <si>
    <t>-675.657854275363 31.5471236668714 -373.314441529855</t>
  </si>
  <si>
    <t>-691.664945495103 31.045481106903 -455.665265570092</t>
  </si>
  <si>
    <t>-714.264048841438 30.9131054395541 -576.223058919259</t>
  </si>
  <si>
    <t>-714.251421065705 31.2317305399656 -654.581901570437</t>
  </si>
  <si>
    <t>-708.94483638878 61.9826166741182 -522.495608386297</t>
  </si>
  <si>
    <t>-697.268229642204 216.420139565135 -503.697244988917</t>
  </si>
  <si>
    <t>-547.615951554698 229.989496041112 -264.953320295162</t>
  </si>
  <si>
    <t>-337.002928052453 132.064172123244 -263.804966153636</t>
  </si>
  <si>
    <t>-528.128956695638 84.5079550784812 -464.918593226319</t>
  </si>
  <si>
    <t>-622.142635962366 129.365077017154 -95.5701079455516</t>
  </si>
  <si>
    <t>-632.514967912977 143.119475927403 319.647678860541</t>
  </si>
  <si>
    <t>-670.259786467147 173.462339955157 780.264164808521</t>
  </si>
  <si>
    <t>-519.366571900163 174.20028215422 836.072015927258</t>
  </si>
  <si>
    <t>-592.020462867914 -63.4599192412386 322.317797748299</t>
  </si>
  <si>
    <t>-655.349889721747 -104.490427429783 779.027678018922</t>
  </si>
  <si>
    <t>-500.897026145625 -121.746124282226 820.62547241833</t>
  </si>
  <si>
    <t>9763-20170724T115409.863386400.bin</t>
  </si>
  <si>
    <t>-614.92388029446 37.719262276803 -92.5632105884717</t>
  </si>
  <si>
    <t>-640.605614364486 34.131195595294 -200.197162658541</t>
  </si>
  <si>
    <t>-659.350649488302 32.4996567940534 -291.14663492644</t>
  </si>
  <si>
    <t>-676.084530803912 31.5045124450376 -373.348219892572</t>
  </si>
  <si>
    <t>-692.071626436456 31.0611328339564 -455.70324203494</t>
  </si>
  <si>
    <t>-714.633440943686 31.0296950370864 -576.268223536999</t>
  </si>
  <si>
    <t>-714.638609542845 31.4013310789985 -654.626883184619</t>
  </si>
  <si>
    <t>-709.373612755662 62.0475467629399 -522.505058841048</t>
  </si>
  <si>
    <t>-697.291544432461 216.436411759454 -503.580755451541</t>
  </si>
  <si>
    <t>-547.42837381166 228.500992546214 -264.888348899601</t>
  </si>
  <si>
    <t>-336.692630397396 130.847008941594 -263.25179687705</t>
  </si>
  <si>
    <t>-700.093484478444 0.0392308520902134 -524.22568062215</t>
  </si>
  <si>
    <t>-529.697788428757 86.2694835389557 -464.401558060718</t>
  </si>
  <si>
    <t>-622.589817226381 129.234817961024 -95.5994417900176</t>
  </si>
  <si>
    <t>-632.726961253724 143.06193226646 319.621791751644</t>
  </si>
  <si>
    <t>-670.265852904867 173.468365077976 780.257777005895</t>
  </si>
  <si>
    <t>-519.368099864973 174.115184778545 836.05444311178</t>
  </si>
  <si>
    <t>-592.388985109664 -63.5246793306139 322.275991341412</t>
  </si>
  <si>
    <t>-655.352675327724 -104.482367337617 779.038093806262</t>
  </si>
  <si>
    <t>-500.85652653968 -121.319790330977 820.646539150535</t>
  </si>
  <si>
    <t>9763-20170724T115409.930066600.bin</t>
  </si>
  <si>
    <t>-615.719321957976 37.2672138326343 -92.6249965708647</t>
  </si>
  <si>
    <t>-641.416813744353 33.7049093408641 -200.256033500753</t>
  </si>
  <si>
    <t>-660.229902190449 32.1626504590554 -291.192967039627</t>
  </si>
  <si>
    <t>-677.048591477359 31.2738159585367 -373.378666855775</t>
  </si>
  <si>
    <t>-693.145212583747 30.9643271664215 -455.712970585653</t>
  </si>
  <si>
    <t>-715.895278325355 31.1594185745871 -576.242326932638</t>
  </si>
  <si>
    <t>-716.052798615144 31.6526975022093 -654.600098779713</t>
  </si>
  <si>
    <t>-710.722624920317 62.0492119099865 -522.396993265205</t>
  </si>
  <si>
    <t>-698.31870740687 216.348564874387 -503.037011479225</t>
  </si>
  <si>
    <t>-547.50735863716 225.539261954555 -264.814386229322</t>
  </si>
  <si>
    <t>-336.520368491185 128.427131386728 -263.312858789667</t>
  </si>
  <si>
    <t>-701.102859079601 0.0984274326360719 -524.313059401421</t>
  </si>
  <si>
    <t>-533.186559391903 89.458015883728 -462.54762135812</t>
  </si>
  <si>
    <t>-623.422775533718 128.775738912516 -95.6250457662283</t>
  </si>
  <si>
    <t>-633.083569440127 142.848899888477 319.599255514092</t>
  </si>
  <si>
    <t>-670.254582305677 173.485869652954 780.248876628822</t>
  </si>
  <si>
    <t>-519.345322231944 174.241502471148 836.013074895497</t>
  </si>
  <si>
    <t>-593.090081438835 -63.8435406121291 322.186642147588</t>
  </si>
  <si>
    <t>-655.359726369147 -104.596580407433 779.059264645806</t>
  </si>
  <si>
    <t>-500.933931769063 -121.913769144863 820.731875482525</t>
  </si>
  <si>
    <t>9763-20170724T115409.963167900.bin</t>
  </si>
  <si>
    <t>-616.073748755261 37.048620177525 -92.6461292757707</t>
  </si>
  <si>
    <t>-641.781331778125 33.5204076285377 -200.275935316134</t>
  </si>
  <si>
    <t>-660.633257041932 32.0563161949588 -291.206089170629</t>
  </si>
  <si>
    <t>-677.500152591262 31.2570236914958 -373.382760327746</t>
  </si>
  <si>
    <t>-693.658996119657 31.0571047877634 -455.70510221643</t>
  </si>
  <si>
    <t>-716.516029633733 31.4348626766755 -576.213920614385</t>
  </si>
  <si>
    <t>-716.74341863836 32.0350044416773 -654.570638021387</t>
  </si>
  <si>
    <t>-711.394572926309 62.2268839629437 -522.30771911841</t>
  </si>
  <si>
    <t>-698.912784923786 216.489304614569 -502.71887869299</t>
  </si>
  <si>
    <t>-547.802156094445 224.072964240904 -264.629369737248</t>
  </si>
  <si>
    <t>-336.442310004494 127.766162468979 -263.883476577385</t>
  </si>
  <si>
    <t>-701.578514799384 0.311506815249459 -524.36370857842</t>
  </si>
  <si>
    <t>-534.93137871265 91.2794562911013 -461.213761169489</t>
  </si>
  <si>
    <t>-623.812272868293 128.561363721167 -95.6246517481294</t>
  </si>
  <si>
    <t>-633.234878555206 142.720203686375 319.602186235421</t>
  </si>
  <si>
    <t>-670.256606424666 173.462952616813 780.257486768888</t>
  </si>
  <si>
    <t>-519.341301659105 174.205671229394 836.005521807429</t>
  </si>
  <si>
    <t>-593.405584748251 -64.0039346818044 322.133282920046</t>
  </si>
  <si>
    <t>-655.351288390724 -104.638571720195 779.069540305522</t>
  </si>
  <si>
    <t>-500.916975036459 -121.797274644714 820.776231008571</t>
  </si>
  <si>
    <t>9763-20170724T115410.030348500.bin</t>
  </si>
  <si>
    <t>-616.630259308257 36.6702271512979 -92.682263114775</t>
  </si>
  <si>
    <t>-642.367876986349 33.1808839227372 -200.30604276949</t>
  </si>
  <si>
    <t>-661.295498127071 31.8573881998418 -291.222688678252</t>
  </si>
  <si>
    <t>-678.253102014298 31.2263005515417 -373.382091520071</t>
  </si>
  <si>
    <t>-694.526882925727 31.2387076944442 -455.682263957496</t>
  </si>
  <si>
    <t>-717.580190278026 31.9753787178984 -576.151810871801</t>
  </si>
  <si>
    <t>-717.914247386995 32.8005019629072 -654.506383527938</t>
  </si>
  <si>
    <t>-712.590008121799 62.5695264058268 -522.120974953974</t>
  </si>
  <si>
    <t>-700.411178171541 216.824702436126 -502.300468031044</t>
  </si>
  <si>
    <t>-548.888858935991 221.549363965097 -264.398812797097</t>
  </si>
  <si>
    <t>-337.018494109386 126.369349323754 -263.904996306453</t>
  </si>
  <si>
    <t>-702.339244546269 0.734685545269713 -524.460719456583</t>
  </si>
  <si>
    <t>-538.223673722913 95.0431021090099 -457.887431487184</t>
  </si>
  <si>
    <t>-624.418217785173 128.157330872804 -95.6163408941235</t>
  </si>
  <si>
    <t>-633.613694346658 142.40178989735 319.612688600872</t>
  </si>
  <si>
    <t>-670.243257854111 173.445870560452 780.271373635867</t>
  </si>
  <si>
    <t>-519.325764148972 174.108308211748 836.014430787037</t>
  </si>
  <si>
    <t>-593.896533312216 -64.2463541843081 322.059282943171</t>
  </si>
  <si>
    <t>-655.369478822126 -104.701650446085 779.071410362174</t>
  </si>
  <si>
    <t>-500.915264717429 -121.609911316088 820.806621286585</t>
  </si>
  <si>
    <t>9763-20170724T115410.060932400.bin</t>
  </si>
  <si>
    <t>-616.873532175686 36.514780618782 -92.7055224826222</t>
  </si>
  <si>
    <t>-642.614450131799 33.0551822602715 -200.329546411843</t>
  </si>
  <si>
    <t>-661.57965086457 31.8157206115295 -291.239477602924</t>
  </si>
  <si>
    <t>-678.58644152827 31.2828797049033 -373.389541301498</t>
  </si>
  <si>
    <t>-694.925561016338 31.4172812195575 -455.676480146696</t>
  </si>
  <si>
    <t>-718.093005728175 32.3584412509933 -576.122716795878</t>
  </si>
  <si>
    <t>-718.456803817262 33.3219108475507 -654.475473408612</t>
  </si>
  <si>
    <t>-713.155404643952 62.8426981116847 -522.025048496627</t>
  </si>
  <si>
    <t>-701.151550379687 217.082250818895 -501.962847358979</t>
  </si>
  <si>
    <t>-549.411608288431 220.885390801254 -264.183265112801</t>
  </si>
  <si>
    <t>-337.552781630654 125.68990317347 -262.703765398073</t>
  </si>
  <si>
    <t>-702.699234548911 1.04823074892806 -524.518962502999</t>
  </si>
  <si>
    <t>-539.844914867154 97.0840450811374 -456.157362157925</t>
  </si>
  <si>
    <t>-624.688989650564 127.97675598373 -95.6104129983308</t>
  </si>
  <si>
    <t>-633.79560828279 142.279296618002 319.618553292577</t>
  </si>
  <si>
    <t>-670.238220459898 173.455696890526 780.278105332243</t>
  </si>
  <si>
    <t>-519.315480226877 174.070396884225 836.007528617089</t>
  </si>
  <si>
    <t>-594.023242511397 -64.3349742710152 322.013458171101</t>
  </si>
  <si>
    <t>-655.329547770829 -104.748614000756 779.055728548605</t>
  </si>
  <si>
    <t>-500.922258856098 -121.787073675326 820.911428789423</t>
  </si>
  <si>
    <t>9763-20170724T115410.127616200.bin</t>
  </si>
  <si>
    <t>-617.26268230929 36.314500047032 -92.7070119418195</t>
  </si>
  <si>
    <t>-643.008831754236 32.9264446536317 -200.332171957353</t>
  </si>
  <si>
    <t>-661.989205148792 31.8803383878656 -291.241283781825</t>
  </si>
  <si>
    <t>-679.016644907809 31.5748935121944 -373.388235413105</t>
  </si>
  <si>
    <t>-695.385323329258 31.9915331251782 -455.6683246098</t>
  </si>
  <si>
    <t>-718.607527324157 33.4060296769164 -576.099400246997</t>
  </si>
  <si>
    <t>-718.969520320607 34.6822567665643 -654.447759099532</t>
  </si>
  <si>
    <t>-713.800091803427 63.6495578917654 -521.85495274996</t>
  </si>
  <si>
    <t>-702.496494370976 217.89094657945 -501.268484602738</t>
  </si>
  <si>
    <t>-550.393870424485 222.435338418617 -263.733854523297</t>
  </si>
  <si>
    <t>-339.1798628351 125.930577297099 -258.834258775405</t>
  </si>
  <si>
    <t>-703.035521819903 1.92115414620548 -524.655712364162</t>
  </si>
  <si>
    <t>-542.161084068105 101.069127032106 -453.15547293689</t>
  </si>
  <si>
    <t>-625.046130211386 127.74994149906 -95.5796286493874</t>
  </si>
  <si>
    <t>-634.107285345205 142.128025604864 319.647737568891</t>
  </si>
  <si>
    <t>-670.245175309865 173.461324997973 780.296744311963</t>
  </si>
  <si>
    <t>-519.303807684507 174.065090479594 835.975895550666</t>
  </si>
  <si>
    <t>-594.089771757493 -64.478177236083 321.963258706608</t>
  </si>
  <si>
    <t>-655.143273846428 -104.827003354041 779.055783853507</t>
  </si>
  <si>
    <t>-500.805972843806 -121.636060440718 821.260959519636</t>
  </si>
  <si>
    <t>9763-20170724T115410.160202200.bin</t>
  </si>
  <si>
    <t>-617.409765478665 36.2037401911218 -92.7127307077587</t>
  </si>
  <si>
    <t>-643.177105566606 32.8806214740086 -200.334825720109</t>
  </si>
  <si>
    <t>-662.162271217851 31.9153923309111 -291.243911762796</t>
  </si>
  <si>
    <t>-679.189948360123 31.6945657012757 -373.391088099926</t>
  </si>
  <si>
    <t>-695.555632489984 32.2081206347873 -455.67120421811</t>
  </si>
  <si>
    <t>-718.770686508526 33.778429605994 -576.101812715085</t>
  </si>
  <si>
    <t>-719.115566070051 35.181101444914 -654.447991652986</t>
  </si>
  <si>
    <t>-714.040793213911 63.9379433900876 -521.803854440599</t>
  </si>
  <si>
    <t>-703.166621266904 218.171721832654 -500.988989197736</t>
  </si>
  <si>
    <t>-551.221285233226 223.859805936479 -263.378305125162</t>
  </si>
  <si>
    <t>-340.312227806041 126.750171565676 -257.409615913499</t>
  </si>
  <si>
    <t>-703.12747117858 2.24074783397782 -524.711984042693</t>
  </si>
  <si>
    <t>-542.810285293397 102.37581659137 -451.791249003774</t>
  </si>
  <si>
    <t>-625.090642729698 127.665260759272 -95.5690417020471</t>
  </si>
  <si>
    <t>-634.187095483765 142.012000792341 319.658612544252</t>
  </si>
  <si>
    <t>-670.250685919249 173.428164451633 780.31078922709</t>
  </si>
  <si>
    <t>-519.304173856912 173.971241490731 835.976540415371</t>
  </si>
  <si>
    <t>-594.144237717725 -64.569251948383 321.928837061138</t>
  </si>
  <si>
    <t>-655.08634248744 -104.872063389106 779.045005508041</t>
  </si>
  <si>
    <t>-500.781802409643 -121.675890654768 821.371806327102</t>
  </si>
  <si>
    <t>9763-20170724T115410.231507000.bin</t>
  </si>
  <si>
    <t>-617.684717748961 36.1377934341594 -92.7344411107555</t>
  </si>
  <si>
    <t>-643.508300726613 32.9292923251744 -200.346433712042</t>
  </si>
  <si>
    <t>-662.521979196352 32.0363287922837 -291.250300732329</t>
  </si>
  <si>
    <t>-679.569038621774 31.8731854916232 -373.393565097692</t>
  </si>
  <si>
    <t>-695.948713568621 32.4380904280908 -455.670658292953</t>
  </si>
  <si>
    <t>-719.179079600634 34.0777413843016 -576.097415113496</t>
  </si>
  <si>
    <t>-719.494106499335 35.6222147238989 -654.441012357527</t>
  </si>
  <si>
    <t>-714.575796792444 64.1809516267958 -521.757248275936</t>
  </si>
  <si>
    <t>-704.819698289053 218.46056224784 -500.658605149508</t>
  </si>
  <si>
    <t>-553.578456517198 226.161602071113 -262.655699034047</t>
  </si>
  <si>
    <t>-342.621723876314 129.296503222324 -254.72215273403</t>
  </si>
  <si>
    <t>-703.395718377415 2.53571133431342 -524.753185841879</t>
  </si>
  <si>
    <t>-543.100519443147 103.129383716448 -449.355514016702</t>
  </si>
  <si>
    <t>-625.093305221482 127.700758324925 -95.548555720193</t>
  </si>
  <si>
    <t>-634.249702489748 141.83324565618 319.685079524147</t>
  </si>
  <si>
    <t>-670.235357424987 173.39095639887 780.337667617309</t>
  </si>
  <si>
    <t>-519.28854739135 173.861102529074 836.003344626187</t>
  </si>
  <si>
    <t>-594.342275040481 -64.7187521083072 321.848748184533</t>
  </si>
  <si>
    <t>-655.083836283172 -104.954780562536 778.998232779194</t>
  </si>
  <si>
    <t>-500.782817738967 -121.63741032799 821.385835244106</t>
  </si>
  <si>
    <t>9763-20170724T115410.264097000.bin</t>
  </si>
  <si>
    <t>-617.77473700315 36.1525397945418 -92.7482722437674</t>
  </si>
  <si>
    <t>-643.620795593481 32.95492011295 -200.355224428219</t>
  </si>
  <si>
    <t>-662.632167690751 32.0687722847608 -291.259582787574</t>
  </si>
  <si>
    <t>-679.66884556133 31.9112758263664 -373.405058298284</t>
  </si>
  <si>
    <t>-696.02994928387 32.4817784504721 -455.685869417849</t>
  </si>
  <si>
    <t>-719.224444124368 34.1297141595151 -576.119335705621</t>
  </si>
  <si>
    <t>-719.50515539961 35.726879700017 -654.461875101776</t>
  </si>
  <si>
    <t>-714.660619726034 64.2247217742674 -521.77123642896</t>
  </si>
  <si>
    <t>-705.30729172347 218.489144195603 -500.57897533486</t>
  </si>
  <si>
    <t>-554.3431840831 227.182162164439 -262.434209956892</t>
  </si>
  <si>
    <t>-343.322818952975 130.43278018546 -254.786239978601</t>
  </si>
  <si>
    <t>-703.43318152398 2.58847098981551 -524.776990092249</t>
  </si>
  <si>
    <t>-542.823552161317 103.051692692687 -448.417979703882</t>
  </si>
  <si>
    <t>-625.122497156101 127.729222876706 -95.5526290858724</t>
  </si>
  <si>
    <t>-634.349572516249 141.784548094556 319.682121722756</t>
  </si>
  <si>
    <t>-670.233941057664 173.383055335802 780.342201893699</t>
  </si>
  <si>
    <t>-519.287445759306 173.788273166185 836.009356580193</t>
  </si>
  <si>
    <t>-594.436337378402 -64.7472732021354 321.819742305562</t>
  </si>
  <si>
    <t>-655.112399425552 -104.984145234045 778.973388573125</t>
  </si>
  <si>
    <t>-500.83197223353 -121.901369496161 821.342913470418</t>
  </si>
  <si>
    <t>9763-20170724T115410.328769400.bin</t>
  </si>
  <si>
    <t>-618.103388496659 36.3079486207344 -92.7742431277468</t>
  </si>
  <si>
    <t>-644.011329999743 33.0743871853026 -200.365143259002</t>
  </si>
  <si>
    <t>-663.012974319777 32.1921669537023 -291.271770129674</t>
  </si>
  <si>
    <t>-680.016008342514 32.0516304078071 -373.424089058485</t>
  </si>
  <si>
    <t>-696.318842070295 32.6533231375304 -455.716128195269</t>
  </si>
  <si>
    <t>-719.401007754587 34.3632865579675 -576.170306420165</t>
  </si>
  <si>
    <t>-719.59205197854 36.0828046622564 -654.510779763514</t>
  </si>
  <si>
    <t>-714.905056360616 64.4270285187304 -521.799401062412</t>
  </si>
  <si>
    <t>-706.17117815281 218.701908562914 -500.460881006895</t>
  </si>
  <si>
    <t>-553.993914910282 229.513346170862 -263.176786177728</t>
  </si>
  <si>
    <t>-343.074886406912 132.418490604848 -257.321212829607</t>
  </si>
  <si>
    <t>-703.640409838677 2.79908696950997 -524.832804491356</t>
  </si>
  <si>
    <t>-542.115844805214 103.084541099055 -447.436249180173</t>
  </si>
  <si>
    <t>-625.588210978105 127.862389881425 -95.5794378491127</t>
  </si>
  <si>
    <t>-634.690565279011 141.828268917921 319.66108025056</t>
  </si>
  <si>
    <t>-670.231929264473 173.370695193742 780.348068940941</t>
  </si>
  <si>
    <t>-519.280530793805 173.617268207292 836.00259680184</t>
  </si>
  <si>
    <t>-594.39099477236 -64.5481644004853 321.774321447923</t>
  </si>
  <si>
    <t>-655.222755129671 -104.987210014996 778.90826422915</t>
  </si>
  <si>
    <t>-500.895910234896 -121.832858097514 821.137030949452</t>
  </si>
  <si>
    <t>9763-20170724T115410.360867500.bin</t>
  </si>
  <si>
    <t>-618.348385268411 36.4139362234521 -92.7938666774311</t>
  </si>
  <si>
    <t>-644.279945002251 33.1488581398685 -200.378223801364</t>
  </si>
  <si>
    <t>-663.288062628516 32.2502660788698 -291.283247356946</t>
  </si>
  <si>
    <t>-680.291336401448 32.098213590607 -373.43552114106</t>
  </si>
  <si>
    <t>-696.588498246382 32.6923363901715 -455.728673299225</t>
  </si>
  <si>
    <t>-719.656044061061 34.3946980093904 -576.185864787353</t>
  </si>
  <si>
    <t>-719.790142090117 36.1541105612916 -654.525514267364</t>
  </si>
  <si>
    <t>-715.153650080997 64.4643070423292 -521.818626668982</t>
  </si>
  <si>
    <t>-706.630472453973 218.771399121856 -500.532299717391</t>
  </si>
  <si>
    <t>-553.161213138182 229.974451698196 -264.09989831689</t>
  </si>
  <si>
    <t>-342.264026169703 132.79773803043 -258.847337620627</t>
  </si>
  <si>
    <t>-703.914792624183 2.83107630593804 -524.842080618769</t>
  </si>
  <si>
    <t>-542.026431969855 103.095606415906 -447.344342310996</t>
  </si>
  <si>
    <t>-625.942922435441 127.944402059323 -95.5934816818428</t>
  </si>
  <si>
    <t>-634.906862511093 141.908005211003 319.650075035392</t>
  </si>
  <si>
    <t>-670.244846143124 173.365822946293 780.351044672556</t>
  </si>
  <si>
    <t>-519.285390426663 173.612828480296 835.983805186783</t>
  </si>
  <si>
    <t>-594.318827423445 -64.4026041727491 321.756944538582</t>
  </si>
  <si>
    <t>-655.276057482968 -105.014165572776 778.859942155289</t>
  </si>
  <si>
    <t>-500.942006806084 -121.933277081766 821.032974255549</t>
  </si>
  <si>
    <t>9763-20170724T115410.427766700.bin</t>
  </si>
  <si>
    <t>-618.849489408928 36.7155060464697 -92.8227557218949</t>
  </si>
  <si>
    <t>-644.821622359566 33.4333413160762 -200.39678640383</t>
  </si>
  <si>
    <t>-663.8534495448 32.5041100215483 -291.296445901491</t>
  </si>
  <si>
    <t>-680.872671357158 32.3176576227477 -373.445367745373</t>
  </si>
  <si>
    <t>-697.17952182716 32.8692295258443 -455.737020416594</t>
  </si>
  <si>
    <t>-720.253243344788 34.500704155613 -576.194098320006</t>
  </si>
  <si>
    <t>-720.322981229673 36.2741210545541 -654.533406232097</t>
  </si>
  <si>
    <t>-715.639453206395 64.6228330196516 -521.865268059538</t>
  </si>
  <si>
    <t>-707.093287393655 218.949482369552 -500.737224597441</t>
  </si>
  <si>
    <t>-550.659264264959 229.73981569506 -266.236681720507</t>
  </si>
  <si>
    <t>-339.86813420141 132.294142637114 -261.768271136743</t>
  </si>
  <si>
    <t>-704.617951407402 2.94675765026932 -524.811904045444</t>
  </si>
  <si>
    <t>-542.22625567746 103.052054902626 -447.476316395208</t>
  </si>
  <si>
    <t>-626.585127651341 128.211073860867 -95.6222697913562</t>
  </si>
  <si>
    <t>-635.293733707387 142.063496342285 319.630535004551</t>
  </si>
  <si>
    <t>-670.252002493441 173.348235146919 780.366836372232</t>
  </si>
  <si>
    <t>-519.288668842392 173.384528442854 835.989722139805</t>
  </si>
  <si>
    <t>-594.306420355831 -64.1103663611409 321.704230897224</t>
  </si>
  <si>
    <t>-655.355663501952 -105.045558713348 778.753702754999</t>
  </si>
  <si>
    <t>-501.032384955417 -122.254021532565 820.849087241055</t>
  </si>
  <si>
    <t>9763-20170724T115410.459854500.bin</t>
  </si>
  <si>
    <t>-619.056323841334 36.9253496025683 -92.8497913647331</t>
  </si>
  <si>
    <t>-645.046873061059 33.642403818337 -200.419432944002</t>
  </si>
  <si>
    <t>-664.076219854971 32.7241354895018 -291.319691105169</t>
  </si>
  <si>
    <t>-681.085637050079 32.5529288595421 -373.470671722258</t>
  </si>
  <si>
    <t>-697.374518524032 33.1242895812786 -455.765878986603</t>
  </si>
  <si>
    <t>-720.412873476844 34.788797185802 -576.229031071422</t>
  </si>
  <si>
    <t>-720.46532637716 36.5717635154174 -654.568198637092</t>
  </si>
  <si>
    <t>-715.718715892733 64.9140340137064 -521.908949616513</t>
  </si>
  <si>
    <t>-706.904209350088 219.237331557249 -500.889411920448</t>
  </si>
  <si>
    <t>-549.371988961254 229.317901919997 -267.093519481836</t>
  </si>
  <si>
    <t>-338.601240964352 131.807939861472 -263.091147644072</t>
  </si>
  <si>
    <t>-704.888952041794 3.2028722631419 -524.832756622643</t>
  </si>
  <si>
    <t>-542.306813512692 102.924224487032 -447.734780910431</t>
  </si>
  <si>
    <t>-626.766154460133 128.416997547664 -95.6492562557396</t>
  </si>
  <si>
    <t>-635.456460673333 142.190390900508 319.606487819273</t>
  </si>
  <si>
    <t>-670.231647551582 173.374099521669 780.367822792046</t>
  </si>
  <si>
    <t>-519.269989468837 173.449496603041 835.995077742808</t>
  </si>
  <si>
    <t>-594.436844242194 -63.9536840009441 321.66830892134</t>
  </si>
  <si>
    <t>-655.40152262114 -105.038589819856 778.704086244723</t>
  </si>
  <si>
    <t>-501.030731891673 -121.951350412579 820.745079312228</t>
  </si>
  <si>
    <t>9763-20170724T115410.528765800.bin</t>
  </si>
  <si>
    <t>-619.265904032236 37.1859744111207 -92.9266599381605</t>
  </si>
  <si>
    <t>-645.250112494808 33.9771791931828 -200.500043794267</t>
  </si>
  <si>
    <t>-664.238373204257 33.1513875027624 -291.409859859333</t>
  </si>
  <si>
    <t>-681.196333043676 33.0797408986864 -373.571666786296</t>
  </si>
  <si>
    <t>-697.418552061983 33.7637023001782 -455.879038740138</t>
  </si>
  <si>
    <t>-720.342351959854 35.6067880122332 -576.361427270972</t>
  </si>
  <si>
    <t>-720.38975840865 37.4389808108483 -654.699651456809</t>
  </si>
  <si>
    <t>-715.468852287067 65.6931917971929 -522.035545987314</t>
  </si>
  <si>
    <t>-705.810239451149 219.977377652638 -501.101729436379</t>
  </si>
  <si>
    <t>-546.726575996035 227.925565226335 -268.275911237141</t>
  </si>
  <si>
    <t>-335.969811557796 130.370666660853 -264.648638292947</t>
  </si>
  <si>
    <t>-705.098305573202 3.90300397216197 -524.954084448659</t>
  </si>
  <si>
    <t>-541.832798283047 102.131704974508 -448.157309642222</t>
  </si>
  <si>
    <t>-626.562649729878 128.7424708323 -95.7028608915166</t>
  </si>
  <si>
    <t>-635.408938446253 142.385807357414 319.553933340755</t>
  </si>
  <si>
    <t>-670.20302741925 173.429432055996 780.348847670587</t>
  </si>
  <si>
    <t>-519.24417110251 173.588560941885 835.983570120473</t>
  </si>
  <si>
    <t>-594.84982588727 -63.8506131769282 321.585899482442</t>
  </si>
  <si>
    <t>-655.481262181176 -105.095425723573 778.648803625803</t>
  </si>
  <si>
    <t>-501.101099552931 -122.10945652185 820.614470953906</t>
  </si>
  <si>
    <t>9763-20170724T115410.561355300.bin</t>
  </si>
  <si>
    <t>-619.336992815449 37.2644542746566 -92.9502225653689</t>
  </si>
  <si>
    <t>-645.311894202279 34.1172110514847 -200.527572423975</t>
  </si>
  <si>
    <t>-664.24642413981 33.3743511206567 -291.449354478968</t>
  </si>
  <si>
    <t>-681.137778341657 33.3937471503309 -373.62487491032</t>
  </si>
  <si>
    <t>-697.275081335854 34.182887211437 -455.94804490082</t>
  </si>
  <si>
    <t>-720.054592622394 36.195329752313 -576.455248795249</t>
  </si>
  <si>
    <t>-720.052463211525 38.0937046910346 -654.791687930072</t>
  </si>
  <si>
    <t>-715.106934964766 66.2295544828651 -522.107104005859</t>
  </si>
  <si>
    <t>-704.840605104148 220.476135300482 -501.148519723943</t>
  </si>
  <si>
    <t>-545.463740803855 227.332658864386 -268.488713233068</t>
  </si>
  <si>
    <t>-334.735580364539 129.707291058809 -265.102227534477</t>
  </si>
  <si>
    <t>-705.011352177663 4.39491555999484 -525.048182672236</t>
  </si>
  <si>
    <t>-541.270318512802 101.593538118219 -448.25216321717</t>
  </si>
  <si>
    <t>-626.316241440007 128.918675469527 -95.733611000665</t>
  </si>
  <si>
    <t>-635.264597486605 142.460494073501 319.524340746988</t>
  </si>
  <si>
    <t>-670.190353641842 173.452253904615 780.332636131462</t>
  </si>
  <si>
    <t>-519.240750891613 173.480138002653 835.99274868972</t>
  </si>
  <si>
    <t>-595.148383564832 -63.8918123107892 321.555551632784</t>
  </si>
  <si>
    <t>-655.516367942417 -105.125357660199 778.654716627683</t>
  </si>
  <si>
    <t>-501.140188461205 -122.24863766997 820.590533418105</t>
  </si>
  <si>
    <t>9763-20170724T115410.631047700.bin</t>
  </si>
  <si>
    <t>-619.127940487838 37.2556488182129 -92.9714243349057</t>
  </si>
  <si>
    <t>-645.154108189186 34.3267314768559 -200.542599235572</t>
  </si>
  <si>
    <t>-664.048760111174 33.7839228846037 -291.474079494029</t>
  </si>
  <si>
    <t>-680.871550549089 34.0001083670231 -373.663519741431</t>
  </si>
  <si>
    <t>-696.906938771265 34.997083141237 -456.004243814861</t>
  </si>
  <si>
    <t>-719.500662779122 37.3266861365212 -576.54058826464</t>
  </si>
  <si>
    <t>-719.400452564635 39.3397360802051 -654.874212649755</t>
  </si>
  <si>
    <t>-714.314320220374 67.2718074233283 -522.165619592607</t>
  </si>
  <si>
    <t>-702.564382481597 221.412966546699 -501.105775482005</t>
  </si>
  <si>
    <t>-543.514955888148 226.320905106076 -268.172652496452</t>
  </si>
  <si>
    <t>-332.779073984983 128.684766111322 -265.701921442657</t>
  </si>
  <si>
    <t>-704.859105159777 5.33720597929573 -525.134908541385</t>
  </si>
  <si>
    <t>-539.712383069116 100.267183713365 -447.965714679312</t>
  </si>
  <si>
    <t>-625.235193867121 129.184173607731 -95.7532473728747</t>
  </si>
  <si>
    <t>-634.617467878642 142.551313860692 319.500733135409</t>
  </si>
  <si>
    <t>-670.131228743613 173.541650920139 780.292313795556</t>
  </si>
  <si>
    <t>-519.198325520448 173.578321437722 835.997557593811</t>
  </si>
  <si>
    <t>-595.833614005105 -64.1380521618335 321.514030561963</t>
  </si>
  <si>
    <t>-655.556478517491 -105.198737980869 778.720092139584</t>
  </si>
  <si>
    <t>-501.174427393514 -122.316524343463 820.636635386743</t>
  </si>
  <si>
    <t>9763-20170724T115410.662634000.bin</t>
  </si>
  <si>
    <t>-619.025263562598 37.186022288297 -92.9819261556366</t>
  </si>
  <si>
    <t>-645.083889562513 34.3736861498492 -200.548398376344</t>
  </si>
  <si>
    <t>-663.980799368142 33.9078278253128 -291.479723365942</t>
  </si>
  <si>
    <t>-680.79561540834 34.1905041689481 -373.670576722476</t>
  </si>
  <si>
    <t>-696.81264246775 35.2480536256819 -456.014154228964</t>
  </si>
  <si>
    <t>-719.368035350563 37.6594932517492 -576.556157317875</t>
  </si>
  <si>
    <t>-719.214619090798 39.6883182265512 -654.889215790682</t>
  </si>
  <si>
    <t>-714.032524439214 67.5940491408876 -522.189808467783</t>
  </si>
  <si>
    <t>-701.61183308168 221.677001254802 -501.11153922546</t>
  </si>
  <si>
    <t>-542.970183225747 225.865878559933 -267.886612133198</t>
  </si>
  <si>
    <t>-332.267437478297 128.140215618446 -266.280634877273</t>
  </si>
  <si>
    <t>-704.909293737031 5.6086667430186 -525.136971617381</t>
  </si>
  <si>
    <t>-538.947637872146 99.4796825318501 -447.676678458048</t>
  </si>
  <si>
    <t>-624.643949725539 129.263785822518 -95.7603334106389</t>
  </si>
  <si>
    <t>-634.236891408719 142.563101225029 319.490995801553</t>
  </si>
  <si>
    <t>-670.109575221688 173.572927401262 780.273161371473</t>
  </si>
  <si>
    <t>-519.187884796728 173.499226583599 836.008838960087</t>
  </si>
  <si>
    <t>-596.189537948084 -64.2900278815018 321.513683032406</t>
  </si>
  <si>
    <t>-655.548480851208 -105.246368892452 778.787923095672</t>
  </si>
  <si>
    <t>-501.184692491438 -122.457341139597 820.73350322105</t>
  </si>
  <si>
    <t>9763-20170724T115410.728975100.bin</t>
  </si>
  <si>
    <t>-619.132350065442 37.0176788066267 -92.9455453516578</t>
  </si>
  <si>
    <t>-645.312535189773 34.4263107799597 -200.487933904961</t>
  </si>
  <si>
    <t>-664.250550462577 34.1213286287611 -291.411608873668</t>
  </si>
  <si>
    <t>-681.078320382752 34.5480274626655 -373.598927713556</t>
  </si>
  <si>
    <t>-697.083409195917 35.7441523583198 -455.943006412718</t>
  </si>
  <si>
    <t>-719.593901295563 38.3524344957073 -576.489428907495</t>
  </si>
  <si>
    <t>-719.30719541886 40.4211904711519 -654.821033146333</t>
  </si>
  <si>
    <t>-714.007515359215 68.2391125563454 -522.122002586701</t>
  </si>
  <si>
    <t>-700.422408876832 222.205786820612 -501.004119440384</t>
  </si>
  <si>
    <t>-542.050083067844 224.970795194397 -267.575086580928</t>
  </si>
  <si>
    <t>-331.262215242329 127.415689437485 -267.610053835564</t>
  </si>
  <si>
    <t>-705.425538730348 6.1765056210013 -525.067305836298</t>
  </si>
  <si>
    <t>-538.093652545633 98.437410709184 -447.137857234941</t>
  </si>
  <si>
    <t>-624.010409577562 129.376101045647 -95.7387838950053</t>
  </si>
  <si>
    <t>-633.67406724861 142.489625479038 319.516863890796</t>
  </si>
  <si>
    <t>-670.065229792938 173.612792756931 780.250425285592</t>
  </si>
  <si>
    <t>-519.168169372943 173.390750510832 836.052265334382</t>
  </si>
  <si>
    <t>-596.929082667828 -64.5471207692458 321.541585511636</t>
  </si>
  <si>
    <t>-655.53981580721 -105.31468169752 778.947940218661</t>
  </si>
  <si>
    <t>-501.195821863642 -122.577626068652 820.944906861095</t>
  </si>
  <si>
    <t>9763-20170724T115410.761565700.bin</t>
  </si>
  <si>
    <t>-619.397860597674 36.8837217073381 -92.9202907270762</t>
  </si>
  <si>
    <t>-645.639545231691 34.3528638486355 -200.44917850009</t>
  </si>
  <si>
    <t>-664.588500417956 34.120968043628 -291.370712146392</t>
  </si>
  <si>
    <t>-681.409904315234 34.6253470550182 -373.558927963744</t>
  </si>
  <si>
    <t>-697.392177179035 35.9093771515672 -455.906072049677</t>
  </si>
  <si>
    <t>-719.851151784355 38.6577216842891 -576.458935736886</t>
  </si>
  <si>
    <t>-719.484292530762 40.7698594422486 -654.789145988452</t>
  </si>
  <si>
    <t>-714.170912018821 68.4984016305175 -522.075949717966</t>
  </si>
  <si>
    <t>-700.14201317062 222.409741185089 -500.834402586916</t>
  </si>
  <si>
    <t>-541.221685998362 224.560885136732 -267.771555242487</t>
  </si>
  <si>
    <t>-330.304393637743 127.286512673571 -268.105757040295</t>
  </si>
  <si>
    <t>-705.821755376777 6.40515960661378 -525.046947058278</t>
  </si>
  <si>
    <t>-538.017391442558 98.1294549930817 -446.883388000973</t>
  </si>
  <si>
    <t>-624.037271476986 129.308556882231 -95.7154866652621</t>
  </si>
  <si>
    <t>-633.618653980904 142.471548834319 319.540477132849</t>
  </si>
  <si>
    <t>-670.039473582127 173.626329634743 780.254013354186</t>
  </si>
  <si>
    <t>-519.147802096656 173.529665572117 836.070823215113</t>
  </si>
  <si>
    <t>-597.260327253797 -64.6286467086641 321.5684069019</t>
  </si>
  <si>
    <t>-655.542110806069 -105.301523656339 779.024994050474</t>
  </si>
  <si>
    <t>-501.187528451127 -122.456749057721 821.02719300556</t>
  </si>
  <si>
    <t>9763-20170724T115410.826242800.bin</t>
  </si>
  <si>
    <t>-620.214689836605 36.3642932310179 -92.911201939834</t>
  </si>
  <si>
    <t>-646.494452803697 33.9023657706682 -200.432500129249</t>
  </si>
  <si>
    <t>-665.3962604796 33.8050782795228 -291.363976739687</t>
  </si>
  <si>
    <t>-682.143366433301 34.4655771334819 -373.566419535091</t>
  </si>
  <si>
    <t>-698.019257283454 35.937666193618 -455.930913211947</t>
  </si>
  <si>
    <t>-720.287266253452 38.996082348229 -576.511703533493</t>
  </si>
  <si>
    <t>-719.753999902972 41.2342494686004 -654.837365188512</t>
  </si>
  <si>
    <t>-714.493716530197 68.7246903961889 -522.079357923256</t>
  </si>
  <si>
    <t>-699.798295272565 222.550902119506 -500.64777135473</t>
  </si>
  <si>
    <t>-539.776949514094 223.201774513527 -268.330488104842</t>
  </si>
  <si>
    <t>-328.51508258482 126.679890295349 -269.029632102492</t>
  </si>
  <si>
    <t>-706.538751292059 6.58345463433352 -525.124479671115</t>
  </si>
  <si>
    <t>-538.127578874977 97.5870666265687 -446.100587559896</t>
  </si>
  <si>
    <t>-624.533564264698 128.839565356275 -95.7036790292893</t>
  </si>
  <si>
    <t>-633.85812635834 142.29366474457 319.548788912246</t>
  </si>
  <si>
    <t>-669.998974570596 173.648968116142 780.248914670927</t>
  </si>
  <si>
    <t>-519.117157047014 173.54760439 836.092362805229</t>
  </si>
  <si>
    <t>-597.832842590433 -64.898894481438 321.576865448275</t>
  </si>
  <si>
    <t>-655.544809705207 -105.352621094653 779.155152880978</t>
  </si>
  <si>
    <t>-501.234518577497 -122.83922682152 821.183468389628</t>
  </si>
  <si>
    <t>9763-20170724T115410.862849700.bin</t>
  </si>
  <si>
    <t>-620.778419158617 36.1521847153006 -92.8993991879616</t>
  </si>
  <si>
    <t>-647.076862639064 33.7027932745682 -200.416440868754</t>
  </si>
  <si>
    <t>-665.942556318688 33.6623353542375 -291.355453973207</t>
  </si>
  <si>
    <t>-682.636083530393 34.3939016954419 -373.568101639278</t>
  </si>
  <si>
    <t>-698.437242672539 35.9560657132906 -455.945469512021</t>
  </si>
  <si>
    <t>-720.572681974814 39.1670728857255 -576.546713164208</t>
  </si>
  <si>
    <t>-719.960984638306 41.4785951054016 -654.869575282412</t>
  </si>
  <si>
    <t>-714.76266991902 68.8372453831037 -522.084070588698</t>
  </si>
  <si>
    <t>-699.81111730476 222.625896178147 -500.525995483307</t>
  </si>
  <si>
    <t>-539.176247194361 222.584807420344 -268.631606284886</t>
  </si>
  <si>
    <t>-327.76130086546 126.401068881641 -269.601912020814</t>
  </si>
  <si>
    <t>-706.957015344266 6.67899108871757 -525.171698968745</t>
  </si>
  <si>
    <t>-538.27845269098 97.2501604194513 -445.653958823043</t>
  </si>
  <si>
    <t>-625.111783386782 128.66319049153 -95.7100807543288</t>
  </si>
  <si>
    <t>-634.088131023946 142.258393623151 319.545529865682</t>
  </si>
  <si>
    <t>-669.976645609259 173.676725504989 780.251511709831</t>
  </si>
  <si>
    <t>-519.093703985522 173.485397930236 836.091798082655</t>
  </si>
  <si>
    <t>-598.196961779266 -65.0187919259386 321.568873581676</t>
  </si>
  <si>
    <t>-655.554105315155 -105.377986823368 779.203823941206</t>
  </si>
  <si>
    <t>-501.263573576276 -123.013122502788 821.24257252982</t>
  </si>
  <si>
    <t>9763-20170724T115410.928526100.bin</t>
  </si>
  <si>
    <t>-621.831301833157 35.7199828210337 -92.9451599003503</t>
  </si>
  <si>
    <t>-648.195525144951 33.3032740256749 -200.446650093025</t>
  </si>
  <si>
    <t>-667.014676297941 33.3765969219637 -291.395443120322</t>
  </si>
  <si>
    <t>-683.625675577541 34.2472954510849 -373.623534627272</t>
  </si>
  <si>
    <t>-699.303620568471 35.98482124558 -456.020851723214</t>
  </si>
  <si>
    <t>-721.214495948991 39.4920060691875 -576.654644450573</t>
  </si>
  <si>
    <t>-720.46350397046 41.9918830988527 -654.970721930847</t>
  </si>
  <si>
    <t>-715.413765230407 69.0406622362009 -522.125054696739</t>
  </si>
  <si>
    <t>-700.362946374985 222.791452138347 -500.417774932479</t>
  </si>
  <si>
    <t>-538.192905349257 221.24677493687 -269.599510966528</t>
  </si>
  <si>
    <t>-326.312837958749 126.09379087414 -270.731336253865</t>
  </si>
  <si>
    <t>-707.786601081239 6.86557555230161 -525.318075386067</t>
  </si>
  <si>
    <t>-538.932180810042 96.7254169710291 -444.877765793761</t>
  </si>
  <si>
    <t>-626.095137909719 128.260463894796 -95.7537978103622</t>
  </si>
  <si>
    <t>-634.503296018531 142.092603963924 319.505803637622</t>
  </si>
  <si>
    <t>-669.935482764105 173.723232050974 780.227961072961</t>
  </si>
  <si>
    <t>-519.059055956373 173.456613795742 836.085352838178</t>
  </si>
  <si>
    <t>-599.12681249515 -65.288780936653 321.504346273938</t>
  </si>
  <si>
    <t>-655.524729477434 -105.38365314811 779.282918645301</t>
  </si>
  <si>
    <t>-501.207942580982 -122.577840108922 821.407879118452</t>
  </si>
  <si>
    <t>9763-20170724T115410.962620300.bin</t>
  </si>
  <si>
    <t>-622.259285763923 35.5779976848251 -92.9877073094187</t>
  </si>
  <si>
    <t>-648.677675539838 33.1877686371365 -200.476588372886</t>
  </si>
  <si>
    <t>-667.503822456316 33.3242099172385 -291.423745462002</t>
  </si>
  <si>
    <t>-684.105912849383 34.2694141912348 -373.652867486628</t>
  </si>
  <si>
    <t>-699.759789225955 36.0986985878753 -456.052654723629</t>
  </si>
  <si>
    <t>-721.618988173589 39.7591948365048 -576.691384917776</t>
  </si>
  <si>
    <t>-720.802986680711 42.3728655461186 -655.002981815832</t>
  </si>
  <si>
    <t>-715.806633102909 69.2430691591424 -522.127997510486</t>
  </si>
  <si>
    <t>-700.73165593814 222.974114095471 -500.332987263663</t>
  </si>
  <si>
    <t>-537.597657683661 220.760449406968 -270.20040583115</t>
  </si>
  <si>
    <t>-325.488108863598 126.1197290771 -271.301439168873</t>
  </si>
  <si>
    <t>-708.248084293971 7.06297911902152 -525.384354111526</t>
  </si>
  <si>
    <t>-539.476400610463 96.6810667581278 -444.493444684254</t>
  </si>
  <si>
    <t>-626.450797205426 128.134877524671 -95.7840611971336</t>
  </si>
  <si>
    <t>-634.575772386403 142.062466575637 319.477976756649</t>
  </si>
  <si>
    <t>-669.894359628578 173.786570080167 780.204711108007</t>
  </si>
  <si>
    <t>-519.027571685945 173.440404400815 836.087769753633</t>
  </si>
  <si>
    <t>-599.626494250539 -65.392414518843 321.4582974004</t>
  </si>
  <si>
    <t>-655.471531284375 -105.409837098615 779.329280901685</t>
  </si>
  <si>
    <t>-501.18566706934 -122.634702936216 821.554873386782</t>
  </si>
  <si>
    <t>9763-20170724T115411.027809600.bin</t>
  </si>
  <si>
    <t>-622.936610456887 35.3881272136157 -93.0806695497753</t>
  </si>
  <si>
    <t>-649.527215426455 33.0839943688832 -200.528919347605</t>
  </si>
  <si>
    <t>-668.435842612524 33.3570552414733 -291.458691108076</t>
  </si>
  <si>
    <t>-685.088254539149 34.4548069093487 -373.675605777499</t>
  </si>
  <si>
    <t>-700.768760919333 36.4653280384216 -456.066180043981</t>
  </si>
  <si>
    <t>-722.641477290273 40.4225984557961 -576.693233462798</t>
  </si>
  <si>
    <t>-721.743922341971 43.2798230777498 -654.995542917234</t>
  </si>
  <si>
    <t>-716.763203242604 69.7800130594742 -522.068704774758</t>
  </si>
  <si>
    <t>-701.514040211284 223.478846413601 -500.128345288966</t>
  </si>
  <si>
    <t>-536.366064547193 219.951159458831 -271.453315377973</t>
  </si>
  <si>
    <t>-323.763223158775 126.422668964972 -272.447843832054</t>
  </si>
  <si>
    <t>-709.324648819685 7.59239325379986 -525.457649735624</t>
  </si>
  <si>
    <t>-540.522284799561 96.9156191544996 -443.889717386342</t>
  </si>
  <si>
    <t>-626.838979465822 128.035186649903 -95.8766825233567</t>
  </si>
  <si>
    <t>-634.374020965845 142.112763561711 319.391503260074</t>
  </si>
  <si>
    <t>-669.794262166722 173.883741576692 780.120316980578</t>
  </si>
  <si>
    <t>-518.964180669939 173.364093569981 836.101054192924</t>
  </si>
  <si>
    <t>-600.678643325065 -65.4566599750858 321.372860955216</t>
  </si>
  <si>
    <t>-655.360350452294 -105.436875756678 779.418302816207</t>
  </si>
  <si>
    <t>-501.104398114072 -122.398395404762 821.859163171862</t>
  </si>
  <si>
    <t>9763-20170724T115411.064906400.bin</t>
  </si>
  <si>
    <t>-623.222036456045 35.3327924487999 -93.1278088990829</t>
  </si>
  <si>
    <t>-649.925803304519 33.0824653347395 -200.549165096979</t>
  </si>
  <si>
    <t>-668.905334249165 33.4226838402947 -291.463925755936</t>
  </si>
  <si>
    <t>-685.612531096985 34.5917749549862 -373.668816085277</t>
  </si>
  <si>
    <t>-701.338821699965 36.6840510419456 -456.048667870929</t>
  </si>
  <si>
    <t>-723.268850229058 40.772849116199 -576.660801628121</t>
  </si>
  <si>
    <t>-722.352731443112 43.7429244752268 -654.958695090228</t>
  </si>
  <si>
    <t>-717.33246675312 70.0748405890324 -522.012758557164</t>
  </si>
  <si>
    <t>-701.809768964501 223.733583270973 -499.988242852173</t>
  </si>
  <si>
    <t>-535.646263784237 219.583098722075 -272.060472091556</t>
  </si>
  <si>
    <t>-322.821225598635 126.560438711409 -272.963317329435</t>
  </si>
  <si>
    <t>-709.959766799885 7.882791216947 -525.461728836424</t>
  </si>
  <si>
    <t>-541.092887858832 97.0525376134128 -443.658204924646</t>
  </si>
  <si>
    <t>-626.950593484732 128.047608256084 -95.9245850502828</t>
  </si>
  <si>
    <t>-634.149185541545 142.139694392859 319.349023150118</t>
  </si>
  <si>
    <t>-669.734402999229 173.935806828546 780.070983664289</t>
  </si>
  <si>
    <t>-518.934187646681 173.39706948149 836.132027788718</t>
  </si>
  <si>
    <t>-601.058232164483 -65.4003749754449 321.327020091201</t>
  </si>
  <si>
    <t>-655.304813902423 -105.441071354464 779.450316472694</t>
  </si>
  <si>
    <t>-501.06781937963 -122.274922492396 822.010842659866</t>
  </si>
  <si>
    <t>9763-20170724T115411.133742500.bin</t>
  </si>
  <si>
    <t>-623.819847394083 35.2927915591342 -93.1983123499492</t>
  </si>
  <si>
    <t>-650.798668334212 33.1950454691723 -200.554035728954</t>
  </si>
  <si>
    <t>-669.978878473692 33.6926168385439 -291.425916613386</t>
  </si>
  <si>
    <t>-686.855870496326 35.0205727175035 -373.593686125246</t>
  </si>
  <si>
    <t>-702.741259284765 37.2869538943976 -455.938384734277</t>
  </si>
  <si>
    <t>-724.892809853515 41.6476154473012 -576.500542286021</t>
  </si>
  <si>
    <t>-724.026315288584 44.8223383810766 -654.790823530355</t>
  </si>
  <si>
    <t>-718.779564452026 70.8359464327148 -521.811308382788</t>
  </si>
  <si>
    <t>-702.400539020024 224.380274255231 -499.604869805389</t>
  </si>
  <si>
    <t>-534.469664554999 218.942276400851 -273.003399820223</t>
  </si>
  <si>
    <t>-321.313528120615 126.686783885025 -274.388368627374</t>
  </si>
  <si>
    <t>-711.566326049236 8.63231516614542 -525.386501773601</t>
  </si>
  <si>
    <t>-542.559690687228 97.4781581431957 -443.424295304194</t>
  </si>
  <si>
    <t>-627.094564655803 128.174950375917 -95.9670758940948</t>
  </si>
  <si>
    <t>-633.606316538629 142.260640945934 319.318121074839</t>
  </si>
  <si>
    <t>-669.657741997008 173.964597688554 780.014903829434</t>
  </si>
  <si>
    <t>-518.894135526444 173.268735760922 836.172452514221</t>
  </si>
  <si>
    <t>-601.558921113866 -65.2646260049964 321.257079743978</t>
  </si>
  <si>
    <t>-655.21395428706 -105.495705507143 779.485114427799</t>
  </si>
  <si>
    <t>-501.037788383063 -122.38599333965 822.243236269085</t>
  </si>
  <si>
    <t>9763-20170724T115411.161817600.bin</t>
  </si>
  <si>
    <t>-624.062585581246 35.3311274777341 -93.2180127390201</t>
  </si>
  <si>
    <t>-651.173659433327 33.3035705170628 -200.541627048049</t>
  </si>
  <si>
    <t>-670.466121116171 33.8780153067178 -291.389347445384</t>
  </si>
  <si>
    <t>-687.445352194129 35.2847921079724 -373.534820048012</t>
  </si>
  <si>
    <t>-703.434298327385 37.6381585209695 -455.857008448938</t>
  </si>
  <si>
    <t>-725.738799888276 42.1355177906835 -576.385880230092</t>
  </si>
  <si>
    <t>-724.932531389654 45.3857781316331 -654.673823981437</t>
  </si>
  <si>
    <t>-719.513759087646 71.2672806212436 -521.679011890465</t>
  </si>
  <si>
    <t>-702.711426966476 224.755523067689 -499.394237479529</t>
  </si>
  <si>
    <t>-534.03383091848 218.199241544328 -273.377785226668</t>
  </si>
  <si>
    <t>-320.732335272613 126.295913068535 -275.564987545413</t>
  </si>
  <si>
    <t>-712.389782982295 9.05692856140308 -525.318732709265</t>
  </si>
  <si>
    <t>-543.459203516304 97.7812117076776 -443.337461187384</t>
  </si>
  <si>
    <t>-627.146404274619 128.317056183863 -95.9750870257922</t>
  </si>
  <si>
    <t>-633.344913994476 142.362496990728 319.316336074895</t>
  </si>
  <si>
    <t>-669.614912180657 174.042440796492 779.994806290439</t>
  </si>
  <si>
    <t>-518.861150200523 173.247080634703 836.177487089516</t>
  </si>
  <si>
    <t>-601.749260875456 -65.1293539002656 321.221330425599</t>
  </si>
  <si>
    <t>-655.102069255124 -105.51364190663 779.45351054279</t>
  </si>
  <si>
    <t>-500.945016990491 -121.986846714428 822.442601411642</t>
  </si>
  <si>
    <t>9763-20170724T115411.227571800.bin</t>
  </si>
  <si>
    <t>-624.099856333515 35.4007610582275 -93.2456567142948</t>
  </si>
  <si>
    <t>-651.457497486384 33.521632138024 -200.509541647513</t>
  </si>
  <si>
    <t>-670.992690712208 34.3188033270792 -291.303634646113</t>
  </si>
  <si>
    <t>-688.207228292943 35.9692951643226 -373.395396410101</t>
  </si>
  <si>
    <t>-704.448924025967 38.6077129518258 -455.659508513342</t>
  </si>
  <si>
    <t>-727.143271889809 43.5674622498739 -576.097464718827</t>
  </si>
  <si>
    <t>-726.542208173586 47.0107990717752 -654.379041732247</t>
  </si>
  <si>
    <t>-720.688654297852 72.4956328089022 -521.309343225114</t>
  </si>
  <si>
    <t>-703.315537749417 225.877861815829 -498.727553292503</t>
  </si>
  <si>
    <t>-533.043994191072 216.231436643924 -274.02081348417</t>
  </si>
  <si>
    <t>-319.535561593582 124.871540687306 -278.027386281908</t>
  </si>
  <si>
    <t>-713.681705350597 10.2868161402321 -525.191451704906</t>
  </si>
  <si>
    <t>-545.098299469615 98.9123611459072 -443.051587075642</t>
  </si>
  <si>
    <t>-627.002501474145 128.604883168473 -95.968997935519</t>
  </si>
  <si>
    <t>-632.735878024245 142.563973715924 319.33198340486</t>
  </si>
  <si>
    <t>-669.560035096732 174.110573347468 779.98812513643</t>
  </si>
  <si>
    <t>-518.820798531828 173.078509326944 836.205871342867</t>
  </si>
  <si>
    <t>-601.627020662604 -64.7804643463824 321.206586987736</t>
  </si>
  <si>
    <t>-654.054376660031 -105.773236373412 779.53025426367</t>
  </si>
  <si>
    <t>-500.40504399358 -121.90648097651 824.423763255727</t>
  </si>
  <si>
    <t>9763-20170724T115411.262174900.bin</t>
  </si>
  <si>
    <t>-624.001821095891 35.532038411666 -93.2161825456338</t>
  </si>
  <si>
    <t>-651.448962108255 33.7282033305705 -200.458435057705</t>
  </si>
  <si>
    <t>-671.098703743947 34.6627157538883 -291.226464572397</t>
  </si>
  <si>
    <t>-688.433885895877 36.4686055297075 -373.289702655972</t>
  </si>
  <si>
    <t>-704.814530922122 39.2929643480668 -455.520021119706</t>
  </si>
  <si>
    <t>-727.733026110775 44.5580112418343 -575.902616528359</t>
  </si>
  <si>
    <t>-727.27070657338 48.1441003476955 -654.178554033906</t>
  </si>
  <si>
    <t>-721.167672739558 73.3482243430844 -521.055005622324</t>
  </si>
  <si>
    <t>-703.495193298379 226.659137624323 -498.243681936856</t>
  </si>
  <si>
    <t>-532.658294380088 215.311567643258 -274.046045484824</t>
  </si>
  <si>
    <t>-319.039761830037 124.259179713491 -279.057916124692</t>
  </si>
  <si>
    <t>-714.185484192878 11.1472662725207 -525.104562032774</t>
  </si>
  <si>
    <t>-545.99873902682 99.6092842082576 -442.7856880903</t>
  </si>
  <si>
    <t>-626.836628369527 128.796920878068 -95.9420334915507</t>
  </si>
  <si>
    <t>-632.424128550424 142.711307509331 319.362394938928</t>
  </si>
  <si>
    <t>-669.511666127343 174.180938366533 779.990436845009</t>
  </si>
  <si>
    <t>-518.783277907131 173.013807944402 836.234653810675</t>
  </si>
  <si>
    <t>-601.471303127654 -64.6329199486183 321.252158925163</t>
  </si>
  <si>
    <t>-653.356988275968 -105.888247504044 779.668391872008</t>
  </si>
  <si>
    <t>-500.017809826049 -121.682827157607 825.727608768489</t>
  </si>
  <si>
    <t>9763-20170724T115411.328852700.bin</t>
  </si>
  <si>
    <t>-623.829644940176 35.8605807814365 -93.1762151786393</t>
  </si>
  <si>
    <t>-651.408273130793 34.2020739883194 -200.386997878345</t>
  </si>
  <si>
    <t>-671.191230809648 35.4555260646259 -291.122359435139</t>
  </si>
  <si>
    <t>-688.659488128723 37.6316617005452 -373.148444466564</t>
  </si>
  <si>
    <t>-705.188212788394 40.9081856314256 -455.332333472539</t>
  </si>
  <si>
    <t>-728.342173940134 46.9241081900107 -575.634617590298</t>
  </si>
  <si>
    <t>-728.100805976207 50.9222968651015 -653.891513056891</t>
  </si>
  <si>
    <t>-721.65377777548 75.3735867666451 -520.624274697709</t>
  </si>
  <si>
    <t>-703.171836157706 228.490896845477 -497.144841804438</t>
  </si>
  <si>
    <t>-531.803749574637 213.514599561627 -273.566527228376</t>
  </si>
  <si>
    <t>-317.689233000225 123.758026551244 -280.441752688916</t>
  </si>
  <si>
    <t>-714.711081468518 13.1952392608619 -525.069725348258</t>
  </si>
  <si>
    <t>-548.252257217577 101.264729839064 -441.804485656327</t>
  </si>
  <si>
    <t>-626.542363322531 129.308011734625 -95.9153093269288</t>
  </si>
  <si>
    <t>-631.9088490978 143.015285668166 319.398914868521</t>
  </si>
  <si>
    <t>-669.421752928482 174.233308559345 780.018226591191</t>
  </si>
  <si>
    <t>-518.697261262073 173.042458625116 836.272373889796</t>
  </si>
  <si>
    <t>-601.984416030361 -64.0453807819783 321.299669361197</t>
  </si>
  <si>
    <t>-652.414442064857 -105.950681052143 779.809836907261</t>
  </si>
  <si>
    <t>-499.514258743153 -120.899782397378 827.578932500277</t>
  </si>
  <si>
    <t>9763-20170724T115411.361944700.bin</t>
  </si>
  <si>
    <t>-623.919434715768 36.1213855806855 -93.1872030253014</t>
  </si>
  <si>
    <t>-651.49696885176 34.5268194767721 -200.399279434321</t>
  </si>
  <si>
    <t>-671.309708429514 35.9499552472921 -291.12552457506</t>
  </si>
  <si>
    <t>-688.819185217552 38.3270925683369 -373.137237741307</t>
  </si>
  <si>
    <t>-705.404712585879 41.851367025324 -455.299409832072</t>
  </si>
  <si>
    <t>-728.659802936924 48.2808350245507 -575.560727330409</t>
  </si>
  <si>
    <t>-728.523087601548 52.5089600947215 -653.806017120704</t>
  </si>
  <si>
    <t>-721.893418859892 76.5448655462158 -520.464521695375</t>
  </si>
  <si>
    <t>-702.651538877062 229.47567252818 -496.441635576031</t>
  </si>
  <si>
    <t>-531.517480251537 212.559856017221 -272.822457280829</t>
  </si>
  <si>
    <t>-317.132670485924 123.503451117005 -280.348565824955</t>
  </si>
  <si>
    <t>-715.017888398437 14.3744057746796 -525.117847374058</t>
  </si>
  <si>
    <t>-549.347319649972 102.265613250892 -441.344205278308</t>
  </si>
  <si>
    <t>-626.449750349215 129.611036113614 -95.9147022804062</t>
  </si>
  <si>
    <t>-631.779626135788 143.195476028598 319.404051487263</t>
  </si>
  <si>
    <t>-669.393273911235 174.252369535979 780.042676185308</t>
  </si>
  <si>
    <t>-518.665603610978 172.876131365688 836.28417478777</t>
  </si>
  <si>
    <t>-602.576022305311 -63.888573236218 321.294704195385</t>
  </si>
  <si>
    <t>-652.217959947758 -106.00964687153 779.828892870679</t>
  </si>
  <si>
    <t>-499.477038489651 -121.260112353904 828.010397002765</t>
  </si>
  <si>
    <t>9763-20170724T115411.433776300.bin</t>
  </si>
  <si>
    <t>-624.355360554176 36.8620172174933 -93.2275607637766</t>
  </si>
  <si>
    <t>-651.867886510485 35.3791801816642 -200.457954018934</t>
  </si>
  <si>
    <t>-671.718629142482 37.190228700219 -291.169004443081</t>
  </si>
  <si>
    <t>-689.304266438179 40.0367523917607 -373.149439708795</t>
  </si>
  <si>
    <t>-706.010646538929 44.1479668917914 -455.259893740057</t>
  </si>
  <si>
    <t>-729.494177266373 51.5636942895201 -575.420011819969</t>
  </si>
  <si>
    <t>-729.51352425919 56.314660502522 -653.635346857681</t>
  </si>
  <si>
    <t>-722.584560285572 79.379652805761 -520.113830136279</t>
  </si>
  <si>
    <t>-701.945294500676 231.944734517129 -494.892660114121</t>
  </si>
  <si>
    <t>-532.027869288186 210.730285108915 -270.712813844795</t>
  </si>
  <si>
    <t>-317.114730293994 123.12397634792 -279.986825334432</t>
  </si>
  <si>
    <t>-715.79505029043 17.2398362048416 -525.275737539608</t>
  </si>
  <si>
    <t>-550.172010711206 105.319115065753 -441.458963597256</t>
  </si>
  <si>
    <t>-626.445164868531 130.3351715439 -95.9326624324012</t>
  </si>
  <si>
    <t>-631.974742355235 143.674749448877 319.391410706689</t>
  </si>
  <si>
    <t>-669.333533216414 174.315759549552 780.050762962324</t>
  </si>
  <si>
    <t>-518.605543674696 172.764395704531 836.286817938727</t>
  </si>
  <si>
    <t>-603.789389691485 -63.7779150245553 321.176054065232</t>
  </si>
  <si>
    <t>-652.142264248375 -105.971750123111 779.795808345987</t>
  </si>
  <si>
    <t>-499.474387780389 -121.218970330249 828.209253297643</t>
  </si>
  <si>
    <t>9763-20170724T115411.460849900.bin</t>
  </si>
  <si>
    <t>-624.623290592463 37.2770691676403 -93.2659627547582</t>
  </si>
  <si>
    <t>-652.113053312086 35.8456109769302 -200.5029263876</t>
  </si>
  <si>
    <t>-671.961876863973 37.892346404609 -291.209412107861</t>
  </si>
  <si>
    <t>-689.555481140119 41.0297006905666 -373.17748636176</t>
  </si>
  <si>
    <t>-706.281327939144 45.508997101502 -455.26460094936</t>
  </si>
  <si>
    <t>-729.807727062461 53.5476259940187 -575.376359471732</t>
  </si>
  <si>
    <t>-729.859432543953 58.6221111420782 -653.571337417051</t>
  </si>
  <si>
    <t>-722.870353134532 81.0775339712413 -519.930742734513</t>
  </si>
  <si>
    <t>-701.424469114092 233.446313642126 -494.077341687501</t>
  </si>
  <si>
    <t>-532.1844816693 209.281683614742 -269.683776649663</t>
  </si>
  <si>
    <t>-317.207395198893 121.946100177721 -279.97328219319</t>
  </si>
  <si>
    <t>-716.098738655648 18.963289612569 -525.414107728144</t>
  </si>
  <si>
    <t>-550.095902257325 106.924831875705 -441.929555790298</t>
  </si>
  <si>
    <t>-626.504319434896 130.707389619991 -95.958742350165</t>
  </si>
  <si>
    <t>-632.162757426782 143.948270095005 319.36674476402</t>
  </si>
  <si>
    <t>-669.315962942771 174.339956807363 780.064426224782</t>
  </si>
  <si>
    <t>-518.580304303914 172.712830655921 836.277830788746</t>
  </si>
  <si>
    <t>-604.153472596906 -63.6550649846622 321.095912741239</t>
  </si>
  <si>
    <t>-652.234595045796 -105.917369428472 779.748544416308</t>
  </si>
  <si>
    <t>-499.537448003585 -121.268498252962 828.03673263136</t>
  </si>
  <si>
    <t>9763-20170724T115411.527551000.bin</t>
  </si>
  <si>
    <t>-625.179846137297 37.8154829599684 -93.3227046710946</t>
  </si>
  <si>
    <t>-652.665837286143 36.4684190961816 -200.56161598128</t>
  </si>
  <si>
    <t>-672.50954647147 38.9630064182215 -291.258076122068</t>
  </si>
  <si>
    <t>-690.10382423974 42.6565871148855 -373.20280684581</t>
  </si>
  <si>
    <t>-706.839391627223 47.844857594328 -455.246287537638</t>
  </si>
  <si>
    <t>-730.393756458037 57.0868687314785 -575.265975460587</t>
  </si>
  <si>
    <t>-730.496562399736 62.8251851903167 -653.415015922938</t>
  </si>
  <si>
    <t>-723.483960300446 84.0544361564339 -519.541022724493</t>
  </si>
  <si>
    <t>-700.683907829096 235.95881680906 -492.280276643706</t>
  </si>
  <si>
    <t>-533.044726658389 207.758288805634 -267.157021402212</t>
  </si>
  <si>
    <t>-318.236368053306 120.194700276975 -278.926041751422</t>
  </si>
  <si>
    <t>-716.632667714076 22.0085929312095 -525.663450630622</t>
  </si>
  <si>
    <t>-548.726446878186 108.789024502711 -442.453727773812</t>
  </si>
  <si>
    <t>-626.731737835386 131.285531654188 -95.9803654264117</t>
  </si>
  <si>
    <t>-632.324913967747 144.299231153055 319.353213421109</t>
  </si>
  <si>
    <t>-669.323161735122 174.276021185816 780.094676242683</t>
  </si>
  <si>
    <t>-518.561685285104 172.659763441757 836.239007349326</t>
  </si>
  <si>
    <t>-604.403635398341 -63.3987566572318 320.956972306372</t>
  </si>
  <si>
    <t>-652.676788340273 -105.771147289041 779.604431346076</t>
  </si>
  <si>
    <t>-499.792949009866 -121.503868210151 827.17378292283</t>
  </si>
  <si>
    <t>9763-20170724T115411.566155500.bin</t>
  </si>
  <si>
    <t>-625.352116832069 38.1021435538496 -93.3596043841801</t>
  </si>
  <si>
    <t>-652.860044213011 36.7896156933832 -200.593460679393</t>
  </si>
  <si>
    <t>-672.697171224989 39.4815731375872 -291.285683289487</t>
  </si>
  <si>
    <t>-690.278009694132 43.4212058940177 -373.221862006485</t>
  </si>
  <si>
    <t>-706.994348539552 48.923755926065 -455.248761891748</t>
  </si>
  <si>
    <t>-730.51567978757 58.7007721262341 -575.232448287033</t>
  </si>
  <si>
    <t>-730.621132315328 64.7478322922527 -653.358143733819</t>
  </si>
  <si>
    <t>-723.643212752112 85.4167984027576 -519.382023505239</t>
  </si>
  <si>
    <t>-699.923877680917 237.041695677664 -491.192586141638</t>
  </si>
  <si>
    <t>-532.732630698555 206.85017914713 -265.994689150611</t>
  </si>
  <si>
    <t>-318.000906702459 119.205958489189 -278.536624184062</t>
  </si>
  <si>
    <t>-716.74618690736 23.404691098913 -525.787278772717</t>
  </si>
  <si>
    <t>-547.806847239708 109.243436771118 -442.486446489563</t>
  </si>
  <si>
    <t>-626.790126055879 131.596364616535 -95.9854245907716</t>
  </si>
  <si>
    <t>-632.315790645492 144.464517403599 319.353563602364</t>
  </si>
  <si>
    <t>-669.310513573557 174.255567944046 780.082538386391</t>
  </si>
  <si>
    <t>-518.547747290711 172.622745643468 836.222874187566</t>
  </si>
  <si>
    <t>-604.442228053425 -63.2785724135351 320.877618559271</t>
  </si>
  <si>
    <t>-653.013241577463 -105.68494886339 779.495682382814</t>
  </si>
  <si>
    <t>-499.989288234097 -121.729504413118 826.507091806717</t>
  </si>
  <si>
    <t>9763-20170724T115411.626318400.bin</t>
  </si>
  <si>
    <t>-625.547379050728 38.7211582817315 -93.4748625577218</t>
  </si>
  <si>
    <t>-652.994540213459 37.4608156498857 -200.72488406278</t>
  </si>
  <si>
    <t>-672.711645476427 40.6014950937213 -291.428833751281</t>
  </si>
  <si>
    <t>-690.162093515839 45.108349585068 -373.363622418648</t>
  </si>
  <si>
    <t>-706.729403802256 51.3418142799928 -455.368488122158</t>
  </si>
  <si>
    <t>-730.016081051703 62.3665824159164 -575.289790467515</t>
  </si>
  <si>
    <t>-730.056273582507 69.1248121958436 -653.357298080656</t>
  </si>
  <si>
    <t>-723.301450929456 88.4937324891828 -519.142367837684</t>
  </si>
  <si>
    <t>-697.702748447145 239.413401565009 -489.047951683305</t>
  </si>
  <si>
    <t>-531.796323629938 205.245968187907 -263.468257309209</t>
  </si>
  <si>
    <t>-317.369792531764 117.236612153099 -278.439735717663</t>
  </si>
  <si>
    <t>-716.294755841494 26.5642716786035 -526.196390061707</t>
  </si>
  <si>
    <t>-546.1274469689 110.613738319074 -442.212159683088</t>
  </si>
  <si>
    <t>-626.902587243834 132.200569477576 -96.0289894419192</t>
  </si>
  <si>
    <t>-632.43941107989 144.80117923016 319.318019628848</t>
  </si>
  <si>
    <t>-669.280833135824 174.204302578356 780.050237318068</t>
  </si>
  <si>
    <t>-518.522286113977 172.712185839009 836.205809426773</t>
  </si>
  <si>
    <t>-604.278347969513 -63.021353652571 320.689061131244</t>
  </si>
  <si>
    <t>-653.698821890825 -105.538493968162 779.237543382532</t>
  </si>
  <si>
    <t>-500.382097258457 -122.104210015386 825.100212450021</t>
  </si>
  <si>
    <t>9763-20170724T115411.663419700.bin</t>
  </si>
  <si>
    <t>-625.589479158571 39.0495156996044 -93.5446361540836</t>
  </si>
  <si>
    <t>-652.967397773656 37.8194415775481 -200.812538916043</t>
  </si>
  <si>
    <t>-672.551019271177 41.2287431405732 -291.535896654005</t>
  </si>
  <si>
    <t>-689.854093271662 46.0759063135629 -373.48230990345</t>
  </si>
  <si>
    <t>-706.249224671083 52.7487057721364 -455.487422637859</t>
  </si>
  <si>
    <t>-729.259232637463 64.5240224971449 -575.39065274278</t>
  </si>
  <si>
    <t>-729.195929495113 71.7144217956125 -653.419544701516</t>
  </si>
  <si>
    <t>-722.706559870317 90.2946500265641 -519.059646515032</t>
  </si>
  <si>
    <t>-696.319625744078 240.842315144717 -487.930856643771</t>
  </si>
  <si>
    <t>-531.165115139479 204.51764564322 -262.136482365392</t>
  </si>
  <si>
    <t>-317.015796196842 116.116515900033 -278.684273988595</t>
  </si>
  <si>
    <t>-715.618779063583 28.4194059948397 -526.496465037641</t>
  </si>
  <si>
    <t>-545.100284226427 111.728975205901 -441.76248236207</t>
  </si>
  <si>
    <t>-626.906523619898 132.534670183571 -96.0564959250573</t>
  </si>
  <si>
    <t>-632.606141241169 145.017941951732 319.291918445081</t>
  </si>
  <si>
    <t>-669.262448359797 174.227863683978 780.041497952298</t>
  </si>
  <si>
    <t>-518.509349869438 172.542714435383 836.206361771755</t>
  </si>
  <si>
    <t>-604.078525414652 -62.8462376812695 320.57950912668</t>
  </si>
  <si>
    <t>-653.998583876897 -105.437163606721 779.095200195386</t>
  </si>
  <si>
    <t>-500.529247073167 -122.017659162302 824.439049279341</t>
  </si>
  <si>
    <t>9763-20170724T115411.728597400.bin</t>
  </si>
  <si>
    <t>-625.450652687505 40.0363505949774 -93.6654581425167</t>
  </si>
  <si>
    <t>-652.600215520372 38.8995876417582 -200.99261279744</t>
  </si>
  <si>
    <t>-671.879215863521 42.9651960193346 -291.753999497757</t>
  </si>
  <si>
    <t>-688.871239540377 48.6374148423843 -373.712607145617</t>
  </si>
  <si>
    <t>-704.925016353071 56.3690852503339 -455.692085008555</t>
  </si>
  <si>
    <t>-727.408380875285 69.9494389517379 -575.504444919024</t>
  </si>
  <si>
    <t>-727.128131784679 78.1671366878818 -653.431352489921</t>
  </si>
  <si>
    <t>-721.176042888992 94.8587576423861 -518.751216692848</t>
  </si>
  <si>
    <t>-693.408515200501 244.684913109647 -485.341509193755</t>
  </si>
  <si>
    <t>-530.227637455846 202.753189475532 -259.084343759453</t>
  </si>
  <si>
    <t>-316.405316689359 114.17167244632 -278.625505368079</t>
  </si>
  <si>
    <t>-713.909746907038 33.1222335732725 -527.112429775114</t>
  </si>
  <si>
    <t>-543.075985887266 115.596001293976 -440.639707399998</t>
  </si>
  <si>
    <t>-626.62737155335 133.462211915694 -96.10575452902</t>
  </si>
  <si>
    <t>-632.827008757812 145.604500174077 319.245608046961</t>
  </si>
  <si>
    <t>-669.238137178512 174.250257523816 780.038498148663</t>
  </si>
  <si>
    <t>-518.488768055478 172.53596008029 836.212401445304</t>
  </si>
  <si>
    <t>-603.557643941263 -62.2518908030224 320.381976536021</t>
  </si>
  <si>
    <t>-654.461968424673 -105.311782630909 778.797929939213</t>
  </si>
  <si>
    <t>-500.815204707501 -122.400154124145 823.345384898473</t>
  </si>
  <si>
    <t>9763-20170724T115411.761687700.bin</t>
  </si>
  <si>
    <t>-625.142104078455 40.663064303518 -93.7155476568394</t>
  </si>
  <si>
    <t>-652.129427956666 39.6221531302858 -201.084494386588</t>
  </si>
  <si>
    <t>-671.233704259199 44.0771879311606 -291.864547664557</t>
  </si>
  <si>
    <t>-688.059444677501 50.2257606107421 -373.823244785034</t>
  </si>
  <si>
    <t>-703.942600721574 58.5592184583718 -455.776946678492</t>
  </si>
  <si>
    <t>-726.175928882542 73.1566094547773 -575.516329631572</t>
  </si>
  <si>
    <t>-725.77921190934 81.9709178766625 -653.37756646173</t>
  </si>
  <si>
    <t>-720.130136158895 97.5733564270611 -518.529397268933</t>
  </si>
  <si>
    <t>-691.902941639651 247.037599420937 -483.927708511293</t>
  </si>
  <si>
    <t>-529.91229907247 201.940363850495 -257.424119053721</t>
  </si>
  <si>
    <t>-316.101404464672 113.73186961721 -278.700774032317</t>
  </si>
  <si>
    <t>-712.710154608003 35.92941315043 -527.422031235417</t>
  </si>
  <si>
    <t>-542.207170987711 117.993110734704 -439.818212857785</t>
  </si>
  <si>
    <t>-626.100755261832 134.130759856002 -96.1163457577035</t>
  </si>
  <si>
    <t>-632.699185960645 146.045878650997 319.235376007253</t>
  </si>
  <si>
    <t>-669.206805268516 174.322986500459 780.033802778328</t>
  </si>
  <si>
    <t>-518.46784459714 172.458098206086 836.23090937797</t>
  </si>
  <si>
    <t>-603.158573340152 -61.9128405762367 320.283391832379</t>
  </si>
  <si>
    <t>-654.584850510264 -105.263126352663 778.652601101235</t>
  </si>
  <si>
    <t>-500.883737623383 -122.416696050423 822.987111381482</t>
  </si>
  <si>
    <t>9763-20170724T115411.831687500.bin</t>
  </si>
  <si>
    <t>-624.167476431744 42.0603533856197 -93.8080285201711</t>
  </si>
  <si>
    <t>-650.790771208301 41.220682377246 -201.269627276479</t>
  </si>
  <si>
    <t>-669.470638472907 46.4315750107874 -292.097624353431</t>
  </si>
  <si>
    <t>-685.878462498692 53.5012037343961 -374.066774024704</t>
  </si>
  <si>
    <t>-701.316741876094 62.9944328895438 -455.979417680942</t>
  </si>
  <si>
    <t>-722.877916567458 79.5490343149866 -575.587124259425</t>
  </si>
  <si>
    <t>-722.152318615911 89.517670209669 -653.306471482887</t>
  </si>
  <si>
    <t>-717.209855812058 103.021977098581 -518.166252991987</t>
  </si>
  <si>
    <t>-687.956177494742 251.77339744362 -481.328543804085</t>
  </si>
  <si>
    <t>-529.932279045633 199.740446976408 -253.513678705699</t>
  </si>
  <si>
    <t>-316.066233388922 113.048685709641 -279.864861879381</t>
  </si>
  <si>
    <t>-709.624291616335 41.5480660019755 -528.042240980041</t>
  </si>
  <si>
    <t>-540.68911931757 122.779878235289 -438.102857612934</t>
  </si>
  <si>
    <t>-624.753557984148 135.799324325204 -96.1336549781555</t>
  </si>
  <si>
    <t>-632.264090931988 147.017924451078 319.222039880104</t>
  </si>
  <si>
    <t>-669.173766658477 174.361443652373 780.024798631744</t>
  </si>
  <si>
    <t>-518.458347655702 172.39274081396 836.281398692865</t>
  </si>
  <si>
    <t>-602.397328652484 -61.2173970403526 320.081467964535</t>
  </si>
  <si>
    <t>-654.644791131294 -105.175820840238 778.394815463864</t>
  </si>
  <si>
    <t>-500.918225076083 -122.48250027667 822.581291816919</t>
  </si>
  <si>
    <t>9763-20170724T115411.865279600.bin</t>
  </si>
  <si>
    <t>-623.643587325203 42.6140734914422 -93.8554301302395</t>
  </si>
  <si>
    <t>-649.994906074189 41.9239393138128 -201.385103357569</t>
  </si>
  <si>
    <t>-668.435438829771 47.5168980407025 -292.239465313448</t>
  </si>
  <si>
    <t>-684.630173012473 55.035364472106 -374.211012258248</t>
  </si>
  <si>
    <t>-699.862532164855 65.0810530274327 -456.096320834181</t>
  </si>
  <si>
    <t>-721.135108338502 82.5559611052613 -575.624660533269</t>
  </si>
  <si>
    <t>-720.251340931548 93.0846673492949 -653.268516743566</t>
  </si>
  <si>
    <t>-715.646177684641 105.580044437899 -518.005133346182</t>
  </si>
  <si>
    <t>-686.011708579577 253.966827577307 -480.064011765518</t>
  </si>
  <si>
    <t>-529.935970210992 198.554634489732 -251.703688856779</t>
  </si>
  <si>
    <t>-316.077049908908 112.630670290375 -280.512713510632</t>
  </si>
  <si>
    <t>-707.955583126203 44.196205831086 -528.348101917263</t>
  </si>
  <si>
    <t>-540.112497559543 124.932350664148 -437.087285222036</t>
  </si>
  <si>
    <t>-624.015275330586 136.438780540434 -96.1186763348463</t>
  </si>
  <si>
    <t>-632.257147829783 147.327954304205 319.231883935957</t>
  </si>
  <si>
    <t>-669.20661316903 174.260924843584 780.048796873221</t>
  </si>
  <si>
    <t>-518.48957836244 172.408762444554 836.305068905682</t>
  </si>
  <si>
    <t>-601.900665117982 -61.01588830167 319.983014084778</t>
  </si>
  <si>
    <t>-654.626139166107 -105.166406989153 778.259633902488</t>
  </si>
  <si>
    <t>-500.935088694728 -122.733123707181 822.466997997056</t>
  </si>
  <si>
    <t>9763-20170724T115411.929953100.bin</t>
  </si>
  <si>
    <t>-622.99344115575 43.6883360412805 -93.8616095605234</t>
  </si>
  <si>
    <t>-648.805956285399 43.1811575193017 -201.52295096029</t>
  </si>
  <si>
    <t>-666.725071675303 49.3897410470149 -292.441595304215</t>
  </si>
  <si>
    <t>-682.432615842466 57.6503454926863 -374.436431528396</t>
  </si>
  <si>
    <t>-697.167659299135 68.6239063426833 -456.293714050336</t>
  </si>
  <si>
    <t>-717.708628966085 87.6578693531033 -575.711936254517</t>
  </si>
  <si>
    <t>-716.420471654024 99.1597700352322 -653.21187510796</t>
  </si>
  <si>
    <t>-712.600251807381 109.923909751721 -517.760406978202</t>
  </si>
  <si>
    <t>-681.979851935776 257.581440720422 -477.755555014496</t>
  </si>
  <si>
    <t>-530.163682196178 196.172248683196 -248.06169676596</t>
  </si>
  <si>
    <t>-316.230870267682 112.028219920088 -281.243679088024</t>
  </si>
  <si>
    <t>-704.790600485288 48.6881392304724 -528.864030657433</t>
  </si>
  <si>
    <t>-539.006607271069 128.539925025138 -434.770129073671</t>
  </si>
  <si>
    <t>-623.124032583028 137.775637153039 -96.0379138717047</t>
  </si>
  <si>
    <t>-632.502234601282 147.891021933297 319.308135894875</t>
  </si>
  <si>
    <t>-669.31628319946 174.102939047665 780.170816816964</t>
  </si>
  <si>
    <t>-518.557540539278 172.395583028187 836.319882345768</t>
  </si>
  <si>
    <t>-600.711949233938 -60.6307379129898 319.813253859121</t>
  </si>
  <si>
    <t>-654.571255355428 -105.091869356065 777.97170312248</t>
  </si>
  <si>
    <t>-500.920324583464 -122.835244244221 822.247964646078</t>
  </si>
  <si>
    <t>9763-20170724T115411.962541600.bin</t>
  </si>
  <si>
    <t>-622.694390953457 44.4073667414286 -93.8825868239617</t>
  </si>
  <si>
    <t>-648.24048567165 43.9473502546209 -201.607598837008</t>
  </si>
  <si>
    <t>-665.86309421945 50.4011781937686 -292.567149234506</t>
  </si>
  <si>
    <t>-681.277506868487 58.9664099830154 -374.586384789204</t>
  </si>
  <si>
    <t>-695.696370540135 70.3275398101182 -456.447071467404</t>
  </si>
  <si>
    <t>-715.752161459456 90.0187796747127 -575.841111814257</t>
  </si>
  <si>
    <t>-714.196221147983 101.910083796961 -653.277441583619</t>
  </si>
  <si>
    <t>-710.883548322656 111.964855233685 -517.747058223273</t>
  </si>
  <si>
    <t>-679.719746513407 259.249288983112 -476.787954418596</t>
  </si>
  <si>
    <t>-530.047936073361 194.815830886063 -246.515748984406</t>
  </si>
  <si>
    <t>-316.214525427841 111.254087697201 -281.746943309964</t>
  </si>
  <si>
    <t>-703.020080108788 50.792220141773 -529.156990766098</t>
  </si>
  <si>
    <t>-538.192366489691 130.107575272806 -433.600254954104</t>
  </si>
  <si>
    <t>-622.833664968983 138.620316434641 -96.0237789436925</t>
  </si>
  <si>
    <t>-632.592044005382 148.381655373321 319.321900128117</t>
  </si>
  <si>
    <t>-669.327911705651 174.152507060192 780.208607054863</t>
  </si>
  <si>
    <t>-518.561883108054 172.222911065514 836.330822353815</t>
  </si>
  <si>
    <t>-600.256720138634 -60.2578287376218 319.725686737906</t>
  </si>
  <si>
    <t>-654.504827801602 -105.101271177701 777.821627205929</t>
  </si>
  <si>
    <t>-500.952492140378 -123.387067222034 822.219074837937</t>
  </si>
  <si>
    <t>9763-20170724T115412.031227600.bin</t>
  </si>
  <si>
    <t>-622.154273751516 46.0805969268667 -93.9121283497552</t>
  </si>
  <si>
    <t>-647.171601906473 45.6730455146412 -201.761362455691</t>
  </si>
  <si>
    <t>-664.155079915925 52.5396270195577 -292.812213201143</t>
  </si>
  <si>
    <t>-678.918612000677 61.6253841313403 -374.895123154171</t>
  </si>
  <si>
    <t>-692.61486578283 73.6560850284286 -456.784209753554</t>
  </si>
  <si>
    <t>-711.538586347941 94.4882507698492 -576.169418917033</t>
  </si>
  <si>
    <t>-709.374889543499 107.018091149824 -653.490457739419</t>
  </si>
  <si>
    <t>-707.182498347485 115.884001009376 -517.829960382792</t>
  </si>
  <si>
    <t>-675.61877632069 262.657143493816 -475.456880307833</t>
  </si>
  <si>
    <t>-530.596570176658 192.453919298175 -243.89987221517</t>
  </si>
  <si>
    <t>-317.092743245228 110.091736443695 -283.663183442532</t>
  </si>
  <si>
    <t>-699.287531570538 54.8105751379526 -529.738493535306</t>
  </si>
  <si>
    <t>-536.058548276113 132.787949040232 -431.427726888935</t>
  </si>
  <si>
    <t>-622.404888757699 140.47672624787 -95.9818148743134</t>
  </si>
  <si>
    <t>-632.780976368747 149.275604536311 319.370457187486</t>
  </si>
  <si>
    <t>-669.415258164374 174.002340298176 780.294406813487</t>
  </si>
  <si>
    <t>-518.623050072156 172.278404641678 836.353038206509</t>
  </si>
  <si>
    <t>-599.558593410147 -59.466897058717 319.588332215446</t>
  </si>
  <si>
    <t>-654.343461122228 -105.110001569962 777.547746867324</t>
  </si>
  <si>
    <t>-500.955719457537 -124.085574433481 822.223830685881</t>
  </si>
  <si>
    <t>9763-20170724T115412.063816100.bin</t>
  </si>
  <si>
    <t>-621.924554206953 46.9116565883951 -93.9620693840064</t>
  </si>
  <si>
    <t>-646.657754907622 46.6134541867382 -201.877294224118</t>
  </si>
  <si>
    <t>-663.326620985478 53.6947027069839 -292.969670285112</t>
  </si>
  <si>
    <t>-677.777919235984 63.0250649930565 -375.080946842591</t>
  </si>
  <si>
    <t>-691.134925408325 75.3505251753522 -456.982118992128</t>
  </si>
  <si>
    <t>-709.534503919221 96.6685843689286 -576.363538346154</t>
  </si>
  <si>
    <t>-707.054866407802 109.487943548843 -653.627543299274</t>
  </si>
  <si>
    <t>-705.397896402843 117.832308601741 -517.923509006011</t>
  </si>
  <si>
    <t>-674.054354791826 264.504879453118 -474.996329586869</t>
  </si>
  <si>
    <t>-531.01891832179 191.802649403468 -242.975093669102</t>
  </si>
  <si>
    <t>-317.701377421056 109.895234135304 -284.632406922404</t>
  </si>
  <si>
    <t>-697.523961801804 56.796450643918 -530.036389074384</t>
  </si>
  <si>
    <t>-534.769524583274 134.304530368345 -430.518169379364</t>
  </si>
  <si>
    <t>-622.074916011747 141.397209090681 -95.9565580936617</t>
  </si>
  <si>
    <t>-633.025612341731 149.662049354048 319.391930556372</t>
  </si>
  <si>
    <t>-669.421188169895 174.020401092579 780.324069321078</t>
  </si>
  <si>
    <t>-518.627769708362 172.174629619724 836.375564210629</t>
  </si>
  <si>
    <t>-599.331727490544 -59.0880343135827 319.462781395032</t>
  </si>
  <si>
    <t>-654.208980801965 -105.08857740003 777.400405183695</t>
  </si>
  <si>
    <t>-500.892210587994 -124.103997821018 822.302582486041</t>
  </si>
  <si>
    <t>9763-20170724T115412.127487500.bin</t>
  </si>
  <si>
    <t>-621.42311676483 47.9700791691835 -94.096393152781</t>
  </si>
  <si>
    <t>-645.403600212696 47.9731215738509 -202.181689112696</t>
  </si>
  <si>
    <t>-661.383256751085 55.4200242986253 -293.368409229926</t>
  </si>
  <si>
    <t>-675.197464103162 65.1310226767969 -375.545083669345</t>
  </si>
  <si>
    <t>-687.906594598812 77.8857192886419 -457.483649148648</t>
  </si>
  <si>
    <t>-705.351689212845 99.8846961832246 -576.884864491375</t>
  </si>
  <si>
    <t>-702.191328304919 113.233043100679 -654.034309089066</t>
  </si>
  <si>
    <t>-701.619039810598 120.724591434664 -518.301488583457</t>
  </si>
  <si>
    <t>-671.997351326665 267.578399869228 -474.792089145108</t>
  </si>
  <si>
    <t>-531.050136536055 194.395813152851 -241.646641722169</t>
  </si>
  <si>
    <t>-318.56852700832 109.899446469465 -282.395495488195</t>
  </si>
  <si>
    <t>-693.774835320416 59.7388314277873 -530.683840083845</t>
  </si>
  <si>
    <t>-531.279204471365 136.082918943809 -429.167642560061</t>
  </si>
  <si>
    <t>-620.948050269416 142.839448444397 -95.9327248943615</t>
  </si>
  <si>
    <t>-633.917948651278 150.030786473963 319.377638235738</t>
  </si>
  <si>
    <t>-669.526764363764 173.896582416414 780.456329878942</t>
  </si>
  <si>
    <t>-518.692733050771 172.046354667547 836.398181754163</t>
  </si>
  <si>
    <t>-598.965864718462 -58.8551513597363 319.193107594044</t>
  </si>
  <si>
    <t>-653.860107732396 -105.151144348097 777.173023260773</t>
  </si>
  <si>
    <t>-500.82646831858 -124.996289854937 822.677939820765</t>
  </si>
  <si>
    <t>9763-20170724T115412.162590800.bin</t>
  </si>
  <si>
    <t>-621.001910525832 48.2019447242753 -94.1084631731064</t>
  </si>
  <si>
    <t>-644.553958347662 48.3497337356534 -202.287893456577</t>
  </si>
  <si>
    <t>-660.176094707916 55.8610947680677 -293.531321008555</t>
  </si>
  <si>
    <t>-673.670751627951 65.6114990181222 -375.756288939089</t>
  </si>
  <si>
    <t>-686.064398430638 78.3852515630726 -457.740309759825</t>
  </si>
  <si>
    <t>-703.053767886033 100.390153497599 -577.205977650963</t>
  </si>
  <si>
    <t>-699.531375507867 113.876028732315 -654.315837467419</t>
  </si>
  <si>
    <t>-699.457803385089 121.240112569815 -518.617704770514</t>
  </si>
  <si>
    <t>-670.791836250529 268.326806956746 -475.147061870387</t>
  </si>
  <si>
    <t>-530.55897108994 196.617703802101 -241.11471494765</t>
  </si>
  <si>
    <t>-318.347469535623 110.191287199082 -279.131612859847</t>
  </si>
  <si>
    <t>-691.740194726244 60.2288991925043 -530.953103188474</t>
  </si>
  <si>
    <t>-529.105863288927 135.679449686374 -428.679154631075</t>
  </si>
  <si>
    <t>-620.095648075844 143.248856891893 -95.9254647558581</t>
  </si>
  <si>
    <t>-634.181849675032 150.042415963462 319.355175132038</t>
  </si>
  <si>
    <t>-669.600259838926 173.787378359245 780.464244253978</t>
  </si>
  <si>
    <t>-518.735623571625 171.956473038799 836.324110174503</t>
  </si>
  <si>
    <t>-598.935895153286 -58.8143269936179 319.101504980878</t>
  </si>
  <si>
    <t>-653.730837522337 -105.144272818784 777.086744384961</t>
  </si>
  <si>
    <t>-500.812118971881 -125.352489688468 822.817623878476</t>
  </si>
  <si>
    <t>9763-20170724T115412.231776400.bin</t>
  </si>
  <si>
    <t>-619.680340572617 49.4507362441502 -94.1028999366749</t>
  </si>
  <si>
    <t>-642.758734543758 49.7955106537261 -202.383840547487</t>
  </si>
  <si>
    <t>-657.901982911166 57.1955681972058 -293.717036787382</t>
  </si>
  <si>
    <t>-670.931342898584 66.7452802169903 -376.040723534309</t>
  </si>
  <si>
    <t>-682.825550350334 79.2160819541677 -458.145129892619</t>
  </si>
  <si>
    <t>-699.046540761103 100.669108723759 -577.817831498459</t>
  </si>
  <si>
    <t>-694.810202018827 114.067811190513 -654.907013797718</t>
  </si>
  <si>
    <t>-695.619897527263 121.819556457498 -519.327256457546</t>
  </si>
  <si>
    <t>-667.948126539084 269.318135453404 -476.660072787643</t>
  </si>
  <si>
    <t>-530.940827958698 203.575256804308 -238.993397788742</t>
  </si>
  <si>
    <t>-319.464464466554 112.898558090531 -270.679544674577</t>
  </si>
  <si>
    <t>-688.23793169612 60.6918776409877 -531.285816369046</t>
  </si>
  <si>
    <t>-525.89008049119 134.372244994289 -428.049615585842</t>
  </si>
  <si>
    <t>-617.971861488101 144.885600919383 -95.9888042903724</t>
  </si>
  <si>
    <t>-633.941496617123 150.69153162765 319.238744571414</t>
  </si>
  <si>
    <t>-669.644543810795 173.753765500709 780.374174526625</t>
  </si>
  <si>
    <t>-518.762068311762 171.882134300959 836.184607213809</t>
  </si>
  <si>
    <t>-599.018626380428 -58.1530840625385 319.031500268433</t>
  </si>
  <si>
    <t>-653.577723291823 -105.059670425803 776.92949658093</t>
  </si>
  <si>
    <t>-500.811325717336 -125.826241795356 822.918720283383</t>
  </si>
  <si>
    <t>9763-20170724T115412.263367400.bin</t>
  </si>
  <si>
    <t>-618.829840352229 50.3743049346124 -94.127979562244</t>
  </si>
  <si>
    <t>-641.826189311955 50.7911847885457 -202.426070850737</t>
  </si>
  <si>
    <t>-656.830414600104 58.03310165424 -293.794963787921</t>
  </si>
  <si>
    <t>-669.703201340482 67.3576078404762 -376.168962458478</t>
  </si>
  <si>
    <t>-681.407654439421 79.521171795792 -458.346785096853</t>
  </si>
  <si>
    <t>-697.313131104967 100.436613419041 -578.1570409604</t>
  </si>
  <si>
    <t>-692.737416540752 113.623678294589 -655.263178568768</t>
  </si>
  <si>
    <t>-693.944191622146 121.863047093501 -519.76343380789</t>
  </si>
  <si>
    <t>-666.938195950869 269.64404359702 -477.664028853868</t>
  </si>
  <si>
    <t>-531.889769841746 207.057813913603 -238.032130137385</t>
  </si>
  <si>
    <t>-320.71232298819 113.928188090892 -264.099215623349</t>
  </si>
  <si>
    <t>-686.723655576178 60.6552502522043 -531.407233671501</t>
  </si>
  <si>
    <t>-524.416406684602 133.560758418081 -427.807491245875</t>
  </si>
  <si>
    <t>-616.789174251388 145.844216568425 -95.9996503436643</t>
  </si>
  <si>
    <t>-633.494032171129 151.199508397088 319.204965707353</t>
  </si>
  <si>
    <t>-669.66594676561 173.722584832116 780.335867802611</t>
  </si>
  <si>
    <t>-518.786723635035 171.742440158991 836.151184177352</t>
  </si>
  <si>
    <t>-598.91873940855 -57.5389144064102 319.021874868445</t>
  </si>
  <si>
    <t>-653.523171185063 -104.996975641743 776.869803089853</t>
  </si>
  <si>
    <t>-500.832094150731 -126.123163003255 822.945208749124</t>
  </si>
  <si>
    <t>9763-20170724T115412.328767000.bin</t>
  </si>
  <si>
    <t>-617.211988085865 52.3590835531452 -94.1113328083105</t>
  </si>
  <si>
    <t>-640.179141465767 52.8216444473858 -202.41540814414</t>
  </si>
  <si>
    <t>-655.076878065921 59.6812096123804 -293.831225910059</t>
  </si>
  <si>
    <t>-667.812808841956 68.4988754680398 -376.282305120036</t>
  </si>
  <si>
    <t>-679.334614281523 79.9937054509357 -458.582018119643</t>
  </si>
  <si>
    <t>-694.917984835739 99.7574401923848 -578.629916818022</t>
  </si>
  <si>
    <t>-689.8419750318 112.35906611638 -655.802656147253</t>
  </si>
  <si>
    <t>-691.555679325665 121.763864136926 -520.452079974161</t>
  </si>
  <si>
    <t>-666.301112131585 270.112591345182 -479.367578323947</t>
  </si>
  <si>
    <t>-533.773446666031 215.515314448943 -236.39821688895</t>
  </si>
  <si>
    <t>-322.514174424436 119.81485602165 -249.026076235657</t>
  </si>
  <si>
    <t>-684.604560167129 60.4067901491567 -531.455787852212</t>
  </si>
  <si>
    <t>-521.836220757622 132.358334183374 -427.412071060313</t>
  </si>
  <si>
    <t>-614.725888840797 147.732652542283 -95.9738570389245</t>
  </si>
  <si>
    <t>-632.430100087292 152.354138694699 319.198188078119</t>
  </si>
  <si>
    <t>-669.68672146685 173.665042328971 780.28817909399</t>
  </si>
  <si>
    <t>-518.814234154035 171.582206281138 836.118093148391</t>
  </si>
  <si>
    <t>-597.848720976965 -56.1740030071589 319.108229155818</t>
  </si>
  <si>
    <t>-653.439253153311 -104.805899048342 776.755809304415</t>
  </si>
  <si>
    <t>-500.804612444113 -126.1978106322 822.895632873774</t>
  </si>
  <si>
    <t>9763-20170724T115412.360344200.bin</t>
  </si>
  <si>
    <t>-616.453078395392 53.3857604056573 -94.0576553708938</t>
  </si>
  <si>
    <t>-639.439226350355 53.7985349330393 -202.357957786236</t>
  </si>
  <si>
    <t>-654.306073198667 60.4164297150273 -293.796568151536</t>
  </si>
  <si>
    <t>-666.989835604186 68.9370562887987 -376.286937173878</t>
  </si>
  <si>
    <t>-678.431807318565 80.0562121134726 -458.649423262929</t>
  </si>
  <si>
    <t>-693.864523347338 99.1862448667198 -578.819316154639</t>
  </si>
  <si>
    <t>-688.607330426346 111.431673211969 -656.037341554461</t>
  </si>
  <si>
    <t>-690.511785962 121.507658727279 -520.761119060345</t>
  </si>
  <si>
    <t>-666.092088181316 270.148671111647 -480.186801458323</t>
  </si>
  <si>
    <t>-535.424182941951 219.363569322386 -235.39032027721</t>
  </si>
  <si>
    <t>-323.365388572083 124.721476116394 -240.130911693423</t>
  </si>
  <si>
    <t>-683.673781636845 60.0766618878431 -531.41855091608</t>
  </si>
  <si>
    <t>-520.511683516554 131.665252651316 -427.378022003162</t>
  </si>
  <si>
    <t>-613.940560728478 148.702818927442 -95.9515513733953</t>
  </si>
  <si>
    <t>-632.020897417231 152.986595329664 319.207914376083</t>
  </si>
  <si>
    <t>-669.711413225088 173.628729831785 780.272173903679</t>
  </si>
  <si>
    <t>-518.831893405235 171.712475676099 836.088978550069</t>
  </si>
  <si>
    <t>-597.11185687993 -55.4557702375614 319.190427702966</t>
  </si>
  <si>
    <t>-653.433642978165 -104.702339867212 776.683289175966</t>
  </si>
  <si>
    <t>-500.805528476555 -126.205693642387 822.792847152416</t>
  </si>
  <si>
    <t>9763-20170724T115412.430709300.bin</t>
  </si>
  <si>
    <t>-614.998537773834 55.3391631302768 -93.9925058300214</t>
  </si>
  <si>
    <t>-637.988026175143 55.5617827377432 -202.29275339557</t>
  </si>
  <si>
    <t>-652.826938562282 61.6394675560023 -293.77327839703</t>
  </si>
  <si>
    <t>-665.46231751816 69.5163013523784 -376.335026285631</t>
  </si>
  <si>
    <t>-676.825548537364 79.83819899695 -458.812145685159</t>
  </si>
  <si>
    <t>-692.103242970512 97.6350259195453 -579.206479927327</t>
  </si>
  <si>
    <t>-686.733654652113 109.185607932636 -656.52375445457</t>
  </si>
  <si>
    <t>-688.803671365651 120.601217654785 -521.397242088563</t>
  </si>
  <si>
    <t>-666.19049052866 269.808745101241 -481.941193345319</t>
  </si>
  <si>
    <t>-539.700555986579 225.671009050851 -233.685801669903</t>
  </si>
  <si>
    <t>-325.521006222257 136.529896309723 -222.305032344875</t>
  </si>
  <si>
    <t>-681.99540536426 59.0505658418933 -531.359779318045</t>
  </si>
  <si>
    <t>-518.534469199916 129.858383584706 -427.560736987882</t>
  </si>
  <si>
    <t>-612.905458307139 150.338486398118 -95.9301501018914</t>
  </si>
  <si>
    <t>-631.369393774402 154.1754617789 319.216789318181</t>
  </si>
  <si>
    <t>-669.811618913351 173.457528064436 780.255365065351</t>
  </si>
  <si>
    <t>-518.928514783429 171.203384065608 836.049904358158</t>
  </si>
  <si>
    <t>-595.965963194772 -54.0086732564364 319.343478186505</t>
  </si>
  <si>
    <t>-653.43579213008 -104.458166738456 776.519934863217</t>
  </si>
  <si>
    <t>-500.770622569176 -125.889338084207 822.540328740043</t>
  </si>
  <si>
    <t>9763-20170724T115412.464301000.bin</t>
  </si>
  <si>
    <t>-614.240189075534 56.2384084524833 -93.9644715683988</t>
  </si>
  <si>
    <t>-637.171332278674 56.3299155638799 -202.277241404362</t>
  </si>
  <si>
    <t>-651.984885952465 62.1209524211713 -293.780611727897</t>
  </si>
  <si>
    <t>-664.601531680677 69.6648308029062 -376.376183257672</t>
  </si>
  <si>
    <t>-675.946886692775 79.5802857068029 -458.905706610818</t>
  </si>
  <si>
    <t>-691.19587137341 96.7026826611336 -579.401384907975</t>
  </si>
  <si>
    <t>-685.847958692285 107.946814065226 -656.76528023993</t>
  </si>
  <si>
    <t>-687.922229654342 119.990841070214 -521.719571554</t>
  </si>
  <si>
    <t>-665.94495747081 269.445310079763 -482.8107082988</t>
  </si>
  <si>
    <t>-542.783492925431 228.347890936483 -232.369441860674</t>
  </si>
  <si>
    <t>-327.81578374748 142.182880507825 -214.67753186514</t>
  </si>
  <si>
    <t>-681.087270357399 58.3883507610833 -531.338202602436</t>
  </si>
  <si>
    <t>-517.730741014472 129.140660454089 -427.769477877444</t>
  </si>
  <si>
    <t>-612.494387995068 151.049036801898 -95.9329641753301</t>
  </si>
  <si>
    <t>-631.14715869544 154.743458668518 319.206765027322</t>
  </si>
  <si>
    <t>-669.844028873199 173.405326954008 780.244301421101</t>
  </si>
  <si>
    <t>-518.952150876145 171.207191854721 836.01740212096</t>
  </si>
  <si>
    <t>-595.557043968657 -53.3924795093988 319.417878691261</t>
  </si>
  <si>
    <t>-653.451866272959 -104.364881829929 776.451363240356</t>
  </si>
  <si>
    <t>-500.797056732085 -126.021375139355 822.400576870953</t>
  </si>
  <si>
    <t>9763-20170724T115412.527659600.bin</t>
  </si>
  <si>
    <t>-612.667544399976 57.6627769972479 -93.9277381476893</t>
  </si>
  <si>
    <t>-635.471600575209 57.4875353693169 -202.267149366653</t>
  </si>
  <si>
    <t>-650.241608002561 62.6866172091154 -293.813060622679</t>
  </si>
  <si>
    <t>-662.835394449405 69.5425496411265 -376.472176569098</t>
  </si>
  <si>
    <t>-674.168638655826 78.618454764545 -459.099777022899</t>
  </si>
  <si>
    <t>-689.405985965339 94.3470577490525 -579.786894068872</t>
  </si>
  <si>
    <t>-684.193888356835 105.009831686948 -657.242303235549</t>
  </si>
  <si>
    <t>-686.191584890855 118.293396494038 -522.371748970144</t>
  </si>
  <si>
    <t>-666.737872151939 268.577505618699 -485.359021770033</t>
  </si>
  <si>
    <t>-551.729535716956 231.695858255853 -230.424863290455</t>
  </si>
  <si>
    <t>-335.26737510159 153.457564483377 -199.25712671125</t>
  </si>
  <si>
    <t>-679.248340103153 56.5976085360082 -531.288977973227</t>
  </si>
  <si>
    <t>-516.282527816675 127.465982060516 -428.123139404439</t>
  </si>
  <si>
    <t>-611.39849893193 152.134053237018 -95.9713537680775</t>
  </si>
  <si>
    <t>-630.529284795929 155.642179444408 319.148268034337</t>
  </si>
  <si>
    <t>-669.903528187469 173.308292117273 780.204504456737</t>
  </si>
  <si>
    <t>-518.996723049743 171.210048414714 835.940970723183</t>
  </si>
  <si>
    <t>-594.777597815568 -52.579077556527 319.540434515181</t>
  </si>
  <si>
    <t>-653.51101865139 -104.145417997616 776.357284337482</t>
  </si>
  <si>
    <t>-500.801535037155 -125.853611630737 822.099966750283</t>
  </si>
  <si>
    <t>9763-20170724T115412.564757400.bin</t>
  </si>
  <si>
    <t>-611.856510125446 58.2248111240424 -93.8812779375558</t>
  </si>
  <si>
    <t>-634.65562697919 57.9309256594729 -202.221569735143</t>
  </si>
  <si>
    <t>-649.38995514522 62.8659975588187 -293.787818510314</t>
  </si>
  <si>
    <t>-661.934950193151 69.4158216268829 -376.479042728148</t>
  </si>
  <si>
    <t>-673.200353855958 78.1192928561582 -459.1560029179</t>
  </si>
  <si>
    <t>-688.315149051895 93.2310918888454 -579.937298309196</t>
  </si>
  <si>
    <t>-683.102109745539 103.673771414561 -657.422677746088</t>
  </si>
  <si>
    <t>-685.177181514772 117.468147644073 -522.640085773278</t>
  </si>
  <si>
    <t>-666.489668001679 268.025343349643 -486.378337613522</t>
  </si>
  <si>
    <t>-556.301815589487 232.030550916436 -229.198195071575</t>
  </si>
  <si>
    <t>-338.765973463811 159.674137192856 -191.899075671549</t>
  </si>
  <si>
    <t>-678.188663348283 55.7322324714712 -531.239024321774</t>
  </si>
  <si>
    <t>-515.499747171677 126.667252305331 -428.323306089059</t>
  </si>
  <si>
    <t>-610.830885302674 152.573594721667 -95.9832240542846</t>
  </si>
  <si>
    <t>-630.103853289255 155.91261058619 319.131199104585</t>
  </si>
  <si>
    <t>-669.931225494813 173.251520630848 780.182544135834</t>
  </si>
  <si>
    <t>-519.029985109782 171.046806265984 835.930070351226</t>
  </si>
  <si>
    <t>-594.359311966247 -52.3055871925073 319.613099379538</t>
  </si>
  <si>
    <t>-653.518866179802 -104.074734821784 776.342164000214</t>
  </si>
  <si>
    <t>-500.78656298849 -125.760095696343 822.019464897021</t>
  </si>
  <si>
    <t>9763-20170724T115412.626464300.bin</t>
  </si>
  <si>
    <t>-610.288213831021 58.6311782904918 -93.7976704875571</t>
  </si>
  <si>
    <t>-633.20350924831 58.1288410355289 -202.112686037402</t>
  </si>
  <si>
    <t>-647.989439615502 62.6070597061739 -293.694080575561</t>
  </si>
  <si>
    <t>-660.556285029985 68.6286072338603 -376.422227891896</t>
  </si>
  <si>
    <t>-671.81512569544 76.6902443797844 -459.165121475483</t>
  </si>
  <si>
    <t>-686.885376373873 90.7405587357925 -580.079918238091</t>
  </si>
  <si>
    <t>-681.72789725052 100.770881173848 -657.62354388504</t>
  </si>
  <si>
    <t>-683.840252191509 115.470800171504 -522.988946028235</t>
  </si>
  <si>
    <t>-666.265709894873 266.388088711898 -487.633006234223</t>
  </si>
  <si>
    <t>-562.793438936242 230.780011284822 -227.625064336953</t>
  </si>
  <si>
    <t>-344.749876069947 167.012006210015 -179.260021251298</t>
  </si>
  <si>
    <t>-676.705038292521 53.6801946646594 -531.058232437522</t>
  </si>
  <si>
    <t>-514.111825849628 124.49633550693 -428.506599073606</t>
  </si>
  <si>
    <t>-609.720341541219 152.806724407365 -95.9472641214654</t>
  </si>
  <si>
    <t>-629.180446552816 156.00191005726 319.159615194563</t>
  </si>
  <si>
    <t>-669.913934831568 173.215322327636 780.148819093834</t>
  </si>
  <si>
    <t>-519.030947481968 171.298103353461 835.956299542909</t>
  </si>
  <si>
    <t>-593.363661029151 -51.9819777187015 319.822590760025</t>
  </si>
  <si>
    <t>-653.52821731255 -103.88237493711 776.363781228208</t>
  </si>
  <si>
    <t>-500.736200983922 -125.43022016194 821.906241056144</t>
  </si>
  <si>
    <t>9763-20170724T115412.663055800.bin</t>
  </si>
  <si>
    <t>-609.627306831871 58.5452598078521 -93.7478016838033</t>
  </si>
  <si>
    <t>-632.594997861829 57.9394669224907 -202.051129951499</t>
  </si>
  <si>
    <t>-647.443204765389 62.2486811408348 -293.630498962355</t>
  </si>
  <si>
    <t>-660.071416183387 68.0817634596849 -376.362897451419</t>
  </si>
  <si>
    <t>-671.395544034755 75.9201480172849 -459.118341723335</t>
  </si>
  <si>
    <t>-686.564260439883 89.6056338990113 -580.062699719392</t>
  </si>
  <si>
    <t>-681.43881165977 99.5005805205033 -657.625726650554</t>
  </si>
  <si>
    <t>-683.530500082889 114.500405501418 -523.042546610939</t>
  </si>
  <si>
    <t>-666.306807316983 265.484658313148 -487.80781548106</t>
  </si>
  <si>
    <t>-564.595602025087 229.209610565673 -227.198020379001</t>
  </si>
  <si>
    <t>-346.303403630435 170.030732971218 -174.331093989828</t>
  </si>
  <si>
    <t>-676.286162684106 52.7008721438394 -530.944130132334</t>
  </si>
  <si>
    <t>-513.706144319896 123.424516012573 -428.366563259314</t>
  </si>
  <si>
    <t>-609.399264927556 152.621282255213 -95.9117426915719</t>
  </si>
  <si>
    <t>-628.840571864306 155.851309169922 319.195706300738</t>
  </si>
  <si>
    <t>-669.902338196062 173.183383523535 780.14904084885</t>
  </si>
  <si>
    <t>-519.033622003775 171.324504755387 835.997110621344</t>
  </si>
  <si>
    <t>-592.720187712267 -51.9976832407315 319.923709313227</t>
  </si>
  <si>
    <t>-653.540337520052 -103.794706795868 776.376092489937</t>
  </si>
  <si>
    <t>-500.682580596587 -125.038006469915 821.840979461603</t>
  </si>
  <si>
    <t>9763-20170724T115412.727099900.bin</t>
  </si>
  <si>
    <t>-608.593513135823 57.7317732935492 -93.6299721752346</t>
  </si>
  <si>
    <t>-631.615765134766 56.875243878007 -201.920080216588</t>
  </si>
  <si>
    <t>-646.469768154039 60.936215692506 -293.509803189891</t>
  </si>
  <si>
    <t>-659.082979003322 66.5245441477564 -376.261431448533</t>
  </si>
  <si>
    <t>-670.369471316116 74.0992941299553 -459.046454347177</t>
  </si>
  <si>
    <t>-685.455838396762 87.3784310385795 -580.04644889265</t>
  </si>
  <si>
    <t>-680.333838324451 97.1278066599371 -657.628282941521</t>
  </si>
  <si>
    <t>-682.504628271391 112.458771086148 -523.103449365769</t>
  </si>
  <si>
    <t>-665.351266543247 263.431831748823 -487.725112593884</t>
  </si>
  <si>
    <t>-564.37282676297 226.794579290483 -226.880982257524</t>
  </si>
  <si>
    <t>-345.292143325603 173.102973411272 -171.478903534129</t>
  </si>
  <si>
    <t>-675.167549636142 50.6445258970048 -530.802039094695</t>
  </si>
  <si>
    <t>-513.00638652698 121.34643771105 -427.363079147129</t>
  </si>
  <si>
    <t>-609.032935822069 151.569266817564 -95.8511493787703</t>
  </si>
  <si>
    <t>-628.53313907136 155.247884411733 319.249789041468</t>
  </si>
  <si>
    <t>-669.894834020481 173.105538383593 780.153023356886</t>
  </si>
  <si>
    <t>-519.050952505703 171.337401872314 836.07091622102</t>
  </si>
  <si>
    <t>-591.775387551379 -52.4192640982928 320.145532962741</t>
  </si>
  <si>
    <t>-653.583269772502 -103.70731067961 776.423147950874</t>
  </si>
  <si>
    <t>-500.680167157888 -124.937498989055 821.741425862466</t>
  </si>
  <si>
    <t>9763-20170724T115412.764705800.bin</t>
  </si>
  <si>
    <t>-608.178997941676 57.0814765493892 -93.6124532725572</t>
  </si>
  <si>
    <t>-631.161012906817 56.1226527682873 -201.910144926798</t>
  </si>
  <si>
    <t>-646.005932384123 60.0626577768387 -293.506762365461</t>
  </si>
  <si>
    <t>-658.619615829338 65.5250232101077 -376.26666192306</t>
  </si>
  <si>
    <t>-669.914451073126 72.957928320873 -459.063447560088</t>
  </si>
  <si>
    <t>-685.020874088778 86.0115993169866 -580.085461029071</t>
  </si>
  <si>
    <t>-679.920225781876 95.6604602195839 -657.681200570658</t>
  </si>
  <si>
    <t>-682.098823039264 111.192897973281 -523.185571009312</t>
  </si>
  <si>
    <t>-665.096081179314 262.189703263679 -487.827475821193</t>
  </si>
  <si>
    <t>-563.422101392915 225.90329800398 -227.20461767688</t>
  </si>
  <si>
    <t>-344.273759191301 171.394911455309 -172.877996348778</t>
  </si>
  <si>
    <t>-674.68578550885 49.374674427278 -530.778709665275</t>
  </si>
  <si>
    <t>-512.914905776102 120.072995049055 -426.582307866197</t>
  </si>
  <si>
    <t>-608.899138567693 150.833842130909 -95.8516166283007</t>
  </si>
  <si>
    <t>-628.381775567911 154.795140790409 319.247610720524</t>
  </si>
  <si>
    <t>-669.884588124063 173.06550649683 780.150740803992</t>
  </si>
  <si>
    <t>-519.053362045138 171.361318102347 836.104753292202</t>
  </si>
  <si>
    <t>-591.647781628299 -52.8915113445669 320.204957318947</t>
  </si>
  <si>
    <t>-653.604798739493 -103.647681545258 776.475860623074</t>
  </si>
  <si>
    <t>-500.651826373754 -124.679629772615 821.718157586148</t>
  </si>
  <si>
    <t>9763-20170724T115412.830081000.bin</t>
  </si>
  <si>
    <t>-607.443102942757 55.5822549686227 -93.564852523869</t>
  </si>
  <si>
    <t>-630.303166716391 54.4913397630064 -201.887222866178</t>
  </si>
  <si>
    <t>-645.123102362613 58.2117419333529 -293.497068580278</t>
  </si>
  <si>
    <t>-657.743779877855 63.4289976319469 -376.271633056758</t>
  </si>
  <si>
    <t>-669.074215519654 70.5702613124665 -459.089256414193</t>
  </si>
  <si>
    <t>-684.262886613617 83.1464671095594 -580.151599293441</t>
  </si>
  <si>
    <t>-679.197079911746 92.5336891399688 -657.781520157518</t>
  </si>
  <si>
    <t>-681.364325136311 108.543692385941 -523.346329430098</t>
  </si>
  <si>
    <t>-664.498070294243 259.629001748819 -488.352169103787</t>
  </si>
  <si>
    <t>-561.766102758312 225.37404462557 -227.869264968184</t>
  </si>
  <si>
    <t>-343.694719972507 161.360833077001 -179.955676758441</t>
  </si>
  <si>
    <t>-673.832116848148 46.7126369256691 -530.714473641597</t>
  </si>
  <si>
    <t>-513.137072696039 118.303350322267 -424.691295619677</t>
  </si>
  <si>
    <t>-608.417115628638 149.160747528662 -95.8428884200599</t>
  </si>
  <si>
    <t>-627.909289398927 153.840507400547 319.248357622032</t>
  </si>
  <si>
    <t>-669.837205372548 173.009041539907 780.133785839181</t>
  </si>
  <si>
    <t>-519.040076151024 171.444828120113 836.18385785521</t>
  </si>
  <si>
    <t>-591.876558360031 -54.143287961045 320.303989646195</t>
  </si>
  <si>
    <t>-653.629090705862 -103.604586486587 776.674392690474</t>
  </si>
  <si>
    <t>-500.619621277342 -124.446025070724 821.813751628983</t>
  </si>
  <si>
    <t>9763-20170724T115412.863170600.bin</t>
  </si>
  <si>
    <t>-607.082182724133 54.8161381608932 -93.5278495365569</t>
  </si>
  <si>
    <t>-629.917509255601 53.6817232220612 -201.854909581338</t>
  </si>
  <si>
    <t>-644.748757903788 57.3047885542278 -293.466871030602</t>
  </si>
  <si>
    <t>-657.392198928414 62.4094442181768 -376.24497778572</t>
  </si>
  <si>
    <t>-668.757778280164 69.4137553759415 -459.069514850695</t>
  </si>
  <si>
    <t>-684.011330340571 81.7626780195815 -580.1470122031</t>
  </si>
  <si>
    <t>-678.987527048704 90.9843697829108 -657.799648252813</t>
  </si>
  <si>
    <t>-681.110441320016 107.26266614942 -523.388073192657</t>
  </si>
  <si>
    <t>-664.054625270703 258.353370445017 -488.487172567328</t>
  </si>
  <si>
    <t>-561.389049166535 225.132498599697 -227.844287657769</t>
  </si>
  <si>
    <t>-344.378421376002 153.919801802632 -185.610676023757</t>
  </si>
  <si>
    <t>-673.5260036967 45.4254744189241 -530.650495387944</t>
  </si>
  <si>
    <t>-513.240514663262 117.954638372117 -423.792866146437</t>
  </si>
  <si>
    <t>-608.099395266475 148.374816869622 -95.8267400996426</t>
  </si>
  <si>
    <t>-627.57705918315 153.374916652005 319.26149360897</t>
  </si>
  <si>
    <t>-669.783804416321 173.018433609284 780.124550634859</t>
  </si>
  <si>
    <t>-519.000474426044 171.7982256725 836.220203154554</t>
  </si>
  <si>
    <t>-592.088739990652 -54.7324735856557 320.372338140059</t>
  </si>
  <si>
    <t>-653.640901597078 -103.587150137399 776.812138989237</t>
  </si>
  <si>
    <t>-500.611500200429 -124.392949953856 821.900318247633</t>
  </si>
  <si>
    <t>9763-20170724T115412.930358600.bin</t>
  </si>
  <si>
    <t>-606.453373654042 53.3200376131695 -93.4457934794398</t>
  </si>
  <si>
    <t>-629.23006903423 52.1608982909745 -201.7849895166</t>
  </si>
  <si>
    <t>-643.949370135804 55.6950503537005 -293.418363288113</t>
  </si>
  <si>
    <t>-656.466631876169 60.69371230823 -376.222116845854</t>
  </si>
  <si>
    <t>-667.681148844174 67.5674195100335 -459.078189733518</t>
  </si>
  <si>
    <t>-682.686513180399 79.7000504071093 -580.208684771942</t>
  </si>
  <si>
    <t>-677.582984576962 88.6580538654734 -657.886870705528</t>
  </si>
  <si>
    <t>-679.951229908267 105.294568513934 -523.484142930806</t>
  </si>
  <si>
    <t>-662.407983986012 256.326074431024 -488.607137468769</t>
  </si>
  <si>
    <t>-561.36501873311 225.235874023016 -227.068746074513</t>
  </si>
  <si>
    <t>-347.122741948414 140.677789986411 -197.090494658678</t>
  </si>
  <si>
    <t>-672.253389626172 43.4579728479043 -530.631293436095</t>
  </si>
  <si>
    <t>-512.713115929986 117.592756409463 -422.284848253037</t>
  </si>
  <si>
    <t>-607.48916860267 146.792709446307 -95.757329935731</t>
  </si>
  <si>
    <t>-627.013351754274 152.415901922506 319.320739275906</t>
  </si>
  <si>
    <t>-669.763054166991 172.886047860006 780.089639417901</t>
  </si>
  <si>
    <t>-519.02139303629 171.684069523956 836.297546962163</t>
  </si>
  <si>
    <t>-592.215227442241 -55.8493871994672 320.533902821386</t>
  </si>
  <si>
    <t>-653.673807370789 -103.524140656904 777.096585424889</t>
  </si>
  <si>
    <t>-500.588786710019 -124.181684651709 822.064061487188</t>
  </si>
  <si>
    <t>9763-20170724T115412.962448500.bin</t>
  </si>
  <si>
    <t>-606.139412961932 52.5540289503242 -93.4012875543472</t>
  </si>
  <si>
    <t>-628.868421458058 51.3602338478479 -201.750223089969</t>
  </si>
  <si>
    <t>-643.501431196231 54.8506906095661 -293.398985324346</t>
  </si>
  <si>
    <t>-655.922466674925 59.8044426054355 -376.220033197505</t>
  </si>
  <si>
    <t>-667.022423223958 66.629025726905 -459.095648701692</t>
  </si>
  <si>
    <t>-681.840472578963 78.68559745374 -580.256490260964</t>
  </si>
  <si>
    <t>-676.66938974984 87.5394845373501 -657.942314590429</t>
  </si>
  <si>
    <t>-679.221559187362 104.31185258555 -523.540752873377</t>
  </si>
  <si>
    <t>-661.389083283515 255.305819679377 -488.607448316868</t>
  </si>
  <si>
    <t>-561.545599087196 224.883152185072 -226.530523527896</t>
  </si>
  <si>
    <t>-348.587721478443 135.451330139318 -202.047355886857</t>
  </si>
  <si>
    <t>-671.455352886655 42.4786591830234 -530.643457748471</t>
  </si>
  <si>
    <t>-512.057338671437 117.183424122675 -422.105090343802</t>
  </si>
  <si>
    <t>-607.225110174077 145.96746237015 -95.7451277882727</t>
  </si>
  <si>
    <t>-626.786783473261 151.886762107624 319.327083881339</t>
  </si>
  <si>
    <t>-669.778151110656 172.742450748526 780.047037443582</t>
  </si>
  <si>
    <t>-519.053616042808 171.707049646047 836.304142704032</t>
  </si>
  <si>
    <t>-592.154719535869 -56.3748718743072 320.613404757454</t>
  </si>
  <si>
    <t>-653.686061388798 -103.492536285198 777.227846459045</t>
  </si>
  <si>
    <t>-500.553702401861 -123.917512640974 822.1402524443</t>
  </si>
  <si>
    <t>9763-20170724T115413.031637000.bin</t>
  </si>
  <si>
    <t>-605.485721035863 51.0916963868679 -93.3455448203583</t>
  </si>
  <si>
    <t>-628.191436200038 49.8329486927635 -201.698473711909</t>
  </si>
  <si>
    <t>-642.787174598351 53.2360570108892 -293.356669148461</t>
  </si>
  <si>
    <t>-655.166571391145 58.0954888750973 -376.189454077426</t>
  </si>
  <si>
    <t>-666.216471495214 64.8119362150339 -459.080428939064</t>
  </si>
  <si>
    <t>-680.951497709151 76.695724451389 -580.268666078898</t>
  </si>
  <si>
    <t>-675.713717809738 85.452920705284 -657.960936134293</t>
  </si>
  <si>
    <t>-678.438995041616 102.393422513397 -523.580522356902</t>
  </si>
  <si>
    <t>-660.268132545201 253.298246471995 -488.471150324254</t>
  </si>
  <si>
    <t>-561.168097075827 223.438317268707 -226.047575445424</t>
  </si>
  <si>
    <t>-350.416583257848 126.749775163368 -212.495478003877</t>
  </si>
  <si>
    <t>-670.532794145924 40.5690369026574 -530.604273370281</t>
  </si>
  <si>
    <t>-511.132890571134 115.940859566027 -422.052566312986</t>
  </si>
  <si>
    <t>-606.871287438129 144.477818724076 -95.7269904404612</t>
  </si>
  <si>
    <t>-626.462188266419 150.884888258288 319.336534235884</t>
  </si>
  <si>
    <t>-669.778023465969 172.556770824094 779.967054659424</t>
  </si>
  <si>
    <t>-519.094409982696 171.678821770904 836.336470359756</t>
  </si>
  <si>
    <t>-591.933811499713 -57.5236546923907 320.733307649848</t>
  </si>
  <si>
    <t>-653.679609198137 -103.436420228444 777.457494202744</t>
  </si>
  <si>
    <t>-500.494118044403 -123.566234954684 822.322022645226</t>
  </si>
  <si>
    <t>9763-20170724T115413.061723700.bin</t>
  </si>
  <si>
    <t>-605.181012197839 50.4216331710652 -93.3230344719959</t>
  </si>
  <si>
    <t>-627.859391049063 49.1188560224462 -201.681158586383</t>
  </si>
  <si>
    <t>-642.425693717144 52.5068596293927 -293.344534543852</t>
  </si>
  <si>
    <t>-654.775698031729 57.3599957926581 -376.182224805131</t>
  </si>
  <si>
    <t>-665.793273136508 64.0780967706539 -459.077301899101</t>
  </si>
  <si>
    <t>-680.477875329436 75.9725544907403 -580.270615973765</t>
  </si>
  <si>
    <t>-675.206835988706 84.7685602402221 -657.956198578375</t>
  </si>
  <si>
    <t>-678.016993519202 101.661383564616 -523.576053457834</t>
  </si>
  <si>
    <t>-659.660416877696 252.502094231315 -488.261942721983</t>
  </si>
  <si>
    <t>-560.52166364678 223.209700858991 -225.789063886968</t>
  </si>
  <si>
    <t>-350.587060518772 124.229197700711 -216.909470980021</t>
  </si>
  <si>
    <t>-670.051781803358 39.8454056162745 -530.608058581847</t>
  </si>
  <si>
    <t>-510.293466798939 115.603884313383 -422.123277100888</t>
  </si>
  <si>
    <t>-606.725717944097 143.774590148632 -95.7160703599193</t>
  </si>
  <si>
    <t>-626.345180662738 150.435547461187 319.342132197918</t>
  </si>
  <si>
    <t>-669.772448883647 172.510681542816 779.941334245409</t>
  </si>
  <si>
    <t>-519.106921157202 171.661025568893 836.35943767469</t>
  </si>
  <si>
    <t>-591.730257009596 -58.0458728746419 320.791114803955</t>
  </si>
  <si>
    <t>-653.671692442798 -103.427251503934 777.550439420529</t>
  </si>
  <si>
    <t>-500.498993612516 -123.673553603504 822.406204637197</t>
  </si>
  <si>
    <t>9763-20170724T115413.131467800.bin</t>
  </si>
  <si>
    <t>-604.601477447356 49.4426775246341 -93.2488267665858</t>
  </si>
  <si>
    <t>-627.226992240065 48.0539184871443 -201.616901201406</t>
  </si>
  <si>
    <t>-641.754352220494 51.4335162013469 -293.286808677482</t>
  </si>
  <si>
    <t>-654.071666751908 56.3011930019982 -376.128439792984</t>
  </si>
  <si>
    <t>-665.059506917702 63.057348662993 -459.024507448858</t>
  </si>
  <si>
    <t>-679.704049356482 75.0330590427895 -580.214607084613</t>
  </si>
  <si>
    <t>-674.44112948463 83.9645393088897 -657.88537475737</t>
  </si>
  <si>
    <t>-677.353704993652 100.670785330287 -523.492208889121</t>
  </si>
  <si>
    <t>-659.127907039479 251.430955157574 -487.776428374414</t>
  </si>
  <si>
    <t>-559.302616569533 223.915615320434 -225.371409371889</t>
  </si>
  <si>
    <t>-350.962490974204 121.241352288953 -224.412328757775</t>
  </si>
  <si>
    <t>-669.202552375902 38.8857873180782 -530.582539261942</t>
  </si>
  <si>
    <t>-509.023209827578 115.291689349681 -421.70320630596</t>
  </si>
  <si>
    <t>-606.520846714087 142.711011038819 -95.6661085612049</t>
  </si>
  <si>
    <t>-626.08333305232 149.755270981216 319.388443251258</t>
  </si>
  <si>
    <t>-669.77460670099 172.36135905368 779.9098056718</t>
  </si>
  <si>
    <t>-519.138079588368 171.661692195363 836.407269264992</t>
  </si>
  <si>
    <t>-591.286656203338 -58.8672332746546 320.900558036329</t>
  </si>
  <si>
    <t>-653.673651155057 -103.383582781073 777.680206198309</t>
  </si>
  <si>
    <t>-500.472690624549 -123.522487208192 822.487750671465</t>
  </si>
  <si>
    <t>9763-20170724T115413.164057000.bin</t>
  </si>
  <si>
    <t>-604.328787737996 49.119304536878 -93.2252305635865</t>
  </si>
  <si>
    <t>-626.930379187821 47.6997706085544 -201.59784926863</t>
  </si>
  <si>
    <t>-641.461468086579 51.0815069674582 -293.267189931458</t>
  </si>
  <si>
    <t>-653.792263330522 55.9603884277824 -376.106057723578</t>
  </si>
  <si>
    <t>-664.8040836242 62.7380539526901 -458.997169673543</t>
  </si>
  <si>
    <t>-679.495558414687 74.7562253171041 -580.17738017484</t>
  </si>
  <si>
    <t>-674.299569802122 83.7665722238623 -657.843580252782</t>
  </si>
  <si>
    <t>-677.180280765558 100.365694347722 -523.440848723639</t>
  </si>
  <si>
    <t>-659.153974935171 251.089407984795 -487.448164571881</t>
  </si>
  <si>
    <t>-558.692289309703 224.341169336863 -225.206779308145</t>
  </si>
  <si>
    <t>-351.082464825561 120.218946927636 -227.499285682002</t>
  </si>
  <si>
    <t>-668.917858605153 38.5998076554963 -530.568278230031</t>
  </si>
  <si>
    <t>-508.672858322766 115.181133848992 -421.400332328626</t>
  </si>
  <si>
    <t>-606.404778849097 142.313563222644 -95.6409737874571</t>
  </si>
  <si>
    <t>-625.962232699953 149.508943999402 319.411301339663</t>
  </si>
  <si>
    <t>-669.790027105006 172.245197315482 779.899091248233</t>
  </si>
  <si>
    <t>-519.165888048527 171.617092245017 836.430503357661</t>
  </si>
  <si>
    <t>-591.102777886721 -59.181337114092 320.938882821501</t>
  </si>
  <si>
    <t>-653.670989436894 -103.424084930988 777.724628975949</t>
  </si>
  <si>
    <t>-500.482279316685 -123.67064972263 822.525508697256</t>
  </si>
  <si>
    <t>9763-20170724T115413.229768300.bin</t>
  </si>
  <si>
    <t>-603.795157572219 48.6479169293402 -93.1860015628813</t>
  </si>
  <si>
    <t>-626.351144141173 47.1990703084109 -201.567867637374</t>
  </si>
  <si>
    <t>-640.799907504052 50.6239995188487 -293.248470260697</t>
  </si>
  <si>
    <t>-653.039503713787 55.5678339299729 -376.096997664159</t>
  </si>
  <si>
    <t>-663.943996902629 62.4377627769284 -458.994723146042</t>
  </si>
  <si>
    <t>-678.461517978138 74.6213188223496 -580.179429092614</t>
  </si>
  <si>
    <t>-673.35478977331 83.8104478892562 -657.83050238225</t>
  </si>
  <si>
    <t>-676.298983040204 100.142836095254 -523.397292814685</t>
  </si>
  <si>
    <t>-658.271323208925 250.731663292051 -486.873173949537</t>
  </si>
  <si>
    <t>-557.165700975704 225.365990956736 -224.741922810078</t>
  </si>
  <si>
    <t>-350.802912662966 119.115971438387 -233.336926818022</t>
  </si>
  <si>
    <t>-667.883752038438 38.4076603705312 -530.61193985258</t>
  </si>
  <si>
    <t>-507.758363541181 115.30599636808 -420.438092592357</t>
  </si>
  <si>
    <t>-606.040968243136 141.741825097265 -95.5998977851349</t>
  </si>
  <si>
    <t>-625.755797754604 149.134033060162 319.441403151141</t>
  </si>
  <si>
    <t>-669.801247667071 172.11260512677 779.879963949352</t>
  </si>
  <si>
    <t>-519.195961443598 171.708741491436 836.463594378701</t>
  </si>
  <si>
    <t>-590.692763206167 -59.6610302919141 320.98678817023</t>
  </si>
  <si>
    <t>-653.662567317326 -103.360378171061 777.778868251995</t>
  </si>
  <si>
    <t>-500.414400139422 -123.242447063771 822.539651132081</t>
  </si>
  <si>
    <t>9763-20170724T115413.261853600.bin</t>
  </si>
  <si>
    <t>-603.513734178156 48.5035386824352 -93.1703179935354</t>
  </si>
  <si>
    <t>-626.04814888834 47.0558134970686 -201.556630653705</t>
  </si>
  <si>
    <t>-640.462546895891 50.5151577572242 -293.241351314649</t>
  </si>
  <si>
    <t>-652.665100291138 55.5030988368128 -376.09286073267</t>
  </si>
  <si>
    <t>-663.526728788896 62.4311584686211 -458.991303852856</t>
  </si>
  <si>
    <t>-677.975717166676 74.7145170076872 -580.174120936911</t>
  </si>
  <si>
    <t>-672.908921588975 83.9803438819317 -657.818706918173</t>
  </si>
  <si>
    <t>-675.861994068201 100.186831068904 -523.36806273413</t>
  </si>
  <si>
    <t>-657.766901530844 250.741576146858 -486.728052021393</t>
  </si>
  <si>
    <t>-556.622775187395 225.853980366865 -224.565831996741</t>
  </si>
  <si>
    <t>-350.875077228333 118.699007155249 -236.151864752806</t>
  </si>
  <si>
    <t>-667.409224494153 38.4625434388008 -530.63230446061</t>
  </si>
  <si>
    <t>-507.106158890369 115.818558104166 -419.582938714831</t>
  </si>
  <si>
    <t>-605.784349137993 141.612098943609 -95.5857211715079</t>
  </si>
  <si>
    <t>-625.607200802484 149.039544422814 319.449819238672</t>
  </si>
  <si>
    <t>-669.812617866367 172.051308242008 779.877413304765</t>
  </si>
  <si>
    <t>-519.214705757645 171.632595460388 836.480508439047</t>
  </si>
  <si>
    <t>-590.401091472312 -59.8253115139505 321.004126777193</t>
  </si>
  <si>
    <t>-653.65057319627 -103.367447676309 777.790878027407</t>
  </si>
  <si>
    <t>-500.466366941269 -123.705401474048 822.565742830811</t>
  </si>
  <si>
    <t>9763-20170724T115413.328192200.bin</t>
  </si>
  <si>
    <t>-602.918104651464 48.6209574316326 -93.1185503499436</t>
  </si>
  <si>
    <t>-625.435391423877 47.1989850305931 -201.50883926103</t>
  </si>
  <si>
    <t>-639.841496785842 50.7004621083124 -293.193289887483</t>
  </si>
  <si>
    <t>-652.040151114261 55.7349622704573 -376.042406723673</t>
  </si>
  <si>
    <t>-662.90232032571 62.7183554118847 -458.936194886191</t>
  </si>
  <si>
    <t>-677.357629339289 75.0926835052308 -580.109038125429</t>
  </si>
  <si>
    <t>-672.400976604572 84.4292592323141 -657.752235665332</t>
  </si>
  <si>
    <t>-675.27955307996 100.516465117093 -523.279900933791</t>
  </si>
  <si>
    <t>-656.915374078732 250.985068215932 -486.427141585895</t>
  </si>
  <si>
    <t>-555.420361823855 226.399510213923 -224.371915321247</t>
  </si>
  <si>
    <t>-350.446619295161 118.306267618346 -240.187516204921</t>
  </si>
  <si>
    <t>-666.749971542446 38.809376222905 -530.599051331049</t>
  </si>
  <si>
    <t>-505.63445620533 117.704646879111 -417.540404240706</t>
  </si>
  <si>
    <t>-605.151604962604 141.765379197638 -95.52439647286</t>
  </si>
  <si>
    <t>-625.254308858411 149.051399470299 319.500183299371</t>
  </si>
  <si>
    <t>-669.810211707055 172.067015009254 779.873440718774</t>
  </si>
  <si>
    <t>-519.229453082745 171.666032609844 836.522338972513</t>
  </si>
  <si>
    <t>-589.906673879903 -59.8390507748757 321.043206068536</t>
  </si>
  <si>
    <t>-653.609524980485 -103.337082584597 777.796590743264</t>
  </si>
  <si>
    <t>-500.414520018211 -123.54243735485 822.594530125305</t>
  </si>
  <si>
    <t>9763-20170724T115413.361284300.bin</t>
  </si>
  <si>
    <t>-602.679756470753 48.9362995732758 -93.0945016028945</t>
  </si>
  <si>
    <t>-625.180863482314 47.5250987223214 -201.488184636543</t>
  </si>
  <si>
    <t>-639.605125025837 51.0450427228959 -293.169152768048</t>
  </si>
  <si>
    <t>-651.833885581297 56.0997022157189 -376.012578143115</t>
  </si>
  <si>
    <t>-662.740485247448 63.107045234643 -458.898556319887</t>
  </si>
  <si>
    <t>-677.277052363599 75.5202197331305 -580.057534772532</t>
  </si>
  <si>
    <t>-672.384770611572 84.8753369473181 -657.702723285326</t>
  </si>
  <si>
    <t>-675.189252251434 100.921473372741 -523.218779449684</t>
  </si>
  <si>
    <t>-656.67960942442 251.34556076138 -486.272637857948</t>
  </si>
  <si>
    <t>-554.791473315992 226.980453439323 -224.349425392884</t>
  </si>
  <si>
    <t>-350.290137489017 118.21794520366 -241.625234727888</t>
  </si>
  <si>
    <t>-666.60781697279 39.2253692335087 -530.569455566529</t>
  </si>
  <si>
    <t>-505.098451961422 118.780256774465 -416.504577034689</t>
  </si>
  <si>
    <t>-604.87272551554 142.071520580408 -95.4979350336777</t>
  </si>
  <si>
    <t>-625.148666410878 149.227358098935 319.520481290635</t>
  </si>
  <si>
    <t>-669.82347118591 172.036592138059 779.878480161056</t>
  </si>
  <si>
    <t>-519.246313198679 171.644007991739 836.53694006717</t>
  </si>
  <si>
    <t>-589.78341885021 -59.6660600972205 321.069009054137</t>
  </si>
  <si>
    <t>-653.595859191417 -103.304509013775 777.78726171387</t>
  </si>
  <si>
    <t>-500.408877012742 -123.561603061082 822.58928739707</t>
  </si>
  <si>
    <t>9763-20170724T115413.426459900.bin</t>
  </si>
  <si>
    <t>-602.302885146186 49.8634440569542 -93.0656702291304</t>
  </si>
  <si>
    <t>-624.763366565058 48.4644051477273 -201.468034047521</t>
  </si>
  <si>
    <t>-639.223228318022 52.0127891616537 -293.142221263842</t>
  </si>
  <si>
    <t>-651.513174421277 57.0998910952303 -375.974648344239</t>
  </si>
  <si>
    <t>-662.510818670378 64.1455802263586 -458.845307926862</t>
  </si>
  <si>
    <t>-677.213711177383 76.6216070768514 -579.977894133003</t>
  </si>
  <si>
    <t>-672.478248266701 86.0039279922044 -657.629385594734</t>
  </si>
  <si>
    <t>-675.078448854153 101.98882233897 -523.125671109951</t>
  </si>
  <si>
    <t>-656.327216759874 252.34180793313 -485.979993697911</t>
  </si>
  <si>
    <t>-553.180882706723 228.494274664341 -224.502039177046</t>
  </si>
  <si>
    <t>-349.648743752299 118.32175509914 -244.129114376277</t>
  </si>
  <si>
    <t>-666.445966407872 40.3057191299179 -530.52634333699</t>
  </si>
  <si>
    <t>-504.490380866353 120.94936523487 -414.735307940404</t>
  </si>
  <si>
    <t>-604.441022558378 142.927457811441 -95.4659213050712</t>
  </si>
  <si>
    <t>-625.12320391271 149.73811423204 319.538279079817</t>
  </si>
  <si>
    <t>-669.859576348908 172.041696974272 779.920410379037</t>
  </si>
  <si>
    <t>-519.276483102792 171.716740704281 836.563535746886</t>
  </si>
  <si>
    <t>-589.515080277082 -59.0582298129177 321.094277531224</t>
  </si>
  <si>
    <t>-653.541078007773 -103.270273746804 777.749735952857</t>
  </si>
  <si>
    <t>-500.403861022709 -123.806756490946 822.594734136492</t>
  </si>
  <si>
    <t>9763-20170724T115413.463559500.bin</t>
  </si>
  <si>
    <t>-602.177826194212 50.3995799658539 -93.0366384276637</t>
  </si>
  <si>
    <t>-624.619707662079 49.0157937833935 -201.443140146677</t>
  </si>
  <si>
    <t>-639.085112746812 52.5691649640687 -293.116155782559</t>
  </si>
  <si>
    <t>-651.388605888567 57.6571512019559 -375.946542728618</t>
  </si>
  <si>
    <t>-662.408276246304 64.7001357173742 -458.814533921414</t>
  </si>
  <si>
    <t>-677.152705914476 77.1678034572699 -579.943021028726</t>
  </si>
  <si>
    <t>-672.475471579645 86.55395869424 -657.597458690348</t>
  </si>
  <si>
    <t>-674.998553381477 102.538918786812 -523.09301945956</t>
  </si>
  <si>
    <t>-656.109790350451 252.863484022976 -485.927262046126</t>
  </si>
  <si>
    <t>-552.431808883821 229.365693816693 -224.628049420812</t>
  </si>
  <si>
    <t>-349.349974954602 118.495301768261 -244.976088809882</t>
  </si>
  <si>
    <t>-666.367360849506 40.8553406696001 -530.49265757097</t>
  </si>
  <si>
    <t>-504.219798785262 122.066909072875 -413.962349918076</t>
  </si>
  <si>
    <t>-604.283117235691 143.503982520814 -95.4395730320834</t>
  </si>
  <si>
    <t>-625.186684491446 150.066574853345 319.557525937987</t>
  </si>
  <si>
    <t>-669.866797682774 172.124545379149 779.945565870967</t>
  </si>
  <si>
    <t>-519.281804297052 171.568681596087 836.581854689967</t>
  </si>
  <si>
    <t>-589.366733365769 -58.7142588144818 321.101039994923</t>
  </si>
  <si>
    <t>-653.498116055765 -103.218411688877 777.727007341763</t>
  </si>
  <si>
    <t>-500.361480635701 -123.678307371709 822.608952523779</t>
  </si>
  <si>
    <t>9763-20170724T115413.526311200.bin</t>
  </si>
  <si>
    <t>-601.976035581027 51.6283791006076 -92.9851669387472</t>
  </si>
  <si>
    <t>-624.376613203276 50.2831611515219 -201.400590144098</t>
  </si>
  <si>
    <t>-638.858192824892 53.8303015660492 -293.071422320936</t>
  </si>
  <si>
    <t>-651.196631493634 58.8965135746498 -375.897979547041</t>
  </si>
  <si>
    <t>-662.2712628913 65.9014842807255 -458.76177827126</t>
  </si>
  <si>
    <t>-677.117945867157 78.2949429163089 -579.885369511398</t>
  </si>
  <si>
    <t>-672.534540035872 87.6484740925662 -657.549294256005</t>
  </si>
  <si>
    <t>-674.912186031611 103.701277696445 -523.053181477416</t>
  </si>
  <si>
    <t>-655.612076998214 253.99085054628 -485.934054365238</t>
  </si>
  <si>
    <t>-551.277162858639 230.601845164802 -224.886609597843</t>
  </si>
  <si>
    <t>-348.956380679885 118.617685300506 -246.666833679488</t>
  </si>
  <si>
    <t>-666.294534187081 42.0122111717371 -530.421544988635</t>
  </si>
  <si>
    <t>-503.982496757114 124.368136047515 -412.74526168817</t>
  </si>
  <si>
    <t>-603.959503335366 144.814752378063 -95.3809195092806</t>
  </si>
  <si>
    <t>-625.278145929147 150.767683974288 319.604269152853</t>
  </si>
  <si>
    <t>-669.911938558086 172.169492412697 780.005601627442</t>
  </si>
  <si>
    <t>-519.314478090075 171.575041430276 836.608401815938</t>
  </si>
  <si>
    <t>-589.058443715473 -57.9137765048067 321.124180309261</t>
  </si>
  <si>
    <t>-653.396654779799 -103.150921365066 777.672247076838</t>
  </si>
  <si>
    <t>-500.306968810147 -123.727091492804 822.661070570265</t>
  </si>
  <si>
    <t>9763-20170724T115413.563401900.bin</t>
  </si>
  <si>
    <t>-601.863128919812 52.3245780350285 -92.9605954468412</t>
  </si>
  <si>
    <t>-624.248903238217 51.0070945395148 -201.379351145761</t>
  </si>
  <si>
    <t>-638.738762721677 54.5513716730468 -293.048968836596</t>
  </si>
  <si>
    <t>-651.092859534209 59.6051945539755 -375.87394339548</t>
  </si>
  <si>
    <t>-662.191419628492 66.5870851464176 -458.736586917597</t>
  </si>
  <si>
    <t>-677.081880252559 78.9355509878583 -579.859260621138</t>
  </si>
  <si>
    <t>-672.5215612839 88.2449712215364 -657.53009885162</t>
  </si>
  <si>
    <t>-674.845734079425 104.364615294359 -523.038463731657</t>
  </si>
  <si>
    <t>-655.266466631154 254.630749055509 -485.978979724953</t>
  </si>
  <si>
    <t>-550.812504942182 231.183899620571 -224.984376948149</t>
  </si>
  <si>
    <t>-348.743338212118 118.828913760103 -247.186364092091</t>
  </si>
  <si>
    <t>-666.250420797332 42.6697808274369 -530.38501289179</t>
  </si>
  <si>
    <t>-503.778722605328 125.434160568617 -412.135000088431</t>
  </si>
  <si>
    <t>-603.753110921292 145.518840541535 -95.3506436477661</t>
  </si>
  <si>
    <t>-625.28790129882 151.122860800036 319.628195206015</t>
  </si>
  <si>
    <t>-669.948762494773 172.145826949166 780.041692070327</t>
  </si>
  <si>
    <t>-519.343128017768 171.640310379204 836.623666379949</t>
  </si>
  <si>
    <t>-588.912010880027 -57.3885117591994 321.142772878899</t>
  </si>
  <si>
    <t>-653.343277182736 -103.115357981935 777.635371753135</t>
  </si>
  <si>
    <t>-500.285870100958 -123.798968419255 822.684729699389</t>
  </si>
  <si>
    <t>9763-20170724T115413.630248600.bin</t>
  </si>
  <si>
    <t>-601.698691722668 53.9927468392982 -92.8991179153173</t>
  </si>
  <si>
    <t>-624.088042826729 52.6945443496886 -201.317425146826</t>
  </si>
  <si>
    <t>-638.637643918864 56.2255619155824 -292.978033839963</t>
  </si>
  <si>
    <t>-651.068210093114 61.2555583511248 -375.793034750065</t>
  </si>
  <si>
    <t>-662.265479219985 68.2008404777898 -458.645348563846</t>
  </si>
  <si>
    <t>-677.324566161775 80.4808544235755 -579.754227745209</t>
  </si>
  <si>
    <t>-672.806558972739 89.6968465294933 -657.438656435211</t>
  </si>
  <si>
    <t>-674.985677312055 105.945634502221 -522.953532028516</t>
  </si>
  <si>
    <t>-654.770440642857 256.142004967971 -485.972236793244</t>
  </si>
  <si>
    <t>-550.146628209286 232.412958807107 -225.071126013742</t>
  </si>
  <si>
    <t>-348.934908270559 118.939847576651 -249.28316114539</t>
  </si>
  <si>
    <t>-666.447836361934 44.2394427553506 -530.272015482187</t>
  </si>
  <si>
    <t>-503.674304136857 127.916406320376 -410.834971000657</t>
  </si>
  <si>
    <t>-603.474607085055 147.256313635871 -95.3019302650067</t>
  </si>
  <si>
    <t>-625.311804583365 152.153808001636 319.670084939418</t>
  </si>
  <si>
    <t>-669.975701398174 172.301925901052 780.105487757542</t>
  </si>
  <si>
    <t>-519.358384219698 171.519002004499 836.653166370437</t>
  </si>
  <si>
    <t>-588.559063235276 -56.208121058223 321.176215671119</t>
  </si>
  <si>
    <t>-653.235294325671 -103.051291524107 777.552090617966</t>
  </si>
  <si>
    <t>-500.247784794841 -124.008153373676 822.71244925947</t>
  </si>
  <si>
    <t>9763-20170724T115413.663840300.bin</t>
  </si>
  <si>
    <t>-601.652981011614 54.7727342662165 -92.8735108053489</t>
  </si>
  <si>
    <t>-624.061212592179 53.4869806777153 -201.288102229487</t>
  </si>
  <si>
    <t>-638.641675932066 57.0224387746084 -292.943708944131</t>
  </si>
  <si>
    <t>-651.10605067616 62.0543167677204 -375.753420272602</t>
  </si>
  <si>
    <t>-662.343084131319 68.9987817077583 -458.600414875816</t>
  </si>
  <si>
    <t>-677.466707859306 81.274797493606 -579.701687588233</t>
  </si>
  <si>
    <t>-672.963734142091 90.4682361575713 -657.389561095107</t>
  </si>
  <si>
    <t>-675.084415150641 106.743329535499 -522.904555002152</t>
  </si>
  <si>
    <t>-654.545032817374 256.90342275927 -485.952027785872</t>
  </si>
  <si>
    <t>-549.958571058932 233.046067553821 -225.04770138609</t>
  </si>
  <si>
    <t>-349.182445047494 119.021920222139 -250.266182558712</t>
  </si>
  <si>
    <t>-666.576755429275 45.0330683430243 -530.222617591724</t>
  </si>
  <si>
    <t>-503.761991386285 129.27304163133 -410.152098388241</t>
  </si>
  <si>
    <t>-603.341212828205 148.081364214875 -95.2762107857367</t>
  </si>
  <si>
    <t>-625.33764363912 152.646959281582 319.691143645142</t>
  </si>
  <si>
    <t>-670.003010568902 172.332704180827 780.140038820251</t>
  </si>
  <si>
    <t>-519.378120788914 171.460461149812 836.666231794637</t>
  </si>
  <si>
    <t>-588.338657424846 -55.6893321383623 321.185783748335</t>
  </si>
  <si>
    <t>-653.180898232673 -103.017438347057 777.507623314573</t>
  </si>
  <si>
    <t>-500.216937638901 -124.034059608939 822.719915041786</t>
  </si>
  <si>
    <t>9763-20170724T115413.731432100.bin</t>
  </si>
  <si>
    <t>-601.737055467963 56.4011267449873 -92.82724249894</t>
  </si>
  <si>
    <t>-624.173023814806 55.1219718311736 -201.236138573586</t>
  </si>
  <si>
    <t>-638.810965048296 58.6627467493524 -292.882291431695</t>
  </si>
  <si>
    <t>-651.34138244074 63.6987997213841 -375.681855211512</t>
  </si>
  <si>
    <t>-662.658717431744 70.646715214124 -458.517697615736</t>
  </si>
  <si>
    <t>-677.9155211651 82.9267100786053 -579.601829167504</t>
  </si>
  <si>
    <t>-673.473592507366 92.078006961073 -657.298392407345</t>
  </si>
  <si>
    <t>-675.471618864628 108.393308033771 -522.806313433251</t>
  </si>
  <si>
    <t>-654.531035600807 258.507225065631 -485.894290850772</t>
  </si>
  <si>
    <t>-549.581175411098 234.062354065479 -225.190407573248</t>
  </si>
  <si>
    <t>-349.923535506219 118.468003758496 -252.084773583367</t>
  </si>
  <si>
    <t>-666.97030900633 46.6834974323938 -530.136016715213</t>
  </si>
  <si>
    <t>-504.262864866761 131.861161281377 -408.643145269777</t>
  </si>
  <si>
    <t>-603.299822703584 149.856954459741 -95.2423795570321</t>
  </si>
  <si>
    <t>-625.428123309539 153.59722104499 319.72621094644</t>
  </si>
  <si>
    <t>-670.049280649447 172.433931080365 780.204978993741</t>
  </si>
  <si>
    <t>-519.411069012967 171.415726974794 836.693270286025</t>
  </si>
  <si>
    <t>-587.851430134673 -54.5651942956235 321.209615403681</t>
  </si>
  <si>
    <t>-653.049907566821 -102.87560772241 777.40957444531</t>
  </si>
  <si>
    <t>-500.105130257541 -123.767837163516 822.744269677586</t>
  </si>
  <si>
    <t>9763-20170724T115413.764013200.bin</t>
  </si>
  <si>
    <t>-601.803481486532 57.2343246919854 -92.8198479275377</t>
  </si>
  <si>
    <t>-624.227383165926 55.9687068743876 -201.231451010356</t>
  </si>
  <si>
    <t>-638.870036176713 59.5338509918497 -292.875957053486</t>
  </si>
  <si>
    <t>-651.411165635196 64.5975040168212 -375.672154870565</t>
  </si>
  <si>
    <t>-662.746065688133 71.578415599693 -458.502813044338</t>
  </si>
  <si>
    <t>-678.036436606763 83.9123276515379 -579.577313420215</t>
  </si>
  <si>
    <t>-673.649495678365 93.0727764545913 -657.275844105883</t>
  </si>
  <si>
    <t>-675.581096220483 109.353014648598 -522.770690694246</t>
  </si>
  <si>
    <t>-654.473145573762 259.463626692222 -485.884962095458</t>
  </si>
  <si>
    <t>-549.402753496899 234.627866642633 -225.266528638077</t>
  </si>
  <si>
    <t>-350.220149456513 118.391072664526 -252.903973885908</t>
  </si>
  <si>
    <t>-667.073194083416 47.647704093104 -530.13115729138</t>
  </si>
  <si>
    <t>-504.525373970638 133.157416492793 -407.898685864981</t>
  </si>
  <si>
    <t>-603.281646601161 150.716630700934 -95.2205047753853</t>
  </si>
  <si>
    <t>-625.504712032605 154.132292480981 319.745820346965</t>
  </si>
  <si>
    <t>-670.076148597734 172.48713925355 780.236447089479</t>
  </si>
  <si>
    <t>-519.43255474078 171.304370015369 836.707046645747</t>
  </si>
  <si>
    <t>-587.577109043896 -53.9776388054579 321.215254260309</t>
  </si>
  <si>
    <t>-652.976233178229 -102.845471195356 777.34853378295</t>
  </si>
  <si>
    <t>-500.081504799362 -123.923298128668 822.766047552689</t>
  </si>
  <si>
    <t>9763-20170724T115413.832223100.bin</t>
  </si>
  <si>
    <t>-601.986099428089 58.6623438120412 -92.7692155996951</t>
  </si>
  <si>
    <t>-624.360481012261 57.4419764497832 -201.191534385492</t>
  </si>
  <si>
    <t>-639.034556248531 61.0645252950344 -292.828768602354</t>
  </si>
  <si>
    <t>-651.633427260892 66.1870289960741 -375.612656070004</t>
  </si>
  <si>
    <t>-663.05558276556 73.23211349092 -458.425826192584</t>
  </si>
  <si>
    <t>-678.505745740589 85.6652968764283 -579.469797890673</t>
  </si>
  <si>
    <t>-674.283529891045 94.777561743638 -657.183144644107</t>
  </si>
  <si>
    <t>-675.946336247296 111.063802959777 -522.648920868096</t>
  </si>
  <si>
    <t>-654.195563566214 261.072177895028 -485.73550757863</t>
  </si>
  <si>
    <t>-549.048654116054 235.293098483945 -225.239549096746</t>
  </si>
  <si>
    <t>-350.684163628101 118.00697525981 -254.291530700596</t>
  </si>
  <si>
    <t>-667.506337879721 49.3557254167197 -530.064616698027</t>
  </si>
  <si>
    <t>-505.555748917372 135.368634602085 -406.267094895077</t>
  </si>
  <si>
    <t>-603.372404555847 152.159388359394 -95.1604297698823</t>
  </si>
  <si>
    <t>-625.775186038999 154.991812396838 319.800632971562</t>
  </si>
  <si>
    <t>-670.166795050666 172.555316251239 780.311098482862</t>
  </si>
  <si>
    <t>-519.500036420831 171.241595546129 836.716923962864</t>
  </si>
  <si>
    <t>-587.267755587336 -53.0361649054576 321.193068440039</t>
  </si>
  <si>
    <t>-652.815111649646 -102.82759379679 777.22273747138</t>
  </si>
  <si>
    <t>-500.021535888349 -124.210123782129 822.837806321831</t>
  </si>
  <si>
    <t>9763-20170724T115413.861804200.bin</t>
  </si>
  <si>
    <t>-602.06137527677 59.2018345969695 -92.7798776159841</t>
  </si>
  <si>
    <t>-624.396248450582 58.0263073736689 -201.210780628152</t>
  </si>
  <si>
    <t>-639.065109131725 61.6903860786967 -292.84725599141</t>
  </si>
  <si>
    <t>-651.670850004116 66.8512023528222 -375.627684544124</t>
  </si>
  <si>
    <t>-663.111198699037 73.9356016098502 -458.435069653658</t>
  </si>
  <si>
    <t>-678.600461976162 86.4266769189887 -579.467969874376</t>
  </si>
  <si>
    <t>-674.438333140127 95.5130315262613 -657.187503736699</t>
  </si>
  <si>
    <t>-676.008624800071 111.800031389384 -522.63747091285</t>
  </si>
  <si>
    <t>-654.000553098285 261.778663464228 -485.784249192404</t>
  </si>
  <si>
    <t>-548.916706967556 235.827975023061 -225.279942868474</t>
  </si>
  <si>
    <t>-351.017359069255 117.872040505945 -254.788899570825</t>
  </si>
  <si>
    <t>-667.599201999299 50.0913055922047 -530.082261277666</t>
  </si>
  <si>
    <t>-505.874804902808 136.233369469409 -405.528696775066</t>
  </si>
  <si>
    <t>-603.393039731178 152.707027731273 -95.1579273467906</t>
  </si>
  <si>
    <t>-625.92634323751 155.284502801266 319.797731020507</t>
  </si>
  <si>
    <t>-670.208774013738 172.536601620695 780.313938555937</t>
  </si>
  <si>
    <t>-519.535008952354 171.194419659447 836.70044930435</t>
  </si>
  <si>
    <t>-587.241619586718 -52.7075937787906 321.140820816784</t>
  </si>
  <si>
    <t>-652.726290638198 -102.795144435038 777.151634410954</t>
  </si>
  <si>
    <t>-499.94634128841 -124.049784469758 822.872034925464</t>
  </si>
  <si>
    <t>9763-20170724T115413.930989800.bin</t>
  </si>
  <si>
    <t>-602.286236958695 60.0892740271711 -92.8243522161251</t>
  </si>
  <si>
    <t>-624.577034432188 59.0208527373923 -201.26551909245</t>
  </si>
  <si>
    <t>-639.248328271703 62.7717433740329 -292.898041829034</t>
  </si>
  <si>
    <t>-651.873005811896 68.010625590148 -375.670550862539</t>
  </si>
  <si>
    <t>-663.349551444319 75.171816996595 -458.466327711215</t>
  </si>
  <si>
    <t>-678.911221509396 87.7736021234523 -579.47862973314</t>
  </si>
  <si>
    <t>-674.81690400085 96.8267309538076 -657.205612746007</t>
  </si>
  <si>
    <t>-676.275389815747 113.096492089209 -522.627420939879</t>
  </si>
  <si>
    <t>-653.922211721762 263.051563752633 -485.882083864635</t>
  </si>
  <si>
    <t>-548.795908018389 236.97794385446 -225.407049737576</t>
  </si>
  <si>
    <t>-351.657407370531 117.87015241604 -255.37861621116</t>
  </si>
  <si>
    <t>-667.890377311996 51.3916342032369 -530.131565902873</t>
  </si>
  <si>
    <t>-506.758082978714 137.870293637191 -404.260145400483</t>
  </si>
  <si>
    <t>-603.43184367533 153.656405313719 -95.1713173413093</t>
  </si>
  <si>
    <t>-626.128812264993 155.824269150102 319.777761341526</t>
  </si>
  <si>
    <t>-670.282178521608 172.494699958474 780.320832930908</t>
  </si>
  <si>
    <t>-519.593381036562 171.18848526542 836.668001209929</t>
  </si>
  <si>
    <t>-587.162463153132 -52.1882890703785 321.013887214196</t>
  </si>
  <si>
    <t>-652.563021770426 -102.772782811969 777.000858457282</t>
  </si>
  <si>
    <t>-499.861835833164 -124.167330886848 822.918720319488</t>
  </si>
  <si>
    <t>9763-20170724T115413.962077600.bin</t>
  </si>
  <si>
    <t>-602.41803507179 60.5036203521404 -92.8485556883624</t>
  </si>
  <si>
    <t>-624.690387107395 59.5000239413052 -201.294148873102</t>
  </si>
  <si>
    <t>-639.367410552677 63.2888599504151 -292.924098841996</t>
  </si>
  <si>
    <t>-652.006180621424 68.5563555939334 -375.692781986255</t>
  </si>
  <si>
    <t>-663.505978793717 75.7396133801431 -458.483397776211</t>
  </si>
  <si>
    <t>-679.111727195316 88.366796412326 -579.487204378871</t>
  </si>
  <si>
    <t>-675.016626138327 97.4047304470423 -657.216043093253</t>
  </si>
  <si>
    <t>-676.437067615481 113.680466062642 -522.633950529791</t>
  </si>
  <si>
    <t>-653.936186978964 263.623816106666 -485.913648287987</t>
  </si>
  <si>
    <t>-548.905040387149 237.363611266192 -225.419126975668</t>
  </si>
  <si>
    <t>-352.062545919588 117.771781274302 -255.408609231501</t>
  </si>
  <si>
    <t>-668.091028473188 51.9718004211111 -530.149836276426</t>
  </si>
  <si>
    <t>-507.212954403637 138.511209696506 -403.746492010449</t>
  </si>
  <si>
    <t>-603.41734524306 154.093162618143 -95.1700236832203</t>
  </si>
  <si>
    <t>-626.200302238876 156.063544553996 319.775334496754</t>
  </si>
  <si>
    <t>-670.340172659598 172.438616351003 780.325297599459</t>
  </si>
  <si>
    <t>-519.644927255083 170.946494291159 836.650641758392</t>
  </si>
  <si>
    <t>-587.116831706282 -51.9058752666876 320.949561604999</t>
  </si>
  <si>
    <t>-652.50475964842 -102.771666782146 776.911939858279</t>
  </si>
  <si>
    <t>-499.852965317147 -124.37796777976 822.894759719016</t>
  </si>
  <si>
    <t>9763-20170724T115414.028166800.bin</t>
  </si>
  <si>
    <t>-602.599536649986 61.2326913889585 -92.9339924970714</t>
  </si>
  <si>
    <t>-624.851479079055 60.3224859739255 -201.384472532157</t>
  </si>
  <si>
    <t>-639.554210017245 64.1973595256882 -293.006827540264</t>
  </si>
  <si>
    <t>-652.234809370592 69.5477720445942 -375.763732952411</t>
  </si>
  <si>
    <t>-663.795953676214 76.8176880906533 -458.538314943882</t>
  </si>
  <si>
    <t>-679.513651195136 89.5755306850645 -579.514030875464</t>
  </si>
  <si>
    <t>-675.344553863383 98.6511408447184 -657.234401206746</t>
  </si>
  <si>
    <t>-676.756130340111 114.832133567355 -522.639309221107</t>
  </si>
  <si>
    <t>-653.851257415408 264.714688407232 -485.938725833028</t>
  </si>
  <si>
    <t>-549.379892830022 238.473954211287 -225.217167339314</t>
  </si>
  <si>
    <t>-353.198964165646 117.736961302579 -254.951900902687</t>
  </si>
  <si>
    <t>-668.477634336124 53.1227234974624 -530.222459930593</t>
  </si>
  <si>
    <t>-507.788604015558 139.427425742139 -403.328074510724</t>
  </si>
  <si>
    <t>-603.306211365165 154.814950754182 -95.2047229815829</t>
  </si>
  <si>
    <t>-626.275193807318 156.442732769056 319.731918044326</t>
  </si>
  <si>
    <t>-670.421364586258 172.386562794709 780.314720740607</t>
  </si>
  <si>
    <t>-519.720887901561 170.709236662407 836.620822381812</t>
  </si>
  <si>
    <t>-587.106019907721 -51.3619137324501 320.808958289197</t>
  </si>
  <si>
    <t>-652.393031300261 -102.683589905162 776.737802549087</t>
  </si>
  <si>
    <t>-499.745113415691 -124.112490115884 822.816375124216</t>
  </si>
  <si>
    <t>9763-20170724T115414.063768100.bin</t>
  </si>
  <si>
    <t>-602.67640351312 61.5295215814749 -92.9749017527998</t>
  </si>
  <si>
    <t>-624.905835967283 60.6645841848158 -201.430389053891</t>
  </si>
  <si>
    <t>-639.633379284647 64.5790650810934 -293.047101444148</t>
  </si>
  <si>
    <t>-652.354677529309 69.9658522438483 -375.795408764978</t>
  </si>
  <si>
    <t>-663.974938361594 77.2727173680714 -458.558319507349</t>
  </si>
  <si>
    <t>-679.799786409296 90.0841195891765 -579.514493480322</t>
  </si>
  <si>
    <t>-675.583464035613 99.1719143100606 -657.230824546799</t>
  </si>
  <si>
    <t>-676.979322278871 115.317441978086 -522.632361486016</t>
  </si>
  <si>
    <t>-653.838964467101 265.165865143658 -485.922312293974</t>
  </si>
  <si>
    <t>-549.738287609202 238.964015770304 -225.048608527594</t>
  </si>
  <si>
    <t>-353.908368221482 117.647098101697 -254.736759823639</t>
  </si>
  <si>
    <t>-668.732708730032 53.6075415427388 -530.247497266693</t>
  </si>
  <si>
    <t>-508.073852322137 139.684940475731 -403.28663975257</t>
  </si>
  <si>
    <t>-603.25034352194 155.149999032348 -95.2212078300596</t>
  </si>
  <si>
    <t>-626.316020814005 156.626461279494 319.710593339721</t>
  </si>
  <si>
    <t>-670.461768704688 172.366121580952 780.303222193527</t>
  </si>
  <si>
    <t>-519.757614206875 170.729942093014 836.600657610419</t>
  </si>
  <si>
    <t>-587.114333481707 -51.2024004023033 320.736933264907</t>
  </si>
  <si>
    <t>-652.339850897563 -102.681602839596 776.660128194217</t>
  </si>
  <si>
    <t>-499.760222891278 -124.472070536474 822.79541467381</t>
  </si>
  <si>
    <t>9763-20170724T115414.130184300.bin</t>
  </si>
  <si>
    <t>-602.66504007901 62.0800237878298 -93.0471403861847</t>
  </si>
  <si>
    <t>-624.881329365026 61.2919565083678 -201.505940960488</t>
  </si>
  <si>
    <t>-639.652273846867 65.2781733213972 -293.112502639942</t>
  </si>
  <si>
    <t>-652.435723012515 70.7337047492554 -375.846754344072</t>
  </si>
  <si>
    <t>-664.141983183821 78.1116572965625 -458.591412276134</t>
  </si>
  <si>
    <t>-680.119298321384 91.0295016313949 -579.516022404447</t>
  </si>
  <si>
    <t>-675.762852766344 100.110442986278 -657.225597387343</t>
  </si>
  <si>
    <t>-677.219084764571 116.214053891972 -522.616304024354</t>
  </si>
  <si>
    <t>-653.701659517206 265.979037234692 -485.83137801679</t>
  </si>
  <si>
    <t>-550.116710026728 240.220200419485 -224.708427496056</t>
  </si>
  <si>
    <t>-355.124385303045 117.775445633446 -255.26701098315</t>
  </si>
  <si>
    <t>-668.998101871088 54.5085183940544 -530.294184966823</t>
  </si>
  <si>
    <t>-508.460461096756 140.339214891201 -403.216527357033</t>
  </si>
  <si>
    <t>-603.044887452696 155.776109451656 -95.2551567392004</t>
  </si>
  <si>
    <t>-626.32812870743 156.915503285685 319.66559538282</t>
  </si>
  <si>
    <t>-670.531313500584 172.309514902265 780.282491014565</t>
  </si>
  <si>
    <t>-519.831464073632 170.567928490766 836.588316228002</t>
  </si>
  <si>
    <t>-587.132224237029 -50.8519059151329 320.615556862783</t>
  </si>
  <si>
    <t>-652.215974772069 -102.630022076429 776.528350227078</t>
  </si>
  <si>
    <t>-499.677273929048 -124.468176906563 822.776216903253</t>
  </si>
  <si>
    <t>9763-20170724T115414.162271400.bin</t>
  </si>
  <si>
    <t>-602.648335378558 62.3652019532076 -93.0796108741459</t>
  </si>
  <si>
    <t>-624.875556235026 61.6041168984241 -201.536366725882</t>
  </si>
  <si>
    <t>-639.693914063902 65.6205528417595 -293.133945424638</t>
  </si>
  <si>
    <t>-652.536200961661 71.1058001984977 -375.857092131269</t>
  </si>
  <si>
    <t>-664.3176986339 78.5155918449032 -458.58816895</t>
  </si>
  <si>
    <t>-680.423146186943 91.4827097329312 -579.490566610707</t>
  </si>
  <si>
    <t>-676.022188292815 100.547357585912 -657.19946648732</t>
  </si>
  <si>
    <t>-677.47353294094 116.642404919546 -522.58255961292</t>
  </si>
  <si>
    <t>-653.814667750416 266.374162626126 -485.739696727624</t>
  </si>
  <si>
    <t>-550.245126481764 240.676319778913 -224.604745599864</t>
  </si>
  <si>
    <t>-355.585954408893 117.811295002645 -255.596797369959</t>
  </si>
  <si>
    <t>-669.238917233692 54.9433018885159 -530.29675084879</t>
  </si>
  <si>
    <t>-508.789694057292 140.917039094445 -403.114908576159</t>
  </si>
  <si>
    <t>-602.979493900271 156.092482307668 -95.270113447991</t>
  </si>
  <si>
    <t>-626.320782352935 157.05992549546 319.647762185082</t>
  </si>
  <si>
    <t>-670.560811227119 172.288542305334 780.275015228764</t>
  </si>
  <si>
    <t>-519.864448530169 170.439696652708 836.58684714872</t>
  </si>
  <si>
    <t>-587.096294112594 -50.6775996772415 320.564350422109</t>
  </si>
  <si>
    <t>-652.148228136307 -102.617244948795 776.474446623025</t>
  </si>
  <si>
    <t>-499.644060477292 -124.550812279082 822.791021397559</t>
  </si>
  <si>
    <t>9763-20170724T115414.226446600.bin</t>
  </si>
  <si>
    <t>-602.641057775108 62.965852092676 -93.1249514747265</t>
  </si>
  <si>
    <t>-624.900184885606 62.2037103993805 -201.575190677024</t>
  </si>
  <si>
    <t>-639.852954529135 66.2815422931046 -293.148189801678</t>
  </si>
  <si>
    <t>-652.861242969465 71.844865196309 -375.840195600941</t>
  </si>
  <si>
    <t>-664.854479101586 79.3547957110038 -458.531741095896</t>
  </si>
  <si>
    <t>-681.320582028365 92.4912580002231 -579.367390221733</t>
  </si>
  <si>
    <t>-676.916535271329 101.564716516986 -657.075024763536</t>
  </si>
  <si>
    <t>-678.251182923669 117.563756225648 -522.427107262863</t>
  </si>
  <si>
    <t>-654.223383349084 267.198334095789 -485.442403579739</t>
  </si>
  <si>
    <t>-550.71220454766 241.249733057742 -224.308821692736</t>
  </si>
  <si>
    <t>-356.851561980279 117.387063319435 -256.31843437741</t>
  </si>
  <si>
    <t>-669.939638158759 55.8904027644894 -530.264352730153</t>
  </si>
  <si>
    <t>-510.136656568921 142.569302348648 -402.473080094285</t>
  </si>
  <si>
    <t>-603.013846023792 156.719505933985 -95.2910622740674</t>
  </si>
  <si>
    <t>-626.34392656968 157.393852619331 319.628078706808</t>
  </si>
  <si>
    <t>-670.619832125743 172.252481851308 780.260623428479</t>
  </si>
  <si>
    <t>-519.919292512979 170.540842183304 836.56558464147</t>
  </si>
  <si>
    <t>-586.960085156367 -50.2679286194439 320.504382940929</t>
  </si>
  <si>
    <t>-652.014739559152 -102.597743873087 776.373317564148</t>
  </si>
  <si>
    <t>-499.58026405679 -124.725667417989 822.826649156329</t>
  </si>
  <si>
    <t>9763-20170724T115414.264549700.bin</t>
  </si>
  <si>
    <t>-602.643693671507 63.2760270028871 -93.1446495394516</t>
  </si>
  <si>
    <t>-624.89466032654 62.5009855359538 -201.596325150266</t>
  </si>
  <si>
    <t>-639.896752810668 66.6001736473515 -293.160424752022</t>
  </si>
  <si>
    <t>-652.972736178292 72.1935864653531 -375.839803379672</t>
  </si>
  <si>
    <t>-665.057070974302 79.7447418643428 -458.514265950546</t>
  </si>
  <si>
    <t>-681.682395909736 92.9526415306723 -579.320315184281</t>
  </si>
  <si>
    <t>-677.31821611572 102.02683173518 -657.030239972499</t>
  </si>
  <si>
    <t>-678.564503455846 117.987500741541 -522.366146112761</t>
  </si>
  <si>
    <t>-654.506094319126 267.61462423289 -485.33235793175</t>
  </si>
  <si>
    <t>-550.901568400129 241.578824751075 -224.244505241019</t>
  </si>
  <si>
    <t>-357.396892857606 117.304438990068 -256.807468461856</t>
  </si>
  <si>
    <t>-670.210147714461 56.3268973943889 -530.257247933746</t>
  </si>
  <si>
    <t>-510.876662178394 143.346929641161 -402.029408418714</t>
  </si>
  <si>
    <t>-603.105445689254 156.999242722901 -95.307641749566</t>
  </si>
  <si>
    <t>-626.426331701632 157.55374320047 319.612148763212</t>
  </si>
  <si>
    <t>-670.645239264207 172.252422008148 780.252051274257</t>
  </si>
  <si>
    <t>-519.945412756472 170.457558116909 836.556300924844</t>
  </si>
  <si>
    <t>-586.918290125608 -50.0533605745477 320.474286747904</t>
  </si>
  <si>
    <t>-651.94943312682 -102.570621735554 776.319393395841</t>
  </si>
  <si>
    <t>-499.527417475542 -124.655169494868 822.834161859922</t>
  </si>
  <si>
    <t>9763-20170724T115414.328723600.bin</t>
  </si>
  <si>
    <t>-602.773719923191 63.7697610130024 -93.1596122867618</t>
  </si>
  <si>
    <t>-624.982029683798 62.9556023053076 -201.619887453536</t>
  </si>
  <si>
    <t>-640.065070161218 67.0671903146167 -293.169976211756</t>
  </si>
  <si>
    <t>-653.261713191688 72.6859795146381 -375.82840846071</t>
  </si>
  <si>
    <t>-665.514874711508 80.2763450943089 -458.474470232022</t>
  </si>
  <si>
    <t>-682.440283448272 93.5553994080101 -579.231084510162</t>
  </si>
  <si>
    <t>-678.226159574123 102.610975827629 -656.951439482191</t>
  </si>
  <si>
    <t>-679.246144689744 118.546630976869 -522.26202017003</t>
  </si>
  <si>
    <t>-655.5497003993 268.207280956049 -485.163620235304</t>
  </si>
  <si>
    <t>-551.487827975661 241.663602617044 -224.309050500472</t>
  </si>
  <si>
    <t>-358.31527112695 117.014735997325 -257.40829067124</t>
  </si>
  <si>
    <t>-670.78100507093 56.9106485207546 -530.226382096905</t>
  </si>
  <si>
    <t>-512.444773091515 144.371181532402 -401.255657908834</t>
  </si>
  <si>
    <t>-603.397040485041 157.432498359876 -95.3346038325433</t>
  </si>
  <si>
    <t>-626.683912320038 157.833900528382 319.587246883315</t>
  </si>
  <si>
    <t>-670.716566994476 172.194463154688 780.246909503225</t>
  </si>
  <si>
    <t>-520.013703339401 170.325239380024 836.54054138361</t>
  </si>
  <si>
    <t>-586.891471397515 -49.8111278099584 320.42051863409</t>
  </si>
  <si>
    <t>-651.85463913184 -102.534978023509 776.222337963738</t>
  </si>
  <si>
    <t>-499.462153830856 -124.677818731657 822.806119537188</t>
  </si>
  <si>
    <t>9763-20170724T115414.363320600.bin</t>
  </si>
  <si>
    <t>-602.807377780297 63.9044260046303 -93.1834108229724</t>
  </si>
  <si>
    <t>-624.999352267371 63.0824058281426 -201.646936126122</t>
  </si>
  <si>
    <t>-640.096519391867 67.2046262884105 -293.194225021531</t>
  </si>
  <si>
    <t>-653.31738021286 72.8387526845547 -375.847786933938</t>
  </si>
  <si>
    <t>-665.606390118805 80.4503877928973 -458.486639708495</t>
  </si>
  <si>
    <t>-682.597217742928 93.766657802533 -579.229780671098</t>
  </si>
  <si>
    <t>-678.439871336871 102.835881422748 -656.951539384952</t>
  </si>
  <si>
    <t>-679.3938472096 118.737127211982 -522.252101561988</t>
  </si>
  <si>
    <t>-655.811342474272 268.394117047179 -485.068380474024</t>
  </si>
  <si>
    <t>-551.586085333604 241.73767814675 -224.290564492041</t>
  </si>
  <si>
    <t>-358.409084933517 117.10625146479 -257.429239287385</t>
  </si>
  <si>
    <t>-670.889724672968 57.110031420511 -530.24541117128</t>
  </si>
  <si>
    <t>-512.890293825504 144.765858002047 -401.053746654603</t>
  </si>
  <si>
    <t>-603.48906089504 157.543948734727 -95.3529861499065</t>
  </si>
  <si>
    <t>-626.799007771911 157.882460634152 319.567662901638</t>
  </si>
  <si>
    <t>-670.76285258623 172.145616174954 780.243877512317</t>
  </si>
  <si>
    <t>-520.056707815036 170.209078071294 836.526497283077</t>
  </si>
  <si>
    <t>-586.909773780558 -49.7730945301691 320.377466282841</t>
  </si>
  <si>
    <t>-651.814540895748 -102.532884339958 776.183269196279</t>
  </si>
  <si>
    <t>-499.461292590488 -124.888490021628 822.793794851818</t>
  </si>
  <si>
    <t>9763-20170724T115414.428802000.bin</t>
  </si>
  <si>
    <t>-602.783812564921 64.166598729327 -93.2223404751035</t>
  </si>
  <si>
    <t>-624.971218745844 63.3283036911612 -201.686666640775</t>
  </si>
  <si>
    <t>-640.076957059666 67.4481288135291 -293.232742293999</t>
  </si>
  <si>
    <t>-653.310529675385 73.0837913979524 -375.884064809163</t>
  </si>
  <si>
    <t>-665.617386918122 80.7006713144367 -458.519856186547</t>
  </si>
  <si>
    <t>-682.639760852817 94.0287392074836 -579.257295608893</t>
  </si>
  <si>
    <t>-678.52595776498 103.136354392235 -656.97688167901</t>
  </si>
  <si>
    <t>-679.437384861963 118.991096918507 -522.275962651107</t>
  </si>
  <si>
    <t>-656.001010447427 268.670221867274 -485.080344905072</t>
  </si>
  <si>
    <t>-551.600419912388 242.036744492927 -224.370184446102</t>
  </si>
  <si>
    <t>-358.311374369155 117.480344718685 -257.135599993624</t>
  </si>
  <si>
    <t>-670.903595973317 57.3698518282781 -530.281448009066</t>
  </si>
  <si>
    <t>-513.071371087974 145.128793090453 -401.004230238581</t>
  </si>
  <si>
    <t>-603.519211589471 157.746176711325 -95.3779456907348</t>
  </si>
  <si>
    <t>-626.860632199112 157.996752834826 319.541001500291</t>
  </si>
  <si>
    <t>-670.828748320441 172.093017474718 780.23388674152</t>
  </si>
  <si>
    <t>-520.120190140383 170.209217944702 836.511872098149</t>
  </si>
  <si>
    <t>-586.782913648739 -49.5724546724823 320.331664338181</t>
  </si>
  <si>
    <t>-651.748421513418 -102.433696791028 776.10293020602</t>
  </si>
  <si>
    <t>-499.381815105881 -124.685172743115 822.71953810189</t>
  </si>
  <si>
    <t>9763-20170724T115414.464383500.bin</t>
  </si>
  <si>
    <t>-602.708481635895 64.2390882107748 -93.2268034430908</t>
  </si>
  <si>
    <t>-624.923430187771 63.399821049107 -201.685439503783</t>
  </si>
  <si>
    <t>-640.056240119659 67.507522503422 -293.227585256627</t>
  </si>
  <si>
    <t>-653.315503994977 73.1276924892934 -375.875921310805</t>
  </si>
  <si>
    <t>-665.649076782758 80.7245141476053 -458.509556427583</t>
  </si>
  <si>
    <t>-682.711504794884 94.0178618522136 -579.244993027172</t>
  </si>
  <si>
    <t>-678.602366993679 103.132473337404 -656.964098151103</t>
  </si>
  <si>
    <t>-679.480723188446 118.998123622312 -522.27315366603</t>
  </si>
  <si>
    <t>-656.06968464859 268.690622760585 -485.098358818032</t>
  </si>
  <si>
    <t>-551.558294332372 242.097932549371 -224.428498218633</t>
  </si>
  <si>
    <t>-358.235817611701 117.562043650095 -257.074623302673</t>
  </si>
  <si>
    <t>-670.968642606673 57.37152636617 -530.26149972965</t>
  </si>
  <si>
    <t>-512.970449238615 145.011000608301 -401.074524384385</t>
  </si>
  <si>
    <t>-603.449594050648 157.798010670323 -95.384026213878</t>
  </si>
  <si>
    <t>-626.80062507094 158.011545407459 319.534389423831</t>
  </si>
  <si>
    <t>-670.85395771961 172.069387209231 780.230319787118</t>
  </si>
  <si>
    <t>-520.148275575881 170.138254895886 836.514328111486</t>
  </si>
  <si>
    <t>-586.696214192847 -49.5163400847864 320.318956644737</t>
  </si>
  <si>
    <t>-651.721910513831 -102.405722184594 776.07030218245</t>
  </si>
  <si>
    <t>-499.348359215305 -124.619682393016 822.682120493268</t>
  </si>
  <si>
    <t>9763-20170724T115414.528572200.bin</t>
  </si>
  <si>
    <t>-602.589086750164 64.3490784502189 -93.2291397976444</t>
  </si>
  <si>
    <t>-624.904479214177 63.5093463406406 -201.667149386525</t>
  </si>
  <si>
    <t>-640.132643201621 67.5937346719418 -293.194642165681</t>
  </si>
  <si>
    <t>-653.481486932292 73.1844842336614 -375.830454998044</t>
  </si>
  <si>
    <t>-665.907696879419 80.7423996130856 -458.453672115777</t>
  </si>
  <si>
    <t>-683.108380833041 93.9685860660841 -579.177140003804</t>
  </si>
  <si>
    <t>-679.006482993843 103.074720775915 -656.897495744968</t>
  </si>
  <si>
    <t>-679.768670749199 118.987346997564 -522.228373896822</t>
  </si>
  <si>
    <t>-656.231156449163 268.671295773271 -485.123645336709</t>
  </si>
  <si>
    <t>-551.403438400785 242.019235658286 -224.586913813431</t>
  </si>
  <si>
    <t>-358.09815286324 117.467395862815 -257.273712573582</t>
  </si>
  <si>
    <t>-671.353095227869 57.3427094112649 -530.181018147797</t>
  </si>
  <si>
    <t>-512.991066525577 144.857717114646 -401.145936476879</t>
  </si>
  <si>
    <t>-603.298854706159 157.912230656291 -95.3832847383597</t>
  </si>
  <si>
    <t>-626.590804568667 158.057127892537 319.538407484843</t>
  </si>
  <si>
    <t>-670.8987846625 172.019349084464 780.223715015951</t>
  </si>
  <si>
    <t>-520.199080521876 170.170859550982 836.526519441056</t>
  </si>
  <si>
    <t>-586.591915108798 -49.3832286176644 320.318782595601</t>
  </si>
  <si>
    <t>-651.674123043128 -102.314098376675 776.030779822785</t>
  </si>
  <si>
    <t>-499.249902044118 -124.242256828155 822.612300855657</t>
  </si>
  <si>
    <t>9763-20170724T115414.561661800.bin</t>
  </si>
  <si>
    <t>-602.581405799072 64.3721798430306 -93.2320492247521</t>
  </si>
  <si>
    <t>-624.944277548525 63.5304915528995 -201.660410239749</t>
  </si>
  <si>
    <t>-640.206764121439 67.6086475255909 -293.182275216548</t>
  </si>
  <si>
    <t>-653.584276034891 73.1920805076691 -375.813975349916</t>
  </si>
  <si>
    <t>-666.036557953202 80.7411134737151 -458.434109710537</t>
  </si>
  <si>
    <t>-683.272286021134 93.9528030672595 -579.154044271529</t>
  </si>
  <si>
    <t>-679.155784515762 103.046450645612 -656.87521636835</t>
  </si>
  <si>
    <t>-679.892237312861 118.981957457649 -522.212317394276</t>
  </si>
  <si>
    <t>-656.250085927051 268.66354414231 -485.148330521661</t>
  </si>
  <si>
    <t>-551.243401689983 241.911381355153 -224.693849097488</t>
  </si>
  <si>
    <t>-357.955049545768 117.337588955396 -257.397603062961</t>
  </si>
  <si>
    <t>-671.526546865383 57.3293704990933 -530.153983069704</t>
  </si>
  <si>
    <t>-513.043551693655 144.753355751197 -401.175765548537</t>
  </si>
  <si>
    <t>-603.246046492031 157.907880283694 -95.3825801628353</t>
  </si>
  <si>
    <t>-626.540113274819 158.065750239944 319.538991519262</t>
  </si>
  <si>
    <t>-670.930507340827 171.98420762064 780.218365768668</t>
  </si>
  <si>
    <t>-520.234811367055 170.078757239182 836.530016385859</t>
  </si>
  <si>
    <t>-586.559817874586 -49.3438143375433 320.329344599163</t>
  </si>
  <si>
    <t>-651.663350293773 -102.306593411949 776.019391878281</t>
  </si>
  <si>
    <t>-499.279599574804 -124.555350710331 822.581250087465</t>
  </si>
  <si>
    <t>9763-20170724T115414.629098700.bin</t>
  </si>
  <si>
    <t>-602.704574771177 64.345789316845 -93.2306443983603</t>
  </si>
  <si>
    <t>-625.120798629755 63.4825373749602 -201.647817698739</t>
  </si>
  <si>
    <t>-640.438907303753 67.5158517611296 -293.162368078934</t>
  </si>
  <si>
    <t>-653.86945578249 73.0490210292458 -375.788910855498</t>
  </si>
  <si>
    <t>-666.376591106364 80.5366564012886 -458.406240557345</t>
  </si>
  <si>
    <t>-683.693748232203 93.6456810793252 -579.125710754663</t>
  </si>
  <si>
    <t>-679.538629845363 102.686529157661 -656.851097428173</t>
  </si>
  <si>
    <t>-680.201822575283 118.734278683781 -522.216957217055</t>
  </si>
  <si>
    <t>-656.294963062086 268.412029202784 -485.317296324852</t>
  </si>
  <si>
    <t>-551.010255285152 241.627302290262 -224.978521102808</t>
  </si>
  <si>
    <t>-357.7159936016 117.038322688774 -257.589008766033</t>
  </si>
  <si>
    <t>-671.988510721968 57.0527666042144 -530.093334418783</t>
  </si>
  <si>
    <t>-513.436351295699 144.40010617804 -401.231123773196</t>
  </si>
  <si>
    <t>-603.334875866528 157.799626015199 -95.4079286239228</t>
  </si>
  <si>
    <t>-626.559474213026 158.042575966844 319.517569168543</t>
  </si>
  <si>
    <t>-670.97306041853 171.951213019084 780.204820416895</t>
  </si>
  <si>
    <t>-520.277707859267 170.148525807108 836.520803139587</t>
  </si>
  <si>
    <t>-586.614556851833 -49.2305218854699 320.33606682791</t>
  </si>
  <si>
    <t>-651.652787382555 -102.261156311693 776.009421973627</t>
  </si>
  <si>
    <t>-499.265613623676 -124.64329773478 822.496075742106</t>
  </si>
  <si>
    <t>9763-20170724T115414.662715500.bin</t>
  </si>
  <si>
    <t>-602.790799545761 64.2786154914079 -93.2280076190052</t>
  </si>
  <si>
    <t>-625.261022636744 63.4003638279064 -201.633825379787</t>
  </si>
  <si>
    <t>-640.618066454473 67.4085511072581 -293.142980789052</t>
  </si>
  <si>
    <t>-654.080290421076 72.9146352112869 -375.766167181936</t>
  </si>
  <si>
    <t>-666.615241853378 80.3700266350097 -458.382226498785</t>
  </si>
  <si>
    <t>-683.96826800082 93.4264499466617 -579.102335938395</t>
  </si>
  <si>
    <t>-679.802872341512 102.423107955675 -656.8321345569</t>
  </si>
  <si>
    <t>-680.427239598182 118.544701708387 -522.209584204399</t>
  </si>
  <si>
    <t>-656.405799781177 268.226350746393 -485.37926694222</t>
  </si>
  <si>
    <t>-551.000482954807 241.314877771775 -225.102335984295</t>
  </si>
  <si>
    <t>-357.635397102955 116.804539368353 -257.593082167037</t>
  </si>
  <si>
    <t>-672.28054326467 56.8502381962257 -530.053138775526</t>
  </si>
  <si>
    <t>-513.699279624893 144.164593914977 -401.251741749458</t>
  </si>
  <si>
    <t>-603.435656464133 157.685239120646 -95.4107171601294</t>
  </si>
  <si>
    <t>-626.598675873738 158.012266660327 319.518151624223</t>
  </si>
  <si>
    <t>-671.009920889466 171.907610929754 780.205546299555</t>
  </si>
  <si>
    <t>-520.317937962536 169.984604964367 836.526500728589</t>
  </si>
  <si>
    <t>-586.672635281362 -49.1989928314449 320.347162121692</t>
  </si>
  <si>
    <t>-651.655071676992 -102.213373385032 776.0128560088</t>
  </si>
  <si>
    <t>-499.214114107552 -124.346587503211 822.44224965742</t>
  </si>
  <si>
    <t>9763-20170724T115414.726369900.bin</t>
  </si>
  <si>
    <t>-603.038399436105 64.1195086740595 -93.2430846589956</t>
  </si>
  <si>
    <t>-625.608730177101 63.2088709245791 -201.627874975899</t>
  </si>
  <si>
    <t>-641.045158197585 67.1687959092301 -293.125747445849</t>
  </si>
  <si>
    <t>-654.575728208377 72.6227268998543 -375.741240507854</t>
  </si>
  <si>
    <t>-667.174843831562 80.0169702738517 -458.353076285518</t>
  </si>
  <si>
    <t>-684.616083859896 92.9743189908913 -579.070983575512</t>
  </si>
  <si>
    <t>-680.433417989189 101.889175905189 -656.809407567909</t>
  </si>
  <si>
    <t>-680.992055353678 118.145272334547 -522.206977045565</t>
  </si>
  <si>
    <t>-656.770818241141 267.824256941581 -485.505024223268</t>
  </si>
  <si>
    <t>-551.112742958099 240.967025335346 -225.324998046335</t>
  </si>
  <si>
    <t>-357.653673469729 116.626384468309 -257.906131948207</t>
  </si>
  <si>
    <t>-672.934004364446 56.4321507255834 -529.995173832052</t>
  </si>
  <si>
    <t>-514.24050952524 143.699992027964 -401.374336508931</t>
  </si>
  <si>
    <t>-603.767216870267 157.420915180964 -95.4359921086038</t>
  </si>
  <si>
    <t>-626.696107859673 157.905470756862 319.505713907737</t>
  </si>
  <si>
    <t>-671.050313247138 171.857027356395 780.206245302968</t>
  </si>
  <si>
    <t>-520.360279361518 169.952374867164 836.533104480869</t>
  </si>
  <si>
    <t>-586.829735524651 -49.1226123503195 320.357445850612</t>
  </si>
  <si>
    <t>-651.657223963564 -102.126144732337 776.020194447842</t>
  </si>
  <si>
    <t>-499.1452204753 -123.990214304397 822.343760049921</t>
  </si>
  <si>
    <t>9763-20170724T115414.759454600.bin</t>
  </si>
  <si>
    <t>-603.187009701119 64.0775115042813 -93.2508563472957</t>
  </si>
  <si>
    <t>-625.809237846739 63.146149728748 -201.624591368254</t>
  </si>
  <si>
    <t>-641.304987409658 67.0779102849424 -293.113716563935</t>
  </si>
  <si>
    <t>-654.894944197253 72.501499242936 -375.721384361373</t>
  </si>
  <si>
    <t>-667.558788506009 79.860573451067 -458.32643436672</t>
  </si>
  <si>
    <t>-685.100388840811 92.7607153829388 -579.036139383873</t>
  </si>
  <si>
    <t>-680.92421044003 101.645654184134 -656.778127023758</t>
  </si>
  <si>
    <t>-681.420333822335 117.959918019774 -522.188097932947</t>
  </si>
  <si>
    <t>-657.12880581549 267.63174435498 -485.516772528326</t>
  </si>
  <si>
    <t>-551.295513570843 240.751971279094 -225.410251303544</t>
  </si>
  <si>
    <t>-357.797260839395 116.468866928268 -257.978153226438</t>
  </si>
  <si>
    <t>-673.386214049678 56.2405837600368 -529.951481512935</t>
  </si>
  <si>
    <t>-514.663958319238 143.609093016073 -401.370394497567</t>
  </si>
  <si>
    <t>-603.971536908333 157.286864443393 -95.4545982113573</t>
  </si>
  <si>
    <t>-626.750638427587 157.875988185906 319.495204600878</t>
  </si>
  <si>
    <t>-671.069610651867 171.840015929911 780.205150900322</t>
  </si>
  <si>
    <t>-520.373244452862 170.085245969103 836.519785257111</t>
  </si>
  <si>
    <t>-586.935139129712 -49.0676037168903 320.360213665734</t>
  </si>
  <si>
    <t>-651.66539138486 -102.082906794693 776.022448288051</t>
  </si>
  <si>
    <t>-499.103541688204 -123.740656662726 822.278809201723</t>
  </si>
  <si>
    <t>9763-20170724T115414.830176900.bin</t>
  </si>
  <si>
    <t>-603.694851160847 63.9211934434788 -93.2698591846017</t>
  </si>
  <si>
    <t>-626.450643914303 62.9339582905113 -201.615081801629</t>
  </si>
  <si>
    <t>-642.066978985886 66.8277100533501 -293.085381272599</t>
  </si>
  <si>
    <t>-655.768008982754 72.219690596276 -375.676789055685</t>
  </si>
  <si>
    <t>-668.544687181711 79.5495310012877 -458.267163848708</t>
  </si>
  <si>
    <t>-686.252427094301 92.4093587769514 -578.956761633591</t>
  </si>
  <si>
    <t>-682.108438680715 101.26477351921 -656.703990235399</t>
  </si>
  <si>
    <t>-682.471664662031 117.630870951041 -522.12512407128</t>
  </si>
  <si>
    <t>-657.842395387824 267.245565351818 -485.421197698898</t>
  </si>
  <si>
    <t>-551.771987953576 240.309465360912 -225.417132468408</t>
  </si>
  <si>
    <t>-358.235172790121 116.195700664865 -258.398967426948</t>
  </si>
  <si>
    <t>-674.493174298885 55.9023781780525 -529.873144677197</t>
  </si>
  <si>
    <t>-515.842051264535 143.565909122771 -401.182290493293</t>
  </si>
  <si>
    <t>-604.580093413359 156.994232619158 -95.4948557624197</t>
  </si>
  <si>
    <t>-626.968339279441 157.801508739253 319.475856152647</t>
  </si>
  <si>
    <t>-671.130378051852 171.777281724384 780.203559590631</t>
  </si>
  <si>
    <t>-520.430352069395 169.968187028188 836.506748411243</t>
  </si>
  <si>
    <t>-587.237217254123 -49.0819516658446 320.361772430269</t>
  </si>
  <si>
    <t>-651.700912345302 -102.059378319479 776.035149940607</t>
  </si>
  <si>
    <t>-499.132678033569 -123.974311701883 822.149161886589</t>
  </si>
  <si>
    <t>9763-20170724T115414.863270700.bin</t>
  </si>
  <si>
    <t>-604.042336548577 63.739250226525 -93.2987269401586</t>
  </si>
  <si>
    <t>-626.858651708887 62.7083100789666 -201.630871145162</t>
  </si>
  <si>
    <t>-642.518467053693 66.5849472619652 -293.094346256662</t>
  </si>
  <si>
    <t>-656.255360694545 71.9688486624073 -375.680393848398</t>
  </si>
  <si>
    <t>-669.064331492044 79.2980776328607 -458.265715534466</t>
  </si>
  <si>
    <t>-686.815153102531 92.1648730300706 -578.948357699779</t>
  </si>
  <si>
    <t>-682.695826871491 101.001979898288 -656.698920492282</t>
  </si>
  <si>
    <t>-683.009673749093 117.38378488648 -522.117275966126</t>
  </si>
  <si>
    <t>-658.056441069548 266.905811035209 -485.274323876784</t>
  </si>
  <si>
    <t>-551.870534795602 239.797621151248 -225.335460288153</t>
  </si>
  <si>
    <t>-358.339060674882 115.801069828154 -258.786457719154</t>
  </si>
  <si>
    <t>-675.042819769092 55.6543386295191 -529.870609205808</t>
  </si>
  <si>
    <t>-516.615907238126 143.429950353893 -400.971958147727</t>
  </si>
  <si>
    <t>-605.012387494829 156.770745918619 -95.530070231969</t>
  </si>
  <si>
    <t>-627.147795121873 157.692227024933 319.454004940008</t>
  </si>
  <si>
    <t>-671.160025920625 171.739415470217 780.203381789113</t>
  </si>
  <si>
    <t>-520.457389267685 169.935805783947 836.499680884837</t>
  </si>
  <si>
    <t>-587.430372286991 -49.1461428533889 320.348523819589</t>
  </si>
  <si>
    <t>-651.714340806716 -102.007444035368 776.048776346991</t>
  </si>
  <si>
    <t>-499.088764352379 -123.68022627645 822.087310810335</t>
  </si>
  <si>
    <t>9763-20170724T115414.930669300.bin</t>
  </si>
  <si>
    <t>-604.778808335841 63.2385219029054 -93.3371932234569</t>
  </si>
  <si>
    <t>-627.693058685643 62.1286014915001 -201.647798244315</t>
  </si>
  <si>
    <t>-643.397265445409 65.9832916659404 -293.10466573203</t>
  </si>
  <si>
    <t>-657.157368647279 71.3637275574115 -375.687007556826</t>
  </si>
  <si>
    <t>-669.97178908813 78.7060929462423 -458.270382428093</t>
  </si>
  <si>
    <t>-687.710179940082 91.6104286901007 -578.950832143948</t>
  </si>
  <si>
    <t>-683.628223235548 100.400493358163 -656.708715241474</t>
  </si>
  <si>
    <t>-683.88417783505 116.815300516156 -522.114993169306</t>
  </si>
  <si>
    <t>-658.110454641935 266.176986438499 -485.158609902143</t>
  </si>
  <si>
    <t>-552.158173167783 237.575404561342 -225.284233667176</t>
  </si>
  <si>
    <t>-358.573344167671 114.041784630832 -260.110838729306</t>
  </si>
  <si>
    <t>-675.969359368934 55.0806921642788 -529.87969988741</t>
  </si>
  <si>
    <t>-518.229035349749 142.914906835873 -400.172741319666</t>
  </si>
  <si>
    <t>-605.99585721873 156.179359244756 -95.587627009062</t>
  </si>
  <si>
    <t>-627.556959826436 157.375570685381 319.425938172967</t>
  </si>
  <si>
    <t>-671.224441725824 171.655170920679 780.2114386665</t>
  </si>
  <si>
    <t>-520.513904088445 169.874762710268 836.487575387305</t>
  </si>
  <si>
    <t>-587.891009788954 -49.3998324082288 320.324872640951</t>
  </si>
  <si>
    <t>-651.72492565094 -101.976612605059 776.098610000789</t>
  </si>
  <si>
    <t>-499.059152829457 -123.582918793053 822.035024338361</t>
  </si>
  <si>
    <t>9763-20170724T115414.961266200.bin</t>
  </si>
  <si>
    <t>-605.180958808304 62.9649640220825 -93.3553776375263</t>
  </si>
  <si>
    <t>-628.136783671893 61.8239436370361 -201.656989668603</t>
  </si>
  <si>
    <t>-643.85681993905 65.6916958180109 -293.110568377521</t>
  </si>
  <si>
    <t>-657.623150128563 71.0992820569406 -375.690056524505</t>
  </si>
  <si>
    <t>-670.435518599093 78.4843339578799 -458.269902284556</t>
  </si>
  <si>
    <t>-688.161786909053 91.467716342994 -578.943663889136</t>
  </si>
  <si>
    <t>-684.097252729737 100.258052475263 -656.702411001411</t>
  </si>
  <si>
    <t>-684.333911256182 116.636551527838 -522.091860183308</t>
  </si>
  <si>
    <t>-658.138726910976 265.88955170957 -485.036365699802</t>
  </si>
  <si>
    <t>-552.327129937231 236.609355777712 -225.18021601086</t>
  </si>
  <si>
    <t>-358.945359619549 113.100283806502 -261.201365761641</t>
  </si>
  <si>
    <t>-676.433430245364 54.9047375031398 -529.894254652475</t>
  </si>
  <si>
    <t>-519.100274315549 142.730802330324 -399.576259068117</t>
  </si>
  <si>
    <t>-606.506810792505 155.863879053625 -95.6105773781236</t>
  </si>
  <si>
    <t>-627.750452223402 157.206509972199 319.41892688178</t>
  </si>
  <si>
    <t>-671.255656643594 171.611687116726 780.215866552701</t>
  </si>
  <si>
    <t>-520.537496641012 169.923160753491 836.474358699602</t>
  </si>
  <si>
    <t>-588.146786184562 -49.5358113509346 320.312265781966</t>
  </si>
  <si>
    <t>-651.728664576427 -101.956539577601 776.127826098027</t>
  </si>
  <si>
    <t>-499.01023981694 -123.30845120599 822.0081196645</t>
  </si>
  <si>
    <t>9763-20170724T115415.026461900.bin</t>
  </si>
  <si>
    <t>-606.044618396477 62.3011862294711 -93.4161478282934</t>
  </si>
  <si>
    <t>-629.036507768584 61.1318605337392 -201.709821804243</t>
  </si>
  <si>
    <t>-644.743518697112 65.0774379589063 -293.162212282994</t>
  </si>
  <si>
    <t>-658.479983507805 70.5945889559866 -375.73955402205</t>
  </si>
  <si>
    <t>-671.243993838832 78.1285777118553 -458.313484745767</t>
  </si>
  <si>
    <t>-688.87863471929 91.372987095647 -578.972261871489</t>
  </si>
  <si>
    <t>-684.790042982495 100.206103516021 -656.724830019114</t>
  </si>
  <si>
    <t>-685.056811534532 116.424193882156 -522.068136101771</t>
  </si>
  <si>
    <t>-658.110418317204 265.467688108552 -484.69240205706</t>
  </si>
  <si>
    <t>-552.303168895148 235.981602008381 -224.857831894641</t>
  </si>
  <si>
    <t>-359.478086770044 112.390701039977 -263.488092306221</t>
  </si>
  <si>
    <t>-677.224598045305 54.6987554951015 -529.988282676036</t>
  </si>
  <si>
    <t>-520.267380913638 141.839342110284 -398.397467893963</t>
  </si>
  <si>
    <t>-607.596544746811 155.100790741173 -95.6517989041022</t>
  </si>
  <si>
    <t>-628.277101474309 156.756278657803 319.405007229905</t>
  </si>
  <si>
    <t>-671.31735315166 171.520170983879 780.231985883437</t>
  </si>
  <si>
    <t>-520.587011020066 169.903901587747 836.459831649104</t>
  </si>
  <si>
    <t>-588.750712114647 -49.9571972699725 320.245055214597</t>
  </si>
  <si>
    <t>-651.743605790674 -101.936802313588 776.176876268308</t>
  </si>
  <si>
    <t>-498.980278132273 -123.2059861265 821.945977828417</t>
  </si>
  <si>
    <t>9763-20170724T115415.062572100.bin</t>
  </si>
  <si>
    <t>-606.445539993077 61.9646460611939 -93.4553800696225</t>
  </si>
  <si>
    <t>-629.457347268935 60.7970132242071 -201.744856137471</t>
  </si>
  <si>
    <t>-645.165463054889 64.7964880279719 -293.19473614771</t>
  </si>
  <si>
    <t>-658.895575677807 70.3832055840776 -375.768377787755</t>
  </si>
  <si>
    <t>-671.645120165509 78.006858581816 -458.336328023474</t>
  </si>
  <si>
    <t>-689.249159855566 91.4038832578694 -578.982794744203</t>
  </si>
  <si>
    <t>-685.131230005298 100.278992986934 -656.728982687509</t>
  </si>
  <si>
    <t>-685.375120764675 116.392509219201 -522.05465174104</t>
  </si>
  <si>
    <t>-658.003489601361 265.317393744006 -484.514451445881</t>
  </si>
  <si>
    <t>-552.200977329175 235.37915882637 -224.729768385423</t>
  </si>
  <si>
    <t>-359.366659541917 112.141214799896 -264.426934626442</t>
  </si>
  <si>
    <t>-677.674257903349 54.6581977329886 -530.033526189649</t>
  </si>
  <si>
    <t>-520.66106596687 141.403253326764 -397.827771161557</t>
  </si>
  <si>
    <t>-608.053875403555 154.717472429207 -95.6764941770996</t>
  </si>
  <si>
    <t>-628.578765319255 156.517530481075 319.387471209971</t>
  </si>
  <si>
    <t>-671.354174961898 171.470653076295 780.23870425635</t>
  </si>
  <si>
    <t>-520.619244873088 169.755847671599 836.451323282967</t>
  </si>
  <si>
    <t>-589.01943297456 -50.1428782136516 320.202041448498</t>
  </si>
  <si>
    <t>-651.736587133552 -101.934680450203 776.194936938803</t>
  </si>
  <si>
    <t>-498.950454295844 -123.099621533995 821.936291148044</t>
  </si>
  <si>
    <t>9763-20170724T115415.127763200.bin</t>
  </si>
  <si>
    <t>-607.264925828454 61.3642520880869 -93.5003065541873</t>
  </si>
  <si>
    <t>-630.332254028851 60.2475220192362 -201.778455471368</t>
  </si>
  <si>
    <t>-646.048918804408 64.3934390806003 -293.220371070562</t>
  </si>
  <si>
    <t>-659.770553357519 70.1554159738598 -375.783314777422</t>
  </si>
  <si>
    <t>-672.49465783032 77.995616718189 -458.334959025095</t>
  </si>
  <si>
    <t>-690.042374957897 91.7534550046848 -578.948827740213</t>
  </si>
  <si>
    <t>-685.821474200511 100.767272865 -656.673653884645</t>
  </si>
  <si>
    <t>-686.050663345249 116.591942242499 -521.963339600999</t>
  </si>
  <si>
    <t>-657.74827903718 265.258961625087 -484.098340600421</t>
  </si>
  <si>
    <t>-551.895453565449 233.545479981167 -224.544908448194</t>
  </si>
  <si>
    <t>-358.942068838175 110.637439689845 -264.683877815621</t>
  </si>
  <si>
    <t>-678.634479426198 54.8413861527454 -530.085818355682</t>
  </si>
  <si>
    <t>-521.496306366977 140.665639664988 -396.865197773667</t>
  </si>
  <si>
    <t>-608.811314567526 154.138771717355 -95.7145235912179</t>
  </si>
  <si>
    <t>-628.992154058526 156.143239814548 319.365357543911</t>
  </si>
  <si>
    <t>-671.397880434819 171.430489546637 780.250955861618</t>
  </si>
  <si>
    <t>-520.658058660722 169.747437417067 836.451418671827</t>
  </si>
  <si>
    <t>-589.468253806226 -50.4636167034805 320.130191899699</t>
  </si>
  <si>
    <t>-651.694746762286 -101.961528100699 776.232029411156</t>
  </si>
  <si>
    <t>-498.956510532719 -123.462288865385 821.97670719906</t>
  </si>
  <si>
    <t>9763-20170724T115415.161359200.bin</t>
  </si>
  <si>
    <t>-607.644165384356 61.2197337872365 -93.5060083072871</t>
  </si>
  <si>
    <t>-630.763422460721 60.1388218546908 -201.773320426702</t>
  </si>
  <si>
    <t>-646.482136369126 64.3699188225528 -293.211012614375</t>
  </si>
  <si>
    <t>-660.188701846516 70.2327859652291 -375.769614956021</t>
  </si>
  <si>
    <t>-672.880621811811 78.1964290991784 -458.314156644464</t>
  </si>
  <si>
    <t>-690.362237697536 92.1601361163582 -578.914101288811</t>
  </si>
  <si>
    <t>-686.056985986686 101.254102451698 -656.624893385942</t>
  </si>
  <si>
    <t>-686.312511283579 116.91337860404 -521.895570405245</t>
  </si>
  <si>
    <t>-657.537915177029 265.449190150556 -483.888454148101</t>
  </si>
  <si>
    <t>-551.953041759115 232.625141340956 -224.363914613612</t>
  </si>
  <si>
    <t>-358.994237786379 109.820794198082 -264.793219169456</t>
  </si>
  <si>
    <t>-679.07042957476 55.1525156036316 -530.096263344896</t>
  </si>
  <si>
    <t>-521.920289820508 140.397482614596 -396.473260981301</t>
  </si>
  <si>
    <t>-609.066432819153 154.029281244623 -95.7215077596663</t>
  </si>
  <si>
    <t>-629.13166679636 156.052170085188 319.363902996442</t>
  </si>
  <si>
    <t>-671.41491736684 171.424221367707 780.25573617255</t>
  </si>
  <si>
    <t>-520.673242144669 169.785576006983 836.452572164905</t>
  </si>
  <si>
    <t>-589.701745697366 -50.5034833099332 320.111649884175</t>
  </si>
  <si>
    <t>-651.67250614641 -101.931742990893 776.24826432573</t>
  </si>
  <si>
    <t>-498.887610375079 -123.113638803805 821.985921504059</t>
  </si>
  <si>
    <t>9763-20170724T115415.230092000.bin</t>
  </si>
  <si>
    <t>-608.350217695344 61.0345977106103 -93.5453611404255</t>
  </si>
  <si>
    <t>-631.53413877568 60.0366312417623 -201.799731780483</t>
  </si>
  <si>
    <t>-647.247463072288 64.4294945531556 -293.230809425747</t>
  </si>
  <si>
    <t>-660.924671328633 70.4798642696835 -375.780475374846</t>
  </si>
  <si>
    <t>-673.562240110978 78.6692549628685 -458.311534245867</t>
  </si>
  <si>
    <t>-690.936668858561 93.0047260427305 -578.883124804452</t>
  </si>
  <si>
    <t>-686.484080482612 102.22833069136 -656.570462865509</t>
  </si>
  <si>
    <t>-686.732149265843 117.609081756079 -521.811508783219</t>
  </si>
  <si>
    <t>-656.766838731942 265.857260867748 -483.550874123561</t>
  </si>
  <si>
    <t>-552.216061867057 230.542116188921 -223.934641339438</t>
  </si>
  <si>
    <t>-359.077032729606 108.470969498492 -265.701712088723</t>
  </si>
  <si>
    <t>-679.893699890768 55.8197522398946 -530.143287182397</t>
  </si>
  <si>
    <t>-522.78582601436 139.814390544816 -395.751898818376</t>
  </si>
  <si>
    <t>-609.40136884508 153.939575812931 -95.7525770241313</t>
  </si>
  <si>
    <t>-629.354657045312 155.927972110306 319.338377879914</t>
  </si>
  <si>
    <t>-671.47260916579 171.415073439161 780.246543813374</t>
  </si>
  <si>
    <t>-520.730268386886 169.623323507886 836.43694358814</t>
  </si>
  <si>
    <t>-590.222685904011 -50.5921572791315 320.066406270509</t>
  </si>
  <si>
    <t>-651.622935757064 -101.908236713211 776.297564640435</t>
  </si>
  <si>
    <t>-498.827952144991 -123.013460004207 822.036930285322</t>
  </si>
  <si>
    <t>9763-20170724T115415.264688700.bin</t>
  </si>
  <si>
    <t>-608.711782733128 61.0360798683962 -93.5640417215914</t>
  </si>
  <si>
    <t>-631.903782216103 60.0910977498943 -201.817102105063</t>
  </si>
  <si>
    <t>-647.633589872928 64.5471013517874 -293.242180848555</t>
  </si>
  <si>
    <t>-661.329340535249 70.6637019183338 -375.784018677711</t>
  </si>
  <si>
    <t>-673.988805892841 78.9269113183502 -458.304262933149</t>
  </si>
  <si>
    <t>-691.398706770225 93.3781738291634 -578.85715865943</t>
  </si>
  <si>
    <t>-686.918796354297 102.640034083036 -656.538199186299</t>
  </si>
  <si>
    <t>-687.089438383677 117.938896343926 -521.774331167027</t>
  </si>
  <si>
    <t>-656.802989118725 266.098811979904 -483.466193307635</t>
  </si>
  <si>
    <t>-552.435010175077 229.970588226152 -223.888357891015</t>
  </si>
  <si>
    <t>-359.3823732483 107.91457738722 -266.096663532322</t>
  </si>
  <si>
    <t>-680.429286829029 56.1353735044202 -530.144862118237</t>
  </si>
  <si>
    <t>-523.183764108274 139.573747305265 -395.387812737376</t>
  </si>
  <si>
    <t>-609.591174753413 153.989098235025 -95.7704902883072</t>
  </si>
  <si>
    <t>-629.535217554324 155.946772321666 319.321074827233</t>
  </si>
  <si>
    <t>-671.503392910954 171.416576188289 780.24095446041</t>
  </si>
  <si>
    <t>-520.758677211278 169.523446778554 836.421787665269</t>
  </si>
  <si>
    <t>-590.495987683643 -50.5737390708023 320.034881247414</t>
  </si>
  <si>
    <t>-651.577727260928 -101.906594829492 776.321915994161</t>
  </si>
  <si>
    <t>-498.811081275991 -123.14066656047 822.096210770731</t>
  </si>
  <si>
    <t>9763-20170724T115415.327901600.bin</t>
  </si>
  <si>
    <t>-609.321470438251 61.183448480584 -93.5617301414053</t>
  </si>
  <si>
    <t>-632.55147780813 60.3449315845724 -201.80750880488</t>
  </si>
  <si>
    <t>-648.323628337887 64.8879441531058 -293.221013948341</t>
  </si>
  <si>
    <t>-662.061376585285 71.0853865589247 -375.749917877912</t>
  </si>
  <si>
    <t>-674.7660219109 79.4293025230045 -458.25515883251</t>
  </si>
  <si>
    <t>-692.245167918219 93.9977312674605 -578.78369247327</t>
  </si>
  <si>
    <t>-687.768748246715 103.327105211448 -656.457095596023</t>
  </si>
  <si>
    <t>-687.754278440607 118.521232199834 -521.69897174134</t>
  </si>
  <si>
    <t>-657.11863029947 266.611459184249 -483.362114350198</t>
  </si>
  <si>
    <t>-552.302145612831 230.108491701828 -224.017570745634</t>
  </si>
  <si>
    <t>-359.406360811934 107.594075258367 -265.610395033384</t>
  </si>
  <si>
    <t>-681.396649567626 56.6891943850078 -530.09464567243</t>
  </si>
  <si>
    <t>-523.630075845935 139.480917970277 -394.984591955391</t>
  </si>
  <si>
    <t>-609.802521295092 154.2042890473 -95.7698858632646</t>
  </si>
  <si>
    <t>-629.775006827698 156.074943233083 319.320765481231</t>
  </si>
  <si>
    <t>-671.574114790929 171.395151890579 780.244254125373</t>
  </si>
  <si>
    <t>-520.820853383432 169.438132708494 836.399735828586</t>
  </si>
  <si>
    <t>-590.949779901968 -50.4137129790779 320.010054753231</t>
  </si>
  <si>
    <t>-651.512306076744 -101.905832179471 776.360671903648</t>
  </si>
  <si>
    <t>-498.784634758083 -123.310662148317 822.185467439592</t>
  </si>
  <si>
    <t>9763-20170724T115415.364515300.bin</t>
  </si>
  <si>
    <t>-609.593877262146 61.3589300174297 -93.565903412582</t>
  </si>
  <si>
    <t>-632.844655775429 60.5722687899131 -201.807701489186</t>
  </si>
  <si>
    <t>-648.643764410727 65.1305560275921 -293.215750291648</t>
  </si>
  <si>
    <t>-662.409425531819 71.3316973880383 -375.739615016489</t>
  </si>
  <si>
    <t>-675.145319876993 79.6682930796396 -458.240775182269</t>
  </si>
  <si>
    <t>-692.673506741087 94.2140263240856 -578.765086268237</t>
  </si>
  <si>
    <t>-688.1981711533 103.565720129314 -656.435697496162</t>
  </si>
  <si>
    <t>-688.103762335212 118.754917779331 -521.69405304356</t>
  </si>
  <si>
    <t>-657.480161323086 266.856787269602 -483.417660769956</t>
  </si>
  <si>
    <t>-552.48302097981 230.433479589935 -224.135011921869</t>
  </si>
  <si>
    <t>-359.654771035565 107.512327052593 -264.831077639864</t>
  </si>
  <si>
    <t>-681.860848829907 56.9080122156627 -530.066050957828</t>
  </si>
  <si>
    <t>-523.837453971431 139.599730832885 -395.019344104722</t>
  </si>
  <si>
    <t>-609.921778248524 154.421596791601 -95.7729785896389</t>
  </si>
  <si>
    <t>-629.849298901392 156.19604683675 319.320282843165</t>
  </si>
  <si>
    <t>-671.595268427831 171.398911302121 780.246123321921</t>
  </si>
  <si>
    <t>-520.830732716349 169.54957899247 836.375066144049</t>
  </si>
  <si>
    <t>-591.167446144171 -50.2869945419652 319.987198494939</t>
  </si>
  <si>
    <t>-651.479954324788 -101.899459357881 776.368014922998</t>
  </si>
  <si>
    <t>-498.746863454514 -123.234582095815 822.207306927091</t>
  </si>
  <si>
    <t>9763-20170724T115415.429192300.bin</t>
  </si>
  <si>
    <t>-610.083026303492 61.799648811779 -93.5749650768319</t>
  </si>
  <si>
    <t>-633.368545853906 61.0856208620439 -201.809869303314</t>
  </si>
  <si>
    <t>-649.135037772343 65.5982286862993 -293.225762273631</t>
  </si>
  <si>
    <t>-662.844590486757 71.7196315430465 -375.764913617365</t>
  </si>
  <si>
    <t>-675.496305975247 79.9361630234337 -458.291009125215</t>
  </si>
  <si>
    <t>-692.869524202523 94.2626916507006 -578.864134213615</t>
  </si>
  <si>
    <t>-688.31631029815 103.624078539532 -656.529028470142</t>
  </si>
  <si>
    <t>-688.229474726181 118.923974731996 -521.850668002248</t>
  </si>
  <si>
    <t>-657.676217365571 267.146294338915 -483.897438640887</t>
  </si>
  <si>
    <t>-553.451204900098 231.080123403466 -224.2534435329</t>
  </si>
  <si>
    <t>-360.672175494236 107.504378436199 -263.161282144461</t>
  </si>
  <si>
    <t>-682.263112331139 57.0286523094042 -530.064836639024</t>
  </si>
  <si>
    <t>-523.452943297364 139.049802297229 -395.644922425795</t>
  </si>
  <si>
    <t>-610.058965004605 154.916131560773 -95.7963855417627</t>
  </si>
  <si>
    <t>-630.014581667052 156.47676434008 319.296296331896</t>
  </si>
  <si>
    <t>-671.686683181846 171.335643105147 780.243790861562</t>
  </si>
  <si>
    <t>-520.911989802976 169.204668382596 836.335538225175</t>
  </si>
  <si>
    <t>-591.571483176358 -50.0058472606304 319.960242400267</t>
  </si>
  <si>
    <t>-651.429008513574 -101.879655509666 776.384719919443</t>
  </si>
  <si>
    <t>-498.72647870463 -123.411979749856 822.233586088192</t>
  </si>
  <si>
    <t>9763-20170724T115415.465290800.bin</t>
  </si>
  <si>
    <t>-610.23982463014 62.1213538135328 -93.5640219370244</t>
  </si>
  <si>
    <t>-633.577141597447 61.4241427529453 -201.787752278059</t>
  </si>
  <si>
    <t>-649.368981297517 65.855608882142 -293.203344490702</t>
  </si>
  <si>
    <t>-663.09248032374 71.8672050138398 -375.748369297194</t>
  </si>
  <si>
    <t>-675.748196703621 79.936589965266 -458.288326919601</t>
  </si>
  <si>
    <t>-693.115394673372 94.0072394014078 -578.89231450537</t>
  </si>
  <si>
    <t>-688.53581058975 103.30831041254 -656.562888996814</t>
  </si>
  <si>
    <t>-688.42252032742 118.795657747769 -521.938412756063</t>
  </si>
  <si>
    <t>-658.248826512767 267.150598328165 -484.249210413886</t>
  </si>
  <si>
    <t>-554.378262862827 231.468423207177 -224.410135388886</t>
  </si>
  <si>
    <t>-361.511023984412 107.837532543152 -262.700618097591</t>
  </si>
  <si>
    <t>-682.567117998831 56.8705357712952 -530.006246556005</t>
  </si>
  <si>
    <t>-522.880551643714 137.688103374884 -396.319438878375</t>
  </si>
  <si>
    <t>-610.113834699438 155.291578580493 -95.7994184984126</t>
  </si>
  <si>
    <t>-630.043806309361 156.718251910822 319.294965522765</t>
  </si>
  <si>
    <t>-671.725485155805 171.321919443514 780.241327564112</t>
  </si>
  <si>
    <t>-520.944935202509 169.163799724494 836.316225228935</t>
  </si>
  <si>
    <t>-591.692135115357 -49.786377221285 319.963560142598</t>
  </si>
  <si>
    <t>-651.404810697861 -101.853874830713 776.390278077542</t>
  </si>
  <si>
    <t>-498.704876955856 -123.415276368258 822.234183194978</t>
  </si>
  <si>
    <t>9763-20170724T115415.533001400.bin</t>
  </si>
  <si>
    <t>-610.392014601573 62.8488948117226 -93.5508068791717</t>
  </si>
  <si>
    <t>-633.865867918636 62.1269084492992 -201.744847431471</t>
  </si>
  <si>
    <t>-649.745354795963 66.3212810428995 -293.156476304874</t>
  </si>
  <si>
    <t>-663.531654052624 72.0326743309577 -375.712260174652</t>
  </si>
  <si>
    <t>-676.230329409536 79.7140736050226 -458.282664530837</t>
  </si>
  <si>
    <t>-693.635063969364 93.1214961977507 -578.956875737406</t>
  </si>
  <si>
    <t>-688.966163672707 102.23914142382 -656.643809598755</t>
  </si>
  <si>
    <t>-688.780283893037 118.238447329945 -522.160580990501</t>
  </si>
  <si>
    <t>-659.221921217618 266.816401294265 -484.87635797592</t>
  </si>
  <si>
    <t>-556.187050536419 232.906783572055 -224.467938769215</t>
  </si>
  <si>
    <t>-362.478928365015 109.586822128103 -259.366135903803</t>
  </si>
  <si>
    <t>-683.215781042629 56.2384156320957 -529.851588389853</t>
  </si>
  <si>
    <t>-520.982797222145 132.713696390128 -399.209125167984</t>
  </si>
  <si>
    <t>-610.2149234102 156.024755976774 -95.8021163848251</t>
  </si>
  <si>
    <t>-630.098688675767 157.252484008707 319.295143222185</t>
  </si>
  <si>
    <t>-671.785482288906 171.291558331353 780.243416834701</t>
  </si>
  <si>
    <t>-520.994924560521 169.268785021602 836.29643279709</t>
  </si>
  <si>
    <t>-591.810559883751 -49.2483585736395 319.991279414009</t>
  </si>
  <si>
    <t>-651.37147623437 -101.765536490294 776.397380335216</t>
  </si>
  <si>
    <t>-498.633140213243 -123.140517111589 822.20057482406</t>
  </si>
  <si>
    <t>9763-20170724T115415.560072500.bin</t>
  </si>
  <si>
    <t>-610.480778008166 63.195707824596 -93.547924508057</t>
  </si>
  <si>
    <t>-634.047899619128 62.431148694563 -201.721477736378</t>
  </si>
  <si>
    <t>-649.990467101225 66.4506814544063 -293.129933082534</t>
  </si>
  <si>
    <t>-663.823706339323 71.9481333806007 -375.692293900096</t>
  </si>
  <si>
    <t>-676.557053349737 79.3585465143299 -458.282239953115</t>
  </si>
  <si>
    <t>-693.996639632127 92.3070845272098 -579.001456114279</t>
  </si>
  <si>
    <t>-689.274567127559 101.304114355839 -656.699277210048</t>
  </si>
  <si>
    <t>-689.049164570709 117.647642952772 -522.312581483389</t>
  </si>
  <si>
    <t>-659.917993147155 266.403105559633 -485.420229462972</t>
  </si>
  <si>
    <t>-556.997308734742 233.952270308183 -224.780987272877</t>
  </si>
  <si>
    <t>-363.342041862643 110.317283021701 -258.847734380671</t>
  </si>
  <si>
    <t>-683.639464345591 55.6030501929524 -529.749064109036</t>
  </si>
  <si>
    <t>-519.969209840612 129.246498751263 -401.555262102778</t>
  </si>
  <si>
    <t>-610.398177743148 156.335752425614 -95.8146068907409</t>
  </si>
  <si>
    <t>-630.131840450794 157.473096950374 319.29006071081</t>
  </si>
  <si>
    <t>-671.827157133966 171.250456728196 780.245906983107</t>
  </si>
  <si>
    <t>-521.036295083513 169.131678483302 836.294518858448</t>
  </si>
  <si>
    <t>-591.809892607411 -48.9532788788183 320.005006620391</t>
  </si>
  <si>
    <t>-651.357490046942 -101.710375732884 776.392139227635</t>
  </si>
  <si>
    <t>-498.582931727835 -122.891838827823 822.164441782605</t>
  </si>
  <si>
    <t>9763-20170724T115415.627380800.bin</t>
  </si>
  <si>
    <t>-610.831030267297 63.7229641004055 -93.529924688018</t>
  </si>
  <si>
    <t>-634.633866226139 62.8698232399584 -201.651231950678</t>
  </si>
  <si>
    <t>-650.773512447574 66.4404692810508 -293.04367528004</t>
  </si>
  <si>
    <t>-664.775209373936 71.3803393601272 -375.612929096404</t>
  </si>
  <si>
    <t>-677.661832452132 78.078781173627 -458.239885100538</t>
  </si>
  <si>
    <t>-695.303162671717 89.8162458255256 -579.05346505955</t>
  </si>
  <si>
    <t>-690.413921086498 98.5443361336006 -656.771821572056</t>
  </si>
  <si>
    <t>-690.071503177415 115.742726751311 -522.655912210645</t>
  </si>
  <si>
    <t>-661.534756048515 264.806186082306 -486.565378923079</t>
  </si>
  <si>
    <t>-558.262009410882 235.076786186836 -225.740719232402</t>
  </si>
  <si>
    <t>-364.433813230038 110.226746280817 -253.876632132653</t>
  </si>
  <si>
    <t>-685.053065935195 53.5892461114902 -529.427160809877</t>
  </si>
  <si>
    <t>-516.957500178484 120.001374532798 -406.502512759134</t>
  </si>
  <si>
    <t>-610.980607958064 156.799863690451 -95.8252564820201</t>
  </si>
  <si>
    <t>-630.268395443903 157.860000044331 319.30059867714</t>
  </si>
  <si>
    <t>-671.892153064175 171.184119833394 780.262328736955</t>
  </si>
  <si>
    <t>-521.094732768284 169.074649281004 836.293653775008</t>
  </si>
  <si>
    <t>-591.866753689793 -48.4222705837594 320.053227175488</t>
  </si>
  <si>
    <t>-651.349390044609 -101.652340839826 776.379313311976</t>
  </si>
  <si>
    <t>-498.564045740099 -122.94003947712 822.066331621159</t>
  </si>
  <si>
    <t>9763-20170724T115415.660477800.bin</t>
  </si>
  <si>
    <t>-611.139121938912 63.9481971159316 -93.5230692812071</t>
  </si>
  <si>
    <t>-635.066674795944 63.034265130894 -201.616297610098</t>
  </si>
  <si>
    <t>-651.297835121602 66.3727708102747 -293.001342325658</t>
  </si>
  <si>
    <t>-665.372427680363 71.0300371562046 -375.574712116307</t>
  </si>
  <si>
    <t>-678.319512904577 77.3711510059456 -458.220400100108</t>
  </si>
  <si>
    <t>-696.032960900353 88.5037792097053 -579.08071762108</t>
  </si>
  <si>
    <t>-691.053737778842 97.0931819827194 -656.808607135548</t>
  </si>
  <si>
    <t>-690.65038016437 114.723089051603 -522.832796375389</t>
  </si>
  <si>
    <t>-662.392052647646 263.944712276435 -487.204593747215</t>
  </si>
  <si>
    <t>-558.760568654813 235.86030077805 -226.339891523377</t>
  </si>
  <si>
    <t>-364.897484355706 110.504015758975 -251.863061524145</t>
  </si>
  <si>
    <t>-685.870502378862 52.5146666210098 -529.263623468625</t>
  </si>
  <si>
    <t>-514.985811850147 114.526686383294 -408.802819917001</t>
  </si>
  <si>
    <t>-611.374365892851 156.964770849834 -95.8411813949783</t>
  </si>
  <si>
    <t>-630.421073383646 158.003064280674 319.295843326552</t>
  </si>
  <si>
    <t>-671.963166686351 171.105280632729 780.270972926564</t>
  </si>
  <si>
    <t>-521.157863121451 168.85247848244 836.275573796555</t>
  </si>
  <si>
    <t>-592.047066627187 -48.1318352629528 320.078706538774</t>
  </si>
  <si>
    <t>-651.373456925168 -101.615395466507 776.369638220431</t>
  </si>
  <si>
    <t>-498.578071791441 -123.006967332797 821.974395181125</t>
  </si>
  <si>
    <t>9763-20170724T115415.731229700.bin</t>
  </si>
  <si>
    <t>-611.985323344744 64.0570324720854 -93.5339117966421</t>
  </si>
  <si>
    <t>-636.13939043441 63.0642454183726 -201.576002899172</t>
  </si>
  <si>
    <t>-652.47441187031 65.9887309003379 -292.956841434551</t>
  </si>
  <si>
    <t>-666.599786398159 70.1331339772014 -375.548783385723</t>
  </si>
  <si>
    <t>-679.548979388042 75.8186854080875 -458.24168383495</t>
  </si>
  <si>
    <t>-697.206929498301 85.8347079108648 -579.207904346643</t>
  </si>
  <si>
    <t>-692.036627772078 94.1322443147383 -656.955016685859</t>
  </si>
  <si>
    <t>-691.515632580095 112.600704215264 -523.248638440497</t>
  </si>
  <si>
    <t>-663.561565645241 262.074888952734 -488.473681512934</t>
  </si>
  <si>
    <t>-559.789332412595 236.482908002406 -227.408632578313</t>
  </si>
  <si>
    <t>-363.553778935032 113.104540350489 -242.17102626099</t>
  </si>
  <si>
    <t>-687.401860548626 50.278951649505 -529.009406621034</t>
  </si>
  <si>
    <t>-509.97481698027 101.636844854608 -412.535778868227</t>
  </si>
  <si>
    <t>-612.208569705213 156.826830255523 -95.8999952290847</t>
  </si>
  <si>
    <t>-630.857744908928 157.902926218484 319.255082617957</t>
  </si>
  <si>
    <t>-672.110567756156 170.95744984399 780.269484416012</t>
  </si>
  <si>
    <t>-521.260602171186 168.580908861795 836.148604925241</t>
  </si>
  <si>
    <t>-592.700762290631 -47.7276551457435 320.116667403908</t>
  </si>
  <si>
    <t>-651.451416843549 -101.562277161781 776.378793556482</t>
  </si>
  <si>
    <t>-498.591312812111 -122.96902611549 821.758984422556</t>
  </si>
  <si>
    <t>9763-20170724T115415.760307200.bin</t>
  </si>
  <si>
    <t>-612.490047573981 63.9013122856736 -93.5605522944117</t>
  </si>
  <si>
    <t>-636.710940989712 62.8838184923577 -201.587425967063</t>
  </si>
  <si>
    <t>-653.065621013211 65.6427709433424 -292.969889976614</t>
  </si>
  <si>
    <t>-667.190605346739 69.5814292250823 -375.571973341675</t>
  </si>
  <si>
    <t>-680.119195476642 75.0015340529342 -458.285993423876</t>
  </si>
  <si>
    <t>-697.722483517161 84.5638563780947 -579.296807851777</t>
  </si>
  <si>
    <t>-692.514406632655 92.7402414387507 -657.05437851189</t>
  </si>
  <si>
    <t>-691.860532475923 111.554151021679 -523.463097843059</t>
  </si>
  <si>
    <t>-663.604776580896 261.088236650889 -489.112139856039</t>
  </si>
  <si>
    <t>-560.304881549965 235.875293311392 -227.822967841211</t>
  </si>
  <si>
    <t>-362.525508718321 114.465428998239 -237.387754136116</t>
  </si>
  <si>
    <t>-688.136059369964 49.181863561832 -528.933510772982</t>
  </si>
  <si>
    <t>-507.430586618341 94.7668796918795 -413.861442002914</t>
  </si>
  <si>
    <t>-612.563151121453 156.56502929501 -95.9528733867852</t>
  </si>
  <si>
    <t>-631.119775313277 157.740527538742 319.205951818943</t>
  </si>
  <si>
    <t>-672.18925021264 170.894764991157 780.25277943744</t>
  </si>
  <si>
    <t>-521.317892460933 168.408624469656 836.069198002899</t>
  </si>
  <si>
    <t>-593.312124132546 -47.6791086489459 320.108315473764</t>
  </si>
  <si>
    <t>-651.492807779991 -101.526311154365 776.406417339179</t>
  </si>
  <si>
    <t>-498.560085826221 -122.662250524036 821.668741373482</t>
  </si>
  <si>
    <t>9763-20170724T115415.829499500.bin</t>
  </si>
  <si>
    <t>-613.509407584447 63.2857387689025 -93.6587835651017</t>
  </si>
  <si>
    <t>-637.845373683514 62.2783850598278 -201.659952336875</t>
  </si>
  <si>
    <t>-654.16016045773 64.7351860396429 -293.058182377946</t>
  </si>
  <si>
    <t>-668.187166434283 68.2815763935832 -375.694677369143</t>
  </si>
  <si>
    <t>-680.951017183864 73.1820570848381 -458.466646877761</t>
  </si>
  <si>
    <t>-698.235854789676 81.8431931205143 -579.59109140912</t>
  </si>
  <si>
    <t>-692.933350605647 89.7267778442761 -657.372548814184</t>
  </si>
  <si>
    <t>-692.027575702763 109.279436517813 -524.012758117219</t>
  </si>
  <si>
    <t>-663.017708748924 258.875640570711 -490.644512843805</t>
  </si>
  <si>
    <t>-561.331919012021 233.869460074083 -228.703100588111</t>
  </si>
  <si>
    <t>-359.790648825394 118.464316545632 -225.340096991779</t>
  </si>
  <si>
    <t>-689.275295169134 46.8060316796305 -528.872846828182</t>
  </si>
  <si>
    <t>-503.434082056812 80.6071600852765 -416.463387187082</t>
  </si>
  <si>
    <t>-613.221318555695 155.886668197007 -96.0774654825505</t>
  </si>
  <si>
    <t>-631.34278504388 157.516219578979 319.099055013627</t>
  </si>
  <si>
    <t>-672.27932213355 170.848696818383 780.207094577858</t>
  </si>
  <si>
    <t>-521.377564279993 168.431697725151 835.944252770156</t>
  </si>
  <si>
    <t>-594.700273237788 -47.9795443287437 320.084309753012</t>
  </si>
  <si>
    <t>-651.534401251616 -101.505366468352 776.549830279796</t>
  </si>
  <si>
    <t>-498.550405197899 -122.628248630484 821.644679352482</t>
  </si>
  <si>
    <t>9763-20170724T115415.862087300.bin</t>
  </si>
  <si>
    <t>-614.123165400294 62.8089610585043 -93.6884381760929</t>
  </si>
  <si>
    <t>-638.477222936827 61.8714985322545 -201.686221373818</t>
  </si>
  <si>
    <t>-654.771775224339 64.2492937589689 -293.090071898226</t>
  </si>
  <si>
    <t>-668.76407301982 67.672357308029 -375.737720202834</t>
  </si>
  <si>
    <t>-681.475023897629 72.3938386682428 -458.52830573612</t>
  </si>
  <si>
    <t>-698.661139047691 80.7310452739134 -579.689467093501</t>
  </si>
  <si>
    <t>-693.3729073651 88.5041947088862 -657.483002457928</t>
  </si>
  <si>
    <t>-692.25194250603 108.328188407708 -524.213718141875</t>
  </si>
  <si>
    <t>-662.659728092678 257.916944944349 -491.245989669026</t>
  </si>
  <si>
    <t>-562.273383429407 233.144611203385 -228.781653814282</t>
  </si>
  <si>
    <t>-359.640793787618 119.885696301141 -220.972102641663</t>
  </si>
  <si>
    <t>-689.988113742878 45.8172801505245 -528.836264053988</t>
  </si>
  <si>
    <t>-502.193868980117 73.8408819952922 -417.35308134987</t>
  </si>
  <si>
    <t>-613.501179451402 155.433922113917 -96.1168692304807</t>
  </si>
  <si>
    <t>-631.40542705031 157.267740287507 319.068272927733</t>
  </si>
  <si>
    <t>-672.323172321984 170.802934892661 780.188912074015</t>
  </si>
  <si>
    <t>-521.410040421977 168.363393718573 835.8942918486</t>
  </si>
  <si>
    <t>-595.384886655931 -48.2269300391195 320.066376058537</t>
  </si>
  <si>
    <t>-651.551382065861 -101.484236418461 776.643666567239</t>
  </si>
  <si>
    <t>-498.502981111825 -122.314577176129 821.655952350757</t>
  </si>
  <si>
    <t>9763-20170724T115415.929769000.bin</t>
  </si>
  <si>
    <t>-615.367760694142 61.552084440995 -93.7165314328425</t>
  </si>
  <si>
    <t>-639.742075500785 60.7410635955548 -201.71070663484</t>
  </si>
  <si>
    <t>-655.882675410738 62.9396394402686 -293.14635114847</t>
  </si>
  <si>
    <t>-669.662506647332 66.0936344904326 -375.84042857792</t>
  </si>
  <si>
    <t>-682.084223424532 70.4305604007382 -458.695877929162</t>
  </si>
  <si>
    <t>-698.760165967285 78.0775744274156 -579.973966778385</t>
  </si>
  <si>
    <t>-693.36853310339 85.6157844191669 -657.783462657886</t>
  </si>
  <si>
    <t>-692.087231018935 106.008966582179 -524.69678791456</t>
  </si>
  <si>
    <t>-661.871039066859 255.593900379538 -492.393931062053</t>
  </si>
  <si>
    <t>-563.465695092103 232.14276974613 -229.059596474862</t>
  </si>
  <si>
    <t>-358.574694349659 123.994395687434 -212.563085143021</t>
  </si>
  <si>
    <t>-690.798546672362 43.4354913290349 -528.819444062374</t>
  </si>
  <si>
    <t>-498.737324386568 58.0656422254351 -417.994359940461</t>
  </si>
  <si>
    <t>-614.087651875412 154.168955453495 -96.165806536586</t>
  </si>
  <si>
    <t>-631.635976522294 156.486526500611 319.032049117942</t>
  </si>
  <si>
    <t>-672.389438674908 170.729598635379 780.165328579198</t>
  </si>
  <si>
    <t>-521.465600985424 168.344301621895 835.844201544883</t>
  </si>
  <si>
    <t>-596.970955411331 -49.0214412955875 320.051756394171</t>
  </si>
  <si>
    <t>-651.560754981638 -101.515073628977 776.889849925594</t>
  </si>
  <si>
    <t>-498.479808422105 -122.296183858205 821.814128576034</t>
  </si>
  <si>
    <t>9763-20170724T115415.965365400.bin</t>
  </si>
  <si>
    <t>-615.893479204401 60.8422273748452 -93.7400902111937</t>
  </si>
  <si>
    <t>-640.245873125195 60.0565266361054 -201.739314937666</t>
  </si>
  <si>
    <t>-656.331815390325 62.1881563890402 -293.186231327398</t>
  </si>
  <si>
    <t>-670.045768536926 65.2484854086881 -375.894619301766</t>
  </si>
  <si>
    <t>-682.383790831319 69.454857735255 -458.769477211306</t>
  </si>
  <si>
    <t>-698.916673790239 76.8693800350477 -580.081466549058</t>
  </si>
  <si>
    <t>-693.506146138204 84.3379042834563 -657.896274896864</t>
  </si>
  <si>
    <t>-692.098277911201 104.912035030035 -524.878553172312</t>
  </si>
  <si>
    <t>-661.692122569896 254.550802510601 -492.909872004568</t>
  </si>
  <si>
    <t>-563.959986282694 231.661586331793 -229.275551191338</t>
  </si>
  <si>
    <t>-358.143223415465 125.856190288581 -209.445802555834</t>
  </si>
  <si>
    <t>-691.226114075073 42.3199247133432 -528.822966110157</t>
  </si>
  <si>
    <t>-496.743054334762 49.7604370899123 -417.808514043849</t>
  </si>
  <si>
    <t>-614.409965974269 153.480743183067 -96.2031102241846</t>
  </si>
  <si>
    <t>-631.788491423362 156.070205255544 319.000318668241</t>
  </si>
  <si>
    <t>-672.425608302932 170.700292154422 780.15087450557</t>
  </si>
  <si>
    <t>-521.505478434467 168.112878083966 835.830582541249</t>
  </si>
  <si>
    <t>-597.770794597595 -49.5867922905918 320.048910098619</t>
  </si>
  <si>
    <t>-651.546327230279 -101.52023272903 777.03990728116</t>
  </si>
  <si>
    <t>-498.453925681756 -122.267200845354 821.940902300608</t>
  </si>
  <si>
    <t>9763-20170724T115416.028033200.bin</t>
  </si>
  <si>
    <t>-616.860984032024 59.5633807156887 -93.7297397968023</t>
  </si>
  <si>
    <t>-641.18540547359 58.7841019528553 -201.735413606013</t>
  </si>
  <si>
    <t>-657.121107792607 60.8406337397003 -293.210304857689</t>
  </si>
  <si>
    <t>-670.644627803299 63.8024269785212 -375.953731213999</t>
  </si>
  <si>
    <t>-682.734865999734 67.873196586112 -458.871690930547</t>
  </si>
  <si>
    <t>-698.840151415839 75.0468673206078 -580.255665164887</t>
  </si>
  <si>
    <t>-693.297811843501 82.4897204316485 -658.063822897873</t>
  </si>
  <si>
    <t>-691.849370883036 103.205102220538 -525.133317235717</t>
  </si>
  <si>
    <t>-660.995057741391 252.787996157058 -493.393481930564</t>
  </si>
  <si>
    <t>-564.383569719904 230.515559574022 -229.293619313213</t>
  </si>
  <si>
    <t>-355.868597909576 131.203102440697 -204.654694326474</t>
  </si>
  <si>
    <t>-691.697196162719 40.5931622526077 -528.853665682333</t>
  </si>
  <si>
    <t>-492.214785375303 32.0159917412811 -416.31016199393</t>
  </si>
  <si>
    <t>-615.217944369584 152.197740647088 -96.2441727202333</t>
  </si>
  <si>
    <t>-632.175941791506 155.339028241517 318.972876559421</t>
  </si>
  <si>
    <t>-672.455066390494 170.683895600476 780.136160934554</t>
  </si>
  <si>
    <t>-521.531630932844 168.282684915267 835.815405897748</t>
  </si>
  <si>
    <t>-599.264141763885 -50.4989512543164 320.114867569969</t>
  </si>
  <si>
    <t>-651.544580537924 -101.569281006423 777.358546638149</t>
  </si>
  <si>
    <t>-498.422312449118 -122.269135959685 822.179476512458</t>
  </si>
  <si>
    <t>9763-20170724T115416.063644000.bin</t>
  </si>
  <si>
    <t>-617.284212131983 59.0164976836943 -93.7229822403363</t>
  </si>
  <si>
    <t>-641.587217954377 58.2297176336751 -201.733375400783</t>
  </si>
  <si>
    <t>-657.444808553195 60.2600358134794 -293.222452072276</t>
  </si>
  <si>
    <t>-670.871971171185 63.1903926767609 -375.982773158971</t>
  </si>
  <si>
    <t>-682.838926776245 67.2192619484661 -458.920512251571</t>
  </si>
  <si>
    <t>-698.733358947682 74.3190287093016 -580.336807735536</t>
  </si>
  <si>
    <t>-693.14640838379 81.7694878022844 -658.14096745142</t>
  </si>
  <si>
    <t>-691.683592134019 102.511961476152 -525.239604955543</t>
  </si>
  <si>
    <t>-660.692526859859 252.102667367931 -493.61274696028</t>
  </si>
  <si>
    <t>-564.478808624325 230.176745904613 -229.338712298814</t>
  </si>
  <si>
    <t>-354.644173438134 134.166014755807 -202.883088518679</t>
  </si>
  <si>
    <t>-691.83446011347 39.8955150704676 -528.881199421779</t>
  </si>
  <si>
    <t>-490.215694319496 22.9728617422902 -415.07391720775</t>
  </si>
  <si>
    <t>-615.619779363188 151.650119480454 -96.2565940274129</t>
  </si>
  <si>
    <t>-632.35007162016 155.039138007268 318.967649442296</t>
  </si>
  <si>
    <t>-672.47235269886 170.667135536371 780.133722493384</t>
  </si>
  <si>
    <t>-521.547110805095 168.293663375007 835.809336828645</t>
  </si>
  <si>
    <t>-599.916143406552 -50.8231868016412 320.155889735485</t>
  </si>
  <si>
    <t>-651.547690675212 -101.596022786622 777.511836044162</t>
  </si>
  <si>
    <t>-498.405236848194 -122.24315320118 822.288036778004</t>
  </si>
  <si>
    <t>9763-20170724T115416.130323900.bin</t>
  </si>
  <si>
    <t>-617.881070986107 58.0763635417363 -93.6993967472836</t>
  </si>
  <si>
    <t>-642.154410579133 57.2653238421838 -201.71628225511</t>
  </si>
  <si>
    <t>-658.001856276661 59.2222396791642 -293.208686566727</t>
  </si>
  <si>
    <t>-671.423326329204 62.0643150832259 -375.972916116286</t>
  </si>
  <si>
    <t>-683.386636804397 65.9789422394019 -458.916790720222</t>
  </si>
  <si>
    <t>-699.276453242263 72.8813324293753 -580.345045729601</t>
  </si>
  <si>
    <t>-693.711951645294 80.3360828689915 -658.15035850158</t>
  </si>
  <si>
    <t>-692.012507983624 101.164122231212 -525.321665591966</t>
  </si>
  <si>
    <t>-661.089031642652 250.846144966426 -494.045090681259</t>
  </si>
  <si>
    <t>-565.52034063161 229.543848089852 -229.486145628741</t>
  </si>
  <si>
    <t>-353.119567967231 140.655681552387 -198.93537589585</t>
  </si>
  <si>
    <t>-692.595740780364 38.5411703071029 -528.805041390223</t>
  </si>
  <si>
    <t>-487.767322262421 4.28007319585458 -411.507733352754</t>
  </si>
  <si>
    <t>-616.254308796804 150.710512591307 -96.2555304283729</t>
  </si>
  <si>
    <t>-632.591070451432 154.491058124829 318.981080967794</t>
  </si>
  <si>
    <t>-672.500716732112 170.635474551428 780.143458838067</t>
  </si>
  <si>
    <t>-521.583844120302 168.199068716441 835.838893142189</t>
  </si>
  <si>
    <t>-600.710588507001 -51.521882391987 320.249762051168</t>
  </si>
  <si>
    <t>-651.538818070626 -101.581747060404 777.796661425584</t>
  </si>
  <si>
    <t>-498.323593348863 -121.862621806163 822.491200452324</t>
  </si>
  <si>
    <t>9763-20170724T115416.164417400.bin</t>
  </si>
  <si>
    <t>-618.073755464627 57.6677283098015 -93.6457283864479</t>
  </si>
  <si>
    <t>-642.379809384779 56.8505548307685 -201.65515088702</t>
  </si>
  <si>
    <t>-658.228700335942 58.751961543277 -293.148471039771</t>
  </si>
  <si>
    <t>-671.639690480395 61.5235636586149 -375.916844527045</t>
  </si>
  <si>
    <t>-683.579904311541 65.3452792667329 -458.868421596085</t>
  </si>
  <si>
    <t>-699.421420521947 72.0860590430698 -580.312013155377</t>
  </si>
  <si>
    <t>-693.860440071218 79.5058102901278 -658.120991366347</t>
  </si>
  <si>
    <t>-692.066882578427 100.441510167022 -525.338168496732</t>
  </si>
  <si>
    <t>-661.043811059896 250.162362011788 -494.381859888328</t>
  </si>
  <si>
    <t>-565.961307888729 229.42578116346 -229.602987227939</t>
  </si>
  <si>
    <t>-352.63536050545 143.439330663995 -197.247279520562</t>
  </si>
  <si>
    <t>-692.873791528545 37.8148553664116 -528.709051028566</t>
  </si>
  <si>
    <t>-616.450982550115 150.321162358742 -96.2341438348166</t>
  </si>
  <si>
    <t>-632.671940637611 154.266935847796 319.005444913906</t>
  </si>
  <si>
    <t>-672.513907887496 170.622528280813 780.157293928097</t>
  </si>
  <si>
    <t>-521.596735678575 168.29122183948 835.856457748829</t>
  </si>
  <si>
    <t>-600.932205917043 -51.8142061790288 320.319318249492</t>
  </si>
  <si>
    <t>-651.54619846659 -101.606984651344 777.923977647006</t>
  </si>
  <si>
    <t>-498.32419149856 -121.944794808944 822.569418784448</t>
  </si>
  <si>
    <t>9763-20170724T115416.229598700.bin</t>
  </si>
  <si>
    <t>-618.460009566788 57.1125072279935 -93.5575869606113</t>
  </si>
  <si>
    <t>-642.858710304836 56.2249775024718 -201.545560144229</t>
  </si>
  <si>
    <t>-658.730546029612 58.0243388989991 -293.037053572445</t>
  </si>
  <si>
    <t>-672.137567368868 60.6856194478182 -375.809592510618</t>
  </si>
  <si>
    <t>-684.047661073419 64.3749457734998 -458.771574796538</t>
  </si>
  <si>
    <t>-699.814882412054 70.8961837059592 -580.236716952794</t>
  </si>
  <si>
    <t>-694.343238786655 78.2227024016202 -658.060823936256</t>
  </si>
  <si>
    <t>-692.280155138356 99.3489405261785 -525.337644009412</t>
  </si>
  <si>
    <t>-661.031138182119 249.140203786763 -494.955548527786</t>
  </si>
  <si>
    <t>-567.055605988723 230.207348763479 -229.646875007716</t>
  </si>
  <si>
    <t>-352.035633576175 149.94523217726 -193.968598983972</t>
  </si>
  <si>
    <t>-693.512574144834 36.7204859036347 -528.539910330041</t>
  </si>
  <si>
    <t>-616.923853396812 149.830740918155 -96.2040599318617</t>
  </si>
  <si>
    <t>-632.592767635028 153.959025581169 319.054913485838</t>
  </si>
  <si>
    <t>-672.521163909052 170.623746776467 780.185741573015</t>
  </si>
  <si>
    <t>-521.609289205411 168.38529989266 835.902993031753</t>
  </si>
  <si>
    <t>-601.046595191391 -52.0110267619632 320.489399248424</t>
  </si>
  <si>
    <t>-651.590170963192 -101.5739310995 778.142854067846</t>
  </si>
  <si>
    <t>-498.343145163835 -122.05672876935 822.635771287595</t>
  </si>
  <si>
    <t>9763-20170724T115416.276743200.bin</t>
  </si>
  <si>
    <t>-618.650852809745 56.9458592380818 -93.5166103430786</t>
  </si>
  <si>
    <t>-643.050421001133 56.0053785219245 -201.503932561648</t>
  </si>
  <si>
    <t>-658.898852586016 57.7420023781874 -293.000699103576</t>
  </si>
  <si>
    <t>-672.273562657395 60.3379724221006 -375.780592298223</t>
  </si>
  <si>
    <t>-684.138977621785 63.951384542077 -458.752179210724</t>
  </si>
  <si>
    <t>-699.82652300364 70.3484326205219 -580.23430123752</t>
  </si>
  <si>
    <t>-694.415174461498 77.6004097304428 -658.069632100595</t>
  </si>
  <si>
    <t>-692.195376970542 98.8553478937297 -525.376696060596</t>
  </si>
  <si>
    <t>-660.690695341487 248.657465565756 -495.289458665797</t>
  </si>
  <si>
    <t>-567.366339409601 230.524278845005 -229.695192442216</t>
  </si>
  <si>
    <t>-351.581080521757 153.028635268233 -192.551184093826</t>
  </si>
  <si>
    <t>-693.690570656754 36.2275882686292 -528.481338190199</t>
  </si>
  <si>
    <t>-617.159806513145 149.672369801011 -96.187000620202</t>
  </si>
  <si>
    <t>-632.583458516785 153.879993914924 319.080403956014</t>
  </si>
  <si>
    <t>-672.529900243444 170.629248176901 780.196595755952</t>
  </si>
  <si>
    <t>-521.616980707196 168.536145359697 835.916694229028</t>
  </si>
  <si>
    <t>-601.056134818415 -52.0195584269147 320.584386899239</t>
  </si>
  <si>
    <t>-651.612975233135 -101.535678556747 778.236567479318</t>
  </si>
  <si>
    <t>-498.317039055609 -121.837214779162 822.644142903165</t>
  </si>
  <si>
    <t>9763-20170724T115416.329888300.bin</t>
  </si>
  <si>
    <t>-618.861925392099 56.6953829409395 -93.4285286677682</t>
  </si>
  <si>
    <t>-643.229037157232 55.6860009919371 -201.422694923362</t>
  </si>
  <si>
    <t>-659.069345996563 57.2174538149102 -292.924388928317</t>
  </si>
  <si>
    <t>-672.441668641035 59.5666735845593 -375.712148298186</t>
  </si>
  <si>
    <t>-684.308027287169 62.8667807476002 -458.696580205883</t>
  </si>
  <si>
    <t>-699.998889922824 68.7298073318966 -580.205258553922</t>
  </si>
  <si>
    <t>-694.731828405963 75.7171671029994 -658.074661350322</t>
  </si>
  <si>
    <t>-692.095557814894 97.4714659475692 -525.508901320432</t>
  </si>
  <si>
    <t>-660.077095238339 247.339651319931 -496.268029465681</t>
  </si>
  <si>
    <t>-568.242954927778 229.887716284715 -230.109155672683</t>
  </si>
  <si>
    <t>-350.906445034809 158.663700360518 -189.605988110404</t>
  </si>
  <si>
    <t>-694.132219791703 34.8427906460579 -528.267888433712</t>
  </si>
  <si>
    <t>-617.470794752465 149.343867580509 -96.1400738809731</t>
  </si>
  <si>
    <t>-632.806517882431 153.756205139966 319.1284243228</t>
  </si>
  <si>
    <t>-672.566637020756 170.638448876486 780.219089977677</t>
  </si>
  <si>
    <t>-521.647233090379 168.568446324643 835.922411300521</t>
  </si>
  <si>
    <t>-601.272039360098 -52.0971536639606 320.73262320627</t>
  </si>
  <si>
    <t>-651.638427218992 -101.51810419143 778.409074150173</t>
  </si>
  <si>
    <t>-498.3272441974 -121.95302134961 822.702644109582</t>
  </si>
  <si>
    <t>9763-20170724T115416.361973600.bin</t>
  </si>
  <si>
    <t>-618.951892052926 56.6551998834307 -93.3845119042903</t>
  </si>
  <si>
    <t>-643.300490212993 55.6151387594161 -201.382424831304</t>
  </si>
  <si>
    <t>-659.114865008054 57.0224477912329 -292.890669274591</t>
  </si>
  <si>
    <t>-672.458163215335 59.2197877824551 -375.687342319977</t>
  </si>
  <si>
    <t>-684.289167781044 62.3248876024961 -458.684376940529</t>
  </si>
  <si>
    <t>-699.920649620189 67.8537753103569 -580.216296612023</t>
  </si>
  <si>
    <t>-694.702776891354 74.6625652402392 -658.104912846572</t>
  </si>
  <si>
    <t>-691.880753413609 96.7408936606446 -525.616477056153</t>
  </si>
  <si>
    <t>-659.427829037666 246.58500997194 -496.83176150265</t>
  </si>
  <si>
    <t>-568.374408074888 229.9021528393 -230.355630540289</t>
  </si>
  <si>
    <t>-350.477102546989 161.183438776452 -188.558069566522</t>
  </si>
  <si>
    <t>-694.242651760587 34.1144866922602 -528.161822980651</t>
  </si>
  <si>
    <t>-617.563583901571 149.249989892018 -96.1407710759042</t>
  </si>
  <si>
    <t>-632.939340989152 153.761410703596 319.12524099894</t>
  </si>
  <si>
    <t>-672.59800778514 170.627529313503 780.228501404368</t>
  </si>
  <si>
    <t>-521.673197707445 168.550450537019 835.916997831001</t>
  </si>
  <si>
    <t>-601.515602609479 -52.133726655213 320.789371936131</t>
  </si>
  <si>
    <t>-651.648224477892 -101.480122766297 778.48447832486</t>
  </si>
  <si>
    <t>-498.289197308576 -121.695441458879 822.713178102273</t>
  </si>
  <si>
    <t>9763-20170724T115416.432696300.bin</t>
  </si>
  <si>
    <t>-619.066174468852 56.7263017320963 -93.3421178357396</t>
  </si>
  <si>
    <t>-643.443049669991 55.6838530878169 -201.333669527828</t>
  </si>
  <si>
    <t>-659.295864513682 56.8306046639339 -292.838852882516</t>
  </si>
  <si>
    <t>-672.678325443011 58.6889866577212 -375.637367802084</t>
  </si>
  <si>
    <t>-684.552232020338 61.3452989009743 -458.644062215365</t>
  </si>
  <si>
    <t>-700.249594337226 66.0954810384812 -580.200365692936</t>
  </si>
  <si>
    <t>-695.132834271117 72.3827386023597 -658.13942795812</t>
  </si>
  <si>
    <t>-691.858144846692 95.3194233654017 -525.833281568971</t>
  </si>
  <si>
    <t>-658.736369394654 245.240423208287 -498.172833750418</t>
  </si>
  <si>
    <t>-569.032946582576 229.989798180969 -231.153495135266</t>
  </si>
  <si>
    <t>-350.109135270077 166.190368849521 -186.988730292572</t>
  </si>
  <si>
    <t>-694.865223762886 32.703025703458 -527.891794868814</t>
  </si>
  <si>
    <t>-617.517541851141 149.274084064628 -96.1411964643069</t>
  </si>
  <si>
    <t>-632.920751216893 153.84333779217 319.123141220549</t>
  </si>
  <si>
    <t>-672.627903990544 170.654178876496 780.232186732224</t>
  </si>
  <si>
    <t>-521.698764541936 168.633175167314 835.911060825754</t>
  </si>
  <si>
    <t>-602.056773918948 -52.044135678786 320.879831018638</t>
  </si>
  <si>
    <t>-651.630995505976 -101.458830346531 778.642634920284</t>
  </si>
  <si>
    <t>-498.251499346158 -121.635044709737 822.818169297208</t>
  </si>
  <si>
    <t>9763-20170724T115416.461784000.bin</t>
  </si>
  <si>
    <t>-619.150742946409 56.8081324419284 -93.3140362544048</t>
  </si>
  <si>
    <t>-643.55619111081 55.7887185813836 -201.299409351762</t>
  </si>
  <si>
    <t>-659.44427161011 56.7785648200888 -292.800385299871</t>
  </si>
  <si>
    <t>-672.862654285099 58.4257619947048 -375.597498965001</t>
  </si>
  <si>
    <t>-684.776594352608 60.7975890532555 -458.606968083677</t>
  </si>
  <si>
    <t>-700.536834828241 65.0502237377557 -580.173608806131</t>
  </si>
  <si>
    <t>-695.442108577374 71.0008458216093 -658.140459669612</t>
  </si>
  <si>
    <t>-691.931680612258 94.4876341054753 -525.955190910291</t>
  </si>
  <si>
    <t>-658.397292561483 244.423624295845 -498.878890946323</t>
  </si>
  <si>
    <t>-569.235147994769 229.989895073051 -231.632957457153</t>
  </si>
  <si>
    <t>-349.820816631396 168.544992410747 -186.57293774918</t>
  </si>
  <si>
    <t>-695.311074546375 31.8808141005243 -527.707204906587</t>
  </si>
  <si>
    <t>-617.431364871484 149.35486044674 -96.1265695551085</t>
  </si>
  <si>
    <t>-632.857191944616 153.931901426572 319.136841079994</t>
  </si>
  <si>
    <t>-672.655851976197 170.662927647748 780.231995186985</t>
  </si>
  <si>
    <t>-521.725143290689 168.603062585884 835.905243628532</t>
  </si>
  <si>
    <t>-602.224018670039 -51.9620918165058 320.934010730491</t>
  </si>
  <si>
    <t>-651.615229143032 -101.424009255254 778.719552067746</t>
  </si>
  <si>
    <t>-498.186785961089 -121.299388857141 822.861340025904</t>
  </si>
  <si>
    <t>9763-20170724T115416.530474900.bin</t>
  </si>
  <si>
    <t>-619.482250117781 56.9162917935948 -93.2433914955054</t>
  </si>
  <si>
    <t>-643.97024253145 55.9102888836089 -201.210201951333</t>
  </si>
  <si>
    <t>-659.92284502649 56.6022567890275 -292.702628923296</t>
  </si>
  <si>
    <t>-673.39679048847 57.8581666533785 -375.497656850074</t>
  </si>
  <si>
    <t>-685.363552267157 59.7083779280729 -458.512706346916</t>
  </si>
  <si>
    <t>-701.197845251321 63.0522186935273 -580.098192501267</t>
  </si>
  <si>
    <t>-696.087014412009 68.3375824652803 -658.112044611018</t>
  </si>
  <si>
    <t>-692.143239403737 92.8698548643004 -526.161464324307</t>
  </si>
  <si>
    <t>-657.34256145923 242.744858471166 -500.357676214341</t>
  </si>
  <si>
    <t>-569.7854475652 229.994823704052 -232.495996912943</t>
  </si>
  <si>
    <t>-349.296643252422 173.638062940079 -186.0511656068</t>
  </si>
  <si>
    <t>-696.356510481027 30.3001140177626 -527.33359783859</t>
  </si>
  <si>
    <t>-617.417036661357 149.488970487477 -96.1143384082964</t>
  </si>
  <si>
    <t>-632.80144994927 154.091146940983 319.150310405489</t>
  </si>
  <si>
    <t>-672.697307447779 170.700116666651 780.235613315852</t>
  </si>
  <si>
    <t>-521.758884306415 168.670268336528 835.889016794976</t>
  </si>
  <si>
    <t>-602.598127575009 -51.739364646103 321.04855427521</t>
  </si>
  <si>
    <t>-651.603568245498 -101.44546399372 778.864559946423</t>
  </si>
  <si>
    <t>-498.18531642449 -121.533114017218 822.945736362013</t>
  </si>
  <si>
    <t>9763-20170724T115416.564569100.bin</t>
  </si>
  <si>
    <t>-619.713764417385 56.8859051562958 -93.2068248843547</t>
  </si>
  <si>
    <t>-644.246765446714 55.8940437183767 -201.163488627551</t>
  </si>
  <si>
    <t>-660.2323621832 56.435711778325 -292.651215729446</t>
  </si>
  <si>
    <t>-673.734103904839 57.4915524576247 -375.44442023427</t>
  </si>
  <si>
    <t>-685.726686064247 59.0734883225814 -458.461426257895</t>
  </si>
  <si>
    <t>-701.596768195901 61.9479316876816 -580.054240535126</t>
  </si>
  <si>
    <t>-696.46450297532 66.9017965110863 -658.088361936806</t>
  </si>
  <si>
    <t>-692.298068768517 91.9578597265452 -526.265746041808</t>
  </si>
  <si>
    <t>-656.820332208317 241.767708867287 -501.081491340384</t>
  </si>
  <si>
    <t>-570.086152480538 230.093212985526 -232.903429559019</t>
  </si>
  <si>
    <t>-349.169513035354 175.999985191692 -185.804637974986</t>
  </si>
  <si>
    <t>-696.968151206916 29.4155028303355 -527.134849308635</t>
  </si>
  <si>
    <t>-617.461416247874 149.471223061209 -96.1113769725005</t>
  </si>
  <si>
    <t>-632.830621625932 154.124561179542 319.153263096974</t>
  </si>
  <si>
    <t>-672.748038950475 170.680890038082 780.233685932608</t>
  </si>
  <si>
    <t>-521.807835329642 168.44963819552 835.874426177596</t>
  </si>
  <si>
    <t>-602.799532746573 -51.6607213544812 321.106943000036</t>
  </si>
  <si>
    <t>-651.595426523076 -101.42232180774 778.936423564884</t>
  </si>
  <si>
    <t>-498.168280346275 -121.511791462828 822.985761235765</t>
  </si>
  <si>
    <t>9763-20170724T115416.633469400.bin</t>
  </si>
  <si>
    <t>-620.336102381447 56.7077552788808 -93.1514674349953</t>
  </si>
  <si>
    <t>-644.956152542643 55.7602056820492 -201.088760400459</t>
  </si>
  <si>
    <t>-660.994944861094 56.0382068067354 -292.568314206726</t>
  </si>
  <si>
    <t>-674.537026522018 56.7381508092712 -375.358751780924</t>
  </si>
  <si>
    <t>-686.563180723102 57.8379667292904 -458.378576472666</t>
  </si>
  <si>
    <t>-702.475411248134 59.8666622970534 -579.982871230459</t>
  </si>
  <si>
    <t>-697.312279448777 64.2262561381231 -658.050603467851</t>
  </si>
  <si>
    <t>-692.745649686424 90.2167472649269 -526.46234977711</t>
  </si>
  <si>
    <t>-655.939809202942 239.908555998075 -502.542577011926</t>
  </si>
  <si>
    <t>-571.159945518549 230.538188111225 -233.650300311079</t>
  </si>
  <si>
    <t>-349.479630870647 181.10801482649 -185.039162156667</t>
  </si>
  <si>
    <t>-698.240864787589 27.7363561021834 -526.785718927144</t>
  </si>
  <si>
    <t>-617.612606741003 149.307232666318 -96.1080164210927</t>
  </si>
  <si>
    <t>-632.914788825769 154.088423833598 319.157697205578</t>
  </si>
  <si>
    <t>-672.809231404468 170.666839459645 780.233257715323</t>
  </si>
  <si>
    <t>-521.865017730025 168.336088218384 835.859122295101</t>
  </si>
  <si>
    <t>-603.374988001136 -51.6882279009897 321.193822334865</t>
  </si>
  <si>
    <t>-651.591384361286 -101.411391725374 779.083847060308</t>
  </si>
  <si>
    <t>-498.159619458299 -121.624966438706 823.060315973717</t>
  </si>
  <si>
    <t>9763-20170724T115416.658539500.bin</t>
  </si>
  <si>
    <t>-620.696198310723 56.571404633411 -93.1406877797526</t>
  </si>
  <si>
    <t>-645.360866601511 55.6555751370938 -201.068032447904</t>
  </si>
  <si>
    <t>-661.424895124062 55.8557223065047 -292.543337678027</t>
  </si>
  <si>
    <t>-674.985041259549 56.4448051814863 -375.331659481711</t>
  </si>
  <si>
    <t>-687.024798749216 57.390091241027 -458.351512766732</t>
  </si>
  <si>
    <t>-702.952325734827 59.1434476499567 -579.95808152262</t>
  </si>
  <si>
    <t>-697.782860467349 63.2627361509019 -658.038251495308</t>
  </si>
  <si>
    <t>-693.02503168061 89.5973596914487 -526.532890346546</t>
  </si>
  <si>
    <t>-655.445504112337 239.185883816106 -503.172295471474</t>
  </si>
  <si>
    <t>-571.855590451813 230.802873882279 -233.874983917389</t>
  </si>
  <si>
    <t>-349.846732742929 183.744040956283 -184.417223370676</t>
  </si>
  <si>
    <t>-698.901817929933 27.1510498662039 -526.663541246436</t>
  </si>
  <si>
    <t>-617.751534093413 149.168159907623 -96.1190104149794</t>
  </si>
  <si>
    <t>-632.977602760754 154.029215365989 319.148569558256</t>
  </si>
  <si>
    <t>-672.839408858714 170.649762260295 780.233171272665</t>
  </si>
  <si>
    <t>-521.888661369489 168.375123380691 835.843547247767</t>
  </si>
  <si>
    <t>-603.749151097518 -51.699087473515 321.229765141023</t>
  </si>
  <si>
    <t>-651.574943766994 -101.418878819103 779.161956756292</t>
  </si>
  <si>
    <t>-498.134843004286 -121.611132543481 823.119145455945</t>
  </si>
  <si>
    <t>9763-20170724T115416.728730400.bin</t>
  </si>
  <si>
    <t>-621.712873028897 56.0529307509 -93.1079003812796</t>
  </si>
  <si>
    <t>-646.450096481265 55.2453952019127 -201.01946993573</t>
  </si>
  <si>
    <t>-662.590225608614 55.3548589782431 -292.481716102912</t>
  </si>
  <si>
    <t>-676.225530068997 55.7938362755556 -375.258615671654</t>
  </si>
  <si>
    <t>-688.347953598188 56.5136255276245 -458.268609352172</t>
  </si>
  <si>
    <t>-704.405106065137 57.8533103045706 -579.863482383585</t>
  </si>
  <si>
    <t>-699.22962182484 61.4934894491496 -657.967110369589</t>
  </si>
  <si>
    <t>-694.057214521428 88.4521486979936 -526.601188389929</t>
  </si>
  <si>
    <t>-655.029447297226 237.84241115227 -504.294597515616</t>
  </si>
  <si>
    <t>-573.700299677576 230.727809425833 -234.269560049023</t>
  </si>
  <si>
    <t>-351.085755167867 187.905900842453 -183.696868509292</t>
  </si>
  <si>
    <t>-700.661489725617 26.0787555086936 -526.416308290451</t>
  </si>
  <si>
    <t>-618.324061769475 148.651530926833 -96.1245133482909</t>
  </si>
  <si>
    <t>-633.278792207422 153.689010884269 319.150782367805</t>
  </si>
  <si>
    <t>-672.90777260165 170.605802569453 780.238297942513</t>
  </si>
  <si>
    <t>-521.940305886963 168.371574231652 835.804931605373</t>
  </si>
  <si>
    <t>-604.431062815361 -51.9204741478181 321.275736181715</t>
  </si>
  <si>
    <t>-651.557453979223 -101.442643377166 779.315644935625</t>
  </si>
  <si>
    <t>-498.112993484811 -121.698600399684 823.2282848632</t>
  </si>
  <si>
    <t>9763-20170724T115416.763833400.bin</t>
  </si>
  <si>
    <t>-622.28469771355 55.7694981760935 -93.0882088841779</t>
  </si>
  <si>
    <t>-647.044327864489 55.027437371552 -200.995217904973</t>
  </si>
  <si>
    <t>-663.212472775545 55.0903343793325 -292.452293804772</t>
  </si>
  <si>
    <t>-676.877344329257 55.4489184125307 -375.2248536564</t>
  </si>
  <si>
    <t>-689.034185514519 56.0469482207111 -458.230794463358</t>
  </si>
  <si>
    <t>-705.147469150657 57.1623153402368 -579.820429304803</t>
  </si>
  <si>
    <t>-699.936448405531 60.5563777095535 -657.932730698574</t>
  </si>
  <si>
    <t>-694.604600142288 87.840781789931 -526.642277978371</t>
  </si>
  <si>
    <t>-655.025978881226 237.164719277458 -504.865743950802</t>
  </si>
  <si>
    <t>-574.696563972758 230.453376683021 -234.531302234146</t>
  </si>
  <si>
    <t>-351.793891264169 189.3042438263 -183.839316397617</t>
  </si>
  <si>
    <t>-701.549635200612 25.5049761919668 -526.293682032627</t>
  </si>
  <si>
    <t>-618.654037991338 148.358330037044 -96.1207926731825</t>
  </si>
  <si>
    <t>-633.611065323283 153.431871979115 319.154008402406</t>
  </si>
  <si>
    <t>-672.960420212636 170.547415684844 780.251199972009</t>
  </si>
  <si>
    <t>-521.985891318653 168.160842332178 835.792272644712</t>
  </si>
  <si>
    <t>-604.791097280444 -52.0373462789544 321.286893443869</t>
  </si>
  <si>
    <t>-651.560886642542 -101.458045779886 779.374673299455</t>
  </si>
  <si>
    <t>-498.095986522649 -121.647851819512 823.246336696663</t>
  </si>
  <si>
    <t>9763-20170724T115416.827009300.bin</t>
  </si>
  <si>
    <t>-623.267224481039 55.2500839058041 -93.0820665144072</t>
  </si>
  <si>
    <t>-648.103895967644 54.5945156953055 -200.971817266818</t>
  </si>
  <si>
    <t>-664.343807965024 54.5482400668593 -292.416389432462</t>
  </si>
  <si>
    <t>-678.077097807337 54.7386662792244 -375.178054954604</t>
  </si>
  <si>
    <t>-690.307210846618 55.0933877380839 -458.174518318795</t>
  </si>
  <si>
    <t>-706.534075361397 55.7684493153508 -579.752367881452</t>
  </si>
  <si>
    <t>-701.208360887783 58.6979920101196 -657.875786363614</t>
  </si>
  <si>
    <t>-695.642409027943 86.6040409242446 -526.735513567377</t>
  </si>
  <si>
    <t>-655.108649319454 235.807736430633 -505.971999951893</t>
  </si>
  <si>
    <t>-576.53092391499 229.811993535744 -235.106316406477</t>
  </si>
  <si>
    <t>-353.022402685282 191.957077698989 -184.515186433568</t>
  </si>
  <si>
    <t>-703.185391253603 24.3402556488427 -526.074669440708</t>
  </si>
  <si>
    <t>-619.269931605045 147.828618243765 -96.1417495468708</t>
  </si>
  <si>
    <t>-634.099369945222 153.042895051544 319.135909546774</t>
  </si>
  <si>
    <t>-673.039155306485 170.462933840541 780.270110210606</t>
  </si>
  <si>
    <t>-522.044213509551 168.01100926745 835.752894928938</t>
  </si>
  <si>
    <t>-605.437245104845 -52.257653306913 321.290107945507</t>
  </si>
  <si>
    <t>-651.586332284614 -101.427400354421 779.465243641072</t>
  </si>
  <si>
    <t>-498.082231423368 -121.55409047231 823.228577037221</t>
  </si>
  <si>
    <t>9763-20170724T115416.864107800.bin</t>
  </si>
  <si>
    <t>-623.69122493128 55.0196884402501 -93.0917440824149</t>
  </si>
  <si>
    <t>-648.552686738973 54.3759561458576 -200.975969203462</t>
  </si>
  <si>
    <t>-664.821985842643 54.2946018850514 -292.415237091576</t>
  </si>
  <si>
    <t>-678.585385432032 54.4361420338917 -375.171969102437</t>
  </si>
  <si>
    <t>-690.84965802105 54.7220254497445 -458.163725641503</t>
  </si>
  <si>
    <t>-707.130871689641 55.2745476477683 -579.73497411736</t>
  </si>
  <si>
    <t>-701.730099933251 58.0227178430928 -657.859764294392</t>
  </si>
  <si>
    <t>-696.083451365805 86.1471283972055 -526.771871509775</t>
  </si>
  <si>
    <t>-655.188103551983 235.305023297089 -506.433335626608</t>
  </si>
  <si>
    <t>-577.369757486214 229.876902042903 -235.336758831767</t>
  </si>
  <si>
    <t>-353.546096346103 193.647053807573 -184.949282923017</t>
  </si>
  <si>
    <t>-703.890120862073 23.9171815799893 -526.009170981343</t>
  </si>
  <si>
    <t>-619.574622710838 147.612729174969 -96.1611429113736</t>
  </si>
  <si>
    <t>-634.273662576481 152.896647639268 319.120217394524</t>
  </si>
  <si>
    <t>-673.083957279151 170.44035190905 780.273280789779</t>
  </si>
  <si>
    <t>-522.08453140027 167.82494698398 835.736311139094</t>
  </si>
  <si>
    <t>-605.70304548829 -52.3538750990676 321.288426909291</t>
  </si>
  <si>
    <t>-651.587003195168 -101.427818931297 779.509835244132</t>
  </si>
  <si>
    <t>-498.07759850926 -121.595709508342 823.235578403734</t>
  </si>
  <si>
    <t>9763-20170724T115416.929288800.bin</t>
  </si>
  <si>
    <t>-624.463754914521 54.6318472701723 -93.0717763689155</t>
  </si>
  <si>
    <t>-649.384290642371 54.0034680273129 -200.942460530255</t>
  </si>
  <si>
    <t>-665.66583815182 53.8863303379942 -292.379449427049</t>
  </si>
  <si>
    <t>-679.425127729348 53.9767097225676 -375.137031003372</t>
  </si>
  <si>
    <t>-691.670319672284 54.188857139716 -458.131808368554</t>
  </si>
  <si>
    <t>-707.907584742302 54.6067075557412 -579.709368838636</t>
  </si>
  <si>
    <t>-702.309958240467 57.1030343244267 -657.828902677997</t>
  </si>
  <si>
    <t>-696.672090632415 85.5107904789768 -526.804434394771</t>
  </si>
  <si>
    <t>-655.065997860248 234.556748609758 -507.009592445541</t>
  </si>
  <si>
    <t>-578.695108893614 230.349439250252 -235.480001393679</t>
  </si>
  <si>
    <t>-354.181553315391 197.511902515748 -185.842363168988</t>
  </si>
  <si>
    <t>-704.893539103447 23.3358809602792 -525.920087173972</t>
  </si>
  <si>
    <t>-620.214590987577 147.25049205322 -96.169768884984</t>
  </si>
  <si>
    <t>-634.615556142315 152.69558341871 319.119967061593</t>
  </si>
  <si>
    <t>-673.146019948262 170.425131444837 780.275775160371</t>
  </si>
  <si>
    <t>-522.129637475363 167.796477395752 835.692027422834</t>
  </si>
  <si>
    <t>-606.14032583845 -52.4970837984661 321.318687637272</t>
  </si>
  <si>
    <t>-651.584318458702 -101.455074276661 779.598552865722</t>
  </si>
  <si>
    <t>-498.056255286909 -121.618317725257 823.260935669958</t>
  </si>
  <si>
    <t>9763-20170724T115416.964381900.bin</t>
  </si>
  <si>
    <t>-624.796951833175 54.393386539663 -93.0739223667265</t>
  </si>
  <si>
    <t>-649.721088056955 53.7739977203651 -200.943661654032</t>
  </si>
  <si>
    <t>-665.981616621678 53.6358831558559 -292.384416166659</t>
  </si>
  <si>
    <t>-679.712144937442 53.6965939191673 -375.146921340295</t>
  </si>
  <si>
    <t>-691.919158798662 53.8663311782432 -458.147495568912</t>
  </si>
  <si>
    <t>-708.090404691623 54.2075953491619 -579.734045954602</t>
  </si>
  <si>
    <t>-702.378055309443 56.5881035255936 -657.848774231611</t>
  </si>
  <si>
    <t>-696.81118663039 85.1351633950476 -526.852105635744</t>
  </si>
  <si>
    <t>-655.061604678812 234.18368529479 -507.337492111132</t>
  </si>
  <si>
    <t>-579.24476075856 230.587936361467 -235.64378011655</t>
  </si>
  <si>
    <t>-354.420571466975 199.314548617074 -186.403519013817</t>
  </si>
  <si>
    <t>-705.17810508554 22.9803477768533 -525.913682500328</t>
  </si>
  <si>
    <t>-620.466555604981 147.021821818201 -96.1789021453399</t>
  </si>
  <si>
    <t>-634.729944978599 152.565501173436 319.114310663739</t>
  </si>
  <si>
    <t>-673.156455981166 170.424881252907 780.275244842907</t>
  </si>
  <si>
    <t>-522.137224570205 167.843584698758 835.685955569562</t>
  </si>
  <si>
    <t>-606.408080799749 -52.619993782032 321.32762309033</t>
  </si>
  <si>
    <t>-651.580708016395 -101.461266679613 779.641600918723</t>
  </si>
  <si>
    <t>-498.072059387624 -121.806152086667 823.287928510189</t>
  </si>
  <si>
    <t>9763-20170724T115416.997475000.bin</t>
  </si>
  <si>
    <t>-625.09682061371 54.1509492103137 -93.0797627496297</t>
  </si>
  <si>
    <t>-650.003261361729 53.5194474288528 -200.95361227251</t>
  </si>
  <si>
    <t>-666.241802485846 53.3398176584185 -292.398275762464</t>
  </si>
  <si>
    <t>-679.949987291551 53.350009804929 -375.164238199943</t>
  </si>
  <si>
    <t>-692.13226337349 53.4553974989778 -458.16850443479</t>
  </si>
  <si>
    <t>-708.264856872825 53.6868841200514 -579.760567663699</t>
  </si>
  <si>
    <t>-702.448262098297 55.9240538641925 -657.871896072159</t>
  </si>
  <si>
    <t>-696.935893967591 84.6529969648225 -526.911851806218</t>
  </si>
  <si>
    <t>-655.117921694559 233.720383822958 -507.684770644437</t>
  </si>
  <si>
    <t>-579.799428730743 230.739380117524 -235.845089457641</t>
  </si>
  <si>
    <t>-354.710591822077 200.764489050455 -187.008286464363</t>
  </si>
  <si>
    <t>-705.436204277303 22.5174691229361 -525.902283210962</t>
  </si>
  <si>
    <t>-620.696534158645 146.798058753209 -96.1972928574658</t>
  </si>
  <si>
    <t>-634.765068868394 152.514632567891 319.10022424728</t>
  </si>
  <si>
    <t>-673.158708353856 170.436144369067 780.272414057647</t>
  </si>
  <si>
    <t>-522.143966748029 167.860813940871 835.695770318391</t>
  </si>
  <si>
    <t>-606.694933281651 -52.7897671522169 321.339286255382</t>
  </si>
  <si>
    <t>-651.573137420494 -101.470618045645 779.697004371678</t>
  </si>
  <si>
    <t>-498.041079959071 -121.680593850203 823.323722643241</t>
  </si>
  <si>
    <t>9763-20170724T115417.061645700.bin</t>
  </si>
  <si>
    <t>-625.724865623751 53.6099834895088 -93.0806545765429</t>
  </si>
  <si>
    <t>-650.532620709192 52.9571118860902 -200.977101903092</t>
  </si>
  <si>
    <t>-666.643996190353 52.7535728558782 -292.444196734086</t>
  </si>
  <si>
    <t>-680.219402112867 52.7397421753781 -375.232172974905</t>
  </si>
  <si>
    <t>-692.250929615692 52.8163136905505 -458.258475177866</t>
  </si>
  <si>
    <t>-708.143395302504 52.9997963147641 -579.882071234705</t>
  </si>
  <si>
    <t>-702.064096868266 55.0134920896012 -657.979529580628</t>
  </si>
  <si>
    <t>-696.824970292383 83.9736514442611 -527.035619786482</t>
  </si>
  <si>
    <t>-654.821085127571 233.015349414362 -508.186205025994</t>
  </si>
  <si>
    <t>-580.277064255372 231.217678598739 -236.122681030308</t>
  </si>
  <si>
    <t>-354.486485270188 204.746346630351 -188.515962931759</t>
  </si>
  <si>
    <t>-705.514880698863 21.8648768228595 -525.993810250017</t>
  </si>
  <si>
    <t>-621.276251591176 146.297842751376 -96.2239603992205</t>
  </si>
  <si>
    <t>-635.004248659857 152.320666798636 319.080633453966</t>
  </si>
  <si>
    <t>-673.162928615007 170.478179603462 780.266235743488</t>
  </si>
  <si>
    <t>-522.154233772275 168.097160914079 835.7148165545</t>
  </si>
  <si>
    <t>-607.421026820972 -53.2023580109058 321.367460236455</t>
  </si>
  <si>
    <t>-651.530902939021 -101.51815499087 779.827415279653</t>
  </si>
  <si>
    <t>-498.002071602003 -121.728837784564 823.465038390114</t>
  </si>
  <si>
    <t>9763-20170724T115417.127517400.bin</t>
  </si>
  <si>
    <t>-626.44878749824 52.9420889847042 -93.1031381927039</t>
  </si>
  <si>
    <t>-651.042962448511 52.2465423065646 -201.048220336085</t>
  </si>
  <si>
    <t>-666.907526405423 52.007784596836 -292.558267781392</t>
  </si>
  <si>
    <t>-680.232987697377 51.9614594085056 -375.386806813724</t>
  </si>
  <si>
    <t>-691.987215205734 52.003482546424 -458.452744815524</t>
  </si>
  <si>
    <t>-707.444299500731 52.1327029639058 -580.132626378947</t>
  </si>
  <si>
    <t>-701.034177577338 53.9658902725282 -658.208036610536</t>
  </si>
  <si>
    <t>-696.249830828674 83.1209629796047 -527.26814441091</t>
  </si>
  <si>
    <t>-654.1281890142 232.166061796916 -508.563435714477</t>
  </si>
  <si>
    <t>-580.333974096219 230.804115828473 -236.293135131663</t>
  </si>
  <si>
    <t>-353.789095400939 207.657656860893 -190.574487645267</t>
  </si>
  <si>
    <t>-705.073865466102 21.0312063334998 -526.213193287615</t>
  </si>
  <si>
    <t>-622.0195194411 145.582881126527 -96.2700326879279</t>
  </si>
  <si>
    <t>-635.508627231034 152.04514787761 319.035829179434</t>
  </si>
  <si>
    <t>-673.202879291366 170.475878059168 780.256561783091</t>
  </si>
  <si>
    <t>-522.196023775803 167.964458470547 835.704146352082</t>
  </si>
  <si>
    <t>-608.707748056475 -53.7986812987044 321.389163962331</t>
  </si>
  <si>
    <t>-651.47244430581 -101.540862908026 779.996583474241</t>
  </si>
  <si>
    <t>-497.925000741411 -121.510965543992 823.679491764712</t>
  </si>
  <si>
    <t>9763-20170724T115417.166618400.bin</t>
  </si>
  <si>
    <t>-626.801444479736 52.6120344826065 -93.1065834517317</t>
  </si>
  <si>
    <t>-651.296309359955 51.9016851112567 -201.074201172903</t>
  </si>
  <si>
    <t>-667.050938477835 51.6438386939083 -292.603263204764</t>
  </si>
  <si>
    <t>-680.266469410549 51.5778408116921 -375.449336236814</t>
  </si>
  <si>
    <t>-691.900177903131 51.5967048491086 -458.53223785324</t>
  </si>
  <si>
    <t>-707.169514647193 51.6880400412433 -580.235959912052</t>
  </si>
  <si>
    <t>-700.593944555219 53.428122848527 -658.299605781511</t>
  </si>
  <si>
    <t>-696.036419786357 82.6896197145941 -527.366359661912</t>
  </si>
  <si>
    <t>-653.931838589985 231.744910557685 -508.740477026027</t>
  </si>
  <si>
    <t>-580.376415210946 230.376836599145 -236.405601725491</t>
  </si>
  <si>
    <t>-353.515699834981 208.68949374093 -191.545504398365</t>
  </si>
  <si>
    <t>-704.902528654651 20.6061591662765 -526.300561931979</t>
  </si>
  <si>
    <t>-622.369242343474 145.219740391605 -96.2955595491831</t>
  </si>
  <si>
    <t>-635.798115368107 151.869730056822 319.009235169231</t>
  </si>
  <si>
    <t>-673.21887774561 170.471129029224 780.251570591769</t>
  </si>
  <si>
    <t>-522.207778366016 167.98152729594 835.688753209215</t>
  </si>
  <si>
    <t>-609.539542903826 -54.1360633470765 321.401540218617</t>
  </si>
  <si>
    <t>-651.443397890251 -101.561347924394 780.100869494013</t>
  </si>
  <si>
    <t>-497.88728361695 -121.408318998277 823.809506011514</t>
  </si>
  <si>
    <t>9763-20170724T115417.227339800.bin</t>
  </si>
  <si>
    <t>-627.502181767896 51.998812647013 -93.1435521722594</t>
  </si>
  <si>
    <t>-651.833864126233 51.2684549438754 -201.14796727714</t>
  </si>
  <si>
    <t>-667.362126611632 50.9808140119831 -292.715490146883</t>
  </si>
  <si>
    <t>-680.337424126948 50.8827278467456 -375.59959729258</t>
  </si>
  <si>
    <t>-691.694925269084 50.8629560868815 -458.720774933629</t>
  </si>
  <si>
    <t>-706.521000173591 50.8899901000696 -580.479224432877</t>
  </si>
  <si>
    <t>-699.627712010714 52.4082455179635 -658.520210834296</t>
  </si>
  <si>
    <t>-695.540463087966 81.9138090948945 -527.590663332528</t>
  </si>
  <si>
    <t>-653.635314580112 231.052627703389 -509.196393845026</t>
  </si>
  <si>
    <t>-580.341309937571 230.016453206186 -236.789499070572</t>
  </si>
  <si>
    <t>-352.878592341618 211.239836281684 -193.700385736497</t>
  </si>
  <si>
    <t>-704.490399055004 19.8425744051463 -526.514659704384</t>
  </si>
  <si>
    <t>-622.972461980619 144.501593204469 -96.3509073151395</t>
  </si>
  <si>
    <t>-636.268921996995 151.539039331622 318.951714560998</t>
  </si>
  <si>
    <t>-673.258560358804 170.445898265518 780.240293574467</t>
  </si>
  <si>
    <t>-522.234578777757 168.039393904802 835.64591071361</t>
  </si>
  <si>
    <t>-611.29412594129 -54.7175410559305 321.425301129624</t>
  </si>
  <si>
    <t>-651.359565465992 -101.601070079914 780.329381734174</t>
  </si>
  <si>
    <t>-497.795654021633 -121.178511148843 824.132003615119</t>
  </si>
  <si>
    <t>9763-20170724T115417.264438000.bin</t>
  </si>
  <si>
    <t>-627.84768809779 51.6499989700935 -93.142390818223</t>
  </si>
  <si>
    <t>-652.132483141293 50.9163948752796 -201.157284255077</t>
  </si>
  <si>
    <t>-667.574129573628 50.629431314082 -292.739457450533</t>
  </si>
  <si>
    <t>-680.452049619426 50.5337949561711 -375.63875640274</t>
  </si>
  <si>
    <t>-691.692894730078 50.5172510877671 -458.775940666931</t>
  </si>
  <si>
    <t>-706.327103787594 50.5500355389438 -580.557484909265</t>
  </si>
  <si>
    <t>-699.308872767034 51.9561014513715 -658.589346388474</t>
  </si>
  <si>
    <t>-695.402871100285 81.5673133006226 -527.653601142644</t>
  </si>
  <si>
    <t>-653.491739501368 230.712140318922 -509.317845629353</t>
  </si>
  <si>
    <t>-580.293793887427 229.941965589275 -236.884275752588</t>
  </si>
  <si>
    <t>-352.568885304243 212.622470719812 -194.576525791172</t>
  </si>
  <si>
    <t>-704.408643125737 19.5039125773549 -526.588055824566</t>
  </si>
  <si>
    <t>-623.261360578856 144.095691691824 -96.3649309840299</t>
  </si>
  <si>
    <t>-636.426165711758 151.33728782842 318.938370009691</t>
  </si>
  <si>
    <t>-673.28107881801 170.423934491044 780.237905356694</t>
  </si>
  <si>
    <t>-522.250990721799 168.032136678513 835.627517092156</t>
  </si>
  <si>
    <t>-611.964917510917 -54.9797622460762 321.464305233514</t>
  </si>
  <si>
    <t>-651.25783779217 -101.674379884381 780.457793159719</t>
  </si>
  <si>
    <t>-497.754745052284 -121.366177065078 824.4220483089</t>
  </si>
  <si>
    <t>9763-20170724T115417.329231400.bin</t>
  </si>
  <si>
    <t>-628.500924772842 50.8537820955471 -93.0985393454279</t>
  </si>
  <si>
    <t>-652.782719969771 50.136717039243 -201.114063539916</t>
  </si>
  <si>
    <t>-668.132535459328 49.808112463317 -292.711746733364</t>
  </si>
  <si>
    <t>-680.891950608099 49.6535790215707 -375.629143558614</t>
  </si>
  <si>
    <t>-691.978934091467 49.555521088404 -458.786941734608</t>
  </si>
  <si>
    <t>-706.349923547112 49.4430822342347 -580.599796344237</t>
  </si>
  <si>
    <t>-699.133721467012 50.6221200704936 -658.61739397843</t>
  </si>
  <si>
    <t>-695.48394662097 80.5151817156611 -527.715986093077</t>
  </si>
  <si>
    <t>-653.552811465781 229.700627796608 -509.690795124282</t>
  </si>
  <si>
    <t>-580.478776788213 229.379141281187 -237.222918272942</t>
  </si>
  <si>
    <t>-352.339558639251 215.097645671627 -196.027565506569</t>
  </si>
  <si>
    <t>-704.604176226343 18.4696925088388 -526.582733494745</t>
  </si>
  <si>
    <t>-623.792971441536 143.28404258454 -96.362828842904</t>
  </si>
  <si>
    <t>-636.712673146881 150.801576532178 318.943315281383</t>
  </si>
  <si>
    <t>-673.305894095745 170.401288029096 780.240348581266</t>
  </si>
  <si>
    <t>-522.265338825706 168.094933600933 835.605096099959</t>
  </si>
  <si>
    <t>-612.695707185031 -55.4617711915585 321.576810240038</t>
  </si>
  <si>
    <t>-650.936709049746 -101.794080870651 780.736734559184</t>
  </si>
  <si>
    <t>-497.553279173939 -121.280434896941 825.207276241334</t>
  </si>
  <si>
    <t>9763-20170724T115417.362326600.bin</t>
  </si>
  <si>
    <t>-628.83548769231 50.4319907402646 -93.0706873353013</t>
  </si>
  <si>
    <t>-653.128648025874 49.7183619622306 -201.083821211185</t>
  </si>
  <si>
    <t>-668.455703848663 49.3556646793031 -292.685132840386</t>
  </si>
  <si>
    <t>-681.181794049189 49.1555941419849 -375.607591888488</t>
  </si>
  <si>
    <t>-692.223005978989 48.9959432478329 -458.771350511591</t>
  </si>
  <si>
    <t>-706.513578543568 48.7754066510033 -580.593539769276</t>
  </si>
  <si>
    <t>-699.229027811112 49.8537146738945 -658.606179391489</t>
  </si>
  <si>
    <t>-695.63180366321 79.8868834175687 -527.736045599411</t>
  </si>
  <si>
    <t>-653.602529918034 229.061532385262 -509.881041899021</t>
  </si>
  <si>
    <t>-580.619186839621 229.068816800239 -237.388820784963</t>
  </si>
  <si>
    <t>-352.20735389833 216.576897695733 -197.133105671958</t>
  </si>
  <si>
    <t>-704.854165657699 17.8575956692687 -526.541950248667</t>
  </si>
  <si>
    <t>-624.154466715499 142.855498483552 -96.3512206247356</t>
  </si>
  <si>
    <t>-636.92431602918 150.487319837837 318.957404857737</t>
  </si>
  <si>
    <t>-673.335227557853 170.37675365762 780.252716808888</t>
  </si>
  <si>
    <t>-522.292808494864 167.96241538116 835.607725574147</t>
  </si>
  <si>
    <t>-612.860565621222 -55.6476240947757 321.637568700129</t>
  </si>
  <si>
    <t>-650.7589201592 -101.840724600668 780.830795588986</t>
  </si>
  <si>
    <t>-497.419798194763 -120.958851266719 825.612892172597</t>
  </si>
  <si>
    <t>9763-20170724T115417.429501600.bin</t>
  </si>
  <si>
    <t>-629.39312966557 49.5959422363737 -93.0022628547824</t>
  </si>
  <si>
    <t>-653.649249338873 48.883451327235 -201.02362203648</t>
  </si>
  <si>
    <t>-668.898089899324 48.4487177108433 -292.637637526235</t>
  </si>
  <si>
    <t>-681.535317136031 48.1533261044142 -375.573459328329</t>
  </si>
  <si>
    <t>-692.469934656771 47.865732821743 -458.750892652344</t>
  </si>
  <si>
    <t>-706.585688811574 47.4210143817418 -580.592900167185</t>
  </si>
  <si>
    <t>-699.139617211773 48.2875754947991 -658.592941135661</t>
  </si>
  <si>
    <t>-695.66982031306 78.6128644983362 -527.789875490283</t>
  </si>
  <si>
    <t>-653.646564135109 227.854522581159 -510.502362670794</t>
  </si>
  <si>
    <t>-580.885130785419 228.76517415945 -237.952231600705</t>
  </si>
  <si>
    <t>-351.957119087001 219.366575728643 -199.845154924947</t>
  </si>
  <si>
    <t>-705.113839540952 16.6194908668658 -526.469418455967</t>
  </si>
  <si>
    <t>-624.766900575593 141.986972395827 -96.3121001941308</t>
  </si>
  <si>
    <t>-637.386710385503 149.939825903362 318.995174824759</t>
  </si>
  <si>
    <t>-673.368274819915 170.341661331937 780.285204805994</t>
  </si>
  <si>
    <t>-522.305207939793 168.005856873598 835.587215264307</t>
  </si>
  <si>
    <t>-612.958168959931 -56.0751431135332 321.757285858878</t>
  </si>
  <si>
    <t>-650.290446540693 -101.967891162382 781.035532109066</t>
  </si>
  <si>
    <t>-497.131198072059 -120.698199455818 826.59035023004</t>
  </si>
  <si>
    <t>9763-20170724T115417.464595400.bin</t>
  </si>
  <si>
    <t>-629.626644656155 49.2383617513012 -92.9694292929883</t>
  </si>
  <si>
    <t>-653.869247009039 48.5126089805829 -200.9938083093</t>
  </si>
  <si>
    <t>-669.08273225434 48.0413986784486 -292.613422514859</t>
  </si>
  <si>
    <t>-681.678528319837 47.7026254822304 -375.555375498923</t>
  </si>
  <si>
    <t>-692.562428755602 47.3599826621905 -458.739346180887</t>
  </si>
  <si>
    <t>-706.594166985272 46.8212591054767 -580.590669410393</t>
  </si>
  <si>
    <t>-699.088426697777 47.5716814209461 -658.586172530562</t>
  </si>
  <si>
    <t>-695.675833407594 78.04769626442 -527.808490744348</t>
  </si>
  <si>
    <t>-653.757645524493 227.345008877383 -510.775490024203</t>
  </si>
  <si>
    <t>-581.025511911254 228.605553521581 -238.218948157963</t>
  </si>
  <si>
    <t>-351.843035327056 220.913208540905 -201.276586513597</t>
  </si>
  <si>
    <t>-705.19852372067 16.0675534490244 -526.438079269968</t>
  </si>
  <si>
    <t>-625.093363177089 141.586131221168 -96.2978716909822</t>
  </si>
  <si>
    <t>-637.564141901194 149.698681747852 319.010743745193</t>
  </si>
  <si>
    <t>-673.382034118067 170.336022469489 780.29928608348</t>
  </si>
  <si>
    <t>-522.311672023149 167.914987021323 835.577832714515</t>
  </si>
  <si>
    <t>-613.059074013128 -56.2663252954158 321.804576880977</t>
  </si>
  <si>
    <t>-650.121359566356 -102.010135237811 781.112676801537</t>
  </si>
  <si>
    <t>-497.029411121352 -120.595713049185 826.952114183395</t>
  </si>
  <si>
    <t>9763-20170724T115417.532791200.bin</t>
  </si>
  <si>
    <t>-630.053169262127 48.6439303654465 -92.9224199985595</t>
  </si>
  <si>
    <t>-654.277208582192 47.9250331073943 -200.951036083864</t>
  </si>
  <si>
    <t>-669.405418910047 47.4056400608388 -292.584549694009</t>
  </si>
  <si>
    <t>-681.896608687888 47.0015912095985 -375.542004285735</t>
  </si>
  <si>
    <t>-692.648742606534 46.5700805685481 -458.742704952386</t>
  </si>
  <si>
    <t>-706.45822813206 45.8755318011915 -580.618638820874</t>
  </si>
  <si>
    <t>-698.879841511628 46.4248950698341 -658.60883974137</t>
  </si>
  <si>
    <t>-695.591559376669 77.1624357369467 -527.861666847516</t>
  </si>
  <si>
    <t>-653.884297868277 226.566598126661 -511.219771230858</t>
  </si>
  <si>
    <t>-581.032042439905 229.020311682287 -238.703518928928</t>
  </si>
  <si>
    <t>-351.379701235387 224.725612902482 -204.20871924864</t>
  </si>
  <si>
    <t>-705.205989998833 15.1979796469525 -526.419278151038</t>
  </si>
  <si>
    <t>-625.552127348957 140.97326242422 -96.2746383588558</t>
  </si>
  <si>
    <t>-637.769822500617 149.29001762247 319.037498348445</t>
  </si>
  <si>
    <t>-673.403995259609 170.313635494584 780.326120565177</t>
  </si>
  <si>
    <t>-522.318637494012 167.90638423899 835.564283011952</t>
  </si>
  <si>
    <t>-613.282908476075 -56.5912070634211 321.845498610856</t>
  </si>
  <si>
    <t>-649.72360127136 -102.121852205001 781.209139363429</t>
  </si>
  <si>
    <t>-496.808877138174 -120.378447006836 827.766713589058</t>
  </si>
  <si>
    <t>9763-20170724T115417.562863500.bin</t>
  </si>
  <si>
    <t>-630.239930222328 48.4264548799699 -92.9132730371772</t>
  </si>
  <si>
    <t>-654.454538103965 47.7201061968885 -200.944113373762</t>
  </si>
  <si>
    <t>-669.535364223487 47.1711854496825 -292.585281833001</t>
  </si>
  <si>
    <t>-681.968295457678 46.7245673929747 -375.5511859651</t>
  </si>
  <si>
    <t>-692.646911396982 46.234120707433 -458.760958548617</t>
  </si>
  <si>
    <t>-706.332467869211 45.4349269141635 -580.650153218368</t>
  </si>
  <si>
    <t>-698.709032562915 45.8919206884073 -658.636618779531</t>
  </si>
  <si>
    <t>-695.507899858045 76.7653602092312 -527.910489056395</t>
  </si>
  <si>
    <t>-653.940983804001 226.229472627934 -511.446103230625</t>
  </si>
  <si>
    <t>-580.915342517733 229.392315322208 -238.983521793687</t>
  </si>
  <si>
    <t>-351.075580012459 226.665726313804 -205.595306366792</t>
  </si>
  <si>
    <t>-705.146825025187 14.8059103239859 -526.42203746236</t>
  </si>
  <si>
    <t>-625.765290257479 140.746404246129 -96.2649507015602</t>
  </si>
  <si>
    <t>-637.815314029969 149.15832685327 319.050183482037</t>
  </si>
  <si>
    <t>-673.407138652206 170.301656351118 780.339496952227</t>
  </si>
  <si>
    <t>-522.311076144226 168.024384110679 835.553818747512</t>
  </si>
  <si>
    <t>-613.27445999655 -56.678025169379 321.866810716324</t>
  </si>
  <si>
    <t>-649.431686544993 -102.190717649874 781.273577721524</t>
  </si>
  <si>
    <t>-496.656558967449 -120.287284557688 828.349094555293</t>
  </si>
  <si>
    <t>9763-20170724T115417.632575500.bin</t>
  </si>
  <si>
    <t>-630.558610870404 48.0275973617941 -92.8674755977102</t>
  </si>
  <si>
    <t>-654.731341999492 47.3330190679712 -200.907641784799</t>
  </si>
  <si>
    <t>-669.740997297675 46.7098593685166 -292.560114553158</t>
  </si>
  <si>
    <t>-682.096224509929 46.1619988131092 -375.537014245633</t>
  </si>
  <si>
    <t>-692.684309140928 45.5352084150038 -458.757495889814</t>
  </si>
  <si>
    <t>-706.224108050816 44.4977998625006 -580.661118806035</t>
  </si>
  <si>
    <t>-698.503311575924 44.7652791557991 -658.63890689055</t>
  </si>
  <si>
    <t>-695.433698227807 75.9265493063592 -527.973122004982</t>
  </si>
  <si>
    <t>-653.954484335805 225.459627275029 -511.888804827724</t>
  </si>
  <si>
    <t>-580.741570055157 230.023241929453 -239.496408765165</t>
  </si>
  <si>
    <t>-350.610595622788 230.342042378433 -208.06110795954</t>
  </si>
  <si>
    <t>-705.132286785433 13.9793083404793 -526.368644287301</t>
  </si>
  <si>
    <t>-626.184456816844 140.319720074972 -96.2277306565246</t>
  </si>
  <si>
    <t>-637.982957116195 148.899258188401 319.091139447193</t>
  </si>
  <si>
    <t>-673.427725756416 170.254956260198 780.374612553059</t>
  </si>
  <si>
    <t>-522.315115119661 167.900948641247 835.540358482806</t>
  </si>
  <si>
    <t>-613.234680435259 -56.8353949703314 321.923205445447</t>
  </si>
  <si>
    <t>-649.09396194043 -102.240703204006 781.368821200958</t>
  </si>
  <si>
    <t>-496.444078629556 -119.884971238476 829.018739631527</t>
  </si>
  <si>
    <t>9763-20170724T115417.661653100.bin</t>
  </si>
  <si>
    <t>-630.709398268302 47.8544304650864 -92.8572462396405</t>
  </si>
  <si>
    <t>-654.876340608247 47.160009003122 -200.898718160407</t>
  </si>
  <si>
    <t>-669.872355841848 46.5023260870591 -292.553024019427</t>
  </si>
  <si>
    <t>-682.212149384942 45.9090883526726 -375.53204323103</t>
  </si>
  <si>
    <t>-692.781961989741 45.2223391493844 -458.754387603915</t>
  </si>
  <si>
    <t>-706.29230004926 44.08064753287 -580.660403972762</t>
  </si>
  <si>
    <t>-698.52369129508 44.2594264284101 -658.633665386214</t>
  </si>
  <si>
    <t>-695.503146414098 75.5528173279304 -527.997859495706</t>
  </si>
  <si>
    <t>-654.032260656373 225.095561672951 -512.109343688135</t>
  </si>
  <si>
    <t>-580.815872662289 230.328802266052 -239.729872798001</t>
  </si>
  <si>
    <t>-350.575120257117 232.000565585725 -209.153227189066</t>
  </si>
  <si>
    <t>-705.225006660847 13.6104621969289 -526.340394345528</t>
  </si>
  <si>
    <t>-626.385543948776 140.133440098013 -96.2157290348117</t>
  </si>
  <si>
    <t>-638.106895203594 148.811451651381 319.103295126143</t>
  </si>
  <si>
    <t>-673.426974601434 170.252877879385 780.38715297617</t>
  </si>
  <si>
    <t>-522.2978842018 168.086782817194 835.515561966767</t>
  </si>
  <si>
    <t>-613.29522608084 -56.9061833695093 321.922589548947</t>
  </si>
  <si>
    <t>-649.057693747602 -102.239781626512 781.355137651392</t>
  </si>
  <si>
    <t>-496.418248282946 -119.753983705369 829.086458973154</t>
  </si>
  <si>
    <t>9763-20170724T115417.729943000.bin</t>
  </si>
  <si>
    <t>-630.866547890242 47.6509081773056 -92.8804475239003</t>
  </si>
  <si>
    <t>-654.985048998362 46.9621894167951 -200.932853813187</t>
  </si>
  <si>
    <t>-669.922243215072 46.222531385843 -292.596133055546</t>
  </si>
  <si>
    <t>-682.202810331642 45.5199828419657 -375.58310594844</t>
  </si>
  <si>
    <t>-692.708007407042 44.6878637138302 -458.812223304059</t>
  </si>
  <si>
    <t>-706.118484064811 43.2942044039514 -580.726574294956</t>
  </si>
  <si>
    <t>-698.206116994813 43.238515219892 -658.685695169774</t>
  </si>
  <si>
    <t>-695.348106349865 74.87110060328 -528.123111125588</t>
  </si>
  <si>
    <t>-654.025312908943 224.516932791148 -512.731902509477</t>
  </si>
  <si>
    <t>-580.906714698853 230.660493122951 -240.345212927484</t>
  </si>
  <si>
    <t>-350.472148246343 234.970114993617 -211.53780935288</t>
  </si>
  <si>
    <t>-705.120103196482 12.9402547452332 -526.340161168806</t>
  </si>
  <si>
    <t>-626.588953130168 139.877270335527 -96.2228330893232</t>
  </si>
  <si>
    <t>-638.255311503221 148.67667846141 319.095154632545</t>
  </si>
  <si>
    <t>-673.469708531606 170.181357977117 780.399464115158</t>
  </si>
  <si>
    <t>-522.3171555748 167.844261750276 835.456454821224</t>
  </si>
  <si>
    <t>-613.30683770587 -56.9880714751853 321.875083353718</t>
  </si>
  <si>
    <t>-648.893628085249 -102.301618647943 781.316780007433</t>
  </si>
  <si>
    <t>-496.348409564096 -119.766916903464 829.366114660955</t>
  </si>
  <si>
    <t>9763-20170724T115417.759019500.bin</t>
  </si>
  <si>
    <t>-630.84414394099 47.6088792790326 -92.8736065727219</t>
  </si>
  <si>
    <t>-654.973406657818 46.9357642309537 -200.923818484907</t>
  </si>
  <si>
    <t>-669.893396739804 46.1549084176852 -292.589503320296</t>
  </si>
  <si>
    <t>-682.148569681398 45.3929266229902 -375.579700267789</t>
  </si>
  <si>
    <t>-692.618813130024 44.4786788309748 -458.812310388492</t>
  </si>
  <si>
    <t>-705.968283217458 42.9396236376572 -580.731841448538</t>
  </si>
  <si>
    <t>-697.960384737543 42.7505337892121 -658.68078060576</t>
  </si>
  <si>
    <t>-695.202610264186 74.5758010836253 -528.162772163173</t>
  </si>
  <si>
    <t>-653.885037074422 224.250760577297 -513.069969865799</t>
  </si>
  <si>
    <t>-580.947700318764 230.823273848975 -240.644777022241</t>
  </si>
  <si>
    <t>-350.416458277484 236.198993449093 -212.806228259899</t>
  </si>
  <si>
    <t>-705.018736715579 12.6540342324768 -526.306292782313</t>
  </si>
  <si>
    <t>-626.567516706253 139.855864400629 -96.2207381229904</t>
  </si>
  <si>
    <t>-638.1866544078 148.66124934502 319.098508213271</t>
  </si>
  <si>
    <t>-673.459462938821 170.177507626889 780.401307729293</t>
  </si>
  <si>
    <t>-522.297883196068 167.829868549625 835.433080617984</t>
  </si>
  <si>
    <t>-613.211072288859 -57.0073599063276 321.865610163331</t>
  </si>
  <si>
    <t>-648.851169740097 -102.330930796374 781.31748579207</t>
  </si>
  <si>
    <t>-496.360669818269 -120.030055864426 829.454942788268</t>
  </si>
  <si>
    <t>9763-20170724T115417.824213100.bin</t>
  </si>
  <si>
    <t>-630.787677133064 47.6015566038798 -92.8797383313903</t>
  </si>
  <si>
    <t>-654.927260443618 46.9361554741026 -200.927517578777</t>
  </si>
  <si>
    <t>-669.828398769213 46.1144920948302 -292.596041648696</t>
  </si>
  <si>
    <t>-682.055921524463 45.2964765408203 -375.589746651658</t>
  </si>
  <si>
    <t>-692.488335751118 44.3063655861495 -458.826347334885</t>
  </si>
  <si>
    <t>-705.771751937777 42.6339201212029 -580.751161370296</t>
  </si>
  <si>
    <t>-697.660392845467 42.3017324780974 -658.689103879454</t>
  </si>
  <si>
    <t>-695.012390908381 74.3240992106623 -528.213490757294</t>
  </si>
  <si>
    <t>-653.710772552318 224.030273273044 -513.402520546299</t>
  </si>
  <si>
    <t>-580.957336726063 231.272724538558 -240.945103912623</t>
  </si>
  <si>
    <t>-350.359233882444 237.247280600938 -213.790741659955</t>
  </si>
  <si>
    <t>-704.873790008294 12.4115293048171 -526.289798310976</t>
  </si>
  <si>
    <t>-626.477335630822 139.889106045504 -96.2207909779784</t>
  </si>
  <si>
    <t>-638.134129302734 148.634805643857 319.098662397769</t>
  </si>
  <si>
    <t>-673.437519874465 170.187416516836 780.403704886206</t>
  </si>
  <si>
    <t>-522.271170360519 167.9834210668 835.428339468254</t>
  </si>
  <si>
    <t>-613.136479530123 -56.9883007343831 321.860094807927</t>
  </si>
  <si>
    <t>-648.876836580365 -102.31540849038 781.293368945172</t>
  </si>
  <si>
    <t>-496.369687999467 -119.936105100143 829.406825700377</t>
  </si>
  <si>
    <t>9763-20170724T115417.905274800.bin</t>
  </si>
  <si>
    <t>-630.57990910243 47.7091319749868 -92.9048359674927</t>
  </si>
  <si>
    <t>-654.698519832253 47.0438739576073 -200.957322430168</t>
  </si>
  <si>
    <t>-669.537319888556 46.1441480221972 -292.635282661444</t>
  </si>
  <si>
    <t>-681.691484703812 45.2241788431693 -375.638714371319</t>
  </si>
  <si>
    <t>-692.034102709383 44.099137755883 -458.884566764138</t>
  </si>
  <si>
    <t>-705.168715684685 42.193237927723 -580.822198962923</t>
  </si>
  <si>
    <t>-696.864870148844 41.5773335527331 -658.738070846787</t>
  </si>
  <si>
    <t>-694.429190209936 73.9767216010237 -528.336818198108</t>
  </si>
  <si>
    <t>-653.179774456074 223.74405259949 -514.023527278338</t>
  </si>
  <si>
    <t>-580.68397759032 232.057638668826 -241.527786617602</t>
  </si>
  <si>
    <t>-350.068039028144 238.985332332476 -214.75445130748</t>
  </si>
  <si>
    <t>-704.381458386441 12.0825018375158 -526.297380956539</t>
  </si>
  <si>
    <t>-626.166819312188 139.983875895373 -96.240369239384</t>
  </si>
  <si>
    <t>-638.035047794222 148.693597911834 319.073910557129</t>
  </si>
  <si>
    <t>-673.41136885432 170.234608685794 780.386030396799</t>
  </si>
  <si>
    <t>-522.234070465613 168.11711843322 835.38379929235</t>
  </si>
  <si>
    <t>-613.028486978467 -56.9179872140719 321.84311974357</t>
  </si>
  <si>
    <t>-648.93473526924 -102.306865650429 781.230786412173</t>
  </si>
  <si>
    <t>-496.411401800817 -119.938720236523 829.288785224857</t>
  </si>
  <si>
    <t>9763-20170724T115417.928338100.bin</t>
  </si>
  <si>
    <t>-630.422685465624 47.8291664913656 -92.9125880617931</t>
  </si>
  <si>
    <t>-654.43198402272 47.1406209236277 -200.98927973092</t>
  </si>
  <si>
    <t>-669.070044515639 46.1383073778195 -292.698385402751</t>
  </si>
  <si>
    <t>-681.000002356137 45.091644106185 -375.73270534565</t>
  </si>
  <si>
    <t>-691.075966283044 43.8047300507046 -459.00909293527</t>
  </si>
  <si>
    <t>-703.774834425382 41.6222518659765 -580.988188163447</t>
  </si>
  <si>
    <t>-695.211721089754 40.7811419729387 -658.873899743412</t>
  </si>
  <si>
    <t>-693.206780005159 73.5219395485672 -528.538628360966</t>
  </si>
  <si>
    <t>-652.005523147064 223.347170935708 -514.591733784187</t>
  </si>
  <si>
    <t>-580.000675518475 232.358076255343 -241.988219640361</t>
  </si>
  <si>
    <t>-349.381643141668 240.973529365202 -215.736488501627</t>
  </si>
  <si>
    <t>-703.198570672006 11.6377839628226 -526.391147280368</t>
  </si>
  <si>
    <t>-625.902490254157 140.103171123735 -96.2688289959151</t>
  </si>
  <si>
    <t>-637.955788195689 148.80339043697 319.040236905</t>
  </si>
  <si>
    <t>-673.402977905974 170.244847789771 780.363464083267</t>
  </si>
  <si>
    <t>-522.221139295522 168.043593722722 835.345611013397</t>
  </si>
  <si>
    <t>-613.090559535112 -56.9354999762752 321.856529270206</t>
  </si>
  <si>
    <t>-648.995627666711 -102.30530898159 781.23129542295</t>
  </si>
  <si>
    <t>-496.461378547392 -120.045997917907 829.214618481085</t>
  </si>
  <si>
    <t>9763-20170724T115417.963430900.bin</t>
  </si>
  <si>
    <t>-630.288057530045 47.89330251557 -92.9214848921328</t>
  </si>
  <si>
    <t>-654.181934861535 47.1828080215003 -201.023605361191</t>
  </si>
  <si>
    <t>-668.658147159799 46.0997887726248 -292.757533546255</t>
  </si>
  <si>
    <t>-680.416706678634 44.9546299159424 -375.815109243329</t>
  </si>
  <si>
    <t>-690.296307460755 43.5428171121457 -459.112903280754</t>
  </si>
  <si>
    <t>-702.681294912343 41.1480629603866 -581.120265486719</t>
  </si>
  <si>
    <t>-693.984146436058 40.2168913979954 -658.990134808794</t>
  </si>
  <si>
    <t>-692.2325843068 73.1365513525104 -528.700714800449</t>
  </si>
  <si>
    <t>-651.033548326051 222.976220258525 -514.995036317803</t>
  </si>
  <si>
    <t>-579.46149357947 232.399725853533 -242.291414859333</t>
  </si>
  <si>
    <t>-348.844995066836 241.86504031316 -216.311424452449</t>
  </si>
  <si>
    <t>-702.261157937332 11.2612338274826 -526.46822573233</t>
  </si>
  <si>
    <t>-625.689362425228 140.150610244292 -96.285925894415</t>
  </si>
  <si>
    <t>-637.889039230428 148.861392277296 319.018711219314</t>
  </si>
  <si>
    <t>-673.408682193727 170.245344340995 780.347630278839</t>
  </si>
  <si>
    <t>-522.229823803039 167.925890259272 835.333062775749</t>
  </si>
  <si>
    <t>-613.23665283401 -56.9638181731095 321.86067599603</t>
  </si>
  <si>
    <t>-649.064856070552 -102.298314767839 781.240553834717</t>
  </si>
  <si>
    <t>-496.506338817521 -120.104706540299 829.122206862459</t>
  </si>
  <si>
    <t>9763-20170724T115418.030617200.bin</t>
  </si>
  <si>
    <t>-629.764584412138 47.999670011993 -92.9026030377947</t>
  </si>
  <si>
    <t>-653.431214830925 47.2560521576502 -201.054557777804</t>
  </si>
  <si>
    <t>-667.578661249607 46.0077245904038 -292.837602091867</t>
  </si>
  <si>
    <t>-678.986559198173 44.6571688150557 -375.940903646352</t>
  </si>
  <si>
    <t>-688.462745815114 42.9814779496728 -459.280807215646</t>
  </si>
  <si>
    <t>-700.200974828502 40.1362713544145 -581.342413450844</t>
  </si>
  <si>
    <t>-691.198316817109 39.0047032032232 -659.174935961262</t>
  </si>
  <si>
    <t>-689.984811133168 72.3105824732374 -528.990993682201</t>
  </si>
  <si>
    <t>-648.760001104955 222.194391771554 -515.815849066493</t>
  </si>
  <si>
    <t>-578.281291559409 233.088441765454 -242.88254351272</t>
  </si>
  <si>
    <t>-347.653777853072 243.689751495805 -217.444441927061</t>
  </si>
  <si>
    <t>-700.115867290623 10.4588921546072 -526.574794478823</t>
  </si>
  <si>
    <t>-624.883865713156 140.283738876455 -96.2942296697537</t>
  </si>
  <si>
    <t>-637.523309027521 149.128557190214 318.994400187648</t>
  </si>
  <si>
    <t>-673.359560351577 170.312316208307 780.309961275978</t>
  </si>
  <si>
    <t>-522.183088855526 168.163529095638 835.308891543139</t>
  </si>
  <si>
    <t>-613.477768563981 -57.1083834779613 321.908734867406</t>
  </si>
  <si>
    <t>-649.285614598614 -102.282454756431 781.288437015244</t>
  </si>
  <si>
    <t>-496.631031949978 -120.236368638295 828.807448941712</t>
  </si>
  <si>
    <t>9763-20170724T115418.064708200.bin</t>
  </si>
  <si>
    <t>-629.422121392362 48.0497448581295 -92.8963651773712</t>
  </si>
  <si>
    <t>-652.964817247856 47.2937136107821 -201.075195336513</t>
  </si>
  <si>
    <t>-666.960858106331 45.9701422640494 -292.880509167869</t>
  </si>
  <si>
    <t>-678.213843437439 44.5258266103015 -376.003429324087</t>
  </si>
  <si>
    <t>-687.517350131014 42.7297112135993 -459.360111219169</t>
  </si>
  <si>
    <t>-698.984375862457 39.6782029047167 -581.442529964505</t>
  </si>
  <si>
    <t>-689.810496510847 38.4353653344865 -659.253271903299</t>
  </si>
  <si>
    <t>-688.86102280227 71.9369214527017 -529.124871545258</t>
  </si>
  <si>
    <t>-647.607573276062 221.830134358891 -516.187377769909</t>
  </si>
  <si>
    <t>-577.482166730737 233.443083651259 -243.192565938417</t>
  </si>
  <si>
    <t>-346.850124194123 244.647787732301 -218.055867605764</t>
  </si>
  <si>
    <t>-699.044494269368 10.0973139240364 -526.62270860782</t>
  </si>
  <si>
    <t>-624.394505967546 140.336618802912 -96.2939263100434</t>
  </si>
  <si>
    <t>-637.272373146471 149.235186895147 318.986144419533</t>
  </si>
  <si>
    <t>-673.339847468839 170.341322321448 780.293284074636</t>
  </si>
  <si>
    <t>-522.165023685564 168.303603397505 835.300930981642</t>
  </si>
  <si>
    <t>-613.600615968296 -57.184434333001 321.938648264586</t>
  </si>
  <si>
    <t>-649.397935255957 -102.270547312665 781.318744764604</t>
  </si>
  <si>
    <t>-496.675305526803 -120.146962274105 828.647943493602</t>
  </si>
  <si>
    <t>9763-20170724T115418.126884800.bin</t>
  </si>
  <si>
    <t>-628.652250320663 48.048670690139 -92.8474878387592</t>
  </si>
  <si>
    <t>-651.988413355905 47.2698824366107 -201.070977558084</t>
  </si>
  <si>
    <t>-665.753144888987 45.8188506240945 -292.909241804717</t>
  </si>
  <si>
    <t>-676.775530189257 44.216132879749 -376.060055897844</t>
  </si>
  <si>
    <t>-685.82753160497 42.2171504097246 -459.440000382113</t>
  </si>
  <si>
    <t>-696.904885447058 38.8197568276244 -581.549217471578</t>
  </si>
  <si>
    <t>-687.379451685384 37.3673077023298 -659.314099889209</t>
  </si>
  <si>
    <t>-686.905388767358 71.2194091596634 -529.294816816429</t>
  </si>
  <si>
    <t>-645.550394402678 221.127397491412 -516.810980816085</t>
  </si>
  <si>
    <t>-575.857367614769 234.157498334208 -243.769311989843</t>
  </si>
  <si>
    <t>-345.231215963457 246.89350397213 -219.317228224208</t>
  </si>
  <si>
    <t>-697.183086287722 9.40160893148663 -526.642543273852</t>
  </si>
  <si>
    <t>-623.450008292528 140.297660747282 -96.2776556985576</t>
  </si>
  <si>
    <t>-636.81768446399 149.286912663239 318.984999462147</t>
  </si>
  <si>
    <t>-673.315630879208 170.367244932611 780.266414286797</t>
  </si>
  <si>
    <t>-522.150519144026 168.316486938641 835.300117277695</t>
  </si>
  <si>
    <t>-613.723947590202 -57.394122949994 322.043561314302</t>
  </si>
  <si>
    <t>-649.424334690503 -102.283435082666 781.456748379923</t>
  </si>
  <si>
    <t>-496.677549603393 -120.118720797978 828.723401696404</t>
  </si>
  <si>
    <t>9763-20170724T115418.160975200.bin</t>
  </si>
  <si>
    <t>-628.168701592438 48.0186096492835 -92.8097073914308</t>
  </si>
  <si>
    <t>-651.411654401186 47.2234716273269 -201.053099244781</t>
  </si>
  <si>
    <t>-665.082650998635 45.7173292295242 -292.90453411801</t>
  </si>
  <si>
    <t>-676.014709335775 44.048498623388 -376.065931904037</t>
  </si>
  <si>
    <t>-684.971256985642 41.9659260771266 -459.454135487346</t>
  </si>
  <si>
    <t>-695.903637698292 38.4275159880349 -581.572428823928</t>
  </si>
  <si>
    <t>-686.198080349497 36.8990614325446 -659.313525898103</t>
  </si>
  <si>
    <t>-685.947657576501 70.8842688808352 -529.345270122638</t>
  </si>
  <si>
    <t>-644.456068844776 220.766034710302 -517.024402425418</t>
  </si>
  <si>
    <t>-574.823614122966 234.351245579478 -243.994412883348</t>
  </si>
  <si>
    <t>-344.213463699973 247.887677317647 -219.8229000227</t>
  </si>
  <si>
    <t>-696.265542311083 9.07603494238992 -526.630613112829</t>
  </si>
  <si>
    <t>-622.92860075644 140.228083383467 -96.2530624728776</t>
  </si>
  <si>
    <t>-636.584684121925 149.28728041602 318.998719302689</t>
  </si>
  <si>
    <t>-673.300545025248 170.37626054657 780.261833624802</t>
  </si>
  <si>
    <t>-522.14013471148 168.416343299624 835.311892536353</t>
  </si>
  <si>
    <t>-613.684681917849 -57.5061235609844 322.114933260398</t>
  </si>
  <si>
    <t>-649.386571798289 -102.316563402054 781.55337160759</t>
  </si>
  <si>
    <t>-496.684008112579 -120.366394169942 828.88151044302</t>
  </si>
  <si>
    <t>9763-20170724T115418.230719300.bin</t>
  </si>
  <si>
    <t>-627.084195421906 47.8618368377181 -92.7119420835359</t>
  </si>
  <si>
    <t>-650.107508769416 47.0184872191726 -201.001907152594</t>
  </si>
  <si>
    <t>-663.58912877886 45.3851585715595 -292.878969205948</t>
  </si>
  <si>
    <t>-674.34988665284 43.5660425020542 -376.059667036093</t>
  </si>
  <si>
    <t>-683.135475591775 41.2977062595037 -459.461283192429</t>
  </si>
  <si>
    <t>-693.819209038506 37.4483825340417 -581.592159821972</t>
  </si>
  <si>
    <t>-683.744067016786 35.7516406329964 -659.282682791861</t>
  </si>
  <si>
    <t>-683.949614510911 70.0345956946092 -529.429288113058</t>
  </si>
  <si>
    <t>-642.350138598938 219.905275079286 -517.31779486946</t>
  </si>
  <si>
    <t>-572.660805779175 234.590438892828 -244.359408471768</t>
  </si>
  <si>
    <t>-342.05673073849 249.791612989206 -221.138572988455</t>
  </si>
  <si>
    <t>-694.312949727525 8.24016494536204 -526.574948664013</t>
  </si>
  <si>
    <t>-621.850906302389 139.978015511928 -96.1898024997316</t>
  </si>
  <si>
    <t>-636.097874317285 149.19737155559 319.038640994717</t>
  </si>
  <si>
    <t>-673.245520198058 170.424179990289 780.250066239425</t>
  </si>
  <si>
    <t>-522.099427448708 168.647074090347 835.345619256258</t>
  </si>
  <si>
    <t>-613.477263203789 -57.7770187686292 322.288406837512</t>
  </si>
  <si>
    <t>-649.369026574233 -102.308590974718 781.737691274208</t>
  </si>
  <si>
    <t>-496.639652153432 -120.115787383164 829.071237788322</t>
  </si>
  <si>
    <t>9763-20170724T115418.294412200.bin</t>
  </si>
  <si>
    <t>-625.692876012946 47.6969698796318 -92.7267212621172</t>
  </si>
  <si>
    <t>-648.518887847666 46.7895171626672 -201.057936897609</t>
  </si>
  <si>
    <t>-661.836193625625 45.0562527447448 -292.957238924424</t>
  </si>
  <si>
    <t>-672.450162764355 43.1276758977151 -376.154322389819</t>
  </si>
  <si>
    <t>-681.090835420868 40.7312501798169 -459.567283282789</t>
  </si>
  <si>
    <t>-691.56531729385 36.6742330717991 -581.709687195363</t>
  </si>
  <si>
    <t>-681.202341338753 34.8575525767583 -659.359689178481</t>
  </si>
  <si>
    <t>-681.820874231234 69.3552200983856 -529.582510001361</t>
  </si>
  <si>
    <t>-640.375131860774 219.269888931167 -517.506794226489</t>
  </si>
  <si>
    <t>-570.841377596463 235.495334887204 -244.595968038483</t>
  </si>
  <si>
    <t>-340.174506333027 250.984383457265 -222.203579132173</t>
  </si>
  <si>
    <t>-692.117582798888 7.5535090382748 -526.646749011357</t>
  </si>
  <si>
    <t>-620.477363963093 139.801764627167 -96.2287297342793</t>
  </si>
  <si>
    <t>-635.287862603786 149.198538458696 318.976036876743</t>
  </si>
  <si>
    <t>-673.189081972572 170.50045793128 780.120820711914</t>
  </si>
  <si>
    <t>-522.06842910589 168.781987599658 835.287923848761</t>
  </si>
  <si>
    <t>-613.182683707276 -58.0889063344953 322.341014337733</t>
  </si>
  <si>
    <t>-649.482942954131 -102.325117559638 781.771727085161</t>
  </si>
  <si>
    <t>-496.712971464799 -120.297208645694 828.911554448237</t>
  </si>
  <si>
    <t>9763-20170724T115418.327500400.bin</t>
  </si>
  <si>
    <t>-624.936637424141 47.6012595835671 -92.7649215365849</t>
  </si>
  <si>
    <t>-647.666855571923 46.6685450492851 -201.116034197004</t>
  </si>
  <si>
    <t>-660.916414955673 44.905421403065 -293.024549752928</t>
  </si>
  <si>
    <t>-671.474667824334 42.9459234519159 -376.227956839181</t>
  </si>
  <si>
    <t>-680.064989325217 40.5160253394024 -459.645281063764</t>
  </si>
  <si>
    <t>-690.471836871419 36.407204266701 -581.791715986085</t>
  </si>
  <si>
    <t>-680.010134166725 34.5405003536569 -659.427329906882</t>
  </si>
  <si>
    <t>-680.801220192426 69.1180819801486 -529.669408776647</t>
  </si>
  <si>
    <t>-639.569357875907 219.089351477687 -517.542638583325</t>
  </si>
  <si>
    <t>-570.347700337955 236.217752123172 -244.607639722738</t>
  </si>
  <si>
    <t>-339.631543801121 251.494304028996 -222.580161647984</t>
  </si>
  <si>
    <t>-691.009578285856 7.30222458051799 -526.720383895951</t>
  </si>
  <si>
    <t>-619.79338241837 139.691989234231 -96.2701097759323</t>
  </si>
  <si>
    <t>-634.901266972677 149.166012245396 318.92214725357</t>
  </si>
  <si>
    <t>-673.145153738366 170.545652479198 780.035305444621</t>
  </si>
  <si>
    <t>-522.038761050615 169.015424653703 835.247105644017</t>
  </si>
  <si>
    <t>-613.026042055444 -58.2807041749036 322.32922679426</t>
  </si>
  <si>
    <t>-649.56888497979 -102.315860139523 781.759155110343</t>
  </si>
  <si>
    <t>-496.735770224728 -120.160995419665 828.742221819088</t>
  </si>
  <si>
    <t>9763-20170724T115418.360588500.bin</t>
  </si>
  <si>
    <t>-624.122876153061 47.4937109770131 -92.8056369743608</t>
  </si>
  <si>
    <t>-646.747771107004 46.531965902901 -201.178537087107</t>
  </si>
  <si>
    <t>-659.914419636143 44.7434727821292 -293.098494015817</t>
  </si>
  <si>
    <t>-670.400123011148 42.7606121013669 -376.310585789122</t>
  </si>
  <si>
    <t>-678.920224645845 40.3072265066401 -459.734310991454</t>
  </si>
  <si>
    <t>-689.226887280996 36.1646441033611 -581.8880653183</t>
  </si>
  <si>
    <t>-678.674425998285 34.2572352537522 -659.510339864231</t>
  </si>
  <si>
    <t>-679.643130276603 68.8974035572778 -529.763623741638</t>
  </si>
  <si>
    <t>-638.587367400462 218.906904076332 -517.50774180594</t>
  </si>
  <si>
    <t>-569.939698952116 236.949301130146 -244.486539853288</t>
  </si>
  <si>
    <t>-339.17256890317 251.921203936844 -222.786349421087</t>
  </si>
  <si>
    <t>-689.765636295747 7.06749069750367 -526.812612736314</t>
  </si>
  <si>
    <t>-619.071516394681 139.538980725599 -96.3104752772813</t>
  </si>
  <si>
    <t>-634.474849013127 149.126957182034 318.868247334791</t>
  </si>
  <si>
    <t>-673.11319197232 170.568795902522 779.946531381972</t>
  </si>
  <si>
    <t>-522.026844522179 169.127204317723 835.215534252625</t>
  </si>
  <si>
    <t>-612.866424738329 -58.4783554870169 322.30984184739</t>
  </si>
  <si>
    <t>-649.690043203277 -102.307919512886 781.735818614732</t>
  </si>
  <si>
    <t>-496.805197787909 -120.267763078301 828.506458068877</t>
  </si>
  <si>
    <t>9763-20170724T115418.432286500.bin</t>
  </si>
  <si>
    <t>-622.410651328743 47.2007008251426 -92.9332103785067</t>
  </si>
  <si>
    <t>-644.862107336367 46.178400222648 -201.341604416983</t>
  </si>
  <si>
    <t>-657.865900374131 44.3702264441717 -293.284365558694</t>
  </si>
  <si>
    <t>-668.197665010636 42.3797441695656 -376.515456743978</t>
  </si>
  <si>
    <t>-676.556453113296 39.9304013595454 -459.955669276079</t>
  </si>
  <si>
    <t>-686.618966576587 35.8067377710984 -582.130512564637</t>
  </si>
  <si>
    <t>-675.892522631823 33.8646478778901 -659.72796329</t>
  </si>
  <si>
    <t>-677.220064362192 68.5447977384156 -529.975549231356</t>
  </si>
  <si>
    <t>-636.465400246308 218.605598234551 -517.403479433282</t>
  </si>
  <si>
    <t>-569.708255136981 238.885831337595 -244.070649316596</t>
  </si>
  <si>
    <t>-338.771063149672 252.505237616621 -223.308737183723</t>
  </si>
  <si>
    <t>-687.187160894589 6.68768368514361 -527.066814193225</t>
  </si>
  <si>
    <t>-617.570531344207 139.245599213493 -96.4356678021394</t>
  </si>
  <si>
    <t>-633.615705097259 149.024245857121 318.714337718724</t>
  </si>
  <si>
    <t>-673.016397522467 170.671071047234 779.739000015745</t>
  </si>
  <si>
    <t>-521.975048240047 169.394373807213 835.134974010034</t>
  </si>
  <si>
    <t>-612.483974699613 -58.9720977830852 322.232351481146</t>
  </si>
  <si>
    <t>-650.037571386347 -102.274262367995 781.644470110264</t>
  </si>
  <si>
    <t>-496.982458437678 -120.36013399815 827.805687345202</t>
  </si>
  <si>
    <t>9763-20170724T115418.458355200.bin</t>
  </si>
  <si>
    <t>-621.58937560531 47.0864434640837 -93.0079298859779</t>
  </si>
  <si>
    <t>-643.971647033028 46.020067801109 -201.430311185617</t>
  </si>
  <si>
    <t>-656.901340087994 44.2114497577547 -293.383348131851</t>
  </si>
  <si>
    <t>-667.159431424621 42.2339159276078 -376.624049708597</t>
  </si>
  <si>
    <t>-675.437424436204 39.8114959679053 -460.072996457347</t>
  </si>
  <si>
    <t>-685.373563970977 35.7428312094057 -582.259951627073</t>
  </si>
  <si>
    <t>-674.567290074945 33.8310243455226 -659.847246794454</t>
  </si>
  <si>
    <t>-676.079589161658 68.4657088591398 -530.076881548119</t>
  </si>
  <si>
    <t>-635.587065659012 218.587525383677 -517.395608900258</t>
  </si>
  <si>
    <t>-569.907113560742 239.972199377431 -243.886300995911</t>
  </si>
  <si>
    <t>-338.882784590408 252.796911797046 -223.592603891812</t>
  </si>
  <si>
    <t>-685.947719359878 6.5906667807883 -527.213930381909</t>
  </si>
  <si>
    <t>-616.888674333293 139.163013794325 -96.5115426461423</t>
  </si>
  <si>
    <t>-633.197825998872 149.016964149238 318.626421783108</t>
  </si>
  <si>
    <t>-672.946323658067 170.754797227662 779.624727749297</t>
  </si>
  <si>
    <t>-521.934881361896 169.588525320133 835.104514853493</t>
  </si>
  <si>
    <t>-612.177957897123 -59.2142149791482 322.187371509261</t>
  </si>
  <si>
    <t>-650.246193887767 -102.224832480783 781.585025922009</t>
  </si>
  <si>
    <t>-497.07504587062 -120.275098656016 827.373809924896</t>
  </si>
  <si>
    <t>9763-20170724T115418.528165300.bin</t>
  </si>
  <si>
    <t>-620.049281700708 46.6431531074493 -93.1536161517523</t>
  </si>
  <si>
    <t>-642.347130757944 45.4944998999331 -201.592516899644</t>
  </si>
  <si>
    <t>-655.14372375183 43.7307425005354 -293.565106309999</t>
  </si>
  <si>
    <t>-665.255374745667 41.835514365323 -376.825518798045</t>
  </si>
  <si>
    <t>-673.359142619755 39.5402665913132 -460.295265168375</t>
  </si>
  <si>
    <t>-683.009308314273 35.7056711568594 -582.512711041251</t>
  </si>
  <si>
    <t>-672.036317243009 33.9908498742188 -660.081072731791</t>
  </si>
  <si>
    <t>-673.989187957492 68.3528529845423 -530.23404108875</t>
  </si>
  <si>
    <t>-634.221295015725 218.625771816699 -517.103014013346</t>
  </si>
  <si>
    <t>-570.107715614387 241.583872056225 -243.349638290271</t>
  </si>
  <si>
    <t>-338.957674617398 252.840887795039 -223.563936382523</t>
  </si>
  <si>
    <t>-683.560608563551 6.42365507082877 -527.535427880473</t>
  </si>
  <si>
    <t>-615.667265696004 138.891901022846 -96.6583604501222</t>
  </si>
  <si>
    <t>-632.332889977961 148.848668387374 318.462975623554</t>
  </si>
  <si>
    <t>-672.802263260767 170.924150895918 779.381498706662</t>
  </si>
  <si>
    <t>-521.85677982525 170.013330581686 835.045328244075</t>
  </si>
  <si>
    <t>-611.380987014694 -59.8557062484929 322.070229973028</t>
  </si>
  <si>
    <t>-650.623619500675 -102.120716455495 781.460769134172</t>
  </si>
  <si>
    <t>-497.295101270908 -120.5141516747 826.581290639052</t>
  </si>
  <si>
    <t>9763-20170724T115418.561260500.bin</t>
  </si>
  <si>
    <t>-619.386288109029 46.4600579584035 -93.2111055521239</t>
  </si>
  <si>
    <t>-641.657130223618 45.2716800442497 -201.655050739908</t>
  </si>
  <si>
    <t>-654.392125455043 43.5566531414077 -293.637213386695</t>
  </si>
  <si>
    <t>-664.43142518929 41.7364994584159 -376.90797361674</t>
  </si>
  <si>
    <t>-672.445287288371 39.5484182756525 -460.389220204901</t>
  </si>
  <si>
    <t>-681.943974306743 35.906006298997 -582.624470334233</t>
  </si>
  <si>
    <t>-670.871578570445 34.3443299404867 -660.182083445026</t>
  </si>
  <si>
    <t>-673.082906763215 68.4854893019231 -530.27664415717</t>
  </si>
  <si>
    <t>-633.726991693143 218.840306900157 -516.80601974005</t>
  </si>
  <si>
    <t>-570.139690305838 242.353243507306 -242.976934266345</t>
  </si>
  <si>
    <t>-338.959080592692 252.988024840807 -223.203868065046</t>
  </si>
  <si>
    <t>-682.469175321069 6.52299347830012 -527.700859476208</t>
  </si>
  <si>
    <t>-615.235711621193 138.795940071673 -96.7158157044767</t>
  </si>
  <si>
    <t>-631.969510670056 148.766729899664 318.402428636538</t>
  </si>
  <si>
    <t>-672.734794116152 170.993531232793 779.279366515223</t>
  </si>
  <si>
    <t>-521.822558773409 170.179360361834 835.034636533844</t>
  </si>
  <si>
    <t>-610.819344453405 -60.0617072872933 322.03584038227</t>
  </si>
  <si>
    <t>-650.766196772844 -102.081599577092 781.405133620885</t>
  </si>
  <si>
    <t>-497.356557288674 -120.430901142598 826.267193976338</t>
  </si>
  <si>
    <t>9763-20170724T115418.626962900.bin</t>
  </si>
  <si>
    <t>-618.031970210796 46.0736941343921 -93.2739217384833</t>
  </si>
  <si>
    <t>-640.280879948545 44.779402222327 -201.721179312271</t>
  </si>
  <si>
    <t>-652.944490860237 43.1740683985697 -293.715111936604</t>
  </si>
  <si>
    <t>-662.89581380587 41.52700474935 -377.000258310277</t>
  </si>
  <si>
    <t>-670.796120263823 39.5896939961076 -460.498558999157</t>
  </si>
  <si>
    <t>-680.09899187038 36.3993251417812 -582.761339085202</t>
  </si>
  <si>
    <t>-668.8250528187 35.2079854795782 -660.296426108026</t>
  </si>
  <si>
    <t>-671.522883006804 68.8153994578088 -530.264800761113</t>
  </si>
  <si>
    <t>-633.039491653561 219.323085929851 -515.987904275837</t>
  </si>
  <si>
    <t>-570.290969476931 242.944090508396 -241.974656441926</t>
  </si>
  <si>
    <t>-339.04636466428 252.743710710619 -222.520902623951</t>
  </si>
  <si>
    <t>-680.511056968885 6.78301026861709 -527.962199195968</t>
  </si>
  <si>
    <t>-614.412486114374 138.496469905034 -96.7902360485824</t>
  </si>
  <si>
    <t>-631.245475820246 148.477659187772 318.323767335432</t>
  </si>
  <si>
    <t>-672.568944855059 171.159154958478 779.121200163784</t>
  </si>
  <si>
    <t>-521.725734603436 170.725227600482 835.06733253142</t>
  </si>
  <si>
    <t>-609.665613195088 -60.4422702355769 322.008970693755</t>
  </si>
  <si>
    <t>-650.963307064599 -102.0091790454 781.320801316984</t>
  </si>
  <si>
    <t>-497.491515148086 -120.689135045046 825.832420566356</t>
  </si>
  <si>
    <t>9763-20170724T115418.662056500.bin</t>
  </si>
  <si>
    <t>-617.434808878388 45.8440186696798 -93.3068974184607</t>
  </si>
  <si>
    <t>-639.685485497235 44.4942491849356 -201.753227647788</t>
  </si>
  <si>
    <t>-652.346355701138 42.9477817834954 -293.748570917268</t>
  </si>
  <si>
    <t>-662.292371939312 41.3938190006254 -377.035931155593</t>
  </si>
  <si>
    <t>-670.183460408982 39.5916944540984 -460.538098499571</t>
  </si>
  <si>
    <t>-679.467829481612 36.6451921259959 -582.808578060125</t>
  </si>
  <si>
    <t>-668.093203303441 35.6574695181957 -660.331749828409</t>
  </si>
  <si>
    <t>-671.014385777064 68.9730755174332 -530.237790033292</t>
  </si>
  <si>
    <t>-633.036276156651 219.571651283355 -515.55374376491</t>
  </si>
  <si>
    <t>-570.43230618197 243.086884185876 -241.498407712222</t>
  </si>
  <si>
    <t>-339.155977739951 252.271105469022 -222.122008477435</t>
  </si>
  <si>
    <t>-679.773510577892 6.90294915084746 -528.076914402773</t>
  </si>
  <si>
    <t>-614.072265513213 138.31425589741 -96.8181412977042</t>
  </si>
  <si>
    <t>-630.979960324315 148.358206425586 318.291319994063</t>
  </si>
  <si>
    <t>-672.490552800882 171.238816524397 779.044902804901</t>
  </si>
  <si>
    <t>-521.684811751136 170.993050740316 835.092908887465</t>
  </si>
  <si>
    <t>-609.207862757692 -60.7171857514043 321.978671893988</t>
  </si>
  <si>
    <t>-651.015746311712 -101.944686025328 781.29127759987</t>
  </si>
  <si>
    <t>-497.488814054997 -120.440330381396 825.689634686453</t>
  </si>
  <si>
    <t>9763-20170724T115418.729743100.bin</t>
  </si>
  <si>
    <t>-616.376503607382 45.4569662783581 -93.3669897031883</t>
  </si>
  <si>
    <t>-638.695847580063 43.999763637124 -201.797729174519</t>
  </si>
  <si>
    <t>-651.419689946682 42.5803497737752 -293.78639846581</t>
  </si>
  <si>
    <t>-661.422321106219 41.2239048627739 -377.070493227397</t>
  </si>
  <si>
    <t>-669.367590313681 39.7068239980795 -460.573205204151</t>
  </si>
  <si>
    <t>-678.72667506548 37.2739704200808 -582.849336971924</t>
  </si>
  <si>
    <t>-667.125850872774 36.712454441466 -660.343166651023</t>
  </si>
  <si>
    <t>-670.472612352083 69.4131427566085 -530.131354139832</t>
  </si>
  <si>
    <t>-633.467083364456 220.168126489647 -514.641169217421</t>
  </si>
  <si>
    <t>-571.063937561628 243.685239435517 -240.540130339215</t>
  </si>
  <si>
    <t>-339.763705524477 249.963456253928 -220.308610431567</t>
  </si>
  <si>
    <t>-678.767405149229 7.26969633969429 -528.259943304622</t>
  </si>
  <si>
    <t>-613.552817168427 138.050123791023 -96.9011367689285</t>
  </si>
  <si>
    <t>-630.470656926731 148.067149444222 318.208542130472</t>
  </si>
  <si>
    <t>-672.436499419533 171.167385031507 778.873643133013</t>
  </si>
  <si>
    <t>-521.695271110565 170.997115440792 835.095422122972</t>
  </si>
  <si>
    <t>-608.152396125624 -61.063767023121 321.963447653078</t>
  </si>
  <si>
    <t>-651.093156220956 -101.850605346898 781.245211118732</t>
  </si>
  <si>
    <t>-497.516106219638 -120.302890855248 825.488096942126</t>
  </si>
  <si>
    <t>9763-20170724T115418.762832700.bin</t>
  </si>
  <si>
    <t>-615.912272806503 45.3146771037111 -93.3697797205896</t>
  </si>
  <si>
    <t>-638.268368117677 43.8126940096536 -201.792460395598</t>
  </si>
  <si>
    <t>-651.029473442463 42.4425064576665 -293.776630827902</t>
  </si>
  <si>
    <t>-661.067309174099 41.163408349154 -377.057718225768</t>
  </si>
  <si>
    <t>-669.048617247198 39.7583766456416 -460.558973934574</t>
  </si>
  <si>
    <t>-678.460579625877 37.5275627619928 -582.834891370253</t>
  </si>
  <si>
    <t>-666.737214786567 37.1641618039205 -660.311570398542</t>
  </si>
  <si>
    <t>-670.268486783202 69.5910678192884 -530.061091140795</t>
  </si>
  <si>
    <t>-633.724996986588 220.43575582996 -514.314543884186</t>
  </si>
  <si>
    <t>-571.450074507228 244.053559679177 -240.192911116207</t>
  </si>
  <si>
    <t>-340.20258918988 248.064428133029 -218.814219014911</t>
  </si>
  <si>
    <t>-678.392891487905 7.42186599771298 -528.301425130906</t>
  </si>
  <si>
    <t>-613.358656175439 137.88206308615 -96.9080337526466</t>
  </si>
  <si>
    <t>-630.23880536068 147.926581729472 318.202467146883</t>
  </si>
  <si>
    <t>-672.409004234754 171.155604915588 778.826693847795</t>
  </si>
  <si>
    <t>-521.689280289247 171.041946435095 835.106162754954</t>
  </si>
  <si>
    <t>-607.642665127951 -61.1198807446303 321.979506437037</t>
  </si>
  <si>
    <t>-651.135210630192 -101.830875234727 781.210361687259</t>
  </si>
  <si>
    <t>-497.54930478551 -120.354611669763 825.392476857693</t>
  </si>
  <si>
    <t>9763-20170724T115418.829528800.bin</t>
  </si>
  <si>
    <t>-615.231643885659 45.052573935794 -93.3376806957522</t>
  </si>
  <si>
    <t>-637.612252266742 43.4906665740727 -201.75437650507</t>
  </si>
  <si>
    <t>-650.504234242206 42.2134179175648 -293.721703068413</t>
  </si>
  <si>
    <t>-660.703230173606 41.0741688655826 -376.985178327447</t>
  </si>
  <si>
    <t>-668.887758282602 39.8677077903762 -460.470007557192</t>
  </si>
  <si>
    <t>-678.641757927467 37.9928493358841 -582.724824571139</t>
  </si>
  <si>
    <t>-666.769955515933 38.046113681788 -660.179841203762</t>
  </si>
  <si>
    <t>-670.425808869915 69.9187474867413 -529.87152451876</t>
  </si>
  <si>
    <t>-634.322736765875 220.825983469144 -513.667475122603</t>
  </si>
  <si>
    <t>-572.55785012608 243.635642832449 -239.362163183511</t>
  </si>
  <si>
    <t>-341.388685302058 244.618298252529 -216.814875994513</t>
  </si>
  <si>
    <t>-678.297749630558 7.71231291356094 -528.289480920782</t>
  </si>
  <si>
    <t>-613.106412445395 137.537410030604 -96.8825316267139</t>
  </si>
  <si>
    <t>-629.981487514483 147.65169340965 318.226516493631</t>
  </si>
  <si>
    <t>-672.389996145305 171.03723823518 778.806644097217</t>
  </si>
  <si>
    <t>-521.699135996281 171.052703474185 835.163513134819</t>
  </si>
  <si>
    <t>-606.840097051259 -61.237224924572 322.016334288302</t>
  </si>
  <si>
    <t>-651.199011449135 -101.77996936308 781.162422403532</t>
  </si>
  <si>
    <t>-497.549563594783 -120.035268202997 825.235270101811</t>
  </si>
  <si>
    <t>9763-20170724T115418.862614900.bin</t>
  </si>
  <si>
    <t>-615.008795652478 44.8590266393644 -93.3250423699092</t>
  </si>
  <si>
    <t>-637.401202495277 43.2748486534101 -201.738888428728</t>
  </si>
  <si>
    <t>-650.362613082728 42.0405577390359 -293.697140264553</t>
  </si>
  <si>
    <t>-660.647803348693 40.9642600359023 -376.950954323579</t>
  </si>
  <si>
    <t>-668.941442638107 39.8467423025593 -460.426078284969</t>
  </si>
  <si>
    <t>-678.879801456916 38.1307511858304 -582.668434960785</t>
  </si>
  <si>
    <t>-666.974982270181 38.378463460225 -660.118111517465</t>
  </si>
  <si>
    <t>-670.6322855253 69.9940988593787 -529.782332930989</t>
  </si>
  <si>
    <t>-634.714231682001 220.91540004455 -513.366408829361</t>
  </si>
  <si>
    <t>-573.017446127104 243.328245391694 -239.012986722523</t>
  </si>
  <si>
    <t>-341.867091737113 242.832339377836 -216.258138044911</t>
  </si>
  <si>
    <t>-678.405588238022 7.77334574497445 -528.276939501308</t>
  </si>
  <si>
    <t>-613.021757374599 137.312421249122 -96.8592264152961</t>
  </si>
  <si>
    <t>-629.936067777624 147.526643613036 318.24575951542</t>
  </si>
  <si>
    <t>-672.366393920584 171.066307224583 778.810157347998</t>
  </si>
  <si>
    <t>-521.686795610767 170.994314398888 835.196797526675</t>
  </si>
  <si>
    <t>-606.575813220339 -61.3525838661253 322.028975983397</t>
  </si>
  <si>
    <t>-651.244849236229 -101.787914318452 781.141904709116</t>
  </si>
  <si>
    <t>-497.604552208588 -120.246477181116 825.161975323543</t>
  </si>
  <si>
    <t>9763-20170724T115418.928883300.bin</t>
  </si>
  <si>
    <t>-614.813062181834 44.4633379702077 -93.3057887834399</t>
  </si>
  <si>
    <t>-637.156760082559 42.8447169626502 -201.72923197613</t>
  </si>
  <si>
    <t>-650.212278832792 41.6606637335467 -293.674792091436</t>
  </si>
  <si>
    <t>-660.636239986021 40.6619178276533 -376.912210434744</t>
  </si>
  <si>
    <t>-669.122041229625 39.6567271096621 -460.369555460538</t>
  </si>
  <si>
    <t>-679.399373416567 38.1445183735068 -582.586715170474</t>
  </si>
  <si>
    <t>-667.492045642446 38.7115870352436 -660.03401235975</t>
  </si>
  <si>
    <t>-671.093474887484 69.9308165726732 -529.66314042875</t>
  </si>
  <si>
    <t>-635.336186860114 220.841762315145 -512.758730394211</t>
  </si>
  <si>
    <t>-574.020771292254 242.512600023887 -238.260239754514</t>
  </si>
  <si>
    <t>-342.855034279635 239.362613305543 -215.876834633598</t>
  </si>
  <si>
    <t>-678.685982643485 7.68557864705122 -528.254491657975</t>
  </si>
  <si>
    <t>-613.06884379726 136.82664991666 -96.8253180959912</t>
  </si>
  <si>
    <t>-630.142058826462 147.248188830798 318.26806336716</t>
  </si>
  <si>
    <t>-672.332104112168 171.090412139271 778.842207267709</t>
  </si>
  <si>
    <t>-521.663428939095 171.112566707166 835.258226340761</t>
  </si>
  <si>
    <t>-606.36429371993 -61.606397390439 322.032423999875</t>
  </si>
  <si>
    <t>-651.308150783648 -101.780401459261 781.121108248809</t>
  </si>
  <si>
    <t>-497.630054803528 -120.130751297581 825.054450074925</t>
  </si>
  <si>
    <t>9763-20170724T115418.962976400.bin</t>
  </si>
  <si>
    <t>-614.775195658874 44.2410581238341 -93.3086499183914</t>
  </si>
  <si>
    <t>-637.075520798204 42.6199044727882 -201.740877704951</t>
  </si>
  <si>
    <t>-650.157036125215 41.4446619236205 -293.682934356925</t>
  </si>
  <si>
    <t>-660.629737621258 40.4579558776441 -376.914422808544</t>
  </si>
  <si>
    <t>-669.18950946997 39.4702631489708 -460.364356492794</t>
  </si>
  <si>
    <t>-679.602580394589 37.9900872769747 -582.570346459398</t>
  </si>
  <si>
    <t>-667.725128376655 38.6966280347278 -660.021226348759</t>
  </si>
  <si>
    <t>-671.269573816101 69.7662786956253 -529.645150769264</t>
  </si>
  <si>
    <t>-635.63446464074 220.700692025441 -512.699656963844</t>
  </si>
  <si>
    <t>-574.720720205517 242.147510830159 -238.094180434293</t>
  </si>
  <si>
    <t>-343.525779906081 237.795327538822 -216.220288940661</t>
  </si>
  <si>
    <t>-678.797275449405 7.51279984006305 -528.249561610015</t>
  </si>
  <si>
    <t>-613.13386478271 136.56599131364 -96.8089854373192</t>
  </si>
  <si>
    <t>-630.318173075892 147.123556726277 318.276282330639</t>
  </si>
  <si>
    <t>-672.33099937515 171.070583334006 778.870991122876</t>
  </si>
  <si>
    <t>-521.661567130747 171.109131186838 835.285128826318</t>
  </si>
  <si>
    <t>-606.321565626757 -61.7992572119445 322.0159679414</t>
  </si>
  <si>
    <t>-651.337457891533 -101.798083678842 781.114660380028</t>
  </si>
  <si>
    <t>-497.663673172134 -120.253610172853 825.018960981386</t>
  </si>
  <si>
    <t>9763-20170724T115419.032286100.bin</t>
  </si>
  <si>
    <t>-614.800568786167 43.8127656849115 -93.2832569222384</t>
  </si>
  <si>
    <t>-637.039587639143 42.1678749560158 -201.727799369909</t>
  </si>
  <si>
    <t>-650.173846693206 40.9667026824047 -293.66188187147</t>
  </si>
  <si>
    <t>-660.736581833616 39.9538617563132 -376.881766720251</t>
  </si>
  <si>
    <t>-669.429020646713 38.9392010735351 -460.317609301384</t>
  </si>
  <si>
    <t>-680.08303391297 37.4196816112635 -582.502368109376</t>
  </si>
  <si>
    <t>-668.337642015621 38.3408100894108 -659.971099593813</t>
  </si>
  <si>
    <t>-671.727011159535 69.2227777394519 -529.596960638553</t>
  </si>
  <si>
    <t>-636.499853972901 220.250671789689 -512.703272615374</t>
  </si>
  <si>
    <t>-576.193458356016 240.905958374951 -237.903180324851</t>
  </si>
  <si>
    <t>-344.971651483616 234.173844237289 -216.934549244367</t>
  </si>
  <si>
    <t>-679.089274503412 6.95011669809605 -528.18053725557</t>
  </si>
  <si>
    <t>-613.358758793299 136.093562703107 -96.7611258491199</t>
  </si>
  <si>
    <t>-630.583384506947 146.888918429076 318.316446832167</t>
  </si>
  <si>
    <t>-672.335932413265 171.054722345842 778.937070343626</t>
  </si>
  <si>
    <t>-521.655794656984 171.224597253939 835.32218757874</t>
  </si>
  <si>
    <t>-606.149043981474 -62.1170153566338 322.00291286449</t>
  </si>
  <si>
    <t>-651.38914391086 -101.805453684396 781.105016216627</t>
  </si>
  <si>
    <t>-497.706059576019 -120.315829512762 824.953669347135</t>
  </si>
  <si>
    <t>9763-20170724T115419.063370400.bin</t>
  </si>
  <si>
    <t>-614.817812947682 43.7623993511038 -93.2629754602305</t>
  </si>
  <si>
    <t>-637.051715005866 42.0931806785713 -201.708202433065</t>
  </si>
  <si>
    <t>-650.218996318269 40.8884193538602 -293.63750018484</t>
  </si>
  <si>
    <t>-660.826491568057 39.8786660060093 -376.851742219688</t>
  </si>
  <si>
    <t>-669.578560739825 38.8746798037805 -460.281485415393</t>
  </si>
  <si>
    <t>-680.336010329586 37.3793617293268 -582.457478196737</t>
  </si>
  <si>
    <t>-668.681719756246 38.4089476850886 -659.938625264249</t>
  </si>
  <si>
    <t>-671.992383618478 69.1787475039278 -529.547881564801</t>
  </si>
  <si>
    <t>-637.061201714634 220.267279480378 -512.623339128805</t>
  </si>
  <si>
    <t>-576.601082858237 240.400225782555 -237.818310454105</t>
  </si>
  <si>
    <t>-345.361041692035 232.932421076762 -217.304342512806</t>
  </si>
  <si>
    <t>-679.239096070697 6.89219326532634 -528.147496949739</t>
  </si>
  <si>
    <t>-613.509539101826 136.046269704987 -96.7418125729092</t>
  </si>
  <si>
    <t>-630.725239478407 146.846640867797 318.335997793487</t>
  </si>
  <si>
    <t>-672.345497502429 171.015379038796 778.969651041439</t>
  </si>
  <si>
    <t>-521.658293654205 171.253440320557 835.335787700321</t>
  </si>
  <si>
    <t>-606.028303192714 -62.1259012155128 322.013816906975</t>
  </si>
  <si>
    <t>-651.418268524839 -101.785732076345 781.099107398723</t>
  </si>
  <si>
    <t>-497.696142463997 -120.056369599067 824.911346295035</t>
  </si>
  <si>
    <t>9763-20170724T115419.129164200.bin</t>
  </si>
  <si>
    <t>-614.774429212987 43.7856152534025 -93.2379339295013</t>
  </si>
  <si>
    <t>-637.056087902578 42.0628563928624 -201.672487720235</t>
  </si>
  <si>
    <t>-650.375133416041 40.8617308660455 -293.580076756192</t>
  </si>
  <si>
    <t>-661.164436020856 39.8733153794699 -376.771137171277</t>
  </si>
  <si>
    <t>-670.142741760692 38.911936269011 -460.177398596209</t>
  </si>
  <si>
    <t>-681.279418878835 37.5030406817305 -582.320379564158</t>
  </si>
  <si>
    <t>-669.86833434497 38.6797349778469 -659.835595438769</t>
  </si>
  <si>
    <t>-672.883215004687 69.2780962948973 -529.404328742659</t>
  </si>
  <si>
    <t>-638.509419622468 220.489749839121 -512.327938785466</t>
  </si>
  <si>
    <t>-577.271646513818 239.044221376562 -237.583880473206</t>
  </si>
  <si>
    <t>-346.0462693022 230.363357599955 -217.384826282764</t>
  </si>
  <si>
    <t>-679.90225269899 6.96443100083502 -528.04569289391</t>
  </si>
  <si>
    <t>-613.738373689873 136.054475560912 -96.7042657362645</t>
  </si>
  <si>
    <t>-630.921054081783 146.904065115028 318.373571833181</t>
  </si>
  <si>
    <t>-672.320586034796 171.116628300769 779.020290018549</t>
  </si>
  <si>
    <t>-521.625073364697 171.290222422192 835.364438439546</t>
  </si>
  <si>
    <t>-605.745592543969 -62.1305320089321 322.038262068823</t>
  </si>
  <si>
    <t>-651.465076973617 -101.780328709848 781.091691869205</t>
  </si>
  <si>
    <t>-497.722231646602 -120.042287696573 824.834821652296</t>
  </si>
  <si>
    <t>9763-20170724T115419.167254600.bin</t>
  </si>
  <si>
    <t>-614.704536419973 43.8135065071763 -93.2270673011758</t>
  </si>
  <si>
    <t>-637.025173717438 42.0747752176537 -201.653332468556</t>
  </si>
  <si>
    <t>-650.455035813004 40.90867488096 -293.545197500169</t>
  </si>
  <si>
    <t>-661.37541724591 39.9713510188788 -376.719729390291</t>
  </si>
  <si>
    <t>-670.5156343267 39.0820147600159 -460.109140753842</t>
  </si>
  <si>
    <t>-681.922411577497 37.8027784516828 -582.228743660621</t>
  </si>
  <si>
    <t>-670.633527727647 39.0762143553452 -659.760256209222</t>
  </si>
  <si>
    <t>-673.469459374571 69.5284334657183 -529.29233244827</t>
  </si>
  <si>
    <t>-639.260606799822 220.751276941292 -512.051983188475</t>
  </si>
  <si>
    <t>-577.498678330782 238.606016899319 -237.379045795141</t>
  </si>
  <si>
    <t>-346.32364355342 229.049386285026 -216.999728145102</t>
  </si>
  <si>
    <t>-680.365002385144 7.1997543488385 -527.995192615083</t>
  </si>
  <si>
    <t>-613.780131185613 136.074529330844 -96.6795930378172</t>
  </si>
  <si>
    <t>-630.954690235089 146.930392317694 318.398540690428</t>
  </si>
  <si>
    <t>-672.297970116168 171.169829089573 779.042935062101</t>
  </si>
  <si>
    <t>-521.602733084363 171.178116693255 835.387982446387</t>
  </si>
  <si>
    <t>-605.591698604374 -62.1125346412312 322.04154777418</t>
  </si>
  <si>
    <t>-651.493939067051 -101.776461415536 781.082510754821</t>
  </si>
  <si>
    <t>-497.744660290454 -120.062979872847 824.792801103658</t>
  </si>
  <si>
    <t>9763-20170724T115419.231986600.bin</t>
  </si>
  <si>
    <t>-614.5123745599 43.8302904266179 -93.1792712142283</t>
  </si>
  <si>
    <t>-636.973351177964 42.0788369813904 -201.576435585584</t>
  </si>
  <si>
    <t>-650.703238661115 40.9882510188222 -293.424838828896</t>
  </si>
  <si>
    <t>-661.967323347026 40.1541427501916 -376.554692422256</t>
  </si>
  <si>
    <t>-671.523571354586 39.4077242039709 -459.898722665317</t>
  </si>
  <si>
    <t>-683.617572971615 38.3826213860623 -581.9545760932</t>
  </si>
  <si>
    <t>-672.656680210665 39.8858076277411 -659.529231177649</t>
  </si>
  <si>
    <t>-675.0171757452 70.0147029577954 -528.985844467436</t>
  </si>
  <si>
    <t>-641.059933308018 221.247894608234 -511.278654420639</t>
  </si>
  <si>
    <t>-578.038132569276 237.346501768005 -236.783420786238</t>
  </si>
  <si>
    <t>-347.109768032687 225.44421444596 -214.898438436875</t>
  </si>
  <si>
    <t>-681.60450847071 7.65011402907635 -527.809293757548</t>
  </si>
  <si>
    <t>-613.787124456905 136.092960643987 -96.6152869726749</t>
  </si>
  <si>
    <t>-630.876401494232 146.860317476761 318.468625203749</t>
  </si>
  <si>
    <t>-672.275198227486 171.20461417883 779.10132694212</t>
  </si>
  <si>
    <t>-521.575895842388 171.31880376574 835.435535288429</t>
  </si>
  <si>
    <t>-605.179160644948 -62.0798126290874 322.077466674278</t>
  </si>
  <si>
    <t>-651.539275026816 -101.797089653149 781.071395284867</t>
  </si>
  <si>
    <t>-497.802795671632 -120.290776893186 824.739482399652</t>
  </si>
  <si>
    <t>9763-20170724T115419.261063400.bin</t>
  </si>
  <si>
    <t>-614.41342685259 43.8642910702438 -93.1416505854602</t>
  </si>
  <si>
    <t>-636.952348524258 42.1058442871138 -201.522358532078</t>
  </si>
  <si>
    <t>-650.831097230435 41.0530584882179 -293.349011075057</t>
  </si>
  <si>
    <t>-662.262769332593 40.2707038265314 -376.456433719339</t>
  </si>
  <si>
    <t>-672.019709631058 39.5953598051715 -459.777958818986</t>
  </si>
  <si>
    <t>-684.443044380863 38.6965619903751 -581.801562588903</t>
  </si>
  <si>
    <t>-673.645594409038 40.3304256830554 -659.396422397663</t>
  </si>
  <si>
    <t>-675.771035207272 70.2814721870741 -528.81634325551</t>
  </si>
  <si>
    <t>-641.822995206192 221.484496273811 -510.831232689895</t>
  </si>
  <si>
    <t>-578.341532840222 236.153036494761 -236.361623625809</t>
  </si>
  <si>
    <t>-347.600081819657 222.617910708025 -213.476869284134</t>
  </si>
  <si>
    <t>-682.212517692802 7.90062972102078 -527.701062006272</t>
  </si>
  <si>
    <t>-613.834114162451 136.09435140299 -96.5674334187762</t>
  </si>
  <si>
    <t>-630.86120131886 146.821452837241 318.520053477373</t>
  </si>
  <si>
    <t>-672.27071474964 171.17254767585 779.143784866639</t>
  </si>
  <si>
    <t>-521.570643824387 171.26338999318 835.475938057881</t>
  </si>
  <si>
    <t>-604.938369312414 -62.0120559186628 322.099410201432</t>
  </si>
  <si>
    <t>-651.563716136056 -101.795346362324 781.060614822754</t>
  </si>
  <si>
    <t>-497.821180118592 -120.310080824552 824.698458822128</t>
  </si>
  <si>
    <t>9763-20170724T115419.331878800.bin</t>
  </si>
  <si>
    <t>-614.325755423394 43.8662405458981 -93.0703533076276</t>
  </si>
  <si>
    <t>-637.055833792634 42.0625809201779 -201.410533469819</t>
  </si>
  <si>
    <t>-651.221602741321 41.030039702146 -293.193318123585</t>
  </si>
  <si>
    <t>-662.962896438852 40.288055998876 -376.258040634555</t>
  </si>
  <si>
    <t>-673.079668622021 39.678328242486 -459.53719359649</t>
  </si>
  <si>
    <t>-686.083917111022 38.903973153142 -581.501139860254</t>
  </si>
  <si>
    <t>-675.637062652268 40.7870231165523 -659.138215918458</t>
  </si>
  <si>
    <t>-677.273381943434 70.4464400820989 -528.513493595442</t>
  </si>
  <si>
    <t>-643.355425421193 221.612094702151 -510.147535793598</t>
  </si>
  <si>
    <t>-578.920109945836 233.634109011161 -235.771640512221</t>
  </si>
  <si>
    <t>-348.518246856704 216.934868019662 -211.591971239398</t>
  </si>
  <si>
    <t>-683.482195026255 8.04093572005104 -527.455345890873</t>
  </si>
  <si>
    <t>-614.064014883772 136.062841388886 -96.4761586067416</t>
  </si>
  <si>
    <t>-630.915038884141 146.714499202321 318.62045787915</t>
  </si>
  <si>
    <t>-672.24967948196 171.169704657219 779.236984921972</t>
  </si>
  <si>
    <t>-521.549020367769 171.369948688847 835.567197092006</t>
  </si>
  <si>
    <t>-604.372648998346 -61.8854423839514 322.158168630553</t>
  </si>
  <si>
    <t>-651.631316773735 -101.77404646332 781.037272387635</t>
  </si>
  <si>
    <t>-497.849897703508 -120.188939472446 824.580215221966</t>
  </si>
  <si>
    <t>9763-20170724T115419.361957800.bin</t>
  </si>
  <si>
    <t>-614.391395623115 43.8565054894443 -93.0246309825349</t>
  </si>
  <si>
    <t>-637.2079155576 42.0489295237537 -201.346605682639</t>
  </si>
  <si>
    <t>-651.487061513653 41.0061333427427 -293.111860570272</t>
  </si>
  <si>
    <t>-663.347231533771 40.2514298098106 -376.159411888371</t>
  </si>
  <si>
    <t>-673.599546934204 39.6264980177223 -459.421850260323</t>
  </si>
  <si>
    <t>-686.820133021929 38.8279009387875 -581.362372707081</t>
  </si>
  <si>
    <t>-676.541264221361 40.8009472218951 -659.019601264797</t>
  </si>
  <si>
    <t>-677.95018181675 70.3844195455172 -528.39302916894</t>
  </si>
  <si>
    <t>-643.890093116461 221.505705024679 -509.939440980937</t>
  </si>
  <si>
    <t>-579.119792581222 232.704806802769 -235.607577515081</t>
  </si>
  <si>
    <t>-348.862475239403 214.836929447612 -210.89228608284</t>
  </si>
  <si>
    <t>-684.087913170869 7.97225561842902 -527.318753306422</t>
  </si>
  <si>
    <t>-614.280505440295 136.042401678042 -96.417878455565</t>
  </si>
  <si>
    <t>-631.007887344405 146.645826168778 318.685003100151</t>
  </si>
  <si>
    <t>-672.229861547996 171.223902657293 779.293914114415</t>
  </si>
  <si>
    <t>-521.529120693354 171.336003972331 835.62421337927</t>
  </si>
  <si>
    <t>-604.04901474198 -61.8002651859877 322.186505550308</t>
  </si>
  <si>
    <t>-651.672257873738 -101.748365699357 781.025560114558</t>
  </si>
  <si>
    <t>-497.881043687518 -120.196490829167 824.519836035923</t>
  </si>
  <si>
    <t>9763-20170724T115419.429688500.bin</t>
  </si>
  <si>
    <t>-614.796539184382 43.9489632238356 -92.9279987261626</t>
  </si>
  <si>
    <t>-637.760843966032 42.1119787946632 -201.218250216982</t>
  </si>
  <si>
    <t>-652.24028156665 40.9996364557844 -292.951227679539</t>
  </si>
  <si>
    <t>-664.312358292416 40.1631198896341 -375.967384607138</t>
  </si>
  <si>
    <t>-674.808167148228 39.4377927245539 -459.198826131941</t>
  </si>
  <si>
    <t>-688.419749640587 38.4719969218954 -581.094969013343</t>
  </si>
  <si>
    <t>-678.462570723175 40.4757429718402 -658.793511189897</t>
  </si>
  <si>
    <t>-679.386643788985 70.1016758237056 -528.197013253057</t>
  </si>
  <si>
    <t>-644.739920496986 221.083362157519 -509.728870688021</t>
  </si>
  <si>
    <t>-579.4816088859 231.82501333044 -235.494405848247</t>
  </si>
  <si>
    <t>-349.698331338354 210.73494064049 -208.972986628557</t>
  </si>
  <si>
    <t>-685.507611406625 7.68969636946554 -527.018984950687</t>
  </si>
  <si>
    <t>-614.900280101984 136.114856239534 -96.307943254781</t>
  </si>
  <si>
    <t>-631.326182710722 146.658960294264 318.808455524451</t>
  </si>
  <si>
    <t>-672.206308131535 171.322840598576 779.453489836953</t>
  </si>
  <si>
    <t>-521.492257569867 171.364449408325 835.748125195294</t>
  </si>
  <si>
    <t>-603.523956755412 -61.4967224512836 322.260570582629</t>
  </si>
  <si>
    <t>-651.74728523336 -101.739527496478 780.998306520043</t>
  </si>
  <si>
    <t>-497.930580628342 -120.191612242735 824.400771078905</t>
  </si>
  <si>
    <t>9763-20170724T115419.462777700.bin</t>
  </si>
  <si>
    <t>-615.077797458912 44.0301337943686 -92.8812377186949</t>
  </si>
  <si>
    <t>-638.099562827995 42.1794668669565 -201.158945247494</t>
  </si>
  <si>
    <t>-652.666177607596 41.0155367033713 -292.877598295821</t>
  </si>
  <si>
    <t>-664.8331011701 40.1161987027886 -375.879377299794</t>
  </si>
  <si>
    <t>-675.440177896613 39.3117771142349 -459.095836393286</t>
  </si>
  <si>
    <t>-689.232882973834 38.2120758411975 -580.970652083721</t>
  </si>
  <si>
    <t>-679.439657251451 40.1535239840794 -658.691512340584</t>
  </si>
  <si>
    <t>-680.09608446695 69.8973864273473 -528.123617809584</t>
  </si>
  <si>
    <t>-645.112866073591 220.818588131725 -509.733689378292</t>
  </si>
  <si>
    <t>-579.963102616222 231.662426363837 -235.477399773845</t>
  </si>
  <si>
    <t>-350.457931079065 208.964820172474 -207.895970313088</t>
  </si>
  <si>
    <t>-686.26544463919 7.49187547838869 -526.862439447767</t>
  </si>
  <si>
    <t>-615.206023399212 136.200409720324 -96.2586620496547</t>
  </si>
  <si>
    <t>-631.517246350534 146.708830263305 318.863214423127</t>
  </si>
  <si>
    <t>-672.1901801652 171.398611990476 779.528249213586</t>
  </si>
  <si>
    <t>-521.469052667959 171.319940323935 835.80403535052</t>
  </si>
  <si>
    <t>-603.392719555795 -61.3312330493895 322.299534429864</t>
  </si>
  <si>
    <t>-651.771837846027 -101.744069070942 780.992616445849</t>
  </si>
  <si>
    <t>-497.951403012712 -120.232509624043 824.366285618895</t>
  </si>
  <si>
    <t>9763-20170724T115419.543506900.bin</t>
  </si>
  <si>
    <t>-615.78087451592 44.2433521125743 -92.8065886192644</t>
  </si>
  <si>
    <t>-638.888486374777 42.3873245790121 -201.065954040507</t>
  </si>
  <si>
    <t>-653.589616014497 41.1241818736037 -292.761723439896</t>
  </si>
  <si>
    <t>-665.904160755683 40.0980541124327 -375.740342875075</t>
  </si>
  <si>
    <t>-676.68588621969 39.1288857890563 -458.932504463409</t>
  </si>
  <si>
    <t>-690.764342286855 37.746453656121 -580.771739505148</t>
  </si>
  <si>
    <t>-681.308953789182 39.4960032116921 -658.53915570263</t>
  </si>
  <si>
    <t>-681.43630373582 69.5473699959637 -528.02767840996</t>
  </si>
  <si>
    <t>-645.816217323605 220.336984864516 -509.882460000897</t>
  </si>
  <si>
    <t>-581.374172128749 231.264286755026 -235.462359260258</t>
  </si>
  <si>
    <t>-352.561881853301 205.020458040997 -205.383705302995</t>
  </si>
  <si>
    <t>-687.737369588762 7.15876681261966 -526.591867964469</t>
  </si>
  <si>
    <t>-615.876256310377 136.457323574324 -96.1905036510096</t>
  </si>
  <si>
    <t>-632.057798425659 146.7527451291 318.941754629215</t>
  </si>
  <si>
    <t>-672.197565834205 171.458411060539 779.673031035943</t>
  </si>
  <si>
    <t>-521.451143510209 171.415128312691 835.880999925717</t>
  </si>
  <si>
    <t>-603.62673971762 -61.117508347595 322.340309251539</t>
  </si>
  <si>
    <t>-651.797331428943 -101.769209620342 781.001818404067</t>
  </si>
  <si>
    <t>-498.010836231472 -120.535394767786 824.376569725462</t>
  </si>
  <si>
    <t>9763-20170724T115419.561556000.bin</t>
  </si>
  <si>
    <t>-616.153802294455 44.3767219050226 -92.790948753812</t>
  </si>
  <si>
    <t>-639.28788010556 42.5150754872766 -201.044609335715</t>
  </si>
  <si>
    <t>-654.041078386876 41.2277371896114 -292.731737420887</t>
  </si>
  <si>
    <t>-666.414749043692 40.1730265793481 -375.700995297117</t>
  </si>
  <si>
    <t>-677.268075905422 39.1676316226556 -458.883539344095</t>
  </si>
  <si>
    <t>-691.464860390526 37.7242097967728 -580.708475942543</t>
  </si>
  <si>
    <t>-682.155171871967 39.3845341990952 -658.495136150488</t>
  </si>
  <si>
    <t>-682.039465443766 69.5466678011931 -527.994733730906</t>
  </si>
  <si>
    <t>-645.957848516879 220.23037921629 -509.890914308939</t>
  </si>
  <si>
    <t>-582.145693191093 230.860430780908 -235.311912910007</t>
  </si>
  <si>
    <t>-353.667926610372 202.918595478033 -204.23626832783</t>
  </si>
  <si>
    <t>-688.431439019719 7.1683523175825 -526.510668679807</t>
  </si>
  <si>
    <t>-616.162495976793 136.597672746186 -96.1761083664798</t>
  </si>
  <si>
    <t>-632.246125890193 146.911054505534 318.959437768413</t>
  </si>
  <si>
    <t>-672.194600730776 171.525918565852 779.720678790626</t>
  </si>
  <si>
    <t>-521.433872848169 171.357754555769 835.890065294041</t>
  </si>
  <si>
    <t>-603.841851465759 -61.0070864842153 322.353927191242</t>
  </si>
  <si>
    <t>-651.803666746579 -101.75844697202 781.019562030728</t>
  </si>
  <si>
    <t>-497.976700308477 -120.198604251089 824.390633005823</t>
  </si>
  <si>
    <t>9763-20170724T115419.638317600.bin</t>
  </si>
  <si>
    <t>-616.861044310043 44.4355848478697 -92.7998065845151</t>
  </si>
  <si>
    <t>-640.048205422211 42.5944398418287 -201.042460477471</t>
  </si>
  <si>
    <t>-654.910434882324 41.2573937408595 -292.711125338531</t>
  </si>
  <si>
    <t>-667.409360299511 40.1333484823308 -375.660873963943</t>
  </si>
  <si>
    <t>-678.415338852912 39.033655941281 -458.822097680805</t>
  </si>
  <si>
    <t>-692.865959270363 37.425435736088 -580.614959089035</t>
  </si>
  <si>
    <t>-683.77162111964 38.9105377365413 -658.430747544557</t>
  </si>
  <si>
    <t>-683.270010364126 69.3128030695214 -527.971317788558</t>
  </si>
  <si>
    <t>-646.579443962174 219.867140234124 -509.922639150424</t>
  </si>
  <si>
    <t>-583.329267056758 229.342569757149 -235.171555724142</t>
  </si>
  <si>
    <t>-355.516589340067 198.09430410457 -202.40763094484</t>
  </si>
  <si>
    <t>-689.78029201681 6.94946225425497 -526.375476180311</t>
  </si>
  <si>
    <t>-616.618519422889 136.777754430702 -96.2107544465224</t>
  </si>
  <si>
    <t>-632.456518012177 147.065621868224 318.934914393696</t>
  </si>
  <si>
    <t>-672.178985955334 171.664215747077 779.721399916544</t>
  </si>
  <si>
    <t>-521.39072068619 171.506366826565 835.816721865347</t>
  </si>
  <si>
    <t>-604.259971399372 -60.9185763147259 322.332960062292</t>
  </si>
  <si>
    <t>-651.814611247346 -101.757379397633 781.052662947451</t>
  </si>
  <si>
    <t>-498.00550517911 -120.310294647164 824.438969887583</t>
  </si>
  <si>
    <t>9763-20170724T115419.661378700.bin</t>
  </si>
  <si>
    <t>-617.129248833774 44.3651253476398 -92.8061255972962</t>
  </si>
  <si>
    <t>-640.382587433444 42.5424603781476 -201.034883379164</t>
  </si>
  <si>
    <t>-655.327221822394 41.1788830385356 -292.689880085602</t>
  </si>
  <si>
    <t>-667.911792515949 40.0149983885829 -375.626011173899</t>
  </si>
  <si>
    <t>-679.015026946351 38.8597925723845 -458.773562103379</t>
  </si>
  <si>
    <t>-693.620957777553 37.1531675037179 -580.54662054764</t>
  </si>
  <si>
    <t>-684.613729888745 38.5647524315723 -658.373942716207</t>
  </si>
  <si>
    <t>-683.954505655823 69.0825794451966 -527.941413017253</t>
  </si>
  <si>
    <t>-647.16400938583 219.619254408152 -509.922674857975</t>
  </si>
  <si>
    <t>-583.934678394305 228.6518741346 -235.151744741348</t>
  </si>
  <si>
    <t>-356.359242912991 196.035058769826 -202.074634278865</t>
  </si>
  <si>
    <t>-690.469521899496 6.72143205636553 -526.285957292642</t>
  </si>
  <si>
    <t>-616.834891412676 136.738187186119 -96.2218991159905</t>
  </si>
  <si>
    <t>-632.571797003697 147.017634644018 318.927834794779</t>
  </si>
  <si>
    <t>-672.179496227458 171.678464457313 779.709332876697</t>
  </si>
  <si>
    <t>-521.383277530266 171.442004389474 835.78305865532</t>
  </si>
  <si>
    <t>-604.447035055825 -60.9390055384767 322.322523346608</t>
  </si>
  <si>
    <t>-651.824823509994 -101.768319188499 781.065245334562</t>
  </si>
  <si>
    <t>-498.013003987623 -120.302996830291 824.44972933749</t>
  </si>
  <si>
    <t>9763-20170724T115419.728067800.bin</t>
  </si>
  <si>
    <t>-617.565604261642 43.9504104365735 -92.8673195030586</t>
  </si>
  <si>
    <t>-640.970601277498 42.1373319244083 -201.063460139329</t>
  </si>
  <si>
    <t>-656.092459900601 40.7525665046235 -292.689143429757</t>
  </si>
  <si>
    <t>-668.857347454809 39.5572803951077 -375.597314243121</t>
  </si>
  <si>
    <t>-680.161602712397 38.3581829698478 -458.717098349276</t>
  </si>
  <si>
    <t>-695.084452546865 36.5735079863971 -580.450541995151</t>
  </si>
  <si>
    <t>-686.229959089076 37.8846963548935 -658.297200560138</t>
  </si>
  <si>
    <t>-685.256756875183 68.534004637997 -527.894124422383</t>
  </si>
  <si>
    <t>-648.237381084169 219.010430985157 -509.874704390704</t>
  </si>
  <si>
    <t>-584.520992242473 227.718283600676 -235.205844862699</t>
  </si>
  <si>
    <t>-357.132985206872 193.315510430283 -202.653204007811</t>
  </si>
  <si>
    <t>-691.816133552869 6.17920985785963 -526.175938773701</t>
  </si>
  <si>
    <t>-617.332394322826 136.277657254531 -96.2407399606739</t>
  </si>
  <si>
    <t>-632.840289795179 146.662927488941 318.914902858249</t>
  </si>
  <si>
    <t>-672.181167295343 171.658110837766 779.706749616168</t>
  </si>
  <si>
    <t>-521.374005095581 171.408478624171 835.750833358797</t>
  </si>
  <si>
    <t>-604.667522444329 -61.1179000858356 322.265012762661</t>
  </si>
  <si>
    <t>-651.857124749887 -101.791721891304 781.062982080158</t>
  </si>
  <si>
    <t>-498.024087083582 -120.209512486334 824.421977861568</t>
  </si>
  <si>
    <t>9763-20170724T115419.765167400.bin</t>
  </si>
  <si>
    <t>-617.802672839691 43.6414686690662 -92.8722034961517</t>
  </si>
  <si>
    <t>-641.296563283772 41.8396153628662 -201.049323004265</t>
  </si>
  <si>
    <t>-656.535183814807 40.4659037002114 -292.655679183735</t>
  </si>
  <si>
    <t>-669.422374944886 39.2808646024773 -375.545164820213</t>
  </si>
  <si>
    <t>-680.865936477901 38.092581235305 -458.64605001936</t>
  </si>
  <si>
    <t>-696.011085712901 36.3242654661005 -580.352331990144</t>
  </si>
  <si>
    <t>-687.236920674278 37.5741202188146 -658.209103769072</t>
  </si>
  <si>
    <t>-686.077824907912 68.2766579187216 -527.810768131102</t>
  </si>
  <si>
    <t>-648.943177841909 218.722728402649 -509.777773909878</t>
  </si>
  <si>
    <t>-584.959308930992 227.45899082592 -235.171858786097</t>
  </si>
  <si>
    <t>-357.604094690881 192.412800189037 -203.079848799516</t>
  </si>
  <si>
    <t>-692.653278459387 5.92362770712452 -526.086687822632</t>
  </si>
  <si>
    <t>-617.652335568833 135.922422951518 -96.2255923427168</t>
  </si>
  <si>
    <t>-633.019695033727 146.389097570054 318.933232484978</t>
  </si>
  <si>
    <t>-672.18057914739 171.648726745517 779.720214806952</t>
  </si>
  <si>
    <t>-521.36604636075 171.470490815142 835.744996064738</t>
  </si>
  <si>
    <t>-604.715652652802 -61.2144894396688 322.242966833099</t>
  </si>
  <si>
    <t>-651.883938978433 -101.808111033616 781.056278083324</t>
  </si>
  <si>
    <t>-498.05926122668 -120.343594261025 824.39479324515</t>
  </si>
  <si>
    <t>9763-20170724T115419.886015900.bin</t>
  </si>
  <si>
    <t>-618.918208310018 42.9669755340726 -92.9026514127373</t>
  </si>
  <si>
    <t>-642.734793738849 41.1914562633258 -201.009635806029</t>
  </si>
  <si>
    <t>-658.245019722235 39.7933978871197 -292.570107981508</t>
  </si>
  <si>
    <t>-671.377847943366 38.567210936541 -375.420193736805</t>
  </si>
  <si>
    <t>-683.068011606491 37.3176653784615 -458.486041544923</t>
  </si>
  <si>
    <t>-698.574896308339 35.4379255043705 -580.145074191629</t>
  </si>
  <si>
    <t>-690.001570605875 36.4854914185066 -658.027032902198</t>
  </si>
  <si>
    <t>-688.44908505926 67.4344443400169 -527.667152534133</t>
  </si>
  <si>
    <t>-651.084264257677 217.793003775844 -509.483428570104</t>
  </si>
  <si>
    <t>-586.187523672616 226.874537886635 -235.103311286992</t>
  </si>
  <si>
    <t>-358.717189981476 191.599837805796 -204.095813761555</t>
  </si>
  <si>
    <t>-695.092105442955 5.09109004098582 -525.857131208474</t>
  </si>
  <si>
    <t>-618.866745231399 135.139044918263 -96.223536099229</t>
  </si>
  <si>
    <t>-633.834656855399 145.678557750661 318.948082190384</t>
  </si>
  <si>
    <t>-672.206759584741 171.564120093754 779.767684265748</t>
  </si>
  <si>
    <t>-521.365399839455 171.228225236827 835.719466152981</t>
  </si>
  <si>
    <t>-605.461482887989 -61.3663285246378 322.186413727568</t>
  </si>
  <si>
    <t>-651.978985662896 -101.884705762545 781.035368146144</t>
  </si>
  <si>
    <t>-498.114973600228 -120.299234646594 824.285732196078</t>
  </si>
  <si>
    <t>9763-20170724T115419.931138600.bin</t>
  </si>
  <si>
    <t>-619.955129953527 42.8081754816578 -92.9669459421867</t>
  </si>
  <si>
    <t>-643.922079486877 41.0276218724855 -201.040634946994</t>
  </si>
  <si>
    <t>-659.555346006257 39.6353930016403 -292.580211273598</t>
  </si>
  <si>
    <t>-672.797581244202 38.4189054990293 -375.413148752927</t>
  </si>
  <si>
    <t>-684.595494351511 37.1833400959033 -458.463843423652</t>
  </si>
  <si>
    <t>-700.257999912988 35.3286717417834 -580.103388603964</t>
  </si>
  <si>
    <t>-691.822977987994 36.3367817899327 -658.001055317149</t>
  </si>
  <si>
    <t>-690.06662979124 67.3145467207266 -527.631652055303</t>
  </si>
  <si>
    <t>-652.473154707243 217.605655463174 -509.264157334959</t>
  </si>
  <si>
    <t>-587.643558806223 226.533142430117 -234.863027118335</t>
  </si>
  <si>
    <t>-360.289999642704 190.856952627804 -203.460809279679</t>
  </si>
  <si>
    <t>-696.70423701381 4.97045110947761 -525.826322484719</t>
  </si>
  <si>
    <t>-619.912449320938 134.819611908824 -96.2796314558661</t>
  </si>
  <si>
    <t>-634.646818467794 145.432558294137 318.898466971861</t>
  </si>
  <si>
    <t>-672.269246245353 171.53439993755 779.770745965494</t>
  </si>
  <si>
    <t>-521.384949000635 171.150729369883 835.606312627645</t>
  </si>
  <si>
    <t>-606.354752325546 -61.3753096166333 322.123338896775</t>
  </si>
  <si>
    <t>-651.970704394323 -101.944197390269 781.039081631623</t>
  </si>
  <si>
    <t>-498.081977221932 -120.012017194763 824.34774159447</t>
  </si>
  <si>
    <t>9763-20170724T115419.961216500.bin</t>
  </si>
  <si>
    <t>-620.510256756392 42.7413837659408 -92.9952180008246</t>
  </si>
  <si>
    <t>-644.534895412857 40.9655584189793 -201.056193599478</t>
  </si>
  <si>
    <t>-660.188873241801 39.5777807815061 -292.592222538218</t>
  </si>
  <si>
    <t>-673.438715146823 38.3645925008479 -375.424119494923</t>
  </si>
  <si>
    <t>-685.232860666806 37.1318476699942 -458.475259033191</t>
  </si>
  <si>
    <t>-700.877458716774 35.2800894410473 -580.117211525123</t>
  </si>
  <si>
    <t>-692.506169621939 36.2983666854511 -658.021574321279</t>
  </si>
  <si>
    <t>-690.679200697295 67.2630560634072 -527.645033751481</t>
  </si>
  <si>
    <t>-652.976199641082 217.509443096161 -509.216740181775</t>
  </si>
  <si>
    <t>-588.384980940408 226.326859609354 -234.755720949063</t>
  </si>
  <si>
    <t>-361.150875996295 190.103799807038 -203.11593051407</t>
  </si>
  <si>
    <t>-697.346342057369 4.9221130309777 -525.838504784041</t>
  </si>
  <si>
    <t>-620.484238961547 134.652248831934 -96.3019337571386</t>
  </si>
  <si>
    <t>-635.22653670558 145.27324870332 318.875695296848</t>
  </si>
  <si>
    <t>-672.318071452787 171.509315730237 779.770353505569</t>
  </si>
  <si>
    <t>-521.405420200644 171.009397225085 835.528261705949</t>
  </si>
  <si>
    <t>-606.806425340372 -61.3698994552612 322.08657367986</t>
  </si>
  <si>
    <t>-651.925821886809 -101.977117266914 781.05550633419</t>
  </si>
  <si>
    <t>-498.0406462947 -119.872362598204 824.448376270881</t>
  </si>
  <si>
    <t>9763-20170724T115420.028935900.bin</t>
  </si>
  <si>
    <t>-621.577145197193 42.5664415463339 -93.0418823466707</t>
  </si>
  <si>
    <t>-645.688731307623 40.7918605404952 -201.08335570651</t>
  </si>
  <si>
    <t>-661.407202228599 39.4783343079803 -292.609657969283</t>
  </si>
  <si>
    <t>-674.710524202585 38.3616609205828 -375.434222747089</t>
  </si>
  <si>
    <t>-686.552977644072 37.2524770945668 -458.480337263239</t>
  </si>
  <si>
    <t>-702.262006297767 35.6100377636878 -580.1169621885</t>
  </si>
  <si>
    <t>-694.024206249304 36.6551231560493 -658.035153441849</t>
  </si>
  <si>
    <t>-691.915700136384 67.4891329133447 -527.610523142039</t>
  </si>
  <si>
    <t>-653.198190657649 217.451870418324 -508.891983856081</t>
  </si>
  <si>
    <t>-589.602343498478 225.684846278885 -234.180561840391</t>
  </si>
  <si>
    <t>-362.828929191909 187.5355732001 -201.515840536032</t>
  </si>
  <si>
    <t>-698.822381830605 5.17226717401013 -525.877095748856</t>
  </si>
  <si>
    <t>-621.637306972194 134.332769110387 -96.3658225315329</t>
  </si>
  <si>
    <t>-636.18167872318 145.026455467995 318.816861440817</t>
  </si>
  <si>
    <t>-672.394845070244 171.482837968201 779.793071169204</t>
  </si>
  <si>
    <t>-521.429042523412 170.862229469981 835.405735502834</t>
  </si>
  <si>
    <t>-607.486038117744 -61.337640510226 322.05607926514</t>
  </si>
  <si>
    <t>-651.819659062674 -102.058312443189 781.089860518887</t>
  </si>
  <si>
    <t>-497.970373125594 -119.686716329416 824.718526131163</t>
  </si>
  <si>
    <t>9763-20170724T115420.064029100.bin</t>
  </si>
  <si>
    <t>-622.046499149091 42.3885110251392 -93.0335396679062</t>
  </si>
  <si>
    <t>-646.275575654802 40.6237763690281 -201.048972112996</t>
  </si>
  <si>
    <t>-662.064727353738 39.3740337127367 -292.563854132352</t>
  </si>
  <si>
    <t>-675.419558105312 38.3376290050289 -375.381125550638</t>
  </si>
  <si>
    <t>-687.300826894356 37.3303272578453 -458.423117138762</t>
  </si>
  <si>
    <t>-703.052206847333 35.8601854905144 -580.056481491398</t>
  </si>
  <si>
    <t>-694.84389522084 36.9347604738452 -657.977416781142</t>
  </si>
  <si>
    <t>-692.652989661281 67.6610346811513 -527.512838058505</t>
  </si>
  <si>
    <t>-653.371791948079 217.435184670431 -508.526175672542</t>
  </si>
  <si>
    <t>-590.186258473052 225.110637038523 -233.703967076397</t>
  </si>
  <si>
    <t>-363.560950868541 186.23895600895 -200.863464174729</t>
  </si>
  <si>
    <t>-699.628233095931 5.34962147109832 -525.856565809808</t>
  </si>
  <si>
    <t>-622.061405125139 134.158326714679 -96.3712422900828</t>
  </si>
  <si>
    <t>-636.406632014626 144.909840265629 318.817000030193</t>
  </si>
  <si>
    <t>-672.412327001498 171.482342651331 779.806294054988</t>
  </si>
  <si>
    <t>-521.426857157389 170.762220700045 835.364352084132</t>
  </si>
  <si>
    <t>-607.704950345961 -61.3516323839108 322.055761854472</t>
  </si>
  <si>
    <t>-651.81110219672 -102.093580628968 781.100395532078</t>
  </si>
  <si>
    <t>-497.96903191472 -119.667271318844 824.776491163859</t>
  </si>
  <si>
    <t>9763-20170724T115420.132227000.bin</t>
  </si>
  <si>
    <t>-622.88467612245 42.0471250608325 -93.0220033809161</t>
  </si>
  <si>
    <t>-647.415958611999 40.3187611356361 -200.969911111157</t>
  </si>
  <si>
    <t>-663.369457446271 39.1539925119314 -292.457299511942</t>
  </si>
  <si>
    <t>-676.835623932454 38.2154555679651 -375.257797106879</t>
  </si>
  <si>
    <t>-688.790556123646 37.327883605851 -458.290485269755</t>
  </si>
  <si>
    <t>-704.607681531317 36.0566603606042 -579.917489128502</t>
  </si>
  <si>
    <t>-696.48049220471 37.2097988130986 -657.845816030438</t>
  </si>
  <si>
    <t>-694.250444265878 67.7793603624862 -527.318666207744</t>
  </si>
  <si>
    <t>-655.170044497286 217.560891074769 -507.812251118611</t>
  </si>
  <si>
    <t>-591.62610942519 223.763769345215 -233.035527354736</t>
  </si>
  <si>
    <t>-365.092980910485 183.748173925908 -200.941316728655</t>
  </si>
  <si>
    <t>-701.084124273547 5.44939681294932 -525.778561260502</t>
  </si>
  <si>
    <t>-622.988860223483 133.953138305015 -96.3498924318344</t>
  </si>
  <si>
    <t>-636.6736701592 144.600436143424 318.86320771969</t>
  </si>
  <si>
    <t>-672.435356963805 171.47059299914 779.859007153503</t>
  </si>
  <si>
    <t>-521.434322037661 170.425999042243 835.369590673288</t>
  </si>
  <si>
    <t>-607.883513403002 -61.2491683016169 322.048075977535</t>
  </si>
  <si>
    <t>-651.814948913864 -102.153206423468 781.099877918051</t>
  </si>
  <si>
    <t>-497.992817112337 -119.74002494383 824.840937293089</t>
  </si>
  <si>
    <t>9763-20170724T115420.160303800.bin</t>
  </si>
  <si>
    <t>-623.258455015586 41.7672272787818 -93.0073634880066</t>
  </si>
  <si>
    <t>-647.922236478316 40.0466612214773 -200.925051514452</t>
  </si>
  <si>
    <t>-663.906550374791 38.9100019261161 -292.407528668427</t>
  </si>
  <si>
    <t>-677.367589972215 38.0034060677926 -375.20910734306</t>
  </si>
  <si>
    <t>-689.28415342745 37.154480129846 -458.247745074078</t>
  </si>
  <si>
    <t>-705.008355196307 35.9469571842621 -579.887492755123</t>
  </si>
  <si>
    <t>-696.897795228089 37.1597294101805 -657.816694377994</t>
  </si>
  <si>
    <t>-694.740203039783 67.6477283210561 -527.257897430696</t>
  </si>
  <si>
    <t>-655.977095147341 217.475048745924 -507.559218916</t>
  </si>
  <si>
    <t>-592.29774242165 223.345013933191 -232.806468417535</t>
  </si>
  <si>
    <t>-365.898872549317 182.217879668548 -201.173432323657</t>
  </si>
  <si>
    <t>-701.477211788837 5.30595764558052 -525.768166287275</t>
  </si>
  <si>
    <t>-623.498651947939 133.66269196329 -96.2984752986762</t>
  </si>
  <si>
    <t>-636.873765141022 144.437754268317 318.921455065964</t>
  </si>
  <si>
    <t>-672.434711614866 171.467896659482 779.904196365235</t>
  </si>
  <si>
    <t>-521.428655657519 170.312641997666 835.398785918613</t>
  </si>
  <si>
    <t>-607.827289305191 -61.2626347427477 322.049983367387</t>
  </si>
  <si>
    <t>-651.810892785518 -102.216116972374 781.093918193608</t>
  </si>
  <si>
    <t>-498.03570380301 -120.084280140693 824.885944063083</t>
  </si>
  <si>
    <t>9763-20170724T115420.194397300.bin</t>
  </si>
  <si>
    <t>-623.594656318198 41.4893046850293 -92.9796064005837</t>
  </si>
  <si>
    <t>-648.339284891344 39.7569486747452 -200.878603512162</t>
  </si>
  <si>
    <t>-664.307391893939 38.6198646481355 -292.363958048558</t>
  </si>
  <si>
    <t>-677.719733701151 37.7128878524134 -375.173460284221</t>
  </si>
  <si>
    <t>-689.553063774965 36.864079788375 -458.223928497976</t>
  </si>
  <si>
    <t>-705.117766364183 35.655648686944 -579.884133406847</t>
  </si>
  <si>
    <t>-697.000789269389 36.9065538602929 -657.812168727341</t>
  </si>
  <si>
    <t>-694.949773487306 67.360205179107 -527.2374463881</t>
  </si>
  <si>
    <t>-656.429948889488 217.244571021572 -507.416687086202</t>
  </si>
  <si>
    <t>-592.875389557142 223.03895322925 -232.633416799534</t>
  </si>
  <si>
    <t>-366.623571175562 180.955925959595 -201.206250368785</t>
  </si>
  <si>
    <t>-701.626434105797 5.0115217434643 -525.764072578917</t>
  </si>
  <si>
    <t>-624.105407315392 133.37659073424 -96.2343681401321</t>
  </si>
  <si>
    <t>-637.122567265852 144.267781554223 318.993983733584</t>
  </si>
  <si>
    <t>-672.421870578287 171.480789399177 779.970197294427</t>
  </si>
  <si>
    <t>-521.40429646192 170.356345866578 835.434127366378</t>
  </si>
  <si>
    <t>-607.696609642313 -61.1907350720512 322.047754935487</t>
  </si>
  <si>
    <t>-651.772170598915 -102.205467443467 781.087853190002</t>
  </si>
  <si>
    <t>-497.976593703672 -119.651149821433 824.978491466844</t>
  </si>
  <si>
    <t>9763-20170724T115420.276618100.bin</t>
  </si>
  <si>
    <t>-623.953297481707 41.2142136392838 -92.9399547571114</t>
  </si>
  <si>
    <t>-648.740190933748 39.4811655798758 -200.829271997009</t>
  </si>
  <si>
    <t>-664.65633191124 38.3321344799763 -292.323481570207</t>
  </si>
  <si>
    <t>-677.986397637822 37.4064100187661 -375.146153006108</t>
  </si>
  <si>
    <t>-689.702079333636 36.5299614218291 -458.213008582169</t>
  </si>
  <si>
    <t>-705.05589037491 35.2704875892007 -579.899618570996</t>
  </si>
  <si>
    <t>-696.894557623614 36.5466879348928 -657.822490429431</t>
  </si>
  <si>
    <t>-694.998826823011 66.9993471836206 -527.246227626658</t>
  </si>
  <si>
    <t>-656.651297395755 216.912121604121 -507.414887630815</t>
  </si>
  <si>
    <t>-593.4069420167 222.797134991277 -232.562022158085</t>
  </si>
  <si>
    <t>-367.351899017716 179.813335690178 -200.938601888437</t>
  </si>
  <si>
    <t>-701.638766902103 4.64692323278837 -525.762927124416</t>
  </si>
  <si>
    <t>-624.771350613535 133.072042177373 -96.1519200086058</t>
  </si>
  <si>
    <t>-637.436287690629 144.117160872925 319.083214483044</t>
  </si>
  <si>
    <t>-672.433450256235 171.46757660689 780.06340033513</t>
  </si>
  <si>
    <t>-521.400067727216 170.321932382499 835.483844902969</t>
  </si>
  <si>
    <t>-607.455713963366 -61.1504493765597 322.053260082325</t>
  </si>
  <si>
    <t>-651.733595473121 -102.191216243076 781.092579523467</t>
  </si>
  <si>
    <t>-497.916141653091 -119.237526030223 825.063442401993</t>
  </si>
  <si>
    <t>9763-20170724T115420.329371000.bin</t>
  </si>
  <si>
    <t>-625.453941245244 40.5403371970722 -92.82531089184</t>
  </si>
  <si>
    <t>-650.292891505857 38.8066391416446 -200.702591143259</t>
  </si>
  <si>
    <t>-666.020048439587 37.7655802463191 -292.230720720915</t>
  </si>
  <si>
    <t>-679.083937434245 36.9722079736166 -375.097202416812</t>
  </si>
  <si>
    <t>-690.436355534794 36.2625960870387 -458.216134529894</t>
  </si>
  <si>
    <t>-705.151484137066 35.2820038664254 -579.984163316775</t>
  </si>
  <si>
    <t>-696.717078593295 36.7134347767781 -657.87515950677</t>
  </si>
  <si>
    <t>-695.441286838606 66.8976487584775 -527.197739004876</t>
  </si>
  <si>
    <t>-657.196970272494 216.782916066556 -507.055201915422</t>
  </si>
  <si>
    <t>-595.412450460417 222.374848690507 -231.864498750431</t>
  </si>
  <si>
    <t>-369.811121658438 177.999894534337 -198.948925400648</t>
  </si>
  <si>
    <t>-701.947915501044 4.52689633263981 -525.909007540957</t>
  </si>
  <si>
    <t>-626.850654856173 132.275307700613 -95.9511337800511</t>
  </si>
  <si>
    <t>-638.548611430572 143.74386246207 319.300904497691</t>
  </si>
  <si>
    <t>-672.460411648141 171.432678896302 780.332916191228</t>
  </si>
  <si>
    <t>-521.377850806844 170.01486736074 835.612797427182</t>
  </si>
  <si>
    <t>-606.915496241569 -61.2606381454871 321.999624962276</t>
  </si>
  <si>
    <t>-651.559909505181 -102.323519107568 780.940297480079</t>
  </si>
  <si>
    <t>-497.855608002621 -119.211273629026 825.36567722708</t>
  </si>
  <si>
    <t>9763-20170724T115420.364465200.bin</t>
  </si>
  <si>
    <t>-625.919913468307 40.4497016130156 -92.8633859299398</t>
  </si>
  <si>
    <t>-650.774551112636 38.7054764420323 -200.737050868542</t>
  </si>
  <si>
    <t>-666.409174512088 37.7282291554718 -292.281700970504</t>
  </si>
  <si>
    <t>-679.345800303299 37.0194760167431 -375.168868312152</t>
  </si>
  <si>
    <t>-690.52644782934 36.4214725812069 -458.311921949144</t>
  </si>
  <si>
    <t>-704.940894613393 35.6333160760694 -580.117269873702</t>
  </si>
  <si>
    <t>-696.35094829214 37.1679941859975 -657.989341680709</t>
  </si>
  <si>
    <t>-695.4250559206 67.172233118541 -527.249605486143</t>
  </si>
  <si>
    <t>-657.406013293583 217.083914733934 -506.910949526884</t>
  </si>
  <si>
    <t>-596.003112509214 222.340211281966 -231.628097320887</t>
  </si>
  <si>
    <t>-370.527438704418 177.525428887481 -198.448513076181</t>
  </si>
  <si>
    <t>-701.806859285739 4.78612099005068 -526.090707356874</t>
  </si>
  <si>
    <t>-627.430710513813 132.164926475905 -95.9612816431369</t>
  </si>
  <si>
    <t>-638.857970369639 143.727225101193 319.295687054306</t>
  </si>
  <si>
    <t>-672.456355315861 171.453249779624 780.358357949733</t>
  </si>
  <si>
    <t>-521.357698767982 170.006342197411 835.593525575268</t>
  </si>
  <si>
    <t>-607.00594005291 -61.3082799921572 321.927462930184</t>
  </si>
  <si>
    <t>-651.414730615237 -102.392877586871 780.876911541712</t>
  </si>
  <si>
    <t>-497.809942518275 -119.319078428462 825.630609345457</t>
  </si>
  <si>
    <t>9763-20170724T115420.429440600.bin</t>
  </si>
  <si>
    <t>-626.571548077026 40.3664673365067 -92.9713340991074</t>
  </si>
  <si>
    <t>-651.268697462015 38.5455352488962 -200.879724587648</t>
  </si>
  <si>
    <t>-666.629589992038 37.654482413554 -292.47172061945</t>
  </si>
  <si>
    <t>-679.259983314678 37.0798599452705 -375.407195813418</t>
  </si>
  <si>
    <t>-690.073543422478 36.6719735175132 -458.599851214547</t>
  </si>
  <si>
    <t>-703.883323205542 36.2217149247197 -580.47697339764</t>
  </si>
  <si>
    <t>-694.991797250456 37.972583553613 -658.310734578193</t>
  </si>
  <si>
    <t>-694.672542478112 67.6180851208214 -527.470667045108</t>
  </si>
  <si>
    <t>-656.835679192567 217.525380751386 -506.631559791151</t>
  </si>
  <si>
    <t>-596.494466979609 222.418459395344 -231.107252751618</t>
  </si>
  <si>
    <t>-371.18334883223 176.718752382594 -198.017120751022</t>
  </si>
  <si>
    <t>-700.974933609144 5.22033276547108 -526.525999560879</t>
  </si>
  <si>
    <t>-628.387342939161 132.048933909242 -96.0395677381209</t>
  </si>
  <si>
    <t>-639.330796677817 143.805952791935 319.224943320961</t>
  </si>
  <si>
    <t>-672.443904869176 171.530183144484 780.354647340176</t>
  </si>
  <si>
    <t>-521.305882126514 170.225816754803 835.48549275062</t>
  </si>
  <si>
    <t>-607.306985625557 -61.1587551941377 321.816243888212</t>
  </si>
  <si>
    <t>-650.786826548904 -102.601490458331 780.813237788975</t>
  </si>
  <si>
    <t>-497.506142883791 -119.215011276695 826.778941785103</t>
  </si>
  <si>
    <t>9763-20170724T115420.462527000.bin</t>
  </si>
  <si>
    <t>-626.643624403755 40.270494268457 -92.9920696122269</t>
  </si>
  <si>
    <t>-651.285473965264 38.4296324996642 -200.912841099871</t>
  </si>
  <si>
    <t>-666.529829548134 37.5657843530696 -292.524479449184</t>
  </si>
  <si>
    <t>-679.025998937401 37.0315801626753 -375.480537560634</t>
  </si>
  <si>
    <t>-689.675810948653 36.6794412107045 -458.69457084039</t>
  </si>
  <si>
    <t>-703.213359300078 36.3268349476198 -580.602527452559</t>
  </si>
  <si>
    <t>-694.168280345691 38.160553796758 -658.416552494663</t>
  </si>
  <si>
    <t>-694.127238034793 67.6816176999741 -527.550041441256</t>
  </si>
  <si>
    <t>-656.289272656028 217.584543932535 -506.64403293659</t>
  </si>
  <si>
    <t>-596.658794535937 222.456483959395 -230.964740836997</t>
  </si>
  <si>
    <t>-371.479360268436 176.165049345371 -197.800580578171</t>
  </si>
  <si>
    <t>-700.419176719098 5.2815699156381 -526.670683531482</t>
  </si>
  <si>
    <t>-628.677364717983 131.922475275301 -96.0689877489244</t>
  </si>
  <si>
    <t>-639.510308655572 143.754772944279 319.19623861356</t>
  </si>
  <si>
    <t>-672.44293680964 171.556756145887 780.347000482153</t>
  </si>
  <si>
    <t>-521.285905779266 170.148870287231 835.423293593399</t>
  </si>
  <si>
    <t>-607.270366657779 -61.2125533345438 321.791963611368</t>
  </si>
  <si>
    <t>-650.279885784961 -102.722871136503 780.85133054392</t>
  </si>
  <si>
    <t>-497.231148550761 -118.907707515967 827.733747595125</t>
  </si>
  <si>
    <t>9763-20170724T115420.527255200.bin</t>
  </si>
  <si>
    <t>-626.544902052374 39.9782349825509 -92.9822143735755</t>
  </si>
  <si>
    <t>-651.074791677235 38.0759879706636 -200.927330987679</t>
  </si>
  <si>
    <t>-666.070044982393 37.1667682088357 -292.579799241814</t>
  </si>
  <si>
    <t>-678.278455473197 36.5893552968814 -375.578335179516</t>
  </si>
  <si>
    <t>-688.577196417188 36.1905559075617 -458.836363399779</t>
  </si>
  <si>
    <t>-701.531907085719 35.7635050923911 -580.807342390835</t>
  </si>
  <si>
    <t>-692.245478280951 37.6141160932018 -658.592581372421</t>
  </si>
  <si>
    <t>-692.702544491983 67.15081908825 -527.730795204117</t>
  </si>
  <si>
    <t>-654.920285883593 217.062278347371 -506.803010766801</t>
  </si>
  <si>
    <t>-596.469503361919 222.221217248544 -230.876419514356</t>
  </si>
  <si>
    <t>-371.531952786007 174.930569225426 -197.481358578539</t>
  </si>
  <si>
    <t>-698.992455522623 4.75093012377874 -526.844303334352</t>
  </si>
  <si>
    <t>-629.125344077969 131.602602137432 -96.0904270073395</t>
  </si>
  <si>
    <t>-639.461731621449 143.56516507255 319.183775131893</t>
  </si>
  <si>
    <t>-672.421292586344 171.565103143393 780.349553119066</t>
  </si>
  <si>
    <t>-521.235411119722 170.021411735641 835.342937806418</t>
  </si>
  <si>
    <t>-606.989703807541 -60.9128279050149 321.883519738145</t>
  </si>
  <si>
    <t>-649.396887543433 -102.839738544587 780.936194234299</t>
  </si>
  <si>
    <t>-496.796336228647 -118.361117826455 829.474695531638</t>
  </si>
  <si>
    <t>9763-20170724T115420.563350500.bin</t>
  </si>
  <si>
    <t>-626.624756264561 39.7686925974788 -92.9804177357748</t>
  </si>
  <si>
    <t>-651.082289167965 37.8251913751055 -200.941350762342</t>
  </si>
  <si>
    <t>-665.946670084429 36.8831316124372 -292.614573506247</t>
  </si>
  <si>
    <t>-678.008578811668 36.2743637586048 -375.634324135206</t>
  </si>
  <si>
    <t>-688.132293485994 35.8412623864854 -458.913758732924</t>
  </si>
  <si>
    <t>-700.799727204662 35.3602454275479 -580.914717981461</t>
  </si>
  <si>
    <t>-691.432951095736 37.1991894773766 -658.69062810851</t>
  </si>
  <si>
    <t>-692.091322240271 66.7706068206815 -527.831818887777</t>
  </si>
  <si>
    <t>-654.343693741923 216.692823017299 -506.969186996163</t>
  </si>
  <si>
    <t>-596.45789991354 222.153941001335 -230.929308859441</t>
  </si>
  <si>
    <t>-371.57161725921 174.648960783972 -197.493502174028</t>
  </si>
  <si>
    <t>-698.391516728287 4.37180643666397 -526.931676516858</t>
  </si>
  <si>
    <t>-629.383569894086 131.417726177415 -96.090758289175</t>
  </si>
  <si>
    <t>-639.423185906474 143.453739389701 319.188569468202</t>
  </si>
  <si>
    <t>-672.36721749404 171.589065555611 780.354913492851</t>
  </si>
  <si>
    <t>-521.175069734159 170.155857051909 835.334057422887</t>
  </si>
  <si>
    <t>-607.003576992312 -60.7282343285708 321.92543828107</t>
  </si>
  <si>
    <t>-649.142660322958 -102.864713767317 780.946866321545</t>
  </si>
  <si>
    <t>-496.708171932192 -118.393653345018 830.00200716799</t>
  </si>
  <si>
    <t>9763-20170724T115420.599998000.bin</t>
  </si>
  <si>
    <t>-626.784699237764 39.5072609124052 -92.9970982898095</t>
  </si>
  <si>
    <t>-651.101292695679 37.5213554771196 -200.988984036158</t>
  </si>
  <si>
    <t>-665.825998335056 36.5410041429411 -292.684479772449</t>
  </si>
  <si>
    <t>-677.753331627355 35.8941607116278 -375.723275936592</t>
  </si>
  <si>
    <t>-687.733763270067 35.419205911101 -459.019891029121</t>
  </si>
  <si>
    <t>-700.18230544988 34.8711808066628 -581.042990986743</t>
  </si>
  <si>
    <t>-690.756804791297 36.6570901465159 -658.813060618248</t>
  </si>
  <si>
    <t>-691.536110887371 66.3073582367299 -527.965268297615</t>
  </si>
  <si>
    <t>-653.767991646565 216.25173230641 -507.232916629691</t>
  </si>
  <si>
    <t>-596.542265312781 221.983377105983 -231.060872697922</t>
  </si>
  <si>
    <t>-371.693090210376 174.36454026145 -197.53729579748</t>
  </si>
  <si>
    <t>-697.903878092154 3.91589972368047 -527.03545323905</t>
  </si>
  <si>
    <t>-629.69035069471 131.112913512782 -96.0996605852586</t>
  </si>
  <si>
    <t>-639.51495501036 143.330365738456 319.17957637668</t>
  </si>
  <si>
    <t>-672.333131278677 171.613346170081 780.353618417323</t>
  </si>
  <si>
    <t>-521.135114057274 170.178095782582 835.316496369463</t>
  </si>
  <si>
    <t>-607.446651891826 -60.7066957227187 321.905450799532</t>
  </si>
  <si>
    <t>-649.025015994534 -102.900229373884 780.923691749953</t>
  </si>
  <si>
    <t>-496.660191541161 -118.170880295589 830.275446900871</t>
  </si>
  <si>
    <t>9763-20170724T115420.663176700.bin</t>
  </si>
  <si>
    <t>-627.190121222369 38.8746548642282 -93.0376816082564</t>
  </si>
  <si>
    <t>-651.155848766996 36.8234234322031 -201.106760368343</t>
  </si>
  <si>
    <t>-665.610273389405 35.7150221755478 -292.843762585813</t>
  </si>
  <si>
    <t>-677.304526187304 34.9213843253647 -375.914488164041</t>
  </si>
  <si>
    <t>-687.063696586883 34.265548255597 -459.235922845914</t>
  </si>
  <si>
    <t>-699.202399706539 33.4147068066693 -581.288603701224</t>
  </si>
  <si>
    <t>-689.690908212477 35.0095349805554 -659.052370468888</t>
  </si>
  <si>
    <t>-690.590566471346 64.971929925252 -528.277146986296</t>
  </si>
  <si>
    <t>-652.571823825256 214.905588295664 -507.898575082409</t>
  </si>
  <si>
    <t>-596.413656384659 221.128311795877 -231.51806675466</t>
  </si>
  <si>
    <t>-371.67878105918 173.182896040363 -197.695153339588</t>
  </si>
  <si>
    <t>-697.16153061537 2.60415996868414 -527.18881665141</t>
  </si>
  <si>
    <t>-630.210331159632 130.233150777935 -96.1376603574863</t>
  </si>
  <si>
    <t>-640.021292602007 143.012041729476 319.124950308047</t>
  </si>
  <si>
    <t>-672.267321827485 171.708976310317 780.307557280228</t>
  </si>
  <si>
    <t>-521.038391010551 170.35914304669 835.187504608407</t>
  </si>
  <si>
    <t>-608.758416154079 -61.0442525184499 321.83184828769</t>
  </si>
  <si>
    <t>-648.965986157682 -102.920612556589 780.904272977788</t>
  </si>
  <si>
    <t>-496.662372299706 -117.947073840816 830.519156330633</t>
  </si>
  <si>
    <t>9763-20170724T115420.731930000.bin</t>
  </si>
  <si>
    <t>-627.948701029846 38.0723119979775 -93.1411988206204</t>
  </si>
  <si>
    <t>-651.641369042398 35.9210421786047 -201.268631795834</t>
  </si>
  <si>
    <t>-665.877671509381 34.5926055726384 -293.0368411284</t>
  </si>
  <si>
    <t>-677.38189281517 33.542273920506 -376.131277017366</t>
  </si>
  <si>
    <t>-686.959001272302 32.5706610128561 -459.470669208718</t>
  </si>
  <si>
    <t>-698.841825233736 31.1914193069074 -581.543705750881</t>
  </si>
  <si>
    <t>-689.258393112704 32.5248587211715 -659.303605226238</t>
  </si>
  <si>
    <t>-690.272971791426 62.9705171390804 -528.657856100853</t>
  </si>
  <si>
    <t>-652.125697585462 212.928109951087 -508.749625553845</t>
  </si>
  <si>
    <t>-596.408841597073 219.571978218404 -232.289691638408</t>
  </si>
  <si>
    <t>-371.847487136778 170.877334173802 -198.384510790244</t>
  </si>
  <si>
    <t>-696.982534327633 0.622681610906056 -527.300280685535</t>
  </si>
  <si>
    <t>-631.169329513662 129.289537150554 -96.247525627793</t>
  </si>
  <si>
    <t>-640.504940118349 142.610907080404 319.008996228936</t>
  </si>
  <si>
    <t>-672.202137092671 171.76163913965 780.251005506922</t>
  </si>
  <si>
    <t>-520.951279852087 170.37455257055 835.069560711625</t>
  </si>
  <si>
    <t>-609.680905618386 -61.5905958138324 321.755971727907</t>
  </si>
  <si>
    <t>-649.035544364034 -102.99969727589 780.925548600453</t>
  </si>
  <si>
    <t>-496.721482441787 -117.806098860441 830.574499060165</t>
  </si>
  <si>
    <t>9763-20170724T115420.760002900.bin</t>
  </si>
  <si>
    <t>-628.372820931541 37.5636882791664 -93.1697380928391</t>
  </si>
  <si>
    <t>-651.93343602378 35.3491952068562 -201.324739227609</t>
  </si>
  <si>
    <t>-666.109479607691 33.8846856577038 -293.100040633036</t>
  </si>
  <si>
    <t>-677.581155368771 32.6768216412672 -376.196899640229</t>
  </si>
  <si>
    <t>-687.148583453703 31.5125248327224 -459.535102958959</t>
  </si>
  <si>
    <t>-699.043200282506 29.8126033180033 -581.602831275609</t>
  </si>
  <si>
    <t>-689.475375919956 30.9774275782804 -659.367354877539</t>
  </si>
  <si>
    <t>-690.437248937748 61.7269573976798 -528.804663009564</t>
  </si>
  <si>
    <t>-652.286545319461 211.741218776469 -509.296368458684</t>
  </si>
  <si>
    <t>-596.749154355346 218.754021619122 -232.809480075613</t>
  </si>
  <si>
    <t>-372.286497725343 169.667514326729 -198.815898459607</t>
  </si>
  <si>
    <t>-631.735538192733 128.72788406203 -96.2747537391575</t>
  </si>
  <si>
    <t>-640.755530372836 142.369369845302 318.978380810492</t>
  </si>
  <si>
    <t>-672.175622624287 171.785497590278 780.22455635924</t>
  </si>
  <si>
    <t>-520.914998504755 170.450798254771 835.017494253847</t>
  </si>
  <si>
    <t>-610.039765267904 -61.928282520603 321.744071390393</t>
  </si>
  <si>
    <t>-649.088554023232 -103.015818675844 780.957018654163</t>
  </si>
  <si>
    <t>-496.757484175785 -117.694146357 830.591824668286</t>
  </si>
  <si>
    <t>9763-20170724T115420.828744200.bin</t>
  </si>
  <si>
    <t>-628.962928361551 36.3706190725436 -93.2217086415579</t>
  </si>
  <si>
    <t>-652.251039672439 34.1229828857308 -201.434967097056</t>
  </si>
  <si>
    <t>-666.300092620458 32.3688674725222 -293.224863495547</t>
  </si>
  <si>
    <t>-677.703004705639 30.7915568625497 -376.324880762581</t>
  </si>
  <si>
    <t>-687.250443841176 29.1497531522286 -459.657379338051</t>
  </si>
  <si>
    <t>-699.172232053078 26.6323536566183 -581.70835593837</t>
  </si>
  <si>
    <t>-689.607671159411 27.3209007633122 -659.478976980169</t>
  </si>
  <si>
    <t>-690.50559535362 58.8941008850441 -529.131673482157</t>
  </si>
  <si>
    <t>-652.345394955667 209.023204190425 -510.621557675322</t>
  </si>
  <si>
    <t>-597.286153700598 217.284293531879 -234.073537932557</t>
  </si>
  <si>
    <t>-373.039604918038 167.525453404081 -199.633978122764</t>
  </si>
  <si>
    <t>-632.61362489977 127.402720021673 -96.2773934103344</t>
  </si>
  <si>
    <t>-641.437266669232 141.794041987864 318.954606992891</t>
  </si>
  <si>
    <t>-672.100003791217 171.874318989318 780.190452790773</t>
  </si>
  <si>
    <t>-520.810627624385 170.744002076638 834.908530327161</t>
  </si>
  <si>
    <t>-610.440684603312 -62.8858594328365 321.690676468392</t>
  </si>
  <si>
    <t>-649.224294364985 -103.189635526877 781.003041174476</t>
  </si>
  <si>
    <t>-496.899277291577 -118.12929528958 830.578403281701</t>
  </si>
  <si>
    <t>9763-20170724T115420.860829900.bin</t>
  </si>
  <si>
    <t>-629.177289101703 35.8399401683103 -93.2216064667914</t>
  </si>
  <si>
    <t>-652.333469866138 33.5517860720461 -201.462372187512</t>
  </si>
  <si>
    <t>-666.337940634429 31.6494048990478 -293.255949418127</t>
  </si>
  <si>
    <t>-677.729609205326 29.8910732040047 -376.35401751722</t>
  </si>
  <si>
    <t>-687.296132904584 28.0217256909145 -459.679439116611</t>
  </si>
  <si>
    <t>-699.280345542585 25.1208462618147 -581.715818332982</t>
  </si>
  <si>
    <t>-689.731588136059 25.5561863720293 -659.490091219115</t>
  </si>
  <si>
    <t>-690.591410987414 57.5482083362351 -529.244757498832</t>
  </si>
  <si>
    <t>-652.435354429076 207.727575071817 -511.178019732487</t>
  </si>
  <si>
    <t>-597.529567539743 216.654823898167 -234.620251720212</t>
  </si>
  <si>
    <t>-373.379915174557 166.711883324442 -199.818364269576</t>
  </si>
  <si>
    <t>-633.039684173985 126.807331410117 -96.290673409693</t>
  </si>
  <si>
    <t>-641.778078932214 141.521457158829 318.931872982867</t>
  </si>
  <si>
    <t>-672.061241962033 171.92328317112 780.17693727375</t>
  </si>
  <si>
    <t>-520.756599230313 170.882950646337 834.85467193504</t>
  </si>
  <si>
    <t>-610.607093669324 -63.4689729293332 321.673705408692</t>
  </si>
  <si>
    <t>-649.304076016496 -103.237384303775 781.02206869648</t>
  </si>
  <si>
    <t>-496.9434166441 -117.987297927111 830.544681504666</t>
  </si>
  <si>
    <t>9763-20170724T115420.928630100.bin</t>
  </si>
  <si>
    <t>-629.519569783099 34.9576722997956 -93.2300774554924</t>
  </si>
  <si>
    <t>-652.526564569417 32.5242883171368 -201.499451667667</t>
  </si>
  <si>
    <t>-666.505394330279 30.3357943379785 -293.290727829979</t>
  </si>
  <si>
    <t>-677.917456629665 28.2495654957011 -376.378368092973</t>
  </si>
  <si>
    <t>-687.549919521103 25.9847579780862 -459.686333410648</t>
  </si>
  <si>
    <t>-699.682479523672 22.4316811041867 -581.69073330149</t>
  </si>
  <si>
    <t>-690.202631282128 22.4351990724015 -659.474782295448</t>
  </si>
  <si>
    <t>-690.993574892659 55.1461199925427 -529.398344128131</t>
  </si>
  <si>
    <t>-653.295452958574 205.524749824433 -512.069684309589</t>
  </si>
  <si>
    <t>-598.332593736939 215.430583024051 -235.556493665939</t>
  </si>
  <si>
    <t>-374.163234250169 165.922547149273 -200.263625069377</t>
  </si>
  <si>
    <t>-633.83949591541 125.786283431524 -96.3317572841319</t>
  </si>
  <si>
    <t>-642.400964648389 141.097799058852 318.872833437043</t>
  </si>
  <si>
    <t>-671.999000095163 172.057767249288 780.133977356312</t>
  </si>
  <si>
    <t>-520.649439244983 171.167789201213 834.689857703021</t>
  </si>
  <si>
    <t>-610.930533181646 -64.7397673782675 321.678581556382</t>
  </si>
  <si>
    <t>-649.559369958201 -103.437955251667 781.086079225847</t>
  </si>
  <si>
    <t>-497.113739568569 -118.216996526751 830.3378149103</t>
  </si>
  <si>
    <t>9763-20170724T115420.961719300.bin</t>
  </si>
  <si>
    <t>-629.733740852099 34.6066850335851 -93.2354071173124</t>
  </si>
  <si>
    <t>-652.677364290425 32.1036356448785 -201.516657842986</t>
  </si>
  <si>
    <t>-666.639798836174 29.799529983967 -293.307517276013</t>
  </si>
  <si>
    <t>-678.053155795874 27.5840440819045 -376.391590307012</t>
  </si>
  <si>
    <t>-687.703733946246 25.1663899540742 -459.693114230128</t>
  </si>
  <si>
    <t>-699.881901684186 21.3643434978126 -581.685688417737</t>
  </si>
  <si>
    <t>-690.423414441909 21.2077733616786 -659.472047227846</t>
  </si>
  <si>
    <t>-691.226576200347 54.1913686177579 -529.458164224303</t>
  </si>
  <si>
    <t>-653.839955815672 204.678337051151 -512.393484176106</t>
  </si>
  <si>
    <t>-598.821443196246 214.793772736791 -235.898962269082</t>
  </si>
  <si>
    <t>-374.593635104789 165.673358883178 -200.436159698924</t>
  </si>
  <si>
    <t>-634.211181543219 125.339690309925 -96.3434220616653</t>
  </si>
  <si>
    <t>-642.713387492484 140.950208489481 318.851309834691</t>
  </si>
  <si>
    <t>-671.974243963634 172.117261535328 780.110339316781</t>
  </si>
  <si>
    <t>-520.602844669131 171.368436593156 834.607699281313</t>
  </si>
  <si>
    <t>-611.029633198001 -65.3452675175292 321.676849330707</t>
  </si>
  <si>
    <t>-649.724684480317 -103.472765179672 781.103014547239</t>
  </si>
  <si>
    <t>-497.207766023879 -118.177872404596 830.15582358878</t>
  </si>
  <si>
    <t>9763-20170724T115421.030476100.bin</t>
  </si>
  <si>
    <t>-629.969710411431 34.0652384501075 -93.2302550358233</t>
  </si>
  <si>
    <t>-652.839588318079 31.4045252055589 -201.523368165261</t>
  </si>
  <si>
    <t>-666.762369234927 28.8936041494924 -293.314962896169</t>
  </si>
  <si>
    <t>-678.150426969786 26.4577049734482 -376.396249706901</t>
  </si>
  <si>
    <t>-687.787049909815 23.7890914705595 -459.691890425542</t>
  </si>
  <si>
    <t>-699.957989981731 19.5871502236416 -581.671778141854</t>
  </si>
  <si>
    <t>-690.482844404336 19.2211136900853 -659.455560397315</t>
  </si>
  <si>
    <t>-691.472338333008 52.6031784933559 -529.535674607547</t>
  </si>
  <si>
    <t>-654.976626575062 203.357284899893 -512.864978082093</t>
  </si>
  <si>
    <t>-599.861311353166 213.667496035951 -236.396798588806</t>
  </si>
  <si>
    <t>-375.529766064596 165.374924783572 -200.45639884061</t>
  </si>
  <si>
    <t>-634.780612733342 124.59730082552 -96.3623988711627</t>
  </si>
  <si>
    <t>-643.201711678881 140.671818039224 318.816216807309</t>
  </si>
  <si>
    <t>-671.91378114671 172.252603195801 780.073292960232</t>
  </si>
  <si>
    <t>-520.513418303331 171.550911262565 834.490821210445</t>
  </si>
  <si>
    <t>-610.971970391509 -66.3765963547851 321.687121348404</t>
  </si>
  <si>
    <t>-649.999983782112 -103.573143241103 781.172311237103</t>
  </si>
  <si>
    <t>-497.370256260922 -118.192724538557 829.898678120941</t>
  </si>
  <si>
    <t>9763-20170724T115421.064565400.bin</t>
  </si>
  <si>
    <t>-629.802671380042 33.7250956893224 -93.2267496186945</t>
  </si>
  <si>
    <t>-652.676069520484 30.9770233313234 -201.516812936297</t>
  </si>
  <si>
    <t>-666.589468314344 28.3752483899607 -293.307372826242</t>
  </si>
  <si>
    <t>-677.964338761492 25.848132366677 -376.387748897192</t>
  </si>
  <si>
    <t>-687.583108548323 23.0813352162106 -459.682105294516</t>
  </si>
  <si>
    <t>-699.722915264034 18.728671006083 -581.660012313307</t>
  </si>
  <si>
    <t>-690.222878040159 18.3208956195663 -659.440468696991</t>
  </si>
  <si>
    <t>-691.377507014693 51.8222127888396 -529.550468443402</t>
  </si>
  <si>
    <t>-655.566688048801 202.753421498348 -513.045267980412</t>
  </si>
  <si>
    <t>-600.358505521438 213.076442822984 -236.59628541417</t>
  </si>
  <si>
    <t>-375.991583257622 165.227686493497 -200.284918392895</t>
  </si>
  <si>
    <t>-634.864898962495 124.272020180766 -96.3647695393508</t>
  </si>
  <si>
    <t>-643.247421312297 140.501921920246 318.808643807764</t>
  </si>
  <si>
    <t>-671.873410390386 172.317224066126 780.058590649416</t>
  </si>
  <si>
    <t>-520.464489922893 171.714859760596 834.453475721534</t>
  </si>
  <si>
    <t>-611.019994443428 -66.868084826933 321.709778060426</t>
  </si>
  <si>
    <t>-650.201180062198 -103.657200445612 781.226417312427</t>
  </si>
  <si>
    <t>-497.4861414392 -118.282412544289 829.683020660937</t>
  </si>
  <si>
    <t>9763-20170724T115421.130298200.bin</t>
  </si>
  <si>
    <t>-629.063793282555 33.012412045257 -93.2252729968237</t>
  </si>
  <si>
    <t>-651.87664050904 30.0716156620731 -201.523132693429</t>
  </si>
  <si>
    <t>-665.762183229082 27.374222391006 -293.314897493654</t>
  </si>
  <si>
    <t>-677.120189600366 24.7836624191721 -376.395780204409</t>
  </si>
  <si>
    <t>-686.729369087104 21.9822005837718 -459.690114193812</t>
  </si>
  <si>
    <t>-698.862404094175 17.6114917101947 -581.66806168517</t>
  </si>
  <si>
    <t>-689.294367972714 17.2292736392812 -659.440277362628</t>
  </si>
  <si>
    <t>-690.802009581703 50.7399994476693 -529.535728035391</t>
  </si>
  <si>
    <t>-656.316355129076 201.989801275281 -513.087424086709</t>
  </si>
  <si>
    <t>-601.185471283719 212.041077027245 -236.612978691311</t>
  </si>
  <si>
    <t>-376.927334252632 164.317316022435 -199.474550678136</t>
  </si>
  <si>
    <t>-634.602141852609 123.58098962279 -96.3930636952618</t>
  </si>
  <si>
    <t>-643.136524495288 140.113426098269 318.765258193239</t>
  </si>
  <si>
    <t>-671.762357708762 172.492403737514 780.010740067459</t>
  </si>
  <si>
    <t>-520.339710415768 172.15177743262 834.369596591269</t>
  </si>
  <si>
    <t>-611.594801051597 -67.8291534582449 321.812949437781</t>
  </si>
  <si>
    <t>-650.88286537197 -103.674048943937 781.315366227767</t>
  </si>
  <si>
    <t>-497.822773825232 -117.995090410393 828.763625340939</t>
  </si>
  <si>
    <t>9763-20170724T115421.164388800.bin</t>
  </si>
  <si>
    <t>-628.657355206755 32.6984316886246 -93.2176369828554</t>
  </si>
  <si>
    <t>-651.410880377727 29.6684715347344 -201.525533890977</t>
  </si>
  <si>
    <t>-665.271251131709 26.9511834770619 -293.320624934265</t>
  </si>
  <si>
    <t>-676.61553200197 24.3641480951571 -376.403417283794</t>
  </si>
  <si>
    <t>-686.219324130955 21.5910936900323 -459.699366095797</t>
  </si>
  <si>
    <t>-698.352783416919 17.2909734625507 -581.679755073274</t>
  </si>
  <si>
    <t>-688.723025090944 16.9531990528853 -659.444582684439</t>
  </si>
  <si>
    <t>-690.46451364796 50.4046508734241 -529.511721439366</t>
  </si>
  <si>
    <t>-656.652597271576 201.796708612663 -512.872416752166</t>
  </si>
  <si>
    <t>-601.506510322218 211.540319926753 -236.389892193044</t>
  </si>
  <si>
    <t>-377.245841989954 164.049086076494 -198.969614682307</t>
  </si>
  <si>
    <t>-634.3437731037 123.244327631053 -96.4007763133278</t>
  </si>
  <si>
    <t>-642.98651106362 139.948751209361 318.748458331682</t>
  </si>
  <si>
    <t>-671.706497854006 172.575761126978 779.981446475484</t>
  </si>
  <si>
    <t>-520.280263406235 172.379179853101 834.331008410669</t>
  </si>
  <si>
    <t>-611.791610347219 -68.2968622858957 321.857635376444</t>
  </si>
  <si>
    <t>-651.205603086299 -103.736346316779 781.366788818267</t>
  </si>
  <si>
    <t>-498.021487411637 -118.27349356924 828.346806553306</t>
  </si>
  <si>
    <t>9763-20170724T115421.227152200.bin</t>
  </si>
  <si>
    <t>-627.869070519165 32.2763605652324 -93.1956577640261</t>
  </si>
  <si>
    <t>-650.4013129275 29.0677524350999 -201.544557446023</t>
  </si>
  <si>
    <t>-664.138884824681 26.2367936500846 -293.354726541133</t>
  </si>
  <si>
    <t>-675.397333835464 23.5600717570228 -376.446392579464</t>
  </si>
  <si>
    <t>-684.939759361557 20.716791633102 -459.747047668517</t>
  </si>
  <si>
    <t>-697.009954204032 16.3374015097259 -581.730766638399</t>
  </si>
  <si>
    <t>-687.230049694002 16.0989661267911 -659.477363408269</t>
  </si>
  <si>
    <t>-689.457942813615 49.5100951855588 -529.550469122239</t>
  </si>
  <si>
    <t>-657.13732607285 201.188270359156 -512.6231433444</t>
  </si>
  <si>
    <t>-602.014554331359 211.06533591884 -236.140740564568</t>
  </si>
  <si>
    <t>-377.641386227959 164.688569333743 -198.004096347886</t>
  </si>
  <si>
    <t>-633.925993297425 122.794006329303 -96.4312000032041</t>
  </si>
  <si>
    <t>-642.835588128781 139.619205158461 318.707488801349</t>
  </si>
  <si>
    <t>-671.592905533567 172.788037620175 779.919650334178</t>
  </si>
  <si>
    <t>-520.161261787278 172.81691301728 834.25452568179</t>
  </si>
  <si>
    <t>-612.055296215496 -68.9693915768435 321.985349495409</t>
  </si>
  <si>
    <t>-651.811651311642 -103.79100567853 781.555962737518</t>
  </si>
  <si>
    <t>-498.34643867233 -118.347584620877 827.603324873139</t>
  </si>
  <si>
    <t>9763-20170724T115421.260238300.bin</t>
  </si>
  <si>
    <t>-627.344027893577 32.0927759375618 -93.2145317761473</t>
  </si>
  <si>
    <t>-649.72497425408 28.7940912254644 -201.592055011124</t>
  </si>
  <si>
    <t>-663.396177035615 25.9054473307058 -293.410343675212</t>
  </si>
  <si>
    <t>-674.619195810452 23.1823785006236 -376.505170831804</t>
  </si>
  <si>
    <t>-684.150601959364 20.3010842501922 -459.805771681174</t>
  </si>
  <si>
    <t>-696.231254954106 15.8763470383644 -581.7870407456</t>
  </si>
  <si>
    <t>-686.392851771241 15.6666247110118 -659.526241516855</t>
  </si>
  <si>
    <t>-688.788546131268 49.0770188056979 -529.608738542501</t>
  </si>
  <si>
    <t>-656.938375146685 200.867601011779 -512.682502248113</t>
  </si>
  <si>
    <t>-602.221396628959 211.158033326483 -236.134554118757</t>
  </si>
  <si>
    <t>-377.99519221194 164.616209487273 -197.340207623559</t>
  </si>
  <si>
    <t>-633.648706299068 122.499647339458 -96.4901508412926</t>
  </si>
  <si>
    <t>-642.839737934214 139.559639794271 318.632785793978</t>
  </si>
  <si>
    <t>-671.529382705553 172.935158185096 779.822409463252</t>
  </si>
  <si>
    <t>-520.096136184077 173.105255021325 834.152498376996</t>
  </si>
  <si>
    <t>-612.035434486407 -69.2930104651539 322.02462828234</t>
  </si>
  <si>
    <t>-652.163365186155 -103.772115639924 781.594220656167</t>
  </si>
  <si>
    <t>-498.536287729269 -118.315181063496 827.103020721916</t>
  </si>
  <si>
    <t>9763-20170724T115421.327970100.bin</t>
  </si>
  <si>
    <t>-626.363225764608 31.3449439955084 -93.357859973361</t>
  </si>
  <si>
    <t>-648.534005775117 27.8724032224516 -201.773182180617</t>
  </si>
  <si>
    <t>-662.099745940805 24.837910583349 -293.602347422303</t>
  </si>
  <si>
    <t>-673.256430150979 21.9789805979667 -376.701551773519</t>
  </si>
  <si>
    <t>-682.750695299667 18.9613142900805 -460.001587452706</t>
  </si>
  <si>
    <t>-694.808996665322 14.3378732128601 -581.977687108448</t>
  </si>
  <si>
    <t>-684.868659450381 14.0944566730277 -659.703743606651</t>
  </si>
  <si>
    <t>-687.564015643724 47.6364337830044 -529.833963458476</t>
  </si>
  <si>
    <t>-656.381129374335 199.544322815644 -512.896315706917</t>
  </si>
  <si>
    <t>-602.464496837414 211.037298006839 -236.238573374933</t>
  </si>
  <si>
    <t>-378.928406865413 162.523410438926 -195.908117681392</t>
  </si>
  <si>
    <t>-633.07684133272 121.805844132732 -96.7112893224959</t>
  </si>
  <si>
    <t>-642.766918097287 139.129970599732 318.38934272653</t>
  </si>
  <si>
    <t>-671.437051301789 173.229852706204 779.514706999763</t>
  </si>
  <si>
    <t>-520.000570502773 173.43840803028 833.835626632589</t>
  </si>
  <si>
    <t>-611.365212180108 -70.127900922394 321.950053503044</t>
  </si>
  <si>
    <t>-652.758838170564 -103.755867186037 781.5058595203</t>
  </si>
  <si>
    <t>-498.873746989411 -118.39461575011 826.103022121116</t>
  </si>
  <si>
    <t>9763-20170724T115421.367579500.bin</t>
  </si>
  <si>
    <t>-625.933648211394 31.1539506494869 -93.4147589302057</t>
  </si>
  <si>
    <t>-648.033279372718 27.6112192939149 -201.842338776566</t>
  </si>
  <si>
    <t>-661.531545015382 24.5323285333764 -293.679986577589</t>
  </si>
  <si>
    <t>-672.624115484912 21.6361449526471 -376.786508656126</t>
  </si>
  <si>
    <t>-682.050727422201 18.5864457744085 -460.093135740651</t>
  </si>
  <si>
    <t>-694.006345352219 13.9212131982965 -582.077545701871</t>
  </si>
  <si>
    <t>-683.998015962208 13.6758646106434 -659.79493454528</t>
  </si>
  <si>
    <t>-686.900439203457 47.243993867763 -529.93028678425</t>
  </si>
  <si>
    <t>-655.950930394064 199.19525520207 -512.974791117551</t>
  </si>
  <si>
    <t>-602.654122590922 211.162250890093 -236.217037126349</t>
  </si>
  <si>
    <t>-379.504698432332 161.409952334186 -195.258934269448</t>
  </si>
  <si>
    <t>-632.917580967337 121.641158485481 -96.8038588978342</t>
  </si>
  <si>
    <t>-642.746651847985 139.012101664561 318.291628916781</t>
  </si>
  <si>
    <t>-671.386462023769 173.362053892796 779.376664316784</t>
  </si>
  <si>
    <t>-519.950151589359 173.671773147096 833.697670799632</t>
  </si>
  <si>
    <t>-610.905769911454 -70.2103944021994 321.923306459063</t>
  </si>
  <si>
    <t>-652.965798030543 -103.739551371132 781.449403065237</t>
  </si>
  <si>
    <t>-499.006778207834 -118.508424638366 825.747475391379</t>
  </si>
  <si>
    <t>9763-20170724T115421.430248100.bin</t>
  </si>
  <si>
    <t>-625.121270746889 31.0229432616325 -93.5047032466109</t>
  </si>
  <si>
    <t>-647.105476228439 27.3403163664161 -201.951106186258</t>
  </si>
  <si>
    <t>-660.471004386966 24.1945408243978 -293.805932373277</t>
  </si>
  <si>
    <t>-671.428618996863 21.2535145867714 -376.92878227631</t>
  </si>
  <si>
    <t>-680.704683019649 18.1774420494251 -460.251144531583</t>
  </si>
  <si>
    <t>-692.422469258012 13.4946071898084 -582.258219131051</t>
  </si>
  <si>
    <t>-682.24386086918 13.2326429130933 -659.953417195886</t>
  </si>
  <si>
    <t>-685.611029065432 46.8365753257126 -530.083789527131</t>
  </si>
  <si>
    <t>-655.312909960304 198.920278996504 -513.136378841659</t>
  </si>
  <si>
    <t>-603.306303183091 211.461502717121 -236.158790311974</t>
  </si>
  <si>
    <t>-380.868734884813 159.594517347694 -193.970310413998</t>
  </si>
  <si>
    <t>-632.528632135334 121.424726806019 -96.9447327165655</t>
  </si>
  <si>
    <t>-642.619011989774 138.994130144707 318.13616404182</t>
  </si>
  <si>
    <t>-671.283539648033 173.58233792852 779.161417993298</t>
  </si>
  <si>
    <t>-519.843165102391 174.214454603816 833.468243794559</t>
  </si>
  <si>
    <t>-610.027632380404 -70.3285896268285 321.917622353843</t>
  </si>
  <si>
    <t>-653.257029486849 -103.769338118067 781.366219445378</t>
  </si>
  <si>
    <t>-499.192148792303 -118.592978673506 825.276268710642</t>
  </si>
  <si>
    <t>9763-20170724T115421.462333000.bin</t>
  </si>
  <si>
    <t>-624.919475893411 31.0415362544306 -93.5393325720137</t>
  </si>
  <si>
    <t>-646.793871102218 27.2919449038991 -202.00565407268</t>
  </si>
  <si>
    <t>-660.096017322365 24.1171227950356 -293.868705854655</t>
  </si>
  <si>
    <t>-671.007628387075 21.1600403501457 -376.997047608673</t>
  </si>
  <si>
    <t>-680.248716542749 18.0801375243764 -460.323226487111</t>
  </si>
  <si>
    <t>-691.927253753311 13.4058301485911 -582.334324342721</t>
  </si>
  <si>
    <t>-681.68152093054 13.1685581134489 -660.020619121244</t>
  </si>
  <si>
    <t>-685.231647761336 46.7495989543581 -530.146116670441</t>
  </si>
  <si>
    <t>-655.28689804674 198.90422917242 -513.183202610003</t>
  </si>
  <si>
    <t>-603.870598097932 211.755139529876 -236.109586423983</t>
  </si>
  <si>
    <t>-381.779846442129 158.850763178764 -193.385530306644</t>
  </si>
  <si>
    <t>-632.519212504752 121.45095598454 -97.0188275975083</t>
  </si>
  <si>
    <t>-642.601199423318 139.029970765356 318.061785616722</t>
  </si>
  <si>
    <t>-671.232561879297 173.671944909978 779.079917618061</t>
  </si>
  <si>
    <t>-519.792594441567 174.414073919166 833.386595805566</t>
  </si>
  <si>
    <t>-609.798492236295 -70.4046905495136 321.922408634545</t>
  </si>
  <si>
    <t>-653.359520359455 -103.787807030718 781.338713585643</t>
  </si>
  <si>
    <t>-499.25731827092 -118.594079324153 825.123559235769</t>
  </si>
  <si>
    <t>9763-20170724T115421.520466900.bin</t>
  </si>
  <si>
    <t>-624.779425471799 31.1312325571582 -93.5801990557447</t>
  </si>
  <si>
    <t>-646.530378203602 27.3023054416947 -202.068507257437</t>
  </si>
  <si>
    <t>-659.806361086742 24.1095895667659 -293.934846591595</t>
  </si>
  <si>
    <t>-670.725077634929 21.1551448064486 -377.06227136716</t>
  </si>
  <si>
    <t>-680.003643583701 18.0993986647177 -460.3852867734</t>
  </si>
  <si>
    <t>-691.769861341878 13.4846740586202 -582.39001033504</t>
  </si>
  <si>
    <t>-681.489605103683 13.3048548772856 -660.072071853196</t>
  </si>
  <si>
    <t>-685.133013282208 46.8080296586077 -530.181412734447</t>
  </si>
  <si>
    <t>-655.491201976229 199.022915776456 -513.173462974099</t>
  </si>
  <si>
    <t>-604.492529804555 212.210821960141 -236.03849912857</t>
  </si>
  <si>
    <t>-382.732471354515 158.16211249964 -193.02985667167</t>
  </si>
  <si>
    <t>-632.574202967779 121.549991575589 -97.1021015068379</t>
  </si>
  <si>
    <t>-642.67109382586 139.124227474193 317.978293882908</t>
  </si>
  <si>
    <t>-671.19342769886 173.773525560336 778.996896974156</t>
  </si>
  <si>
    <t>-519.747398470125 174.499405984512 833.2868818298</t>
  </si>
  <si>
    <t>-609.772968326053 -70.4605189273855 321.914082616259</t>
  </si>
  <si>
    <t>-653.449326809924 -103.808379683554 781.318062727698</t>
  </si>
  <si>
    <t>-499.322315183589 -118.617271222419 825.014574066769</t>
  </si>
  <si>
    <t>9763-20170724T115421.565588900.bin</t>
  </si>
  <si>
    <t>-624.303112281128 31.2894992997003 -93.6592921246935</t>
  </si>
  <si>
    <t>-645.84119524211 27.3421900143521 -202.185809463052</t>
  </si>
  <si>
    <t>-659.175391160017 24.1334718556166 -294.043126255923</t>
  </si>
  <si>
    <t>-670.241225962935 21.1990158359201 -377.151847491119</t>
  </si>
  <si>
    <t>-679.76108509313 18.2033668559304 -460.449693627322</t>
  </si>
  <si>
    <t>-691.982789709181 13.7235180354824 -582.414791928843</t>
  </si>
  <si>
    <t>-681.703326774904 13.6641372810566 -660.097077909101</t>
  </si>
  <si>
    <t>-685.351478198947 46.9986610466588 -530.174767326782</t>
  </si>
  <si>
    <t>-656.365582732719 199.351083137604 -513.195028631399</t>
  </si>
  <si>
    <t>-605.794294501812 213.192250122105 -236.013549998012</t>
  </si>
  <si>
    <t>-384.474930606199 157.499006957763 -192.833411967276</t>
  </si>
  <si>
    <t>-632.385268504216 121.536799045869 -97.2262250141597</t>
  </si>
  <si>
    <t>-642.75338046915 139.333635163098 317.838114550179</t>
  </si>
  <si>
    <t>-671.153267340431 173.922270286536 778.846932721476</t>
  </si>
  <si>
    <t>-519.690923767342 174.653976802903 833.091259800986</t>
  </si>
  <si>
    <t>-609.6969304599 -70.5819056688235 321.895573084394</t>
  </si>
  <si>
    <t>-653.56708231428 -103.895960053064 781.297580661901</t>
  </si>
  <si>
    <t>-499.420852191852 -118.770706004563 824.90382751172</t>
  </si>
  <si>
    <t>9763-20170724T115421.628775400.bin</t>
  </si>
  <si>
    <t>-623.768203876615 31.2433710349956 -93.6771625099062</t>
  </si>
  <si>
    <t>-645.201910070944 27.2147312243453 -202.221408396024</t>
  </si>
  <si>
    <t>-658.653831778721 23.9435004284467 -294.059156834661</t>
  </si>
  <si>
    <t>-669.908832382935 20.95577801646 -377.140663174852</t>
  </si>
  <si>
    <t>-679.701001456164 17.914916677036 -460.405409060307</t>
  </si>
  <si>
    <t>-692.412083074341 13.380067172624 -582.318342629003</t>
  </si>
  <si>
    <t>-682.216030787042 13.3279756785714 -660.011698452471</t>
  </si>
  <si>
    <t>-685.730051178755 46.6855817017231 -530.103923997644</t>
  </si>
  <si>
    <t>-657.421897743807 199.196701016917 -513.392236276124</t>
  </si>
  <si>
    <t>-607.025491681519 213.852416461886 -236.220744134771</t>
  </si>
  <si>
    <t>-385.925978362928 156.791534127887 -193.705010903664</t>
  </si>
  <si>
    <t>-632.075822695284 121.432585219573 -97.3010213691476</t>
  </si>
  <si>
    <t>-642.667428079898 139.29417881224 317.754884997163</t>
  </si>
  <si>
    <t>-671.091933377598 174.047298879915 778.736653904156</t>
  </si>
  <si>
    <t>-519.621698378721 174.640356502073 832.960825906672</t>
  </si>
  <si>
    <t>-609.444638066389 -70.7611645242089 321.902435224245</t>
  </si>
  <si>
    <t>-653.68881560484 -104.021018709218 781.278839786455</t>
  </si>
  <si>
    <t>-499.517968334168 -118.897284169379 824.797450015097</t>
  </si>
  <si>
    <t>9763-20170724T115421.662882300.bin</t>
  </si>
  <si>
    <t>-623.452743253402 31.027615979244 -93.6968470810959</t>
  </si>
  <si>
    <t>-644.879785238715 26.9631376349437 -202.241061839342</t>
  </si>
  <si>
    <t>-658.40641357127 23.6652047085192 -294.066995304393</t>
  </si>
  <si>
    <t>-669.761326836518 20.6548696823136 -377.134073026368</t>
  </si>
  <si>
    <t>-679.685878071253 17.5949337012505 -460.382364649251</t>
  </si>
  <si>
    <t>-692.626107964726 13.0371235232365 -582.270480594638</t>
  </si>
  <si>
    <t>-682.497945875979 12.9655371267422 -659.972595462896</t>
  </si>
  <si>
    <t>-685.911843940293 46.3549943942442 -530.068119640103</t>
  </si>
  <si>
    <t>-657.817432579234 198.914401796856 -513.448253530265</t>
  </si>
  <si>
    <t>-607.649566028234 214.190109614229 -236.268882750663</t>
  </si>
  <si>
    <t>-386.491539702895 156.964739577852 -194.281689193516</t>
  </si>
  <si>
    <t>-631.852402218303 121.231655193801 -97.3347738317698</t>
  </si>
  <si>
    <t>-642.478314258944 139.195382623503 317.715806003662</t>
  </si>
  <si>
    <t>-671.035538732978 174.123539387433 778.686645294871</t>
  </si>
  <si>
    <t>-519.569611317114 174.888077465598 832.920420070781</t>
  </si>
  <si>
    <t>-609.286784176054 -70.9801999075125 321.901350196256</t>
  </si>
  <si>
    <t>-653.753397631539 -104.041934522406 781.271939459406</t>
  </si>
  <si>
    <t>-499.536747724369 -118.630894404001 824.725529772027</t>
  </si>
  <si>
    <t>9763-20170724T115421.729605900.bin</t>
  </si>
  <si>
    <t>-622.833258022051 30.2954276632897 -93.7202902650731</t>
  </si>
  <si>
    <t>-644.239152788299 26.1895979811356 -202.267166830015</t>
  </si>
  <si>
    <t>-657.918879748777 22.8578262960134 -294.06908612175</t>
  </si>
  <si>
    <t>-669.480853104633 19.8185646758254 -377.10647424289</t>
  </si>
  <si>
    <t>-679.681725614906 16.7345033476502 -460.320574055695</t>
  </si>
  <si>
    <t>-693.101893189841 12.1486077932541 -582.155679446138</t>
  </si>
  <si>
    <t>-683.157287829479 12.017404901301 -659.881447756392</t>
  </si>
  <si>
    <t>-686.29096798343 45.4823773803384 -529.976022275152</t>
  </si>
  <si>
    <t>-658.594635050737 198.11942082689 -513.453982447641</t>
  </si>
  <si>
    <t>-608.67309458438 214.471957982218 -236.291559116229</t>
  </si>
  <si>
    <t>-387.301588794572 157.410978136812 -195.215580241971</t>
  </si>
  <si>
    <t>-631.342870828475 120.559698845741 -97.3537071809778</t>
  </si>
  <si>
    <t>-642.062985755998 138.837184512371 317.680775414977</t>
  </si>
  <si>
    <t>-670.916676413591 174.283128934097 778.586234698324</t>
  </si>
  <si>
    <t>-519.46507786096 175.233755267157 832.857092750002</t>
  </si>
  <si>
    <t>-608.932062552379 -71.6638222813581 321.899657196781</t>
  </si>
  <si>
    <t>-653.8868527755 -104.217017275765 781.260579523884</t>
  </si>
  <si>
    <t>-499.700812964083 -119.37914915421 824.626450739753</t>
  </si>
  <si>
    <t>9763-20170724T115421.762695900.bin</t>
  </si>
  <si>
    <t>-622.477145348492 29.8542692051576 -93.7284396747982</t>
  </si>
  <si>
    <t>-643.879779230511 25.7464394221031 -202.275870080877</t>
  </si>
  <si>
    <t>-657.619520048222 22.4237592158449 -294.069194319052</t>
  </si>
  <si>
    <t>-669.26086578951 19.3973302929192 -377.096058290337</t>
  </si>
  <si>
    <t>-679.566218119384 16.3324267978733 -460.297811417413</t>
  </si>
  <si>
    <t>-693.166697142179 11.7821687372521 -582.114290703764</t>
  </si>
  <si>
    <t>-683.292111257055 11.6500499228796 -659.848952848162</t>
  </si>
  <si>
    <t>-686.332602797148 45.102421196741 -529.929004079047</t>
  </si>
  <si>
    <t>-658.813902405041 197.770474910104 -513.377811214617</t>
  </si>
  <si>
    <t>-609.025776019004 214.51602808911 -236.214822300381</t>
  </si>
  <si>
    <t>-387.567810223217 157.489429342806 -195.559463804521</t>
  </si>
  <si>
    <t>-631.031281296985 120.139059028937 -97.3546315985635</t>
  </si>
  <si>
    <t>-641.818751553555 138.5932285417 317.670316085297</t>
  </si>
  <si>
    <t>-670.851155725088 174.335015847164 778.543198782175</t>
  </si>
  <si>
    <t>-519.409317398773 175.337958280439 832.840510308452</t>
  </si>
  <si>
    <t>-608.803264203275 -72.0400190523787 321.889495445335</t>
  </si>
  <si>
    <t>-653.950206206823 -104.272796408049 781.253945178279</t>
  </si>
  <si>
    <t>-499.752089523336 -119.437984902022 824.575728162143</t>
  </si>
  <si>
    <t>9763-20170724T115421.828904000.bin</t>
  </si>
  <si>
    <t>-621.717002411123 28.9948824366797 -93.7334105204098</t>
  </si>
  <si>
    <t>-643.106707234124 24.899558341868 -202.283919433293</t>
  </si>
  <si>
    <t>-656.88977162662 21.5864366337173 -294.071075936084</t>
  </si>
  <si>
    <t>-668.592073112944 18.5684746348422 -377.089663238632</t>
  </si>
  <si>
    <t>-678.980328760092 15.514111240552 -460.281568137122</t>
  </si>
  <si>
    <t>-692.72604036419 10.98280030093 -582.082316692787</t>
  </si>
  <si>
    <t>-682.917934844145 10.8882075871497 -659.825590798416</t>
  </si>
  <si>
    <t>-685.943283068531 44.2982857458546 -529.887422438018</t>
  </si>
  <si>
    <t>-658.974205710037 197.037134085843 -513.191439868357</t>
  </si>
  <si>
    <t>-609.480494025766 214.240088273024 -236.00379368007</t>
  </si>
  <si>
    <t>-387.81478291861 157.551378311449 -196.013335790218</t>
  </si>
  <si>
    <t>-630.36689431614 119.255551137938 -97.3312925028002</t>
  </si>
  <si>
    <t>-641.337034681955 138.023886340731 317.67471347249</t>
  </si>
  <si>
    <t>-670.717226637638 174.426006309685 778.469250779212</t>
  </si>
  <si>
    <t>-519.308133016861 175.468237500626 832.856995329011</t>
  </si>
  <si>
    <t>-608.549686294553 -72.7681064567178 321.871223716239</t>
  </si>
  <si>
    <t>-654.086802131069 -104.398756253354 781.23699036065</t>
  </si>
  <si>
    <t>-499.838831803875 -119.373676202898 824.447451935199</t>
  </si>
  <si>
    <t>9763-20170724T115421.862996000.bin</t>
  </si>
  <si>
    <t>-621.364359154365 28.5480754496293 -93.7466767780614</t>
  </si>
  <si>
    <t>-642.703591890331 24.4641192304755 -202.307412963281</t>
  </si>
  <si>
    <t>-656.454217287249 21.1899780371646 -294.100930905845</t>
  </si>
  <si>
    <t>-668.130867321298 18.2191512034603 -377.124741917152</t>
  </si>
  <si>
    <t>-678.496918546242 15.2244072518677 -460.321688301898</t>
  </si>
  <si>
    <t>-692.213758644049 10.7939768663798 -582.129451669934</t>
  </si>
  <si>
    <t>-682.400176741697 10.7809496124605 -659.871975978866</t>
  </si>
  <si>
    <t>-685.474826763608 44.0672440399369 -529.901816659208</t>
  </si>
  <si>
    <t>-658.586548348293 196.800042166303 -513.014093184671</t>
  </si>
  <si>
    <t>-609.47265007832 214.188699769887 -235.770424696051</t>
  </si>
  <si>
    <t>-387.710289042283 157.60009092169 -196.176034304741</t>
  </si>
  <si>
    <t>-630.006248835447 118.809886835966 -97.331670708281</t>
  </si>
  <si>
    <t>-641.14217671336 137.760663607949 317.661684749712</t>
  </si>
  <si>
    <t>-670.636781659769 174.522913910861 778.422975416779</t>
  </si>
  <si>
    <t>-519.24486759274 175.718206767504 832.855301159752</t>
  </si>
  <si>
    <t>-608.472656709432 -73.1746606942086 321.856158935681</t>
  </si>
  <si>
    <t>-654.144977021882 -104.46473204206 781.233753423459</t>
  </si>
  <si>
    <t>-499.907594605365 -119.639480185364 824.412163595803</t>
  </si>
  <si>
    <t>9763-20170724T115421.933236000.bin</t>
  </si>
  <si>
    <t>-620.852577742029 27.5547247212444 -93.7899153572602</t>
  </si>
  <si>
    <t>-642.114864509196 23.4782187270428 -202.366106761068</t>
  </si>
  <si>
    <t>-655.771091980249 20.3174595835478 -294.1776648605</t>
  </si>
  <si>
    <t>-667.349277573155 17.4918965397317 -377.220314245219</t>
  </si>
  <si>
    <t>-677.602661353036 14.6866846161722 -460.437798158002</t>
  </si>
  <si>
    <t>-691.1382342714 10.5828067495547 -582.277339223263</t>
  </si>
  <si>
    <t>-681.248470202679 10.8309889628215 -660.009841964185</t>
  </si>
  <si>
    <t>-684.562436913389 43.7181016735747 -529.941302399037</t>
  </si>
  <si>
    <t>-657.808571168593 196.408761860063 -512.464316317661</t>
  </si>
  <si>
    <t>-609.4661603723 213.532541306759 -235.06858597995</t>
  </si>
  <si>
    <t>-387.495834415379 157.108509381668 -196.415889609149</t>
  </si>
  <si>
    <t>-629.417926246378 117.933937542612 -97.3702477270009</t>
  </si>
  <si>
    <t>-640.903092318221 137.179879997025 317.600003666999</t>
  </si>
  <si>
    <t>-670.513244283339 174.762311605989 778.287899526719</t>
  </si>
  <si>
    <t>-519.141781975584 176.047935358648 832.775102242498</t>
  </si>
  <si>
    <t>-608.389116002211 -74.0299865706666 321.822681939357</t>
  </si>
  <si>
    <t>-654.222822684384 -104.559678915777 781.24489282798</t>
  </si>
  <si>
    <t>-499.961434996452 -119.541707527952 824.404980102315</t>
  </si>
  <si>
    <t>9763-20170724T115421.963315600.bin</t>
  </si>
  <si>
    <t>-620.667992155372 27.0867656384521 -93.830637075247</t>
  </si>
  <si>
    <t>-641.838143417324 23.0180952303147 -202.425145307214</t>
  </si>
  <si>
    <t>-655.389892762004 19.9058893262247 -294.253757538785</t>
  </si>
  <si>
    <t>-666.862379985643 17.1408813559381 -377.313185779398</t>
  </si>
  <si>
    <t>-676.998297474617 14.4136288794243 -460.547673721757</t>
  </si>
  <si>
    <t>-690.348887466284 10.4430355055893 -582.411960599753</t>
  </si>
  <si>
    <t>-680.380324829951 10.8385954840114 -660.133831393031</t>
  </si>
  <si>
    <t>-683.90577001368 43.5222413629435 -530.024100418485</t>
  </si>
  <si>
    <t>-657.43055482637 196.232583787618 -512.195262113417</t>
  </si>
  <si>
    <t>-609.452722228671 213.167526013895 -234.724757432452</t>
  </si>
  <si>
    <t>-387.340667268003 156.758031861662 -196.873256392582</t>
  </si>
  <si>
    <t>-629.198070337192 117.590772361905 -97.4120716616693</t>
  </si>
  <si>
    <t>-640.858067079684 136.937501542904 317.548571667133</t>
  </si>
  <si>
    <t>-670.454197005045 174.885678510336 778.20935555219</t>
  </si>
  <si>
    <t>-519.090982434524 176.37313359861 832.714265104865</t>
  </si>
  <si>
    <t>-608.411307857863 -74.4862423016918 321.792259814777</t>
  </si>
  <si>
    <t>-654.248417201584 -104.628745912866 781.24977177459</t>
  </si>
  <si>
    <t>-500.00700665137 -119.746674590595 824.433771158012</t>
  </si>
  <si>
    <t>9763-20170724T115422.029041000.bin</t>
  </si>
  <si>
    <t>-620.381576591349 26.2998989660114 -93.8984101240852</t>
  </si>
  <si>
    <t>-641.260921023348 22.236680344178 -202.549397435419</t>
  </si>
  <si>
    <t>-654.541026828059 19.1787610234014 -294.419494291429</t>
  </si>
  <si>
    <t>-665.756756722837 16.481619739204 -377.516186537394</t>
  </si>
  <si>
    <t>-675.624142947404 13.8426519737873 -460.785671634471</t>
  </si>
  <si>
    <t>-688.568819743593 10.0241328649336 -582.698766426623</t>
  </si>
  <si>
    <t>-678.341203605537 10.709082429973 -660.38494901771</t>
  </si>
  <si>
    <t>-682.41241129516 43.0403718800085 -530.236671828365</t>
  </si>
  <si>
    <t>-656.611640017891 195.79183295954 -511.842175327616</t>
  </si>
  <si>
    <t>-609.457608079539 212.267795553746 -234.202901363987</t>
  </si>
  <si>
    <t>-386.896408349372 156.622478283526 -197.889677683418</t>
  </si>
  <si>
    <t>-628.93937508763 116.896309519051 -97.4893791035236</t>
  </si>
  <si>
    <t>-640.801271420452 136.610616307388 317.448208376702</t>
  </si>
  <si>
    <t>-670.361046722452 175.107370189474 778.065304307319</t>
  </si>
  <si>
    <t>-519.005704136175 176.563043207961 832.592890862171</t>
  </si>
  <si>
    <t>-608.428282899262 -75.2214955571908 321.729490556923</t>
  </si>
  <si>
    <t>-654.265595804746 -104.76095746925 781.264328646222</t>
  </si>
  <si>
    <t>-500.034787534856 -119.754766820175 824.529442748356</t>
  </si>
  <si>
    <t>9763-20170724T115422.062131600.bin</t>
  </si>
  <si>
    <t>-620.313990087269 26.0086032045792 -93.901663457978</t>
  </si>
  <si>
    <t>-641.060330750487 21.9427026199553 -202.577942484346</t>
  </si>
  <si>
    <t>-654.224417257055 18.8994854851844 -294.465403457721</t>
  </si>
  <si>
    <t>-665.333598384799 16.2210711975285 -377.577027890869</t>
  </si>
  <si>
    <t>-675.092358067637 13.6077773827599 -460.860099013129</t>
  </si>
  <si>
    <t>-687.876008973953 9.8340719043274 -582.791521658488</t>
  </si>
  <si>
    <t>-677.487201111541 10.6552463012001 -660.454895135042</t>
  </si>
  <si>
    <t>-681.846391137688 42.8318372238525 -530.303163995633</t>
  </si>
  <si>
    <t>-656.357301350705 195.607174041205 -511.636036482553</t>
  </si>
  <si>
    <t>-609.556976868968 212.105486354137 -233.938153326068</t>
  </si>
  <si>
    <t>-386.736965337443 157.04260874995 -198.331184486218</t>
  </si>
  <si>
    <t>-628.994539782376 116.596092268393 -97.5053529565747</t>
  </si>
  <si>
    <t>-640.862743479271 136.520750125261 317.422065995277</t>
  </si>
  <si>
    <t>-670.332421221465 175.174596681245 778.014836627073</t>
  </si>
  <si>
    <t>-518.975362282969 176.691303375608 832.536045176842</t>
  </si>
  <si>
    <t>-608.458558235935 -75.5195335295407 321.71638142297</t>
  </si>
  <si>
    <t>-654.28091223975 -104.808699817558 781.273871839557</t>
  </si>
  <si>
    <t>-500.056427964001 -119.776629531095 824.570433875886</t>
  </si>
  <si>
    <t>9763-20170724T115422.129123600.bin</t>
  </si>
  <si>
    <t>-620.29334825128 25.6413244113057 -93.8992222546216</t>
  </si>
  <si>
    <t>-640.94278811617 21.5642839657146 -202.593704659527</t>
  </si>
  <si>
    <t>-653.951614284829 18.5366223453814 -294.503587195821</t>
  </si>
  <si>
    <t>-664.890632576184 15.8793953806858 -377.63853576929</t>
  </si>
  <si>
    <t>-674.448998512859 13.2959156300399 -460.945709247903</t>
  </si>
  <si>
    <t>-686.906248181044 9.57570433793012 -582.912568767857</t>
  </si>
  <si>
    <t>-676.10824669984 10.6723270568916 -660.516813944026</t>
  </si>
  <si>
    <t>-681.143074650533 42.552345356379 -530.381029733634</t>
  </si>
  <si>
    <t>-656.309174109124 195.379432708953 -511.298237392099</t>
  </si>
  <si>
    <t>-609.87996085021 212.270268482349 -233.561658698361</t>
  </si>
  <si>
    <t>-386.621071279452 158.139724994248 -199.299635352379</t>
  </si>
  <si>
    <t>-629.201329800385 116.167272344929 -97.5147218876879</t>
  </si>
  <si>
    <t>-640.979406390903 136.442282235961 317.398245857905</t>
  </si>
  <si>
    <t>-670.274582710931 175.243751078998 777.96739417628</t>
  </si>
  <si>
    <t>-518.905919384771 176.895736874453 832.452677134459</t>
  </si>
  <si>
    <t>-608.534297475852 -75.8728290826693 321.694969203226</t>
  </si>
  <si>
    <t>-654.324180309538 -104.962553322 781.268632056786</t>
  </si>
  <si>
    <t>-500.137308546716 -120.119110689305 824.633414121086</t>
  </si>
  <si>
    <t>9763-20170724T115422.162213500.bin</t>
  </si>
  <si>
    <t>-620.33935821893 25.567772889156 -93.9035775010885</t>
  </si>
  <si>
    <t>-641.017834187375 21.4909616575676 -202.592469114753</t>
  </si>
  <si>
    <t>-653.993419284559 18.460203830319 -294.507103025973</t>
  </si>
  <si>
    <t>-664.879075531147 15.7980767513782 -377.648806006423</t>
  </si>
  <si>
    <t>-674.360826913685 13.2078651326028 -460.964601305583</t>
  </si>
  <si>
    <t>-686.680485063872 9.47549387041158 -582.945013168158</t>
  </si>
  <si>
    <t>-675.655504549193 10.6843419837401 -660.51557746281</t>
  </si>
  <si>
    <t>-681.023697155666 42.4579501125625 -530.405500197416</t>
  </si>
  <si>
    <t>-656.528469275745 195.326486403702 -511.184084161721</t>
  </si>
  <si>
    <t>-610.279245737123 212.530072519907 -233.436755172038</t>
  </si>
  <si>
    <t>-386.769465711992 159.085802195975 -199.737849100827</t>
  </si>
  <si>
    <t>-629.334589104142 116.098172264513 -97.523467965221</t>
  </si>
  <si>
    <t>-640.947710628352 136.413110647351 317.392230138929</t>
  </si>
  <si>
    <t>-670.238567081259 175.275627095264 777.959187388565</t>
  </si>
  <si>
    <t>-518.867055620976 176.92496739502 832.436491723854</t>
  </si>
  <si>
    <t>-608.467302653095 -75.9053902789574 321.693239856997</t>
  </si>
  <si>
    <t>-654.316844653506 -105.021135482291 781.272165474144</t>
  </si>
  <si>
    <t>-500.125649559254 -119.959883189334 824.697201265415</t>
  </si>
  <si>
    <t>9763-20170724T115422.228955900.bin</t>
  </si>
  <si>
    <t>-620.575159648071 25.5095674635543 -93.8831040595509</t>
  </si>
  <si>
    <t>-641.377068778512 21.4320496097309 -202.54829964881</t>
  </si>
  <si>
    <t>-654.296897823677 18.3742820101495 -294.469964960996</t>
  </si>
  <si>
    <t>-665.068108021896 15.6754912563656 -377.625401689606</t>
  </si>
  <si>
    <t>-674.371319048314 13.0366667253977 -460.959810991423</t>
  </si>
  <si>
    <t>-686.359614346308 9.22011527369796 -582.970639447174</t>
  </si>
  <si>
    <t>-674.834338420346 10.6081983035642 -660.465438076656</t>
  </si>
  <si>
    <t>-680.932740274399 42.2397531119288 -530.430109460043</t>
  </si>
  <si>
    <t>-657.010338627779 195.18281812573 -511.058174671833</t>
  </si>
  <si>
    <t>-611.44698414789 213.10089428158 -233.242620510139</t>
  </si>
  <si>
    <t>-387.676628809853 160.272209309402 -200.310953190588</t>
  </si>
  <si>
    <t>-629.679501442789 116.004730192302 -97.4828657973083</t>
  </si>
  <si>
    <t>-640.984592220064 136.342755465298 317.440137974179</t>
  </si>
  <si>
    <t>-670.187810745504 175.342980903821 777.986750141546</t>
  </si>
  <si>
    <t>-518.807890015249 176.972366615444 832.441260532005</t>
  </si>
  <si>
    <t>-608.240728587401 -75.8655249019967 321.737315128396</t>
  </si>
  <si>
    <t>-654.115839963949 -105.228823175778 781.300749640286</t>
  </si>
  <si>
    <t>-500.06959435795 -120.212123098746 825.22199511765</t>
  </si>
  <si>
    <t>9763-20170724T115422.261040800.bin</t>
  </si>
  <si>
    <t>-620.692103600619 25.503491447291 -93.8378776403214</t>
  </si>
  <si>
    <t>-641.546942142578 21.4284362566596 -202.493158816771</t>
  </si>
  <si>
    <t>-654.424127187393 18.3371662408661 -294.41952832637</t>
  </si>
  <si>
    <t>-665.122117307684 15.5926837506104 -377.582883711291</t>
  </si>
  <si>
    <t>-674.31740449525 12.8928859342682 -460.92739524125</t>
  </si>
  <si>
    <t>-686.110258638414 8.9693518619024 -582.953926242432</t>
  </si>
  <si>
    <t>-674.3448930603 10.424279332264 -660.411339729762</t>
  </si>
  <si>
    <t>-680.790358251735 42.035330122982 -530.431560398627</t>
  </si>
  <si>
    <t>-657.055840760107 195.009756570958 -511.092801863994</t>
  </si>
  <si>
    <t>-612.096307021007 213.210516924373 -233.197194009543</t>
  </si>
  <si>
    <t>-388.185068293448 160.760687059814 -200.619483996338</t>
  </si>
  <si>
    <t>-629.887792726377 115.943474294376 -97.422837196054</t>
  </si>
  <si>
    <t>-641.048129903348 136.311335993508 317.502688471833</t>
  </si>
  <si>
    <t>-670.159030976412 175.363083500026 778.032751681937</t>
  </si>
  <si>
    <t>-518.771725138238 176.938053670199 832.468182075974</t>
  </si>
  <si>
    <t>-608.073871250125 -75.78624458739 321.789295899016</t>
  </si>
  <si>
    <t>-653.865028499798 -105.326731176938 781.334749053227</t>
  </si>
  <si>
    <t>-499.927223541378 -119.88314815093 825.776658261656</t>
  </si>
  <si>
    <t>9763-20170724T115422.331778000.bin</t>
  </si>
  <si>
    <t>-620.766330770673 25.5846584202748 -93.6530162362257</t>
  </si>
  <si>
    <t>-641.646782280987 21.519610861176 -202.30373694337</t>
  </si>
  <si>
    <t>-654.419835168547 18.3771801816467 -294.242881542432</t>
  </si>
  <si>
    <t>-664.973691796368 15.5607048815332 -377.422344827131</t>
  </si>
  <si>
    <t>-673.975037083215 12.7628252024927 -460.784678700541</t>
  </si>
  <si>
    <t>-685.429825297885 8.66731058183154 -582.837762218067</t>
  </si>
  <si>
    <t>-673.288518237163 10.1810799735058 -660.236073254486</t>
  </si>
  <si>
    <t>-680.302133598632 41.8075023571596 -530.343114211472</t>
  </si>
  <si>
    <t>-656.859516159218 194.844527233943 -511.120797638223</t>
  </si>
  <si>
    <t>-613.403660383553 213.418333507322 -233.010700801178</t>
  </si>
  <si>
    <t>-389.478896800475 160.683307985234 -200.991344622742</t>
  </si>
  <si>
    <t>-630.273348935335 115.875926825849 -97.2275598053157</t>
  </si>
  <si>
    <t>-641.217202018486 136.285992556637 317.701650284944</t>
  </si>
  <si>
    <t>-670.107843886063 175.403604525799 778.215399051901</t>
  </si>
  <si>
    <t>-518.699025601026 176.890011231125 832.593520275878</t>
  </si>
  <si>
    <t>-607.534997580816 -75.5244580442366 322.003122968475</t>
  </si>
  <si>
    <t>-653.061595953385 -105.600272761923 781.593163009338</t>
  </si>
  <si>
    <t>-499.4724115438 -119.209029532944 827.516856262869</t>
  </si>
  <si>
    <t>9763-20170724T115422.364866900.bin</t>
  </si>
  <si>
    <t>-620.762779204666 25.6981314053651 -93.5271926116126</t>
  </si>
  <si>
    <t>-641.622322606657 21.6247466950301 -202.181678172329</t>
  </si>
  <si>
    <t>-654.324145778408 18.4592040043528 -294.129834006204</t>
  </si>
  <si>
    <t>-664.792196504698 15.6141398894292 -377.319172877538</t>
  </si>
  <si>
    <t>-673.686294409465 12.7800605780637 -460.691701396883</t>
  </si>
  <si>
    <t>-684.960903454372 8.622978781661 -582.759474504367</t>
  </si>
  <si>
    <t>-672.669378242734 10.1345064342786 -660.134145055868</t>
  </si>
  <si>
    <t>-679.94570231566 41.7899082074557 -530.270956473121</t>
  </si>
  <si>
    <t>-656.768392652246 194.871509765208 -511.11706519057</t>
  </si>
  <si>
    <t>-613.97404825413 213.480842853191 -232.906891396634</t>
  </si>
  <si>
    <t>-390.065467450982 160.6010575373 -201.013192236754</t>
  </si>
  <si>
    <t>-630.41968917868 115.887321945311 -97.1159992522976</t>
  </si>
  <si>
    <t>-641.335031046491 136.340756185183 317.811827860884</t>
  </si>
  <si>
    <t>-670.072755980249 175.454720746905 778.324331441831</t>
  </si>
  <si>
    <t>-518.653437340461 176.979124292675 832.672048509612</t>
  </si>
  <si>
    <t>-607.40068824897 -75.3801100691844 322.123135141545</t>
  </si>
  <si>
    <t>-652.929434924407 -105.705298070464 781.671908802593</t>
  </si>
  <si>
    <t>-499.421415860851 -119.147986948573 827.914815634706</t>
  </si>
  <si>
    <t>9763-20170724T115422.426035000.bin</t>
  </si>
  <si>
    <t>-620.924881201479 25.9264730445916 -93.3675340956142</t>
  </si>
  <si>
    <t>-641.718059618634 21.8132556435357 -202.033140702223</t>
  </si>
  <si>
    <t>-654.305281123015 18.5987631687492 -293.995468877904</t>
  </si>
  <si>
    <t>-664.646171814413 15.6998994362975 -377.198933972916</t>
  </si>
  <si>
    <t>-673.389569812472 12.8040684442283 -460.585239680713</t>
  </si>
  <si>
    <t>-684.418076499095 8.54798645985602 -582.672146604291</t>
  </si>
  <si>
    <t>-671.921091271072 10.0474004258363 -660.014114020529</t>
  </si>
  <si>
    <t>-679.626797242844 41.7578477864374 -530.189803452889</t>
  </si>
  <si>
    <t>-657.181972285484 194.966758212078 -511.173116004791</t>
  </si>
  <si>
    <t>-615.414480824949 213.252710607018 -232.785500801271</t>
  </si>
  <si>
    <t>-391.476039838641 160.439483758326 -200.991359528173</t>
  </si>
  <si>
    <t>-630.935021749411 115.981207984488 -96.9426705256884</t>
  </si>
  <si>
    <t>-641.617645078348 136.488475240367 317.988600754774</t>
  </si>
  <si>
    <t>-669.965644430588 175.597242599834 778.516386896386</t>
  </si>
  <si>
    <t>-518.531096216718 177.242778165926 832.818296115523</t>
  </si>
  <si>
    <t>-607.454840261054 -75.1984113136446 322.230860175635</t>
  </si>
  <si>
    <t>-653.112597247273 -105.810167054996 781.675966512147</t>
  </si>
  <si>
    <t>-499.561666699957 -119.165422313302 827.801591894608</t>
  </si>
  <si>
    <t>9763-20170724T115422.459123200.bin</t>
  </si>
  <si>
    <t>-621.106454153379 25.9521077963082 -93.3433048420392</t>
  </si>
  <si>
    <t>-641.852548256051 21.8151664690199 -202.017002954537</t>
  </si>
  <si>
    <t>-654.390225443855 18.5769364724665 -293.985247911337</t>
  </si>
  <si>
    <t>-664.682365822687 15.6530730981322 -377.193715963754</t>
  </si>
  <si>
    <t>-673.373075166608 12.729817028023 -460.584736490646</t>
  </si>
  <si>
    <t>-684.320339981584 8.43046548760299 -582.677335698311</t>
  </si>
  <si>
    <t>-671.742865700045 9.94441066278296 -660.006098065071</t>
  </si>
  <si>
    <t>-679.618085410135 41.6589476546008 -530.198811981051</t>
  </si>
  <si>
    <t>-657.55241050347 194.92725224334 -511.274057837207</t>
  </si>
  <si>
    <t>-616.15203081681 213.130689188381 -232.826149063499</t>
  </si>
  <si>
    <t>-392.174745009774 160.460479254949 -201.068379221981</t>
  </si>
  <si>
    <t>-631.221075960488 115.99283059735 -96.9005197187184</t>
  </si>
  <si>
    <t>-641.823398473338 136.52126521781 318.031766341363</t>
  </si>
  <si>
    <t>-669.912348580689 175.678150045625 778.578122578899</t>
  </si>
  <si>
    <t>-518.474676066869 177.330347636031 832.871062221298</t>
  </si>
  <si>
    <t>-607.617516171372 -75.2542847027846 322.221047467712</t>
  </si>
  <si>
    <t>-653.369168569684 -105.831621219187 781.639507741232</t>
  </si>
  <si>
    <t>-499.73163456223 -119.432040488622 827.403652308422</t>
  </si>
  <si>
    <t>9763-20170724T115422.526309400.bin</t>
  </si>
  <si>
    <t>-621.461084093488 26.0098327997041 -93.3959787717108</t>
  </si>
  <si>
    <t>-642.167840387105 21.8114386358702 -202.074927216456</t>
  </si>
  <si>
    <t>-654.624345705402 18.4682718357849 -294.050411106763</t>
  </si>
  <si>
    <t>-664.824287268621 15.425142294536 -377.266031408986</t>
  </si>
  <si>
    <t>-673.404171066974 12.3607226055847 -460.663465216575</t>
  </si>
  <si>
    <t>-684.169398235651 7.83114587078899 -582.763891473143</t>
  </si>
  <si>
    <t>-671.386936951567 9.37978307534104 -660.058266640455</t>
  </si>
  <si>
    <t>-679.699964767308 41.1581885029439 -530.327411321136</t>
  </si>
  <si>
    <t>-658.42843967476 194.561495828023 -511.578213886828</t>
  </si>
  <si>
    <t>-617.527901447395 212.689240384276 -233.051489371553</t>
  </si>
  <si>
    <t>-393.570770857551 160.112541559457 -200.998031309506</t>
  </si>
  <si>
    <t>-631.618120447621 116.135880423391 -96.9210499955202</t>
  </si>
  <si>
    <t>-642.155265804632 136.593181699217 318.01643764953</t>
  </si>
  <si>
    <t>-669.825511698549 175.826516585665 778.619521705723</t>
  </si>
  <si>
    <t>-518.38478578124 177.410477444459 832.90595650725</t>
  </si>
  <si>
    <t>-608.030789771813 -75.3464058027564 322.111218560399</t>
  </si>
  <si>
    <t>-654.078724927745 -105.77160043769 781.475624078019</t>
  </si>
  <si>
    <t>-500.148791226811 -119.610826696543 826.173180284711</t>
  </si>
  <si>
    <t>9763-20170724T115422.561401900.bin</t>
  </si>
  <si>
    <t>-621.630978072058 26.1603883659234 -93.4523035142553</t>
  </si>
  <si>
    <t>-642.29690639223 21.9339300756096 -202.137797087383</t>
  </si>
  <si>
    <t>-654.702694163693 18.5339916468331 -294.118065775506</t>
  </si>
  <si>
    <t>-664.850476349829 15.4249056194526 -377.337686128245</t>
  </si>
  <si>
    <t>-673.37215156385 12.2813172784515 -460.738153554421</t>
  </si>
  <si>
    <t>-684.045779207188 7.62184091999211 -582.841663918052</t>
  </si>
  <si>
    <t>-671.186503365094 9.23323775928452 -660.122050284749</t>
  </si>
  <si>
    <t>-679.707490710665 41.0040543708076 -530.429438837906</t>
  </si>
  <si>
    <t>-658.919096760415 194.485763267392 -511.833272653235</t>
  </si>
  <si>
    <t>-618.117970531056 212.78112966255 -233.303012295777</t>
  </si>
  <si>
    <t>-394.100773944575 160.553734632476 -201.098534691154</t>
  </si>
  <si>
    <t>-631.863031726858 116.320674008496 -96.9625158892508</t>
  </si>
  <si>
    <t>-642.288544362934 136.713026164519 317.980903811414</t>
  </si>
  <si>
    <t>-669.785363312641 175.897628831573 778.610174484761</t>
  </si>
  <si>
    <t>-518.341443912841 177.542421056572 832.885954082811</t>
  </si>
  <si>
    <t>-608.208557701095 -75.2839179275361 322.044550948645</t>
  </si>
  <si>
    <t>-654.342506561201 -105.796040029769 781.405607771478</t>
  </si>
  <si>
    <t>-500.31529620935 -119.814625734315 825.71042993856</t>
  </si>
  <si>
    <t>9763-20170724T115422.631152000.bin</t>
  </si>
  <si>
    <t>-621.732757624242 26.6074008297292 -93.5349232384599</t>
  </si>
  <si>
    <t>-642.281137627362 22.3295089812455 -202.240740540179</t>
  </si>
  <si>
    <t>-654.632002157789 18.811006826902 -294.223943777503</t>
  </si>
  <si>
    <t>-664.748655153644 15.5621370868087 -377.441972519542</t>
  </si>
  <si>
    <t>-673.258320454963 12.2485016912406 -460.836997841995</t>
  </si>
  <si>
    <t>-683.935950457446 7.30738660469069 -582.929216590271</t>
  </si>
  <si>
    <t>-670.98973285435 8.9793850143717 -660.193716081947</t>
  </si>
  <si>
    <t>-679.712113054862 40.8092964407074 -530.583847082424</t>
  </si>
  <si>
    <t>-659.757666003874 194.4750192508 -512.46153204072</t>
  </si>
  <si>
    <t>-618.92788021994 212.91884304386 -233.945183059662</t>
  </si>
  <si>
    <t>-394.846017438841 161.204193786946 -201.365480047861</t>
  </si>
  <si>
    <t>-632.137150793406 116.683148381012 -97.0273975710272</t>
  </si>
  <si>
    <t>-642.514933032972 137.050932013305 317.918436246197</t>
  </si>
  <si>
    <t>-669.729726897036 176.042207810371 778.581769042573</t>
  </si>
  <si>
    <t>-518.274492723746 177.646439248659 832.827111347366</t>
  </si>
  <si>
    <t>-608.23587789562 -75.0719494426348 321.975758223268</t>
  </si>
  <si>
    <t>-654.60603925669 -105.847979492673 781.337888271921</t>
  </si>
  <si>
    <t>-500.468788446805 -119.74575085614 825.296821292448</t>
  </si>
  <si>
    <t>9763-20170724T115422.664236300.bin</t>
  </si>
  <si>
    <t>-621.721468220492 26.8193603415357 -93.5252805630261</t>
  </si>
  <si>
    <t>-642.237634771386 22.5117979849933 -202.236080953506</t>
  </si>
  <si>
    <t>-654.582925406671 18.9303310776174 -294.217575304584</t>
  </si>
  <si>
    <t>-664.703626615195 15.6081504989838 -377.432206738894</t>
  </si>
  <si>
    <t>-673.226847680227 12.2049629569469 -460.822250781973</t>
  </si>
  <si>
    <t>-683.934901111586 7.11560733656438 -582.905633422518</t>
  </si>
  <si>
    <t>-670.94109920835 8.76579685007528 -660.162832724322</t>
  </si>
  <si>
    <t>-679.721002138699 40.6808246112262 -530.600193542883</t>
  </si>
  <si>
    <t>-659.938992402884 194.383356192927 -512.619002544674</t>
  </si>
  <si>
    <t>-619.148009926195 212.778831481525 -234.093763966038</t>
  </si>
  <si>
    <t>-395.100734846121 161.078164726653 -201.254902747993</t>
  </si>
  <si>
    <t>-632.252303466563 116.851960598549 -97.0353145239974</t>
  </si>
  <si>
    <t>-642.583626042291 137.18919220206 317.913184973468</t>
  </si>
  <si>
    <t>-669.704167210738 176.110234238647 778.583300681175</t>
  </si>
  <si>
    <t>-518.244117411499 177.618694169566 832.817951233706</t>
  </si>
  <si>
    <t>-608.148592874174 -74.9509255625194 321.985331906313</t>
  </si>
  <si>
    <t>-654.655542515921 -105.925876759491 781.340061144936</t>
  </si>
  <si>
    <t>-500.530570784149 -120.056439451318 825.267783650679</t>
  </si>
  <si>
    <t>9763-20170724T115422.726945400.bin</t>
  </si>
  <si>
    <t>-621.738519007937 27.2099816894067 -93.510761912285</t>
  </si>
  <si>
    <t>-642.233366983715 22.8935810912333 -202.225268175764</t>
  </si>
  <si>
    <t>-654.505950403604 19.2312197370059 -294.213315162036</t>
  </si>
  <si>
    <t>-664.539497054602 15.8045367981317 -377.434183373926</t>
  </si>
  <si>
    <t>-672.954602014822 12.266110996432 -460.829713224942</t>
  </si>
  <si>
    <t>-683.48203281655 6.94510833127561 -582.918883861155</t>
  </si>
  <si>
    <t>-670.332297682025 8.53310321301456 -660.150812251308</t>
  </si>
  <si>
    <t>-679.413172996285 40.6085057018793 -530.665021181391</t>
  </si>
  <si>
    <t>-659.946413367119 194.381288986307 -512.972651590152</t>
  </si>
  <si>
    <t>-619.388775261889 212.892752623902 -234.421075753076</t>
  </si>
  <si>
    <t>-395.505511556517 160.909453719722 -200.916403421529</t>
  </si>
  <si>
    <t>-632.422597511209 117.252012388368 -97.0098066964188</t>
  </si>
  <si>
    <t>-642.643634479435 137.46494167803 317.947525953828</t>
  </si>
  <si>
    <t>-669.640622547361 176.242580855916 778.618215000786</t>
  </si>
  <si>
    <t>-518.170706754653 177.748065733606 832.825347040229</t>
  </si>
  <si>
    <t>-607.97361471802 -74.6469015976952 322.017797046895</t>
  </si>
  <si>
    <t>-654.757378621027 -106.00747296159 781.333798103197</t>
  </si>
  <si>
    <t>-500.601381777579 -119.989506587365 825.200091807744</t>
  </si>
  <si>
    <t>9763-20170724T115422.764045700.bin</t>
  </si>
  <si>
    <t>-621.726177996958 27.4373371792897 -93.5035478215129</t>
  </si>
  <si>
    <t>-642.156779590799 23.1167207951369 -202.22997058884</t>
  </si>
  <si>
    <t>-654.366193630956 19.4198113406526 -294.225123988908</t>
  </si>
  <si>
    <t>-664.339455618755 15.9482883509513 -377.451280392333</t>
  </si>
  <si>
    <t>-672.691111078642 12.3522951509603 -460.850676507926</t>
  </si>
  <si>
    <t>-683.122637925336 6.93269099572103 -582.943845715102</t>
  </si>
  <si>
    <t>-669.906610292917 8.47563635979509 -660.165383561211</t>
  </si>
  <si>
    <t>-679.12356496707 40.6379609858914 -530.711536770334</t>
  </si>
  <si>
    <t>-659.825980546959 194.449247153929 -513.186471152524</t>
  </si>
  <si>
    <t>-619.483934328424 212.880802823213 -234.59828705375</t>
  </si>
  <si>
    <t>-395.658699347591 160.771643511331 -200.90218825731</t>
  </si>
  <si>
    <t>-632.47184370028 117.466480693884 -96.9912067670915</t>
  </si>
  <si>
    <t>-642.681979881315 137.622432525653 317.969151917163</t>
  </si>
  <si>
    <t>-669.602224770102 176.319388487468 778.647994792877</t>
  </si>
  <si>
    <t>-518.128738327359 177.864437612322 832.843986814114</t>
  </si>
  <si>
    <t>-607.929486128079 -74.5261317054349 322.023753314312</t>
  </si>
  <si>
    <t>-654.792167547522 -106.0480573564 781.325344162945</t>
  </si>
  <si>
    <t>-500.600839174708 -119.641107801305 825.189666220882</t>
  </si>
  <si>
    <t>9763-20170724T115422.828133800.bin</t>
  </si>
  <si>
    <t>-621.428284984723 27.7034576327799 -93.4302227427125</t>
  </si>
  <si>
    <t>-641.724717055781 23.3868248792605 -202.181774137765</t>
  </si>
  <si>
    <t>-653.828838172644 19.6312011223606 -294.188336974771</t>
  </si>
  <si>
    <t>-663.710660853358 16.080342754374 -377.422349525183</t>
  </si>
  <si>
    <t>-671.97505171587 12.3796364479456 -460.825781857781</t>
  </si>
  <si>
    <t>-682.28393841656 6.77961391143799 -582.921275628138</t>
  </si>
  <si>
    <t>-668.957049186185 8.19887092421209 -660.126073660849</t>
  </si>
  <si>
    <t>-678.400114083948 40.5610298810959 -530.729561907751</t>
  </si>
  <si>
    <t>-659.600406259799 194.449865869934 -513.360656938547</t>
  </si>
  <si>
    <t>-619.204189539925 212.845635302866 -234.778012773239</t>
  </si>
  <si>
    <t>-395.381435598334 160.760065096084 -201.028765616445</t>
  </si>
  <si>
    <t>-632.311669334474 117.678371346555 -96.9103405052049</t>
  </si>
  <si>
    <t>-642.682128744677 137.865643306557 318.044470277997</t>
  </si>
  <si>
    <t>-669.528808449412 176.462951556839 778.71941051734</t>
  </si>
  <si>
    <t>-518.054578804856 177.944866987124 832.915207265752</t>
  </si>
  <si>
    <t>-607.744567372002 -74.5049092604547 322.071816320222</t>
  </si>
  <si>
    <t>-654.850699923902 -106.206088794643 781.33779928976</t>
  </si>
  <si>
    <t>-500.683982815203 -120.020746977515 825.219502108977</t>
  </si>
  <si>
    <t>9763-20170724T115422.860216700.bin</t>
  </si>
  <si>
    <t>-621.210018659517 27.7646558824597 -93.407148757764</t>
  </si>
  <si>
    <t>-641.452800064395 23.4436929036037 -202.168594176741</t>
  </si>
  <si>
    <t>-653.514141377789 19.683917939969 -294.180582484208</t>
  </si>
  <si>
    <t>-663.358355863783 16.127932662785 -377.418716346779</t>
  </si>
  <si>
    <t>-671.586164529174 12.4211519934918 -460.82560010541</t>
  </si>
  <si>
    <t>-681.842730010206 6.81103656797768 -582.924874979999</t>
  </si>
  <si>
    <t>-668.456919740143 8.20203699737453 -660.120045750006</t>
  </si>
  <si>
    <t>-678.002241494845 40.5964715445539 -530.73260037972</t>
  </si>
  <si>
    <t>-659.296917271346 194.495242798772 -513.380799846619</t>
  </si>
  <si>
    <t>-618.840994647289 212.913286419926 -234.808238766285</t>
  </si>
  <si>
    <t>-395.095228393605 160.576938389638 -200.936795313727</t>
  </si>
  <si>
    <t>-632.182279980757 117.730504520795 -96.876669861225</t>
  </si>
  <si>
    <t>-642.640753251605 137.902692382433 318.076758424665</t>
  </si>
  <si>
    <t>-669.482651484542 176.534228549483 778.758530875422</t>
  </si>
  <si>
    <t>-518.011577306033 178.011147892205 832.963333983628</t>
  </si>
  <si>
    <t>-607.594642623449 -74.5546712888936 322.088685357074</t>
  </si>
  <si>
    <t>-654.906675664323 -106.274598394131 781.33528808799</t>
  </si>
  <si>
    <t>-500.735786546699 -120.172778158022 825.175876304916</t>
  </si>
  <si>
    <t>9763-20170724T115422.927185400.bin</t>
  </si>
  <si>
    <t>-620.615183523011 27.894975244772 -93.3133325170563</t>
  </si>
  <si>
    <t>-640.763995362242 23.5323658928633 -202.090606894316</t>
  </si>
  <si>
    <t>-652.834871920778 19.7572569454017 -294.100788049901</t>
  </si>
  <si>
    <t>-662.723148490564 16.1944700052882 -377.333428614575</t>
  </si>
  <si>
    <t>-671.030679877736 12.4884408692465 -460.732291220529</t>
  </si>
  <si>
    <t>-681.443025610671 6.88741685134391 -582.818891637758</t>
  </si>
  <si>
    <t>-668.005526296286 8.22587892462388 -660.006033292782</t>
  </si>
  <si>
    <t>-677.539208823291 40.6688652093439 -530.628732562059</t>
  </si>
  <si>
    <t>-658.794055970277 194.556837639348 -513.201819073668</t>
  </si>
  <si>
    <t>-618.29332407693 212.826408183198 -234.625977373395</t>
  </si>
  <si>
    <t>-394.770051003136 159.632358456969 -200.621967082896</t>
  </si>
  <si>
    <t>-631.693332586594 117.882373506641 -96.8089421018425</t>
  </si>
  <si>
    <t>-642.413391708565 137.974627213872 318.1415882681</t>
  </si>
  <si>
    <t>-669.369303892497 176.713755632256 778.811377429377</t>
  </si>
  <si>
    <t>-517.915966511818 178.297101896538 833.062582110163</t>
  </si>
  <si>
    <t>-607.211225111512 -74.6064892836705 322.14167534846</t>
  </si>
  <si>
    <t>-655.090726456342 -106.343540378584 781.317591534734</t>
  </si>
  <si>
    <t>-500.880813705885 -120.44582010723 824.955232359498</t>
  </si>
  <si>
    <t>9763-20170724T115422.961277100.bin</t>
  </si>
  <si>
    <t>-620.187246861749 27.9492289852019 -93.2929557900582</t>
  </si>
  <si>
    <t>-640.349323147777 23.5743362206806 -202.067267548631</t>
  </si>
  <si>
    <t>-652.45549891048 19.8143669556507 -294.073408145466</t>
  </si>
  <si>
    <t>-662.385206871748 16.2748924382238 -377.302115573342</t>
  </si>
  <si>
    <t>-670.743553948035 12.6021890618522 -460.697450304163</t>
  </si>
  <si>
    <t>-681.240236594715 7.06135277630892 -582.779518566971</t>
  </si>
  <si>
    <t>-667.790891788261 8.41639038812878 -659.964424249313</t>
  </si>
  <si>
    <t>-677.301761806719 40.8171419161099 -530.575404571669</t>
  </si>
  <si>
    <t>-658.531331179694 194.682450401328 -513.036292227083</t>
  </si>
  <si>
    <t>-617.942409970891 212.945815657909 -234.472910725646</t>
  </si>
  <si>
    <t>-394.572969646252 159.102363646281 -200.480049802957</t>
  </si>
  <si>
    <t>-631.261689826557 117.973800396605 -96.7830656616726</t>
  </si>
  <si>
    <t>-642.176352250788 138.040184281648 318.163655502603</t>
  </si>
  <si>
    <t>-669.309985631135 176.788412627651 778.828627137273</t>
  </si>
  <si>
    <t>-517.869294921539 178.356108555365 833.11577141202</t>
  </si>
  <si>
    <t>-606.979774311027 -74.6744867479913 322.161089167203</t>
  </si>
  <si>
    <t>-655.201407973756 -106.36708108398 781.305470518361</t>
  </si>
  <si>
    <t>-500.966126134708 -120.602568331075 824.810088595018</t>
  </si>
  <si>
    <t>9763-20170724T115423.030035000.bin</t>
  </si>
  <si>
    <t>-619.275703495194 28.1503341939172 -93.2480386906871</t>
  </si>
  <si>
    <t>-639.496886666323 23.726094407954 -202.009367036494</t>
  </si>
  <si>
    <t>-651.696155398202 20.0032582280987 -294.004852916022</t>
  </si>
  <si>
    <t>-661.726508145644 16.5298420169154 -377.224203143943</t>
  </si>
  <si>
    <t>-670.201554725531 12.9562635205921 -460.612137447415</t>
  </si>
  <si>
    <t>-680.886054035812 7.596685196615 -582.686080960428</t>
  </si>
  <si>
    <t>-667.439115370142 9.03983731906192 -659.869632563322</t>
  </si>
  <si>
    <t>-676.875439491259 41.2746817486523 -530.437015046055</t>
  </si>
  <si>
    <t>-657.995017890392 195.094853821702 -512.551694789346</t>
  </si>
  <si>
    <t>-617.350299230835 213.179515192824 -233.984800802718</t>
  </si>
  <si>
    <t>-394.064647794249 159.123936386979 -199.778935802302</t>
  </si>
  <si>
    <t>-630.214180133442 118.312164709187 -96.771541859952</t>
  </si>
  <si>
    <t>-641.422937116601 138.17835112522 318.176964121691</t>
  </si>
  <si>
    <t>-669.200229618703 176.932516559406 778.824656986332</t>
  </si>
  <si>
    <t>-517.786368809523 178.49010299379 833.186796342862</t>
  </si>
  <si>
    <t>-606.424760214562 -74.6269979543383 322.226612919816</t>
  </si>
  <si>
    <t>-655.435979585828 -106.410663443048 781.280764610992</t>
  </si>
  <si>
    <t>-501.133759306218 -120.855626403153 824.477775313331</t>
  </si>
  <si>
    <t>9763-20170724T115423.063122100.bin</t>
  </si>
  <si>
    <t>-618.786798935231 28.3509671546033 -93.2322661422724</t>
  </si>
  <si>
    <t>-639.073835806671 23.9106922643978 -201.980760908178</t>
  </si>
  <si>
    <t>-651.341214025837 20.2104007439359 -293.968063818056</t>
  </si>
  <si>
    <t>-661.437682491882 16.7726423012025 -377.180720493885</t>
  </si>
  <si>
    <t>-669.983296887606 13.2504934341839 -460.563656877769</t>
  </si>
  <si>
    <t>-680.775516834881 7.98388319509286 -582.632196123717</t>
  </si>
  <si>
    <t>-667.37082960964 9.48295939278819 -659.822112188026</t>
  </si>
  <si>
    <t>-676.742385891227 41.6216875854607 -530.359110482823</t>
  </si>
  <si>
    <t>-657.979120181643 195.441076788686 -512.373276463022</t>
  </si>
  <si>
    <t>-617.187377997809 213.311327506693 -233.813983018742</t>
  </si>
  <si>
    <t>-394.04413084592 158.759281955427 -199.467252697681</t>
  </si>
  <si>
    <t>-629.670442175069 118.57688189878 -96.7730562346482</t>
  </si>
  <si>
    <t>-641.047524251569 138.257296914231 318.179757474432</t>
  </si>
  <si>
    <t>-669.139334801248 177.014207990889 778.812173129473</t>
  </si>
  <si>
    <t>-517.740355464453 178.645296036045 833.213600380793</t>
  </si>
  <si>
    <t>-606.091705238786 -74.5029186804834 322.259780028777</t>
  </si>
  <si>
    <t>-655.545410347609 -106.426413683726 781.261582835438</t>
  </si>
  <si>
    <t>-501.183888796151 -120.685369547615 824.308490244309</t>
  </si>
  <si>
    <t>9763-20170724T115423.132321800.bin</t>
  </si>
  <si>
    <t>-617.933705553506 28.8153375903146 -93.1949102505097</t>
  </si>
  <si>
    <t>-638.38168527019 24.3378223012935 -201.911641745058</t>
  </si>
  <si>
    <t>-650.810148193117 20.7011306871209 -293.879840287691</t>
  </si>
  <si>
    <t>-661.061256497984 17.3600669530279 -377.077724604224</t>
  </si>
  <si>
    <t>-669.770176568513 13.9741102756755 -460.449238029144</t>
  </si>
  <si>
    <t>-680.809912057799 8.95056329791282 -582.505898592104</t>
  </si>
  <si>
    <t>-667.557952992466 10.5724418818238 -659.719744782327</t>
  </si>
  <si>
    <t>-676.685307061617 42.4838704772801 -530.172856419051</t>
  </si>
  <si>
    <t>-657.883899285628 196.266595880427 -511.844253257898</t>
  </si>
  <si>
    <t>-616.895411643351 213.552891501948 -233.276968049919</t>
  </si>
  <si>
    <t>-393.851623721712 158.785751575778 -198.627787942815</t>
  </si>
  <si>
    <t>-628.72616748498 119.095505936567 -96.752917734318</t>
  </si>
  <si>
    <t>-640.424863069589 138.513096797983 318.203315959777</t>
  </si>
  <si>
    <t>-669.049358370043 177.151647260728 778.792928912223</t>
  </si>
  <si>
    <t>-517.675250622508 178.740565574967 833.264859415364</t>
  </si>
  <si>
    <t>-605.416137334193 -74.1319511368501 322.34190707534</t>
  </si>
  <si>
    <t>-655.698458283292 -106.4619974716 781.239438086731</t>
  </si>
  <si>
    <t>-501.293295759678 -120.814607700738 824.098081174145</t>
  </si>
  <si>
    <t>9763-20170724T115423.165412500.bin</t>
  </si>
  <si>
    <t>-617.582663469659 29.0225445439416 -93.1673944240481</t>
  </si>
  <si>
    <t>-638.142354316714 24.5176386772876 -201.861837522468</t>
  </si>
  <si>
    <t>-650.651485542091 20.8987353693628 -293.819831972356</t>
  </si>
  <si>
    <t>-660.969609250194 17.5900416038867 -377.010666674824</t>
  </si>
  <si>
    <t>-669.73939192867 14.2528792119113 -460.377945694245</t>
  </si>
  <si>
    <t>-680.861040213114 9.31896145869791 -582.430755358086</t>
  </si>
  <si>
    <t>-667.686155643583 10.998318491934 -659.65638493417</t>
  </si>
  <si>
    <t>-676.712824995753 42.813623075758 -530.074869065698</t>
  </si>
  <si>
    <t>-657.899194945461 196.57562736659 -511.608366785768</t>
  </si>
  <si>
    <t>-616.771565323 213.541317622399 -233.042026656407</t>
  </si>
  <si>
    <t>-393.842343942832 158.481238766176 -198.120835250868</t>
  </si>
  <si>
    <t>-628.331173108369 119.338345032473 -96.7487005472145</t>
  </si>
  <si>
    <t>-640.172793689845 138.629312937187 318.2093872069</t>
  </si>
  <si>
    <t>-669.004873543578 177.214238542437 778.78407345119</t>
  </si>
  <si>
    <t>-517.639192216726 178.813571935719 833.278976015567</t>
  </si>
  <si>
    <t>-605.118050146944 -73.9929426834449 322.379535935464</t>
  </si>
  <si>
    <t>-655.765159942512 -106.510300978954 781.232608422532</t>
  </si>
  <si>
    <t>-501.364179432832 -121.104794573997 824.024696392563</t>
  </si>
  <si>
    <t>9763-20170724T115423.228584600.bin</t>
  </si>
  <si>
    <t>-617.194246388882 29.4656435243216 -93.136191275179</t>
  </si>
  <si>
    <t>-637.973535658974 24.9060800000593 -201.786682935192</t>
  </si>
  <si>
    <t>-650.617086972454 21.2896524663438 -293.72635656346</t>
  </si>
  <si>
    <t>-661.035690453814 18.0019691692548 -376.905518303277</t>
  </si>
  <si>
    <t>-669.884608105305 14.7048188683864 -460.265999506536</t>
  </si>
  <si>
    <t>-681.098170922896 9.84990220643272 -582.313616242626</t>
  </si>
  <si>
    <t>-668.089287347877 11.6521056602405 -659.564668132417</t>
  </si>
  <si>
    <t>-676.924902608266 43.310360085052 -529.937732668781</t>
  </si>
  <si>
    <t>-658.156259011756 197.054369174997 -511.300853511147</t>
  </si>
  <si>
    <t>-616.775774144789 213.629798828322 -232.748361206492</t>
  </si>
  <si>
    <t>-394.24499806709 157.33109037011 -197.265572246669</t>
  </si>
  <si>
    <t>-627.940648039604 119.906423484793 -96.7603309578474</t>
  </si>
  <si>
    <t>-639.779048194773 138.886731828914 318.21213138704</t>
  </si>
  <si>
    <t>-668.928477014175 177.341940536605 778.779760290099</t>
  </si>
  <si>
    <t>-517.573921221467 178.968645423543 833.304607973873</t>
  </si>
  <si>
    <t>-604.663173489311 -73.6892840586129 322.447375585887</t>
  </si>
  <si>
    <t>-655.86356414333 -106.591809130475 781.21770117621</t>
  </si>
  <si>
    <t>-501.451108753552 -121.34249159705 823.914688722744</t>
  </si>
  <si>
    <t>9763-20170724T115423.262675200.bin</t>
  </si>
  <si>
    <t>-617.145933688032 29.6869782055753 -93.1360740199486</t>
  </si>
  <si>
    <t>-638.010939355083 25.1044083161589 -201.769202429606</t>
  </si>
  <si>
    <t>-650.689086588613 21.4838439088885 -293.703900765735</t>
  </si>
  <si>
    <t>-661.123549900749 18.1984887052661 -376.881098983759</t>
  </si>
  <si>
    <t>-669.972872093109 14.90908804682 -460.241877418378</t>
  </si>
  <si>
    <t>-681.16986620403 10.0713634411541 -582.291714613727</t>
  </si>
  <si>
    <t>-668.21455392803 11.9320232690557 -659.550385595093</t>
  </si>
  <si>
    <t>-676.999796956986 43.5245318109853 -529.91089841951</t>
  </si>
  <si>
    <t>-658.151695413661 197.26130997314 -511.236177232908</t>
  </si>
  <si>
    <t>-616.846785673323 213.662658828969 -232.662132710842</t>
  </si>
  <si>
    <t>-394.479701571834 156.936461492236 -196.835498133277</t>
  </si>
  <si>
    <t>-627.864408298248 120.166106398667 -96.7681125843213</t>
  </si>
  <si>
    <t>-639.697419331863 139.020363996028 318.210354247566</t>
  </si>
  <si>
    <t>-668.912232364413 177.395335255874 778.77952335194</t>
  </si>
  <si>
    <t>-517.557150401268 178.942201100304 833.30532615692</t>
  </si>
  <si>
    <t>-604.512154015486 -73.4822232426022 322.476386113323</t>
  </si>
  <si>
    <t>-655.895451716274 -106.629502272535 781.218147224672</t>
  </si>
  <si>
    <t>-501.47348504763 -121.332937983814 823.897001843162</t>
  </si>
  <si>
    <t>9763-20170724T115423.331652100.bin</t>
  </si>
  <si>
    <t>-617.294395947578 30.0585799524754 -93.1539477415869</t>
  </si>
  <si>
    <t>-638.205181420877 25.4408491637553 -201.776737451543</t>
  </si>
  <si>
    <t>-650.866064343959 21.780651091975 -293.71229331189</t>
  </si>
  <si>
    <t>-661.262474514984 18.4547972648563 -376.892642706892</t>
  </si>
  <si>
    <t>-670.051283085741 15.119873797315 -460.25808975999</t>
  </si>
  <si>
    <t>-681.135167258329 10.2098138776712 -582.315122859817</t>
  </si>
  <si>
    <t>-668.244789354836 12.1340029262569 -659.583216797889</t>
  </si>
  <si>
    <t>-677.014834652359 43.6940380358726 -529.950310065502</t>
  </si>
  <si>
    <t>-658.132480605909 197.42600045985 -511.313933436911</t>
  </si>
  <si>
    <t>-616.931644147775 213.860306347566 -232.726427129506</t>
  </si>
  <si>
    <t>-395.026781737963 155.59993687555 -196.498094733887</t>
  </si>
  <si>
    <t>-627.995865251763 120.591995871099 -96.7907159632416</t>
  </si>
  <si>
    <t>-639.786354464831 139.283483906824 318.1962865822</t>
  </si>
  <si>
    <t>-668.868124535788 177.52742453895 778.777560054762</t>
  </si>
  <si>
    <t>-517.509935475252 179.01035522216 833.296504860453</t>
  </si>
  <si>
    <t>-604.496941188211 -73.2554912150754 322.497382637348</t>
  </si>
  <si>
    <t>-655.967227618081 -106.670649816828 781.216589236721</t>
  </si>
  <si>
    <t>-501.516825162515 -121.224710790079 823.843702834823</t>
  </si>
  <si>
    <t>9763-20170724T115423.359726400.bin</t>
  </si>
  <si>
    <t>-617.479299505693 30.2156602106033 -93.1719089539234</t>
  </si>
  <si>
    <t>-638.347430826717 25.592197449263 -201.802708048713</t>
  </si>
  <si>
    <t>-650.983432287173 21.9245493855585 -293.741395081459</t>
  </si>
  <si>
    <t>-661.361833489502 18.5907691080306 -376.92364642622</t>
  </si>
  <si>
    <t>-670.137145697731 15.2466127017244 -460.289950585062</t>
  </si>
  <si>
    <t>-681.206340701636 10.3213599169992 -582.347981337609</t>
  </si>
  <si>
    <t>-668.334389876776 12.250630448699 -659.618976510556</t>
  </si>
  <si>
    <t>-677.08310577841 43.8122107288236 -529.987708069241</t>
  </si>
  <si>
    <t>-658.125384909666 197.545806139574 -511.404709989921</t>
  </si>
  <si>
    <t>-617.031733132253 214.103971100008 -232.8087846443</t>
  </si>
  <si>
    <t>-395.285252575951 155.333279499759 -196.435269319295</t>
  </si>
  <si>
    <t>-628.175710551348 120.746353238584 -96.8147743286862</t>
  </si>
  <si>
    <t>-639.942783453704 139.433509575633 318.173104094225</t>
  </si>
  <si>
    <t>-668.858551941512 177.584528674024 778.776114070662</t>
  </si>
  <si>
    <t>-517.49463016137 179.027055138606 833.280377545918</t>
  </si>
  <si>
    <t>-604.662799023502 -73.2059155694972 322.479119993498</t>
  </si>
  <si>
    <t>-656.000189866993 -106.707450921076 781.215256524641</t>
  </si>
  <si>
    <t>-501.542865270712 -121.247314028941 823.822312840748</t>
  </si>
  <si>
    <t>9763-20170724T115423.428918300.bin</t>
  </si>
  <si>
    <t>-617.921335159323 30.3813627190953 -93.1864107023124</t>
  </si>
  <si>
    <t>-638.758666501455 25.7586648446302 -201.82319194361</t>
  </si>
  <si>
    <t>-651.367077689277 22.0743674028201 -293.764880223983</t>
  </si>
  <si>
    <t>-661.720201774447 18.7182734089413 -376.949547166524</t>
  </si>
  <si>
    <t>-670.469849621697 15.3442071934278 -460.317361930073</t>
  </si>
  <si>
    <t>-681.501310504061 10.3666494213883 -582.376533956662</t>
  </si>
  <si>
    <t>-668.582756646518 12.2245634150588 -659.641550888955</t>
  </si>
  <si>
    <t>-677.373441240093 43.8803161687729 -530.031274806539</t>
  </si>
  <si>
    <t>-658.22548694264 197.587980291793 -511.480804226124</t>
  </si>
  <si>
    <t>-617.387756656887 214.29485752907 -232.85610796161</t>
  </si>
  <si>
    <t>-396.019163762025 154.064168619117 -196.569123275486</t>
  </si>
  <si>
    <t>-628.605167634785 120.954652935513 -96.8562302664295</t>
  </si>
  <si>
    <t>-640.249091205583 139.615186470829 318.136303253822</t>
  </si>
  <si>
    <t>-668.821265881995 177.694463856689 778.774968155057</t>
  </si>
  <si>
    <t>-517.447825492989 179.158454790529 833.252128991302</t>
  </si>
  <si>
    <t>-604.979850324743 -73.1405326211445 322.445533551032</t>
  </si>
  <si>
    <t>-656.067036143456 -106.799376794333 781.212490270273</t>
  </si>
  <si>
    <t>-501.606254016672 -121.408117473826 823.783349428844</t>
  </si>
  <si>
    <t>9763-20170724T115423.463009400.bin</t>
  </si>
  <si>
    <t>-618.148737297113 30.42632391641 -93.207725067302</t>
  </si>
  <si>
    <t>-638.987159501916 25.8085357880684 -201.844404777147</t>
  </si>
  <si>
    <t>-651.567802555794 22.1277498141731 -293.790081415411</t>
  </si>
  <si>
    <t>-661.884307200108 18.7743157745972 -376.979391758588</t>
  </si>
  <si>
    <t>-670.585662978636 15.402499448508 -460.352492145041</t>
  </si>
  <si>
    <t>-681.533759334332 10.4272048556099 -582.419275267975</t>
  </si>
  <si>
    <t>-668.545732361002 12.2471691013834 -659.673453028977</t>
  </si>
  <si>
    <t>-677.433409294647 43.9400432487955 -530.071323769795</t>
  </si>
  <si>
    <t>-658.170468608565 197.634501777931 -511.477875518317</t>
  </si>
  <si>
    <t>-617.516766313172 214.442879466615 -232.832365709781</t>
  </si>
  <si>
    <t>-396.183685520763 154.097230945172 -196.519829841203</t>
  </si>
  <si>
    <t>-628.81810798436 121.035702961746 -96.8778924301803</t>
  </si>
  <si>
    <t>-640.378417686013 139.68567242618 318.117475458734</t>
  </si>
  <si>
    <t>-668.799795750772 177.757652952481 778.774805884257</t>
  </si>
  <si>
    <t>-517.421128001278 179.221129797534 833.237570144922</t>
  </si>
  <si>
    <t>-605.114955380936 -73.1103343886032 322.423920298193</t>
  </si>
  <si>
    <t>-656.095432024352 -106.81907587057 781.207044882475</t>
  </si>
  <si>
    <t>-501.595918463632 -121.066374027664 823.759819647845</t>
  </si>
  <si>
    <t>9763-20170724T115423.530819400.bin</t>
  </si>
  <si>
    <t>-618.55369685747 30.2928868504664 -93.2448711713216</t>
  </si>
  <si>
    <t>-639.398473188459 25.6861638928474 -201.880926981099</t>
  </si>
  <si>
    <t>-651.953367564496 22.0005976380819 -293.829830267944</t>
  </si>
  <si>
    <t>-662.234171751747 18.6372532716214 -377.023200669584</t>
  </si>
  <si>
    <t>-670.887497315666 15.2489546815057 -460.40050933014</t>
  </si>
  <si>
    <t>-681.751873100202 10.2423718833381 -582.473608202577</t>
  </si>
  <si>
    <t>-668.604306306398 11.9891452923598 -659.702494814636</t>
  </si>
  <si>
    <t>-677.668876395972 43.7691179942349 -530.132965085774</t>
  </si>
  <si>
    <t>-658.264436221617 197.442781871616 -511.519150758435</t>
  </si>
  <si>
    <t>-617.972137809374 214.609590341283 -232.843127195939</t>
  </si>
  <si>
    <t>-396.769706195008 153.764575718984 -196.567717384696</t>
  </si>
  <si>
    <t>-629.182766874964 121.042940415573 -96.9111449618446</t>
  </si>
  <si>
    <t>-640.560294798339 139.666193578671 318.090462036271</t>
  </si>
  <si>
    <t>-668.762761746428 177.867487053786 778.757604421304</t>
  </si>
  <si>
    <t>-517.378356434857 179.27502557673 833.205780041957</t>
  </si>
  <si>
    <t>-605.35814724907 -73.3291041801481 322.382044069205</t>
  </si>
  <si>
    <t>-656.134901876364 -106.960079797276 781.215394254667</t>
  </si>
  <si>
    <t>-501.700147652646 -121.811521203295 823.796589006455</t>
  </si>
  <si>
    <t>9763-20170724T115423.563907200.bin</t>
  </si>
  <si>
    <t>-618.730192437846 30.2517137641858 -93.2641510735189</t>
  </si>
  <si>
    <t>-639.582286688867 25.651396041224 -201.898946821932</t>
  </si>
  <si>
    <t>-652.143946251506 21.9678535580829 -293.84705221533</t>
  </si>
  <si>
    <t>-662.431193536037 18.604779320131 -377.039715348983</t>
  </si>
  <si>
    <t>-671.091200989606 15.2152947175439 -460.416272849944</t>
  </si>
  <si>
    <t>-681.965766049677 10.2050057796625 -582.48831430301</t>
  </si>
  <si>
    <t>-668.756075825019 11.9299839910179 -659.706988020409</t>
  </si>
  <si>
    <t>-677.866787897153 43.7335780919611 -530.149984735435</t>
  </si>
  <si>
    <t>-658.334693066055 197.384476760728 -511.53249999729</t>
  </si>
  <si>
    <t>-618.169610250642 214.748470383712 -232.850247148502</t>
  </si>
  <si>
    <t>-397.003826226728 153.80052471594 -196.524248621964</t>
  </si>
  <si>
    <t>-629.353075265854 121.044951576346 -96.9214320651262</t>
  </si>
  <si>
    <t>-640.709001657165 139.672795066429 318.080529873522</t>
  </si>
  <si>
    <t>-668.743874147883 177.917582534247 778.758157487516</t>
  </si>
  <si>
    <t>-517.356886568862 179.29675472149 833.199835491375</t>
  </si>
  <si>
    <t>-605.496040403615 -73.386759638611 322.366460557698</t>
  </si>
  <si>
    <t>-656.152143739387 -107.018680465869 781.218595656965</t>
  </si>
  <si>
    <t>-501.730242964268 -121.964419088379 823.813446211535</t>
  </si>
  <si>
    <t>9763-20170724T115423.630086800.bin</t>
  </si>
  <si>
    <t>-618.993206267792 30.2299077550867 -93.262797795254</t>
  </si>
  <si>
    <t>-639.926266429229 25.6342741344124 -201.882232993467</t>
  </si>
  <si>
    <t>-652.556153515182 21.9702660754567 -293.821833443945</t>
  </si>
  <si>
    <t>-662.90483695304 18.6316630225051 -377.0078156331</t>
  </si>
  <si>
    <t>-671.626146255366 15.2730522349082 -460.379197177562</t>
  </si>
  <si>
    <t>-682.589884016268 10.3152554329577 -582.445372186073</t>
  </si>
  <si>
    <t>-669.299233126113 12.0220317594622 -659.650669152066</t>
  </si>
  <si>
    <t>-678.446004855084 43.8214007566708 -530.096334687484</t>
  </si>
  <si>
    <t>-658.796531744965 197.439306856703 -511.32893084257</t>
  </si>
  <si>
    <t>-618.712721525692 214.987869990794 -232.646388978158</t>
  </si>
  <si>
    <t>-397.665009546336 153.544547255454 -196.436493670295</t>
  </si>
  <si>
    <t>-629.555518798426 121.073454680749 -96.9295935680577</t>
  </si>
  <si>
    <t>-640.749860440192 139.728612234518 318.075585532953</t>
  </si>
  <si>
    <t>-668.702676354702 177.995968445527 778.761829778229</t>
  </si>
  <si>
    <t>-517.310981461304 179.404978885988 833.189644585644</t>
  </si>
  <si>
    <t>-605.658645074736 -73.3859262129736 322.358376641651</t>
  </si>
  <si>
    <t>-656.182785236106 -107.089728400759 781.22622693933</t>
  </si>
  <si>
    <t>-501.767671832542 -122.042369965151 823.843326877834</t>
  </si>
  <si>
    <t>9763-20170724T115423.662171800.bin</t>
  </si>
  <si>
    <t>-619.131936038373 30.2871048199495 -93.2601407173648</t>
  </si>
  <si>
    <t>-640.121110597593 25.7001145081158 -201.869090188852</t>
  </si>
  <si>
    <t>-652.772136201984 22.0505746031622 -293.806350308124</t>
  </si>
  <si>
    <t>-663.129198673441 18.7284689492053 -376.991831545181</t>
  </si>
  <si>
    <t>-671.848169718314 15.3893752652477 -460.364382155487</t>
  </si>
  <si>
    <t>-682.796540884147 10.4636269716236 -582.433220478416</t>
  </si>
  <si>
    <t>-669.478555998973 12.1761340047958 -659.63362558432</t>
  </si>
  <si>
    <t>-678.65571037211 43.9559534151092 -530.075308603165</t>
  </si>
  <si>
    <t>-659.021101240177 197.56851631906 -511.25068505824</t>
  </si>
  <si>
    <t>-619.128924732128 215.283596631203 -232.551216893091</t>
  </si>
  <si>
    <t>-398.109050286206 153.604201174879 -196.573572163982</t>
  </si>
  <si>
    <t>-629.659300420846 121.176322166518 -96.9320216568221</t>
  </si>
  <si>
    <t>-640.753910039319 139.765067852917 318.078869052185</t>
  </si>
  <si>
    <t>-668.67989127477 178.042175153698 778.764189580322</t>
  </si>
  <si>
    <t>-517.286446788293 179.432818098463 833.187668578271</t>
  </si>
  <si>
    <t>-605.713632875199 -73.3108684551657 322.358404635669</t>
  </si>
  <si>
    <t>-656.201755698363 -107.093568153002 781.229503537506</t>
  </si>
  <si>
    <t>-501.760855951568 -121.779157836472 823.846040529494</t>
  </si>
  <si>
    <t>9763-20170724T115423.731915200.bin</t>
  </si>
  <si>
    <t>-619.486853147266 30.3088155330636 -93.2888942759414</t>
  </si>
  <si>
    <t>-640.553903288037 25.7263452453703 -201.882953718944</t>
  </si>
  <si>
    <t>-653.222446732731 22.1011227917566 -293.818851371338</t>
  </si>
  <si>
    <t>-663.575856561194 18.8095878879894 -377.006061808332</t>
  </si>
  <si>
    <t>-672.271262240544 15.5091198279433 -460.382578048418</t>
  </si>
  <si>
    <t>-683.163331499429 10.6480005855296 -582.458871234225</t>
  </si>
  <si>
    <t>-669.835382092023 12.367176961835 -659.657588077738</t>
  </si>
  <si>
    <t>-679.01355385222 44.1131769248125 -530.08435910599</t>
  </si>
  <si>
    <t>-659.259985258148 197.714191176512 -511.212294284594</t>
  </si>
  <si>
    <t>-620.346055928333 215.927755195297 -232.406752188492</t>
  </si>
  <si>
    <t>-399.322380974792 154.142833585626 -196.634005559126</t>
  </si>
  <si>
    <t>-629.892419680863 121.254805490941 -96.9386819555781</t>
  </si>
  <si>
    <t>-640.850885153533 139.82746996466 318.076457889224</t>
  </si>
  <si>
    <t>-668.658168650625 178.105824943017 778.764770872491</t>
  </si>
  <si>
    <t>-517.257390557724 179.347278309109 833.171519680313</t>
  </si>
  <si>
    <t>-605.929037069886 -73.2247254487659 322.3634619077</t>
  </si>
  <si>
    <t>-656.208534280537 -107.188653258169 781.235413980618</t>
  </si>
  <si>
    <t>-501.82030096893 -122.194046617073 823.931260732715</t>
  </si>
  <si>
    <t>9763-20170724T115423.764000500.bin</t>
  </si>
  <si>
    <t>-619.672926041604 30.3236319424525 -93.295399879162</t>
  </si>
  <si>
    <t>-640.743394881497 25.7569393117524 -201.88954176001</t>
  </si>
  <si>
    <t>-653.398590303691 22.1454005548931 -293.827706048504</t>
  </si>
  <si>
    <t>-663.733372132519 18.8667328683641 -377.017836409651</t>
  </si>
  <si>
    <t>-672.403469913489 15.5793261757424 -460.397266363419</t>
  </si>
  <si>
    <t>-683.251410248861 10.7368513871993 -582.4784890232</t>
  </si>
  <si>
    <t>-669.931033305603 12.44713623191 -659.678556921543</t>
  </si>
  <si>
    <t>-679.101754557958 44.1944720104689 -530.098900935462</t>
  </si>
  <si>
    <t>-659.215939700218 197.769139318354 -511.213952939248</t>
  </si>
  <si>
    <t>-620.909961003648 216.249840663854 -232.341761960429</t>
  </si>
  <si>
    <t>-399.947588117788 154.295064679612 -196.484164279877</t>
  </si>
  <si>
    <t>-630.031670478501 121.264556004275 -96.9426069003488</t>
  </si>
  <si>
    <t>-640.96221690639 139.844915646423 318.072957882889</t>
  </si>
  <si>
    <t>-668.65257762907 178.139361721093 778.762244809792</t>
  </si>
  <si>
    <t>-517.243621793558 179.378888650234 833.146327016613</t>
  </si>
  <si>
    <t>-606.054747246793 -73.2129795964445 322.352356236305</t>
  </si>
  <si>
    <t>-656.197347914249 -107.22269855179 781.24849997191</t>
  </si>
  <si>
    <t>-501.778436228612 -121.793636975731 823.983813012044</t>
  </si>
  <si>
    <t>9763-20170724T115423.829720300.bin</t>
  </si>
  <si>
    <t>-620.055240354899 30.4109306562259 -93.29639013982</t>
  </si>
  <si>
    <t>-641.123304344822 25.876832199637 -201.892267015866</t>
  </si>
  <si>
    <t>-653.774729087995 22.2988744281752 -293.832482477567</t>
  </si>
  <si>
    <t>-664.105319117087 19.0532940799035 -377.024300132431</t>
  </si>
  <si>
    <t>-672.770504507964 15.8011704196365 -460.40574052318</t>
  </si>
  <si>
    <t>-683.610197203116 11.0132176002119 -582.489682007879</t>
  </si>
  <si>
    <t>-670.352315453541 12.6518599705641 -659.702189493818</t>
  </si>
  <si>
    <t>-679.447151963669 44.4476237501408 -530.096432959012</t>
  </si>
  <si>
    <t>-659.427170317906 198.004621061032 -511.181775357015</t>
  </si>
  <si>
    <t>-621.915737454749 216.475583428391 -232.20106584448</t>
  </si>
  <si>
    <t>-400.997952020527 154.525539188533 -196.06161992046</t>
  </si>
  <si>
    <t>-630.393618451193 121.332139771268 -96.9459046057824</t>
  </si>
  <si>
    <t>-641.194185730261 139.934594329362 318.0720931396</t>
  </si>
  <si>
    <t>-668.62193936566 178.213368653088 778.777458008385</t>
  </si>
  <si>
    <t>-517.198932153036 179.500323751907 833.12119624421</t>
  </si>
  <si>
    <t>-606.358238747689 -73.095994038041 322.332125620437</t>
  </si>
  <si>
    <t>-656.228083382117 -107.29271422471 781.252054450856</t>
  </si>
  <si>
    <t>-501.803977534133 -121.739190684113 824.010867095254</t>
  </si>
  <si>
    <t>9763-20170724T115423.861806700.bin</t>
  </si>
  <si>
    <t>-620.233829176826 30.4539787701624 -93.2844196489706</t>
  </si>
  <si>
    <t>-641.310989995613 25.9301202508784 -201.879067917719</t>
  </si>
  <si>
    <t>-653.978225242551 22.3735655406908 -293.817665062105</t>
  </si>
  <si>
    <t>-664.326312382952 19.1522880301675 -377.008364979981</t>
  </si>
  <si>
    <t>-673.012121265918 15.9294599528628 -460.388822455332</t>
  </si>
  <si>
    <t>-683.885196678036 11.1902338122852 -582.471687360445</t>
  </si>
  <si>
    <t>-670.646717567373 12.7780380801316 -659.688507039017</t>
  </si>
  <si>
    <t>-679.706891725211 44.6038704460234 -530.066490740503</t>
  </si>
  <si>
    <t>-659.672002379124 198.146711492218 -511.080776849195</t>
  </si>
  <si>
    <t>-622.326541712658 216.448140438092 -232.066548208521</t>
  </si>
  <si>
    <t>-401.363755702928 154.731728578757 -195.802666908411</t>
  </si>
  <si>
    <t>-630.581862618966 121.348758426534 -96.9299580934618</t>
  </si>
  <si>
    <t>-641.284501685489 139.978395181701 318.089330191158</t>
  </si>
  <si>
    <t>-668.609965574468 178.23585572152 778.797001817579</t>
  </si>
  <si>
    <t>-517.181367850407 179.543783444668 833.12477343777</t>
  </si>
  <si>
    <t>-606.471818721161 -73.0239434657792 322.327126784386</t>
  </si>
  <si>
    <t>-656.240951021381 -107.34667480426 781.24635305146</t>
  </si>
  <si>
    <t>-501.832909178016 -121.901389719604 824.026463617392</t>
  </si>
  <si>
    <t>9763-20170724T115423.926991500.bin</t>
  </si>
  <si>
    <t>-620.478738784891 30.5872039951869 -93.2523565481947</t>
  </si>
  <si>
    <t>-641.602025005958 26.0838570157084 -201.838929486965</t>
  </si>
  <si>
    <t>-654.307192273462 22.5667641466835 -293.773865651845</t>
  </si>
  <si>
    <t>-664.68892210084 19.3897564165607 -376.962027110671</t>
  </si>
  <si>
    <t>-673.407545243573 16.2203386533283 -460.341053482969</t>
  </si>
  <si>
    <t>-684.327692205192 11.5687580286453 -582.423191400251</t>
  </si>
  <si>
    <t>-671.102476514949 13.0559052030826 -659.644299048801</t>
  </si>
  <si>
    <t>-680.140220452587 44.9444704114844 -529.994419218528</t>
  </si>
  <si>
    <t>-660.309594689005 198.511429282153 -511.015596548314</t>
  </si>
  <si>
    <t>-623.128304126755 216.224622973184 -231.941440219827</t>
  </si>
  <si>
    <t>-401.841488646862 155.722207551456 -195.607821512504</t>
  </si>
  <si>
    <t>-630.835628179104 121.48758832912 -96.8740803120642</t>
  </si>
  <si>
    <t>-641.343528158626 140.129194516651 318.149596135055</t>
  </si>
  <si>
    <t>-668.580883387533 178.253352603404 778.862215934959</t>
  </si>
  <si>
    <t>-517.143765019308 179.563917978535 833.165983377576</t>
  </si>
  <si>
    <t>-606.620864516015 -72.8504235776516 322.335490770731</t>
  </si>
  <si>
    <t>-656.189183894557 -107.46553790966 781.255654936932</t>
  </si>
  <si>
    <t>-501.825924516678 -121.970031226177 824.214080241976</t>
  </si>
  <si>
    <t>9763-20170724T115423.966096400.bin</t>
  </si>
  <si>
    <t>-620.5650212833 30.6720720232727 -93.2283822911855</t>
  </si>
  <si>
    <t>-641.713299967713 26.1782966465946 -201.81034470763</t>
  </si>
  <si>
    <t>-654.434315712126 22.6794287133964 -293.743828005586</t>
  </si>
  <si>
    <t>-664.828106893925 19.523070524561 -376.931216843533</t>
  </si>
  <si>
    <t>-673.556446462038 16.3788036381152 -460.310273325903</t>
  </si>
  <si>
    <t>-684.488259581793 11.7684695315252 -582.392888336024</t>
  </si>
  <si>
    <t>-671.251699923958 13.2172944134447 -659.612723752282</t>
  </si>
  <si>
    <t>-680.303042246463 45.1263998800805 -529.9526069764</t>
  </si>
  <si>
    <t>-660.663578784452 198.727086630218 -511.043680312186</t>
  </si>
  <si>
    <t>-623.372865835642 216.126364345489 -231.964340099008</t>
  </si>
  <si>
    <t>-401.79134676506 156.610969536383 -195.796947885629</t>
  </si>
  <si>
    <t>-630.903488139713 121.574590350427 -96.8411495680956</t>
  </si>
  <si>
    <t>-641.288563806869 140.20389701264 318.186171674201</t>
  </si>
  <si>
    <t>-668.567431851369 178.229453884238 778.904374916713</t>
  </si>
  <si>
    <t>-517.125109538773 179.556562922274 833.193366457164</t>
  </si>
  <si>
    <t>-606.688306826966 -72.7616702741966 322.352724979983</t>
  </si>
  <si>
    <t>-656.096910439829 -107.537853064318 781.281030083232</t>
  </si>
  <si>
    <t>-501.778958699769 -121.941940687111 824.435623634576</t>
  </si>
  <si>
    <t>9763-20170724T115424.028788200.bin</t>
  </si>
  <si>
    <t>-620.765209839141 30.8323965977847 -93.1690977503587</t>
  </si>
  <si>
    <t>-641.976037672484 26.3547994491853 -201.739617179233</t>
  </si>
  <si>
    <t>-654.736420728896 22.8848886811411 -293.66876635926</t>
  </si>
  <si>
    <t>-665.160277260616 19.7618127267144 -376.853595690108</t>
  </si>
  <si>
    <t>-673.913134158018 16.6580498926621 -460.231684639059</t>
  </si>
  <si>
    <t>-684.8743678798 12.1159963066414 -582.314205411581</t>
  </si>
  <si>
    <t>-671.58901303992 13.4942577262714 -659.526936735453</t>
  </si>
  <si>
    <t>-680.694071192733 45.4442101598183 -529.85469949329</t>
  </si>
  <si>
    <t>-661.384219457436 199.102481719907 -511.017278165042</t>
  </si>
  <si>
    <t>-623.391115115365 216.174900139947 -232.01253794172</t>
  </si>
  <si>
    <t>-400.942782011771 159.502939862661 -196.607070747264</t>
  </si>
  <si>
    <t>-631.002275611327 121.780746182759 -96.7860994404089</t>
  </si>
  <si>
    <t>-641.116890544239 140.314588831169 318.252184532344</t>
  </si>
  <si>
    <t>-668.528983993512 178.170589815789 778.988124367278</t>
  </si>
  <si>
    <t>-517.086996457897 179.526835404893 833.277216222974</t>
  </si>
  <si>
    <t>-606.981153713711 -72.6920620768694 322.408114960633</t>
  </si>
  <si>
    <t>-655.852521274076 -107.687125337876 781.372856245589</t>
  </si>
  <si>
    <t>-501.683130078573 -122.169651531986 825.029274877791</t>
  </si>
  <si>
    <t>9763-20170724T115424.061877000.bin</t>
  </si>
  <si>
    <t>-620.862817386945 30.9509545012309 -93.1622890309908</t>
  </si>
  <si>
    <t>-642.076728445172 26.4782291621414 -201.732392021906</t>
  </si>
  <si>
    <t>-654.849763314892 23.0093066911079 -293.65990143115</t>
  </si>
  <si>
    <t>-665.289084275639 19.8870421955105 -376.842744032124</t>
  </si>
  <si>
    <t>-674.061598705454 16.7836779680522 -460.218689655145</t>
  </si>
  <si>
    <t>-685.056125879699 12.2421278019574 -582.298226644155</t>
  </si>
  <si>
    <t>-671.750902810049 13.5680033587309 -659.50854064138</t>
  </si>
  <si>
    <t>-680.864135653671 45.5701756326102 -529.839491817589</t>
  </si>
  <si>
    <t>-661.728909979024 199.26128896486 -511.118340615338</t>
  </si>
  <si>
    <t>-623.241746639994 216.463040434745 -232.189369407447</t>
  </si>
  <si>
    <t>-400.272606157695 161.571475652538 -197.257925304908</t>
  </si>
  <si>
    <t>-631.045918323043 121.894386395418 -96.7704265736171</t>
  </si>
  <si>
    <t>-641.193904754577 140.342038226388 318.270944318172</t>
  </si>
  <si>
    <t>-668.510183947418 178.168468297395 779.017094714813</t>
  </si>
  <si>
    <t>-517.067135981848 179.494781664384 833.304007061696</t>
  </si>
  <si>
    <t>-607.254935409889 -72.6492389073439 322.422561949642</t>
  </si>
  <si>
    <t>-655.741681344841 -107.733659670019 781.418289151414</t>
  </si>
  <si>
    <t>-501.586449261666 -121.710863197025 825.288829096359</t>
  </si>
  <si>
    <t>9763-20170724T115424.129646900.bin</t>
  </si>
  <si>
    <t>-620.96587032203 31.1601041889235 -93.1489489004086</t>
  </si>
  <si>
    <t>-642.127449375363 26.7159900676863 -201.730314917024</t>
  </si>
  <si>
    <t>-654.942644527817 23.2423961175709 -293.651838578701</t>
  </si>
  <si>
    <t>-665.455305970424 20.1059395394968 -376.825052057753</t>
  </si>
  <si>
    <t>-674.336572356635 16.9786816341609 -460.188550364107</t>
  </si>
  <si>
    <t>-685.529336614997 12.3916271355843 -582.248442387026</t>
  </si>
  <si>
    <t>-672.223370521732 13.5297377123486 -659.461529459636</t>
  </si>
  <si>
    <t>-681.211777457674 45.7398970966042 -529.812671728359</t>
  </si>
  <si>
    <t>-662.107324788706 199.475916434242 -511.369014907601</t>
  </si>
  <si>
    <t>-622.842442630946 216.786758574826 -232.555164714954</t>
  </si>
  <si>
    <t>-398.870481304735 165.3773807705 -198.759339313765</t>
  </si>
  <si>
    <t>-631.061360883052 122.020577293694 -96.7477982516826</t>
  </si>
  <si>
    <t>-641.276000774281 140.511203268444 318.290026427736</t>
  </si>
  <si>
    <t>-668.491398314681 178.170967795573 779.06166830835</t>
  </si>
  <si>
    <t>-517.03806023509 179.406599597958 833.321951347447</t>
  </si>
  <si>
    <t>-607.763714763813 -72.6754403276805 322.431449464914</t>
  </si>
  <si>
    <t>-655.527278926399 -107.895165256369 781.500786188402</t>
  </si>
  <si>
    <t>-501.490602138349 -121.759753622477 825.821162599568</t>
  </si>
  <si>
    <t>9763-20170724T115424.161718500.bin</t>
  </si>
  <si>
    <t>-621.003926195672 31.245248025667 -93.1253225415079</t>
  </si>
  <si>
    <t>-642.16458652968 26.8382374091029 -201.708542797518</t>
  </si>
  <si>
    <t>-655.006509775841 23.3675676098969 -293.626271550535</t>
  </si>
  <si>
    <t>-665.55488354313 20.2236020807684 -376.794754951133</t>
  </si>
  <si>
    <t>-674.483535807164 17.0784390201311 -460.152372757256</t>
  </si>
  <si>
    <t>-685.758596463707 12.4540910558728 -582.203224934544</t>
  </si>
  <si>
    <t>-672.465398644121 13.4501397458062 -659.42058394574</t>
  </si>
  <si>
    <t>-681.376282694313 45.8188614887094 -529.783559702851</t>
  </si>
  <si>
    <t>-662.137978723861 199.545954232516 -511.42414635715</t>
  </si>
  <si>
    <t>-622.662356212691 216.895253528998 -232.642301923415</t>
  </si>
  <si>
    <t>-398.21903566341 167.259282818805 -199.325809859168</t>
  </si>
  <si>
    <t>-631.025994832963 122.133282674472 -96.7294873544856</t>
  </si>
  <si>
    <t>-641.259398107764 140.606151184389 318.308632285388</t>
  </si>
  <si>
    <t>-668.480850804469 178.165778261832 779.089856468592</t>
  </si>
  <si>
    <t>-517.024856890332 179.38446705677 833.343184816228</t>
  </si>
  <si>
    <t>-607.859212237053 -72.6482961257177 322.449396378276</t>
  </si>
  <si>
    <t>-655.469932019064 -107.96204100553 781.536397281195</t>
  </si>
  <si>
    <t>-501.464377485631 -121.745968605634 825.989913350736</t>
  </si>
  <si>
    <t>9763-20170724T115424.231397400.bin</t>
  </si>
  <si>
    <t>-621.06087716366 31.4037314973259 -93.0975114430046</t>
  </si>
  <si>
    <t>-642.249034197282 27.066688159998 -201.678057879336</t>
  </si>
  <si>
    <t>-655.085509796579 23.5940028903876 -293.59653869035</t>
  </si>
  <si>
    <t>-665.618067256275 20.4266137685158 -376.766102560799</t>
  </si>
  <si>
    <t>-674.520395272211 17.2345462344842 -460.124961333646</t>
  </si>
  <si>
    <t>-685.745674723845 12.5161395833597 -582.176845164669</t>
  </si>
  <si>
    <t>-672.425827773163 13.181295550097 -659.393044418234</t>
  </si>
  <si>
    <t>-681.314657867417 45.9221593969617 -529.787379488619</t>
  </si>
  <si>
    <t>-661.808860975937 199.648982603585 -511.660287043393</t>
  </si>
  <si>
    <t>-622.473979947472 217.462131870314 -232.88790288321</t>
  </si>
  <si>
    <t>-397.35271591938 170.751218367063 -199.917589222455</t>
  </si>
  <si>
    <t>-630.792307841692 122.429502419868 -96.6906358996297</t>
  </si>
  <si>
    <t>-641.077580502182 140.729556258802 318.353881515797</t>
  </si>
  <si>
    <t>-668.431870288985 178.211051041514 779.137546396205</t>
  </si>
  <si>
    <t>-516.972612723557 179.424133481954 833.381838979769</t>
  </si>
  <si>
    <t>-607.985939902628 -72.5344932402363 322.475238246967</t>
  </si>
  <si>
    <t>-655.474615349105 -108.034411241856 781.55048467073</t>
  </si>
  <si>
    <t>-501.482153557451 -121.702784410829 826.08501066294</t>
  </si>
  <si>
    <t>9763-20170724T115424.262479500.bin</t>
  </si>
  <si>
    <t>-621.037849128211 31.4956538606866 -93.096772511297</t>
  </si>
  <si>
    <t>-642.195974642908 27.1936850523364 -201.684600540902</t>
  </si>
  <si>
    <t>-655.013247669273 23.7011330995588 -293.60497788407</t>
  </si>
  <si>
    <t>-665.531519032183 20.4975535665762 -376.774890545345</t>
  </si>
  <si>
    <t>-674.422884246381 17.2502015752495 -460.132782770127</t>
  </si>
  <si>
    <t>-685.636179958919 12.4299241932042 -582.181743185377</t>
  </si>
  <si>
    <t>-672.306686060679 12.9320477942979 -659.397598438904</t>
  </si>
  <si>
    <t>-681.170053199248 45.880148386103 -529.823540397386</t>
  </si>
  <si>
    <t>-661.51721492002 199.600020644381 -511.87210333362</t>
  </si>
  <si>
    <t>-622.416550644365 217.740305338509 -233.087791765733</t>
  </si>
  <si>
    <t>-397.046158988776 172.274988927326 -200.078517252898</t>
  </si>
  <si>
    <t>-630.629323038193 122.564536987447 -96.6685323791237</t>
  </si>
  <si>
    <t>-640.994791434462 140.781468919026 318.377639752944</t>
  </si>
  <si>
    <t>-668.423616359606 178.218809308112 779.156060120957</t>
  </si>
  <si>
    <t>-516.965410605204 179.289145974119 833.406262456395</t>
  </si>
  <si>
    <t>-608.03100829924 -72.5011616303495 322.476426984363</t>
  </si>
  <si>
    <t>-655.458711247651 -108.119461246255 781.557709533045</t>
  </si>
  <si>
    <t>-501.526288592399 -122.198674484933 826.171650408681</t>
  </si>
  <si>
    <t>9763-20170724T115424.329216600.bin</t>
  </si>
  <si>
    <t>-620.714628387542 31.9672635767204 -93.0625210767936</t>
  </si>
  <si>
    <t>-641.784438389668 27.7293498672248 -201.670027077997</t>
  </si>
  <si>
    <t>-654.595132425196 24.1961623723778 -293.589886666528</t>
  </si>
  <si>
    <t>-665.136075991626 20.9197548507091 -376.754052502895</t>
  </si>
  <si>
    <t>-674.079261670364 17.56260609071 -460.101955458843</t>
  </si>
  <si>
    <t>-685.400972348988 12.5412657989766 -582.132933429455</t>
  </si>
  <si>
    <t>-672.058806596002 12.7970978453232 -659.34773965187</t>
  </si>
  <si>
    <t>-680.798097997141 46.0785573754742 -529.842358483982</t>
  </si>
  <si>
    <t>-660.931427575271 199.830489437942 -512.440316248521</t>
  </si>
  <si>
    <t>-622.300682426993 218.44984446062 -233.622078408239</t>
  </si>
  <si>
    <t>-396.330313474309 176.18332534165 -200.463952713408</t>
  </si>
  <si>
    <t>-630.094620472271 123.084348293075 -96.6287354268214</t>
  </si>
  <si>
    <t>-640.854622217335 141.084025239522 318.416794094108</t>
  </si>
  <si>
    <t>-668.375385364927 178.303923627004 779.196893105287</t>
  </si>
  <si>
    <t>-516.918795475272 179.356188044506 833.452004971769</t>
  </si>
  <si>
    <t>-608.047047946357 -72.304014854916 322.491051650876</t>
  </si>
  <si>
    <t>-655.494499351319 -108.150382562107 781.569672680022</t>
  </si>
  <si>
    <t>-501.539590424866 -122.003815205189 826.176666939972</t>
  </si>
  <si>
    <t>9763-20170724T115424.362301200.bin</t>
  </si>
  <si>
    <t>-620.481681940299 32.2892710220506 -93.0501145952333</t>
  </si>
  <si>
    <t>-641.505817460784 28.0567932288757 -201.666741238813</t>
  </si>
  <si>
    <t>-654.313038162841 24.5000611338419 -293.586025237448</t>
  </si>
  <si>
    <t>-664.865243989076 21.1919212357707 -376.747556711359</t>
  </si>
  <si>
    <t>-673.83447502891 17.7915455458296 -460.091050689992</t>
  </si>
  <si>
    <t>-685.210553273322 12.6947187297765 -582.113765427743</t>
  </si>
  <si>
    <t>-671.843985614154 12.8622444953726 -659.324580576669</t>
  </si>
  <si>
    <t>-680.535197323373 46.2646898204027 -529.850468455052</t>
  </si>
  <si>
    <t>-660.536538324163 200.02179185285 -512.688974074615</t>
  </si>
  <si>
    <t>-622.043236489422 218.791771608833 -233.862035474476</t>
  </si>
  <si>
    <t>-395.767493378289 178.146239702665 -200.759650334116</t>
  </si>
  <si>
    <t>-629.776893130199 123.399172290398 -96.6235756482797</t>
  </si>
  <si>
    <t>-640.762137214864 141.290299405419 318.420867128743</t>
  </si>
  <si>
    <t>-668.34990127502 178.354034052797 779.213587584196</t>
  </si>
  <si>
    <t>-516.894027630344 179.410905905775 833.470612716869</t>
  </si>
  <si>
    <t>-607.995456192987 -72.120165581412 322.506692259007</t>
  </si>
  <si>
    <t>-655.551240647862 -108.136922700628 781.559513385804</t>
  </si>
  <si>
    <t>-501.569221151345 -121.910584331974 826.097700031867</t>
  </si>
  <si>
    <t>9763-20170724T115424.429376700.bin</t>
  </si>
  <si>
    <t>-620.043480849264 33.0346216282692 -93.0304121843686</t>
  </si>
  <si>
    <t>-641.012035775537 28.799129666676 -201.657643321986</t>
  </si>
  <si>
    <t>-653.854279780023 25.2161337059879 -293.571030382534</t>
  </si>
  <si>
    <t>-664.471608090791 21.8763468271916 -376.723038141469</t>
  </si>
  <si>
    <t>-673.539593287133 18.4357497798328 -460.054279918987</t>
  </si>
  <si>
    <t>-685.097382814183 13.270094594905 -582.056869027296</t>
  </si>
  <si>
    <t>-671.68631017696 13.3022449810721 -659.260191964401</t>
  </si>
  <si>
    <t>-680.255405707667 46.8700629731579 -529.827983814828</t>
  </si>
  <si>
    <t>-659.971960648945 200.637807680754 -513.090405780235</t>
  </si>
  <si>
    <t>-621.528261412716 219.774030891324 -234.281426694788</t>
  </si>
  <si>
    <t>-394.686850594893 182.122692588339 -201.511377326059</t>
  </si>
  <si>
    <t>-629.170808325541 124.232957038275 -96.6499578137583</t>
  </si>
  <si>
    <t>-640.510846015581 141.774970136902 318.399765785593</t>
  </si>
  <si>
    <t>-668.295301551093 178.471843109523 779.226917112496</t>
  </si>
  <si>
    <t>-516.842205461311 179.551182216286 833.491258873602</t>
  </si>
  <si>
    <t>-607.833606823809 -71.6933411189259 322.542483016606</t>
  </si>
  <si>
    <t>-655.68427569724 -108.185391869738 781.534372275564</t>
  </si>
  <si>
    <t>-501.691031751862 -122.375894123753 825.902560771379</t>
  </si>
  <si>
    <t>9763-20170724T115424.463480500.bin</t>
  </si>
  <si>
    <t>-619.798636174334 33.4225925637686 -93.0232695713388</t>
  </si>
  <si>
    <t>-640.765894124542 29.1910342121166 -201.650886418925</t>
  </si>
  <si>
    <t>-653.653047550023 25.6078788589023 -293.558057457869</t>
  </si>
  <si>
    <t>-664.329498550949 22.2683524939398 -376.702507531089</t>
  </si>
  <si>
    <t>-673.475368461348 18.8276066331957 -460.025037314074</t>
  </si>
  <si>
    <t>-685.167521070234 13.6623025922947 -582.014998240265</t>
  </si>
  <si>
    <t>-671.729603289179 13.6314303842942 -659.213566533298</t>
  </si>
  <si>
    <t>-680.238373308924 47.2621181788745 -529.79428686515</t>
  </si>
  <si>
    <t>-659.853964098981 201.044304396537 -513.238851628148</t>
  </si>
  <si>
    <t>-621.24652687604 220.431741819267 -234.469828313119</t>
  </si>
  <si>
    <t>-394.084429614275 184.376524737666 -202.128833136067</t>
  </si>
  <si>
    <t>-628.775497185972 124.691449475022 -96.6596300404698</t>
  </si>
  <si>
    <t>-640.302558542282 142.020974125733 318.393935256025</t>
  </si>
  <si>
    <t>-668.282915165165 178.511865003714 779.226851271533</t>
  </si>
  <si>
    <t>-516.832850826871 179.494274891631 833.501503910515</t>
  </si>
  <si>
    <t>-607.742471390531 -71.4761814541173 322.562526473056</t>
  </si>
  <si>
    <t>-655.760972858967 -108.176801628201 781.522463362543</t>
  </si>
  <si>
    <t>-501.74151784709 -122.45391837853 825.771696714291</t>
  </si>
  <si>
    <t>9763-20170724T115424.526215300.bin</t>
  </si>
  <si>
    <t>-619.251557836421 34.1286295443053 -93.0199128870039</t>
  </si>
  <si>
    <t>-640.168893338834 29.9107690111227 -201.657672499053</t>
  </si>
  <si>
    <t>-653.133811517094 26.3121186102146 -293.553317476609</t>
  </si>
  <si>
    <t>-663.929240372086 22.9505761269984 -376.681465496721</t>
  </si>
  <si>
    <t>-673.243134835285 19.4799984574572 -459.984078078958</t>
  </si>
  <si>
    <t>-685.235066520997 14.2630066738886 -581.942753184235</t>
  </si>
  <si>
    <t>-671.715490306516 14.0112901285713 -659.126809774381</t>
  </si>
  <si>
    <t>-680.135861775318 47.884931710033 -529.75271563139</t>
  </si>
  <si>
    <t>-659.710548226331 201.705720504276 -513.575359131083</t>
  </si>
  <si>
    <t>-620.558585554387 221.528203230993 -234.912835248638</t>
  </si>
  <si>
    <t>-392.771775599798 188.467281855109 -203.789489111797</t>
  </si>
  <si>
    <t>-627.984614309369 125.474051442047 -96.6667837921119</t>
  </si>
  <si>
    <t>-639.96070627585 142.483752875436 318.387187097453</t>
  </si>
  <si>
    <t>-668.234308265159 178.597883428684 779.219899125401</t>
  </si>
  <si>
    <t>-516.793146581443 179.591416459571 833.519199353783</t>
  </si>
  <si>
    <t>-607.606008263384 -71.1461368398061 322.577008485425</t>
  </si>
  <si>
    <t>-655.931713280882 -108.191388551255 781.48891631546</t>
  </si>
  <si>
    <t>-501.87038200296 -122.787675185436 825.487489070434</t>
  </si>
  <si>
    <t>9763-20170724T115424.560305600.bin</t>
  </si>
  <si>
    <t>-618.941124836846 34.463277373776 -93.0192585100848</t>
  </si>
  <si>
    <t>-639.818102458418 30.2508042644527 -201.665035446805</t>
  </si>
  <si>
    <t>-652.826502388061 26.6421606725053 -293.554152043204</t>
  </si>
  <si>
    <t>-663.692612302407 23.2667924827026 -376.672528449932</t>
  </si>
  <si>
    <t>-673.108898691247 19.7776951529629 -459.962924961197</t>
  </si>
  <si>
    <t>-685.285300875418 14.5292210772679 -581.90192317981</t>
  </si>
  <si>
    <t>-671.732489949513 14.1195728933585 -659.07937581645</t>
  </si>
  <si>
    <t>-680.094024803414 48.1646244934732 -529.729604878647</t>
  </si>
  <si>
    <t>-659.770099504896 202.020272916313 -513.75457660676</t>
  </si>
  <si>
    <t>-620.192339907134 221.974617764202 -235.161588436973</t>
  </si>
  <si>
    <t>-392.098193238893 190.352589775077 -204.803266268608</t>
  </si>
  <si>
    <t>-627.63352807081 125.830817669822 -96.6738935040179</t>
  </si>
  <si>
    <t>-639.811488628561 142.664159639541 318.381417642689</t>
  </si>
  <si>
    <t>-668.215299571638 178.63449802684 779.218318162498</t>
  </si>
  <si>
    <t>-516.77909327443 179.618263078802 833.531601656314</t>
  </si>
  <si>
    <t>-607.520431192828 -70.9612375858546 322.577934911969</t>
  </si>
  <si>
    <t>-656.032188034633 -108.171875279285 781.468514916751</t>
  </si>
  <si>
    <t>-501.89927682581 -122.501556129489 825.303683071341</t>
  </si>
  <si>
    <t>9763-20170724T115424.630509600.bin</t>
  </si>
  <si>
    <t>-618.265934022321 34.9540779297315 -93.0026004285312</t>
  </si>
  <si>
    <t>-639.052246361965 30.737052373401 -201.665546223427</t>
  </si>
  <si>
    <t>-652.111461321585 27.1096822231989 -293.546565364562</t>
  </si>
  <si>
    <t>-663.075001759931 23.7117088956713 -376.651210973403</t>
  </si>
  <si>
    <t>-672.640490680483 20.1955633669709 -459.923637737615</t>
  </si>
  <si>
    <t>-685.092187646665 14.9030235013877 -581.832880470551</t>
  </si>
  <si>
    <t>-671.486347828208 14.1607979075095 -658.998568967927</t>
  </si>
  <si>
    <t>-679.788565249639 48.5574355302062 -529.684134312448</t>
  </si>
  <si>
    <t>-659.655596784247 202.457497509571 -513.960953470413</t>
  </si>
  <si>
    <t>-619.35768316014 222.833846684349 -235.501909336973</t>
  </si>
  <si>
    <t>-390.62900088514 194.196637209241 -207.012818026049</t>
  </si>
  <si>
    <t>-626.92452231194 126.289529021682 -96.659588530707</t>
  </si>
  <si>
    <t>-639.544829615864 142.955177007988 318.389248500399</t>
  </si>
  <si>
    <t>-668.159198588911 178.74343576454 779.216294794373</t>
  </si>
  <si>
    <t>-516.738615150895 179.739682975338 833.572936058112</t>
  </si>
  <si>
    <t>-607.168708423062 -70.7219797097139 322.588088972843</t>
  </si>
  <si>
    <t>-656.265589632909 -108.181741894719 781.412537214617</t>
  </si>
  <si>
    <t>-502.076735843122 -123.051193002208 824.869650770468</t>
  </si>
  <si>
    <t>9763-20170724T115424.663595600.bin</t>
  </si>
  <si>
    <t>-617.919754766919 35.1928266103073 -92.9992045590031</t>
  </si>
  <si>
    <t>-638.655574326173 30.9672016606944 -201.671463270188</t>
  </si>
  <si>
    <t>-651.729110819106 27.3211005698481 -293.549814181672</t>
  </si>
  <si>
    <t>-662.728604825258 23.9017107483076 -376.648893043998</t>
  </si>
  <si>
    <t>-672.353310219026 20.3601434385052 -459.913376246343</t>
  </si>
  <si>
    <t>-684.917162382537 15.0265353305235 -581.80926693247</t>
  </si>
  <si>
    <t>-671.321262409283 14.1406640702105 -658.975133377774</t>
  </si>
  <si>
    <t>-679.579492679705 48.6984029715152 -529.675332166742</t>
  </si>
  <si>
    <t>-659.545031909385 202.625989704996 -514.069851784427</t>
  </si>
  <si>
    <t>-618.861497690971 223.27788010121 -235.686967729648</t>
  </si>
  <si>
    <t>-389.833215344097 196.275707016718 -208.020322774861</t>
  </si>
  <si>
    <t>-626.593444725141 126.541730765867 -96.6537941295508</t>
  </si>
  <si>
    <t>-639.398227305922 143.111737687138 318.393316154444</t>
  </si>
  <si>
    <t>-668.139380734462 178.789444905068 779.217090747125</t>
  </si>
  <si>
    <t>-516.727102084954 179.736633120406 833.597601900071</t>
  </si>
  <si>
    <t>-606.994482173215 -70.6074322287006 322.59246137512</t>
  </si>
  <si>
    <t>-656.394835378467 -108.162617655106 781.37483874159</t>
  </si>
  <si>
    <t>-502.140765861511 -122.967678324529 824.621974334316</t>
  </si>
  <si>
    <t>9763-20170724T115424.728892900.bin</t>
  </si>
  <si>
    <t>-617.138760893136 35.5579420791787 -92.9966151758206</t>
  </si>
  <si>
    <t>-637.670191448463 31.309658080593 -201.706924236282</t>
  </si>
  <si>
    <t>-650.70894479469 27.5968063972855 -293.587426832265</t>
  </si>
  <si>
    <t>-661.732919544295 24.0984016474085 -376.679933732181</t>
  </si>
  <si>
    <t>-671.438491979992 20.4606996266441 -459.930813879453</t>
  </si>
  <si>
    <t>-684.182993336069 14.968239155434 -581.800997291516</t>
  </si>
  <si>
    <t>-670.640577490805 13.8550784609843 -658.973374884665</t>
  </si>
  <si>
    <t>-678.800086585913 48.7079780647809 -529.715507136446</t>
  </si>
  <si>
    <t>-658.992302372741 202.688762919793 -514.405070078461</t>
  </si>
  <si>
    <t>-617.722500780419 223.979906294415 -236.156877428504</t>
  </si>
  <si>
    <t>-388.235355777987 199.637014429908 -209.858485881386</t>
  </si>
  <si>
    <t>-625.81484536681 126.907518866532 -96.644845166806</t>
  </si>
  <si>
    <t>-639.003351265373 143.396618685583 318.393395521394</t>
  </si>
  <si>
    <t>-668.086349621462 178.9130666614 779.204789687222</t>
  </si>
  <si>
    <t>-516.693276889138 179.926574828959 833.637734638182</t>
  </si>
  <si>
    <t>-606.616244074707 -70.5869499885544 322.604219553793</t>
  </si>
  <si>
    <t>-656.552622269548 -108.17071857314 781.326423714376</t>
  </si>
  <si>
    <t>-502.236334471754 -123.081578457764 824.314409438866</t>
  </si>
  <si>
    <t>9763-20170724T115424.766994300.bin</t>
  </si>
  <si>
    <t>-616.767041402748 35.5381567934346 -93.0116867776953</t>
  </si>
  <si>
    <t>-637.155915698511 31.2794964370853 -201.74834986243</t>
  </si>
  <si>
    <t>-650.151080501375 27.5306954984226 -293.633652108918</t>
  </si>
  <si>
    <t>-661.166855486169 23.9891481465941 -376.725392322877</t>
  </si>
  <si>
    <t>-670.895651511345 20.2984943846609 -459.971235963802</t>
  </si>
  <si>
    <t>-683.708764826403 14.718554052602 -581.830166363957</t>
  </si>
  <si>
    <t>-670.216513300262 13.5324375885882 -659.010372928062</t>
  </si>
  <si>
    <t>-678.316662745877 48.4957058353107 -529.769980535568</t>
  </si>
  <si>
    <t>-658.722847659144 202.523232817989 -514.689506305951</t>
  </si>
  <si>
    <t>-617.205160242323 224.177303273954 -236.506119359804</t>
  </si>
  <si>
    <t>-387.524927091129 200.858890286694 -210.976481330358</t>
  </si>
  <si>
    <t>-625.419756234315 126.955096002198 -96.6631109140919</t>
  </si>
  <si>
    <t>-638.861171466984 143.417081110813 318.36813452629</t>
  </si>
  <si>
    <t>-668.064789420837 178.962455577302 779.178363850963</t>
  </si>
  <si>
    <t>-516.683529676992 179.962125914581 833.64418539744</t>
  </si>
  <si>
    <t>-606.510249457143 -70.8755043752208 322.588194374468</t>
  </si>
  <si>
    <t>-656.58337461894 -108.192045194978 781.327430910701</t>
  </si>
  <si>
    <t>-502.271286302536 -123.296156937862 824.262989570456</t>
  </si>
  <si>
    <t>9763-20170724T115424.827778100.bin</t>
  </si>
  <si>
    <t>-615.983451584105 35.6936665307478 -93.0420084149587</t>
  </si>
  <si>
    <t>-636.025251181243 31.4023544282882 -201.841929041019</t>
  </si>
  <si>
    <t>-648.895592951756 27.6054884482314 -293.742759836923</t>
  </si>
  <si>
    <t>-659.866303251154 24.0128209954796 -376.838247840697</t>
  </si>
  <si>
    <t>-669.618146870818 20.2648416262628 -460.0788321681</t>
  </si>
  <si>
    <t>-682.539897799745 14.595498333756 -581.922253847038</t>
  </si>
  <si>
    <t>-669.163710304986 13.3309104945038 -659.121291962259</t>
  </si>
  <si>
    <t>-677.138246145983 48.4105858297432 -529.887641849446</t>
  </si>
  <si>
    <t>-657.841480260192 202.513512086302 -515.104814631593</t>
  </si>
  <si>
    <t>-615.636809320244 224.614618975008 -237.060077540967</t>
  </si>
  <si>
    <t>-385.586991076344 203.358405387934 -213.106299313057</t>
  </si>
  <si>
    <t>-624.719250987226 127.228780089052 -96.7282969879245</t>
  </si>
  <si>
    <t>-638.552015924331 143.759719489987 318.28732691251</t>
  </si>
  <si>
    <t>-667.979974565085 179.142445370278 779.115772741823</t>
  </si>
  <si>
    <t>-516.631465648306 180.31921858952 833.669130903779</t>
  </si>
  <si>
    <t>-606.072523743467 -71.06562587598 322.58163350742</t>
  </si>
  <si>
    <t>-656.580596315398 -108.236636896074 781.32841477533</t>
  </si>
  <si>
    <t>-502.2830768548 -123.508343524219 824.257218656289</t>
  </si>
  <si>
    <t>9763-20170724T115424.860853500.bin</t>
  </si>
  <si>
    <t>-615.575162015955 35.7566159132748 -93.0261668771643</t>
  </si>
  <si>
    <t>-635.457589635061 31.4444235631502 -201.854361042313</t>
  </si>
  <si>
    <t>-648.281104185133 27.6167442292303 -293.760596578283</t>
  </si>
  <si>
    <t>-659.244851056648 23.9910930428409 -376.855644876963</t>
  </si>
  <si>
    <t>-669.025182991693 20.2063609197398 -460.091159826137</t>
  </si>
  <si>
    <t>-682.027741889034 14.4793711706873 -581.923264090092</t>
  </si>
  <si>
    <t>-668.702642523811 13.1779983973338 -659.13049318127</t>
  </si>
  <si>
    <t>-676.620369583861 48.3189379442667 -529.905210948887</t>
  </si>
  <si>
    <t>-657.465438670201 202.442304754957 -515.163133693496</t>
  </si>
  <si>
    <t>-614.644960245972 224.640501961882 -237.22023621032</t>
  </si>
  <si>
    <t>-384.39242873105 204.545304179109 -214.231438499672</t>
  </si>
  <si>
    <t>-624.361731534509 127.331431791565 -96.7449450034999</t>
  </si>
  <si>
    <t>-638.362887768432 143.935444165955 318.262133283686</t>
  </si>
  <si>
    <t>-667.937209054952 179.221991728527 779.085502469882</t>
  </si>
  <si>
    <t>-516.609136557098 180.420882855905 833.695108299664</t>
  </si>
  <si>
    <t>-605.82933993854 -71.1817306932201 322.602544839447</t>
  </si>
  <si>
    <t>-656.572287413091 -108.260868689253 781.335619228686</t>
  </si>
  <si>
    <t>-502.299312654602 -123.745739367713 824.276158354475</t>
  </si>
  <si>
    <t>9763-20170724T115424.930753500.bin</t>
  </si>
  <si>
    <t>-614.698132885492 35.9084659209943 -92.9876994708135</t>
  </si>
  <si>
    <t>-634.364130466806 31.5415643046604 -201.853154678258</t>
  </si>
  <si>
    <t>-647.170724047683 27.6528713277071 -293.759102903031</t>
  </si>
  <si>
    <t>-658.185722179758 23.9663932309609 -376.844644197555</t>
  </si>
  <si>
    <t>-668.08435820905 20.1170633986023 -460.063207669395</t>
  </si>
  <si>
    <t>-681.333474690467 14.2931342455202 -581.864170204618</t>
  </si>
  <si>
    <t>-668.126872847734 12.9400894861078 -659.090922228053</t>
  </si>
  <si>
    <t>-675.897670409231 48.1737121158562 -529.875724660333</t>
  </si>
  <si>
    <t>-657.244476026402 202.372989325 -515.300140735614</t>
  </si>
  <si>
    <t>-612.984997057756 225.143561341857 -237.629206398383</t>
  </si>
  <si>
    <t>-382.389282583096 206.541494183672 -216.938572641396</t>
  </si>
  <si>
    <t>-623.588644793085 127.524779150117 -96.7576794348978</t>
  </si>
  <si>
    <t>-637.90417260521 144.125034132256 318.238788344662</t>
  </si>
  <si>
    <t>-667.865262233058 179.347089443597 779.038056966339</t>
  </si>
  <si>
    <t>-516.574224639149 180.623695548637 833.748410873851</t>
  </si>
  <si>
    <t>-605.352708388383 -71.3848009717447 322.634344038053</t>
  </si>
  <si>
    <t>-656.537607607939 -108.25893511238 781.348586696186</t>
  </si>
  <si>
    <t>-502.255752394557 -123.548358924197 824.327185631434</t>
  </si>
  <si>
    <t>9763-20170724T115424.963838900.bin</t>
  </si>
  <si>
    <t>-614.100777122304 36.0560294028869 -92.9589650165306</t>
  </si>
  <si>
    <t>-633.725107406932 31.6614598653964 -201.830759990319</t>
  </si>
  <si>
    <t>-646.540599114057 27.7372852855885 -293.733942753276</t>
  </si>
  <si>
    <t>-657.581535352797 24.0134267776161 -376.814488457682</t>
  </si>
  <si>
    <t>-667.52403965149 20.1224050454432 -460.025858388241</t>
  </si>
  <si>
    <t>-680.857125220171 14.2330113462181 -581.814469107396</t>
  </si>
  <si>
    <t>-667.689036847506 12.8520217358323 -659.047379316973</t>
  </si>
  <si>
    <t>-675.414495983952 48.1413593781372 -529.844778424038</t>
  </si>
  <si>
    <t>-657.006694835988 202.385269730514 -515.390488386658</t>
  </si>
  <si>
    <t>-612.179841988735 225.410892635524 -237.831621389042</t>
  </si>
  <si>
    <t>-381.443373622731 207.401276610829 -218.213692731612</t>
  </si>
  <si>
    <t>-623.002353749694 127.683858923305 -96.7480219319101</t>
  </si>
  <si>
    <t>-637.490322789081 144.266937267418 318.243222390319</t>
  </si>
  <si>
    <t>-667.826636276968 179.416477638161 779.017465091929</t>
  </si>
  <si>
    <t>-516.55276402295 180.863917749489 833.770915839586</t>
  </si>
  <si>
    <t>-604.971962663807 -71.2936826776936 322.684609994657</t>
  </si>
  <si>
    <t>-656.524325494848 -108.29961547563 781.357095640568</t>
  </si>
  <si>
    <t>-502.273861883536 -123.855390111207 824.352827635716</t>
  </si>
  <si>
    <t>9763-20170724T115425.028780800.bin</t>
  </si>
  <si>
    <t>-612.954051118517 36.3567657292033 -92.8909759966409</t>
  </si>
  <si>
    <t>-632.547137445356 31.9155340655821 -201.766572292831</t>
  </si>
  <si>
    <t>-645.39722241791 27.9306401618283 -293.662298923583</t>
  </si>
  <si>
    <t>-656.494096708559 24.1431645120902 -376.732494834235</t>
  </si>
  <si>
    <t>-666.51749384441 20.1807036374532 -459.930741500501</t>
  </si>
  <si>
    <t>-679.996457340113 14.1784666172291 -581.69781583933</t>
  </si>
  <si>
    <t>-666.879067791575 12.7404820964357 -658.93819289575</t>
  </si>
  <si>
    <t>-674.517071502698 48.1348534274039 -529.763326805799</t>
  </si>
  <si>
    <t>-656.264730616148 202.409499075443 -515.425802990031</t>
  </si>
  <si>
    <t>-610.726127862471 226.067615036967 -238.035903608325</t>
  </si>
  <si>
    <t>-379.799986330848 208.761087579681 -220.087913297991</t>
  </si>
  <si>
    <t>-621.928139966745 127.996348112336 -96.711996793161</t>
  </si>
  <si>
    <t>-636.614064727413 144.511997217968 318.274981667164</t>
  </si>
  <si>
    <t>-667.774337482598 179.481586553299 778.997149008727</t>
  </si>
  <si>
    <t>-516.532109468586 180.917215147769 833.838356818268</t>
  </si>
  <si>
    <t>-604.1447171618 -71.0889693516044 322.799278772692</t>
  </si>
  <si>
    <t>-656.526745780971 -108.325321837905 781.355356500854</t>
  </si>
  <si>
    <t>-502.291349021477 -124.078084362362 824.333438547393</t>
  </si>
  <si>
    <t>9763-20170724T115425.062872100.bin</t>
  </si>
  <si>
    <t>-612.429176754542 36.4263054743503 -92.8572543159902</t>
  </si>
  <si>
    <t>-632.021619677458 31.9651745635506 -201.732020766324</t>
  </si>
  <si>
    <t>-644.911713748004 27.9478839509293 -293.620793439757</t>
  </si>
  <si>
    <t>-656.061171938032 24.1255417333891 -376.682313892079</t>
  </si>
  <si>
    <t>-666.153864809756 20.1223758492201 -459.870303349693</t>
  </si>
  <si>
    <t>-679.75250288708 14.0547804869955 -581.620970660036</t>
  </si>
  <si>
    <t>-666.664083131951 12.5668855638301 -658.865226075054</t>
  </si>
  <si>
    <t>-674.216142199749 48.0389791082152 -529.710655300539</t>
  </si>
  <si>
    <t>-655.917742685337 202.309521944524 -515.433654228429</t>
  </si>
  <si>
    <t>-610.138090802178 226.192324234099 -238.10274763696</t>
  </si>
  <si>
    <t>-379.160388300744 209.063873967805 -220.654029409058</t>
  </si>
  <si>
    <t>-621.427667208415 128.072445469913 -96.6930995529151</t>
  </si>
  <si>
    <t>-636.268513239503 144.550128472261 318.28989476882</t>
  </si>
  <si>
    <t>-667.74243731289 179.536463384695 778.981919105855</t>
  </si>
  <si>
    <t>-516.513332824791 181.071869055086 833.856578423375</t>
  </si>
  <si>
    <t>-603.819496309596 -71.0583054061169 322.844469139332</t>
  </si>
  <si>
    <t>-656.534395980547 -108.327028874298 781.354878949094</t>
  </si>
  <si>
    <t>-502.28479900522 -123.998122542009 824.311796461501</t>
  </si>
  <si>
    <t>9763-20170724T115425.130599000.bin</t>
  </si>
  <si>
    <t>-611.426508706402 36.3371251681915 -92.8248681950666</t>
  </si>
  <si>
    <t>-631.067192231126 31.8739750544676 -201.690935379993</t>
  </si>
  <si>
    <t>-644.068467908869 27.8078422299732 -293.561923905967</t>
  </si>
  <si>
    <t>-655.347305446899 23.9236547439043 -376.602996367164</t>
  </si>
  <si>
    <t>-665.598767677343 19.8410522633499 -459.767737438006</t>
  </si>
  <si>
    <t>-679.46216417582 13.6382760220661 -581.481661500289</t>
  </si>
  <si>
    <t>-666.457921110699 12.0328161799177 -658.737821822304</t>
  </si>
  <si>
    <t>-673.779905599011 47.680325759266 -529.625140556364</t>
  </si>
  <si>
    <t>-655.315355029222 201.937466207744 -515.440855379432</t>
  </si>
  <si>
    <t>-609.125130804513 226.219582774288 -238.212605830139</t>
  </si>
  <si>
    <t>-378.073834761314 209.279828261837 -221.573307111957</t>
  </si>
  <si>
    <t>-620.29662109205 128.017062609284 -96.6612592847545</t>
  </si>
  <si>
    <t>-635.694040708155 144.407638313355 318.304883603813</t>
  </si>
  <si>
    <t>-667.708169780931 179.602725667479 778.944290110961</t>
  </si>
  <si>
    <t>-516.503856529789 181.151236666437 833.886699221328</t>
  </si>
  <si>
    <t>-603.319018821119 -71.2246189387095 322.886878085595</t>
  </si>
  <si>
    <t>-656.546684412723 -108.309831720426 781.353315434489</t>
  </si>
  <si>
    <t>-502.266885191355 -123.841966377556 824.2522585076</t>
  </si>
  <si>
    <t>9763-20170724T115425.163687100.bin</t>
  </si>
  <si>
    <t>-611.031359728102 36.2099347325757 -92.8221307529119</t>
  </si>
  <si>
    <t>-630.71825457933 31.7456830745687 -201.679836344727</t>
  </si>
  <si>
    <t>-643.790051558431 27.6638026303588 -293.540034472247</t>
  </si>
  <si>
    <t>-655.145547091898 23.7600899360423 -376.569887703269</t>
  </si>
  <si>
    <t>-665.486740000025 19.6526879171086 -459.722335269361</t>
  </si>
  <si>
    <t>-679.495932065418 13.4073797940634 -581.417175373426</t>
  </si>
  <si>
    <t>-666.553857724042 11.7497665613059 -658.682841389769</t>
  </si>
  <si>
    <t>-673.725259999158 47.4676636232605 -529.582516124119</t>
  </si>
  <si>
    <t>-655.123545716292 201.719599790111 -515.449814304208</t>
  </si>
  <si>
    <t>-608.845602863148 226.14742565457 -238.24920210576</t>
  </si>
  <si>
    <t>-377.775108520603 209.184058014078 -221.903110375475</t>
  </si>
  <si>
    <t>-619.860506600029 127.944758813403 -96.666119338843</t>
  </si>
  <si>
    <t>-635.379628443661 144.333267834011 318.29559062653</t>
  </si>
  <si>
    <t>-667.679963117117 179.651129268824 778.916625180983</t>
  </si>
  <si>
    <t>-516.491497240465 181.230126381017 833.901882117859</t>
  </si>
  <si>
    <t>-603.104853275822 -71.3360970846359 322.893478885974</t>
  </si>
  <si>
    <t>-656.552754063753 -108.318224927211 781.349746259511</t>
  </si>
  <si>
    <t>-502.280273586224 -123.979443683626 824.228053334015</t>
  </si>
  <si>
    <t>9763-20170724T115425.226388500.bin</t>
  </si>
  <si>
    <t>-610.467020248409 36.005176705793 -92.8161418711593</t>
  </si>
  <si>
    <t>-630.259692188853 31.5342244328874 -201.654409674846</t>
  </si>
  <si>
    <t>-643.43688037965 27.406732979922 -293.497593591101</t>
  </si>
  <si>
    <t>-654.894690323829 23.4466886536184 -376.510644951331</t>
  </si>
  <si>
    <t>-665.34568906732 19.2671051096117 -459.645641946847</t>
  </si>
  <si>
    <t>-679.523795345071 12.8990878044085 -581.31472316814</t>
  </si>
  <si>
    <t>-666.693629330554 11.1657894180526 -658.597356884324</t>
  </si>
  <si>
    <t>-673.633623120348 47.0119738552505 -529.527920548835</t>
  </si>
  <si>
    <t>-654.887710080255 201.245177621403 -515.512573301263</t>
  </si>
  <si>
    <t>-608.479742650922 225.826980109443 -238.347143247575</t>
  </si>
  <si>
    <t>-377.391679330862 208.682318183852 -222.4446670316</t>
  </si>
  <si>
    <t>-619.236915155603 127.869155578164 -96.6655981831482</t>
  </si>
  <si>
    <t>-634.887870936999 144.265435953205 318.290876359197</t>
  </si>
  <si>
    <t>-667.626442931945 179.74245778526 778.86596686474</t>
  </si>
  <si>
    <t>-516.465330459296 181.38949859917 833.924411374535</t>
  </si>
  <si>
    <t>-602.693018228879 -71.4395548025034 322.921994853115</t>
  </si>
  <si>
    <t>-656.561388585488 -108.323551971149 781.346672943988</t>
  </si>
  <si>
    <t>-502.28316328637 -124.038288714419 824.184803813198</t>
  </si>
  <si>
    <t>9763-20170724T115425.264469000.bin</t>
  </si>
  <si>
    <t>-610.340278965492 35.9134085839617 -92.8160699119391</t>
  </si>
  <si>
    <t>-630.18007517889 31.4498974392959 -201.646091676799</t>
  </si>
  <si>
    <t>-643.378678834736 27.3253904024505 -293.486278697804</t>
  </si>
  <si>
    <t>-654.848508089912 23.3672922645856 -376.49773577269</t>
  </si>
  <si>
    <t>-665.304289888511 19.1878606854129 -459.632324983889</t>
  </si>
  <si>
    <t>-679.481450065216 12.81829520618 -581.301279288795</t>
  </si>
  <si>
    <t>-666.686911967982 11.081174124135 -658.589661264062</t>
  </si>
  <si>
    <t>-673.562958011296 46.9318617089334 -529.518293012478</t>
  </si>
  <si>
    <t>-654.673756043706 201.148131150494 -515.502896346808</t>
  </si>
  <si>
    <t>-608.349963139098 225.927704075079 -238.34106357539</t>
  </si>
  <si>
    <t>-377.245688414956 208.616946760796 -222.859434236287</t>
  </si>
  <si>
    <t>-619.088752191794 127.786904048658 -96.6605201947519</t>
  </si>
  <si>
    <t>-634.801927095562 144.218853163021 318.292064986046</t>
  </si>
  <si>
    <t>-667.625622690387 179.75910342364 778.84988502206</t>
  </si>
  <si>
    <t>-516.470892009014 181.37555452258 833.92666428707</t>
  </si>
  <si>
    <t>-602.614422042323 -71.4635732649779 322.931136608458</t>
  </si>
  <si>
    <t>-656.567671339912 -108.323972227414 781.339862049093</t>
  </si>
  <si>
    <t>-502.262225401838 -123.828456502861 824.156487482174</t>
  </si>
  <si>
    <t>9763-20170724T115425.328648500.bin</t>
  </si>
  <si>
    <t>-610.292540762027 35.5028649806943 -92.8281810724469</t>
  </si>
  <si>
    <t>-630.168980426136 31.0440233543425 -201.651721537175</t>
  </si>
  <si>
    <t>-643.367392053447 26.9216224788238 -293.491966684175</t>
  </si>
  <si>
    <t>-654.824663703064 22.9649771669997 -376.505242012349</t>
  </si>
  <si>
    <t>-665.255384184809 18.7860666731947 -459.642918909756</t>
  </si>
  <si>
    <t>-679.382278186459 12.415473583686 -581.317758712533</t>
  </si>
  <si>
    <t>-666.610120634479 10.693854304219 -658.610257792164</t>
  </si>
  <si>
    <t>-673.447502130088 46.5295086115375 -529.536941232405</t>
  </si>
  <si>
    <t>-654.42830607139 200.732439049385 -515.479576769787</t>
  </si>
  <si>
    <t>-607.882461440282 225.529833892052 -238.356483397922</t>
  </si>
  <si>
    <t>-376.679329273198 208.363177752986 -224.251477001917</t>
  </si>
  <si>
    <t>-618.97842132093 127.305856572119 -96.6749300604993</t>
  </si>
  <si>
    <t>-634.7269985297 143.981162405653 318.26665896068</t>
  </si>
  <si>
    <t>-667.617827617158 179.786197341525 778.801560203582</t>
  </si>
  <si>
    <t>-516.470168148665 181.340526640195 833.899564252152</t>
  </si>
  <si>
    <t>-602.739231597537 -71.7455116538695 322.915806099315</t>
  </si>
  <si>
    <t>-656.572788973516 -108.366375594104 781.340442216821</t>
  </si>
  <si>
    <t>-502.264362086012 -123.901275181501 824.13528956848</t>
  </si>
  <si>
    <t>9763-20170724T115425.360734500.bin</t>
  </si>
  <si>
    <t>-610.371089324465 35.2668084596473 -92.8343965604578</t>
  </si>
  <si>
    <t>-630.255153044254 30.8145856845956 -201.656793662696</t>
  </si>
  <si>
    <t>-643.43117738751 26.6952660219322 -293.500462100408</t>
  </si>
  <si>
    <t>-654.856614209412 22.7405339641318 -376.51819541438</t>
  </si>
  <si>
    <t>-665.243896832738 18.5621166604553 -459.66131197513</t>
  </si>
  <si>
    <t>-679.294488487281 12.1908599513265 -581.345033009654</t>
  </si>
  <si>
    <t>-666.495673660031 10.4980571372232 -658.633668881847</t>
  </si>
  <si>
    <t>-673.386828726259 46.3053554215564 -529.561324360851</t>
  </si>
  <si>
    <t>-654.382702223516 200.499470593284 -515.445792985827</t>
  </si>
  <si>
    <t>-607.524484906174 225.455151892492 -238.389650165912</t>
  </si>
  <si>
    <t>-376.241179847405 208.528785409247 -225.349322966446</t>
  </si>
  <si>
    <t>-619.067278266153 127.060142884552 -96.687452830823</t>
  </si>
  <si>
    <t>-634.772622972361 143.83212903536 318.251853714914</t>
  </si>
  <si>
    <t>-667.617929702878 179.786642020525 778.780491937844</t>
  </si>
  <si>
    <t>-516.472241952285 181.338049130668 833.883939646119</t>
  </si>
  <si>
    <t>-602.875467923778 -71.9086543509372 322.898280257945</t>
  </si>
  <si>
    <t>-656.584220375912 -108.424755039065 781.340709019563</t>
  </si>
  <si>
    <t>-502.313463368034 -124.355096695602 824.126018919225</t>
  </si>
  <si>
    <t>9763-20170724T115425.429513200.bin</t>
  </si>
  <si>
    <t>-610.688226076072 34.7776271047053 -92.8755792199545</t>
  </si>
  <si>
    <t>-630.596556404741 30.3156715014757 -201.693042080448</t>
  </si>
  <si>
    <t>-643.714254911365 26.1957885897452 -293.545088237517</t>
  </si>
  <si>
    <t>-655.055317834606 22.2424950995903 -376.57460194661</t>
  </si>
  <si>
    <t>-665.326304011282 18.0670812876028 -459.732240913716</t>
  </si>
  <si>
    <t>-679.171795087583 11.7013387276143 -581.439757739614</t>
  </si>
  <si>
    <t>-666.252929835075 10.1018462287727 -658.710430149896</t>
  </si>
  <si>
    <t>-673.346985625514 45.8135374868255 -529.645034071819</t>
  </si>
  <si>
    <t>-654.394094330962 200.000205230745 -515.328497495639</t>
  </si>
  <si>
    <t>-606.35442786227 225.329662024157 -238.50872184431</t>
  </si>
  <si>
    <t>-374.850806696458 209.718807366338 -227.977366621104</t>
  </si>
  <si>
    <t>-619.448013414297 126.485325152489 -96.7353800268335</t>
  </si>
  <si>
    <t>-634.956946415742 143.569742242814 318.198538775402</t>
  </si>
  <si>
    <t>-667.624377337544 179.769416473476 778.728386032396</t>
  </si>
  <si>
    <t>-516.479409384364 181.335229140713 833.833506028155</t>
  </si>
  <si>
    <t>-603.213155069912 -72.1443644849348 322.863846004563</t>
  </si>
  <si>
    <t>-656.569401008772 -108.479614449584 781.339010446946</t>
  </si>
  <si>
    <t>-502.274911533058 -124.099640207795 824.153039561477</t>
  </si>
  <si>
    <t>9763-20170724T115425.462599600.bin</t>
  </si>
  <si>
    <t>-610.903479228043 34.5406919790184 -92.8951403643222</t>
  </si>
  <si>
    <t>-630.837852477208 30.0655956528358 -201.707218267218</t>
  </si>
  <si>
    <t>-643.935308805548 25.9453701106058 -293.562162632644</t>
  </si>
  <si>
    <t>-655.240977842259 21.9954683440519 -376.596661326048</t>
  </si>
  <si>
    <t>-665.459302553741 17.826944470487 -459.761195860174</t>
  </si>
  <si>
    <t>-679.208787373246 11.4747538039271 -581.480217808333</t>
  </si>
  <si>
    <t>-666.207873434348 9.93362576563777 -658.738321008268</t>
  </si>
  <si>
    <t>-673.423459239811 45.5811826723789 -529.677375926754</t>
  </si>
  <si>
    <t>-654.430036274929 199.748241177412 -515.225422749425</t>
  </si>
  <si>
    <t>-605.483792103466 225.459291737402 -238.599733706745</t>
  </si>
  <si>
    <t>-373.875492502386 210.629229338017 -229.315596643147</t>
  </si>
  <si>
    <t>-619.731067029271 126.200575573769 -96.7606905668721</t>
  </si>
  <si>
    <t>-635.053557626287 143.435286493803 318.173979685709</t>
  </si>
  <si>
    <t>-667.623498143681 179.755922569155 778.706646300604</t>
  </si>
  <si>
    <t>-516.475272887221 181.377333173272 833.801297712961</t>
  </si>
  <si>
    <t>-603.363494881743 -72.2296801744969 322.855420624707</t>
  </si>
  <si>
    <t>-656.5278439438 -108.48748964983 781.351641061642</t>
  </si>
  <si>
    <t>-502.232156859344 -123.900902263379 824.236317673986</t>
  </si>
  <si>
    <t>9763-20170724T115425.496479800.bin</t>
  </si>
  <si>
    <t>-611.132118125879 34.3181883965608 -92.9062166739728</t>
  </si>
  <si>
    <t>-631.089626354023 29.8341566694405 -201.71378588751</t>
  </si>
  <si>
    <t>-644.178942131842 25.7130228187498 -293.569725617082</t>
  </si>
  <si>
    <t>-655.466122378011 21.7644552820102 -376.606735643514</t>
  </si>
  <si>
    <t>-665.654723971851 17.5992543615116 -459.775077883123</t>
  </si>
  <si>
    <t>-679.348461873844 11.2534347248061 -581.500724000472</t>
  </si>
  <si>
    <t>-666.264274469953 9.76013823233097 -658.745799292863</t>
  </si>
  <si>
    <t>-673.584288638808 45.3570749507933 -529.693898127283</t>
  </si>
  <si>
    <t>-654.564287407896 199.518405970665 -515.151708876474</t>
  </si>
  <si>
    <t>-604.621398188266 225.701030774203 -238.748420298402</t>
  </si>
  <si>
    <t>-372.921149325078 211.539695441547 -230.812419194509</t>
  </si>
  <si>
    <t>-620.042259884737 125.917276140323 -96.774301311386</t>
  </si>
  <si>
    <t>-635.219432510195 143.278607784895 318.160447308325</t>
  </si>
  <si>
    <t>-667.626597064901 179.738970772547 778.690880139578</t>
  </si>
  <si>
    <t>-516.471867778969 181.373363488618 833.767250095116</t>
  </si>
  <si>
    <t>-603.522545083808 -72.3007075742237 322.847072979962</t>
  </si>
  <si>
    <t>-656.473049431309 -108.526845456134 781.365959812502</t>
  </si>
  <si>
    <t>-502.181044928844 -123.724784336933 824.340622946616</t>
  </si>
  <si>
    <t>9763-20170724T115425.563658600.bin</t>
  </si>
  <si>
    <t>-611.466876182306 33.7911324150245 -92.9299754475985</t>
  </si>
  <si>
    <t>-631.510481200034 29.3097452367595 -201.721832854149</t>
  </si>
  <si>
    <t>-644.585467808543 25.1836827341933 -293.579619135046</t>
  </si>
  <si>
    <t>-655.82475362027 21.2270113285012 -376.62274776241</t>
  </si>
  <si>
    <t>-665.930498494344 17.0492568096554 -459.80064308614</t>
  </si>
  <si>
    <t>-679.464599560608 10.6802092618752 -581.542907475621</t>
  </si>
  <si>
    <t>-666.230728091063 9.27080212735927 -658.763860466517</t>
  </si>
  <si>
    <t>-673.766887510603 44.793814759335 -529.735102188642</t>
  </si>
  <si>
    <t>-654.941843942581 198.960284277784 -515.091535677959</t>
  </si>
  <si>
    <t>-602.796089918276 226.12259122898 -239.190013238309</t>
  </si>
  <si>
    <t>-370.904430590752 213.782993684633 -234.444007100137</t>
  </si>
  <si>
    <t>-620.471616621192 125.244397368806 -96.7808093183529</t>
  </si>
  <si>
    <t>-635.494751536071 142.776964495198 318.152379472271</t>
  </si>
  <si>
    <t>-667.642621396419 179.678641200934 778.676639844206</t>
  </si>
  <si>
    <t>-516.476266883345 181.272369972971 833.722239633062</t>
  </si>
  <si>
    <t>-603.786425203974 -72.5430655493296 322.833925159518</t>
  </si>
  <si>
    <t>-656.298652104117 -108.629788438887 781.408807843412</t>
  </si>
  <si>
    <t>-502.06327476611 -123.497423240736 824.70108992792</t>
  </si>
  <si>
    <t>9763-20170724T115425.628574000.bin</t>
  </si>
  <si>
    <t>-611.696149234015 33.2460562407346 -92.9431126544629</t>
  </si>
  <si>
    <t>-631.779665153548 28.7457811185093 -201.726883139747</t>
  </si>
  <si>
    <t>-644.832427103851 24.6150993166616 -293.587532498846</t>
  </si>
  <si>
    <t>-656.029066604836 20.657997572702 -376.636417129027</t>
  </si>
  <si>
    <t>-666.069535776797 16.4827374139752 -459.822274573663</t>
  </si>
  <si>
    <t>-679.483275083148 10.1199771295776 -581.578306136456</t>
  </si>
  <si>
    <t>-666.206907546768 8.79195814285072 -658.793445141311</t>
  </si>
  <si>
    <t>-673.81944544494 44.2307825666653 -529.764972217847</t>
  </si>
  <si>
    <t>-654.982207926912 198.395005537177 -514.987133313657</t>
  </si>
  <si>
    <t>-601.205729636606 226.200490276563 -239.463135800004</t>
  </si>
  <si>
    <t>-369.221163298652 214.904610412815 -237.437139901058</t>
  </si>
  <si>
    <t>-620.773519410655 124.617992975452 -96.7900341668425</t>
  </si>
  <si>
    <t>-635.673127583726 142.37409795391 318.138024125469</t>
  </si>
  <si>
    <t>-667.628909515983 179.669345164251 778.653791775806</t>
  </si>
  <si>
    <t>-516.462191099671 181.258735123113 833.698553137642</t>
  </si>
  <si>
    <t>-604.07693544359 -72.8515835775597 322.838229075617</t>
  </si>
  <si>
    <t>-656.203614134235 -108.729443969835 781.45144683042</t>
  </si>
  <si>
    <t>-502.02158871121 -123.555537215646 824.947651764501</t>
  </si>
  <si>
    <t>9763-20170724T115425.663668300.bin</t>
  </si>
  <si>
    <t>-611.712417358331 33.0344869055725 -92.9544846941003</t>
  </si>
  <si>
    <t>-631.807436564543 28.5350042931202 -201.736162036733</t>
  </si>
  <si>
    <t>-644.871498943068 24.4065605850101 -293.595371537244</t>
  </si>
  <si>
    <t>-656.078993623177 20.45207407777 -376.642841073837</t>
  </si>
  <si>
    <t>-666.130929233832 16.2799790863219 -459.827642034454</t>
  </si>
  <si>
    <t>-679.562163588897 9.92231694071415 -581.58184274096</t>
  </si>
  <si>
    <t>-666.321984517237 8.63236596548404 -658.803977424843</t>
  </si>
  <si>
    <t>-673.878351329888 44.0310158668954 -529.769400002374</t>
  </si>
  <si>
    <t>-654.985623089686 198.175792731236 -514.970055301289</t>
  </si>
  <si>
    <t>-600.681770400889 226.223515031 -239.57388655045</t>
  </si>
  <si>
    <t>-368.666668742116 215.413472925786 -238.762103156992</t>
  </si>
  <si>
    <t>-620.801077001606 124.370992387415 -96.7918384507179</t>
  </si>
  <si>
    <t>-635.688737641814 142.240956762556 318.131800994638</t>
  </si>
  <si>
    <t>-667.605913846667 179.691791308222 778.633784754565</t>
  </si>
  <si>
    <t>-516.444748486708 181.355855895362 833.691519739167</t>
  </si>
  <si>
    <t>-604.195139142271 -73.0352369719274 322.819657482222</t>
  </si>
  <si>
    <t>-656.160917404285 -108.788177173125 781.461377017646</t>
  </si>
  <si>
    <t>-502.005412270645 -123.596484818153 825.057411550982</t>
  </si>
  <si>
    <t>9763-20170724T115425.728502900.bin</t>
  </si>
  <si>
    <t>-611.706808799116 32.8060888837733 -92.956558022355</t>
  </si>
  <si>
    <t>-631.834321524321 28.3088874036896 -201.73226840204</t>
  </si>
  <si>
    <t>-644.928656254792 24.2074381446389 -293.588391120104</t>
  </si>
  <si>
    <t>-656.164335144086 20.2879545545254 -376.633775430452</t>
  </si>
  <si>
    <t>-666.245136554639 16.1614805982194 -459.817215284669</t>
  </si>
  <si>
    <t>-679.719145725624 9.88229076339167 -581.570981747173</t>
  </si>
  <si>
    <t>-666.636887245741 8.68481952032448 -658.821256486355</t>
  </si>
  <si>
    <t>-674.026823626615 43.9576326137549 -529.737373427839</t>
  </si>
  <si>
    <t>-655.21976474434 198.096308050425 -514.745138938</t>
  </si>
  <si>
    <t>-599.659907222805 226.474268496506 -239.633552876018</t>
  </si>
  <si>
    <t>-367.605886356538 216.594974045782 -240.999782669732</t>
  </si>
  <si>
    <t>-620.777742395951 124.163386378357 -96.8146488258467</t>
  </si>
  <si>
    <t>-635.568829735172 142.114752533329 318.108943792549</t>
  </si>
  <si>
    <t>-667.560674169069 179.736537757133 778.601520859215</t>
  </si>
  <si>
    <t>-516.411200980079 181.384937385929 833.691882641643</t>
  </si>
  <si>
    <t>-604.296935188909 -73.1961713911671 322.817307669095</t>
  </si>
  <si>
    <t>-656.107402448222 -108.817113349074 781.482511529861</t>
  </si>
  <si>
    <t>-501.904077711787 -122.841524344146 825.168644610712</t>
  </si>
  <si>
    <t>9763-20170724T115425.760582600.bin</t>
  </si>
  <si>
    <t>-611.663084850472 32.7409712309393 -92.9677368465675</t>
  </si>
  <si>
    <t>-631.81136851265 28.234251203246 -201.73931235938</t>
  </si>
  <si>
    <t>-644.914164775589 24.1465288208437 -293.594741426913</t>
  </si>
  <si>
    <t>-656.153555110645 20.247992607578 -376.640507421814</t>
  </si>
  <si>
    <t>-666.234014326456 16.1512837982286 -459.825663315312</t>
  </si>
  <si>
    <t>-679.70273770011 9.92569018273389 -581.582633414805</t>
  </si>
  <si>
    <t>-666.706306032731 8.78777083394539 -658.848346126667</t>
  </si>
  <si>
    <t>-674.034057427689 43.9781847664615 -529.731391145172</t>
  </si>
  <si>
    <t>-655.357115205776 198.123123717046 -514.60085241283</t>
  </si>
  <si>
    <t>-599.15370259654 226.591590203478 -239.629302226202</t>
  </si>
  <si>
    <t>-367.08258660983 217.30898879443 -241.944282194212</t>
  </si>
  <si>
    <t>-620.761061467354 124.10523463887 -96.8219982242682</t>
  </si>
  <si>
    <t>-635.526851950237 142.070668406227 318.101894302335</t>
  </si>
  <si>
    <t>-667.537899711621 179.76398871281 778.584408100213</t>
  </si>
  <si>
    <t>-516.394431102555 181.509370447122 833.688218884445</t>
  </si>
  <si>
    <t>-604.294812508099 -73.2462944263248 322.82212254596</t>
  </si>
  <si>
    <t>-656.093093303767 -108.882787971059 781.487738409368</t>
  </si>
  <si>
    <t>-501.951201564398 -123.415280553636 825.224510763184</t>
  </si>
  <si>
    <t>9763-20170724T115425.831456900.bin</t>
  </si>
  <si>
    <t>-611.426857923104 32.8162928414213 -92.9684220180831</t>
  </si>
  <si>
    <t>-631.548776695066 28.2788788767232 -201.743468370084</t>
  </si>
  <si>
    <t>-644.674907038957 24.1878423639696 -293.595557558604</t>
  </si>
  <si>
    <t>-655.953529676993 20.2945617805922 -376.636293365223</t>
  </si>
  <si>
    <t>-666.091154679044 16.2125225782504 -459.815044796771</t>
  </si>
  <si>
    <t>-679.663259442232 10.0184131415733 -581.562084585387</t>
  </si>
  <si>
    <t>-666.920292586334 8.98380791642876 -658.871679190649</t>
  </si>
  <si>
    <t>-673.973961036984 44.0574077459823 -529.704391055233</t>
  </si>
  <si>
    <t>-655.45113528324 198.200944841973 -514.343130832209</t>
  </si>
  <si>
    <t>-598.176916116764 226.808565797213 -239.6071511146</t>
  </si>
  <si>
    <t>-366.082725515325 218.690396685791 -243.467998452941</t>
  </si>
  <si>
    <t>-620.592373050215 124.142643731044 -96.8270953177308</t>
  </si>
  <si>
    <t>-635.447480182234 142.122965578347 318.093018011024</t>
  </si>
  <si>
    <t>-667.492130054532 179.830344035571 778.551842528119</t>
  </si>
  <si>
    <t>-516.363076083666 181.519397038212 833.696966073132</t>
  </si>
  <si>
    <t>-604.247776960582 -73.2551473193826 322.827476180355</t>
  </si>
  <si>
    <t>-656.155388170089 -108.928958006317 781.48444447614</t>
  </si>
  <si>
    <t>-501.997474556551 -123.539847330734 825.138659094273</t>
  </si>
  <si>
    <t>9763-20170724T115425.860551300.bin</t>
  </si>
  <si>
    <t>-611.239733478791 32.972023410995 -92.9666664017005</t>
  </si>
  <si>
    <t>-631.34865690092 28.4178525322232 -201.743468306421</t>
  </si>
  <si>
    <t>-644.482878873257 24.3188118364242 -293.594101904364</t>
  </si>
  <si>
    <t>-655.77628262625 20.4205505565437 -376.632489096193</t>
  </si>
  <si>
    <t>-665.936369451167 16.3355582473876 -459.808428665605</t>
  </si>
  <si>
    <t>-679.549544240728 10.1401020452145 -581.550823778093</t>
  </si>
  <si>
    <t>-666.946272523464 9.17238074486932 -658.884049728159</t>
  </si>
  <si>
    <t>-673.855443925289 44.1796898003365 -529.69392342449</t>
  </si>
  <si>
    <t>-655.398691270216 198.309507094969 -514.233007672892</t>
  </si>
  <si>
    <t>-597.709671430543 227.190211771422 -239.612390367945</t>
  </si>
  <si>
    <t>-365.615029773853 219.465072330167 -244.186856026035</t>
  </si>
  <si>
    <t>-620.454363409363 124.286702505283 -96.830669443697</t>
  </si>
  <si>
    <t>-635.404407315091 142.211206589915 318.088381331364</t>
  </si>
  <si>
    <t>-667.470719147078 179.866418978515 778.540462125304</t>
  </si>
  <si>
    <t>-516.347852322479 181.56640755463 833.702233631153</t>
  </si>
  <si>
    <t>-604.186295126235 -73.1818155956259 322.824942746964</t>
  </si>
  <si>
    <t>-656.237823434127 -108.893641290693 781.463668387138</t>
  </si>
  <si>
    <t>-502.035074565908 -123.443735133372 824.979600564634</t>
  </si>
  <si>
    <t>9763-20170724T115425.927270400.bin</t>
  </si>
  <si>
    <t>-610.84502637733 33.417894798758 -92.9782086750459</t>
  </si>
  <si>
    <t>-630.916902473783 28.8084477745665 -201.759537485967</t>
  </si>
  <si>
    <t>-644.106157323846 24.6956358405441 -293.60155849225</t>
  </si>
  <si>
    <t>-655.483646384107 20.7971102054732 -376.628570581648</t>
  </si>
  <si>
    <t>-665.762099464694 16.725623057803 -459.790562795396</t>
  </si>
  <si>
    <t>-679.585952897172 10.5648181001095 -581.511047361375</t>
  </si>
  <si>
    <t>-667.309642698472 9.73014475127479 -658.89840885084</t>
  </si>
  <si>
    <t>-673.828972681009 44.5895163064251 -529.651337816538</t>
  </si>
  <si>
    <t>-655.517958396798 198.728994592444 -513.998994821585</t>
  </si>
  <si>
    <t>-597.049293403657 228.146331027954 -239.600403998006</t>
  </si>
  <si>
    <t>-364.957816570849 221.298485239847 -245.532348896152</t>
  </si>
  <si>
    <t>-620.180263758632 124.671678469848 -96.8629019326452</t>
  </si>
  <si>
    <t>-635.251495740583 142.513989747218 318.05530345453</t>
  </si>
  <si>
    <t>-667.446822391316 179.935893449902 778.518221740191</t>
  </si>
  <si>
    <t>-516.328821539461 181.628996843052 833.693408559851</t>
  </si>
  <si>
    <t>-603.971915649893 -72.9106857040331 322.827999371155</t>
  </si>
  <si>
    <t>-656.433990377186 -108.852967350789 781.400925284855</t>
  </si>
  <si>
    <t>-502.112661785616 -123.148206160723 824.579688364782</t>
  </si>
  <si>
    <t>9763-20170724T115425.962362500.bin</t>
  </si>
  <si>
    <t>-610.615454944983 33.6281134532751 -92.9682701316065</t>
  </si>
  <si>
    <t>-630.684678941653 29.0007045778236 -201.749253125065</t>
  </si>
  <si>
    <t>-643.916480486629 24.8774996678865 -293.584646482592</t>
  </si>
  <si>
    <t>-655.350405665741 20.9713268150904 -376.603635173088</t>
  </si>
  <si>
    <t>-665.703313614942 16.8946337122504 -459.756056515506</t>
  </si>
  <si>
    <t>-679.655814242579 10.72913310374 -581.461667981198</t>
  </si>
  <si>
    <t>-667.555704560498 9.94342854016713 -658.877301299313</t>
  </si>
  <si>
    <t>-673.855475466355 44.7558493672284 -529.608165641144</t>
  </si>
  <si>
    <t>-655.640233298347 198.898886910059 -513.915297766991</t>
  </si>
  <si>
    <t>-596.899936083277 228.446244433306 -239.588630409831</t>
  </si>
  <si>
    <t>-364.813106843216 222.066436318934 -246.185752303952</t>
  </si>
  <si>
    <t>-619.965710729918 124.896661910654 -96.870759680329</t>
  </si>
  <si>
    <t>-635.165607623321 142.62756431834 318.047513716042</t>
  </si>
  <si>
    <t>-667.427243172845 179.981108037309 778.505109139828</t>
  </si>
  <si>
    <t>-516.313677624033 181.718677164894 833.690944007218</t>
  </si>
  <si>
    <t>-603.823481154472 -72.8289262285086 322.831507624418</t>
  </si>
  <si>
    <t>-656.524786134095 -108.862410533101 781.37332497339</t>
  </si>
  <si>
    <t>-502.175051988559 -123.313999886727 824.398153927541</t>
  </si>
  <si>
    <t>9763-20170724T115426.032555900.bin</t>
  </si>
  <si>
    <t>-610.085116494614 33.9923132323845 -92.9948371227293</t>
  </si>
  <si>
    <t>-630.158012187235 29.3304076613649 -201.773627866031</t>
  </si>
  <si>
    <t>-643.446076361733 25.1992581852303 -293.600752265554</t>
  </si>
  <si>
    <t>-654.951896735552 21.2943953020288 -376.609807688367</t>
  </si>
  <si>
    <t>-665.397734634934 17.2285680307441 -459.751183130496</t>
  </si>
  <si>
    <t>-679.509058579474 11.0897613074792 -581.439800637855</t>
  </si>
  <si>
    <t>-667.759497292228 10.4282374327026 -658.910605921734</t>
  </si>
  <si>
    <t>-673.676095990543 45.1048270716008 -529.582266593908</t>
  </si>
  <si>
    <t>-655.608622531592 199.254090427377 -513.77014791716</t>
  </si>
  <si>
    <t>-596.194574729444 229.230424738991 -239.63523122045</t>
  </si>
  <si>
    <t>-364.125327373549 223.588750462366 -247.418176657624</t>
  </si>
  <si>
    <t>-619.38430624562 125.374722158462 -96.9067167861161</t>
  </si>
  <si>
    <t>-634.836079435452 142.872682571244 318.012176858381</t>
  </si>
  <si>
    <t>-667.411568225344 180.053373621636 778.467715990787</t>
  </si>
  <si>
    <t>-516.306539314938 181.722274985839 833.679178989747</t>
  </si>
  <si>
    <t>-603.51446467399 -72.7562079542138 322.827914924689</t>
  </si>
  <si>
    <t>-656.679160130357 -108.83977026563 781.333387089702</t>
  </si>
  <si>
    <t>-502.2589063821 -123.353677451513 824.083236163082</t>
  </si>
  <si>
    <t>9763-20170724T115426.061666200.bin</t>
  </si>
  <si>
    <t>-609.797325267958 34.124679475937 -93.0159442073243</t>
  </si>
  <si>
    <t>-629.857488397723 29.4417730095413 -201.796255534816</t>
  </si>
  <si>
    <t>-643.167962586369 25.2915300877135 -293.61919841199</t>
  </si>
  <si>
    <t>-654.707280478701 21.3692398823534 -376.622625930899</t>
  </si>
  <si>
    <t>-665.200142104879 17.2856843971695 -459.757282578668</t>
  </si>
  <si>
    <t>-679.394928677183 11.1212066903749 -581.434781777846</t>
  </si>
  <si>
    <t>-667.830974586858 10.5068386585237 -658.933974664373</t>
  </si>
  <si>
    <t>-673.536535313913 45.1471388281645 -529.58732084491</t>
  </si>
  <si>
    <t>-655.558234816308 199.306592711716 -513.762682705652</t>
  </si>
  <si>
    <t>-595.671688310681 229.53616644114 -239.758344380331</t>
  </si>
  <si>
    <t>-363.617417829754 224.198060113122 -248.175210959108</t>
  </si>
  <si>
    <t>-619.05433285347 125.603507108047 -96.9318959756502</t>
  </si>
  <si>
    <t>-634.645025042459 142.988863422618 317.986536800746</t>
  </si>
  <si>
    <t>-667.390500575854 180.110377953261 778.436379300162</t>
  </si>
  <si>
    <t>-516.291855519418 181.89370733086 833.661732019648</t>
  </si>
  <si>
    <t>-603.394763389831 -72.80809238283 322.816568378596</t>
  </si>
  <si>
    <t>-656.739918888505 -108.850794803486 781.317436838049</t>
  </si>
  <si>
    <t>-502.307607709655 -123.544843150414 823.962127735878</t>
  </si>
  <si>
    <t>9763-20170724T115426.128815400.bin</t>
  </si>
  <si>
    <t>-609.330575261662 34.405780259458 -93.0421093374266</t>
  </si>
  <si>
    <t>-629.352537921946 29.6998074063831 -201.828385081858</t>
  </si>
  <si>
    <t>-642.710212906196 25.5178079284522 -293.64303870309</t>
  </si>
  <si>
    <t>-654.324333236407 21.5615915288506 -376.634471545139</t>
  </si>
  <si>
    <t>-664.924262002458 17.4402499258449 -459.753712617312</t>
  </si>
  <si>
    <t>-679.311145586311 11.2166894324025 -581.405707405268</t>
  </si>
  <si>
    <t>-668.127227392724 10.686139098606 -658.96111107054</t>
  </si>
  <si>
    <t>-673.391662292383 45.267590876636 -529.581639277565</t>
  </si>
  <si>
    <t>-655.60999207709 199.449785783365 -513.793693315527</t>
  </si>
  <si>
    <t>-594.552038046394 230.496704939777 -240.139442879047</t>
  </si>
  <si>
    <t>-362.551675495979 225.645168442951 -250.180928039064</t>
  </si>
  <si>
    <t>-618.593714530172 126.021524059368 -96.9765230105977</t>
  </si>
  <si>
    <t>-634.442075657798 143.202834849943 317.940683003867</t>
  </si>
  <si>
    <t>-667.380554064196 180.180567026448 778.382192737407</t>
  </si>
  <si>
    <t>-516.291064823046 181.907168459243 833.634369920643</t>
  </si>
  <si>
    <t>-603.125409477331 -72.8381831310423 322.790113708419</t>
  </si>
  <si>
    <t>-656.788236206428 -108.847120562152 781.298745759813</t>
  </si>
  <si>
    <t>-502.342941808824 -123.71091434448 823.837473080246</t>
  </si>
  <si>
    <t>9763-20170724T115426.161904700.bin</t>
  </si>
  <si>
    <t>-609.104108227758 34.6071102649014 -93.0394816495213</t>
  </si>
  <si>
    <t>-629.108393929612 29.8904697903133 -201.828741545429</t>
  </si>
  <si>
    <t>-642.49459968977 25.6932498880594 -293.63836123177</t>
  </si>
  <si>
    <t>-654.152025460495 21.721008037051 -376.623124592623</t>
  </si>
  <si>
    <t>-664.812924488832 17.5816726638548 -459.73344252489</t>
  </si>
  <si>
    <t>-679.308415378351 11.330032005581 -581.371304494188</t>
  </si>
  <si>
    <t>-668.317020314353 10.8275636161104 -658.954388466358</t>
  </si>
  <si>
    <t>-673.347565115919 45.3929990041986 -529.559728319635</t>
  </si>
  <si>
    <t>-655.598120305299 199.586048488642 -513.806353842384</t>
  </si>
  <si>
    <t>-593.798305385632 231.153729608883 -240.378409071541</t>
  </si>
  <si>
    <t>-361.842884715717 226.430219828154 -251.464265456868</t>
  </si>
  <si>
    <t>-618.365281691707 126.256454303472 -96.990728909939</t>
  </si>
  <si>
    <t>-634.340170300148 143.372889753744 317.924234810096</t>
  </si>
  <si>
    <t>-667.36539377684 180.222033630284 778.370288218617</t>
  </si>
  <si>
    <t>-516.280573691583 182.003502392913 833.6336256001</t>
  </si>
  <si>
    <t>-602.916297223695 -72.7445760111639 322.799581912732</t>
  </si>
  <si>
    <t>-656.795473406544 -108.879478552955 781.291892618034</t>
  </si>
  <si>
    <t>-502.389018366296 -124.177324082844 823.817770466948</t>
  </si>
  <si>
    <t>9763-20170724T115426.229937900.bin</t>
  </si>
  <si>
    <t>-608.77167533445 35.0062618559693 -93.0149628238769</t>
  </si>
  <si>
    <t>-628.743031466335 30.296370011821 -201.810486446436</t>
  </si>
  <si>
    <t>-642.197650414036 26.0713357417562 -293.608850458793</t>
  </si>
  <si>
    <t>-653.955866273946 22.0616423649415 -376.57757047977</t>
  </si>
  <si>
    <t>-664.757000858923 17.8732137197933 -459.667494563602</t>
  </si>
  <si>
    <t>-679.500997777358 11.5378024280444 -581.270924945798</t>
  </si>
  <si>
    <t>-668.859044507167 11.0595701405223 -658.902869886257</t>
  </si>
  <si>
    <t>-673.454320702143 45.6363015651852 -529.492783031057</t>
  </si>
  <si>
    <t>-655.952612490754 199.867281457623 -513.871941958578</t>
  </si>
  <si>
    <t>-592.293491448817 232.193096780144 -240.959628437331</t>
  </si>
  <si>
    <t>-360.436266127358 227.765544354963 -254.042175488955</t>
  </si>
  <si>
    <t>-617.998019101819 126.690477500024 -96.9825736085764</t>
  </si>
  <si>
    <t>-634.140457286312 143.676755743367 317.931281097043</t>
  </si>
  <si>
    <t>-667.36309755399 180.284168608822 778.363880247917</t>
  </si>
  <si>
    <t>-516.283638319984 182.096976477719 833.640707909132</t>
  </si>
  <si>
    <t>-602.695818850095 -72.5570218904129 322.824014680646</t>
  </si>
  <si>
    <t>-656.784672614376 -108.897672605681 781.281444152555</t>
  </si>
  <si>
    <t>-502.374246160955 -124.170388214815 823.801972687563</t>
  </si>
  <si>
    <t>9763-20170724T115426.263028900.bin</t>
  </si>
  <si>
    <t>-608.663160738408 35.16176783222 -93.009171999639</t>
  </si>
  <si>
    <t>-628.624999039721 30.4525724432176 -201.806450284115</t>
  </si>
  <si>
    <t>-642.116963093052 26.2191468644994 -293.599028175039</t>
  </si>
  <si>
    <t>-653.927251926812 22.1988606638629 -376.559805347471</t>
  </si>
  <si>
    <t>-664.798781832835 17.9976710887092 -459.639871614709</t>
  </si>
  <si>
    <t>-679.666041395036 11.6411176057645 -581.227238100593</t>
  </si>
  <si>
    <t>-669.183461293492 11.1933562206582 -658.881115683395</t>
  </si>
  <si>
    <t>-673.575936172238 45.7484510822301 -529.460115106713</t>
  </si>
  <si>
    <t>-656.196022124367 199.995631055132 -513.86119394862</t>
  </si>
  <si>
    <t>-591.593168040005 232.611854878445 -241.205206961387</t>
  </si>
  <si>
    <t>-359.788748527887 228.327637374952 -255.236800675093</t>
  </si>
  <si>
    <t>-617.827784805901 126.870846611416 -96.9832118223006</t>
  </si>
  <si>
    <t>-634.044852343337 143.790887111312 317.930408014908</t>
  </si>
  <si>
    <t>-667.363292973901 180.314438910368 778.357474323989</t>
  </si>
  <si>
    <t>-516.284637854928 182.085584372528 833.637863322444</t>
  </si>
  <si>
    <t>-602.688413658359 -72.5014512477983 322.82966910192</t>
  </si>
  <si>
    <t>-656.771544171578 -108.873280777156 781.28497174737</t>
  </si>
  <si>
    <t>-502.330697958153 -123.835989738077 823.805120441046</t>
  </si>
  <si>
    <t>9763-20170724T115426.331272000.bin</t>
  </si>
  <si>
    <t>-608.565289346122 35.4366942211705 -93.0029311527277</t>
  </si>
  <si>
    <t>-628.507682369998 30.7180869447816 -201.803347123946</t>
  </si>
  <si>
    <t>-642.060778005211 26.4666220231327 -293.586017676256</t>
  </si>
  <si>
    <t>-653.957491880848 22.4270849369593 -376.533652675467</t>
  </si>
  <si>
    <t>-664.946839373881 18.2043161586857 -459.596979373629</t>
  </si>
  <si>
    <t>-680.02086165681 11.8143287952912 -581.157244602214</t>
  </si>
  <si>
    <t>-669.807499297654 11.4717325509819 -658.847534493332</t>
  </si>
  <si>
    <t>-673.86072293741 45.9357943283769 -529.407575485965</t>
  </si>
  <si>
    <t>-656.630280769836 200.197518960891 -513.812705701849</t>
  </si>
  <si>
    <t>-590.354885412867 233.288048417957 -241.615765107237</t>
  </si>
  <si>
    <t>-358.639554807444 229.230580388286 -257.109968318917</t>
  </si>
  <si>
    <t>-617.70434186037 127.206158242944 -96.9973603666986</t>
  </si>
  <si>
    <t>-634.000272143362 143.962269395261 317.919840296989</t>
  </si>
  <si>
    <t>-667.381628531629 180.339449677007 778.353518285526</t>
  </si>
  <si>
    <t>-516.302981427738 182.078797171473 833.634930093961</t>
  </si>
  <si>
    <t>-602.680942477803 -72.3593716408861 322.840784574639</t>
  </si>
  <si>
    <t>-656.7369055551 -108.903386562046 781.291727934233</t>
  </si>
  <si>
    <t>-502.335928817006 -124.161118542328 823.85175030536</t>
  </si>
  <si>
    <t>9763-20170724T115426.361351300.bin</t>
  </si>
  <si>
    <t>-608.543839430229 35.5718051958688 -93.0040466749715</t>
  </si>
  <si>
    <t>-628.480858333317 30.8448424368826 -201.805057361323</t>
  </si>
  <si>
    <t>-642.056404049963 26.5844662952823 -293.584037924137</t>
  </si>
  <si>
    <t>-653.984352436091 22.5358530157127 -376.526694507498</t>
  </si>
  <si>
    <t>-665.015869446622 18.3037035383429 -459.584042354122</t>
  </si>
  <si>
    <t>-680.163614330475 11.8996499207096 -581.134301636866</t>
  </si>
  <si>
    <t>-670.056542362788 11.6328715539385 -658.838856272922</t>
  </si>
  <si>
    <t>-673.98607277664 46.0271099366066 -529.39051856599</t>
  </si>
  <si>
    <t>-656.887285922906 200.312776481822 -513.847103140053</t>
  </si>
  <si>
    <t>-589.763590372097 233.516015514844 -241.871814360519</t>
  </si>
  <si>
    <t>-358.074694036759 229.658476929212 -257.807016617439</t>
  </si>
  <si>
    <t>-617.69436915763 127.349408309942 -97.0009615253664</t>
  </si>
  <si>
    <t>-634.044867520927 144.029454139974 317.917131547277</t>
  </si>
  <si>
    <t>-667.392933439684 180.353675464672 778.355421650526</t>
  </si>
  <si>
    <t>-516.310981218889 182.077235355825 833.628329245724</t>
  </si>
  <si>
    <t>-602.636713876806 -72.2561028899688 322.846003867868</t>
  </si>
  <si>
    <t>-656.707647490855 -108.963504386328 781.297953889726</t>
  </si>
  <si>
    <t>-502.369120511844 -124.725082468812 823.900930432838</t>
  </si>
  <si>
    <t>9763-20170724T115426.431172300.bin</t>
  </si>
  <si>
    <t>-608.633160496829 35.8004075355182 -92.9959375925927</t>
  </si>
  <si>
    <t>-628.580096854671 31.0548118852157 -201.794375241731</t>
  </si>
  <si>
    <t>-642.211850031868 26.7906863357593 -293.564824643872</t>
  </si>
  <si>
    <t>-654.209428082239 22.7439889952798 -376.497519734688</t>
  </si>
  <si>
    <t>-665.329820206606 18.518722841779 -459.543377420621</t>
  </si>
  <si>
    <t>-680.628276362785 12.131238626574 -581.075579408585</t>
  </si>
  <si>
    <t>-670.633986097273 12.0066062584435 -658.795058095856</t>
  </si>
  <si>
    <t>-674.39929911786 46.2514888894559 -529.333417622227</t>
  </si>
  <si>
    <t>-657.381909246763 200.542469434845 -513.760163493221</t>
  </si>
  <si>
    <t>-588.778651967264 233.7084492137 -242.149792445415</t>
  </si>
  <si>
    <t>-357.154806203916 229.97881872862 -259.032259450075</t>
  </si>
  <si>
    <t>-617.847818893144 127.542823186578 -96.9998325704472</t>
  </si>
  <si>
    <t>-634.19092160895 144.118204270623 317.922756438075</t>
  </si>
  <si>
    <t>-667.411060536106 180.37129755913 778.367827705249</t>
  </si>
  <si>
    <t>-516.32588328444 182.021224234119 833.634304657401</t>
  </si>
  <si>
    <t>-602.535218336883 -71.9878225847408 322.871340584435</t>
  </si>
  <si>
    <t>-656.692650525104 -108.931794737844 781.297060481225</t>
  </si>
  <si>
    <t>-502.275298002785 -123.978344670496 823.872885833479</t>
  </si>
  <si>
    <t>9763-20170724T115426.463792900.bin</t>
  </si>
  <si>
    <t>-608.709665465727 35.883929749051 -92.9936538352022</t>
  </si>
  <si>
    <t>-628.667057730025 31.1405915105418 -201.790253972976</t>
  </si>
  <si>
    <t>-642.330839643966 26.8919099006403 -293.556784522189</t>
  </si>
  <si>
    <t>-654.366546281748 22.8647735634411 -376.484837216992</t>
  </si>
  <si>
    <t>-665.534135785965 18.6650694878692 -459.525637757982</t>
  </si>
  <si>
    <t>-680.911587854609 12.3215344120022 -581.050165451662</t>
  </si>
  <si>
    <t>-670.94926220332 12.2572540073456 -658.773788156563</t>
  </si>
  <si>
    <t>-674.653126348571 46.4229500460276 -529.299166174376</t>
  </si>
  <si>
    <t>-657.677137411916 200.714852755147 -513.695408790367</t>
  </si>
  <si>
    <t>-588.324927345863 233.753498476804 -242.259726321676</t>
  </si>
  <si>
    <t>-356.741799007763 230.042895789755 -259.695693168361</t>
  </si>
  <si>
    <t>-617.903910899524 127.612350657178 -96.9960877326223</t>
  </si>
  <si>
    <t>-634.287526413753 144.159430699199 317.926103070544</t>
  </si>
  <si>
    <t>-667.419312382823 180.385682380357 778.378249550711</t>
  </si>
  <si>
    <t>-516.331521057479 182.078474607925 833.636183394303</t>
  </si>
  <si>
    <t>-602.556663196879 -71.8987271111669 322.874863240922</t>
  </si>
  <si>
    <t>-656.696943861869 -108.954263773977 781.291955414723</t>
  </si>
  <si>
    <t>-502.313130398577 -124.366641320107 823.858708557967</t>
  </si>
  <si>
    <t>9763-20170724T115426.528160300.bin</t>
  </si>
  <si>
    <t>-608.931508682178 36.0369220369557 -92.9958071112296</t>
  </si>
  <si>
    <t>-628.912515588564 31.2980186406226 -201.788330377306</t>
  </si>
  <si>
    <t>-642.565636792889 27.1073010867808 -293.558969910582</t>
  </si>
  <si>
    <t>-654.578886603771 23.154294937508 -376.493771143327</t>
  </si>
  <si>
    <t>-665.710707112631 19.0504142435148 -459.544269859648</t>
  </si>
  <si>
    <t>-681.020820870484 12.8705600180763 -581.0857760921</t>
  </si>
  <si>
    <t>-671.001264419212 12.9162261219751 -658.802108866113</t>
  </si>
  <si>
    <t>-674.788498720335 46.9023106880659 -529.285733925155</t>
  </si>
  <si>
    <t>-657.859194000092 201.178340040308 -513.468584370357</t>
  </si>
  <si>
    <t>-587.203647275444 233.826725476695 -242.322075960871</t>
  </si>
  <si>
    <t>-355.696336324113 230.017575171893 -260.717241501832</t>
  </si>
  <si>
    <t>-618.06970227709 127.725445475876 -96.9925056498287</t>
  </si>
  <si>
    <t>-634.402940246345 144.229137750643 317.9333825499</t>
  </si>
  <si>
    <t>-667.441053672387 180.403800857102 778.396245019695</t>
  </si>
  <si>
    <t>-516.35040315802 182.02487767403 833.648527454139</t>
  </si>
  <si>
    <t>-602.708311009177 -71.7333072355163 322.873558122918</t>
  </si>
  <si>
    <t>-656.682638340078 -108.947703809802 781.279703463701</t>
  </si>
  <si>
    <t>-502.27731664654 -124.155447690525 823.841973308405</t>
  </si>
  <si>
    <t>9763-20170724T115426.561248200.bin</t>
  </si>
  <si>
    <t>-609.006453512199 36.0604152220778 -93.0037196380908</t>
  </si>
  <si>
    <t>-628.965292451746 31.331751358357 -201.800749640455</t>
  </si>
  <si>
    <t>-642.586706573169 27.167766130666 -293.577303852206</t>
  </si>
  <si>
    <t>-654.565942794907 23.2463909620467 -376.518708670063</t>
  </si>
  <si>
    <t>-665.658203138592 19.1811471722465 -459.576297993807</t>
  </si>
  <si>
    <t>-680.904173820602 13.0658912282393 -581.129197762615</t>
  </si>
  <si>
    <t>-670.86627191459 13.1581873098276 -658.843033572297</t>
  </si>
  <si>
    <t>-674.68249926931 47.0701295922081 -529.309784732283</t>
  </si>
  <si>
    <t>-657.696214416216 201.332567839886 -513.3558631626</t>
  </si>
  <si>
    <t>-586.607648943165 233.712087297154 -242.290253135674</t>
  </si>
  <si>
    <t>-355.122761650069 229.883407782964 -260.961631799325</t>
  </si>
  <si>
    <t>-618.115669336975 127.724937691369 -96.9943081231753</t>
  </si>
  <si>
    <t>-634.480095780255 144.219080093555 317.93064266112</t>
  </si>
  <si>
    <t>-667.457432278975 180.403713888502 778.401263791542</t>
  </si>
  <si>
    <t>-516.365408369794 181.935709478611 833.652249923833</t>
  </si>
  <si>
    <t>-602.813240276301 -71.7121052749199 322.863939093769</t>
  </si>
  <si>
    <t>-656.638252444997 -109.002366999852 781.28183894688</t>
  </si>
  <si>
    <t>-502.276507762392 -124.461184588463 823.911614238446</t>
  </si>
  <si>
    <t>9763-20170724T115426.629016600.bin</t>
  </si>
  <si>
    <t>-608.994821034082 36.0467059123062 -92.9952998406674</t>
  </si>
  <si>
    <t>-628.92417738641 31.3460414782053 -201.798991902439</t>
  </si>
  <si>
    <t>-642.50359234065 27.2312612328615 -293.58395738575</t>
  </si>
  <si>
    <t>-654.437704145162 23.3654056436922 -376.534403375866</t>
  </si>
  <si>
    <t>-665.477465254167 19.3658148117815 -459.602272031333</t>
  </si>
  <si>
    <t>-680.638456632485 13.3572456222942 -581.171008863866</t>
  </si>
  <si>
    <t>-670.579839668971 13.5415803796964 -658.88207286156</t>
  </si>
  <si>
    <t>-674.410409728258 47.3165406380679 -529.322864028855</t>
  </si>
  <si>
    <t>-657.136738806511 201.512734550662 -513.102459662554</t>
  </si>
  <si>
    <t>-585.99173988203 233.598187976881 -242.016614477378</t>
  </si>
  <si>
    <t>-354.521032663125 229.517057432338 -260.810113709241</t>
  </si>
  <si>
    <t>-618.076837853172 127.64407817662 -96.9759747643125</t>
  </si>
  <si>
    <t>-634.589285603058 144.171457283142 317.941790750416</t>
  </si>
  <si>
    <t>-667.465765011225 180.45045346028 778.411272792331</t>
  </si>
  <si>
    <t>-516.373082563169 182.002163465732 833.659834106196</t>
  </si>
  <si>
    <t>-602.981868475434 -71.7310976587942 322.857160552241</t>
  </si>
  <si>
    <t>-656.584136303273 -109.023093655799 781.302461859438</t>
  </si>
  <si>
    <t>-502.191632983096 -124.029532656515 823.982473199872</t>
  </si>
  <si>
    <t>9763-20170724T115426.662104400.bin</t>
  </si>
  <si>
    <t>-608.910431688501 35.966276520192 -93.0028829372424</t>
  </si>
  <si>
    <t>-628.822624720545 31.2830819675228 -201.810411372937</t>
  </si>
  <si>
    <t>-642.375909240485 27.2097985421028 -293.601212744338</t>
  </si>
  <si>
    <t>-654.281485935239 23.3924808497477 -376.557994898395</t>
  </si>
  <si>
    <t>-665.287458726175 19.4523250283621 -459.633138025129</t>
  </si>
  <si>
    <t>-680.393145478571 13.5425290610124 -581.213671661189</t>
  </si>
  <si>
    <t>-670.338605062548 13.7824340103577 -658.924972355875</t>
  </si>
  <si>
    <t>-674.175677879788 47.4597229057374 -529.336638615844</t>
  </si>
  <si>
    <t>-656.791208071284 201.621037592197 -512.955531605372</t>
  </si>
  <si>
    <t>-585.820931523211 233.655034802804 -241.817973267067</t>
  </si>
  <si>
    <t>-354.347933871734 229.456435745879 -260.557002236651</t>
  </si>
  <si>
    <t>-617.90549134284 127.563327741973 -96.9763863955485</t>
  </si>
  <si>
    <t>-634.542816915028 144.135342585048 317.934695238481</t>
  </si>
  <si>
    <t>-667.460279852593 180.478949373663 778.409369848327</t>
  </si>
  <si>
    <t>-516.3735576757 182.009577236871 833.674936638927</t>
  </si>
  <si>
    <t>-603.082355327296 -71.8171510658142 322.840352322592</t>
  </si>
  <si>
    <t>-656.591456722552 -109.026270277838 781.299137402929</t>
  </si>
  <si>
    <t>-502.195979903096 -124.070070064444 823.955322124936</t>
  </si>
  <si>
    <t>9763-20170724T115426.729287500.bin</t>
  </si>
  <si>
    <t>-608.824506484135 35.7313126689558 -93.0213478220811</t>
  </si>
  <si>
    <t>-628.754937663994 31.0889582493462 -201.827219980292</t>
  </si>
  <si>
    <t>-642.265582038027 27.1105881870858 -293.628548312287</t>
  </si>
  <si>
    <t>-654.108733088822 23.4038766135507 -376.599253318054</t>
  </si>
  <si>
    <t>-665.027748831735 19.5986664279508 -459.692092107841</t>
  </si>
  <si>
    <t>-679.978907298449 13.9125922362778 -581.302424966624</t>
  </si>
  <si>
    <t>-669.939091235638 14.2522951421956 -659.015280900653</t>
  </si>
  <si>
    <t>-673.808390839167 47.7343112679907 -529.357642016437</t>
  </si>
  <si>
    <t>-656.33561648813 201.852341155256 -512.625582539911</t>
  </si>
  <si>
    <t>-585.854532386087 233.277975493483 -241.289179663051</t>
  </si>
  <si>
    <t>-354.366010103418 229.231866968865 -259.868873160082</t>
  </si>
  <si>
    <t>-617.660927984487 127.4945073419 -96.990277404142</t>
  </si>
  <si>
    <t>-634.35054470533 144.015726196199 317.920633653576</t>
  </si>
  <si>
    <t>-667.440090067416 180.542807413762 778.38458593677</t>
  </si>
  <si>
    <t>-516.373318063128 182.020647546983 833.706066209755</t>
  </si>
  <si>
    <t>-603.144476675052 -72.1230170122365 322.804294105233</t>
  </si>
  <si>
    <t>-656.597930043348 -109.094640036948 781.299535934194</t>
  </si>
  <si>
    <t>-502.230790994877 -124.521835207387 823.92132534365</t>
  </si>
  <si>
    <t>9763-20170724T115426.762375700.bin</t>
  </si>
  <si>
    <t>-608.791453289635 35.620688180185 -93.0291490535208</t>
  </si>
  <si>
    <t>-628.738867086058 30.9857294792257 -201.832347991393</t>
  </si>
  <si>
    <t>-642.222618414369 27.0481300300205 -293.639276768382</t>
  </si>
  <si>
    <t>-654.024484041233 23.3923742583083 -376.61804430364</t>
  </si>
  <si>
    <t>-664.884927514945 19.6516470384463 -459.721590432252</t>
  </si>
  <si>
    <t>-679.731320530376 14.0743761113195 -581.349725212046</t>
  </si>
  <si>
    <t>-669.673979004357 14.4688488032198 -659.060009877561</t>
  </si>
  <si>
    <t>-673.595242987693 47.8498895799255 -529.370599437453</t>
  </si>
  <si>
    <t>-656.023471262646 201.933810027147 -512.438590126295</t>
  </si>
  <si>
    <t>-585.829354938002 232.954094680832 -240.981220586131</t>
  </si>
  <si>
    <t>-354.33134410519 228.987632513587 -259.460313444019</t>
  </si>
  <si>
    <t>-617.535619774547 127.496376354182 -97.0012383021847</t>
  </si>
  <si>
    <t>-634.288641774796 143.986848199096 317.908362554836</t>
  </si>
  <si>
    <t>-667.414691446081 180.592612032327 778.362406713761</t>
  </si>
  <si>
    <t>-516.360989846955 182.152387560756 833.717398013529</t>
  </si>
  <si>
    <t>-603.207564909185 -72.3021653270268 322.786008104041</t>
  </si>
  <si>
    <t>-656.587167885112 -109.101615690336 781.30744757955</t>
  </si>
  <si>
    <t>-502.227137132646 -124.610771776827 823.925235887276</t>
  </si>
  <si>
    <t>9763-20170724T115426.830593300.bin</t>
  </si>
  <si>
    <t>-608.715278335797 35.6041374286058 -93.0785686821474</t>
  </si>
  <si>
    <t>-628.704911943703 30.9417072488588 -201.87277957092</t>
  </si>
  <si>
    <t>-642.155015593879 27.0678977332084 -293.68745076162</t>
  </si>
  <si>
    <t>-653.897769154862 23.5040413419565 -376.678591241952</t>
  </si>
  <si>
    <t>-664.669671751215 19.8890286282001 -459.799174299669</t>
  </si>
  <si>
    <t>-679.35369705934 14.5321537443979 -581.456934499063</t>
  </si>
  <si>
    <t>-669.274936504406 15.0657246935868 -659.163788061876</t>
  </si>
  <si>
    <t>-673.285104125803 48.2133253266052 -529.408880261925</t>
  </si>
  <si>
    <t>-655.641665044629 202.247717934962 -512.084009683273</t>
  </si>
  <si>
    <t>-585.690136890424 232.623142569969 -240.490991839275</t>
  </si>
  <si>
    <t>-354.182882980261 228.652555154751 -258.852646510734</t>
  </si>
  <si>
    <t>-617.384969018454 127.607975085318 -97.058404700471</t>
  </si>
  <si>
    <t>-634.167468090003 144.04999288171 317.851942854728</t>
  </si>
  <si>
    <t>-667.398102539828 180.660232680442 778.305362764705</t>
  </si>
  <si>
    <t>-516.367411566095 182.123367041656 833.725573911004</t>
  </si>
  <si>
    <t>-603.239993072306 -72.4087508090597 322.763535352483</t>
  </si>
  <si>
    <t>-656.576892004738 -109.08477152272 781.31508490255</t>
  </si>
  <si>
    <t>-502.198327187376 -124.473247698217 823.909459446491</t>
  </si>
  <si>
    <t>9763-20170724T115426.860701600.bin</t>
  </si>
  <si>
    <t>-608.698065924367 35.7313038652321 -93.091438126526</t>
  </si>
  <si>
    <t>-628.712207578059 31.056160792097 -201.880572496607</t>
  </si>
  <si>
    <t>-642.153275656984 27.1970697566217 -293.697018353543</t>
  </si>
  <si>
    <t>-653.875575648898 23.6559480730891 -376.692116522104</t>
  </si>
  <si>
    <t>-664.614550485575 20.0731719012722 -459.818424738335</t>
  </si>
  <si>
    <t>-679.23657881858 14.7736801166491 -581.486227715069</t>
  </si>
  <si>
    <t>-669.13973154435 15.3772756457231 -659.190168937252</t>
  </si>
  <si>
    <t>-673.205688519556 48.430131356329 -529.41792540255</t>
  </si>
  <si>
    <t>-655.610143951574 202.453501778992 -511.955613289824</t>
  </si>
  <si>
    <t>-585.570085944914 232.531407564048 -240.352438930189</t>
  </si>
  <si>
    <t>-354.061099916661 228.646640862554 -258.710628865717</t>
  </si>
  <si>
    <t>-617.41167376024 127.74557796616 -97.0815404668414</t>
  </si>
  <si>
    <t>-634.131759791198 144.156195629303 317.832585467834</t>
  </si>
  <si>
    <t>-667.403193289616 180.669597644721 778.282425970353</t>
  </si>
  <si>
    <t>-516.374781719323 182.187440433801 833.707522723601</t>
  </si>
  <si>
    <t>-603.192253882393 -72.3236766944005 322.762356184492</t>
  </si>
  <si>
    <t>-656.568239431664 -109.080704355494 781.31503454252</t>
  </si>
  <si>
    <t>-502.186092572507 -124.445304476238 823.904982164869</t>
  </si>
  <si>
    <t>9763-20170724T115426.926898400.bin</t>
  </si>
  <si>
    <t>-608.709130059824 36.0521970315458 -93.0977855976406</t>
  </si>
  <si>
    <t>-628.771860890738 31.3340790088816 -201.876109071701</t>
  </si>
  <si>
    <t>-642.212263586409 27.485847787161 -293.693209834257</t>
  </si>
  <si>
    <t>-653.91667547579 23.9714095866889 -376.692028083286</t>
  </si>
  <si>
    <t>-664.620128038585 20.432435318419 -459.824678815086</t>
  </si>
  <si>
    <t>-679.170539880778 15.2154328079771 -581.5045732264</t>
  </si>
  <si>
    <t>-669.050386000308 15.9479191415769 -659.204289210282</t>
  </si>
  <si>
    <t>-673.194429002479 48.8363394883775 -529.407097933787</t>
  </si>
  <si>
    <t>-655.723714128699 202.862733234818 -511.810863558631</t>
  </si>
  <si>
    <t>-585.002878976068 232.674945633716 -240.354747468522</t>
  </si>
  <si>
    <t>-353.529288567492 229.075719697324 -259.210694800197</t>
  </si>
  <si>
    <t>-617.592525801871 128.006383808353 -97.1071237563908</t>
  </si>
  <si>
    <t>-634.165620942642 144.333962295016 317.816111237702</t>
  </si>
  <si>
    <t>-667.4274501887 180.673993395456 778.268916878877</t>
  </si>
  <si>
    <t>-516.394359132474 182.269272474775 833.67909634354</t>
  </si>
  <si>
    <t>-603.008322425461 -72.0418247960363 322.775134214693</t>
  </si>
  <si>
    <t>-656.514997869625 -109.1196275885 781.306610211107</t>
  </si>
  <si>
    <t>-502.158559410002 -124.602233634884 823.947021590711</t>
  </si>
  <si>
    <t>9763-20170724T115426.962948500.bin</t>
  </si>
  <si>
    <t>-608.728484461558 36.2147585519006 -93.0878211363525</t>
  </si>
  <si>
    <t>-628.825768916795 31.480083515374 -201.859095966373</t>
  </si>
  <si>
    <t>-642.284324833128 27.6305544441555 -293.67345364735</t>
  </si>
  <si>
    <t>-654.00053833433 24.1190158748004 -376.670708493623</t>
  </si>
  <si>
    <t>-664.711198233537 20.5871542070236 -459.802792292859</t>
  </si>
  <si>
    <t>-679.267040463675 15.3848728954169 -581.482611967574</t>
  </si>
  <si>
    <t>-669.134640856554 16.1577450515972 -659.180442863186</t>
  </si>
  <si>
    <t>-673.302999677136 48.9994788915058 -529.379429493775</t>
  </si>
  <si>
    <t>-655.921334455515 203.025058181923 -511.730824613419</t>
  </si>
  <si>
    <t>-584.581157198979 232.802738193086 -240.433082844168</t>
  </si>
  <si>
    <t>-353.133340120122 229.332339929373 -259.626661840706</t>
  </si>
  <si>
    <t>-617.714956999316 128.125071299471 -97.098473351449</t>
  </si>
  <si>
    <t>-634.195509114369 144.425385132569 317.829585510469</t>
  </si>
  <si>
    <t>-667.444982470377 180.665486547201 778.282031650282</t>
  </si>
  <si>
    <t>-516.405263632602 182.271542141452 833.673807360155</t>
  </si>
  <si>
    <t>-602.870646305114 -71.870335401753 322.792222713065</t>
  </si>
  <si>
    <t>-656.490361163668 -109.067866374919 781.304966826501</t>
  </si>
  <si>
    <t>-502.100552537542 -124.184031164699 823.956018236837</t>
  </si>
  <si>
    <t>9763-20170724T115427.028763800.bin</t>
  </si>
  <si>
    <t>-608.825721908766 36.5462705260341 -93.0474926003252</t>
  </si>
  <si>
    <t>-629.00684915909 31.7986905095515 -201.802632604063</t>
  </si>
  <si>
    <t>-642.523738177265 27.9551979660462 -293.608745926621</t>
  </si>
  <si>
    <t>-654.28738499559 24.454693138498 -376.599603265723</t>
  </si>
  <si>
    <t>-665.040166778097 20.9401349400257 -459.726972203068</t>
  </si>
  <si>
    <t>-679.651701546676 15.7698746785065 -581.401595568705</t>
  </si>
  <si>
    <t>-669.531921052426 16.6002986390033 -659.100512668869</t>
  </si>
  <si>
    <t>-673.694900922088 49.3704011395075 -529.288652806288</t>
  </si>
  <si>
    <t>-656.534263485416 203.413739495185 -511.572767256402</t>
  </si>
  <si>
    <t>-583.746850378731 233.248366675923 -240.666038415568</t>
  </si>
  <si>
    <t>-352.366790716425 229.895024752389 -260.680309523412</t>
  </si>
  <si>
    <t>-617.965605571405 128.398692298299 -97.0510044607651</t>
  </si>
  <si>
    <t>-634.270108047208 144.548308775369 317.889915380801</t>
  </si>
  <si>
    <t>-667.490360077951 180.632101735459 778.33960468278</t>
  </si>
  <si>
    <t>-516.435036883974 182.143022454032 833.691335361013</t>
  </si>
  <si>
    <t>-602.722454172097 -71.5369772059121 322.825762978506</t>
  </si>
  <si>
    <t>-656.441903727877 -109.089480325729 781.292293309929</t>
  </si>
  <si>
    <t>-502.069195341466 -124.225823978855 823.998060929853</t>
  </si>
  <si>
    <t>9763-20170724T115427.062896100.bin</t>
  </si>
  <si>
    <t>-608.875714573093 36.7171480241946 -93.0106970773147</t>
  </si>
  <si>
    <t>-629.107196507185 31.971117971274 -201.756662350973</t>
  </si>
  <si>
    <t>-642.66115889358 28.1356900624528 -293.557522954303</t>
  </si>
  <si>
    <t>-654.456076162893 24.6448021102588 -376.544467866531</t>
  </si>
  <si>
    <t>-665.237892830688 21.142362965722 -459.668552301541</t>
  </si>
  <si>
    <t>-679.8893994677 15.9924383795451 -581.339220860765</t>
  </si>
  <si>
    <t>-669.801021665309 16.8485544210048 -659.041822032828</t>
  </si>
  <si>
    <t>-673.931493189082 49.5841762820428 -529.220604032393</t>
  </si>
  <si>
    <t>-656.882870578836 203.637014699227 -511.482464788229</t>
  </si>
  <si>
    <t>-583.32485568641 233.496986912642 -240.786675330789</t>
  </si>
  <si>
    <t>-351.985981254038 230.158241912078 -261.273315658599</t>
  </si>
  <si>
    <t>-618.041946046676 128.547229083448 -97.0123152598303</t>
  </si>
  <si>
    <t>-634.294222264557 144.602298360351 317.934280471799</t>
  </si>
  <si>
    <t>-667.513280767886 180.608918898354 778.379374598172</t>
  </si>
  <si>
    <t>-516.44609690981 182.160771259401 833.6977603215</t>
  </si>
  <si>
    <t>-602.653099476095 -71.3589946778391 322.845385737905</t>
  </si>
  <si>
    <t>-656.39944316911 -109.097598237275 781.287273647256</t>
  </si>
  <si>
    <t>-502.042508587738 -124.208790751698 824.058906637976</t>
  </si>
  <si>
    <t>9763-20170724T115427.128044600.bin</t>
  </si>
  <si>
    <t>-608.917857944445 37.1263249790829 -92.9463934245996</t>
  </si>
  <si>
    <t>-629.264427801879 32.3912984517267 -201.671256136822</t>
  </si>
  <si>
    <t>-642.890947791537 28.5753295204458 -293.462236840103</t>
  </si>
  <si>
    <t>-654.741492941766 25.1054290913969 -376.442129994757</t>
  </si>
  <si>
    <t>-665.568898304293 21.627817124526 -459.56131773689</t>
  </si>
  <si>
    <t>-680.275968833023 16.5182730528254 -581.226998555233</t>
  </si>
  <si>
    <t>-670.269900012432 17.4170417801379 -658.939738647235</t>
  </si>
  <si>
    <t>-674.309858704014 50.0924073599892 -529.098219792105</t>
  </si>
  <si>
    <t>-657.409672192698 204.152301301106 -511.251945165628</t>
  </si>
  <si>
    <t>-582.622117767346 234.071930225755 -240.899919057133</t>
  </si>
  <si>
    <t>-351.363010161115 230.544674281047 -262.237981532671</t>
  </si>
  <si>
    <t>-618.156436870267 128.915300011319 -96.9275580285982</t>
  </si>
  <si>
    <t>-634.419295077101 144.665205670883 318.030400434425</t>
  </si>
  <si>
    <t>-667.585577094936 180.528976064952 778.481032231112</t>
  </si>
  <si>
    <t>-516.488900498815 182.044914714155 833.719873111829</t>
  </si>
  <si>
    <t>-602.462005485648 -70.9576691302973 322.901425716583</t>
  </si>
  <si>
    <t>-656.267035102381 -109.165000947861 781.307392305509</t>
  </si>
  <si>
    <t>-502.012381376194 -124.747577162166 824.278336855243</t>
  </si>
  <si>
    <t>9763-20170724T115427.161124300.bin</t>
  </si>
  <si>
    <t>-608.932325301189 37.3675935904494 -92.9166507149863</t>
  </si>
  <si>
    <t>-629.314282475272 32.6349604561433 -201.634898273117</t>
  </si>
  <si>
    <t>-642.955652899304 28.8242017130892 -293.424021083703</t>
  </si>
  <si>
    <t>-654.813439049196 25.3604144425328 -376.403077368615</t>
  </si>
  <si>
    <t>-665.642106119187 21.8895334944878 -459.522507523736</t>
  </si>
  <si>
    <t>-680.344299637844 16.7907434246913 -581.189110010432</t>
  </si>
  <si>
    <t>-670.382999051951 17.7013773652 -658.907539771472</t>
  </si>
  <si>
    <t>-674.375073811998 50.3604818669328 -529.057767000376</t>
  </si>
  <si>
    <t>-657.457626618098 204.415439431444 -511.166645787112</t>
  </si>
  <si>
    <t>-582.319349030636 234.374633488506 -240.916177664923</t>
  </si>
  <si>
    <t>-351.081466923803 230.820634651628 -262.478636397655</t>
  </si>
  <si>
    <t>-618.200102707724 129.121641927182 -96.8901998995941</t>
  </si>
  <si>
    <t>-634.547985819782 144.742981629782 318.069225238777</t>
  </si>
  <si>
    <t>-667.608337224481 180.519250392931 778.535649026047</t>
  </si>
  <si>
    <t>-516.499292607423 182.109373309141 833.738582008465</t>
  </si>
  <si>
    <t>-602.392457497031 -70.7136367332305 322.932502682905</t>
  </si>
  <si>
    <t>-656.249783336663 -109.137630635584 781.31071074617</t>
  </si>
  <si>
    <t>-501.941337531283 -124.187981738118 824.278290816598</t>
  </si>
  <si>
    <t>9763-20170724T115427.231343100.bin</t>
  </si>
  <si>
    <t>-608.879556038324 37.8466786906172 -92.8711155372472</t>
  </si>
  <si>
    <t>-629.315965710888 33.1254796139617 -201.579736654818</t>
  </si>
  <si>
    <t>-642.995321710509 29.3277674837143 -293.363574311305</t>
  </si>
  <si>
    <t>-654.884351747022 25.8774062912207 -376.338812088606</t>
  </si>
  <si>
    <t>-665.741048567468 22.4215235145691 -459.455185330057</t>
  </si>
  <si>
    <t>-680.480674956744 17.3462533698648 -581.118243826092</t>
  </si>
  <si>
    <t>-670.634877564174 18.268430099565 -658.851246578157</t>
  </si>
  <si>
    <t>-674.475015159927 50.9060847726419 -528.984633165281</t>
  </si>
  <si>
    <t>-657.454459206744 204.937144601949 -511.044970982049</t>
  </si>
  <si>
    <t>-581.854868507978 234.818704976655 -240.914780319516</t>
  </si>
  <si>
    <t>-350.63776480645 231.357733620486 -262.714227102504</t>
  </si>
  <si>
    <t>-618.076273745792 129.582116106701 -96.8355138141455</t>
  </si>
  <si>
    <t>-634.553353666039 145.003398222068 318.126284211061</t>
  </si>
  <si>
    <t>-667.6259681901 180.561285602846 778.624560986998</t>
  </si>
  <si>
    <t>-516.5053351114 182.056051727828 833.798277895615</t>
  </si>
  <si>
    <t>-602.285766905496 -70.2825106579405 322.979218309345</t>
  </si>
  <si>
    <t>-656.261372111346 -109.164540269048 781.29543088016</t>
  </si>
  <si>
    <t>-501.963245921755 -124.4274837143 824.225045808059</t>
  </si>
  <si>
    <t>9763-20170724T115427.264403400.bin</t>
  </si>
  <si>
    <t>-608.822060334163 38.1251820382386 -92.8372211454545</t>
  </si>
  <si>
    <t>-629.296713721646 33.4171547327317 -201.539146060961</t>
  </si>
  <si>
    <t>-643.013397472333 29.6346992500617 -293.318142044667</t>
  </si>
  <si>
    <t>-654.938130241148 26.200759264188 -376.28886772314</t>
  </si>
  <si>
    <t>-665.832457715246 22.7638956734081 -459.400969284137</t>
  </si>
  <si>
    <t>-680.629324634032 17.7189460376878 -581.058613685333</t>
  </si>
  <si>
    <t>-670.855525117154 18.6442278351051 -658.800539302565</t>
  </si>
  <si>
    <t>-674.588191976898 51.2659145979906 -528.920674733967</t>
  </si>
  <si>
    <t>-657.515645824055 205.28711458771 -510.951554502328</t>
  </si>
  <si>
    <t>-581.717837316827 235.196665439734 -240.879800732536</t>
  </si>
  <si>
    <t>-350.518945381295 231.698570806652 -262.865252969203</t>
  </si>
  <si>
    <t>-617.94070647208 129.900838776661 -96.8099721628219</t>
  </si>
  <si>
    <t>-634.505016356802 145.162784720835 318.154242937912</t>
  </si>
  <si>
    <t>-667.651660296373 180.57317175159 778.664213082346</t>
  </si>
  <si>
    <t>-516.527151082222 181.921256768346 833.831056777824</t>
  </si>
  <si>
    <t>-602.216452485775 -70.0406313242838 323.001314592408</t>
  </si>
  <si>
    <t>-656.267192313803 -109.141423423975 781.288265955999</t>
  </si>
  <si>
    <t>-501.961921507483 -124.406109485663 824.19172936893</t>
  </si>
  <si>
    <t>9763-20170724T115427.325904800.bin</t>
  </si>
  <si>
    <t>-608.617751680984 38.6870668533829 -92.7831799930362</t>
  </si>
  <si>
    <t>-629.186532880392 34.008149162011 -201.468597827334</t>
  </si>
  <si>
    <t>-642.94400728702 30.2695855003394 -293.243330183514</t>
  </si>
  <si>
    <t>-654.889938515962 26.8847225226643 -376.213047039359</t>
  </si>
  <si>
    <t>-665.78964165151 23.5051581641787 -459.326970467842</t>
  </si>
  <si>
    <t>-680.576744159094 18.5531774399331 -580.989424898771</t>
  </si>
  <si>
    <t>-670.877607423753 19.508707860796 -658.740354172177</t>
  </si>
  <si>
    <t>-674.502477571607 52.0606789234482 -528.830054185515</t>
  </si>
  <si>
    <t>-657.25898945369 206.05035650008 -510.734304087568</t>
  </si>
  <si>
    <t>-581.079692200999 235.802578417255 -240.752679298388</t>
  </si>
  <si>
    <t>-349.910371391097 232.285145401587 -263.043911768806</t>
  </si>
  <si>
    <t>-617.510461027585 130.542747461583 -96.7599757557776</t>
  </si>
  <si>
    <t>-634.29555927135 145.502654974974 318.206437549172</t>
  </si>
  <si>
    <t>-667.645986917253 180.646866955223 778.729705595648</t>
  </si>
  <si>
    <t>-516.523916191921 182.038020631309 833.902266788224</t>
  </si>
  <si>
    <t>-602.025729569746 -69.5998567680485 323.053411061653</t>
  </si>
  <si>
    <t>-656.278949875165 -109.135228371285 781.28608957257</t>
  </si>
  <si>
    <t>-501.966048069873 -124.495874652777 824.127667103374</t>
  </si>
  <si>
    <t>9763-20170724T115427.364006500.bin</t>
  </si>
  <si>
    <t>-608.540857517146 38.9170094206818 -92.7690600281325</t>
  </si>
  <si>
    <t>-629.114557480624 34.2460558303046 -201.45395059468</t>
  </si>
  <si>
    <t>-642.865277302158 30.5217449674788 -293.230244364321</t>
  </si>
  <si>
    <t>-654.800751512173 27.1532069951545 -376.202069136447</t>
  </si>
  <si>
    <t>-665.685462007198 23.7931928056846 -459.318704243901</t>
  </si>
  <si>
    <t>-680.445654470102 18.8732280820493 -580.985690726301</t>
  </si>
  <si>
    <t>-670.768715126615 19.8476965534478 -658.739239035229</t>
  </si>
  <si>
    <t>-674.354679502529 52.3671188041512 -528.819607250482</t>
  </si>
  <si>
    <t>-656.962255793995 206.33290429308 -510.634154217839</t>
  </si>
  <si>
    <t>-580.670769092428 235.958068165847 -240.670208838841</t>
  </si>
  <si>
    <t>-349.513388734314 232.35108212122 -263.071122378422</t>
  </si>
  <si>
    <t>-617.316697862143 130.799967735086 -96.7422359829301</t>
  </si>
  <si>
    <t>-634.205524272816 145.66552461821 318.223263003231</t>
  </si>
  <si>
    <t>-667.649500534836 180.67562778233 778.750653047876</t>
  </si>
  <si>
    <t>-516.527924281371 182.026386318642 833.925561645717</t>
  </si>
  <si>
    <t>-601.965072332808 -69.4272710176363 323.074752381235</t>
  </si>
  <si>
    <t>-656.302173023885 -109.117110008113 781.280487133582</t>
  </si>
  <si>
    <t>-501.976203358975 -124.492859990603 824.069515220525</t>
  </si>
  <si>
    <t>9763-20170724T115427.424821600.bin</t>
  </si>
  <si>
    <t>-608.346276552984 39.2302146927464 -92.7310283927657</t>
  </si>
  <si>
    <t>-628.919486009145 34.5743735736162 -201.416610480502</t>
  </si>
  <si>
    <t>-642.678140595364 30.8726589032633 -293.192689888059</t>
  </si>
  <si>
    <t>-654.624034941165 27.5297515407735 -376.164043167578</t>
  </si>
  <si>
    <t>-665.522408099099 24.1995129158904 -459.280072486821</t>
  </si>
  <si>
    <t>-680.305982251601 19.3276089234726 -580.946193411902</t>
  </si>
  <si>
    <t>-670.684468428491 20.3415138011974 -658.706098615004</t>
  </si>
  <si>
    <t>-674.148521049464 52.8013013453146 -528.774853537579</t>
  </si>
  <si>
    <t>-656.447751543868 206.721267838127 -510.502777575088</t>
  </si>
  <si>
    <t>-580.20097450807 236.131023481218 -240.502687861525</t>
  </si>
  <si>
    <t>-349.046738378052 232.067246116898 -262.857274257903</t>
  </si>
  <si>
    <t>-617.0158874216 131.155528708669 -96.7124935183598</t>
  </si>
  <si>
    <t>-634.114968222334 145.8599172169 318.250174828729</t>
  </si>
  <si>
    <t>-667.651885154882 180.742955154467 778.780661319718</t>
  </si>
  <si>
    <t>-516.534370352377 182.095298744473 833.966707625979</t>
  </si>
  <si>
    <t>-601.908924930825 -69.2258527339068 323.103305923494</t>
  </si>
  <si>
    <t>-656.367431226368 -109.066023952196 781.269363268267</t>
  </si>
  <si>
    <t>-501.992397905603 -124.384006676619 823.901833914858</t>
  </si>
  <si>
    <t>9763-20170724T115427.461920800.bin</t>
  </si>
  <si>
    <t>-608.237405101681 39.3284120289409 -92.7223237431624</t>
  </si>
  <si>
    <t>-628.812219265721 34.6808115293964 -201.407928748967</t>
  </si>
  <si>
    <t>-642.575954423914 30.9904106229237 -293.183740279201</t>
  </si>
  <si>
    <t>-654.527941243753 27.660011447196 -376.15469730037</t>
  </si>
  <si>
    <t>-665.433796667838 24.3443507052375 -459.270210143171</t>
  </si>
  <si>
    <t>-680.229930639048 19.4957842775593 -580.935728831534</t>
  </si>
  <si>
    <t>-670.6347397329 20.5234569633024 -658.698837965181</t>
  </si>
  <si>
    <t>-674.044802415846 52.9595097928723 -528.761324781382</t>
  </si>
  <si>
    <t>-656.209543301505 206.858381051081 -510.441750607616</t>
  </si>
  <si>
    <t>-580.057517187687 236.201002886451 -240.407632061955</t>
  </si>
  <si>
    <t>-348.905331879004 232.037007013666 -262.764954032586</t>
  </si>
  <si>
    <t>-616.835446204313 131.261340115364 -96.6978617982541</t>
  </si>
  <si>
    <t>-634.079271440305 145.914946558547 318.260596400561</t>
  </si>
  <si>
    <t>-667.657115296258 180.756576193608 778.791095497105</t>
  </si>
  <si>
    <t>-516.542149676556 182.073012710376 833.984928593986</t>
  </si>
  <si>
    <t>-601.922031444619 -69.1836115679312 323.104565414929</t>
  </si>
  <si>
    <t>-656.400816496086 -109.056670437224 781.26239026234</t>
  </si>
  <si>
    <t>-502.017861242162 -124.496029621157 823.822287388264</t>
  </si>
  <si>
    <t>9763-20170724T115427.529105000.bin</t>
  </si>
  <si>
    <t>-607.972109318625 39.3667657594947 -92.7118204278439</t>
  </si>
  <si>
    <t>-628.569165503508 34.7450613466069 -201.39440916568</t>
  </si>
  <si>
    <t>-642.356585465521 31.0871990749151 -293.167865987998</t>
  </si>
  <si>
    <t>-654.331871886605 27.7917565036971 -376.136907332633</t>
  </si>
  <si>
    <t>-665.262841026277 24.5159111356661 -459.250681903686</t>
  </si>
  <si>
    <t>-680.09763172802 19.7309074427112 -580.914080094614</t>
  </si>
  <si>
    <t>-670.589080467089 20.7739800731572 -658.687488973851</t>
  </si>
  <si>
    <t>-673.863029429935 53.1675738335798 -528.728159558949</t>
  </si>
  <si>
    <t>-655.80249750622 207.023038714584 -510.276232989879</t>
  </si>
  <si>
    <t>-580.054362255425 236.284946343452 -240.119733476704</t>
  </si>
  <si>
    <t>-348.905747518354 232.064794377362 -262.503661455193</t>
  </si>
  <si>
    <t>-616.452146607579 131.321482558604 -96.6818116123168</t>
  </si>
  <si>
    <t>-633.896390138194 145.932873114294 318.269774179806</t>
  </si>
  <si>
    <t>-667.646068980264 180.795461363695 778.801917264014</t>
  </si>
  <si>
    <t>-516.54102825378 182.24223962934 834.019772177721</t>
  </si>
  <si>
    <t>-601.846002506895 -69.1904840447949 323.10158782315</t>
  </si>
  <si>
    <t>-656.421901249628 -109.083618878981 781.256988559797</t>
  </si>
  <si>
    <t>-502.017828868393 -124.535981350025 823.735524040253</t>
  </si>
  <si>
    <t>9763-20170724T115427.563195000.bin</t>
  </si>
  <si>
    <t>-607.811265524296 39.3519444849585 -92.7034556893188</t>
  </si>
  <si>
    <t>-628.424886968619 34.7357394279736 -201.383095133594</t>
  </si>
  <si>
    <t>-642.207948466313 31.0909391806101 -293.157756211227</t>
  </si>
  <si>
    <t>-654.171823276837 27.8110258630559 -376.129041583045</t>
  </si>
  <si>
    <t>-665.083905377714 24.5538111518422 -459.246252371467</t>
  </si>
  <si>
    <t>-679.882686448954 19.7993810325981 -580.915076268914</t>
  </si>
  <si>
    <t>-670.395018781375 20.84419924487 -658.69097474729</t>
  </si>
  <si>
    <t>-673.642449377488 53.2230638323078 -528.721460436245</t>
  </si>
  <si>
    <t>-655.455489501654 207.051133395421 -510.196919568613</t>
  </si>
  <si>
    <t>-580.101335094066 236.346772604608 -239.933886083141</t>
  </si>
  <si>
    <t>-348.939135668714 232.159885224078 -262.183235357455</t>
  </si>
  <si>
    <t>-616.234707268568 131.322951330906 -96.6732563339782</t>
  </si>
  <si>
    <t>-633.747855523495 145.917155368306 318.276086202652</t>
  </si>
  <si>
    <t>-667.643731335576 180.804201512229 778.80210330293</t>
  </si>
  <si>
    <t>-516.547559458364 182.163588898395 834.046326118478</t>
  </si>
  <si>
    <t>-601.776999897244 -69.1910844448846 323.109515666023</t>
  </si>
  <si>
    <t>-656.431552863359 -109.074018400203 781.257091442236</t>
  </si>
  <si>
    <t>-501.997188798124 -124.33064111211 823.696335288437</t>
  </si>
  <si>
    <t>9763-20170724T115427.627962600.bin</t>
  </si>
  <si>
    <t>-607.426274326082 39.3014556842329 -92.7015026782635</t>
  </si>
  <si>
    <t>-628.05370732582 34.6957686133399 -201.378961381265</t>
  </si>
  <si>
    <t>-641.818996424258 31.0919322398906 -293.157809293399</t>
  </si>
  <si>
    <t>-653.754721809805 27.8624607616123 -376.135219469492</t>
  </si>
  <si>
    <t>-664.626185006321 24.6687621910435 -459.260165217336</t>
  </si>
  <si>
    <t>-679.351592046253 20.0216124867034 -580.941991530917</t>
  </si>
  <si>
    <t>-669.915063931292 21.1024523575798 -658.723824579642</t>
  </si>
  <si>
    <t>-673.113200430493 53.3993618666468 -528.718966029667</t>
  </si>
  <si>
    <t>-654.671881988796 207.177238493972 -510.036043565303</t>
  </si>
  <si>
    <t>-580.2320238407 236.390976070805 -239.510950680005</t>
  </si>
  <si>
    <t>-349.03378056125 232.512519498339 -261.439199762971</t>
  </si>
  <si>
    <t>-615.71271759925 131.319245730293 -96.6683743360034</t>
  </si>
  <si>
    <t>-633.436251575421 145.914721630724 318.271916274717</t>
  </si>
  <si>
    <t>-667.626987890875 180.866070035593 778.778756013062</t>
  </si>
  <si>
    <t>-516.546984022348 182.237989545145 834.066810697929</t>
  </si>
  <si>
    <t>-601.644163754166 -69.259112481413 323.129932448387</t>
  </si>
  <si>
    <t>-656.439208158138 -109.114844123193 781.25953921311</t>
  </si>
  <si>
    <t>-502.01894762443 -124.627509872027 823.65723816192</t>
  </si>
  <si>
    <t>9763-20170724T115427.665061800.bin</t>
  </si>
  <si>
    <t>-607.240061766935 39.2628537052267 -92.6966816485091</t>
  </si>
  <si>
    <t>-627.857054225362 34.6584742464347 -201.376125446653</t>
  </si>
  <si>
    <t>-641.601330462619 31.0703320656878 -293.15890089673</t>
  </si>
  <si>
    <t>-653.51305699994 27.8612734939036 -376.140335961601</t>
  </si>
  <si>
    <t>-664.355287921281 24.6939243743755 -459.270245297067</t>
  </si>
  <si>
    <t>-679.032273194309 20.0915676840498 -580.959622148609</t>
  </si>
  <si>
    <t>-669.614263340698 21.1979330579222 -658.743141793445</t>
  </si>
  <si>
    <t>-672.807091484621 53.4500108580701 -528.722712550602</t>
  </si>
  <si>
    <t>-654.324133240028 207.222694469551 -510.000554166386</t>
  </si>
  <si>
    <t>-580.240514606354 236.416015937733 -239.375399821254</t>
  </si>
  <si>
    <t>-349.0149145983 232.762450086717 -261.052781373847</t>
  </si>
  <si>
    <t>-615.478795938653 131.286556741911 -96.6709850629131</t>
  </si>
  <si>
    <t>-633.298554919039 145.910117899643 318.26416267063</t>
  </si>
  <si>
    <t>-667.620380800588 180.886202927899 778.761913380001</t>
  </si>
  <si>
    <t>-516.546572474726 182.348325453698 834.064601044624</t>
  </si>
  <si>
    <t>-601.606621998943 -69.3235158667067 323.134469215669</t>
  </si>
  <si>
    <t>-656.439850558191 -109.112755836105 781.26287829866</t>
  </si>
  <si>
    <t>-501.99147698982 -124.418821070906 823.633165813248</t>
  </si>
  <si>
    <t>9763-20170724T115427.730294200.bin</t>
  </si>
  <si>
    <t>-606.984288475506 39.1375303575994 -92.6985886940799</t>
  </si>
  <si>
    <t>-627.599691575427 34.5313974770002 -201.378350676353</t>
  </si>
  <si>
    <t>-641.302444917402 30.9784993102685 -293.168569032051</t>
  </si>
  <si>
    <t>-653.160053811372 27.8160424781688 -376.159752716444</t>
  </si>
  <si>
    <t>-663.931218586184 24.7101056844565 -459.300975358989</t>
  </si>
  <si>
    <t>-678.485556533505 20.2132778192513 -581.00918775689</t>
  </si>
  <si>
    <t>-669.073223453461 21.3708563599032 -658.792659637102</t>
  </si>
  <si>
    <t>-672.326552600905 53.5263093687911 -528.735379507937</t>
  </si>
  <si>
    <t>-653.774160884464 207.272609753201 -509.878649055137</t>
  </si>
  <si>
    <t>-580.181789429286 236.356156063556 -239.10768068789</t>
  </si>
  <si>
    <t>-348.920650055626 233.103119260217 -260.467414553778</t>
  </si>
  <si>
    <t>-615.226559080198 131.171842177829 -96.6834740096443</t>
  </si>
  <si>
    <t>-633.138989080401 145.821431402188 318.246823425739</t>
  </si>
  <si>
    <t>-667.623638355562 180.901974669239 778.726354738091</t>
  </si>
  <si>
    <t>-516.560596360981 182.318292934191 834.059717085121</t>
  </si>
  <si>
    <t>-601.521437668747 -69.4436386524442 323.138396013883</t>
  </si>
  <si>
    <t>-656.43981383884 -109.113520316522 781.263178222178</t>
  </si>
  <si>
    <t>-501.985269909757 -124.4567768498 823.597675520263</t>
  </si>
  <si>
    <t>9763-20170724T115427.764385200.bin</t>
  </si>
  <si>
    <t>-606.870744327002 39.0950793351092 -92.7106223812191</t>
  </si>
  <si>
    <t>-627.480790047212 34.4835159866395 -201.391233171449</t>
  </si>
  <si>
    <t>-641.190111889935 30.941112389823 -293.180745116098</t>
  </si>
  <si>
    <t>-653.058031983646 27.7940793170451 -376.171089761491</t>
  </si>
  <si>
    <t>-663.843827856757 24.7098156887741 -459.311230616544</t>
  </si>
  <si>
    <t>-678.424017472176 20.2522539884433 -581.017787730562</t>
  </si>
  <si>
    <t>-669.034716861431 21.4254551777253 -658.80376853035</t>
  </si>
  <si>
    <t>-672.272881480412 53.5485289974465 -528.732299187851</t>
  </si>
  <si>
    <t>-653.804546406758 207.296667669865 -509.814396051541</t>
  </si>
  <si>
    <t>-580.212186903644 236.360296643118 -239.04135268547</t>
  </si>
  <si>
    <t>-348.949101043793 233.250463978603 -260.400862879317</t>
  </si>
  <si>
    <t>-615.135840335945 131.122518715246 -96.6949699832428</t>
  </si>
  <si>
    <t>-633.088052000112 145.779065874175 318.233370953386</t>
  </si>
  <si>
    <t>-667.626566851909 180.908559552194 778.707740051982</t>
  </si>
  <si>
    <t>-516.568929217553 182.333979876575 834.055606688238</t>
  </si>
  <si>
    <t>-601.489136292793 -69.4825894709104 323.134613854963</t>
  </si>
  <si>
    <t>-656.433709910474 -109.114526579042 781.260393151257</t>
  </si>
  <si>
    <t>-501.97255554528 -124.418564037429 823.584969905516</t>
  </si>
  <si>
    <t>9763-20170724T115427.828559100.bin</t>
  </si>
  <si>
    <t>-606.561464668006 39.0662855753262 -92.7198711915115</t>
  </si>
  <si>
    <t>-627.139665991111 34.4101662448491 -201.404538972342</t>
  </si>
  <si>
    <t>-640.893065394672 30.8702919096452 -293.187685236302</t>
  </si>
  <si>
    <t>-652.828878785196 27.7414431644631 -376.168892752848</t>
  </si>
  <si>
    <t>-663.710503547156 24.692336021493 -459.297868494144</t>
  </si>
  <si>
    <t>-678.46131956585 20.3052278362361 -580.986376953588</t>
  </si>
  <si>
    <t>-669.136342081806 21.5253045107434 -658.779440615574</t>
  </si>
  <si>
    <t>-672.266353488067 53.5711055256686 -528.686771775684</t>
  </si>
  <si>
    <t>-653.991084338428 207.33850244265 -509.717874269684</t>
  </si>
  <si>
    <t>-580.512860913366 236.383342800274 -238.911793643523</t>
  </si>
  <si>
    <t>-349.268911428172 233.503788225971 -260.509744955756</t>
  </si>
  <si>
    <t>-614.877526571468 131.036436016459 -96.7187556376095</t>
  </si>
  <si>
    <t>-632.958736377827 145.786509515153 318.200630053475</t>
  </si>
  <si>
    <t>-667.600142808126 180.971184606256 778.663746320709</t>
  </si>
  <si>
    <t>-516.558975761085 182.610512311981 834.050512657865</t>
  </si>
  <si>
    <t>-601.371869906303 -69.5441550241578 323.142832260361</t>
  </si>
  <si>
    <t>-656.426665982898 -109.148804907391 781.260907465339</t>
  </si>
  <si>
    <t>-501.952872442964 -124.390026380786 823.561883033665</t>
  </si>
  <si>
    <t>9763-20170724T115427.861646600.bin</t>
  </si>
  <si>
    <t>-606.3684963212 39.0913756308248 -92.7230723278436</t>
  </si>
  <si>
    <t>-626.91729363273 34.4047866722938 -201.411933523963</t>
  </si>
  <si>
    <t>-640.678231744109 30.8603028390301 -293.193848570668</t>
  </si>
  <si>
    <t>-652.633655806561 27.735554092387 -376.172271670893</t>
  </si>
  <si>
    <t>-663.547622968096 24.6992990743997 -459.297620870672</t>
  </si>
  <si>
    <t>-678.359460819186 20.3409884350824 -580.979690660187</t>
  </si>
  <si>
    <t>-669.070636517045 21.5984694719659 -658.776558322798</t>
  </si>
  <si>
    <t>-672.152479669125 53.5943732132591 -528.67372473774</t>
  </si>
  <si>
    <t>-653.944469990009 207.362704270617 -509.680995939647</t>
  </si>
  <si>
    <t>-580.611543983846 236.473821006618 -238.842621460716</t>
  </si>
  <si>
    <t>-349.374012420116 233.678081983762 -260.520101854402</t>
  </si>
  <si>
    <t>-614.713547388335 131.05117279721 -96.7383462519344</t>
  </si>
  <si>
    <t>-632.892295754819 145.818141947981 318.176215623811</t>
  </si>
  <si>
    <t>-667.590775513069 181.005109434213 778.634802247011</t>
  </si>
  <si>
    <t>-516.558882196736 182.62018916126 834.047604260573</t>
  </si>
  <si>
    <t>-601.302884159341 -69.5707297953475 323.150722787763</t>
  </si>
  <si>
    <t>-656.424684646881 -109.149608451668 781.258269135532</t>
  </si>
  <si>
    <t>-501.974372436796 -124.649957921489 823.550877896524</t>
  </si>
  <si>
    <t>9763-20170724T115427.929654100.bin</t>
  </si>
  <si>
    <t>-605.909137736469 39.1542601926838 -92.7225757942471</t>
  </si>
  <si>
    <t>-626.353250152671 34.4470786822428 -201.430353599882</t>
  </si>
  <si>
    <t>-640.119787435681 30.9261537393968 -293.21215939749</t>
  </si>
  <si>
    <t>-652.117438789892 27.8399964763457 -376.18613927765</t>
  </si>
  <si>
    <t>-663.110811864735 24.8605779043478 -459.302892652686</t>
  </si>
  <si>
    <t>-678.079340490802 20.6059562852618 -580.969556077731</t>
  </si>
  <si>
    <t>-668.901694575255 21.9402694617152 -658.778343186133</t>
  </si>
  <si>
    <t>-671.839769778893 53.8146699677743 -528.638957801259</t>
  </si>
  <si>
    <t>-653.734154065833 207.587896174913 -509.564819026297</t>
  </si>
  <si>
    <t>-581.071419303946 237.012382107799 -238.579698235563</t>
  </si>
  <si>
    <t>-349.835479456226 234.342437594095 -260.289639591432</t>
  </si>
  <si>
    <t>-614.323143712415 131.104363426457 -96.7667874422872</t>
  </si>
  <si>
    <t>-632.796757406755 145.933479283229 318.13249093214</t>
  </si>
  <si>
    <t>-667.561064622114 181.102912473486 778.582962202768</t>
  </si>
  <si>
    <t>-516.553893150269 182.684489906034 834.06410529132</t>
  </si>
  <si>
    <t>-601.131411844756 -69.6634290805782 323.16299984604</t>
  </si>
  <si>
    <t>-656.414894945007 -109.151714683316 781.251457057495</t>
  </si>
  <si>
    <t>-501.993099069076 -124.961606732988 823.533642605613</t>
  </si>
  <si>
    <t>9763-20170724T115427.963745500.bin</t>
  </si>
  <si>
    <t>-605.600896888203 39.1720346117995 -92.7307869675806</t>
  </si>
  <si>
    <t>-625.967980839823 34.4543747255698 -201.452546657878</t>
  </si>
  <si>
    <t>-639.725480710225 30.9481550014991 -293.236493405801</t>
  </si>
  <si>
    <t>-651.737316173505 27.8852053679325 -376.209078033554</t>
  </si>
  <si>
    <t>-662.767022830291 24.9396818195466 -459.322212565357</t>
  </si>
  <si>
    <t>-677.813019117375 20.746628643649 -580.981563041914</t>
  </si>
  <si>
    <t>-668.69592369074 22.1030347488088 -658.796959840968</t>
  </si>
  <si>
    <t>-671.557447160651 53.9286064424214 -528.635842924151</t>
  </si>
  <si>
    <t>-653.523622988207 207.709091789936 -509.540923431509</t>
  </si>
  <si>
    <t>-581.480590781674 237.25523327117 -238.403574571577</t>
  </si>
  <si>
    <t>-350.231583890494 234.746298598862 -259.993767070146</t>
  </si>
  <si>
    <t>-613.978741511458 131.161780911888 -96.7856604575194</t>
  </si>
  <si>
    <t>-632.648706144839 145.975831344378 318.105390768837</t>
  </si>
  <si>
    <t>-667.533601262225 181.159628118087 778.549981085367</t>
  </si>
  <si>
    <t>-516.546094067192 182.756233587076 834.084121686187</t>
  </si>
  <si>
    <t>-601.037661695637 -69.7582015324954 323.159288512023</t>
  </si>
  <si>
    <t>-656.406097010739 -109.155868131348 781.254275014382</t>
  </si>
  <si>
    <t>-501.951729884084 -124.667496439509 823.527903712808</t>
  </si>
  <si>
    <t>9763-20170724T115428.028927100.bin</t>
  </si>
  <si>
    <t>-605.02986699823 39.2544757576447 -92.7731569904811</t>
  </si>
  <si>
    <t>-625.236231525838 34.4968204231557 -201.523137202244</t>
  </si>
  <si>
    <t>-638.989200747838 30.9891196200379 -293.307572649319</t>
  </si>
  <si>
    <t>-651.049298438661 27.9389759223043 -376.273774068882</t>
  </si>
  <si>
    <t>-662.179636108134 25.0219127047903 -459.374679133973</t>
  </si>
  <si>
    <t>-677.429993835677 20.8888309879628 -581.010392120666</t>
  </si>
  <si>
    <t>-668.475628764402 22.2399985142458 -658.844777607911</t>
  </si>
  <si>
    <t>-671.126804699428 54.0446513611205 -528.653967913434</t>
  </si>
  <si>
    <t>-653.332980475054 207.856270193726 -509.557531322941</t>
  </si>
  <si>
    <t>-582.66487097548 237.488961076473 -238.068066134488</t>
  </si>
  <si>
    <t>-351.345885418668 235.520491208356 -258.953028961066</t>
  </si>
  <si>
    <t>-613.393786215504 131.383244906537 -96.8684430894527</t>
  </si>
  <si>
    <t>-632.360255956462 146.19364832242 318.009293556311</t>
  </si>
  <si>
    <t>-667.4773557343 181.31972719386 778.463948879177</t>
  </si>
  <si>
    <t>-516.536352043085 182.841425228063 834.126530590744</t>
  </si>
  <si>
    <t>-600.878340624308 -69.9595528356042 323.155521248839</t>
  </si>
  <si>
    <t>-656.363997238725 -109.147842293385 781.263695955808</t>
  </si>
  <si>
    <t>-501.903219020903 -124.543678838997 823.556182511607</t>
  </si>
  <si>
    <t>9763-20170724T115428.062018100.bin</t>
  </si>
  <si>
    <t>-604.8051115113 39.252903481005 -92.7863480923185</t>
  </si>
  <si>
    <t>-624.946955106203 34.4735367768194 -201.547338570997</t>
  </si>
  <si>
    <t>-638.701017915282 30.9612017416803 -293.331500492448</t>
  </si>
  <si>
    <t>-650.78421578801 27.9125138657785 -376.294364469904</t>
  </si>
  <si>
    <t>-661.959798368488 25.0032749293366 -459.389358870777</t>
  </si>
  <si>
    <t>-677.300517914269 20.88907385891 -581.014433534539</t>
  </si>
  <si>
    <t>-668.424648765712 22.2334116165343 -658.858005384777</t>
  </si>
  <si>
    <t>-670.979561081944 54.0367040490694 -528.654886980593</t>
  </si>
  <si>
    <t>-653.310778592643 207.856726152637 -509.575790148411</t>
  </si>
  <si>
    <t>-583.167793970444 237.468462941028 -237.947848905406</t>
  </si>
  <si>
    <t>-351.801914984801 235.847807281795 -258.337844305416</t>
  </si>
  <si>
    <t>-613.184553609769 131.482292633736 -96.9029749438205</t>
  </si>
  <si>
    <t>-632.213461514167 146.299803751517 317.971638322722</t>
  </si>
  <si>
    <t>-667.44148572075 181.40250681048 778.416857440913</t>
  </si>
  <si>
    <t>-516.519668546882 183.141695077672 834.125096798425</t>
  </si>
  <si>
    <t>-600.781692430288 -70.1162476517777 323.14979923897</t>
  </si>
  <si>
    <t>-656.34138056365 -109.163710731566 781.273930453864</t>
  </si>
  <si>
    <t>-501.921547538831 -124.915869996875 823.58477831512</t>
  </si>
  <si>
    <t>9763-20170724T115428.126892200.bin</t>
  </si>
  <si>
    <t>-604.351584768481 39.2282585744692 -92.781678274981</t>
  </si>
  <si>
    <t>-624.410787203383 34.4113028415832 -201.556246019562</t>
  </si>
  <si>
    <t>-638.203581746818 30.903210045833 -293.334637417787</t>
  </si>
  <si>
    <t>-650.364921975438 27.8727290789134 -376.286784878551</t>
  </si>
  <si>
    <t>-661.661802020792 24.9972578832462 -459.366635799227</t>
  </si>
  <si>
    <t>-677.227029554316 20.9503363101589 -580.965470328475</t>
  </si>
  <si>
    <t>-668.5379426225 22.3298484558675 -658.82939881651</t>
  </si>
  <si>
    <t>-670.847774685868 54.0685583243726 -528.594413912239</t>
  </si>
  <si>
    <t>-653.359409868418 207.903106494965 -509.467459315402</t>
  </si>
  <si>
    <t>-583.965555081333 237.577275827417 -237.654075330785</t>
  </si>
  <si>
    <t>-352.54465208811 236.382875130764 -257.43975092047</t>
  </si>
  <si>
    <t>-612.828262915515 131.497906088849 -96.9355380394894</t>
  </si>
  <si>
    <t>-632.03391976626 146.346614120441 317.92976685805</t>
  </si>
  <si>
    <t>-667.425637624364 181.435537748818 778.347556950422</t>
  </si>
  <si>
    <t>-516.52989994968 183.124562988568 834.127882802945</t>
  </si>
  <si>
    <t>-600.516940911243 -70.2948219976413 323.161218743234</t>
  </si>
  <si>
    <t>-656.320424396626 -109.151375652718 781.279135942416</t>
  </si>
  <si>
    <t>-501.886504638415 -124.794350207211 823.579136362041</t>
  </si>
  <si>
    <t>9763-20170724T115428.159980800.bin</t>
  </si>
  <si>
    <t>-604.115326307762 39.1999779553298 -92.7878382553624</t>
  </si>
  <si>
    <t>-624.144491346733 34.3696585408698 -201.567344594025</t>
  </si>
  <si>
    <t>-637.933521607592 30.8810339569845 -293.347198055708</t>
  </si>
  <si>
    <t>-650.099776618952 27.8801311179618 -376.299773667956</t>
  </si>
  <si>
    <t>-661.409686365058 25.0468529180027 -459.379099692248</t>
  </si>
  <si>
    <t>-677.002967482302 21.0751020247421 -580.976834143298</t>
  </si>
  <si>
    <t>-668.391132686321 22.5054101253506 -658.848466878499</t>
  </si>
  <si>
    <t>-670.638387142867 54.160739468465 -528.583332160939</t>
  </si>
  <si>
    <t>-653.270310834949 208.003627662261 -509.438815875261</t>
  </si>
  <si>
    <t>-584.116725499965 237.700679448634 -237.566767529724</t>
  </si>
  <si>
    <t>-352.6899352537 236.669126672493 -257.292112659567</t>
  </si>
  <si>
    <t>-612.626360980709 131.472034052633 -96.9405563165519</t>
  </si>
  <si>
    <t>-631.920362437259 146.343203478673 317.919956358695</t>
  </si>
  <si>
    <t>-667.412394394903 181.467109923249 778.320466865009</t>
  </si>
  <si>
    <t>-516.523345181782 183.242180731993 834.116197319121</t>
  </si>
  <si>
    <t>-600.348877995398 -70.380355863218 323.167514224447</t>
  </si>
  <si>
    <t>-656.312560129061 -109.143155401546 781.274636129041</t>
  </si>
  <si>
    <t>-501.883049102014 -124.844362791786 823.569118049056</t>
  </si>
  <si>
    <t>9763-20170724T115428.231435500.bin</t>
  </si>
  <si>
    <t>-603.790197513977 39.231476540222 -92.8220828006683</t>
  </si>
  <si>
    <t>-623.695274904806 34.3875871359965 -201.623798788511</t>
  </si>
  <si>
    <t>-637.465858600649 30.9187414788266 -293.407101108119</t>
  </si>
  <si>
    <t>-649.649813684005 27.948457291556 -376.358095168584</t>
  </si>
  <si>
    <t>-661.01167100548 25.1599856930609 -459.431934778637</t>
  </si>
  <si>
    <t>-676.718219063128 21.2700785723655 -581.017690534096</t>
  </si>
  <si>
    <t>-668.245686989395 22.7662084683209 -658.903534447943</t>
  </si>
  <si>
    <t>-670.345167322264 54.3198340853892 -528.602715628257</t>
  </si>
  <si>
    <t>-653.220694258287 208.184148163018 -509.374457976202</t>
  </si>
  <si>
    <t>-584.5032162455 237.668650666279 -237.368720229232</t>
  </si>
  <si>
    <t>-353.076354677388 236.80440005781 -257.101573138549</t>
  </si>
  <si>
    <t>-612.330283495312 131.527142022288 -96.9891460145413</t>
  </si>
  <si>
    <t>-631.767619189483 146.372397909055 317.865522691805</t>
  </si>
  <si>
    <t>-667.397541498503 181.505013331364 778.262009778942</t>
  </si>
  <si>
    <t>-516.528177738751 183.270563973513 834.111395033473</t>
  </si>
  <si>
    <t>-600.205959575275 -70.4695029214799 323.149485022742</t>
  </si>
  <si>
    <t>-656.269047700129 -109.121617760467 781.267107036142</t>
  </si>
  <si>
    <t>-501.838912320591 -124.761559079781 823.581964836249</t>
  </si>
  <si>
    <t>9763-20170724T115428.260513000.bin</t>
  </si>
  <si>
    <t>-603.61336811098 39.2274568073053 -92.8215657450073</t>
  </si>
  <si>
    <t>-623.47389987075 34.381221950684 -201.631378792486</t>
  </si>
  <si>
    <t>-637.251769922613 30.9256238292894 -293.414139004529</t>
  </si>
  <si>
    <t>-649.460070117619 27.9739633077893 -376.362049045729</t>
  </si>
  <si>
    <t>-660.864163001208 25.2107301484921 -459.430996988311</t>
  </si>
  <si>
    <t>-676.651916587631 21.3657273381432 -581.0076805651</t>
  </si>
  <si>
    <t>-668.237729967516 22.8835815879902 -658.899346953159</t>
  </si>
  <si>
    <t>-670.252980123278 54.396068144928 -528.583483868283</t>
  </si>
  <si>
    <t>-653.172405288871 208.264800554472 -509.333273729847</t>
  </si>
  <si>
    <t>-584.701992856853 237.681111557116 -237.257613788865</t>
  </si>
  <si>
    <t>-353.275498829943 236.801548884957 -256.994478575861</t>
  </si>
  <si>
    <t>-612.157861619603 131.501685936993 -96.9979704953541</t>
  </si>
  <si>
    <t>-631.732645864618 146.374885859346 317.849272708859</t>
  </si>
  <si>
    <t>-667.397806064148 181.530638942 778.234941224944</t>
  </si>
  <si>
    <t>-516.538996913711 183.193687074464 834.115923531898</t>
  </si>
  <si>
    <t>-600.139514645628 -70.5451358479675 323.142228584478</t>
  </si>
  <si>
    <t>-656.24454802271 -109.092861777159 781.265564232388</t>
  </si>
  <si>
    <t>-501.786287580054 -124.422620387906 823.591286197095</t>
  </si>
  <si>
    <t>9763-20170724T115428.327695400.bin</t>
  </si>
  <si>
    <t>-603.301174995623 39.148532996533 -92.834152185889</t>
  </si>
  <si>
    <t>-623.088519662578 34.3081190797063 -201.657599887426</t>
  </si>
  <si>
    <t>-636.873734763409 30.884230781882 -293.440388827347</t>
  </si>
  <si>
    <t>-649.11622320416 27.972323489442 -376.384775819231</t>
  </si>
  <si>
    <t>-660.581978127127 25.2610136918972 -459.446849824356</t>
  </si>
  <si>
    <t>-676.489892011659 21.5059006749259 -581.010777168714</t>
  </si>
  <si>
    <t>-668.168208729881 23.0778694364262 -658.911162076333</t>
  </si>
  <si>
    <t>-670.069870443056 54.4970413579961 -528.564489848766</t>
  </si>
  <si>
    <t>-653.096956081062 208.364940809822 -509.196868974534</t>
  </si>
  <si>
    <t>-584.856604757611 237.680234329708 -237.052668018382</t>
  </si>
  <si>
    <t>-353.447810987165 236.915337824749 -257.00064335035</t>
  </si>
  <si>
    <t>-611.826951043652 131.457279601819 -97.0163299589476</t>
  </si>
  <si>
    <t>-631.679604422335 146.331270075303 317.817694414869</t>
  </si>
  <si>
    <t>-667.385114322502 181.590867271926 778.188606950097</t>
  </si>
  <si>
    <t>-516.546428221568 183.32011605872 834.121796470221</t>
  </si>
  <si>
    <t>-600.014676382087 -70.7084617914315 323.133728525633</t>
  </si>
  <si>
    <t>-656.203146758256 -109.105307945699 781.266254125434</t>
  </si>
  <si>
    <t>-501.768126755931 -124.603640764291 823.615360428198</t>
  </si>
  <si>
    <t>9763-20170724T115428.364794200.bin</t>
  </si>
  <si>
    <t>-603.192226683575 39.1207427860768 -92.8480937220934</t>
  </si>
  <si>
    <t>-622.94995201416 34.2857840846652 -201.67716918277</t>
  </si>
  <si>
    <t>-636.741022290593 30.8800593295 -293.459708215844</t>
  </si>
  <si>
    <t>-649.001017676621 27.9903159755597 -376.402314006075</t>
  </si>
  <si>
    <t>-660.496470771383 25.3072344924242 -459.461229232247</t>
  </si>
  <si>
    <t>-676.461223756005 21.6000428061898 -581.019208734307</t>
  </si>
  <si>
    <t>-668.180820504156 23.2049449918438 -658.923353714635</t>
  </si>
  <si>
    <t>-670.030997503553 54.5703792582412 -528.560918541722</t>
  </si>
  <si>
    <t>-653.124684546565 208.432922815995 -509.135980359835</t>
  </si>
  <si>
    <t>-585.112783925081 237.745414685781 -236.934245006305</t>
  </si>
  <si>
    <t>-353.72280375064 237.044933726148 -257.101351019984</t>
  </si>
  <si>
    <t>-611.708104522614 131.440731219085 -97.0258212828093</t>
  </si>
  <si>
    <t>-631.634632858567 146.351120008945 317.803298119299</t>
  </si>
  <si>
    <t>-667.373809649684 181.638092969841 778.166769344682</t>
  </si>
  <si>
    <t>-516.543148573452 183.375166630421 834.121426141279</t>
  </si>
  <si>
    <t>-599.957817048942 -70.7603778480141 323.122929159473</t>
  </si>
  <si>
    <t>-656.180304557336 -109.134762213257 781.264884467474</t>
  </si>
  <si>
    <t>-501.769674086925 -124.831647302361 823.629770045312</t>
  </si>
  <si>
    <t>9763-20170724T115428.427494500.bin</t>
  </si>
  <si>
    <t>-603.035842839786 39.0479735534366 -92.8521482470948</t>
  </si>
  <si>
    <t>-622.71578237016 34.2344965281388 -201.696195542703</t>
  </si>
  <si>
    <t>-636.463057786271 30.8658752520191 -293.486668806606</t>
  </si>
  <si>
    <t>-648.692075723228 28.017843765716 -376.43540728258</t>
  </si>
  <si>
    <t>-660.165007295434 25.3849996655661 -459.499146038513</t>
  </si>
  <si>
    <t>-676.106109013673 21.7604189547217 -581.062534494848</t>
  </si>
  <si>
    <t>-667.864610727007 23.4253439674087 -658.969595495529</t>
  </si>
  <si>
    <t>-669.692348189263 54.6949474798255 -528.579824751068</t>
  </si>
  <si>
    <t>-652.819554997869 208.550196546029 -509.063000992126</t>
  </si>
  <si>
    <t>-585.86236840723 238.133804060035 -236.629186573327</t>
  </si>
  <si>
    <t>-354.546525295023 237.447888415999 -257.630265477572</t>
  </si>
  <si>
    <t>-611.511551109684 131.409588718909 -97.0337007157495</t>
  </si>
  <si>
    <t>-631.630192275856 146.333407354776 317.785675819502</t>
  </si>
  <si>
    <t>-667.370249176064 181.719872129302 778.13172070095</t>
  </si>
  <si>
    <t>-516.554729308101 183.446537175128 834.127386903618</t>
  </si>
  <si>
    <t>-599.915163070775 -70.8766327984952 323.111569922981</t>
  </si>
  <si>
    <t>-656.134093539915 -109.123081362762 781.264137669396</t>
  </si>
  <si>
    <t>-501.779043510351 -125.246648626408 823.671491637739</t>
  </si>
  <si>
    <t>9763-20170724T115428.460579800.bin</t>
  </si>
  <si>
    <t>-603.002567884257 39.0370512055067 -92.8766252815597</t>
  </si>
  <si>
    <t>-622.627802141149 34.2280948562441 -201.730758431126</t>
  </si>
  <si>
    <t>-636.333605728118 30.867894489764 -293.527773642826</t>
  </si>
  <si>
    <t>-648.527002695056 28.0299225134404 -376.481912175658</t>
  </si>
  <si>
    <t>-659.966123995416 25.4092134547793 -459.550671842993</t>
  </si>
  <si>
    <t>-675.859675432723 21.8051272699427 -581.120987205732</t>
  </si>
  <si>
    <t>-667.626010187008 23.4845686146298 -659.028617600867</t>
  </si>
  <si>
    <t>-669.459672237464 54.7309706128347 -528.631231291587</t>
  </si>
  <si>
    <t>-652.534991307756 208.578845504727 -509.069245215055</t>
  </si>
  <si>
    <t>-586.405783630526 238.410150206841 -236.460430453292</t>
  </si>
  <si>
    <t>-355.142047500633 237.577881555188 -258.022669844775</t>
  </si>
  <si>
    <t>-611.416859927085 131.428047076686 -97.0617741201305</t>
  </si>
  <si>
    <t>-631.672776555617 146.365633247933 317.750455853902</t>
  </si>
  <si>
    <t>-667.365935644214 181.769841159218 778.107479335556</t>
  </si>
  <si>
    <t>-516.55990808237 183.533898436232 834.127496988839</t>
  </si>
  <si>
    <t>-599.999824611148 -70.9315348488517 323.095830777025</t>
  </si>
  <si>
    <t>-656.104940913638 -109.127893901738 781.266901923861</t>
  </si>
  <si>
    <t>-501.774968497045 -125.42220966288 823.700094219495</t>
  </si>
  <si>
    <t>9763-20170724T115428.527191300.bin</t>
  </si>
  <si>
    <t>-603.08468933766 39.0170236416484 -92.9152971561799</t>
  </si>
  <si>
    <t>-622.616447335294 34.214403266863 -201.786535562759</t>
  </si>
  <si>
    <t>-636.257537141548 30.8520965383505 -293.59309148289</t>
  </si>
  <si>
    <t>-648.398297660826 28.0096597942186 -376.554947145578</t>
  </si>
  <si>
    <t>-659.790637981642 25.3819356372708 -459.629935267425</t>
  </si>
  <si>
    <t>-675.622171227643 21.7652721591392 -581.207853174434</t>
  </si>
  <si>
    <t>-667.364022378943 23.4241911030495 -659.113394467081</t>
  </si>
  <si>
    <t>-669.251642354798 54.69638370752 -528.717806868745</t>
  </si>
  <si>
    <t>-652.421942297836 208.567134171771 -509.263756498349</t>
  </si>
  <si>
    <t>-587.855730453368 238.679245362196 -236.311259128297</t>
  </si>
  <si>
    <t>-356.661408202744 237.585715955495 -258.593994413336</t>
  </si>
  <si>
    <t>-611.483101192482 131.438255715606 -97.1105971542777</t>
  </si>
  <si>
    <t>-631.746360368824 146.449468757142 317.698564727809</t>
  </si>
  <si>
    <t>-667.363050668192 181.873079687159 778.061247209792</t>
  </si>
  <si>
    <t>-516.568328197357 183.722297996749 834.108982672804</t>
  </si>
  <si>
    <t>-600.095159337943 -70.9528701877543 323.07225318108</t>
  </si>
  <si>
    <t>-656.053421448168 -109.094628415967 781.269085232709</t>
  </si>
  <si>
    <t>-501.683273455823 -124.931747694095 823.729234306538</t>
  </si>
  <si>
    <t>9763-20170724T115428.563287000.bin</t>
  </si>
  <si>
    <t>-603.229598771679 38.9843575756581 -92.9052820514042</t>
  </si>
  <si>
    <t>-622.753445295199 34.1863508747631 -201.778131346034</t>
  </si>
  <si>
    <t>-636.38718284877 30.8220925894223 -293.585751798397</t>
  </si>
  <si>
    <t>-648.521152012828 27.9750796167125 -376.548343957827</t>
  </si>
  <si>
    <t>-659.90642396113 25.3406572233328 -459.624148634354</t>
  </si>
  <si>
    <t>-675.727564520252 21.7112178109521 -581.202973066974</t>
  </si>
  <si>
    <t>-667.448962374195 23.3421256857903 -659.106956881473</t>
  </si>
  <si>
    <t>-669.369708963872 54.6477815762664 -528.714938466866</t>
  </si>
  <si>
    <t>-652.61725433551 208.532330645685 -509.292492166371</t>
  </si>
  <si>
    <t>-588.458693406598 238.521351819035 -236.230376608384</t>
  </si>
  <si>
    <t>-357.273413792022 237.401809370089 -258.605629472172</t>
  </si>
  <si>
    <t>-611.679644554309 131.413369361194 -97.1099029657728</t>
  </si>
  <si>
    <t>-631.812532474706 146.436371738164 317.705289741082</t>
  </si>
  <si>
    <t>-667.381579916557 181.865741935565 778.059217813747</t>
  </si>
  <si>
    <t>-516.584198744833 183.63557606166 834.102454443286</t>
  </si>
  <si>
    <t>-600.140330162332 -70.9663244327785 323.067440045653</t>
  </si>
  <si>
    <t>-656.033365390027 -109.109757810451 781.271510478628</t>
  </si>
  <si>
    <t>-501.68935624186 -125.156738220487 823.747955480659</t>
  </si>
  <si>
    <t>9763-20170724T115428.628059900.bin</t>
  </si>
  <si>
    <t>-603.606205030878 38.8975181936667 -92.9144998771455</t>
  </si>
  <si>
    <t>-623.158472384021 34.1004280330476 -201.782407564675</t>
  </si>
  <si>
    <t>-636.812771533205 30.7315259857417 -293.586752556293</t>
  </si>
  <si>
    <t>-648.96393494672 27.8775831650651 -376.546619834631</t>
  </si>
  <si>
    <t>-660.365183979517 25.2335761496174 -459.619799533094</t>
  </si>
  <si>
    <t>-676.208337144357 21.5874406930764 -581.195370123772</t>
  </si>
  <si>
    <t>-667.86588190881 23.1687664110761 -659.093532568733</t>
  </si>
  <si>
    <t>-669.867565873335 54.5307538983484 -528.709469129455</t>
  </si>
  <si>
    <t>-653.194680813882 208.41216141783 -509.228451170439</t>
  </si>
  <si>
    <t>-589.345150690756 238.24854390596 -236.077036194235</t>
  </si>
  <si>
    <t>-358.141895990881 237.220562589433 -258.270170086576</t>
  </si>
  <si>
    <t>-612.158364096196 131.280283887896 -97.1108804777298</t>
  </si>
  <si>
    <t>-632.067945295977 146.392382074232 317.711806219564</t>
  </si>
  <si>
    <t>-667.426764013525 181.800066670368 778.072334791589</t>
  </si>
  <si>
    <t>-516.616086033755 183.527976252517 834.08103754854</t>
  </si>
  <si>
    <t>-600.275611287839 -70.9596869787515 323.051600814929</t>
  </si>
  <si>
    <t>-656.014000965298 -109.089574785734 781.261826625993</t>
  </si>
  <si>
    <t>-501.656362626983 -125.035794400034 823.726649280353</t>
  </si>
  <si>
    <t>9763-20170724T115428.665159500.bin</t>
  </si>
  <si>
    <t>-603.820942323556 38.8671243875813 -92.9336230238574</t>
  </si>
  <si>
    <t>-623.387946002954 34.0663338217121 -201.798604010563</t>
  </si>
  <si>
    <t>-637.060855575972 30.6890210758388 -293.599894123301</t>
  </si>
  <si>
    <t>-649.231366685752 27.8249772651834 -376.556639496893</t>
  </si>
  <si>
    <t>-660.654577234764 25.1687250425609 -459.626309249875</t>
  </si>
  <si>
    <t>-676.532692313137 21.5022621860332 -581.196863056718</t>
  </si>
  <si>
    <t>-668.155641048234 23.0664974602209 -659.091540816677</t>
  </si>
  <si>
    <t>-670.184227244268 54.4542954379144 -528.717186292798</t>
  </si>
  <si>
    <t>-653.546304973187 208.34183671348 -509.239250545247</t>
  </si>
  <si>
    <t>-589.767390757579 238.102618058953 -236.063240411274</t>
  </si>
  <si>
    <t>-358.554763911361 237.155246498866 -258.162024354835</t>
  </si>
  <si>
    <t>-612.418356592725 131.20485531928 -97.1245127309679</t>
  </si>
  <si>
    <t>-632.200506212922 146.366352300215 317.702473022139</t>
  </si>
  <si>
    <t>-667.450814915055 181.771742877703 778.079135698399</t>
  </si>
  <si>
    <t>-516.633920922446 183.52509565171 834.070242218458</t>
  </si>
  <si>
    <t>-600.362024688836 -70.9316770058613 323.035975897693</t>
  </si>
  <si>
    <t>-656.003958026567 -109.077448375019 781.256307694691</t>
  </si>
  <si>
    <t>-501.631821485073 -124.9003239071 823.714477934495</t>
  </si>
  <si>
    <t>9763-20170724T115428.731175400.bin</t>
  </si>
  <si>
    <t>-604.274347167632 38.8179857064804 -92.9534179710631</t>
  </si>
  <si>
    <t>-623.891333946649 34.0071817930891 -201.809016016416</t>
  </si>
  <si>
    <t>-637.595139085849 30.5971666643143 -293.604396245992</t>
  </si>
  <si>
    <t>-649.789320946247 27.6934129766441 -376.556290570266</t>
  </si>
  <si>
    <t>-661.23213599618 24.9873152973082 -459.621737013872</t>
  </si>
  <si>
    <t>-677.134498079708 21.2371581723055 -581.186468060799</t>
  </si>
  <si>
    <t>-668.704883197428 22.776766197105 -659.076027898053</t>
  </si>
  <si>
    <t>-670.787277825023 54.2250675296025 -528.729371861129</t>
  </si>
  <si>
    <t>-654.273127286135 208.133653179662 -509.312014432936</t>
  </si>
  <si>
    <t>-590.69984875684 238.064493974564 -236.106701455604</t>
  </si>
  <si>
    <t>-359.509771677663 237.180091084616 -258.443021744548</t>
  </si>
  <si>
    <t>-612.912549604037 131.085587654783 -97.1340839281931</t>
  </si>
  <si>
    <t>-632.484008894311 146.270175141032 317.702020364279</t>
  </si>
  <si>
    <t>-667.489567423699 181.733678117365 778.094897160905</t>
  </si>
  <si>
    <t>-516.660304748916 183.408069010191 834.055149751309</t>
  </si>
  <si>
    <t>-600.58693136412 -70.8411408328927 323.017127184167</t>
  </si>
  <si>
    <t>-655.992611380741 -109.08588235668 781.249190962417</t>
  </si>
  <si>
    <t>-501.655284798593 -125.256729622943 823.702960382001</t>
  </si>
  <si>
    <t>9763-20170724T115428.760252600.bin</t>
  </si>
  <si>
    <t>-604.466495338624 38.8605777872972 -92.9634438834311</t>
  </si>
  <si>
    <t>-624.10875701555 34.0482238760403 -201.814394397014</t>
  </si>
  <si>
    <t>-637.821769459424 30.6278671105076 -293.608100807963</t>
  </si>
  <si>
    <t>-650.019474904571 27.7111859705833 -376.558823334883</t>
  </si>
  <si>
    <t>-661.460989406136 24.9885401611984 -459.624033427682</t>
  </si>
  <si>
    <t>-677.356426319256 21.2097239191316 -581.188795549609</t>
  </si>
  <si>
    <t>-668.914452629748 22.7450925127221 -659.077095385277</t>
  </si>
  <si>
    <t>-671.008816408624 54.2101101571818 -528.739470604352</t>
  </si>
  <si>
    <t>-654.479729976544 208.118685745427 -509.338518378304</t>
  </si>
  <si>
    <t>-591.070521602278 238.219590166772 -236.11366338104</t>
  </si>
  <si>
    <t>-359.899644485401 237.3306745608 -258.647746993646</t>
  </si>
  <si>
    <t>-613.114764610113 131.074054199084 -97.1417647603182</t>
  </si>
  <si>
    <t>-632.589832622131 146.284828305277 317.697907340778</t>
  </si>
  <si>
    <t>-667.502902176229 181.728578782957 778.102451922255</t>
  </si>
  <si>
    <t>-516.668812942285 183.478568085556 834.047450862806</t>
  </si>
  <si>
    <t>-600.691490115627 -70.7039059625547 323.011321462233</t>
  </si>
  <si>
    <t>-655.986013043642 -109.045610494772 781.243815479484</t>
  </si>
  <si>
    <t>-501.561216246231 -124.442848251828 823.66697191475</t>
  </si>
  <si>
    <t>9763-20170724T115428.827999100.bin</t>
  </si>
  <si>
    <t>-604.765728823912 38.8921406001214 -92.9687867244666</t>
  </si>
  <si>
    <t>-624.450884146431 34.0747639369072 -201.81176239108</t>
  </si>
  <si>
    <t>-638.162696495578 30.6206016990225 -293.604318926704</t>
  </si>
  <si>
    <t>-650.344521201459 27.6615070825687 -376.556027133413</t>
  </si>
  <si>
    <t>-661.755544365029 24.8838144224044 -459.623524658425</t>
  </si>
  <si>
    <t>-677.590384357624 21.0104141669772 -581.193226791219</t>
  </si>
  <si>
    <t>-669.127862595356 22.506915899909 -659.08007399009</t>
  </si>
  <si>
    <t>-671.239426390684 54.0520647591461 -528.770317689127</t>
  </si>
  <si>
    <t>-654.60996401028 207.957469781824 -509.403585098966</t>
  </si>
  <si>
    <t>-591.515936690728 238.182966331415 -236.119564557753</t>
  </si>
  <si>
    <t>-360.387138889741 237.283879952184 -259.080418848175</t>
  </si>
  <si>
    <t>-613.414008576008 130.999272544309 -97.1512310959025</t>
  </si>
  <si>
    <t>-632.801834335925 146.291059317635 317.689584995412</t>
  </si>
  <si>
    <t>-667.528047536449 181.729934005545 778.111185800545</t>
  </si>
  <si>
    <t>-516.686628358196 183.534827037924 834.034657492007</t>
  </si>
  <si>
    <t>-600.880352457983 -70.5480037994719 323.010143977139</t>
  </si>
  <si>
    <t>-655.980045276749 -109.045369990283 781.235437850996</t>
  </si>
  <si>
    <t>-501.561383497059 -124.553740268236 823.6405713983</t>
  </si>
  <si>
    <t>9763-20170724T115428.861090100.bin</t>
  </si>
  <si>
    <t>-604.834613741923 38.9215288527755 -92.9571393823607</t>
  </si>
  <si>
    <t>-624.561071564077 34.1072998585107 -201.792700711476</t>
  </si>
  <si>
    <t>-638.281748731235 30.6397639475292 -293.58364355827</t>
  </si>
  <si>
    <t>-650.461278830037 27.66230435987 -376.534983614789</t>
  </si>
  <si>
    <t>-661.859785919319 24.8593700732479 -459.603279727952</t>
  </si>
  <si>
    <t>-677.665170872924 20.941671515707 -581.175251115562</t>
  </si>
  <si>
    <t>-669.201501386722 22.4168099734407 -659.062472162204</t>
  </si>
  <si>
    <t>-671.316567107862 54.0025743912727 -528.764336952617</t>
  </si>
  <si>
    <t>-654.646346745415 207.89605852835 -509.387252503287</t>
  </si>
  <si>
    <t>-591.564415503587 238.138906773809 -236.102377620198</t>
  </si>
  <si>
    <t>-360.467058169817 237.164169697147 -259.374658624373</t>
  </si>
  <si>
    <t>-613.501007540125 130.98075997616 -97.1437072256823</t>
  </si>
  <si>
    <t>-632.856258808174 146.283219528485 317.698153709284</t>
  </si>
  <si>
    <t>-667.553054885257 181.718517403592 778.120012827748</t>
  </si>
  <si>
    <t>-516.706962228045 183.433314538051 834.033672901576</t>
  </si>
  <si>
    <t>-600.927996618926 -70.4652888020007 323.010705885363</t>
  </si>
  <si>
    <t>-655.969924965303 -109.067166504501 781.229148358118</t>
  </si>
  <si>
    <t>-501.548784398562 -124.550544979751 823.634276272623</t>
  </si>
  <si>
    <t>9763-20170724T115428.929913300.bin</t>
  </si>
  <si>
    <t>-604.816911718609 39.0055864852407 -92.9347628295136</t>
  </si>
  <si>
    <t>-624.663301024577 34.1865034529201 -201.748298689614</t>
  </si>
  <si>
    <t>-638.449716367301 30.689462211652 -293.528282416166</t>
  </si>
  <si>
    <t>-650.674789307091 27.6747846296382 -376.47150218635</t>
  </si>
  <si>
    <t>-662.105092653339 24.8236246527483 -459.533844529295</t>
  </si>
  <si>
    <t>-677.941946788224 20.8232457530025 -581.099154642646</t>
  </si>
  <si>
    <t>-669.526358810121 22.281440122684 -658.991735010403</t>
  </si>
  <si>
    <t>-671.55958439414 53.9201263455436 -528.714856798199</t>
  </si>
  <si>
    <t>-654.797377061426 207.805805866938 -509.342017885233</t>
  </si>
  <si>
    <t>-591.731664145759 237.991139049077 -236.046986086463</t>
  </si>
  <si>
    <t>-360.727818233365 236.808960646008 -260.220207654415</t>
  </si>
  <si>
    <t>-613.542380596769 131.027953712663 -97.1153119852034</t>
  </si>
  <si>
    <t>-632.83247005984 146.29198823597 317.731074770173</t>
  </si>
  <si>
    <t>-667.557314340861 181.733774645616 778.14914322419</t>
  </si>
  <si>
    <t>-516.709950077657 183.540303637544 834.056556236675</t>
  </si>
  <si>
    <t>-600.8100398731 -70.2719626343976 323.041695724126</t>
  </si>
  <si>
    <t>-655.883185621935 -109.105609962625 781.240457706011</t>
  </si>
  <si>
    <t>-501.516881222357 -124.81285599221 823.762811512798</t>
  </si>
  <si>
    <t>9763-20170724T115428.961997900.bin</t>
  </si>
  <si>
    <t>-604.775697476924 39.0447299477435 -92.916876463093</t>
  </si>
  <si>
    <t>-624.690363270573 34.212373231923 -201.717317135151</t>
  </si>
  <si>
    <t>-638.501763944726 30.7017170626766 -293.492918731768</t>
  </si>
  <si>
    <t>-650.736298303479 27.6734649408929 -376.43437688165</t>
  </si>
  <si>
    <t>-662.162968576045 24.8070979078175 -459.496719297731</t>
  </si>
  <si>
    <t>-677.980147542226 20.7821361902688 -581.063705144496</t>
  </si>
  <si>
    <t>-669.584781670582 22.2468594746142 -658.958426272452</t>
  </si>
  <si>
    <t>-671.593455774692 53.8897082365722 -528.686783907108</t>
  </si>
  <si>
    <t>-654.791860757006 207.774115282488 -509.320299661029</t>
  </si>
  <si>
    <t>-591.804186033449 237.978820452845 -236.009451818785</t>
  </si>
  <si>
    <t>-360.846754953395 236.666418783854 -260.616014136325</t>
  </si>
  <si>
    <t>-613.537140696086 131.065429676634 -97.0990602266734</t>
  </si>
  <si>
    <t>-632.772639922212 146.295786516328 317.751067312871</t>
  </si>
  <si>
    <t>-667.557880664762 181.746016583092 778.166824790622</t>
  </si>
  <si>
    <t>-516.710808579813 183.509668442518 834.076505095006</t>
  </si>
  <si>
    <t>-600.699783749917 -70.1646222767122 323.068761415283</t>
  </si>
  <si>
    <t>-655.861701776977 -109.101197026471 781.24937377045</t>
  </si>
  <si>
    <t>-501.495560466677 -124.758196783762 823.790781089726</t>
  </si>
  <si>
    <t>9763-20170724T115429.031942700.bin</t>
  </si>
  <si>
    <t>-604.740522448285 39.1205022896099 -92.8929532995865</t>
  </si>
  <si>
    <t>-624.800490360975 34.2684292204874 -201.665842827322</t>
  </si>
  <si>
    <t>-638.624670293739 30.725488795809 -293.438254856566</t>
  </si>
  <si>
    <t>-650.826817420504 27.6606927520372 -376.383129288985</t>
  </si>
  <si>
    <t>-662.177137520102 24.7494590622453 -459.454375144782</t>
  </si>
  <si>
    <t>-677.834505507153 20.6492040556084 -581.039646665801</t>
  </si>
  <si>
    <t>-669.457346577976 22.1163098628242 -658.936111202733</t>
  </si>
  <si>
    <t>-671.497563335299 53.7894176555578 -528.67717873261</t>
  </si>
  <si>
    <t>-654.624976039183 207.665787568584 -509.283655450354</t>
  </si>
  <si>
    <t>-591.913803445271 237.982634648885 -235.921531809252</t>
  </si>
  <si>
    <t>-361.022607620033 236.506547457451 -261.132689572966</t>
  </si>
  <si>
    <t>-613.531746501492 131.109079312367 -97.0650650327136</t>
  </si>
  <si>
    <t>-632.67945263247 146.287252496217 317.791027220274</t>
  </si>
  <si>
    <t>-667.582714034015 181.739561894005 778.199006298796</t>
  </si>
  <si>
    <t>-516.734449552488 183.326306484736 834.110697555767</t>
  </si>
  <si>
    <t>-600.555615748576 -69.9529422205526 323.110238881357</t>
  </si>
  <si>
    <t>-655.863967042677 -109.075306340357 781.238611112608</t>
  </si>
  <si>
    <t>-501.438235611846 -124.226765728063 823.746889678345</t>
  </si>
  <si>
    <t>9763-20170724T115429.064027300.bin</t>
  </si>
  <si>
    <t>-604.707369710058 39.1461551654807 -92.8736617317579</t>
  </si>
  <si>
    <t>-624.819874780127 34.2873864469159 -201.636671340725</t>
  </si>
  <si>
    <t>-638.643604531333 30.7220592605113 -293.408186046728</t>
  </si>
  <si>
    <t>-650.827429614613 27.6302732811498 -376.354874530278</t>
  </si>
  <si>
    <t>-662.14168178911 24.6844597921931 -459.42971322972</t>
  </si>
  <si>
    <t>-677.726839837808 20.5250833411451 -581.022173718006</t>
  </si>
  <si>
    <t>-669.350470394717 21.9786517365135 -658.919135458373</t>
  </si>
  <si>
    <t>-671.410407073267 53.6909879697271 -528.673544962091</t>
  </si>
  <si>
    <t>-654.515582627124 207.568003057697 -509.314536450961</t>
  </si>
  <si>
    <t>-591.925853920698 237.819255996764 -235.917488846065</t>
  </si>
  <si>
    <t>-361.043991402858 236.388077944408 -261.216531978335</t>
  </si>
  <si>
    <t>-613.500091594677 131.132198209746 -97.0434600060805</t>
  </si>
  <si>
    <t>-632.612310517542 146.273263851059 317.815658094747</t>
  </si>
  <si>
    <t>-667.577458896141 181.753461922856 778.214886161487</t>
  </si>
  <si>
    <t>-516.729251682348 183.395179481217 834.124956773314</t>
  </si>
  <si>
    <t>-600.487760526102 -69.8985300650413 323.126760512853</t>
  </si>
  <si>
    <t>-655.860039449314 -109.077187524825 781.236144900349</t>
  </si>
  <si>
    <t>-501.432441345372 -124.208425770526 823.744853500988</t>
  </si>
  <si>
    <t>9763-20170724T115429.128200500.bin</t>
  </si>
  <si>
    <t>-604.63335524166 39.1049903047076 -92.8398105195454</t>
  </si>
  <si>
    <t>-624.865854646825 34.2454746451047 -201.580404001978</t>
  </si>
  <si>
    <t>-638.714835213388 30.644480611465 -293.346744603083</t>
  </si>
  <si>
    <t>-650.89127181257 27.5058436387362 -376.292669703665</t>
  </si>
  <si>
    <t>-662.168112742776 24.497824307012 -459.370473773003</t>
  </si>
  <si>
    <t>-677.665667034583 20.230462015508 -580.970323507162</t>
  </si>
  <si>
    <t>-669.28561439536 21.6089188014844 -658.868390474156</t>
  </si>
  <si>
    <t>-671.372374827854 53.4430078492528 -528.648660270146</t>
  </si>
  <si>
    <t>-654.441654572886 207.320293835802 -509.33624187071</t>
  </si>
  <si>
    <t>-591.908971639488 237.606784463626 -235.929875037206</t>
  </si>
  <si>
    <t>-361.056815980875 236.296525357494 -261.505006556994</t>
  </si>
  <si>
    <t>-613.461313375475 131.060281638125 -96.9990741538137</t>
  </si>
  <si>
    <t>-632.567622466512 146.179265644033 317.861109591218</t>
  </si>
  <si>
    <t>-667.574363686979 181.750863560099 778.254374680212</t>
  </si>
  <si>
    <t>-516.727625354505 183.45561288893 834.166541218173</t>
  </si>
  <si>
    <t>-600.357645920619 -69.8237282521593 323.159302608064</t>
  </si>
  <si>
    <t>-655.814094309308 -109.092049026732 781.246226931524</t>
  </si>
  <si>
    <t>-501.419288600622 -124.393571799055 823.812932843474</t>
  </si>
  <si>
    <t>9763-20170724T115429.166307800.bin</t>
  </si>
  <si>
    <t>-604.609090244394 39.0402543585758 -92.8219726892137</t>
  </si>
  <si>
    <t>-624.906116410047 34.1733318110946 -201.550356135577</t>
  </si>
  <si>
    <t>-638.774613267876 30.5526295092384 -293.312967862482</t>
  </si>
  <si>
    <t>-650.954920493559 27.3899710856624 -376.257438210241</t>
  </si>
  <si>
    <t>-662.221726356779 24.3519861241764 -459.335472308373</t>
  </si>
  <si>
    <t>-677.68971138448 20.0331665285057 -580.93742052163</t>
  </si>
  <si>
    <t>-669.29800918274 21.3601986272222 -658.834883525497</t>
  </si>
  <si>
    <t>-671.402793589318 53.2678935864615 -528.628905061166</t>
  </si>
  <si>
    <t>-654.465260167094 207.146484282327 -509.349378950942</t>
  </si>
  <si>
    <t>-591.902279927622 237.514021693792 -235.959000513946</t>
  </si>
  <si>
    <t>-361.071652828028 236.293648100962 -261.732285742026</t>
  </si>
  <si>
    <t>-613.486605876287 130.986833648545 -96.978436713406</t>
  </si>
  <si>
    <t>-632.552678123647 146.105727174404 317.883642156722</t>
  </si>
  <si>
    <t>-667.565872013645 181.759165110757 778.272217747432</t>
  </si>
  <si>
    <t>-516.717831709088 183.547998937374 834.17820067074</t>
  </si>
  <si>
    <t>-600.296199236478 -69.8089360249519 323.175915749161</t>
  </si>
  <si>
    <t>-655.806985483871 -109.097504704427 781.248532430885</t>
  </si>
  <si>
    <t>-501.415852060191 -124.421701364828 823.820513429126</t>
  </si>
  <si>
    <t>9763-20170724T115429.229473900.bin</t>
  </si>
  <si>
    <t>-604.669683515233 38.8771253383022 -92.779463085707</t>
  </si>
  <si>
    <t>-625.093116239 34.0157138644483 -201.484381669243</t>
  </si>
  <si>
    <t>-639.007806797235 30.3546908229564 -293.238408078843</t>
  </si>
  <si>
    <t>-651.206088230771 27.1368863607777 -376.178093960174</t>
  </si>
  <si>
    <t>-662.467282883426 24.0244744021825 -459.254140657297</t>
  </si>
  <si>
    <t>-677.901436781306 19.575097461433 -580.85554999525</t>
  </si>
  <si>
    <t>-669.458470527439 20.8032167654837 -658.749212902533</t>
  </si>
  <si>
    <t>-671.608500964242 52.8662413387051 -528.58381025213</t>
  </si>
  <si>
    <t>-654.629532286367 206.755161680373 -509.41753555994</t>
  </si>
  <si>
    <t>-591.900567164176 237.251335646557 -236.079471659406</t>
  </si>
  <si>
    <t>-361.130493959222 236.155686191645 -262.395070490863</t>
  </si>
  <si>
    <t>-613.632888099735 130.776299354041 -96.9315312959819</t>
  </si>
  <si>
    <t>-632.632222381329 145.871942781461 317.934403503754</t>
  </si>
  <si>
    <t>-667.589418835159 181.700991385912 778.318491715781</t>
  </si>
  <si>
    <t>-516.737053932762 183.231940757901 834.220474200819</t>
  </si>
  <si>
    <t>-600.136660472399 -69.7931488573599 323.211191811023</t>
  </si>
  <si>
    <t>-655.815643526841 -109.113482562277 781.242917416775</t>
  </si>
  <si>
    <t>-501.387729742718 -124.165821299459 823.778443447889</t>
  </si>
  <si>
    <t>9763-20170724T115429.271586200.bin</t>
  </si>
  <si>
    <t>-604.686489481333 38.7787527020898 -92.7590635354741</t>
  </si>
  <si>
    <t>-625.172317682705 33.9148996988365 -201.452028861175</t>
  </si>
  <si>
    <t>-639.104100733107 30.2315296656589 -293.202713216539</t>
  </si>
  <si>
    <t>-651.30357234154 26.9854749467954 -376.140934772192</t>
  </si>
  <si>
    <t>-662.552054923321 23.8358074427413 -459.217371438656</t>
  </si>
  <si>
    <t>-677.952194522621 19.3223334506961 -580.820726012123</t>
  </si>
  <si>
    <t>-669.472430088774 20.4943701633229 -658.711251110281</t>
  </si>
  <si>
    <t>-671.663362075799 52.6409621998553 -528.566130491029</t>
  </si>
  <si>
    <t>-654.638522832498 206.538338680065 -509.474362852603</t>
  </si>
  <si>
    <t>-591.811172628032 237.160206015666 -236.172983969203</t>
  </si>
  <si>
    <t>-361.082420580821 235.953762676396 -262.843524640081</t>
  </si>
  <si>
    <t>-613.666653251398 130.67796346376 -96.9111509526299</t>
  </si>
  <si>
    <t>-632.620556352554 145.763214407837 317.957176597882</t>
  </si>
  <si>
    <t>-667.59191497097 181.682544632819 778.338142977924</t>
  </si>
  <si>
    <t>-516.738478861994 183.163207066367 834.238620025596</t>
  </si>
  <si>
    <t>-600.088092920619 -69.8266577628387 323.2272959478</t>
  </si>
  <si>
    <t>-655.831365305877 -109.126837212686 781.238157185199</t>
  </si>
  <si>
    <t>-501.423730569774 -124.43511758508 823.755932595004</t>
  </si>
  <si>
    <t>9763-20170724T115429.327307500.bin</t>
  </si>
  <si>
    <t>-604.610478198003 38.6117678259707 -92.7487238643672</t>
  </si>
  <si>
    <t>-625.186290316922 33.753523097196 -201.424997549586</t>
  </si>
  <si>
    <t>-639.141887674054 30.0229999786227 -293.1700332285</t>
  </si>
  <si>
    <t>-651.34255383956 26.7132018244374 -376.105801657427</t>
  </si>
  <si>
    <t>-662.572060531164 23.4777376438074 -459.181417808223</t>
  </si>
  <si>
    <t>-677.922794671162 18.8140441729615 -580.785397346432</t>
  </si>
  <si>
    <t>-669.35638911662 19.8578905483575 -658.668245259334</t>
  </si>
  <si>
    <t>-671.624503671495 52.1976861711323 -528.573161410998</t>
  </si>
  <si>
    <t>-654.51141021321 206.098455259451 -509.612972812592</t>
  </si>
  <si>
    <t>-591.551508685151 236.97294385132 -236.370654200604</t>
  </si>
  <si>
    <t>-360.897528327762 235.602869804429 -263.672739770059</t>
  </si>
  <si>
    <t>-613.556752093225 130.545618655682 -96.8768165313177</t>
  </si>
  <si>
    <t>-632.448091949937 145.633899476473 317.994260365966</t>
  </si>
  <si>
    <t>-667.585167028968 181.681079511885 778.360622832571</t>
  </si>
  <si>
    <t>-516.729942380307 183.270205160222 834.253332403438</t>
  </si>
  <si>
    <t>-599.992646918051 -69.9267801634919 323.237951156104</t>
  </si>
  <si>
    <t>-655.849458377711 -109.187948655984 781.235164931027</t>
  </si>
  <si>
    <t>-501.482229367523 -124.962542522977 823.729184700438</t>
  </si>
  <si>
    <t>9763-20170724T115429.359392100.bin</t>
  </si>
  <si>
    <t>-604.587223139321 38.5652839052736 -92.7382606425301</t>
  </si>
  <si>
    <t>-625.189267067251 33.7247284114899 -201.410384121816</t>
  </si>
  <si>
    <t>-639.139423158191 29.9809992228645 -293.155776267395</t>
  </si>
  <si>
    <t>-651.324412991732 26.6480691427228 -376.092749576467</t>
  </si>
  <si>
    <t>-662.527607792651 23.3778975642235 -459.170514925496</t>
  </si>
  <si>
    <t>-677.82836215522 18.6505510960719 -580.778352405692</t>
  </si>
  <si>
    <t>-669.215406120891 19.6352244746463 -658.656861661467</t>
  </si>
  <si>
    <t>-671.537284936124 52.0614620432486 -528.582902373369</t>
  </si>
  <si>
    <t>-654.377327060212 205.96490506675 -509.701268559453</t>
  </si>
  <si>
    <t>-591.51753044992 236.945341607495 -236.447775239338</t>
  </si>
  <si>
    <t>-360.90033869647 235.492776854439 -264.054335883119</t>
  </si>
  <si>
    <t>-613.515927835648 130.506750700247 -96.8571342882956</t>
  </si>
  <si>
    <t>-632.412670289073 145.593566505733 318.01386170046</t>
  </si>
  <si>
    <t>-667.602892162788 181.65143102858 778.37202301417</t>
  </si>
  <si>
    <t>-516.744358194523 183.144235153017 834.258408052577</t>
  </si>
  <si>
    <t>-599.995415512648 -69.9399310298566 323.235436591494</t>
  </si>
  <si>
    <t>-655.852873050587 -109.179363346825 781.23335648928</t>
  </si>
  <si>
    <t>-501.466675476806 -124.807249527793 823.712754229747</t>
  </si>
  <si>
    <t>9763-20170724T115429.428627800.bin</t>
  </si>
  <si>
    <t>-604.528133315917 38.5359914107703 -92.735028499516</t>
  </si>
  <si>
    <t>-625.168413297808 33.7094960691513 -201.40047773177</t>
  </si>
  <si>
    <t>-639.102923866946 29.9417449484431 -293.147296316216</t>
  </si>
  <si>
    <t>-651.254963017047 26.5729948065659 -376.087723267239</t>
  </si>
  <si>
    <t>-662.406404492464 23.2524842408975 -459.170588822881</t>
  </si>
  <si>
    <t>-677.611203289609 18.4346471967401 -580.786778842139</t>
  </si>
  <si>
    <t>-668.91430999275 19.314226503353 -658.657224995812</t>
  </si>
  <si>
    <t>-671.335824586147 51.8846609266996 -528.614460545507</t>
  </si>
  <si>
    <t>-654.1189075726 205.801642381846 -509.860138853547</t>
  </si>
  <si>
    <t>-591.543758131312 236.953862494299 -236.56093963293</t>
  </si>
  <si>
    <t>-360.965262501123 235.28536313738 -264.476837175409</t>
  </si>
  <si>
    <t>-613.386787674919 130.490310441648 -96.8530592848624</t>
  </si>
  <si>
    <t>-632.386734736574 145.519234800082 318.015258773489</t>
  </si>
  <si>
    <t>-667.59118225027 181.661806716211 778.381593219457</t>
  </si>
  <si>
    <t>-516.730165786607 183.225151150948 834.259504868385</t>
  </si>
  <si>
    <t>-599.979939308109 -69.9409983982453 323.237182222818</t>
  </si>
  <si>
    <t>-655.861650022778 -109.165405865717 781.238011147515</t>
  </si>
  <si>
    <t>-501.458931400525 -124.682319627196 823.698048061406</t>
  </si>
  <si>
    <t>9763-20170724T115429.462719500.bin</t>
  </si>
  <si>
    <t>-604.482817804607 38.5860530914683 -92.7345962510728</t>
  </si>
  <si>
    <t>-625.132117334882 33.7559146153037 -201.398236297683</t>
  </si>
  <si>
    <t>-639.059191025775 29.9748756411848 -293.145479083911</t>
  </si>
  <si>
    <t>-651.198620842474 26.5900087480632 -376.087175002435</t>
  </si>
  <si>
    <t>-662.331610085426 23.2488442024223 -459.171647289506</t>
  </si>
  <si>
    <t>-677.502945376327 18.3963288439811 -580.790725836794</t>
  </si>
  <si>
    <t>-668.778425075393 19.2324477557829 -658.658510578022</t>
  </si>
  <si>
    <t>-671.227422722502 51.8615005511251 -528.628068377873</t>
  </si>
  <si>
    <t>-653.986562746373 205.773214549158 -509.89901313505</t>
  </si>
  <si>
    <t>-591.571969552471 236.920111245028 -236.562428804841</t>
  </si>
  <si>
    <t>-361.001811045442 235.23656079469 -264.546211227359</t>
  </si>
  <si>
    <t>-613.322022923177 130.541992451714 -96.8534072874616</t>
  </si>
  <si>
    <t>-632.351668617038 145.541976308887 318.014639027019</t>
  </si>
  <si>
    <t>-667.586084575312 181.683653711872 778.379285769332</t>
  </si>
  <si>
    <t>-516.725360472821 183.286165271882 834.256807020638</t>
  </si>
  <si>
    <t>-599.968877070965 -69.8951050064356 323.240929111776</t>
  </si>
  <si>
    <t>-655.875595861539 -109.132766105409 781.238014730365</t>
  </si>
  <si>
    <t>-501.421452838202 -124.227750847541 823.663083744745</t>
  </si>
  <si>
    <t>9763-20170724T115429.528423000.bin</t>
  </si>
  <si>
    <t>-604.338195582392 38.7094613619336 -92.733926425013</t>
  </si>
  <si>
    <t>-624.955872678801 33.8666224171279 -201.402943184825</t>
  </si>
  <si>
    <t>-638.835624124497 30.0772375709926 -293.15713393856</t>
  </si>
  <si>
    <t>-650.923920380026 26.6858272659595 -376.105832822282</t>
  </si>
  <si>
    <t>-661.997443632301 23.3383120375881 -459.197970478704</t>
  </si>
  <si>
    <t>-677.072482109069 18.47696667378 -580.82887317765</t>
  </si>
  <si>
    <t>-668.279949465183 19.2681801777831 -658.689507698653</t>
  </si>
  <si>
    <t>-670.818914421895 51.9460798917232 -528.665911322245</t>
  </si>
  <si>
    <t>-653.489674139137 205.84377794954 -509.886575523327</t>
  </si>
  <si>
    <t>-591.630603926572 236.911334936048 -236.414892327506</t>
  </si>
  <si>
    <t>-361.079701967941 235.138001695443 -264.551468879085</t>
  </si>
  <si>
    <t>-613.106113130911 130.675477941023 -96.8626220306593</t>
  </si>
  <si>
    <t>-632.272789768311 145.647832955826 318.000073932913</t>
  </si>
  <si>
    <t>-667.586080352747 181.713940443854 778.360379444798</t>
  </si>
  <si>
    <t>-516.724717295732 183.202592785777 834.239252840728</t>
  </si>
  <si>
    <t>-599.944514961795 -69.8387243689606 323.248964680974</t>
  </si>
  <si>
    <t>-655.894819086364 -109.140148928726 781.236125228714</t>
  </si>
  <si>
    <t>-501.44021468366 -124.357439264276 823.615825949608</t>
  </si>
  <si>
    <t>9763-20170724T115429.560509100.bin</t>
  </si>
  <si>
    <t>-604.230269690939 38.7775973392286 -92.733496276902</t>
  </si>
  <si>
    <t>-624.817528525185 33.9233071434319 -201.407817078751</t>
  </si>
  <si>
    <t>-638.655914548757 30.126101272416 -293.167783017241</t>
  </si>
  <si>
    <t>-650.700516288789 26.7280720803906 -376.122856541483</t>
  </si>
  <si>
    <t>-661.723834172482 23.3746910969337 -459.221370367057</t>
  </si>
  <si>
    <t>-676.718467455233 18.5050846500874 -580.861723096346</t>
  </si>
  <si>
    <t>-667.870128093571 19.2796682603102 -658.716082075786</t>
  </si>
  <si>
    <t>-670.502073272484 51.9775972179307 -528.696690024107</t>
  </si>
  <si>
    <t>-653.230511535161 205.888683308967 -509.919208878927</t>
  </si>
  <si>
    <t>-591.624655711716 236.888927475197 -236.382541693696</t>
  </si>
  <si>
    <t>-361.081530086999 235.014162168169 -264.57611692719</t>
  </si>
  <si>
    <t>-612.965398590708 130.750249547741 -96.8729075387608</t>
  </si>
  <si>
    <t>-632.216165471909 145.713929576241 317.986279648663</t>
  </si>
  <si>
    <t>-667.56852210439 181.755648947549 778.342810714624</t>
  </si>
  <si>
    <t>-516.708273880143 183.378699459968 834.221011732344</t>
  </si>
  <si>
    <t>-599.930537920327 -69.8222285372881 323.256015364216</t>
  </si>
  <si>
    <t>-655.908618899225 -109.15952145121 781.235751634259</t>
  </si>
  <si>
    <t>-501.466147520295 -124.567267390089 823.590812823764</t>
  </si>
  <si>
    <t>9763-20170724T115429.629714400.bin</t>
  </si>
  <si>
    <t>-604.02608121264 38.9029251562999 -92.7361765153706</t>
  </si>
  <si>
    <t>-624.548199226159 34.0393173399709 -201.422381618522</t>
  </si>
  <si>
    <t>-638.29482840165 30.2418057152295 -293.196298246491</t>
  </si>
  <si>
    <t>-650.241585900567 26.8461305482313 -376.165355737555</t>
  </si>
  <si>
    <t>-661.151959989029 23.4976106982499 -459.279053255623</t>
  </si>
  <si>
    <t>-675.964891164464 18.6374036967368 -580.942112480909</t>
  </si>
  <si>
    <t>-666.988958052218 19.4168712160094 -658.781866687168</t>
  </si>
  <si>
    <t>-669.8355293756 52.1057359591548 -528.764161738001</t>
  </si>
  <si>
    <t>-652.649815615311 206.020362374559 -509.987066170216</t>
  </si>
  <si>
    <t>-591.768386569425 237.012575897933 -236.287313687823</t>
  </si>
  <si>
    <t>-361.264635168688 234.999058451289 -264.791964138499</t>
  </si>
  <si>
    <t>-612.742858874147 130.888654175416 -96.9004957558985</t>
  </si>
  <si>
    <t>-632.146731281636 145.830683004692 317.952229574427</t>
  </si>
  <si>
    <t>-667.560254154095 181.807362663542 778.307063914248</t>
  </si>
  <si>
    <t>-516.704780973779 183.395121988995 834.199210158931</t>
  </si>
  <si>
    <t>-599.878841683348 -69.7725096560787 323.253117403234</t>
  </si>
  <si>
    <t>-655.935914347867 -109.137360041876 781.2313000586</t>
  </si>
  <si>
    <t>-501.471400250306 -124.499581722873 823.522415462795</t>
  </si>
  <si>
    <t>9763-20170724T115429.660796600.bin</t>
  </si>
  <si>
    <t>-603.931826411641 38.954235173524 -92.7460374827377</t>
  </si>
  <si>
    <t>-624.415091277262 34.0864319062791 -201.439301395983</t>
  </si>
  <si>
    <t>-638.100631982532 30.2951479587396 -293.222591145011</t>
  </si>
  <si>
    <t>-649.980712312908 26.9086139090552 -376.201654707075</t>
  </si>
  <si>
    <t>-660.812723654931 23.5727613409845 -459.326219244119</t>
  </si>
  <si>
    <t>-675.498183081216 18.7347450625755 -581.005392858105</t>
  </si>
  <si>
    <t>-666.446257695594 19.5365427834386 -658.836251617411</t>
  </si>
  <si>
    <t>-669.430290957922 52.1935312933845 -528.814187049952</t>
  </si>
  <si>
    <t>-652.268487272768 206.106086129792 -509.98452280286</t>
  </si>
  <si>
    <t>-591.758481789056 237.161854224443 -236.209564803215</t>
  </si>
  <si>
    <t>-361.281920500565 235.114338332673 -264.930528555675</t>
  </si>
  <si>
    <t>-612.650348080115 130.954088356354 -96.9144892918314</t>
  </si>
  <si>
    <t>-632.131026024447 145.88950156504 317.934911167612</t>
  </si>
  <si>
    <t>-667.563503693586 181.819237368063 778.295036001068</t>
  </si>
  <si>
    <t>-516.710798877179 183.355904847104 834.195883840552</t>
  </si>
  <si>
    <t>-599.850646974294 -69.7625166892742 323.248711549753</t>
  </si>
  <si>
    <t>-655.944752206411 -109.161128768191 781.22716442214</t>
  </si>
  <si>
    <t>-501.498687369789 -124.755373504677 823.500774812178</t>
  </si>
  <si>
    <t>9763-20170724T115429.729031500.bin</t>
  </si>
  <si>
    <t>-603.711608162275 38.9599714255519 -92.7706723979152</t>
  </si>
  <si>
    <t>-624.064576107751 34.0806514652002 -201.487940317675</t>
  </si>
  <si>
    <t>-637.61670799724 30.2979510088446 -293.291373888086</t>
  </si>
  <si>
    <t>-649.366576886055 26.9259430082432 -376.289637169027</t>
  </si>
  <si>
    <t>-660.058448594951 23.6115044312173 -459.433061222301</t>
  </si>
  <si>
    <t>-674.528090674288 18.8123848277958 -581.139785843522</t>
  </si>
  <si>
    <t>-665.347872283471 19.6818113165923 -658.954785837057</t>
  </si>
  <si>
    <t>-668.576000990295 52.2543518116818 -528.924329668564</t>
  </si>
  <si>
    <t>-651.485148351323 206.162443011728 -509.993599234818</t>
  </si>
  <si>
    <t>-591.877114733902 237.33221045548 -236.033881738928</t>
  </si>
  <si>
    <t>-361.467106843286 235.341855354947 -265.287847036273</t>
  </si>
  <si>
    <t>-612.411912151512 130.913027347003 -96.936480183226</t>
  </si>
  <si>
    <t>-632.089249843421 145.920060957903 317.901060462004</t>
  </si>
  <si>
    <t>-667.546647389727 181.881090787274 778.257542667202</t>
  </si>
  <si>
    <t>-516.701428750979 183.443442268758 834.177995981385</t>
  </si>
  <si>
    <t>-599.887442646236 -69.8413319163024 323.240741759158</t>
  </si>
  <si>
    <t>-655.956223191937 -109.148642920423 781.221556106859</t>
  </si>
  <si>
    <t>-501.483218439942 -124.587494229202 823.453685669699</t>
  </si>
  <si>
    <t>9763-20170724T115429.763122500.bin</t>
  </si>
  <si>
    <t>-603.533486288388 38.969987206018 -92.7803787255175</t>
  </si>
  <si>
    <t>-623.789127855376 34.0822175446917 -201.515441842742</t>
  </si>
  <si>
    <t>-637.266396606354 30.3123042154452 -293.330356159796</t>
  </si>
  <si>
    <t>-648.951210862086 26.9599777073545 -376.338581767814</t>
  </si>
  <si>
    <t>-659.580633106514 23.6732781203082 -459.49109636913</t>
  </si>
  <si>
    <t>-673.961447503133 18.9244307052847 -581.210338242304</t>
  </si>
  <si>
    <t>-664.727342742355 19.830657837083 -659.018589413572</t>
  </si>
  <si>
    <t>-668.071327864154 52.3446577846073 -528.973980968736</t>
  </si>
  <si>
    <t>-651.107372467204 206.257106796856 -509.983819112071</t>
  </si>
  <si>
    <t>-591.96793254017 237.502905917419 -235.931143588484</t>
  </si>
  <si>
    <t>-361.605016823292 235.500563109397 -265.552768727995</t>
  </si>
  <si>
    <t>-612.20112685028 130.907492065092 -96.9587997885983</t>
  </si>
  <si>
    <t>-632.031446031644 145.97677718461 317.869187875401</t>
  </si>
  <si>
    <t>-667.536510161046 181.91957814869 778.227177406443</t>
  </si>
  <si>
    <t>-516.697884675548 183.476734009264 834.165688933701</t>
  </si>
  <si>
    <t>-599.924404940056 -69.9185031021509 323.231027119848</t>
  </si>
  <si>
    <t>-655.963125984488 -109.138061847469 781.221913180008</t>
  </si>
  <si>
    <t>-501.45425799994 -124.283629356686 823.429059068642</t>
  </si>
  <si>
    <t>9763-20170724T115429.828303400.bin</t>
  </si>
  <si>
    <t>-603.035363825458 39.0211087337429 -92.7782615507689</t>
  </si>
  <si>
    <t>-623.09980883621 34.1293126080113 -201.548619826865</t>
  </si>
  <si>
    <t>-636.443406275344 30.3984331190391 -293.384674860055</t>
  </si>
  <si>
    <t>-648.01815861548 27.097964927784 -376.410352577031</t>
  </si>
  <si>
    <t>-658.547768624949 23.8814980116067 -459.578332616868</t>
  </si>
  <si>
    <t>-672.793892048414 19.2553198373621 -581.318226755898</t>
  </si>
  <si>
    <t>-663.511811210315 20.2482303125371 -659.119640700924</t>
  </si>
  <si>
    <t>-667.032978155764 52.6221405531892 -529.033287540689</t>
  </si>
  <si>
    <t>-650.456637786072 206.549877262897 -509.837885879154</t>
  </si>
  <si>
    <t>-592.224466650988 237.95651424972 -235.609473159601</t>
  </si>
  <si>
    <t>-361.935475246173 235.818110650936 -265.791258965866</t>
  </si>
  <si>
    <t>-611.706521181868 130.970077756988 -96.9791376553702</t>
  </si>
  <si>
    <t>-631.821358746118 146.104541350021 317.832764403809</t>
  </si>
  <si>
    <t>-667.496392372844 182.006352143482 778.173517153853</t>
  </si>
  <si>
    <t>-516.67889566195 183.761510481532 834.163065634606</t>
  </si>
  <si>
    <t>-599.837430598436 -70.0565040044667 323.21938317364</t>
  </si>
  <si>
    <t>-655.956753386194 -109.197663871898 781.224565878463</t>
  </si>
  <si>
    <t>-501.484316507827 -124.707986410461 823.432622557595</t>
  </si>
  <si>
    <t>9763-20170724T115429.861392700.bin</t>
  </si>
  <si>
    <t>-602.720315248164 39.0599014919694 -92.7687743520323</t>
  </si>
  <si>
    <t>-622.698633917097 34.1608715902582 -201.554733434589</t>
  </si>
  <si>
    <t>-635.9567342943 30.4626144628719 -293.404469004619</t>
  </si>
  <si>
    <t>-647.448675002882 27.2064040065875 -376.443284381012</t>
  </si>
  <si>
    <t>-657.889658000315 24.0495272024687 -459.624857400049</t>
  </si>
  <si>
    <t>-671.999507032811 19.5275033057762 -581.384396236601</t>
  </si>
  <si>
    <t>-662.690829877435 20.5892383979885 -659.181821900947</t>
  </si>
  <si>
    <t>-666.334066213052 52.8491060075612 -529.060195453936</t>
  </si>
  <si>
    <t>-649.937526588312 206.785981070861 -509.75781255897</t>
  </si>
  <si>
    <t>-592.199644047484 238.131949158737 -235.418155972319</t>
  </si>
  <si>
    <t>-361.901477238573 236.092998364737 -265.536712426401</t>
  </si>
  <si>
    <t>-611.422697912862 130.980382000872 -96.9735453234258</t>
  </si>
  <si>
    <t>-631.666169485071 146.161693819868 317.830467191573</t>
  </si>
  <si>
    <t>-667.488439994663 182.030960515576 778.153967725076</t>
  </si>
  <si>
    <t>-516.681133612217 183.803812728296 834.170419461809</t>
  </si>
  <si>
    <t>-599.694272308597 -70.0905914361886 323.226759137193</t>
  </si>
  <si>
    <t>-655.947611067156 -109.18428544753 781.225447090829</t>
  </si>
  <si>
    <t>-501.437831239529 -124.361964186807 823.417740198454</t>
  </si>
  <si>
    <t>9763-20170724T115429.927070800.bin</t>
  </si>
  <si>
    <t>-602.024638335819 39.1432624925305 -92.7266966038676</t>
  </si>
  <si>
    <t>-621.835571613215 34.2128075292733 -201.541807079987</t>
  </si>
  <si>
    <t>-634.934809230253 30.5366397773494 -293.415227045723</t>
  </si>
  <si>
    <t>-646.275507465662 27.3180577555067 -376.476373714904</t>
  </si>
  <si>
    <t>-656.557011700554 24.2176620660653 -459.679804246996</t>
  </si>
  <si>
    <t>-670.42461019415 19.7984117967071 -581.471087645502</t>
  </si>
  <si>
    <t>-661.071526671066 20.9987132317049 -659.261107391315</t>
  </si>
  <si>
    <t>-664.921195805956 53.0750511748774 -529.101029633125</t>
  </si>
  <si>
    <t>-648.860406216537 207.012733876477 -509.540372937552</t>
  </si>
  <si>
    <t>-591.895963537774 237.936963670706 -234.99111944989</t>
  </si>
  <si>
    <t>-361.503408588781 236.491689202845 -264.413929039631</t>
  </si>
  <si>
    <t>-610.883144456259 131.024275525051 -96.9558994893891</t>
  </si>
  <si>
    <t>-631.342831144783 146.231285761456 317.836530316865</t>
  </si>
  <si>
    <t>-667.466474366705 182.067897640135 778.12812187812</t>
  </si>
  <si>
    <t>-516.674193446274 183.875962412158 834.183827630073</t>
  </si>
  <si>
    <t>-599.304654869815 -70.1825867997541 323.264568664708</t>
  </si>
  <si>
    <t>-655.942131740767 -109.196727376901 781.221748839628</t>
  </si>
  <si>
    <t>-501.449805943456 -124.582441268448 823.402689977653</t>
  </si>
  <si>
    <t>9763-20170724T115429.963167200.bin</t>
  </si>
  <si>
    <t>-601.616127097939 39.1851013127598 -92.7008173259853</t>
  </si>
  <si>
    <t>-621.37232073516 34.2366531177884 -201.524976518147</t>
  </si>
  <si>
    <t>-634.421323621073 30.5750661689829 -293.406128092723</t>
  </si>
  <si>
    <t>-645.714628217481 27.3806979165045 -376.47477571442</t>
  </si>
  <si>
    <t>-655.946586945949 24.3159791097012 -459.685695687004</t>
  </si>
  <si>
    <t>-669.73905704749 19.961803313771 -581.487668470501</t>
  </si>
  <si>
    <t>-660.379623174419 21.2327533899495 -659.27584718648</t>
  </si>
  <si>
    <t>-664.296132540283 53.2101445465225 -529.0933020877</t>
  </si>
  <si>
    <t>-648.351597999449 207.141487991119 -509.382788455996</t>
  </si>
  <si>
    <t>-591.60494931459 237.855009826193 -234.764821889819</t>
  </si>
  <si>
    <t>-361.185390313189 236.613449169824 -263.984862751987</t>
  </si>
  <si>
    <t>-610.557994715942 131.046226353152 -96.9385345074887</t>
  </si>
  <si>
    <t>-631.181319691924 146.253483210093 317.845800734461</t>
  </si>
  <si>
    <t>-667.45057816682 182.083148088286 778.122948333166</t>
  </si>
  <si>
    <t>-516.667062475283 183.9583392356 834.199999629627</t>
  </si>
  <si>
    <t>-599.125460582626 -70.2611777177408 323.283012536092</t>
  </si>
  <si>
    <t>-655.933382733796 -109.207012254265 781.219937850025</t>
  </si>
  <si>
    <t>-501.435462079024 -124.545211284422 823.397530467163</t>
  </si>
  <si>
    <t>9763-20170724T115430.029359700.bin</t>
  </si>
  <si>
    <t>-600.773213231192 39.1534379256209 -92.6701788991877</t>
  </si>
  <si>
    <t>-620.422265232032 34.1760591345403 -201.512464999064</t>
  </si>
  <si>
    <t>-633.406038952258 30.5398233748156 -293.403845590274</t>
  </si>
  <si>
    <t>-644.649854673601 27.3869804093199 -376.480734351864</t>
  </si>
  <si>
    <t>-654.841604690844 24.3833714097229 -459.698827482164</t>
  </si>
  <si>
    <t>-668.585160289133 20.1403742409223 -581.510355183743</t>
  </si>
  <si>
    <t>-659.245726302741 21.5122003864383 -659.299198031012</t>
  </si>
  <si>
    <t>-663.222507564765 53.3397780607352 -529.07667888086</t>
  </si>
  <si>
    <t>-647.723130647485 207.294952291933 -509.191134782686</t>
  </si>
  <si>
    <t>-590.797588755984 237.567709736488 -234.56120610691</t>
  </si>
  <si>
    <t>-360.326394596836 236.68163350039 -263.384499585346</t>
  </si>
  <si>
    <t>-609.854699154215 130.947018336302 -96.9002078368084</t>
  </si>
  <si>
    <t>-630.80803665574 146.200458543104 317.86594103184</t>
  </si>
  <si>
    <t>-667.441471183111 182.081181499738 778.110689095134</t>
  </si>
  <si>
    <t>-516.674903053639 183.951246778565 834.233513926595</t>
  </si>
  <si>
    <t>-598.739329512995 -70.4928209000218 323.310913069719</t>
  </si>
  <si>
    <t>-655.912445812586 -109.259606036864 781.221780730832</t>
  </si>
  <si>
    <t>-501.442487838791 -124.859813140607 823.405677543064</t>
  </si>
  <si>
    <t>9763-20170724T115430.064443400.bin</t>
  </si>
  <si>
    <t>-600.375617131013 39.1630281196244 -92.6425811440513</t>
  </si>
  <si>
    <t>-619.991605982701 34.1779935186646 -201.490417450536</t>
  </si>
  <si>
    <t>-632.965543359428 30.5470740033816 -293.383493340799</t>
  </si>
  <si>
    <t>-644.20762242901 27.4029966843709 -376.460901136384</t>
  </si>
  <si>
    <t>-654.40466524623 24.4130545103819 -459.678776417015</t>
  </si>
  <si>
    <t>-668.16373884375 20.1950424546033 -581.489394373689</t>
  </si>
  <si>
    <t>-658.8480310749 21.5953056411054 -659.280668183351</t>
  </si>
  <si>
    <t>-662.821760419758 53.383287374829 -529.046659289689</t>
  </si>
  <si>
    <t>-647.497722868031 207.3438411731 -509.080467038637</t>
  </si>
  <si>
    <t>-590.218278746186 237.248067836447 -234.483597956179</t>
  </si>
  <si>
    <t>-359.67512994653 236.802855243996 -262.735775678632</t>
  </si>
  <si>
    <t>-609.535342983488 130.951967647137 -96.875261042643</t>
  </si>
  <si>
    <t>-630.599869167087 146.181249744031 317.886015928127</t>
  </si>
  <si>
    <t>-667.424618216449 182.091231512185 778.110572682065</t>
  </si>
  <si>
    <t>-516.66578444972 184.059693563934 834.250885310514</t>
  </si>
  <si>
    <t>-598.511799303808 -70.5610531014472 323.326926360478</t>
  </si>
  <si>
    <t>-655.907373739554 -109.24960211747 781.219251657308</t>
  </si>
  <si>
    <t>-501.406097602264 -124.574403007852 823.389462348503</t>
  </si>
  <si>
    <t>9763-20170724T115430.129162700.bin</t>
  </si>
  <si>
    <t>-599.586890098728 39.2450932419943 -92.5733000538065</t>
  </si>
  <si>
    <t>-619.179063240408 34.2264464170225 -201.423958158349</t>
  </si>
  <si>
    <t>-632.134606105026 30.6129080003416 -293.320300370249</t>
  </si>
  <si>
    <t>-643.360068099754 27.5016287195474 -376.401166559745</t>
  </si>
  <si>
    <t>-653.540268686446 24.5618492034043 -459.622932010443</t>
  </si>
  <si>
    <t>-667.274146196483 20.4362884380052 -581.439497487376</t>
  </si>
  <si>
    <t>-658.002682898149 21.8954321986298 -659.23493903084</t>
  </si>
  <si>
    <t>-661.961513461058 53.5842592858769 -528.968362683058</t>
  </si>
  <si>
    <t>-646.580695245192 207.500745775422 -508.714242449191</t>
  </si>
  <si>
    <t>-588.72704517821 236.733544901088 -234.165642641277</t>
  </si>
  <si>
    <t>-357.999203529226 236.997022030398 -260.8697140588</t>
  </si>
  <si>
    <t>-608.914416284307 130.940750603306 -96.810790572461</t>
  </si>
  <si>
    <t>-630.282554909545 146.114741040762 317.937092570135</t>
  </si>
  <si>
    <t>-667.431111598823 182.044006781559 778.125644362875</t>
  </si>
  <si>
    <t>-516.680135239669 183.899384504431 834.290778614366</t>
  </si>
  <si>
    <t>-597.993143191441 -70.5756420179332 323.38979894337</t>
  </si>
  <si>
    <t>-655.91224843865 -109.243882463043 781.206858065396</t>
  </si>
  <si>
    <t>-501.410402194129 -124.683715853786 823.333042557967</t>
  </si>
  <si>
    <t>9763-20170724T115430.162249500.bin</t>
  </si>
  <si>
    <t>-599.151259238872 39.2736728307009 -92.5484723496842</t>
  </si>
  <si>
    <t>-618.702679251601 34.2437833636861 -201.40596143573</t>
  </si>
  <si>
    <t>-631.622733492415 30.6356401570185 -293.307463032976</t>
  </si>
  <si>
    <t>-642.815440181705 27.5346451965193 -376.393268090549</t>
  </si>
  <si>
    <t>-652.962091147646 24.6102757212868 -459.619636570176</t>
  </si>
  <si>
    <t>-666.645830960421 20.5129937887039 -581.442676309394</t>
  </si>
  <si>
    <t>-657.394602622933 21.9856724623157 -659.240307014602</t>
  </si>
  <si>
    <t>-661.344593630617 53.6489676040319 -528.962786490858</t>
  </si>
  <si>
    <t>-645.832954362017 207.544260950007 -508.632813619392</t>
  </si>
  <si>
    <t>-587.854227061114 236.601340621557 -234.091869852399</t>
  </si>
  <si>
    <t>-357.048011874781 236.923467973113 -260.10954370648</t>
  </si>
  <si>
    <t>-608.504146140263 130.952514019671 -96.7816116532679</t>
  </si>
  <si>
    <t>-630.099308803305 146.094681424901 317.955615428406</t>
  </si>
  <si>
    <t>-667.426857042076 182.053165257093 778.128494647603</t>
  </si>
  <si>
    <t>-516.679907651575 184.016442293774 834.300889043985</t>
  </si>
  <si>
    <t>-597.711859844083 -70.5962849629766 323.417739399571</t>
  </si>
  <si>
    <t>-655.914302152926 -109.258606505153 781.198118050357</t>
  </si>
  <si>
    <t>-501.408019033599 -124.704337224733 823.305853573817</t>
  </si>
  <si>
    <t>9763-20170724T115430.232959800.bin</t>
  </si>
  <si>
    <t>-598.257027008956 39.2929616978461 -92.5067590466806</t>
  </si>
  <si>
    <t>-617.698516735139 34.2701869136972 -201.38414660507</t>
  </si>
  <si>
    <t>-630.555017997399 30.6671686306597 -293.294836156438</t>
  </si>
  <si>
    <t>-641.701992426655 27.5704155005271 -376.38698564896</t>
  </si>
  <si>
    <t>-651.814520383191 24.6499666122299 -459.617574529069</t>
  </si>
  <si>
    <t>-665.461048185303 20.5579768854138 -581.445098271525</t>
  </si>
  <si>
    <t>-656.274487579316 22.0301148535823 -659.25035280003</t>
  </si>
  <si>
    <t>-660.151996740315 53.6922949989316 -528.964830172407</t>
  </si>
  <si>
    <t>-644.597403641822 207.579356186131 -508.624305676617</t>
  </si>
  <si>
    <t>-586.22676742318 236.124897960954 -234.112547895482</t>
  </si>
  <si>
    <t>-355.325990386079 236.322250205371 -259.278388536996</t>
  </si>
  <si>
    <t>-607.57976319871 131.033603694954 -96.7319530051795</t>
  </si>
  <si>
    <t>-629.618686470735 146.121822448284 317.983915565065</t>
  </si>
  <si>
    <t>-667.411005397027 182.108353637422 778.117895710528</t>
  </si>
  <si>
    <t>-516.677092054668 184.111529294729 834.323705513227</t>
  </si>
  <si>
    <t>-597.274235178824 -70.8456243823052 323.443234083702</t>
  </si>
  <si>
    <t>-655.889780707652 -109.293530825117 781.192844727492</t>
  </si>
  <si>
    <t>-501.42814217882 -125.15866046341 823.308323808848</t>
  </si>
  <si>
    <t>9763-20170724T115430.265049000.bin</t>
  </si>
  <si>
    <t>-597.879267309084 39.2809199994351 -92.4968781560054</t>
  </si>
  <si>
    <t>-617.247598616733 34.2705951296778 -201.387939013233</t>
  </si>
  <si>
    <t>-630.056711924812 30.6823811078827 -293.305777430472</t>
  </si>
  <si>
    <t>-641.166643192196 27.6012508105769 -376.403390306579</t>
  </si>
  <si>
    <t>-651.247732076776 24.698749483191 -459.638448233114</t>
  </si>
  <si>
    <t>-664.854517716013 20.6355922773068 -581.471485603079</t>
  </si>
  <si>
    <t>-655.704325323729 22.1102933351897 -659.280907877754</t>
  </si>
  <si>
    <t>-659.547578734976 53.7575660144191 -528.983267103932</t>
  </si>
  <si>
    <t>-643.967317610594 207.642016554985 -508.631846389664</t>
  </si>
  <si>
    <t>-585.448014470454 235.967266453214 -234.12906917552</t>
  </si>
  <si>
    <t>-354.531895745925 236.09710575411 -259.154144689108</t>
  </si>
  <si>
    <t>-607.121519770384 131.088798134788 -96.7240210840405</t>
  </si>
  <si>
    <t>-629.450799883927 146.120483952603 317.978326229703</t>
  </si>
  <si>
    <t>-667.394392878009 182.151976546154 778.099748203772</t>
  </si>
  <si>
    <t>-516.670198520608 184.236250938945 834.328781678749</t>
  </si>
  <si>
    <t>-597.180463226522 -71.0147809005903 323.439260787225</t>
  </si>
  <si>
    <t>-655.862450078224 -109.305837956575 781.199001771414</t>
  </si>
  <si>
    <t>-501.398928239679 -125.082998333537 823.340766276916</t>
  </si>
  <si>
    <t>9763-20170724T115430.329226100.bin</t>
  </si>
  <si>
    <t>-597.230316572028 39.253197975328 -92.5045821513088</t>
  </si>
  <si>
    <t>-616.424352041825 34.2778043207661 -201.428121947172</t>
  </si>
  <si>
    <t>-629.122925012348 30.7189304978197 -293.362390749062</t>
  </si>
  <si>
    <t>-640.147755266072 27.6657429958495 -376.472456454139</t>
  </si>
  <si>
    <t>-650.158352026128 24.7925399958333 -459.717046207208</t>
  </si>
  <si>
    <t>-663.678316605718 20.7735478676134 -581.561159813113</t>
  </si>
  <si>
    <t>-654.569441525267 22.2526375213254 -659.375232370632</t>
  </si>
  <si>
    <t>-658.383492846493 53.8768795717535 -529.059966950228</t>
  </si>
  <si>
    <t>-642.737764882686 207.75302478776 -508.706843442321</t>
  </si>
  <si>
    <t>-584.119217032146 235.680121542352 -234.184496541652</t>
  </si>
  <si>
    <t>-353.153910673406 235.663630841874 -258.751616288722</t>
  </si>
  <si>
    <t>-606.232773606293 131.181784636201 -96.7409127167232</t>
  </si>
  <si>
    <t>-629.119031417845 146.174961853329 317.932475669455</t>
  </si>
  <si>
    <t>-667.379706166013 182.239138447673 778.031870096885</t>
  </si>
  <si>
    <t>-516.675136642753 184.35124045069 834.31244751896</t>
  </si>
  <si>
    <t>-597.163128818699 -71.3333709900578 323.411183302381</t>
  </si>
  <si>
    <t>-655.737455592297 -109.312902189846 781.232499495423</t>
  </si>
  <si>
    <t>-501.28822468222 -124.824914108127 823.524785476556</t>
  </si>
  <si>
    <t>9763-20170724T115430.365322400.bin</t>
  </si>
  <si>
    <t>-597.007296805493 39.2297249891951 -92.5251197334895</t>
  </si>
  <si>
    <t>-616.094659591587 34.2691707461968 -201.468144026009</t>
  </si>
  <si>
    <t>-628.718736172418 30.727162346775 -293.413247232686</t>
  </si>
  <si>
    <t>-639.682425742266 27.6920496424414 -376.532121829519</t>
  </si>
  <si>
    <t>-649.638065463036 24.8390572106807 -459.783890367446</t>
  </si>
  <si>
    <t>-663.08430990462 20.8524963707475 -581.637236352524</t>
  </si>
  <si>
    <t>-653.973429993125 22.3332912872304 -659.451176230714</t>
  </si>
  <si>
    <t>-657.8015303061 53.9424029300176 -529.126253493669</t>
  </si>
  <si>
    <t>-642.087954800169 207.810543128026 -508.764553384859</t>
  </si>
  <si>
    <t>-583.538365578176 235.571253250096 -234.210565715482</t>
  </si>
  <si>
    <t>-352.54239073978 235.582123070801 -258.488267324141</t>
  </si>
  <si>
    <t>-605.891239098895 131.266897908572 -96.7713579471774</t>
  </si>
  <si>
    <t>-629.00440746322 146.23124460133 317.890503181381</t>
  </si>
  <si>
    <t>-667.361054509712 182.301702454172 777.986087635337</t>
  </si>
  <si>
    <t>-516.670115557622 184.471992408042 834.300977747814</t>
  </si>
  <si>
    <t>-597.239963810853 -71.5388932280316 323.389378608561</t>
  </si>
  <si>
    <t>-655.654147786398 -109.330960421886 781.258955744921</t>
  </si>
  <si>
    <t>-501.246078347031 -124.949994732898 823.662025541096</t>
  </si>
  <si>
    <t>9763-20170724T115430.431228000.bin</t>
  </si>
  <si>
    <t>-596.791235734306 39.1270005983831 -92.5803781700508</t>
  </si>
  <si>
    <t>-615.681111945067 34.2099423117725 -201.55958881275</t>
  </si>
  <si>
    <t>-628.137660856443 30.7064122251111 -293.529201459792</t>
  </si>
  <si>
    <t>-638.94964764865 27.7083251451238 -376.669186906079</t>
  </si>
  <si>
    <t>-648.752957896864 24.8942679398501 -459.940424273107</t>
  </si>
  <si>
    <t>-661.975876027167 20.9665878336446 -581.82011660364</t>
  </si>
  <si>
    <t>-652.811517170248 22.4467186472473 -659.627844999981</t>
  </si>
  <si>
    <t>-656.751761464029 54.0315071194386 -529.287657950171</t>
  </si>
  <si>
    <t>-640.878342251206 207.88338069097 -508.898034978225</t>
  </si>
  <si>
    <t>-582.601184546099 235.300953237363 -234.251620624763</t>
  </si>
  <si>
    <t>-351.544314249592 235.300753921737 -257.941900120048</t>
  </si>
  <si>
    <t>-605.431882418386 131.355653271243 -96.8289791456207</t>
  </si>
  <si>
    <t>-628.843474022428 146.319982940505 317.816124738048</t>
  </si>
  <si>
    <t>-667.385527888492 182.343495473555 777.896188111146</t>
  </si>
  <si>
    <t>-516.705214368177 184.406617957184 834.243419720253</t>
  </si>
  <si>
    <t>-597.497735715588 -71.9924351510283 323.338714865096</t>
  </si>
  <si>
    <t>-655.526739989946 -109.377490445611 781.305932520874</t>
  </si>
  <si>
    <t>-501.212579726204 -125.432770857768 823.887500032298</t>
  </si>
  <si>
    <t>9763-20170724T115430.463312600.bin</t>
  </si>
  <si>
    <t>-596.847968996573 39.1014596065222 -92.6171145905404</t>
  </si>
  <si>
    <t>-615.617042885077 34.2139484605941 -201.61861740112</t>
  </si>
  <si>
    <t>-627.975926939526 30.7312958455043 -293.602049039241</t>
  </si>
  <si>
    <t>-638.701493533848 27.7513583528946 -376.753927792782</t>
  </si>
  <si>
    <t>-648.420160569771 24.954110599145 -460.035741847524</t>
  </si>
  <si>
    <t>-661.52119598547 21.0499659910497 -581.929309021264</t>
  </si>
  <si>
    <t>-652.304843520787 22.5204442338206 -659.730921149531</t>
  </si>
  <si>
    <t>-656.330361201488 54.1050402775054 -529.387383195221</t>
  </si>
  <si>
    <t>-640.394565598097 207.949727229481 -509.012104664729</t>
  </si>
  <si>
    <t>-582.211375005739 235.186227769507 -234.327685573121</t>
  </si>
  <si>
    <t>-351.115310612152 235.158679886684 -257.632696687364</t>
  </si>
  <si>
    <t>-605.373561686534 131.385929881384 -96.8734199105096</t>
  </si>
  <si>
    <t>-628.871406335964 146.351725057413 317.766781407269</t>
  </si>
  <si>
    <t>-667.402695991572 182.359440966051 777.842784122764</t>
  </si>
  <si>
    <t>-516.721741710401 184.485775559778 834.185892027076</t>
  </si>
  <si>
    <t>-597.708097988125 -72.1409235417943 323.293059406021</t>
  </si>
  <si>
    <t>-655.455979075701 -109.365257566687 781.320648506029</t>
  </si>
  <si>
    <t>-501.159651382087 -125.360677537806 823.989332968047</t>
  </si>
  <si>
    <t>9763-20170724T115430.543075300.bin</t>
  </si>
  <si>
    <t>-597.213168806392 39.036936129223 -92.69722447982</t>
  </si>
  <si>
    <t>-615.762933322053 34.2175278624027 -201.739331421417</t>
  </si>
  <si>
    <t>-627.960014409337 30.7903503163298 -293.746509943652</t>
  </si>
  <si>
    <t>-638.548833666517 27.8615946844757 -376.917612015225</t>
  </si>
  <si>
    <t>-648.139908423765 25.116287807421 -460.215904393647</t>
  </si>
  <si>
    <t>-661.06462892852 21.2887653522932 -582.130698528119</t>
  </si>
  <si>
    <t>-651.731788875873 22.742150368286 -659.918858375715</t>
  </si>
  <si>
    <t>-655.906950414542 54.3115261870964 -529.565199232105</t>
  </si>
  <si>
    <t>-639.752951286349 208.139683573843 -509.209115503843</t>
  </si>
  <si>
    <t>-581.81553199157 234.980427294516 -234.433871649033</t>
  </si>
  <si>
    <t>-350.625463699288 234.888653458436 -256.787342193259</t>
  </si>
  <si>
    <t>-605.50320322701 131.369241727703 -96.9593242109086</t>
  </si>
  <si>
    <t>-629.130075327793 146.385140094358 317.671700038122</t>
  </si>
  <si>
    <t>-667.463289486946 182.360187213906 777.756477487258</t>
  </si>
  <si>
    <t>-516.770830602314 184.396471733883 834.072123143703</t>
  </si>
  <si>
    <t>-598.300879418427 -72.3721865351342 323.195832055324</t>
  </si>
  <si>
    <t>-655.344971652929 -109.411772165721 781.346067912711</t>
  </si>
  <si>
    <t>-501.089830660529 -125.469903420652 824.139865438172</t>
  </si>
  <si>
    <t>9763-20170724T115430.561124000.bin</t>
  </si>
  <si>
    <t>-597.510758237712 39.0248484384169 -92.7427953042587</t>
  </si>
  <si>
    <t>-615.979229064203 34.2355597287187 -201.800024253105</t>
  </si>
  <si>
    <t>-628.090121567219 30.8302859222481 -293.819301817735</t>
  </si>
  <si>
    <t>-638.593958707942 27.9207544614267 -377.001906635914</t>
  </si>
  <si>
    <t>-648.092987424463 25.1932338804747 -460.311424765625</t>
  </si>
  <si>
    <t>-660.875266091106 21.390629919819 -582.241945522439</t>
  </si>
  <si>
    <t>-651.452681593442 22.8395542700416 -660.019448078813</t>
  </si>
  <si>
    <t>-655.763207444768 54.4027877159745 -529.665307543583</t>
  </si>
  <si>
    <t>-639.499033160698 208.221548484442 -509.329460853687</t>
  </si>
  <si>
    <t>-581.665897473652 234.852197863435 -234.511844386336</t>
  </si>
  <si>
    <t>-350.421415507659 234.795598532308 -256.295778417937</t>
  </si>
  <si>
    <t>-605.721512183525 131.368968442097 -97.0068540768229</t>
  </si>
  <si>
    <t>-629.302288610735 146.414110827718 317.625816451834</t>
  </si>
  <si>
    <t>-667.499973399586 182.343557587219 777.721327660499</t>
  </si>
  <si>
    <t>-516.799032996583 184.38914507547 834.013888331077</t>
  </si>
  <si>
    <t>-598.621097452717 -72.420042736788 323.145449517145</t>
  </si>
  <si>
    <t>-655.306792997092 -109.418717568815 781.345766312923</t>
  </si>
  <si>
    <t>-501.067258552901 -125.538457394823 824.172723548524</t>
  </si>
  <si>
    <t>9763-20170724T115430.630312500.bin</t>
  </si>
  <si>
    <t>-598.336407258619 39.0623597561118 -92.8470608297313</t>
  </si>
  <si>
    <t>-616.692091435822 34.3225960545974 -201.925445570039</t>
  </si>
  <si>
    <t>-628.645855176187 30.9668351878092 -293.9671836925</t>
  </si>
  <si>
    <t>-638.982652670944 28.105413989563 -377.17243895573</t>
  </si>
  <si>
    <t>-648.289338701881 25.4284507510592 -460.505184876527</t>
  </si>
  <si>
    <t>-660.7626011906 21.7018251096974 -582.470106468857</t>
  </si>
  <si>
    <t>-651.16192262769 23.1612414962005 -660.225497815683</t>
  </si>
  <si>
    <t>-655.753141350926 54.6816300179403 -529.863313403613</t>
  </si>
  <si>
    <t>-639.247531255856 208.464975609663 -509.456720393712</t>
  </si>
  <si>
    <t>-581.499325005286 234.729799212316 -234.586030616912</t>
  </si>
  <si>
    <t>-350.17844572053 234.59943306104 -255.542078548322</t>
  </si>
  <si>
    <t>-606.503485579123 131.417070597427 -97.1061232282395</t>
  </si>
  <si>
    <t>-629.833704610638 146.48984988947 317.539598859622</t>
  </si>
  <si>
    <t>-667.589158972168 182.289718293432 777.675748085654</t>
  </si>
  <si>
    <t>-516.863683920437 184.250887594903 833.905697451429</t>
  </si>
  <si>
    <t>-599.185525356638 -72.3800012453169 323.048916602014</t>
  </si>
  <si>
    <t>-655.250779930858 -109.459229647625 781.33713883539</t>
  </si>
  <si>
    <t>-501.080970788806 -126.133277818622 824.202919847958</t>
  </si>
  <si>
    <t>9763-20170724T115430.663401000.bin</t>
  </si>
  <si>
    <t>-598.827405812597 39.0767622680121 -92.8893303111413</t>
  </si>
  <si>
    <t>-617.147824217382 34.3571745582606 -201.974510383463</t>
  </si>
  <si>
    <t>-629.043248583042 31.0264419716343 -294.024640538206</t>
  </si>
  <si>
    <t>-639.315793859442 28.1907077773553 -377.238754886342</t>
  </si>
  <si>
    <t>-648.546468101615 25.5420536335346 -460.580956992749</t>
  </si>
  <si>
    <t>-660.89563911598 21.8594477245811 -582.559841948521</t>
  </si>
  <si>
    <t>-651.220925644466 23.3219164953164 -660.306043201502</t>
  </si>
  <si>
    <t>-655.922184932648 54.8203536640474 -529.937767282287</t>
  </si>
  <si>
    <t>-639.316579288098 208.594045805823 -509.542618840288</t>
  </si>
  <si>
    <t>-581.565731890836 234.798418296979 -234.666757990827</t>
  </si>
  <si>
    <t>-350.224074119185 234.616707103547 -255.391967043754</t>
  </si>
  <si>
    <t>-606.986946407578 131.406712538831 -97.1409651291074</t>
  </si>
  <si>
    <t>-630.173415743701 146.499351065334 317.512139292791</t>
  </si>
  <si>
    <t>-667.633801617203 182.260484559399 777.668407540255</t>
  </si>
  <si>
    <t>-516.892741620748 184.25605984561 833.855419354963</t>
  </si>
  <si>
    <t>-599.421029634265 -72.3129770703051 323.007370120439</t>
  </si>
  <si>
    <t>-655.231587401462 -109.452856465527 781.328027207591</t>
  </si>
  <si>
    <t>-501.035738627083 -125.912754503745 824.182832843622</t>
  </si>
  <si>
    <t>9763-20170724T115430.727110100.bin</t>
  </si>
  <si>
    <t>-599.889993215164 39.08442817635 -92.9655277694487</t>
  </si>
  <si>
    <t>-618.189627707984 34.4028432172202 -202.055905067709</t>
  </si>
  <si>
    <t>-630.042624708215 31.1272028414667 -294.113627727281</t>
  </si>
  <si>
    <t>-640.266593322498 28.3500887225514 -377.335513393702</t>
  </si>
  <si>
    <t>-649.438111750348 25.7688747588775 -460.686316160709</t>
  </si>
  <si>
    <t>-661.689082732225 22.1938600305798 -582.678345514132</t>
  </si>
  <si>
    <t>-651.95601174517 23.6541357344379 -660.41724661762</t>
  </si>
  <si>
    <t>-656.725838936077 55.1087682000577 -530.026445135796</t>
  </si>
  <si>
    <t>-639.915316464586 208.856011000147 -509.594314816108</t>
  </si>
  <si>
    <t>-581.838789650094 234.99066497522 -234.780425565709</t>
  </si>
  <si>
    <t>-350.4709192562 234.805841289991 -255.211162708675</t>
  </si>
  <si>
    <t>-608.084046120996 131.388701013597 -97.1973691686206</t>
  </si>
  <si>
    <t>-630.859072866102 146.483363925832 317.478452082322</t>
  </si>
  <si>
    <t>-667.73194121027 182.171941406756 777.684192804862</t>
  </si>
  <si>
    <t>-516.955994100332 184.037478146278 833.781965233504</t>
  </si>
  <si>
    <t>-599.923949672546 -72.1515720651923 322.927534553946</t>
  </si>
  <si>
    <t>-655.207242423667 -109.441112488303 781.300995067993</t>
  </si>
  <si>
    <t>-500.976822990979 -125.658524308777 824.123858866495</t>
  </si>
  <si>
    <t>9763-20170724T115430.760198600.bin</t>
  </si>
  <si>
    <t>-600.428165118365 39.0792296094517 -92.9939410003396</t>
  </si>
  <si>
    <t>-618.711154863103 34.4190956984805 -202.087928288488</t>
  </si>
  <si>
    <t>-630.530425092897 31.1743229442475 -294.151004064146</t>
  </si>
  <si>
    <t>-640.71572825244 28.4306733568963 -377.378845356297</t>
  </si>
  <si>
    <t>-649.84032934113 25.8876064563963 -460.736006401245</t>
  </si>
  <si>
    <t>-662.013604659179 22.3733818117689 -582.737610624661</t>
  </si>
  <si>
    <t>-652.266157185045 23.8362301591251 -660.47463325895</t>
  </si>
  <si>
    <t>-657.062579550267 55.2623200359149 -530.068277036186</t>
  </si>
  <si>
    <t>-640.102672218327 208.991625603146 -509.635186191769</t>
  </si>
  <si>
    <t>-581.843161338084 235.170768952272 -234.864087296666</t>
  </si>
  <si>
    <t>-350.461123131456 234.979462244857 -255.133759922294</t>
  </si>
  <si>
    <t>-608.61513942612 131.355592900686 -97.21392447134</t>
  </si>
  <si>
    <t>-631.249888184198 146.447213957034 317.469715127533</t>
  </si>
  <si>
    <t>-667.790646397748 182.11168555291 777.701819375373</t>
  </si>
  <si>
    <t>-516.998416009229 183.854134794688 833.759793072882</t>
  </si>
  <si>
    <t>-600.213347076671 -72.0721342936326 322.895571054383</t>
  </si>
  <si>
    <t>-655.201682334025 -109.424518070297 781.28703975041</t>
  </si>
  <si>
    <t>-500.959088121645 -125.57678820704 824.090656518217</t>
  </si>
  <si>
    <t>9763-20170724T115430.830890200.bin</t>
  </si>
  <si>
    <t>-601.35795189706 39.0971132309455 -93.0630545248176</t>
  </si>
  <si>
    <t>-619.524748163501 34.486119326572 -202.178673792213</t>
  </si>
  <si>
    <t>-631.258656781439 31.2693606568596 -294.253602337318</t>
  </si>
  <si>
    <t>-641.37209712563 28.5468380491923 -377.49094605188</t>
  </si>
  <si>
    <t>-650.430013640167 26.0194881005489 -460.855708152883</t>
  </si>
  <si>
    <t>-662.511409295731 22.5223906929159 -582.866927869768</t>
  </si>
  <si>
    <t>-652.788126648236 23.959769033213 -660.607615954776</t>
  </si>
  <si>
    <t>-657.528374682079 55.4045977188134 -530.196471369602</t>
  </si>
  <si>
    <t>-640.181902679313 209.095706903896 -509.797459478616</t>
  </si>
  <si>
    <t>-581.816593733769 235.207160616034 -235.04257799117</t>
  </si>
  <si>
    <t>-350.40132408396 234.782749272369 -254.925416361225</t>
  </si>
  <si>
    <t>-609.467612294648 131.288736586642 -97.2511706584196</t>
  </si>
  <si>
    <t>-631.920361521212 146.38201307144 317.442319107365</t>
  </si>
  <si>
    <t>-667.860798381546 182.071296573568 777.724904901177</t>
  </si>
  <si>
    <t>-517.039631354302 183.887232228788 833.702625933304</t>
  </si>
  <si>
    <t>-600.816537748893 -71.9674727502074 322.82337350139</t>
  </si>
  <si>
    <t>-655.146841555925 -109.429628314418 781.272129028134</t>
  </si>
  <si>
    <t>-500.920028325443 -125.624599902386 824.116494902419</t>
  </si>
  <si>
    <t>9763-20170724T115430.871999100.bin</t>
  </si>
  <si>
    <t>-601.661039104972 39.1306670286558 -93.062141163042</t>
  </si>
  <si>
    <t>-619.800407799817 34.5549225441382 -202.183794583803</t>
  </si>
  <si>
    <t>-631.525243949187 31.3508399027446 -294.260327042515</t>
  </si>
  <si>
    <t>-641.636358535296 28.6337319092822 -377.498006388659</t>
  </si>
  <si>
    <t>-650.69786541679 26.1054132232402 -460.86249720317</t>
  </si>
  <si>
    <t>-662.791131183152 22.5996445731298 -582.872235196709</t>
  </si>
  <si>
    <t>-653.108450732921 24.0131529045443 -660.618497052643</t>
  </si>
  <si>
    <t>-657.765657926092 55.4857875471607 -530.208244939424</t>
  </si>
  <si>
    <t>-640.238947060359 209.162788562867 -509.86857979581</t>
  </si>
  <si>
    <t>-581.836690376919 235.275036540392 -235.121606526223</t>
  </si>
  <si>
    <t>-350.40713994349 234.637083655727 -254.831365245296</t>
  </si>
  <si>
    <t>-609.728473134024 131.292380789773 -97.2503917256263</t>
  </si>
  <si>
    <t>-632.164696825653 146.359576523069 317.444867821908</t>
  </si>
  <si>
    <t>-667.907416861841 182.028946493752 777.748453067081</t>
  </si>
  <si>
    <t>-517.073475715456 183.740321554125 833.695020292184</t>
  </si>
  <si>
    <t>-601.019232899178 -71.9196315160452 322.805218573815</t>
  </si>
  <si>
    <t>-655.075894580705 -109.440385277389 781.275464172634</t>
  </si>
  <si>
    <t>-500.876625539068 -125.66273687951 824.208480627937</t>
  </si>
  <si>
    <t>9763-20170724T115430.929155100.bin</t>
  </si>
  <si>
    <t>-601.90490570509 39.3362079549729 -93.0583321142025</t>
  </si>
  <si>
    <t>-620.076634295924 34.7965094330123 -202.17600823611</t>
  </si>
  <si>
    <t>-631.877761326111 31.6162608397749 -294.243736780358</t>
  </si>
  <si>
    <t>-642.077649111034 28.9198407653066 -377.471243976855</t>
  </si>
  <si>
    <t>-651.24783155038 26.4107386332491 -460.824342560084</t>
  </si>
  <si>
    <t>-663.521797758746 22.9320112645653 -582.816941540837</t>
  </si>
  <si>
    <t>-653.991480720922 24.3019341218214 -660.582595648625</t>
  </si>
  <si>
    <t>-658.357919111367 55.8067710923101 -530.159220159334</t>
  </si>
  <si>
    <t>-640.429949422306 209.439758233098 -509.833967691353</t>
  </si>
  <si>
    <t>-581.777232021981 235.471297956864 -235.132751663014</t>
  </si>
  <si>
    <t>-350.32446056685 234.639645964722 -254.561119747808</t>
  </si>
  <si>
    <t>-609.893871615936 131.485203591659 -97.2358185046261</t>
  </si>
  <si>
    <t>-632.261840970355 146.413882970924 317.468257151095</t>
  </si>
  <si>
    <t>-667.961608931563 181.990933761925 777.795886042536</t>
  </si>
  <si>
    <t>-517.109077067958 183.680206189203 833.69296677508</t>
  </si>
  <si>
    <t>-601.180008855551 -71.7051280428125 322.804989075463</t>
  </si>
  <si>
    <t>-654.936837127336 -109.462443092145 781.301047479224</t>
  </si>
  <si>
    <t>-500.742331371454 -125.249424602596 824.413150826919</t>
  </si>
  <si>
    <t>9763-20170724T115430.964248600.bin</t>
  </si>
  <si>
    <t>-601.899577437946 39.5049732401012 -93.0413787081898</t>
  </si>
  <si>
    <t>-620.12016291826 34.9756271226845 -202.151369135247</t>
  </si>
  <si>
    <t>-631.99867683555 31.8079712913723 -294.209614499791</t>
  </si>
  <si>
    <t>-642.282955336997 29.1257167331587 -377.427187817515</t>
  </si>
  <si>
    <t>-651.552181438732 26.6329588026799 -460.769771517091</t>
  </si>
  <si>
    <t>-663.986953937327 23.1810797315773 -582.746777192962</t>
  </si>
  <si>
    <t>-654.561580713384 24.5345196568603 -660.525589462568</t>
  </si>
  <si>
    <t>-658.726482852713 56.0444450112823 -530.091541918701</t>
  </si>
  <si>
    <t>-640.606678377143 209.655025959921 -509.782708866252</t>
  </si>
  <si>
    <t>-581.774903020545 235.610372072568 -235.112525005125</t>
  </si>
  <si>
    <t>-350.313586384789 234.699529135047 -254.434793563199</t>
  </si>
  <si>
    <t>-609.849830486287 131.677518172173 -97.2165774621973</t>
  </si>
  <si>
    <t>-632.221174123136 146.501749911535 317.491082255232</t>
  </si>
  <si>
    <t>-667.975955458901 181.995738293823 777.819683021108</t>
  </si>
  <si>
    <t>-517.118591137778 183.702980283947 833.703222197835</t>
  </si>
  <si>
    <t>-601.114664033274 -71.5498406750125 322.826405619128</t>
  </si>
  <si>
    <t>-654.850686484712 -109.473850151783 781.308494851603</t>
  </si>
  <si>
    <t>-500.722469994108 -125.545381179905 824.552278876638</t>
  </si>
  <si>
    <t>9763-20170724T115431.029033900.bin</t>
  </si>
  <si>
    <t>-601.671009786778 39.9276783077951 -92.9643832871589</t>
  </si>
  <si>
    <t>-620.031381458967 35.4150223140903 -202.051691688372</t>
  </si>
  <si>
    <t>-632.089619126831 32.258918135565 -294.086833698843</t>
  </si>
  <si>
    <t>-642.561310840327 29.58780250313 -377.281513622717</t>
  </si>
  <si>
    <t>-652.043098394163 27.1066212521082 -460.600580235477</t>
  </si>
  <si>
    <t>-664.816216924839 23.6723585853961 -582.543101078918</t>
  </si>
  <si>
    <t>-655.619680254778 24.9970973453414 -660.349748740128</t>
  </si>
  <si>
    <t>-659.360784201891 56.5282286360655 -529.903047953406</t>
  </si>
  <si>
    <t>-641.006857676865 210.132083797083 -509.742251122273</t>
  </si>
  <si>
    <t>-581.521794952217 236.127405476394 -235.216707798343</t>
  </si>
  <si>
    <t>-350.069667651817 235.039263458881 -254.64013588037</t>
  </si>
  <si>
    <t>-609.562656972998 132.103605960488 -97.1346259476475</t>
  </si>
  <si>
    <t>-631.980421405654 146.720884581305 317.577753110874</t>
  </si>
  <si>
    <t>-668.008261858799 181.980312569818 777.889411367326</t>
  </si>
  <si>
    <t>-517.152795423543 183.45293778568 833.784715977887</t>
  </si>
  <si>
    <t>-600.825722479729 -71.1271072208087 322.907460881972</t>
  </si>
  <si>
    <t>-654.672357959366 -109.476474447193 781.343601998677</t>
  </si>
  <si>
    <t>-500.585057328234 -125.278360553966 824.83187211471</t>
  </si>
  <si>
    <t>9763-20170724T115431.063120000.bin</t>
  </si>
  <si>
    <t>-601.478265233763 40.1697214416713 -92.9229619032444</t>
  </si>
  <si>
    <t>-619.916272845157 35.660305833547 -201.997190128254</t>
  </si>
  <si>
    <t>-632.069049163088 32.5062893974475 -294.020038284692</t>
  </si>
  <si>
    <t>-642.637819370871 29.8378818579852 -377.202472931366</t>
  </si>
  <si>
    <t>-652.228417959605 27.3599425413622 -460.509263878611</t>
  </si>
  <si>
    <t>-665.173642869491 23.9307356043255 -582.433676204356</t>
  </si>
  <si>
    <t>-656.119022558602 25.2474802045529 -660.257162409894</t>
  </si>
  <si>
    <t>-659.616813122 56.7843834946152 -529.802854408745</t>
  </si>
  <si>
    <t>-641.094766235232 210.370714650956 -509.657034450396</t>
  </si>
  <si>
    <t>-581.186792753494 236.445882802057 -235.230934549212</t>
  </si>
  <si>
    <t>-349.753094192729 235.301613936613 -254.868731337752</t>
  </si>
  <si>
    <t>-609.327697002377 132.365879756453 -97.0870485030272</t>
  </si>
  <si>
    <t>-631.813412420924 146.841401615827 317.626705914162</t>
  </si>
  <si>
    <t>-668.010191775446 181.983582745748 777.93418600226</t>
  </si>
  <si>
    <t>-517.157748050391 183.496054797668 833.836477442286</t>
  </si>
  <si>
    <t>-600.64095277508 -70.9165206794917 322.958053898711</t>
  </si>
  <si>
    <t>-654.601857797398 -109.472367666582 781.360457460718</t>
  </si>
  <si>
    <t>-500.535550542171 -125.205013739854 824.948066294247</t>
  </si>
  <si>
    <t>9763-20170724T115431.098229100.bin</t>
  </si>
  <si>
    <t>-601.256825550649 40.3738876079981 -92.8850396104156</t>
  </si>
  <si>
    <t>-619.738242377204 35.864544974203 -201.951949186309</t>
  </si>
  <si>
    <t>-631.977280100438 32.7056916774843 -293.963234577117</t>
  </si>
  <si>
    <t>-642.644053359701 30.0318768433679 -377.132949163445</t>
  </si>
  <si>
    <t>-652.352887473435 27.5474068172864 -460.42591910908</t>
  </si>
  <si>
    <t>-665.493104521066 24.1078274363795 -582.329213878899</t>
  </si>
  <si>
    <t>-656.603255115842 25.4171298261504 -660.171808037556</t>
  </si>
  <si>
    <t>-659.828933060576 56.965984408891 -529.712638343849</t>
  </si>
  <si>
    <t>-641.181667377399 210.547639953933 -509.60932240126</t>
  </si>
  <si>
    <t>-580.792892819338 236.678944692839 -235.29388443617</t>
  </si>
  <si>
    <t>-349.375315448838 235.528271877658 -255.121075459142</t>
  </si>
  <si>
    <t>-609.077131974035 132.581873212768 -97.0441403224698</t>
  </si>
  <si>
    <t>-631.669103856583 146.955594670211 317.667381631185</t>
  </si>
  <si>
    <t>-668.018746619271 181.988416258322 777.971357278865</t>
  </si>
  <si>
    <t>-517.169705833717 183.545594158731 833.881647027456</t>
  </si>
  <si>
    <t>-600.466663617541 -70.7571590786195 323.00299386654</t>
  </si>
  <si>
    <t>-654.544347847591 -109.466192876232 781.374165458348</t>
  </si>
  <si>
    <t>-500.510032858041 -125.29234259216 825.041034038077</t>
  </si>
  <si>
    <t>9763-20170724T115431.161394800.bin</t>
  </si>
  <si>
    <t>-600.714599578967 40.6774330871533 -92.7860386748122</t>
  </si>
  <si>
    <t>-619.218789380943 36.1856168087315 -201.84977019685</t>
  </si>
  <si>
    <t>-631.600793257269 33.0249152618342 -293.841841861746</t>
  </si>
  <si>
    <t>-642.446642302515 30.3447660579989 -376.988283460554</t>
  </si>
  <si>
    <t>-652.384758027093 27.849436698348 -460.253794196388</t>
  </si>
  <si>
    <t>-665.915367936998 24.3897804675203 -582.113756255166</t>
  </si>
  <si>
    <t>-657.387050377786 25.6920266032939 -659.996938503097</t>
  </si>
  <si>
    <t>-660.040343752097 57.2565542348684 -529.525773951032</t>
  </si>
  <si>
    <t>-641.214938998404 210.823761621618 -509.542447119975</t>
  </si>
  <si>
    <t>-579.8241746043 237.09540435688 -235.463136237491</t>
  </si>
  <si>
    <t>-348.442162719056 235.907172410664 -255.698696307084</t>
  </si>
  <si>
    <t>-608.487742686106 132.850215726628 -96.9420793014697</t>
  </si>
  <si>
    <t>-631.36108747171 147.157123477382 317.756224994388</t>
  </si>
  <si>
    <t>-668.017221567381 182.022667348943 778.046540889198</t>
  </si>
  <si>
    <t>-517.179183011217 183.570633178193 833.986786357027</t>
  </si>
  <si>
    <t>-600.067161104678 -70.5595140727983 323.086230576155</t>
  </si>
  <si>
    <t>-654.424038450948 -109.49166865029 781.395057883166</t>
  </si>
  <si>
    <t>-500.45941146239 -125.495117578034 825.242526861103</t>
  </si>
  <si>
    <t>9763-20170724T115431.227162100.bin</t>
  </si>
  <si>
    <t>-600.036285099637 40.8886079536646 -92.6505622487914</t>
  </si>
  <si>
    <t>-618.573160709516 36.4356081773492 -201.710311628208</t>
  </si>
  <si>
    <t>-631.075432962014 33.2868711815863 -293.686621326716</t>
  </si>
  <si>
    <t>-642.067409382438 30.6114078514506 -376.813898251053</t>
  </si>
  <si>
    <t>-652.189524155168 28.1143442071173 -460.057175897039</t>
  </si>
  <si>
    <t>-666.030791175664 24.6458158765079 -581.882118731993</t>
  </si>
  <si>
    <t>-657.898055539868 25.9613147768353 -659.80739432392</t>
  </si>
  <si>
    <t>-659.984947735316 57.5163210136359 -529.315835555188</t>
  </si>
  <si>
    <t>-640.934378159141 211.062656660602 -509.362592711279</t>
  </si>
  <si>
    <t>-578.711912008163 237.457520242077 -235.482617648039</t>
  </si>
  <si>
    <t>-347.378718802995 236.108919871227 -256.258951067837</t>
  </si>
  <si>
    <t>-607.744100818 133.071145320037 -96.8104066128371</t>
  </si>
  <si>
    <t>-630.941999208505 147.283815021165 317.873192919855</t>
  </si>
  <si>
    <t>-668.018049675529 182.026865043242 778.138393399826</t>
  </si>
  <si>
    <t>-517.190763670062 183.523665327492 834.109060224101</t>
  </si>
  <si>
    <t>-599.603267653877 -70.4112097245845 323.179479216006</t>
  </si>
  <si>
    <t>-654.222618566935 -109.536415623347 781.425476313085</t>
  </si>
  <si>
    <t>-500.323007619312 -125.309324081452 825.583747416215</t>
  </si>
  <si>
    <t>9763-20170724T115431.259247400.bin</t>
  </si>
  <si>
    <t>-599.667204461561 40.9638116854671 -92.5892980488308</t>
  </si>
  <si>
    <t>-618.22898827034 36.5292290265636 -201.6456943287</t>
  </si>
  <si>
    <t>-630.796281949914 33.3906798660153 -293.613382942386</t>
  </si>
  <si>
    <t>-641.864841171254 30.7233852221302 -376.730730238864</t>
  </si>
  <si>
    <t>-652.081425228319 28.2335757726541 -459.962697847236</t>
  </si>
  <si>
    <t>-666.080584715907 24.7748106454917 -581.769899391299</t>
  </si>
  <si>
    <t>-658.147321720679 26.1060539150762 -659.715469124676</t>
  </si>
  <si>
    <t>-659.951834417489 57.6411193832585 -529.210442720413</t>
  </si>
  <si>
    <t>-640.809300251153 211.175483771486 -509.264275261721</t>
  </si>
  <si>
    <t>-578.247172823843 237.543304452379 -235.45904283085</t>
  </si>
  <si>
    <t>-346.930524981651 236.106426447349 -256.413471178164</t>
  </si>
  <si>
    <t>-607.340523216031 133.147164417174 -96.7405932344186</t>
  </si>
  <si>
    <t>-630.640656041256 147.324384022471 317.938402631982</t>
  </si>
  <si>
    <t>-668.007372416125 182.033031703512 778.186673504822</t>
  </si>
  <si>
    <t>-517.189041169963 183.54807024549 834.18108104749</t>
  </si>
  <si>
    <t>-599.342116349801 -70.3592140182545 323.235917706472</t>
  </si>
  <si>
    <t>-654.0938586002 -109.572655736613 781.472223368354</t>
  </si>
  <si>
    <t>-500.261211748917 -125.456502754873 825.823663420974</t>
  </si>
  <si>
    <t>9763-20170724T115431.329002900.bin</t>
  </si>
  <si>
    <t>-598.91096086778 41.0389484077605 -92.4601269035281</t>
  </si>
  <si>
    <t>-617.513721228644 36.6246955336051 -201.510272775606</t>
  </si>
  <si>
    <t>-630.204847354532 33.5047854898999 -293.461626920537</t>
  </si>
  <si>
    <t>-641.421241475267 30.8569452640916 -376.559743866678</t>
  </si>
  <si>
    <t>-651.821790827169 28.3894560099914 -459.769578062896</t>
  </si>
  <si>
    <t>-666.129538037411 24.9671721577693 -581.5419624193</t>
  </si>
  <si>
    <t>-658.585545543564 26.349306459731 -659.525266714365</t>
  </si>
  <si>
    <t>-659.844096513239 57.8176349828086 -528.991259529165</t>
  </si>
  <si>
    <t>-640.553486698933 211.334780161397 -509.027242327213</t>
  </si>
  <si>
    <t>-577.413850592515 237.650665249182 -235.3495406684</t>
  </si>
  <si>
    <t>-346.128690915809 236.094004678986 -256.639852568774</t>
  </si>
  <si>
    <t>-606.475323333829 133.263107235502 -96.6081615020954</t>
  </si>
  <si>
    <t>-630.103699424279 147.335581347938 318.05590413108</t>
  </si>
  <si>
    <t>-667.978416681616 182.063866911301 778.264540534627</t>
  </si>
  <si>
    <t>-517.18006847316 183.604851013809 834.311925023934</t>
  </si>
  <si>
    <t>-598.944108481912 -70.3455994653314 323.346241655705</t>
  </si>
  <si>
    <t>-654.006402290626 -109.582677191454 781.516001277188</t>
  </si>
  <si>
    <t>-500.199005300666 -125.343732903354 825.998556933438</t>
  </si>
  <si>
    <t>9763-20170724T115431.396203600.bin</t>
  </si>
  <si>
    <t>-598.098945301164 41.1527227840545 -92.3763057522115</t>
  </si>
  <si>
    <t>-616.736806582166 36.7369381467222 -201.420422652255</t>
  </si>
  <si>
    <t>-629.536790564263 33.6297883411191 -293.357166054065</t>
  </si>
  <si>
    <t>-640.883300535701 31.0004283830108 -376.43823637124</t>
  </si>
  <si>
    <t>-651.445670507247 28.5588279691597 -459.628386418679</t>
  </si>
  <si>
    <t>-666.024842484325 25.1825563238422 -581.369806266266</t>
  </si>
  <si>
    <t>-658.837268963869 26.6399519458425 -659.38537928089</t>
  </si>
  <si>
    <t>-659.602989059768 58.0131329617766 -528.823140117915</t>
  </si>
  <si>
    <t>-640.183231220399 211.507256949684 -508.828129858458</t>
  </si>
  <si>
    <t>-576.60993769003 237.634389581038 -235.232815922238</t>
  </si>
  <si>
    <t>-345.338134412091 236.10636501024 -256.67009975672</t>
  </si>
  <si>
    <t>-605.604067888006 133.379660894429 -96.5130382598711</t>
  </si>
  <si>
    <t>-629.573537559169 147.40493981727 318.133003061842</t>
  </si>
  <si>
    <t>-667.941400907726 182.120140080927 778.310990185496</t>
  </si>
  <si>
    <t>-517.166858129545 183.725069636275 834.420698560329</t>
  </si>
  <si>
    <t>-598.491178019693 -70.292294486333 323.423315524587</t>
  </si>
  <si>
    <t>-653.970751693405 -109.577255050134 781.531331464047</t>
  </si>
  <si>
    <t>-500.183293722909 -125.448811707649 826.043454905949</t>
  </si>
  <si>
    <t>9763-20170724T115431.426279400.bin</t>
  </si>
  <si>
    <t>-597.713393029003 41.1513625777684 -92.344659850593</t>
  </si>
  <si>
    <t>-616.361161696276 36.7356266180409 -201.387209938752</t>
  </si>
  <si>
    <t>-629.203657222688 33.6335876893734 -293.317949765611</t>
  </si>
  <si>
    <t>-640.602264052169 31.0113022843127 -376.392240786252</t>
  </si>
  <si>
    <t>-651.230434428411 28.5794629209781 -459.574343016501</t>
  </si>
  <si>
    <t>-665.920812357139 25.2206587729058 -581.302895523495</t>
  </si>
  <si>
    <t>-658.896123636518 26.7141620730295 -659.332596487323</t>
  </si>
  <si>
    <t>-659.445776454656 58.0437588199145 -528.758027363779</t>
  </si>
  <si>
    <t>-639.987039701839 211.530822745282 -508.737815642109</t>
  </si>
  <si>
    <t>-576.260411542296 237.613410984024 -235.173774207013</t>
  </si>
  <si>
    <t>-344.992544751604 236.087239570652 -256.653484773845</t>
  </si>
  <si>
    <t>-605.178344967891 133.397573770932 -96.4761800114574</t>
  </si>
  <si>
    <t>-629.340952865701 147.386913345177 318.159893310298</t>
  </si>
  <si>
    <t>-667.927268944992 182.14327677159 778.31990459916</t>
  </si>
  <si>
    <t>-517.166002068501 183.790755429092 834.463974324607</t>
  </si>
  <si>
    <t>-598.335433328491 -70.326064022152 323.447776923859</t>
  </si>
  <si>
    <t>-653.983434901185 -109.557547020326 781.536379321023</t>
  </si>
  <si>
    <t>-500.19811951387 -125.545155633515 826.014412732066</t>
  </si>
  <si>
    <t>9763-20170724T115431.460370000.bin</t>
  </si>
  <si>
    <t>-597.36723884597 41.0908905148017 -92.3404340681801</t>
  </si>
  <si>
    <t>-616.006837335713 36.670159581332 -201.384064062952</t>
  </si>
  <si>
    <t>-628.873408279205 33.5662940834304 -293.311596602485</t>
  </si>
  <si>
    <t>-640.306060811644 30.9441621776123 -376.381036294398</t>
  </si>
  <si>
    <t>-650.980778578681 28.5136534487401 -459.557268186642</t>
  </si>
  <si>
    <t>-665.752854780125 25.1586624391737 -581.276094714627</t>
  </si>
  <si>
    <t>-658.878904739961 26.674927508247 -659.31867824734</t>
  </si>
  <si>
    <t>-659.237562438765 57.9800673922289 -528.735035456824</t>
  </si>
  <si>
    <t>-639.755987747792 211.466376367914 -508.707539362822</t>
  </si>
  <si>
    <t>-575.931253538409 237.482763054156 -235.160215971682</t>
  </si>
  <si>
    <t>-344.660266398447 235.983527673362 -256.607826407453</t>
  </si>
  <si>
    <t>-604.781818956654 133.36342996546 -96.4629331379937</t>
  </si>
  <si>
    <t>-629.128084701711 147.376757360701 318.161561233231</t>
  </si>
  <si>
    <t>-667.905446724214 182.182572452609 778.313089355402</t>
  </si>
  <si>
    <t>-517.159368748764 183.888988985882 834.496160345279</t>
  </si>
  <si>
    <t>-598.266626306627 -70.4437054625739 323.450016149832</t>
  </si>
  <si>
    <t>-654.021868694765 -109.530199403629 781.535298323205</t>
  </si>
  <si>
    <t>-500.175740250175 -125.198337853443 825.916624817847</t>
  </si>
  <si>
    <t>9763-20170724T115431.529143100.bin</t>
  </si>
  <si>
    <t>-596.818496591223 40.8283172934807 -92.3423243676395</t>
  </si>
  <si>
    <t>-615.398111585248 36.4006202460776 -201.395944232658</t>
  </si>
  <si>
    <t>-628.259234542634 33.270708616129 -293.32315347596</t>
  </si>
  <si>
    <t>-639.705367223555 30.6176280915395 -376.389900440143</t>
  </si>
  <si>
    <t>-650.411988524346 28.148828605566 -459.561028253075</t>
  </si>
  <si>
    <t>-665.25104825743 24.7300334975587 -581.269725372646</t>
  </si>
  <si>
    <t>-658.624398371204 26.2389205231609 -659.334032800673</t>
  </si>
  <si>
    <t>-658.681886385284 57.5789013574063 -528.752600582652</t>
  </si>
  <si>
    <t>-639.104570746402 211.053368654367 -508.758706122826</t>
  </si>
  <si>
    <t>-575.335547392382 237.106260416985 -235.201896725819</t>
  </si>
  <si>
    <t>-344.046037696354 235.768081147411 -256.460062440056</t>
  </si>
  <si>
    <t>-604.07438278088 133.152338472224 -96.4759628099023</t>
  </si>
  <si>
    <t>-628.75596684156 147.288092292082 318.124576255055</t>
  </si>
  <si>
    <t>-667.865811484174 182.266755300767 778.246718379768</t>
  </si>
  <si>
    <t>-517.149895401729 184.054319440323 834.508092972302</t>
  </si>
  <si>
    <t>-598.227656252419 -70.8269739149559 323.426427038138</t>
  </si>
  <si>
    <t>-654.184082719728 -109.547771981511 781.513889435125</t>
  </si>
  <si>
    <t>-500.302583189017 -125.741344518276 825.582866547233</t>
  </si>
  <si>
    <t>9763-20170724T115431.562231200.bin</t>
  </si>
  <si>
    <t>-596.572141397559 40.6434897505528 -92.3592496022616</t>
  </si>
  <si>
    <t>-615.136250473026 36.2207963649062 -201.415732693772</t>
  </si>
  <si>
    <t>-628.00154978104 33.0763607343006 -293.341952717514</t>
  </si>
  <si>
    <t>-639.458575757194 30.4030085715303 -376.406602355989</t>
  </si>
  <si>
    <t>-650.183279925142 27.907061596721 -459.574358498967</t>
  </si>
  <si>
    <t>-665.05685896571 24.4405711896409 -581.277630552002</t>
  </si>
  <si>
    <t>-658.530949196614 25.9215647390301 -659.350932494632</t>
  </si>
  <si>
    <t>-658.452291931973 57.3097203069394 -528.777755023481</t>
  </si>
  <si>
    <t>-638.735281537762 210.775209616214 -508.808926925588</t>
  </si>
  <si>
    <t>-575.079114897551 236.856740851523 -235.228591115681</t>
  </si>
  <si>
    <t>-343.777702008115 235.53214446995 -256.357503592135</t>
  </si>
  <si>
    <t>-603.732082349485 133.021068656544 -96.4933328211009</t>
  </si>
  <si>
    <t>-628.538909694346 147.217002234582 318.097650955696</t>
  </si>
  <si>
    <t>-667.848119014138 182.305058050771 778.194551561345</t>
  </si>
  <si>
    <t>-517.147798001948 184.124486597396 834.496602892182</t>
  </si>
  <si>
    <t>-598.221318068372 -71.020298586458 323.395431421181</t>
  </si>
  <si>
    <t>-654.287855441628 -109.523722717718 781.489743107716</t>
  </si>
  <si>
    <t>-500.352705005525 -125.759026323422 825.355547545135</t>
  </si>
  <si>
    <t>9763-20170724T115431.630417500.bin</t>
  </si>
  <si>
    <t>-596.167166648463 40.2220571760631 -92.4439962520813</t>
  </si>
  <si>
    <t>-614.742148437117 35.8184018403776 -201.499342373248</t>
  </si>
  <si>
    <t>-627.639341102069 32.6475223001876 -293.420259156319</t>
  </si>
  <si>
    <t>-639.134849540313 29.9346925614898 -376.478201865813</t>
  </si>
  <si>
    <t>-649.907932704341 27.3828746591118 -459.63801634789</t>
  </si>
  <si>
    <t>-664.863448460187 23.816973910963 -581.328423271572</t>
  </si>
  <si>
    <t>-658.504251821298 25.2126636666819 -659.416909629687</t>
  </si>
  <si>
    <t>-658.175990269602 56.7287587701942 -528.865718273163</t>
  </si>
  <si>
    <t>-638.143211519042 210.154284046278 -508.930651438663</t>
  </si>
  <si>
    <t>-575.056705457315 236.407777606027 -235.234786249428</t>
  </si>
  <si>
    <t>-343.733188319991 234.987148458268 -256.113976797676</t>
  </si>
  <si>
    <t>-603.144017772222 132.684386462996 -96.5680355812733</t>
  </si>
  <si>
    <t>-628.196258065892 146.972481554819 318.005020706167</t>
  </si>
  <si>
    <t>-667.851941286529 182.330846134904 778.046575281855</t>
  </si>
  <si>
    <t>-517.175909225851 184.055127489322 834.416670549778</t>
  </si>
  <si>
    <t>-598.198217766318 -71.4621701506867 323.320617574429</t>
  </si>
  <si>
    <t>-654.438347918017 -109.493189612322 781.442375132663</t>
  </si>
  <si>
    <t>-500.404856845852 -125.661324111754 824.986597084537</t>
  </si>
  <si>
    <t>9763-20170724T115431.664509300.bin</t>
  </si>
  <si>
    <t>-596.080201220624 39.9764696689742 -92.5101942429191</t>
  </si>
  <si>
    <t>-614.654747975127 35.574203906752 -201.565833850128</t>
  </si>
  <si>
    <t>-627.55044381738 32.3859632012573 -293.486256930402</t>
  </si>
  <si>
    <t>-639.044304974796 29.6506340995886 -376.543707940902</t>
  </si>
  <si>
    <t>-649.815602654048 27.0690234986239 -459.702857506766</t>
  </si>
  <si>
    <t>-664.768489895798 23.4513274670219 -581.391969658992</t>
  </si>
  <si>
    <t>-658.464582511976 24.7886412969719 -659.486018213065</t>
  </si>
  <si>
    <t>-658.060520803294 56.385270471807 -528.945672755221</t>
  </si>
  <si>
    <t>-637.900105260047 209.798911129084 -509.053140620651</t>
  </si>
  <si>
    <t>-575.258812133353 236.19422628318 -235.268695360756</t>
  </si>
  <si>
    <t>-343.913941313152 234.762584972164 -255.909499062688</t>
  </si>
  <si>
    <t>-603.008826354868 132.481794301923 -96.63654068483</t>
  </si>
  <si>
    <t>-628.135431939619 146.823319151603 317.930173449483</t>
  </si>
  <si>
    <t>-667.864185234961 182.296757184755 777.961995401726</t>
  </si>
  <si>
    <t>-517.199747826788 184.080354735005 834.361184522869</t>
  </si>
  <si>
    <t>-598.287771845864 -71.7192212075631 323.269053600717</t>
  </si>
  <si>
    <t>-654.463159724502 -109.491643781472 781.4300928159</t>
  </si>
  <si>
    <t>-500.444860461129 -125.999650887456 824.900433638781</t>
  </si>
  <si>
    <t>9763-20170724T115431.730297400.bin</t>
  </si>
  <si>
    <t>-595.951366045494 39.6779159163298 -92.6274506963023</t>
  </si>
  <si>
    <t>-614.476434164357 35.2740095957047 -201.691315851986</t>
  </si>
  <si>
    <t>-627.360273349027 32.0112447906808 -293.610822660273</t>
  </si>
  <si>
    <t>-638.856145658263 29.1808680402789 -376.664783443002</t>
  </si>
  <si>
    <t>-649.642727153586 26.4752270449692 -459.818049656996</t>
  </si>
  <si>
    <t>-664.632770617284 22.6448792348388 -581.496151477014</t>
  </si>
  <si>
    <t>-658.426181514243 23.7926476883631 -659.600988167068</t>
  </si>
  <si>
    <t>-657.839742224706 55.6696582529496 -529.118089741351</t>
  </si>
  <si>
    <t>-637.404663890848 209.060907882248 -509.359233172949</t>
  </si>
  <si>
    <t>-575.902872443858 235.708990197832 -235.341008766555</t>
  </si>
  <si>
    <t>-344.48176721632 234.43252622602 -255.119189925136</t>
  </si>
  <si>
    <t>-602.744371340129 132.230023015544 -96.7736067467198</t>
  </si>
  <si>
    <t>-627.971514666091 146.674863335416 317.783468506076</t>
  </si>
  <si>
    <t>-667.884467428107 182.314046892422 777.807150141682</t>
  </si>
  <si>
    <t>-517.235946849207 184.020362680725 834.251245734485</t>
  </si>
  <si>
    <t>-598.435004800376 -71.9709905287418 323.183882504319</t>
  </si>
  <si>
    <t>-654.464387030976 -109.516034166032 781.417711194355</t>
  </si>
  <si>
    <t>-500.42781593446 -126.045335603339 824.815124879462</t>
  </si>
  <si>
    <t>9763-20170724T115431.762382400.bin</t>
  </si>
  <si>
    <t>-595.873998316645 39.631393255665 -92.6497281021368</t>
  </si>
  <si>
    <t>-614.402034723651 35.2299030079068 -201.713243067248</t>
  </si>
  <si>
    <t>-627.293906986782 31.9209629825903 -293.629875767006</t>
  </si>
  <si>
    <t>-638.799914061899 29.0295146403664 -376.680403168601</t>
  </si>
  <si>
    <t>-649.599630003351 26.2435994967873 -459.829295864975</t>
  </si>
  <si>
    <t>-664.612565817521 22.2745766176358 -581.500157876321</t>
  </si>
  <si>
    <t>-658.453481574562 23.2899761585629 -659.610610791463</t>
  </si>
  <si>
    <t>-657.781797751587 55.3586989459229 -529.164450254916</t>
  </si>
  <si>
    <t>-637.262267549081 208.753600786319 -509.499658765982</t>
  </si>
  <si>
    <t>-576.164454026265 235.522460179662 -235.402822805076</t>
  </si>
  <si>
    <t>-344.704153388474 234.327029219059 -254.722018237509</t>
  </si>
  <si>
    <t>-602.663854215053 132.163360056732 -96.8100420890818</t>
  </si>
  <si>
    <t>-627.927172868576 146.617509195984 317.744404535712</t>
  </si>
  <si>
    <t>-667.915492390054 182.25381552099 777.752623101138</t>
  </si>
  <si>
    <t>-517.270869918441 184.131330475372 834.201699778316</t>
  </si>
  <si>
    <t>-598.447447090726 -71.9949745052054 323.168591585812</t>
  </si>
  <si>
    <t>-654.455574295377 -109.516282519377 781.412094437977</t>
  </si>
  <si>
    <t>-500.436933635894 -126.221632522687 824.805784255558</t>
  </si>
  <si>
    <t>9763-20170724T115431.831093400.bin</t>
  </si>
  <si>
    <t>-595.849979521556 39.7075047116309 -92.6925008469656</t>
  </si>
  <si>
    <t>-614.381351762119 35.2922680217589 -201.754830581867</t>
  </si>
  <si>
    <t>-627.296430484598 31.8793751672113 -293.664449237862</t>
  </si>
  <si>
    <t>-638.83261777491 28.8571855172659 -376.706209681437</t>
  </si>
  <si>
    <t>-649.672381688029 25.9031545262524 -459.843978590565</t>
  </si>
  <si>
    <t>-664.755394488765 21.6472747229664 -581.49646990365</t>
  </si>
  <si>
    <t>-658.647678924128 22.3715692681244 -659.614271449118</t>
  </si>
  <si>
    <t>-657.861158107613 54.8543389149359 -529.24698741282</t>
  </si>
  <si>
    <t>-637.17013183915 208.256843626745 -509.835057784084</t>
  </si>
  <si>
    <t>-576.594092314258 235.390129898484 -235.65814331965</t>
  </si>
  <si>
    <t>-345.092844737959 234.373837393566 -254.490996996142</t>
  </si>
  <si>
    <t>-602.70804516911 132.205078746114 -96.8679189868354</t>
  </si>
  <si>
    <t>-627.937144620182 146.66601024134 317.688526343845</t>
  </si>
  <si>
    <t>-667.957835072683 182.218629039216 777.685074016087</t>
  </si>
  <si>
    <t>-517.312256234265 184.073133892211 834.132399560512</t>
  </si>
  <si>
    <t>-598.441127123035 -71.909234823682 323.150027561637</t>
  </si>
  <si>
    <t>-654.431962232747 -109.48298729996 781.39437446923</t>
  </si>
  <si>
    <t>-500.372844807605 -125.896283308311 824.755862919352</t>
  </si>
  <si>
    <t>9763-20170724T115431.864184000.bin</t>
  </si>
  <si>
    <t>-595.911614391173 39.7849989732581 -92.7044570936265</t>
  </si>
  <si>
    <t>-614.448021792442 35.3574137503631 -201.765454164502</t>
  </si>
  <si>
    <t>-627.376751093176 31.8852746344387 -293.670950242715</t>
  </si>
  <si>
    <t>-638.929513242003 28.7902164497241 -376.70766465254</t>
  </si>
  <si>
    <t>-649.790516361827 25.7437122419731 -459.839501588197</t>
  </si>
  <si>
    <t>-664.909917155343 21.3312083170592 -581.481888446931</t>
  </si>
  <si>
    <t>-658.826886841247 21.9131811512229 -659.602683911293</t>
  </si>
  <si>
    <t>-657.979350801951 54.6053704534206 -529.279787365988</t>
  </si>
  <si>
    <t>-637.141416385703 208.008364223804 -510.028417445087</t>
  </si>
  <si>
    <t>-576.783329361083 235.421864876578 -235.831423208161</t>
  </si>
  <si>
    <t>-345.264103900482 234.460369361329 -254.444361807213</t>
  </si>
  <si>
    <t>-602.806334183041 132.243909672087 -96.8928621438772</t>
  </si>
  <si>
    <t>-627.989511926976 146.746221939012 317.664878169769</t>
  </si>
  <si>
    <t>-667.977113578488 182.233465770545 777.666157197628</t>
  </si>
  <si>
    <t>-517.326618818388 184.075762909754 834.100739872403</t>
  </si>
  <si>
    <t>-598.453933881743 -71.8052565152325 323.149463986193</t>
  </si>
  <si>
    <t>-654.419805385974 -109.446472096519 781.386720114621</t>
  </si>
  <si>
    <t>-500.32913360934 -125.610836250604 824.729570700181</t>
  </si>
  <si>
    <t>9763-20170724T115431.930866000.bin</t>
  </si>
  <si>
    <t>-596.159401806371 39.9847707355239 -92.7167424790734</t>
  </si>
  <si>
    <t>-614.708943748298 35.5325196798169 -201.7745402789</t>
  </si>
  <si>
    <t>-627.645618097554 31.9381305840386 -293.674208541489</t>
  </si>
  <si>
    <t>-639.205469046996 28.6923311481748 -376.704185158034</t>
  </si>
  <si>
    <t>-650.07422030427 25.4538232701173 -459.827643049106</t>
  </si>
  <si>
    <t>-665.206357061061 20.7153583453744 -581.456129302731</t>
  </si>
  <si>
    <t>-659.129937979777 21.0224916953562 -659.579025722091</t>
  </si>
  <si>
    <t>-658.22711730836 54.1284755753993 -529.34953524884</t>
  </si>
  <si>
    <t>-636.821717138838 207.491416461241 -510.397910692501</t>
  </si>
  <si>
    <t>-576.91576790541 235.600011980297 -236.17215205553</t>
  </si>
  <si>
    <t>-345.355356627681 234.72041390385 -254.26962570418</t>
  </si>
  <si>
    <t>-603.055864189053 132.43094203089 -96.9347711164687</t>
  </si>
  <si>
    <t>-628.076279947034 146.892753115795 317.634215254527</t>
  </si>
  <si>
    <t>-668.014326406144 182.292026416849 777.642844036601</t>
  </si>
  <si>
    <t>-517.349039377348 184.090687432119 834.039314295474</t>
  </si>
  <si>
    <t>-598.544299524297 -71.5854230542429 323.149209864605</t>
  </si>
  <si>
    <t>-654.415930672438 -109.452495313639 781.370871120849</t>
  </si>
  <si>
    <t>-500.300069111166 -125.530265686077 824.65638367915</t>
  </si>
  <si>
    <t>9763-20170724T115431.963963700.bin</t>
  </si>
  <si>
    <t>-596.277101921694 40.0996640398216 -92.7294853776292</t>
  </si>
  <si>
    <t>-614.828757741122 35.6354593546657 -201.786428774246</t>
  </si>
  <si>
    <t>-627.775650698508 31.9758416678133 -293.682070519892</t>
  </si>
  <si>
    <t>-639.348811392213 28.6493322258132 -376.707045947419</t>
  </si>
  <si>
    <t>-650.235282477097 25.3081568708412 -459.824201614155</t>
  </si>
  <si>
    <t>-665.398663887856 20.39514890441 -581.44183696944</t>
  </si>
  <si>
    <t>-659.341795798903 20.5654853214105 -659.566697590663</t>
  </si>
  <si>
    <t>-658.379613517367 53.8825448044333 -529.388297216157</t>
  </si>
  <si>
    <t>-636.634329334452 207.215909165909 -510.545816310646</t>
  </si>
  <si>
    <t>-576.865961539326 235.691589690904 -236.327877026631</t>
  </si>
  <si>
    <t>-345.293800092953 234.916461372798 -254.280105846688</t>
  </si>
  <si>
    <t>-603.17134555353 132.519301142447 -96.9556797383798</t>
  </si>
  <si>
    <t>-628.132330766017 146.936121888737 317.618437353436</t>
  </si>
  <si>
    <t>-668.041594391279 182.270649922069 777.631680581315</t>
  </si>
  <si>
    <t>-517.370070182955 184.069308836536 834.011407947221</t>
  </si>
  <si>
    <t>-598.568501008962 -71.4344809887543 323.153762655869</t>
  </si>
  <si>
    <t>-654.409671922159 -109.446024733842 781.361017787345</t>
  </si>
  <si>
    <t>-500.300390513637 -125.6389240926 824.626986401339</t>
  </si>
  <si>
    <t>9763-20170724T115432.028770900.bin</t>
  </si>
  <si>
    <t>-596.375235842762 40.4208879116277 -92.7253454372593</t>
  </si>
  <si>
    <t>-614.944589877648 35.9366997342745 -201.778372406608</t>
  </si>
  <si>
    <t>-627.916907593574 32.1580383267667 -293.665698925569</t>
  </si>
  <si>
    <t>-639.51834565055 28.6835903646604 -376.680576614287</t>
  </si>
  <si>
    <t>-650.439299069517 25.1533457743897 -459.785314003266</t>
  </si>
  <si>
    <t>-665.660553499918 19.9188864716434 -581.382327853856</t>
  </si>
  <si>
    <t>-659.657694781218 19.8873790606904 -659.511492286364</t>
  </si>
  <si>
    <t>-658.585163648276 53.5432142051361 -529.424757969593</t>
  </si>
  <si>
    <t>-636.555363166294 206.875644918712 -510.934791945753</t>
  </si>
  <si>
    <t>-576.860269876897 236.022413845238 -236.771361342705</t>
  </si>
  <si>
    <t>-345.274160289114 235.403338471568 -254.548403019425</t>
  </si>
  <si>
    <t>-603.326176296477 132.733436234254 -96.9746795203737</t>
  </si>
  <si>
    <t>-628.311024001856 147.022416990858 317.602414792868</t>
  </si>
  <si>
    <t>-668.071721406538 182.331233870651 777.624160162542</t>
  </si>
  <si>
    <t>-517.384514205067 184.027524792861 833.965243864197</t>
  </si>
  <si>
    <t>-598.539598092454 -71.0360149405044 323.172226578369</t>
  </si>
  <si>
    <t>-654.408624065618 -109.418876650441 781.344938874675</t>
  </si>
  <si>
    <t>-500.290973564225 -125.699709439232 824.548078231603</t>
  </si>
  <si>
    <t>9763-20170724T115432.061859100.bin</t>
  </si>
  <si>
    <t>-596.352122028497 40.605064340823 -92.7148878744945</t>
  </si>
  <si>
    <t>-614.9433110352 36.1021341567143 -201.763395450821</t>
  </si>
  <si>
    <t>-627.931363945562 32.2738899990443 -293.646395914488</t>
  </si>
  <si>
    <t>-639.546417691161 28.740830103043 -376.656923367568</t>
  </si>
  <si>
    <t>-650.480650510659 25.1380095988363 -459.756859198944</t>
  </si>
  <si>
    <t>-665.721087983623 19.7822602896683 -581.346209811717</t>
  </si>
  <si>
    <t>-659.782479816413 19.6824332878848 -659.480380563489</t>
  </si>
  <si>
    <t>-658.62756420724 53.458311416671 -529.424624797156</t>
  </si>
  <si>
    <t>-636.581698294844 206.806589255616 -511.100918110574</t>
  </si>
  <si>
    <t>-576.876332257482 236.243078319921 -236.970821575965</t>
  </si>
  <si>
    <t>-345.282821483768 235.625054698332 -254.651013522696</t>
  </si>
  <si>
    <t>-603.341832154135 132.856223626189 -96.9785350602632</t>
  </si>
  <si>
    <t>-628.356743702894 147.091170874774 317.598668483804</t>
  </si>
  <si>
    <t>-668.086747695305 182.355623567211 777.626770161197</t>
  </si>
  <si>
    <t>-517.393355691355 184.020385600148 833.952231800252</t>
  </si>
  <si>
    <t>-598.488093411298 -70.8143044561191 323.195620815651</t>
  </si>
  <si>
    <t>-654.418259983853 -109.407467777756 781.334909479856</t>
  </si>
  <si>
    <t>-500.304076546335 -125.822965109057 824.499450033338</t>
  </si>
  <si>
    <t>9763-20170724T115432.127716300.bin</t>
  </si>
  <si>
    <t>-596.11776331076 40.9882421667223 -92.707506208082</t>
  </si>
  <si>
    <t>-614.782523197303 36.4386326864212 -201.741429367876</t>
  </si>
  <si>
    <t>-627.808547361494 32.5407617138562 -293.616149487921</t>
  </si>
  <si>
    <t>-639.448671786494 28.9321738804715 -376.620047308748</t>
  </si>
  <si>
    <t>-650.398891615111 25.2410637604573 -459.713970278897</t>
  </si>
  <si>
    <t>-665.653072935222 19.741806458615 -581.295183141617</t>
  </si>
  <si>
    <t>-659.923292871402 19.5242747632685 -659.444597171964</t>
  </si>
  <si>
    <t>-658.540462724897 53.4787612253913 -529.415827266635</t>
  </si>
  <si>
    <t>-636.718958720754 206.893530831071 -511.380727166246</t>
  </si>
  <si>
    <t>-577.266723561809 236.616804934386 -237.226549695889</t>
  </si>
  <si>
    <t>-345.661304995318 236.183362655898 -254.756127152722</t>
  </si>
  <si>
    <t>-603.148760764641 133.190911109709 -97.0021267748191</t>
  </si>
  <si>
    <t>-628.233931156022 147.283480604387 317.575631571252</t>
  </si>
  <si>
    <t>-668.107329316465 182.376029770844 777.610481444502</t>
  </si>
  <si>
    <t>-517.415167536074 184.04597349065 833.939024829861</t>
  </si>
  <si>
    <t>-598.324701254259 -70.4530219292753 323.234668223832</t>
  </si>
  <si>
    <t>-654.428665436688 -109.39567213545 781.31480995065</t>
  </si>
  <si>
    <t>-500.28784609538 -125.747894337614 824.408201646573</t>
  </si>
  <si>
    <t>9763-20170724T115432.165818000.bin</t>
  </si>
  <si>
    <t>-595.958589303341 41.0897909298544 -92.7139588164688</t>
  </si>
  <si>
    <t>-614.651031289785 36.5252272264843 -201.742639832455</t>
  </si>
  <si>
    <t>-627.682418057172 32.6086156355216 -293.615859801922</t>
  </si>
  <si>
    <t>-639.320336974866 28.9803023309887 -376.618986602911</t>
  </si>
  <si>
    <t>-650.261215548838 25.2669430935393 -459.713181554255</t>
  </si>
  <si>
    <t>-665.493986203177 19.732037173653 -581.295616290052</t>
  </si>
  <si>
    <t>-659.871414193775 19.4813080750703 -659.452691899422</t>
  </si>
  <si>
    <t>-658.392480117699 53.4842052713282 -529.4245521192</t>
  </si>
  <si>
    <t>-636.695019091194 206.924642234663 -511.469560521666</t>
  </si>
  <si>
    <t>-577.430094474512 236.648815996999 -237.274771376187</t>
  </si>
  <si>
    <t>-345.819153085123 236.447397000496 -254.735308963701</t>
  </si>
  <si>
    <t>-602.963193722139 133.323833710541 -97.0139940511591</t>
  </si>
  <si>
    <t>-628.102412445577 147.346997526558 317.562826520343</t>
  </si>
  <si>
    <t>-668.1102982923 182.400386819296 777.593580121697</t>
  </si>
  <si>
    <t>-517.421764168859 184.012325006531 833.933456074707</t>
  </si>
  <si>
    <t>-598.221744830855 -70.3978477929088 323.24133095906</t>
  </si>
  <si>
    <t>-654.410981466642 -109.343877131936 781.310071614072</t>
  </si>
  <si>
    <t>-500.226370322844 -125.321571606439 824.387139189541</t>
  </si>
  <si>
    <t>9763-20170724T115432.233015200.bin</t>
  </si>
  <si>
    <t>-595.58199940834 41.1374276805657 -92.7116640809903</t>
  </si>
  <si>
    <t>-614.269355304317 36.5736232393758 -201.741274439797</t>
  </si>
  <si>
    <t>-627.238487863255 32.6669827451547 -293.623510924596</t>
  </si>
  <si>
    <t>-638.796671637104 29.0516599791542 -376.638538040205</t>
  </si>
  <si>
    <t>-649.634308111926 25.353956208997 -459.746863746967</t>
  </si>
  <si>
    <t>-664.69018086216 19.8446269205976 -581.352354209945</t>
  </si>
  <si>
    <t>-659.160064391163 19.6185219276983 -659.516208271689</t>
  </si>
  <si>
    <t>-657.644614631737 53.5856714382171 -529.466479151467</t>
  </si>
  <si>
    <t>-635.925837612376 207.038902192533 -511.578033813377</t>
  </si>
  <si>
    <t>-577.109038433474 236.852969726547 -237.2965940458</t>
  </si>
  <si>
    <t>-345.473267018891 236.892583298406 -254.425930306847</t>
  </si>
  <si>
    <t>-602.532485417281 133.39844576627 -97.01455432659</t>
  </si>
  <si>
    <t>-627.857841400218 147.362362243837 317.552989156726</t>
  </si>
  <si>
    <t>-668.130013677089 182.390942289825 777.557471060404</t>
  </si>
  <si>
    <t>-517.452115008505 184.100504718189 833.92294645238</t>
  </si>
  <si>
    <t>-598.005666433141 -70.3636988241381 323.258971579689</t>
  </si>
  <si>
    <t>-654.365087452117 -109.327810153974 781.311924439636</t>
  </si>
  <si>
    <t>-500.184604393332 -125.283364147705 824.41209654495</t>
  </si>
  <si>
    <t>9763-20170724T115432.263101500.bin</t>
  </si>
  <si>
    <t>-595.319446591148 41.051853574518 -92.6884483468842</t>
  </si>
  <si>
    <t>-614.024897525986 36.507095985874 -201.715692135013</t>
  </si>
  <si>
    <t>-626.996172439838 32.6049024821391 -293.598084502627</t>
  </si>
  <si>
    <t>-638.551177946329 28.9896483169755 -376.613468711788</t>
  </si>
  <si>
    <t>-649.380593790969 25.2871997064947 -459.722576741515</t>
  </si>
  <si>
    <t>-664.419047406226 19.7656695606718 -581.329722015141</t>
  </si>
  <si>
    <t>-658.912779603525 19.5302446626531 -659.495203211384</t>
  </si>
  <si>
    <t>-657.34975868719 53.5112195730096 -529.449917476928</t>
  </si>
  <si>
    <t>-635.469131304721 206.940253154638 -511.568858327211</t>
  </si>
  <si>
    <t>-576.98139053829 236.701111799756 -237.211331656756</t>
  </si>
  <si>
    <t>-345.326791304348 236.589755058141 -254.083625660755</t>
  </si>
  <si>
    <t>-602.173448753485 133.329051547227 -96.9964489566113</t>
  </si>
  <si>
    <t>-627.717783944663 147.303357597046 317.557233048775</t>
  </si>
  <si>
    <t>-668.153920878483 182.328673722352 777.541430649565</t>
  </si>
  <si>
    <t>-517.482241632271 184.210969378817 833.918005483075</t>
  </si>
  <si>
    <t>-597.937444137542 -70.5024557813922 323.260585992768</t>
  </si>
  <si>
    <t>-654.347865690322 -109.377378258258 781.317992705887</t>
  </si>
  <si>
    <t>-500.220284874877 -125.782307180208 824.438642811056</t>
  </si>
  <si>
    <t>9763-20170724T115432.328859400.bin</t>
  </si>
  <si>
    <t>-594.775960338045 40.9600444046207 -92.6837550454547</t>
  </si>
  <si>
    <t>-613.578980264253 36.4505872109999 -201.695805541822</t>
  </si>
  <si>
    <t>-626.63375278233 32.625543629202 -293.569466282983</t>
  </si>
  <si>
    <t>-638.264106092994 29.1007532869205 -376.578194835489</t>
  </si>
  <si>
    <t>-649.168477147835 25.50909058148 -459.682501026356</t>
  </si>
  <si>
    <t>-664.315723914689 20.1717684687858 -581.284232664084</t>
  </si>
  <si>
    <t>-658.846381734667 19.9994830351661 -659.452408584327</t>
  </si>
  <si>
    <t>-657.171772070934 53.838138601335 -529.363318128606</t>
  </si>
  <si>
    <t>-635.226173188359 207.220973917523 -511.244781639145</t>
  </si>
  <si>
    <t>-576.970959110538 236.595676054585 -236.79614992044</t>
  </si>
  <si>
    <t>-345.300507879066 236.161067274906 -253.443624074496</t>
  </si>
  <si>
    <t>-601.454617459641 133.405551101489 -97.006573225939</t>
  </si>
  <si>
    <t>-627.236552716841 147.190275453004 317.538840790713</t>
  </si>
  <si>
    <t>-668.145987741762 182.369370332275 777.482612626259</t>
  </si>
  <si>
    <t>-517.496868189113 184.147708264361 833.922901626469</t>
  </si>
  <si>
    <t>-597.637494221358 -70.6375966428516 323.259635325076</t>
  </si>
  <si>
    <t>-654.285359850637 -109.360826335211 781.317267790709</t>
  </si>
  <si>
    <t>-500.14816561528 -125.54983413243 824.485066401876</t>
  </si>
  <si>
    <t>9763-20170724T115432.360946500.bin</t>
  </si>
  <si>
    <t>-594.516875003609 40.9151267434895 -92.6816927347722</t>
  </si>
  <si>
    <t>-613.371320479759 36.3969717145956 -201.684403092132</t>
  </si>
  <si>
    <t>-626.463305526231 32.6241465426367 -293.554983772918</t>
  </si>
  <si>
    <t>-638.124233077097 29.1705653104009 -376.562427458588</t>
  </si>
  <si>
    <t>-649.05560777836 25.6743364983977 -459.667264558828</t>
  </si>
  <si>
    <t>-664.238015446 20.5031544986036 -581.271945615267</t>
  </si>
  <si>
    <t>-658.765945904933 20.4186982028243 -659.440039497186</t>
  </si>
  <si>
    <t>-657.082029272729 54.098624186603 -529.306590803769</t>
  </si>
  <si>
    <t>-635.175001803045 207.46893145016 -510.974416385434</t>
  </si>
  <si>
    <t>-576.972546110683 236.358874798334 -236.46323466338</t>
  </si>
  <si>
    <t>-345.310921356304 236.018181156343 -253.235240776488</t>
  </si>
  <si>
    <t>-601.131922778713 133.410522156776 -97.0113114588836</t>
  </si>
  <si>
    <t>-626.997867440624 147.176574474855 317.529429923541</t>
  </si>
  <si>
    <t>-668.137152942067 182.391101280531 777.446371425297</t>
  </si>
  <si>
    <t>-517.506098065174 184.198952376506 833.933990821851</t>
  </si>
  <si>
    <t>-597.489373740975 -70.678507649495 323.277695327316</t>
  </si>
  <si>
    <t>-654.233148347423 -109.368023405111 781.326271757566</t>
  </si>
  <si>
    <t>-500.125163544892 -125.674174063295 824.554310611975</t>
  </si>
  <si>
    <t>9763-20170724T115432.430132800.bin</t>
  </si>
  <si>
    <t>-594.050879306073 40.7106102860062 -92.6902340052096</t>
  </si>
  <si>
    <t>-612.943680501932 36.2228030701999 -201.687641001114</t>
  </si>
  <si>
    <t>-626.069340954982 32.5473061050702 -293.557221715062</t>
  </si>
  <si>
    <t>-637.760335243272 29.2106945905359 -376.565126290443</t>
  </si>
  <si>
    <t>-648.720981261287 25.8608077729364 -459.672268746843</t>
  </si>
  <si>
    <t>-663.944801305777 20.9361080086746 -581.282008651798</t>
  </si>
  <si>
    <t>-658.448372440742 21.0603723328118 -659.448351626459</t>
  </si>
  <si>
    <t>-656.806971052982 54.4267944683972 -529.246628343838</t>
  </si>
  <si>
    <t>-635.150958322279 207.787955992326 -510.494197799949</t>
  </si>
  <si>
    <t>-577.264147471947 235.581394842048 -235.803121884297</t>
  </si>
  <si>
    <t>-345.609535694968 235.168032400966 -252.67012078115</t>
  </si>
  <si>
    <t>-600.58810044471 133.223867246833 -96.9883698660361</t>
  </si>
  <si>
    <t>-626.738364412949 147.052360877092 317.532497068978</t>
  </si>
  <si>
    <t>-668.13082900866 182.398817309308 777.392255830444</t>
  </si>
  <si>
    <t>-517.534853561147 184.208163060363 833.973248276683</t>
  </si>
  <si>
    <t>-597.239795761918 -70.8866531034791 323.269412859867</t>
  </si>
  <si>
    <t>-654.124806995041 -109.383802680385 781.341351149475</t>
  </si>
  <si>
    <t>-500.028084027432 -125.48635745246 824.685654280078</t>
  </si>
  <si>
    <t>9763-20170724T115432.463224500.bin</t>
  </si>
  <si>
    <t>-593.923568806618 40.5271576971268 -92.7035829041376</t>
  </si>
  <si>
    <t>-612.799009455133 36.0585496368112 -201.704692109222</t>
  </si>
  <si>
    <t>-625.906791813535 32.4355552147056 -293.578989397607</t>
  </si>
  <si>
    <t>-637.579932768319 29.1604830570848 -376.591952471925</t>
  </si>
  <si>
    <t>-648.520751320528 25.8868152547275 -459.704702952326</t>
  </si>
  <si>
    <t>-663.71305307897 21.0896530535447 -581.323422722657</t>
  </si>
  <si>
    <t>-658.204567655515 21.3197836946297 -659.488739435359</t>
  </si>
  <si>
    <t>-656.608398484415 54.5261639549362 -529.248784101309</t>
  </si>
  <si>
    <t>-635.0614060477 207.86857534541 -510.275703553656</t>
  </si>
  <si>
    <t>-577.60888035183 235.260006333966 -235.452974588507</t>
  </si>
  <si>
    <t>-345.956883199655 234.586034324255 -252.347730794103</t>
  </si>
  <si>
    <t>-600.437737431538 133.096780051151 -96.9942479689042</t>
  </si>
  <si>
    <t>-626.646153155891 146.983497565757 317.521059410607</t>
  </si>
  <si>
    <t>-668.122401612013 182.406287312772 777.367266402056</t>
  </si>
  <si>
    <t>-517.548295383923 184.22879920856 834.005914835129</t>
  </si>
  <si>
    <t>-597.174309867211 -71.0793915813213 323.255457516444</t>
  </si>
  <si>
    <t>-654.071337103524 -109.417752850008 781.346061728287</t>
  </si>
  <si>
    <t>-500.067165674536 -126.165370360784 824.77480479886</t>
  </si>
  <si>
    <t>9763-20170724T115432.529296100.bin</t>
  </si>
  <si>
    <t>-593.931405918034 39.9466045525298 -92.7626895311786</t>
  </si>
  <si>
    <t>-612.749903068544 35.5156865627835 -201.775139080877</t>
  </si>
  <si>
    <t>-625.751381987905 32.0234930115389 -293.669783940001</t>
  </si>
  <si>
    <t>-637.303942780391 28.9058630105465 -376.705709995586</t>
  </si>
  <si>
    <t>-648.098865039699 25.8289110546327 -459.844855178028</t>
  </si>
  <si>
    <t>-663.049449219619 21.3625040569036 -581.506120210229</t>
  </si>
  <si>
    <t>-657.485186267128 21.7993244545719 -659.666580108346</t>
  </si>
  <si>
    <t>-656.100091057045 54.6581838526281 -529.320473700044</t>
  </si>
  <si>
    <t>-634.661128938693 207.941902968767 -509.783328876595</t>
  </si>
  <si>
    <t>-578.534451766066 234.945961156776 -234.648478783252</t>
  </si>
  <si>
    <t>-346.892591853314 233.757207297165 -251.653105873116</t>
  </si>
  <si>
    <t>-600.355779327137 132.676128855617 -97.0433515508043</t>
  </si>
  <si>
    <t>-626.642587332556 146.733827219533 317.461113080406</t>
  </si>
  <si>
    <t>-668.10047169578 182.383574522453 777.302909477307</t>
  </si>
  <si>
    <t>-517.578110874559 184.254213415201 834.077397952899</t>
  </si>
  <si>
    <t>-597.197249325722 -71.623298347723 323.188225480329</t>
  </si>
  <si>
    <t>-653.921537278475 -109.413747558351 781.370022506096</t>
  </si>
  <si>
    <t>-499.968661663627 -126.141058450487 824.988057053991</t>
  </si>
  <si>
    <t>9763-20170724T115432.563383600.bin</t>
  </si>
  <si>
    <t>-594.079115435632 39.6368646067031 -92.7904087231211</t>
  </si>
  <si>
    <t>-612.835780015175 35.2346613717827 -201.814761252301</t>
  </si>
  <si>
    <t>-625.738167505592 31.8175834246094 -293.726065196797</t>
  </si>
  <si>
    <t>-637.181753317727 28.7882726175917 -376.780173290387</t>
  </si>
  <si>
    <t>-647.847851042319 25.8200510361528 -459.940158559279</t>
  </si>
  <si>
    <t>-662.587806112997 21.5350068425571 -581.633615213976</t>
  </si>
  <si>
    <t>-656.943580029193 22.0938882771868 -659.787508704063</t>
  </si>
  <si>
    <t>-655.754948144921 54.7533394028719 -529.383118363151</t>
  </si>
  <si>
    <t>-634.351570893614 208.007371753014 -509.569342151573</t>
  </si>
  <si>
    <t>-579.095422380927 234.806595734924 -234.238282770121</t>
  </si>
  <si>
    <t>-347.464530665872 233.506545517866 -251.383739019678</t>
  </si>
  <si>
    <t>-600.466942051945 132.447154405924 -97.0567253552235</t>
  </si>
  <si>
    <t>-626.709003365334 146.609673231168 317.44703788953</t>
  </si>
  <si>
    <t>-668.099242129155 182.384965312498 777.291064988081</t>
  </si>
  <si>
    <t>-517.597836751413 184.325520859203 834.11868604168</t>
  </si>
  <si>
    <t>-597.287601041706 -71.8833264789989 323.161503739645</t>
  </si>
  <si>
    <t>-653.857082598375 -109.447506196524 781.381904532682</t>
  </si>
  <si>
    <t>-499.917616776116 -126.08861320021 825.080149328774</t>
  </si>
  <si>
    <t>9763-20170724T115432.629382600.bin</t>
  </si>
  <si>
    <t>-594.661905360318 39.0737329205067 -92.8360816096445</t>
  </si>
  <si>
    <t>-613.247690200305 34.7487345702614 -201.892726073589</t>
  </si>
  <si>
    <t>-625.924449754217 31.4488765257154 -293.839700569968</t>
  </si>
  <si>
    <t>-637.130989551152 28.5462310872765 -376.930841863008</t>
  </si>
  <si>
    <t>-647.52602794051 25.7258895036964 -460.130055461548</t>
  </si>
  <si>
    <t>-661.832307157372 21.6795896725621 -581.883592072331</t>
  </si>
  <si>
    <t>-655.944959628084 22.461210718187 -660.017574212184</t>
  </si>
  <si>
    <t>-655.226485782304 54.7959962350274 -529.539346211647</t>
  </si>
  <si>
    <t>-634.01886406611 208.027970078367 -509.347004959021</t>
  </si>
  <si>
    <t>-580.27055966884 234.351618273925 -233.671975241705</t>
  </si>
  <si>
    <t>-348.621464222416 233.081843032167 -250.572000712608</t>
  </si>
  <si>
    <t>-600.950317297147 132.009711186369 -97.0754627320676</t>
  </si>
  <si>
    <t>-627.087776405529 146.407971097324 317.426771177445</t>
  </si>
  <si>
    <t>-668.126026846799 182.373488677905 777.290394910798</t>
  </si>
  <si>
    <t>-517.637033241289 184.306760452848 834.151186845178</t>
  </si>
  <si>
    <t>-597.862479713416 -72.441181949318 323.070951668425</t>
  </si>
  <si>
    <t>-653.764131633098 -109.447695087252 781.403471618478</t>
  </si>
  <si>
    <t>-499.850938203333 -126.026079185515 825.217893147909</t>
  </si>
  <si>
    <t>9763-20170724T115432.663473300.bin</t>
  </si>
  <si>
    <t>-595.068435094134 38.8737325892555 -92.8524876310222</t>
  </si>
  <si>
    <t>-613.632883587823 34.5803452792279 -201.914009316845</t>
  </si>
  <si>
    <t>-626.23924395327 31.3338097232529 -293.872565049004</t>
  </si>
  <si>
    <t>-637.360883001286 28.4898216476158 -376.977146345911</t>
  </si>
  <si>
    <t>-647.649463466494 25.7381314752508 -460.191896816625</t>
  </si>
  <si>
    <t>-661.776237292022 21.8033092603926 -581.969944212174</t>
  </si>
  <si>
    <t>-655.723751120296 22.6708910566626 -660.090535675191</t>
  </si>
  <si>
    <t>-655.262522942311 54.8719321312974 -529.584048145051</t>
  </si>
  <si>
    <t>-634.142801334657 208.096756287711 -509.229625398608</t>
  </si>
  <si>
    <t>-580.845293994423 234.163307378994 -233.44239771261</t>
  </si>
  <si>
    <t>-349.180580211706 232.91329997326 -250.128168301311</t>
  </si>
  <si>
    <t>-601.354038669174 131.842128072575 -97.0806012350181</t>
  </si>
  <si>
    <t>-627.346242125815 146.321907213924 317.427884764262</t>
  </si>
  <si>
    <t>-668.146802462714 182.368809500415 777.301834306872</t>
  </si>
  <si>
    <t>-517.652044271757 184.273143990055 834.148389314846</t>
  </si>
  <si>
    <t>-598.193193561924 -72.6068411231358 323.026438605258</t>
  </si>
  <si>
    <t>-653.731712395935 -109.424494238782 781.415594169736</t>
  </si>
  <si>
    <t>-499.793400256176 -125.714799855471 825.249882481024</t>
  </si>
  <si>
    <t>9763-20170724T115432.732224400.bin</t>
  </si>
  <si>
    <t>-596.001284483169 38.5745821532068 -92.9021474297125</t>
  </si>
  <si>
    <t>-614.627354994259 34.3009878265204 -201.953935123451</t>
  </si>
  <si>
    <t>-627.183134137114 31.1383841556017 -293.922416309206</t>
  </si>
  <si>
    <t>-638.217101806404 28.3957351395934 -377.041942920472</t>
  </si>
  <si>
    <t>-648.375587914207 25.770505053845 -460.27691103933</t>
  </si>
  <si>
    <t>-662.264997887517 22.0475569651076 -582.08882908419</t>
  </si>
  <si>
    <t>-655.833678727944 23.0022155783695 -660.178110444848</t>
  </si>
  <si>
    <t>-655.863095687147 55.025191977227 -529.631682251537</t>
  </si>
  <si>
    <t>-634.884959603259 208.227765596505 -509.008712936228</t>
  </si>
  <si>
    <t>-581.709096499372 233.525635025403 -233.126626963222</t>
  </si>
  <si>
    <t>-350.018849742484 232.560390609963 -249.473735663148</t>
  </si>
  <si>
    <t>-602.373923032039 131.547608993269 -97.1093111567674</t>
  </si>
  <si>
    <t>-627.858219658234 146.216494394357 317.424156017682</t>
  </si>
  <si>
    <t>-668.20118601239 182.359513042725 777.345816233133</t>
  </si>
  <si>
    <t>-517.677140178857 184.13956827823 834.118728742628</t>
  </si>
  <si>
    <t>-598.648467318959 -72.7299388981262 322.954876938313</t>
  </si>
  <si>
    <t>-653.695319727975 -109.460807946859 781.419836628839</t>
  </si>
  <si>
    <t>-499.801010373075 -126.079472043766 825.285369434953</t>
  </si>
  <si>
    <t>9763-20170724T115432.765311600.bin</t>
  </si>
  <si>
    <t>-596.507578995556 38.4414296712519 -92.9266570904153</t>
  </si>
  <si>
    <t>-615.22112574572 34.1686934323379 -201.963557523021</t>
  </si>
  <si>
    <t>-627.802286015904 31.034550049342 -293.929525165673</t>
  </si>
  <si>
    <t>-638.839489142379 28.3277213050269 -377.049813173875</t>
  </si>
  <si>
    <t>-648.981226214667 25.7486268819418 -460.288081173866</t>
  </si>
  <si>
    <t>-662.824058677665 22.1041159241788 -582.107817916246</t>
  </si>
  <si>
    <t>-656.208995455144 23.0759027087229 -660.18157873407</t>
  </si>
  <si>
    <t>-656.451175015333 55.0479963434605 -529.626107384365</t>
  </si>
  <si>
    <t>-635.592882259212 208.261283469166 -508.920771682534</t>
  </si>
  <si>
    <t>-582.103926064807 233.155480636493 -233.062619304457</t>
  </si>
  <si>
    <t>-350.402418387989 232.326057275206 -249.256923115689</t>
  </si>
  <si>
    <t>-602.953004394062 131.400560598777 -97.1182924847827</t>
  </si>
  <si>
    <t>-628.114881808794 146.104336980916 317.433602087509</t>
  </si>
  <si>
    <t>-668.253084533904 182.247266632397 777.37627992049</t>
  </si>
  <si>
    <t>-517.712535552866 184.235649985953 834.098553990286</t>
  </si>
  <si>
    <t>-598.749995619392 -72.7165103174798 322.937325970398</t>
  </si>
  <si>
    <t>-653.653314960089 -109.439650027106 781.414232749861</t>
  </si>
  <si>
    <t>-499.770537065451 -126.004537157495 825.340576255488</t>
  </si>
  <si>
    <t>9763-20170724T115432.829362400.bin</t>
  </si>
  <si>
    <t>-597.375094882033 38.3946457794682 -92.9244031349338</t>
  </si>
  <si>
    <t>-616.339120334474 34.1103562327712 -201.917569730219</t>
  </si>
  <si>
    <t>-629.018363961611 30.9993555192946 -293.870778387085</t>
  </si>
  <si>
    <t>-640.098381012048 28.3245484254401 -376.986442292724</t>
  </si>
  <si>
    <t>-650.236809722044 25.7878365719369 -460.226593634034</t>
  </si>
  <si>
    <t>-664.023957277392 22.2156230074424 -582.054561786743</t>
  </si>
  <si>
    <t>-657.047094486346 23.171777236967 -660.097086660191</t>
  </si>
  <si>
    <t>-657.660383361284 55.1282063670967 -529.552090752429</t>
  </si>
  <si>
    <t>-636.908683810931 208.350398023031 -508.821255190498</t>
  </si>
  <si>
    <t>-582.473587420103 232.603667145489 -233.09109077694</t>
  </si>
  <si>
    <t>-350.756861132045 232.271471048877 -249.084125568924</t>
  </si>
  <si>
    <t>-604.006033369133 131.33186791512 -97.0972309185827</t>
  </si>
  <si>
    <t>-628.452262471925 146.032534351098 317.497604682977</t>
  </si>
  <si>
    <t>-668.300408649408 182.25981568559 777.456586766237</t>
  </si>
  <si>
    <t>-517.71579824268 184.062615778685 834.067894877629</t>
  </si>
  <si>
    <t>-598.730444187462 -72.4505784282344 322.961551368897</t>
  </si>
  <si>
    <t>-653.517369479503 -109.396730756536 781.439965099224</t>
  </si>
  <si>
    <t>-499.645215199388 -125.58881383155 825.542110582733</t>
  </si>
  <si>
    <t>9763-20170724T115432.864454100.bin</t>
  </si>
  <si>
    <t>-597.727190199594 38.4514555061783 -92.8902113920943</t>
  </si>
  <si>
    <t>-616.836352320601 34.1701143295084 -201.85815754699</t>
  </si>
  <si>
    <t>-629.586206191137 31.0712272352171 -293.802108119943</t>
  </si>
  <si>
    <t>-640.708962470592 28.4106151837011 -376.912470983909</t>
  </si>
  <si>
    <t>-650.869083781938 25.8904397937627 -460.15043530614</t>
  </si>
  <si>
    <t>-664.664695510198 22.3445374892665 -581.97838347208</t>
  </si>
  <si>
    <t>-657.542235448687 23.2785612211424 -660.007861533762</t>
  </si>
  <si>
    <t>-658.273640567305 55.2454616116881 -529.471823000039</t>
  </si>
  <si>
    <t>-637.396847111463 208.451570894323 -508.731648176586</t>
  </si>
  <si>
    <t>-582.352115728205 232.640535829746 -233.11688396057</t>
  </si>
  <si>
    <t>-350.642053568905 232.420220343808 -249.208451534741</t>
  </si>
  <si>
    <t>-604.468093913358 131.286123408433 -97.0451470237477</t>
  </si>
  <si>
    <t>-628.597263829566 145.939406523514 317.569945221876</t>
  </si>
  <si>
    <t>-668.326107396481 182.265656921527 777.523801060819</t>
  </si>
  <si>
    <t>-517.712129301352 183.942351243395 834.060888014846</t>
  </si>
  <si>
    <t>-598.623803059368 -72.1344774938234 322.999530621546</t>
  </si>
  <si>
    <t>-653.475796442379 -109.359862503234 781.439384025739</t>
  </si>
  <si>
    <t>-499.600661231646 -125.352897867283 825.603823064396</t>
  </si>
  <si>
    <t>9763-20170724T115432.928351200.bin</t>
  </si>
  <si>
    <t>-598.205804629209 38.772298238091 -92.7890731217146</t>
  </si>
  <si>
    <t>-617.683370229754 34.5224154901407 -201.692987323324</t>
  </si>
  <si>
    <t>-630.65751465499 31.428902748816 -293.605650864711</t>
  </si>
  <si>
    <t>-641.948377471316 28.763289775382 -376.6931565863</t>
  </si>
  <si>
    <t>-652.242367299137 26.2270413888382 -459.914199261173</t>
  </si>
  <si>
    <t>-666.19616950535 22.644430773955 -581.723016888531</t>
  </si>
  <si>
    <t>-658.888188880737 23.4747344541499 -659.736529934248</t>
  </si>
  <si>
    <t>-659.688480792525 55.5604181879751 -529.240204240671</t>
  </si>
  <si>
    <t>-638.689959993026 208.766369379018 -508.643809896342</t>
  </si>
  <si>
    <t>-581.965001545421 232.806800930164 -233.356839296281</t>
  </si>
  <si>
    <t>-350.276928384669 232.652618953692 -249.762403295515</t>
  </si>
  <si>
    <t>-605.186005274391 131.409933467252 -96.8988867505594</t>
  </si>
  <si>
    <t>-629.212288200589 145.762192038939 317.732726972771</t>
  </si>
  <si>
    <t>-668.371249466523 182.28743022344 777.704934294222</t>
  </si>
  <si>
    <t>-517.69614620515 183.816156248163 834.08307757242</t>
  </si>
  <si>
    <t>-598.374574041694 -71.3997976992896 323.079245487046</t>
  </si>
  <si>
    <t>-653.446049002686 -109.300705956106 781.419092530804</t>
  </si>
  <si>
    <t>-499.528020832297 -124.84994318616 825.592450577355</t>
  </si>
  <si>
    <t>9763-20170724T115432.961454500.bin</t>
  </si>
  <si>
    <t>-598.347279969749 38.9564271745842 -92.7409128736199</t>
  </si>
  <si>
    <t>-618.008249358854 34.715310909402 -201.61218028071</t>
  </si>
  <si>
    <t>-631.121817533468 31.6333001326816 -293.505468878937</t>
  </si>
  <si>
    <t>-642.532442916598 28.9795104621978 -376.576982497874</t>
  </si>
  <si>
    <t>-652.940029708865 26.4557371753876 -459.784219321857</t>
  </si>
  <si>
    <t>-667.053038260545 22.8920621787465 -581.575351485873</t>
  </si>
  <si>
    <t>-659.718330263591 23.6722713756913 -659.586864999168</t>
  </si>
  <si>
    <t>-660.447779860488 55.7993982979674 -529.099402402214</t>
  </si>
  <si>
    <t>-639.305821254669 208.990106270684 -508.53000716174</t>
  </si>
  <si>
    <t>-581.669249661371 233.012152125119 -233.430833631702</t>
  </si>
  <si>
    <t>-350.007210861657 232.843612692276 -250.199726006938</t>
  </si>
  <si>
    <t>-605.410041151681 131.51512008424 -96.8331465455345</t>
  </si>
  <si>
    <t>-629.28537281954 145.780968056266 317.810147050929</t>
  </si>
  <si>
    <t>-668.383343506558 182.267898426143 777.798821202461</t>
  </si>
  <si>
    <t>-517.685973704434 183.811028102951 834.117182124115</t>
  </si>
  <si>
    <t>-598.217801019703 -71.0559614746826 323.12438714849</t>
  </si>
  <si>
    <t>-653.455622641156 -109.288539509999 781.402070503357</t>
  </si>
  <si>
    <t>-499.547857951645 -124.979913215653 825.560952781307</t>
  </si>
  <si>
    <t>9763-20170724T115433.029311400.bin</t>
  </si>
  <si>
    <t>-598.287545655058 39.3655990007489 -92.6399102626033</t>
  </si>
  <si>
    <t>-618.345627427949 35.1374334811635 -201.439276231958</t>
  </si>
  <si>
    <t>-631.773802305831 32.0632252960127 -293.287307084128</t>
  </si>
  <si>
    <t>-643.460613800272 29.4158406348861 -376.32073604525</t>
  </si>
  <si>
    <t>-654.136543195621 26.8970285879484 -459.494159015676</t>
  </si>
  <si>
    <t>-668.633261755475 23.3384887186328 -581.240241659757</t>
  </si>
  <si>
    <t>-661.329351379861 24.0290924716824 -659.255455887424</t>
  </si>
  <si>
    <t>-661.809075899841 56.2425977629334 -528.79031301881</t>
  </si>
  <si>
    <t>-640.395291051707 209.410625979302 -508.343002151044</t>
  </si>
  <si>
    <t>-581.165884446694 233.469760508597 -233.585684645295</t>
  </si>
  <si>
    <t>-349.547444069112 233.0470117004 -250.942358740819</t>
  </si>
  <si>
    <t>-605.300224950273 131.910687973784 -96.7057045133963</t>
  </si>
  <si>
    <t>-629.007125027982 145.894852513985 317.956846263013</t>
  </si>
  <si>
    <t>-668.385271841857 182.253532298409 777.948155215905</t>
  </si>
  <si>
    <t>-517.673856540777 183.828362762058 834.227942304581</t>
  </si>
  <si>
    <t>-597.866506417215 -70.3420515005157 323.209167673759</t>
  </si>
  <si>
    <t>-653.515634626157 -109.2048872373 781.368540788288</t>
  </si>
  <si>
    <t>-499.546858727644 -124.647494516406 825.402248877485</t>
  </si>
  <si>
    <t>9763-20170724T115433.062398900.bin</t>
  </si>
  <si>
    <t>-598.148367253003 39.6206524157988 -92.5909478775219</t>
  </si>
  <si>
    <t>-618.436457025846 35.4060361203294 -201.348213567675</t>
  </si>
  <si>
    <t>-632.028498380078 32.3352926697319 -293.172275927124</t>
  </si>
  <si>
    <t>-643.851399656661 29.6886217031874 -376.186305257858</t>
  </si>
  <si>
    <t>-654.651638461505 27.1671847184839 -459.3437132589</t>
  </si>
  <si>
    <t>-669.317166167888 23.6012224219837 -581.069298718577</t>
  </si>
  <si>
    <t>-662.054935139735 24.2508691799587 -659.088898860904</t>
  </si>
  <si>
    <t>-662.386534666279 56.5080191613515 -528.635006737218</t>
  </si>
  <si>
    <t>-640.823283359392 209.66499666326 -508.277442549839</t>
  </si>
  <si>
    <t>-581.027143237607 233.805568326295 -233.649924321871</t>
  </si>
  <si>
    <t>-349.421540320356 233.188610478724 -251.170996222386</t>
  </si>
  <si>
    <t>-605.079291006367 132.155152401374 -96.6374088509468</t>
  </si>
  <si>
    <t>-628.771296787568 145.944417303843 318.032495031359</t>
  </si>
  <si>
    <t>-668.390287375553 182.213114970666 778.010468817227</t>
  </si>
  <si>
    <t>-517.681334393746 183.878844356852 834.294306414372</t>
  </si>
  <si>
    <t>-597.624300824057 -69.9675887598628 323.259617854455</t>
  </si>
  <si>
    <t>-653.545471391416 -109.163966909199 781.354632842256</t>
  </si>
  <si>
    <t>-499.546312534822 -124.479135294799 825.326529249462</t>
  </si>
  <si>
    <t>9763-20170724T115433.128116500.bin</t>
  </si>
  <si>
    <t>-597.837390006534 40.1320116152349 -92.4988364035748</t>
  </si>
  <si>
    <t>-618.542931368203 35.9387225866171 -201.178135200399</t>
  </si>
  <si>
    <t>-632.449531686259 32.8749320514987 -292.955332384393</t>
  </si>
  <si>
    <t>-644.541768587491 30.2322777540053 -375.93084721984</t>
  </si>
  <si>
    <t>-655.596761518276 27.7108974830398 -459.054552089768</t>
  </si>
  <si>
    <t>-670.618697722493 24.1404322359938 -580.736661993303</t>
  </si>
  <si>
    <t>-663.484906872254 24.7069497894681 -658.768682830009</t>
  </si>
  <si>
    <t>-663.456874106798 57.0475857606982 -528.333671567344</t>
  </si>
  <si>
    <t>-641.47494680873 210.167407081335 -508.110789239458</t>
  </si>
  <si>
    <t>-580.903026055184 234.423522708643 -233.663726579676</t>
  </si>
  <si>
    <t>-349.302664061903 233.510958906916 -251.241544064524</t>
  </si>
  <si>
    <t>-604.561195010953 132.766970699176 -96.5241363047626</t>
  </si>
  <si>
    <t>-628.262921903968 146.1510284642 318.158503970857</t>
  </si>
  <si>
    <t>-668.360092691021 182.254063543611 778.107732104736</t>
  </si>
  <si>
    <t>-517.659726521113 183.805569959618 834.417742783676</t>
  </si>
  <si>
    <t>-597.07697055842 -69.256783043302 323.376783251153</t>
  </si>
  <si>
    <t>-653.574385509141 -109.162024009097 781.344599438389</t>
  </si>
  <si>
    <t>-499.597020581616 -124.871269599854 825.253786612936</t>
  </si>
  <si>
    <t>9763-20170724T115433.160201500.bin</t>
  </si>
  <si>
    <t>-597.698220362095 40.4031861951635 -92.447762551909</t>
  </si>
  <si>
    <t>-618.557216579798 36.2277704736946 -201.098432437863</t>
  </si>
  <si>
    <t>-632.6045106454 33.1714596984793 -292.854523755861</t>
  </si>
  <si>
    <t>-644.828501664222 30.5335838172882 -375.810767507444</t>
  </si>
  <si>
    <t>-656.019982595864 28.0146467926861 -458.916322865998</t>
  </si>
  <si>
    <t>-671.246985687097 24.4444423655127 -580.573068598919</t>
  </si>
  <si>
    <t>-664.206471918283 24.9914517529285 -658.613571981829</t>
  </si>
  <si>
    <t>-663.956536361617 57.3504960038258 -528.187008301511</t>
  </si>
  <si>
    <t>-641.768119578679 210.445817786517 -508.033666436941</t>
  </si>
  <si>
    <t>-580.942918992571 234.783048836746 -233.649605563275</t>
  </si>
  <si>
    <t>-349.34560333668 233.776571602726 -251.262411402192</t>
  </si>
  <si>
    <t>-604.349662535487 133.060582965305 -96.4699075040007</t>
  </si>
  <si>
    <t>-628.090920626588 146.261977485273 318.216374041401</t>
  </si>
  <si>
    <t>-668.348712287494 182.25928560146 778.160455039618</t>
  </si>
  <si>
    <t>-517.653217914346 183.796141296225 834.483900901616</t>
  </si>
  <si>
    <t>-596.777284866633 -68.858238323324 323.439298779636</t>
  </si>
  <si>
    <t>-653.596836897251 -109.143356305201 781.335703548198</t>
  </si>
  <si>
    <t>-499.627127369117 -125.052349060599 825.199749306933</t>
  </si>
  <si>
    <t>9763-20170724T115433.228860700.bin</t>
  </si>
  <si>
    <t>-597.502167098338 40.8685475453042 -92.3280921976578</t>
  </si>
  <si>
    <t>-618.591376178527 36.7416508532344 -200.936164343322</t>
  </si>
  <si>
    <t>-632.85251458084 33.7058847252038 -292.659749088286</t>
  </si>
  <si>
    <t>-645.277961253897 31.0802040801243 -375.586647678374</t>
  </si>
  <si>
    <t>-656.679492388381 28.5660311456643 -458.663842323856</t>
  </si>
  <si>
    <t>-672.223005432604 24.9949767046433 -580.280306367113</t>
  </si>
  <si>
    <t>-665.368922640896 25.5230577040675 -658.337658632065</t>
  </si>
  <si>
    <t>-664.725993359255 57.8997118184229 -527.922691217473</t>
  </si>
  <si>
    <t>-642.185922176572 210.974358865999 -507.965870225344</t>
  </si>
  <si>
    <t>-580.890467665784 235.44005207706 -233.697900349141</t>
  </si>
  <si>
    <t>-349.307406945513 234.133365692236 -251.477598375144</t>
  </si>
  <si>
    <t>-603.99609774874 133.535001233426 -96.3426443456424</t>
  </si>
  <si>
    <t>-627.824178772591 146.523050643589 318.345403631343</t>
  </si>
  <si>
    <t>-668.318308127426 182.330265744198 778.284552630992</t>
  </si>
  <si>
    <t>-517.626304086423 183.70294744076 834.621532434266</t>
  </si>
  <si>
    <t>-596.285969478103 -68.2221193791752 323.544422283665</t>
  </si>
  <si>
    <t>-653.625809186245 -109.063023454751 781.316297818401</t>
  </si>
  <si>
    <t>-499.621776387751 -124.801195568691 825.121454962688</t>
  </si>
  <si>
    <t>9763-20170724T115433.262952000.bin</t>
  </si>
  <si>
    <t>-597.479035546766 40.9727567176383 -92.2733473060175</t>
  </si>
  <si>
    <t>-618.639042213071 36.8800471342277 -200.868844977599</t>
  </si>
  <si>
    <t>-632.961677626071 33.8540787039774 -292.583433540832</t>
  </si>
  <si>
    <t>-645.443459748681 31.2309295561763 -375.501705466421</t>
  </si>
  <si>
    <t>-656.902462369162 28.7119605960163 -458.570910138594</t>
  </si>
  <si>
    <t>-672.531239986763 25.1263418351791 -580.176097503904</t>
  </si>
  <si>
    <t>-665.743301723293 25.6346401586809 -658.239330438694</t>
  </si>
  <si>
    <t>-664.969699177792 58.0365535252383 -527.831256241982</t>
  </si>
  <si>
    <t>-642.301140776993 211.103836380401 -507.959262519162</t>
  </si>
  <si>
    <t>-580.7408536624 235.584536282887 -233.751984621171</t>
  </si>
  <si>
    <t>-349.172382392746 234.087645910542 -251.705647135827</t>
  </si>
  <si>
    <t>-603.912431042851 133.657985672923 -96.2743451349777</t>
  </si>
  <si>
    <t>-627.73418111278 146.524097323937 318.417802385148</t>
  </si>
  <si>
    <t>-668.317086536439 182.298297103127 778.346121315108</t>
  </si>
  <si>
    <t>-517.625710460367 183.742218609122 834.683012385939</t>
  </si>
  <si>
    <t>-596.133167141146 -68.0242491423423 323.584285727158</t>
  </si>
  <si>
    <t>-653.613906342445 -109.018908633357 781.319974753759</t>
  </si>
  <si>
    <t>-499.589391043404 -124.524096952498 825.13623862784</t>
  </si>
  <si>
    <t>9763-20170724T115433.327950700.bin</t>
  </si>
  <si>
    <t>-597.611651841955 40.9679645779586 -92.1996251131685</t>
  </si>
  <si>
    <t>-618.840878549475 36.953473658112 -200.784655790625</t>
  </si>
  <si>
    <t>-633.244985080978 33.9570501961628 -292.487344316235</t>
  </si>
  <si>
    <t>-645.810243446653 31.3476176962615 -375.393504098292</t>
  </si>
  <si>
    <t>-657.362758986146 28.8289272170855 -458.449795684159</t>
  </si>
  <si>
    <t>-673.139681871416 25.2284884360174 -580.035271682948</t>
  </si>
  <si>
    <t>-666.447105603685 25.6856712526421 -658.107120156248</t>
  </si>
  <si>
    <t>-665.454326261058 58.1434606880709 -527.711489670391</t>
  </si>
  <si>
    <t>-642.622791328047 211.214803021669 -508.072424626687</t>
  </si>
  <si>
    <t>-580.610358800606 235.815927472827 -233.977842949713</t>
  </si>
  <si>
    <t>-349.069669712857 233.988812529829 -252.256272102292</t>
  </si>
  <si>
    <t>-603.925784753947 133.712815675375 -96.1620162007506</t>
  </si>
  <si>
    <t>-627.79761475507 146.449591687028 318.531312079085</t>
  </si>
  <si>
    <t>-668.282219517018 182.359525138745 778.462000351075</t>
  </si>
  <si>
    <t>-517.587762524042 183.649823876119 834.794387990644</t>
  </si>
  <si>
    <t>-596.125467872106 -67.8956843282915 323.626207354953</t>
  </si>
  <si>
    <t>-653.594162843561 -108.991950578232 781.332593595145</t>
  </si>
  <si>
    <t>-499.601864098365 -124.702857499502 825.188803603275</t>
  </si>
  <si>
    <t>9763-20170724T115433.362068100.bin</t>
  </si>
  <si>
    <t>-597.734292789061 40.8712044225897 -92.1702519102743</t>
  </si>
  <si>
    <t>-618.965516513509 36.8906403545839 -200.756041036283</t>
  </si>
  <si>
    <t>-633.393578328314 33.9157788173288 -292.455730893576</t>
  </si>
  <si>
    <t>-645.989483053382 31.3241887157822 -375.357834315746</t>
  </si>
  <si>
    <t>-657.581820071853 28.821119829003 -458.40896163859</t>
  </si>
  <si>
    <t>-673.427023561852 25.241363588357 -579.986325411189</t>
  </si>
  <si>
    <t>-666.761841022348 25.6855384945436 -658.060442381582</t>
  </si>
  <si>
    <t>-665.685021847877 58.1465531411247 -527.664650480057</t>
  </si>
  <si>
    <t>-642.726417638746 211.208355290004 -508.104445342856</t>
  </si>
  <si>
    <t>-580.55646033936 235.946999251578 -234.057945278247</t>
  </si>
  <si>
    <t>-349.027027095301 233.980604693159 -252.464047928206</t>
  </si>
  <si>
    <t>-603.98067846305 133.583996502934 -96.1171833512307</t>
  </si>
  <si>
    <t>-627.867190768903 146.376714821229 318.573520662831</t>
  </si>
  <si>
    <t>-668.281323572656 182.324621710309 778.513297205503</t>
  </si>
  <si>
    <t>-517.585575077281 183.630832117052 834.841809205503</t>
  </si>
  <si>
    <t>-596.279428292305 -67.9076566584135 323.630840844628</t>
  </si>
  <si>
    <t>-653.579351053282 -108.993175570809 781.342491337773</t>
  </si>
  <si>
    <t>-499.585895102114 -124.614697011545 825.226596469236</t>
  </si>
  <si>
    <t>9763-20170724T115433.428232500.bin</t>
  </si>
  <si>
    <t>-598.072914072261 40.5388611113517 -92.1643572437833</t>
  </si>
  <si>
    <t>-619.252097690451 36.6351936216824 -200.763249944337</t>
  </si>
  <si>
    <t>-633.626760119511 33.7220287560756 -292.473154005189</t>
  </si>
  <si>
    <t>-646.170783351364 31.1866215257899 -375.384795263328</t>
  </si>
  <si>
    <t>-657.707453429162 28.7395098591949 -458.445465005256</t>
  </si>
  <si>
    <t>-673.467120874328 25.2415282230252 -580.03624441759</t>
  </si>
  <si>
    <t>-666.739454525076 25.6845152869048 -658.105062678565</t>
  </si>
  <si>
    <t>-665.718784325782 58.1103401302269 -527.692521079909</t>
  </si>
  <si>
    <t>-642.573031441333 211.144342105858 -508.175197608738</t>
  </si>
  <si>
    <t>-580.305988278837 236.070612110846 -234.167826525749</t>
  </si>
  <si>
    <t>-348.799931869713 234.003696803162 -252.854607411368</t>
  </si>
  <si>
    <t>-604.094030046954 133.278693591691 -96.0772401480859</t>
  </si>
  <si>
    <t>-627.973116053078 146.144800020751 318.611657169356</t>
  </si>
  <si>
    <t>-668.268657988553 182.289102916779 778.566198538454</t>
  </si>
  <si>
    <t>-517.574596641532 183.690763890656 834.897070762314</t>
  </si>
  <si>
    <t>-596.726822055604 -68.1634765297915 323.596026960686</t>
  </si>
  <si>
    <t>-653.575494140775 -109.022528221369 781.366096642761</t>
  </si>
  <si>
    <t>-499.618251816123 -124.929352926641 825.274663053255</t>
  </si>
  <si>
    <t>9763-20170724T115433.461319300.bin</t>
  </si>
  <si>
    <t>-598.247034113487 40.3575330025658 -92.2023523592102</t>
  </si>
  <si>
    <t>-619.350126184196 36.4802807583526 -200.81688903841</t>
  </si>
  <si>
    <t>-633.641069576625 33.593499894193 -292.540870121158</t>
  </si>
  <si>
    <t>-646.101478825292 31.0846561918838 -375.46597820721</t>
  </si>
  <si>
    <t>-657.546524182964 28.6658252697157 -458.539947888451</t>
  </si>
  <si>
    <t>-673.163292418961 25.2114619109213 -580.150469661354</t>
  </si>
  <si>
    <t>-666.343196780759 25.663617876819 -658.211378616032</t>
  </si>
  <si>
    <t>-665.452449127448 58.0607506142578 -527.789076061254</t>
  </si>
  <si>
    <t>-642.216333531192 211.083759199505 -508.227601968031</t>
  </si>
  <si>
    <t>-580.125977347876 236.085351281975 -234.186816666409</t>
  </si>
  <si>
    <t>-348.631176400889 233.991047291928 -253.009867262798</t>
  </si>
  <si>
    <t>-604.141026758893 133.099061155226 -96.0864242969002</t>
  </si>
  <si>
    <t>-628.041377141011 146.079900758118 318.597727175236</t>
  </si>
  <si>
    <t>-668.265525089816 182.278848980858 778.576236062272</t>
  </si>
  <si>
    <t>-517.572529015734 183.657508593835 834.910435099541</t>
  </si>
  <si>
    <t>-596.995652382121 -68.3446061973693 323.558465155666</t>
  </si>
  <si>
    <t>-653.559071371352 -109.047849266582 781.377870324319</t>
  </si>
  <si>
    <t>-499.605194696511 -124.873040508772 825.327702889684</t>
  </si>
  <si>
    <t>9763-20170724T115433.529055300.bin</t>
  </si>
  <si>
    <t>-598.423719713071 39.9794992335196 -92.2463299318572</t>
  </si>
  <si>
    <t>-619.329350515932 36.1213340025895 -200.899755092092</t>
  </si>
  <si>
    <t>-633.416903195169 33.2576019407934 -292.655842054176</t>
  </si>
  <si>
    <t>-645.67871503682 30.7726490831458 -375.611198549455</t>
  </si>
  <si>
    <t>-656.909943243668 28.3804858728865 -458.715160976822</t>
  </si>
  <si>
    <t>-672.197334897225 24.9679041308907 -580.368757254743</t>
  </si>
  <si>
    <t>-665.1061830855 25.4335070180364 -658.405377309372</t>
  </si>
  <si>
    <t>-664.602435039508 57.7984049153047 -527.978661779794</t>
  </si>
  <si>
    <t>-641.288281774041 210.811563066257 -508.430181624929</t>
  </si>
  <si>
    <t>-579.989096535338 236.04883740297 -234.232982917826</t>
  </si>
  <si>
    <t>-348.490670904992 233.6875368204 -252.979998933413</t>
  </si>
  <si>
    <t>-604.140352628565 132.74280248063 -96.1306552346025</t>
  </si>
  <si>
    <t>-628.047722938315 146.012793180945 318.543872548593</t>
  </si>
  <si>
    <t>-668.252686978048 182.287893438353 778.535048344854</t>
  </si>
  <si>
    <t>-517.571134037308 183.600626548744 834.90144875469</t>
  </si>
  <si>
    <t>-597.532414993691 -68.8087588634689 323.49777136032</t>
  </si>
  <si>
    <t>-653.51246545895 -109.079385979479 781.42676995595</t>
  </si>
  <si>
    <t>-499.572531713899 -124.816039135346 825.457160050011</t>
  </si>
  <si>
    <t>9763-20170724T115433.563145900.bin</t>
  </si>
  <si>
    <t>-598.458718910572 39.8194685927331 -92.2858574859147</t>
  </si>
  <si>
    <t>-619.229734058019 35.9555910726324 -200.964801069864</t>
  </si>
  <si>
    <t>-633.200336124881 33.0955680599848 -292.738871593139</t>
  </si>
  <si>
    <t>-645.354969476021 30.6176537294521 -375.710363112292</t>
  </si>
  <si>
    <t>-656.477282458716 28.2361331156924 -458.829265239843</t>
  </si>
  <si>
    <t>-671.603689499329 24.8425739136005 -580.50349065907</t>
  </si>
  <si>
    <t>-664.355096815758 25.3070502123994 -658.525669056437</t>
  </si>
  <si>
    <t>-664.077036667084 57.6648265384863 -528.098346629982</t>
  </si>
  <si>
    <t>-640.757732070276 210.663680597356 -508.521962157888</t>
  </si>
  <si>
    <t>-579.899958515478 236.067437809966 -234.241805487883</t>
  </si>
  <si>
    <t>-348.402186204398 233.570031542811 -252.97900043354</t>
  </si>
  <si>
    <t>-604.135549418835 132.580074574707 -96.1773724328247</t>
  </si>
  <si>
    <t>-628.129088617226 145.953391863392 318.488907922088</t>
  </si>
  <si>
    <t>-668.251451554939 182.272171783199 778.492518662242</t>
  </si>
  <si>
    <t>-517.579772513153 183.658840110037 834.883563937128</t>
  </si>
  <si>
    <t>-597.86459018693 -69.0928784841519 323.450947451071</t>
  </si>
  <si>
    <t>-653.510115015882 -109.077938435508 781.444422210207</t>
  </si>
  <si>
    <t>-499.565787908471 -124.747073369716 825.483560100056</t>
  </si>
  <si>
    <t>9763-20170724T115433.631360100.bin</t>
  </si>
  <si>
    <t>-598.548437133648 39.5155876671463 -92.411230644682</t>
  </si>
  <si>
    <t>-619.015276816757 35.5959380663239 -201.145931284494</t>
  </si>
  <si>
    <t>-632.755897972975 32.7334580313354 -292.954613421918</t>
  </si>
  <si>
    <t>-644.712906399406 30.2708413572248 -375.955376503727</t>
  </si>
  <si>
    <t>-655.647237208703 27.9228639607807 -459.100115413082</t>
  </si>
  <si>
    <t>-670.509159821055 24.5984296968459 -580.808728848235</t>
  </si>
  <si>
    <t>-662.917946981528 25.0429161283844 -658.798406028794</t>
  </si>
  <si>
    <t>-663.120317593235 57.3915975495077 -528.36580352579</t>
  </si>
  <si>
    <t>-639.900389848827 210.403072122862 -508.727607718552</t>
  </si>
  <si>
    <t>-580.211948371631 236.11341300637 -234.219197123544</t>
  </si>
  <si>
    <t>-348.716783181573 233.76210359339 -253.006907262518</t>
  </si>
  <si>
    <t>-604.192492705577 132.320429571771 -96.3272687870032</t>
  </si>
  <si>
    <t>-628.263311004164 145.95931802403 318.325881854721</t>
  </si>
  <si>
    <t>-668.254820458916 182.243115877758 778.364246031766</t>
  </si>
  <si>
    <t>-517.60435729301 183.802123603139 834.807324339509</t>
  </si>
  <si>
    <t>-598.537252462206 -69.7278499791089 323.352560278875</t>
  </si>
  <si>
    <t>-653.472264363831 -109.090562414402 781.483170124717</t>
  </si>
  <si>
    <t>-499.542805398867 -124.748659308235 825.578165781354</t>
  </si>
  <si>
    <t>9763-20170724T115433.659437600.bin</t>
  </si>
  <si>
    <t>-598.629206713235 39.3913785555076 -92.4681772528099</t>
  </si>
  <si>
    <t>-618.937401738773 35.4464580907729 -201.23175191966</t>
  </si>
  <si>
    <t>-632.549274426797 32.5580903169337 -293.058718247519</t>
  </si>
  <si>
    <t>-644.39201301551 30.0702624613946 -376.07495467478</t>
  </si>
  <si>
    <t>-655.214155234422 27.6951876351741 -459.233826346576</t>
  </si>
  <si>
    <t>-669.914236544453 24.3294925802377 -580.960894121881</t>
  </si>
  <si>
    <t>-662.139578925535 24.7296434465827 -658.932684568432</t>
  </si>
  <si>
    <t>-662.60874187378 57.1408900125946 -528.517822895543</t>
  </si>
  <si>
    <t>-639.629838417418 210.205213222632 -509.002251645055</t>
  </si>
  <si>
    <t>-580.508240288179 236.208985878609 -234.398847354562</t>
  </si>
  <si>
    <t>-349.00627943747 233.989680664361 -253.119274573333</t>
  </si>
  <si>
    <t>-604.236932342026 132.233926571195 -96.4088866759256</t>
  </si>
  <si>
    <t>-628.350334236726 145.971770900645 318.23844896461</t>
  </si>
  <si>
    <t>-668.255756075812 182.259219770165 778.288301273566</t>
  </si>
  <si>
    <t>-517.609167694561 183.736904772333 834.743895186812</t>
  </si>
  <si>
    <t>-598.840743169558 -70.0151887241216 323.30273556884</t>
  </si>
  <si>
    <t>-653.449463596748 -109.089399369113 781.501367096103</t>
  </si>
  <si>
    <t>-499.534409003428 -124.779206066836 825.635294889335</t>
  </si>
  <si>
    <t>9763-20170724T115433.728631300.bin</t>
  </si>
  <si>
    <t>-598.676158791203 39.3504252514954 -92.5502695041288</t>
  </si>
  <si>
    <t>-618.72529351087 35.3627309248004 -201.360278150119</t>
  </si>
  <si>
    <t>-632.100830558357 32.4122770727702 -293.220133740746</t>
  </si>
  <si>
    <t>-643.723251952362 29.8571591564469 -376.265518136925</t>
  </si>
  <si>
    <t>-654.318113494739 27.4045432208457 -459.451209406225</t>
  </si>
  <si>
    <t>-668.678541931781 23.9142979837354 -581.21532879756</t>
  </si>
  <si>
    <t>-660.563361899267 24.1950431372572 -659.152973035069</t>
  </si>
  <si>
    <t>-661.568846791682 56.7807834403284 -528.779834054658</t>
  </si>
  <si>
    <t>-638.9808765048 209.94430981785 -509.549435890283</t>
  </si>
  <si>
    <t>-580.506720914982 236.929530094139 -234.902038444132</t>
  </si>
  <si>
    <t>-348.978888537525 235.227763895183 -253.354498556653</t>
  </si>
  <si>
    <t>-604.304412926037 132.128552026219 -96.547641355006</t>
  </si>
  <si>
    <t>-628.42515978095 146.060995263511 318.092817815551</t>
  </si>
  <si>
    <t>-668.275107214099 182.249018354776 778.15280358906</t>
  </si>
  <si>
    <t>-517.625537260341 183.69209124968 834.601454227194</t>
  </si>
  <si>
    <t>-599.154791515134 -70.2145956641084 323.256753492879</t>
  </si>
  <si>
    <t>-653.38449987664 -109.140257001966 781.527569775534</t>
  </si>
  <si>
    <t>-499.514035642322 -125.010625259847 825.752360386916</t>
  </si>
  <si>
    <t>9763-20170724T115433.764741000.bin</t>
  </si>
  <si>
    <t>-598.640034543334 39.352801986031 -92.5892826837155</t>
  </si>
  <si>
    <t>-618.572744102525 35.336928040223 -201.419593677142</t>
  </si>
  <si>
    <t>-631.866030414543 32.3287447748105 -293.289588872251</t>
  </si>
  <si>
    <t>-643.420833705042 29.7077088625356 -376.342202410276</t>
  </si>
  <si>
    <t>-653.955138512183 27.1755303633995 -459.533321174145</t>
  </si>
  <si>
    <t>-668.23489048445 23.5544413551329 -581.303174473994</t>
  </si>
  <si>
    <t>-659.990814586434 23.7271961176784 -659.227535905104</t>
  </si>
  <si>
    <t>-661.192669145968 56.4783628090181 -528.894459291719</t>
  </si>
  <si>
    <t>-638.817888620378 209.701335599892 -509.86259422697</t>
  </si>
  <si>
    <t>-580.236524906277 237.36541161113 -235.305769430256</t>
  </si>
  <si>
    <t>-348.699744266393 236.081529525973 -253.680162349783</t>
  </si>
  <si>
    <t>-604.335955503903 132.096286412235 -96.6116682396349</t>
  </si>
  <si>
    <t>-628.433181115639 146.081499884083 318.028391338834</t>
  </si>
  <si>
    <t>-668.274865091557 182.261237904786 778.085022277514</t>
  </si>
  <si>
    <t>-517.624814870078 183.744071515839 834.531270858409</t>
  </si>
  <si>
    <t>-599.212101713072 -70.2671247017774 323.241039232628</t>
  </si>
  <si>
    <t>-653.369757172958 -109.11615186003 781.529222881665</t>
  </si>
  <si>
    <t>-499.495423056186 -124.907173735535 825.76889006723</t>
  </si>
  <si>
    <t>9763-20170724T115433.825898200.bin</t>
  </si>
  <si>
    <t>-598.473145285868 39.2746954725524 -92.6541147633554</t>
  </si>
  <si>
    <t>-618.194854289804 35.2126092470321 -201.521154694468</t>
  </si>
  <si>
    <t>-631.38427798821 32.0753581999716 -293.401769313644</t>
  </si>
  <si>
    <t>-642.875965635729 29.3003286420412 -376.458204915117</t>
  </si>
  <si>
    <t>-653.378458070325 26.5786399048893 -459.647397274335</t>
  </si>
  <si>
    <t>-667.646859278669 22.6416156074913 -581.408712709274</t>
  </si>
  <si>
    <t>-659.211088256385 22.5453461028633 -659.312678532647</t>
  </si>
  <si>
    <t>-660.681328823699 55.7032990876148 -529.076555332078</t>
  </si>
  <si>
    <t>-638.796068455361 209.040949189544 -510.476223795165</t>
  </si>
  <si>
    <t>-579.446151995974 238.248771001248 -236.244308424673</t>
  </si>
  <si>
    <t>-347.94443633964 237.763200578259 -255.092822538952</t>
  </si>
  <si>
    <t>-604.316260100456 132.004429959603 -96.7022386210867</t>
  </si>
  <si>
    <t>-628.485678586355 146.094592458462 317.930023014492</t>
  </si>
  <si>
    <t>-668.288945881625 182.237520669373 777.9681350126</t>
  </si>
  <si>
    <t>-517.638884172612 183.661192713824 834.416010728139</t>
  </si>
  <si>
    <t>-599.335994886226 -70.574926902033 323.181773063067</t>
  </si>
  <si>
    <t>-653.371724615857 -109.103063493825 781.526368127162</t>
  </si>
  <si>
    <t>-499.506368815656 -125.039881107213 825.745113093896</t>
  </si>
  <si>
    <t>9763-20170724T115433.862997800.bin</t>
  </si>
  <si>
    <t>-598.333825363522 39.2708097004147 -92.6787425246912</t>
  </si>
  <si>
    <t>-617.948995863254 35.1739871042864 -201.563868737985</t>
  </si>
  <si>
    <t>-631.098987510294 31.9589139988741 -293.447260293963</t>
  </si>
  <si>
    <t>-642.575940210685 29.0931043551755 -376.502727715861</t>
  </si>
  <si>
    <t>-653.084827118205 26.2614005310529 -459.687300389239</t>
  </si>
  <si>
    <t>-667.386216379164 22.1425412649551 -581.438869987898</t>
  </si>
  <si>
    <t>-658.890372442182 21.9108600835541 -659.336131057948</t>
  </si>
  <si>
    <t>-660.440760191892 55.2832519745748 -529.154124873076</t>
  </si>
  <si>
    <t>-638.790047732246 208.683609208962 -510.781227571006</t>
  </si>
  <si>
    <t>-578.990366288524 238.627549904972 -236.726561250503</t>
  </si>
  <si>
    <t>-347.531382449033 238.454672909051 -256.097675504167</t>
  </si>
  <si>
    <t>-604.252658368126 131.982355084196 -96.7425313730314</t>
  </si>
  <si>
    <t>-628.536352785954 146.097060913622 317.882250066778</t>
  </si>
  <si>
    <t>-668.31615633169 182.135865892385 777.91928916705</t>
  </si>
  <si>
    <t>-517.666485574244 183.784237697027 834.362076851934</t>
  </si>
  <si>
    <t>-599.404502667083 -70.6832970766479 323.153395902652</t>
  </si>
  <si>
    <t>-653.376086349059 -109.114208383076 781.516743207929</t>
  </si>
  <si>
    <t>-499.514213079668 -125.13132105502 825.718586144802</t>
  </si>
  <si>
    <t>9763-20170724T115433.928719300.bin</t>
  </si>
  <si>
    <t>-597.880145337109 39.3967841161852 -92.7212515058584</t>
  </si>
  <si>
    <t>-617.338592157461 35.2320755048281 -201.63194503177</t>
  </si>
  <si>
    <t>-630.456246764899 31.8684254541809 -293.514672150528</t>
  </si>
  <si>
    <t>-641.944966560081 28.8311331245 -376.562365420314</t>
  </si>
  <si>
    <t>-652.507497813967 25.7914969897945 -459.732778852688</t>
  </si>
  <si>
    <t>-666.933742640859 21.3296497001279 -581.457561761202</t>
  </si>
  <si>
    <t>-658.361771490492 20.8527292147817 -659.345387014527</t>
  </si>
  <si>
    <t>-659.972022505663 54.6184722855091 -529.269003099211</t>
  </si>
  <si>
    <t>-638.65084331101 208.108737270245 -511.330670085246</t>
  </si>
  <si>
    <t>-578.198042201791 239.39763314372 -237.569789784726</t>
  </si>
  <si>
    <t>-346.841327745026 239.586119239695 -258.126422158039</t>
  </si>
  <si>
    <t>-603.911090366141 132.101017915191 -96.8296946727936</t>
  </si>
  <si>
    <t>-628.410413500626 146.185597905316 317.783441277901</t>
  </si>
  <si>
    <t>-668.318224423169 182.142621381903 777.813876355893</t>
  </si>
  <si>
    <t>-517.680731288022 183.83374116712 834.287748177177</t>
  </si>
  <si>
    <t>-599.302270613598 -70.8647947152808 323.118944064087</t>
  </si>
  <si>
    <t>-653.330548161977 -109.052372944803 781.509740290667</t>
  </si>
  <si>
    <t>-499.45236530086 -124.831087915077 825.740461871521</t>
  </si>
  <si>
    <t>9763-20170724T115433.961807500.bin</t>
  </si>
  <si>
    <t>-597.550280563887 39.4538119062074 -92.7355139651979</t>
  </si>
  <si>
    <t>-616.995396148649 35.2707243668401 -201.647813002415</t>
  </si>
  <si>
    <t>-630.133434667504 31.8567088776088 -293.525910339881</t>
  </si>
  <si>
    <t>-641.653778337696 28.7598285841154 -376.56701194127</t>
  </si>
  <si>
    <t>-652.261337140266 25.647047542692 -459.729056943534</t>
  </si>
  <si>
    <t>-666.768357562387 21.0637186010265 -581.439621217622</t>
  </si>
  <si>
    <t>-658.184554667732 20.4799762809373 -659.325374326007</t>
  </si>
  <si>
    <t>-659.780582840893 54.4048209521691 -529.2880708621</t>
  </si>
  <si>
    <t>-638.531953472588 207.926828220288 -511.499482313662</t>
  </si>
  <si>
    <t>-577.967969484633 239.761332766374 -237.826060695709</t>
  </si>
  <si>
    <t>-346.682541814392 240.018806372485 -259.169099476337</t>
  </si>
  <si>
    <t>-603.591745915156 132.213422296501 -96.8678503580226</t>
  </si>
  <si>
    <t>-628.255147051558 146.220095303029 317.738136845637</t>
  </si>
  <si>
    <t>-668.310214832112 182.150541590445 777.750624924456</t>
  </si>
  <si>
    <t>-517.689320265585 183.837786622273 834.26892555059</t>
  </si>
  <si>
    <t>-599.100407702389 -70.9346193526533 323.116710666753</t>
  </si>
  <si>
    <t>-653.291719520825 -109.034331891344 781.508408915509</t>
  </si>
  <si>
    <t>-499.450587591524 -125.032523228059 825.78920699735</t>
  </si>
  <si>
    <t>9763-20170724T115434.027534600.bin</t>
  </si>
  <si>
    <t>-596.973331560336 39.7198908542032 -92.7456751103193</t>
  </si>
  <si>
    <t>-616.465424427505 35.5190146540861 -201.648934058397</t>
  </si>
  <si>
    <t>-629.644060583608 32.0140277632997 -293.51764948683</t>
  </si>
  <si>
    <t>-641.202201705026 28.8052354867691 -376.549200181167</t>
  </si>
  <si>
    <t>-651.849414878135 25.5503053720938 -459.700769055806</t>
  </si>
  <si>
    <t>-666.416845419255 20.7262309607022 -581.394792641705</t>
  </si>
  <si>
    <t>-657.792829406224 19.9436420821469 -659.27440862758</t>
  </si>
  <si>
    <t>-659.401539752548 54.1702532611218 -529.312938976693</t>
  </si>
  <si>
    <t>-638.569241198966 207.802792896481 -511.941112642432</t>
  </si>
  <si>
    <t>-578.041522209014 241.138353307678 -238.438444643619</t>
  </si>
  <si>
    <t>-346.903499237054 241.294082010718 -261.323716922467</t>
  </si>
  <si>
    <t>-602.993112844767 132.64383301892 -96.9047735077856</t>
  </si>
  <si>
    <t>-627.883122738575 146.367793659087 317.697095520011</t>
  </si>
  <si>
    <t>-668.308923004141 182.148997960269 777.68047021033</t>
  </si>
  <si>
    <t>-517.715494020438 183.903993436038 834.269894317638</t>
  </si>
  <si>
    <t>-598.623567496636 -70.822968776439 323.151876939185</t>
  </si>
  <si>
    <t>-653.210733171943 -109.010618413786 781.511559754509</t>
  </si>
  <si>
    <t>-499.411014154228 -125.143949067516 825.887082742069</t>
  </si>
  <si>
    <t>9763-20170724T115434.064626400.bin</t>
  </si>
  <si>
    <t>-596.730756777415 39.8861835726007 -92.7497192556896</t>
  </si>
  <si>
    <t>-616.249784000229 35.6717922281352 -201.647614047344</t>
  </si>
  <si>
    <t>-629.438416131228 32.1266865251714 -293.513412447902</t>
  </si>
  <si>
    <t>-641.000972965903 28.8699993501189 -376.542539995753</t>
  </si>
  <si>
    <t>-651.64794236846 25.5556077524434 -459.691810534296</t>
  </si>
  <si>
    <t>-666.210256092017 20.6313220735922 -581.382466906015</t>
  </si>
  <si>
    <t>-657.545080008917 19.7644533177422 -659.256454241537</t>
  </si>
  <si>
    <t>-659.173303466539 54.1178337825893 -529.330630747255</t>
  </si>
  <si>
    <t>-638.385752709021 207.77819171403 -512.157686114938</t>
  </si>
  <si>
    <t>-578.153371823147 242.235542454443 -238.728775704567</t>
  </si>
  <si>
    <t>-347.071268550675 242.411071106699 -262.171800535423</t>
  </si>
  <si>
    <t>-602.709394804886 132.849540877547 -96.9130502283724</t>
  </si>
  <si>
    <t>-627.704747030006 146.488834237753 317.685341959005</t>
  </si>
  <si>
    <t>-668.305180708962 182.185939087214 777.657590112408</t>
  </si>
  <si>
    <t>-517.71934507577 183.834471112469 834.27038399262</t>
  </si>
  <si>
    <t>-598.437991828875 -70.7041407320967 323.174258712268</t>
  </si>
  <si>
    <t>-653.184279694947 -108.947767012072 781.511010143766</t>
  </si>
  <si>
    <t>-499.347262304842 -124.679244925985 825.901501581474</t>
  </si>
  <si>
    <t>9763-20170724T115434.128809800.bin</t>
  </si>
  <si>
    <t>-596.504433984377 40.0384600967066 -92.7344039950549</t>
  </si>
  <si>
    <t>-616.059719147631 35.8012812308725 -201.624794126895</t>
  </si>
  <si>
    <t>-629.189284069337 32.1943451988004 -293.496767400719</t>
  </si>
  <si>
    <t>-640.662796092003 28.8641972368455 -376.535277011604</t>
  </si>
  <si>
    <t>-651.185373107186 25.4570387052418 -459.696526156805</t>
  </si>
  <si>
    <t>-665.527347910221 20.3751149206753 -581.406916973199</t>
  </si>
  <si>
    <t>-656.702192412914 19.3797093634098 -659.261486091598</t>
  </si>
  <si>
    <t>-658.549886992649 53.9280154594135 -529.389933079435</t>
  </si>
  <si>
    <t>-637.912352410635 207.664802386778 -512.717243047713</t>
  </si>
  <si>
    <t>-577.843906263333 245.9438529744 -239.760893304411</t>
  </si>
  <si>
    <t>-346.779544628013 246.069272418953 -263.37850451574</t>
  </si>
  <si>
    <t>-602.448303524646 132.973615543757 -96.9267296053124</t>
  </si>
  <si>
    <t>-627.54811040952 146.527213329791 317.668118736551</t>
  </si>
  <si>
    <t>-668.326231072791 182.147875666231 777.614765661827</t>
  </si>
  <si>
    <t>-517.74615707531 183.829805824954 834.241931828551</t>
  </si>
  <si>
    <t>-598.210186333653 -70.5788489951397 323.206186653598</t>
  </si>
  <si>
    <t>-653.141612682826 -108.910034743995 781.507933764722</t>
  </si>
  <si>
    <t>-499.332258695366 -124.791952286422 825.940730553755</t>
  </si>
  <si>
    <t>9763-20170724T115434.163902900.bin</t>
  </si>
  <si>
    <t>-596.544471367881 40.0807932915641 -92.746623095689</t>
  </si>
  <si>
    <t>-616.08901550745 35.8411432608339 -201.638916573991</t>
  </si>
  <si>
    <t>-629.171608355536 32.1968662230254 -293.516018113873</t>
  </si>
  <si>
    <t>-640.587941992964 28.8180603201115 -376.560469440239</t>
  </si>
  <si>
    <t>-651.038603961988 25.347435585908 -459.72818027752</t>
  </si>
  <si>
    <t>-665.259576902547 20.1560033495196 -581.448067631316</t>
  </si>
  <si>
    <t>-656.355466406073 19.0875998352558 -659.292739468754</t>
  </si>
  <si>
    <t>-658.328036873482 53.7554896893816 -529.455174823017</t>
  </si>
  <si>
    <t>-637.939219137748 207.549958708728 -513.065993313777</t>
  </si>
  <si>
    <t>-577.378033770367 248.345835294713 -240.583680602921</t>
  </si>
  <si>
    <t>-346.319185708895 248.306485091838 -264.255112816354</t>
  </si>
  <si>
    <t>-602.498937346209 133.015726352033 -96.9363737503385</t>
  </si>
  <si>
    <t>-627.62132547205 146.52912432116 317.658473375412</t>
  </si>
  <si>
    <t>-668.333083388745 182.164977652949 777.605309469757</t>
  </si>
  <si>
    <t>-517.752330133902 183.803388841322 834.231847668213</t>
  </si>
  <si>
    <t>-598.214240660752 -70.5273504875124 323.202566415934</t>
  </si>
  <si>
    <t>-653.118565302211 -108.91461191926 781.509607431036</t>
  </si>
  <si>
    <t>-499.35131192032 -125.126504189586 825.968936820395</t>
  </si>
  <si>
    <t>9763-20170724T115434.228136400.bin</t>
  </si>
  <si>
    <t>-596.771610731944 40.1020661434059 -92.773110872361</t>
  </si>
  <si>
    <t>-616.211869806314 35.8656310383701 -201.684216185779</t>
  </si>
  <si>
    <t>-629.191729373467 32.1619681211505 -293.57347659579</t>
  </si>
  <si>
    <t>-640.509924266335 28.7046938440817 -376.628238590432</t>
  </si>
  <si>
    <t>-650.85765142874 25.1296754497282 -459.80432861497</t>
  </si>
  <si>
    <t>-664.923103591697 19.7575242933099 -581.534524270769</t>
  </si>
  <si>
    <t>-655.911477767048 18.5392200645185 -659.364631814074</t>
  </si>
  <si>
    <t>-658.033345666138 53.4335231768412 -529.585535824754</t>
  </si>
  <si>
    <t>-637.92141816481 207.32826246601 -513.743340640008</t>
  </si>
  <si>
    <t>-576.219341435776 253.436931715075 -242.366375981488</t>
  </si>
  <si>
    <t>-345.232825684058 253.157842926318 -266.731725478773</t>
  </si>
  <si>
    <t>-602.725583237142 132.926251466467 -96.9574871881872</t>
  </si>
  <si>
    <t>-627.928056990474 146.529607467636 317.629531753902</t>
  </si>
  <si>
    <t>-668.371504727732 182.107036154538 777.605225774346</t>
  </si>
  <si>
    <t>-517.781368082077 183.811658138123 834.204917694898</t>
  </si>
  <si>
    <t>-598.498873732161 -70.5094756093333 323.165463723349</t>
  </si>
  <si>
    <t>-653.094268766459 -108.903731173334 781.504980118555</t>
  </si>
  <si>
    <t>-499.314403007172 -124.973386789194 825.972290061981</t>
  </si>
  <si>
    <t>9763-20170724T115434.263225700.bin</t>
  </si>
  <si>
    <t>-596.962931055204 40.0924564209026 -92.7758433832739</t>
  </si>
  <si>
    <t>-616.360147937893 35.8695248772949 -201.695135769492</t>
  </si>
  <si>
    <t>-629.265182608827 32.1323848212085 -293.593646546677</t>
  </si>
  <si>
    <t>-640.500935422345 28.6261503691946 -376.657424915531</t>
  </si>
  <si>
    <t>-650.751512432304 24.9833089410004 -459.842706947971</t>
  </si>
  <si>
    <t>-664.65918175567 19.4906854169965 -581.585615967142</t>
  </si>
  <si>
    <t>-655.568551645578 18.1909880515943 -659.405134282187</t>
  </si>
  <si>
    <t>-657.821776420332 53.2176466152789 -529.662677787049</t>
  </si>
  <si>
    <t>-637.860267613069 207.153537552218 -514.126204803129</t>
  </si>
  <si>
    <t>-575.556677205369 255.657889704102 -243.305004583242</t>
  </si>
  <si>
    <t>-344.627969193669 255.395363586664 -268.212688985763</t>
  </si>
  <si>
    <t>-602.906993883614 132.907766654141 -96.9702459811189</t>
  </si>
  <si>
    <t>-628.051872817726 146.534589818925 317.619441359904</t>
  </si>
  <si>
    <t>-668.389464014727 182.102646127203 777.604914310406</t>
  </si>
  <si>
    <t>-517.792040159368 183.793000547078 834.185696912114</t>
  </si>
  <si>
    <t>-598.67222203283 -70.5245809624471 323.146170563501</t>
  </si>
  <si>
    <t>-653.076555697754 -108.8721035115 781.506467972631</t>
  </si>
  <si>
    <t>-499.272075094633 -124.683893343268 825.98109738914</t>
  </si>
  <si>
    <t>9763-20170724T115434.328262700.bin</t>
  </si>
  <si>
    <t>-597.377318985074 40.0282465082391 -92.8247965132682</t>
  </si>
  <si>
    <t>-616.693935862255 35.8337164918089 -201.759572360867</t>
  </si>
  <si>
    <t>-629.464452492122 32.0498106547673 -293.674837441019</t>
  </si>
  <si>
    <t>-640.552745941775 28.4729951757006 -376.755485294363</t>
  </si>
  <si>
    <t>-650.630226127482 24.7301119236572 -459.957446901185</t>
  </si>
  <si>
    <t>-664.257198715406 19.0584677484221 -581.72399886356</t>
  </si>
  <si>
    <t>-655.015872717212 17.6426642356241 -659.52371148828</t>
  </si>
  <si>
    <t>-657.506810259502 52.8607332870497 -529.838712051656</t>
  </si>
  <si>
    <t>-637.733956459836 206.864996583337 -514.71370950406</t>
  </si>
  <si>
    <t>-574.02941206798 260.277492923306 -245.144783228399</t>
  </si>
  <si>
    <t>-343.189416894082 259.805691785438 -270.859085068726</t>
  </si>
  <si>
    <t>-603.256385860673 132.905857809521 -97.0051526880018</t>
  </si>
  <si>
    <t>-628.28517666714 146.535601507222 317.591525435026</t>
  </si>
  <si>
    <t>-668.415696498125 182.13726352371 777.605146214152</t>
  </si>
  <si>
    <t>-517.80109847981 183.792978983236 834.141110473707</t>
  </si>
  <si>
    <t>-598.998662757151 -70.6103010646307 323.093020005757</t>
  </si>
  <si>
    <t>-653.034889322874 -108.912540761744 781.510115186503</t>
  </si>
  <si>
    <t>-499.29253711565 -125.192385380871 826.03065487103</t>
  </si>
  <si>
    <t>9763-20170724T115434.361350600.bin</t>
  </si>
  <si>
    <t>-597.522091292853 40.0523232908665 -92.8334600520811</t>
  </si>
  <si>
    <t>-616.855753797623 35.8532559822759 -201.765024804153</t>
  </si>
  <si>
    <t>-629.610878457901 32.0457934518633 -293.681474458613</t>
  </si>
  <si>
    <t>-640.673586164855 28.4394519482755 -376.764250444371</t>
  </si>
  <si>
    <t>-650.713915897726 24.6582585288511 -459.969018567569</t>
  </si>
  <si>
    <t>-664.27399771075 18.9207589154121 -581.739843436486</t>
  </si>
  <si>
    <t>-654.955802363659 17.4572797114392 -659.529593169014</t>
  </si>
  <si>
    <t>-657.535468170907 52.7506547742848 -529.871066855861</t>
  </si>
  <si>
    <t>-637.827110644418 206.780718913948 -514.939808177297</t>
  </si>
  <si>
    <t>-573.338835502074 262.826586561958 -246.092764214631</t>
  </si>
  <si>
    <t>-342.516867005173 262.034257553026 -271.960379220437</t>
  </si>
  <si>
    <t>-603.413656936581 132.911308890382 -97.0183007654261</t>
  </si>
  <si>
    <t>-628.404673399012 146.532797266761 317.580924393795</t>
  </si>
  <si>
    <t>-668.444035048596 182.09648121716 777.601794229978</t>
  </si>
  <si>
    <t>-517.823016235149 183.799707570605 834.119309013789</t>
  </si>
  <si>
    <t>-599.107842207668 -70.5866789229815 323.083979131225</t>
  </si>
  <si>
    <t>-653.012338322646 -108.885012099347 781.511679147007</t>
  </si>
  <si>
    <t>-499.237406327952 -124.832410303861 826.039978389298</t>
  </si>
  <si>
    <t>9763-20170724T115434.430062600.bin</t>
  </si>
  <si>
    <t>-597.792515378925 40.2006323329704 -92.8515177318436</t>
  </si>
  <si>
    <t>-617.204702959933 35.9951781437705 -201.768758766991</t>
  </si>
  <si>
    <t>-629.963019162665 32.1637433776459 -293.683900780116</t>
  </si>
  <si>
    <t>-641.003434528895 28.5270821555116 -376.768303899365</t>
  </si>
  <si>
    <t>-650.996419142093 24.7065711589119 -459.976943259718</t>
  </si>
  <si>
    <t>-664.46005935707 18.9006269465203 -581.755209667891</t>
  </si>
  <si>
    <t>-654.999636477492 17.3619607472697 -659.526223274985</t>
  </si>
  <si>
    <t>-657.761125458872 52.7595521585911 -529.900297745884</t>
  </si>
  <si>
    <t>-638.347523424133 206.853911048022 -515.229596431047</t>
  </si>
  <si>
    <t>-571.816091701649 269.42332895176 -248.326546061322</t>
  </si>
  <si>
    <t>-341.104660041969 266.983223922264 -275.06239950343</t>
  </si>
  <si>
    <t>-603.762289414574 133.055690714282 -97.0328577817689</t>
  </si>
  <si>
    <t>-628.599406365154 146.616369241087 317.577563622855</t>
  </si>
  <si>
    <t>-668.469514979613 182.103128025714 777.609715714376</t>
  </si>
  <si>
    <t>-517.832422016544 183.700901066158 834.087405673966</t>
  </si>
  <si>
    <t>-599.157553089928 -70.4225298167235 323.07242314286</t>
  </si>
  <si>
    <t>-652.983555391528 -108.83885164854 781.508660708275</t>
  </si>
  <si>
    <t>-499.215320702517 -124.82224709198 826.04724396625</t>
  </si>
  <si>
    <t>9763-20170724T115434.461146500.bin</t>
  </si>
  <si>
    <t>-597.91475153194 40.3085386348082 -92.8619766633223</t>
  </si>
  <si>
    <t>-617.399814288161 36.0911805072528 -201.765750897073</t>
  </si>
  <si>
    <t>-630.177607347633 32.2397628511815 -293.677403072135</t>
  </si>
  <si>
    <t>-641.218858763899 28.5802134363619 -376.760607320671</t>
  </si>
  <si>
    <t>-651.196101923188 24.7314745318042 -459.969962889054</t>
  </si>
  <si>
    <t>-664.618335863429 18.8788521419403 -581.75049151635</t>
  </si>
  <si>
    <t>-655.097135687184 17.3003782856006 -659.513371272</t>
  </si>
  <si>
    <t>-657.942382269693 52.7578337105629 -529.905651623969</t>
  </si>
  <si>
    <t>-638.735946109711 206.895821594944 -515.42341108634</t>
  </si>
  <si>
    <t>-571.073461556159 272.998002911747 -249.658640314658</t>
  </si>
  <si>
    <t>-340.436972196131 269.579139275038 -276.928548588271</t>
  </si>
  <si>
    <t>-603.940940627325 133.15075029312 -97.0381605572082</t>
  </si>
  <si>
    <t>-628.650268514392 146.679503062878 317.580976346683</t>
  </si>
  <si>
    <t>-668.482247471689 182.110247823663 777.622220197766</t>
  </si>
  <si>
    <t>-517.835962833419 183.666811470723 834.076762027306</t>
  </si>
  <si>
    <t>-599.094550208253 -70.2763671752186 323.075206194789</t>
  </si>
  <si>
    <t>-652.976063200795 -108.807394326878 781.502743723617</t>
  </si>
  <si>
    <t>-499.201427945431 -124.74976774695 826.033870652783</t>
  </si>
  <si>
    <t>9763-20170724T115434.529900800.bin</t>
  </si>
  <si>
    <t>-598.185924255117 40.4545829764436 -92.8305917093081</t>
  </si>
  <si>
    <t>-617.84167581943 36.2392375433756 -201.703831283978</t>
  </si>
  <si>
    <t>-630.698663594904 32.3454179185562 -293.602517486959</t>
  </si>
  <si>
    <t>-641.785989159257 28.6285773325098 -376.67709285346</t>
  </si>
  <si>
    <t>-651.78409292916 24.7033060136052 -459.880307921803</t>
  </si>
  <si>
    <t>-665.209643130849 18.716659823951 -581.654027781744</t>
  </si>
  <si>
    <t>-655.598235629403 17.0292593827778 -659.403593995731</t>
  </si>
  <si>
    <t>-658.536923578044 52.6528714471565 -529.84614889421</t>
  </si>
  <si>
    <t>-639.690233203527 206.882441914052 -515.845597207329</t>
  </si>
  <si>
    <t>-569.8673552659 279.800948118436 -252.432908251621</t>
  </si>
  <si>
    <t>-339.328344760174 274.482424550312 -280.218001163227</t>
  </si>
  <si>
    <t>-604.32750248204 133.301135721551 -97.0040714081326</t>
  </si>
  <si>
    <t>-628.790610508591 146.668534938768 317.634898282194</t>
  </si>
  <si>
    <t>-668.517142069936 182.076860674226 777.669782309779</t>
  </si>
  <si>
    <t>-517.846993119927 183.600385701117 834.061417418721</t>
  </si>
  <si>
    <t>-598.938649264881 -70.0475667697142 323.096978748261</t>
  </si>
  <si>
    <t>-652.966039216982 -108.77554674605 781.48923751244</t>
  </si>
  <si>
    <t>-499.206492832062 -124.879603200895 826.01441514344</t>
  </si>
  <si>
    <t>9763-20170724T115434.562989700.bin</t>
  </si>
  <si>
    <t>-598.299727695524 40.5372874382992 -92.8167214704374</t>
  </si>
  <si>
    <t>-618.071265626387 36.332624261855 -201.669376050668</t>
  </si>
  <si>
    <t>-630.988524134434 32.4217573949018 -293.558942301564</t>
  </si>
  <si>
    <t>-642.115629009753 28.6782921985546 -376.627079193206</t>
  </si>
  <si>
    <t>-652.139048432628 24.7149472723952 -459.825303499062</t>
  </si>
  <si>
    <t>-665.585985055895 18.6595499694647 -581.593298806861</t>
  </si>
  <si>
    <t>-655.950162655492 16.9020679934224 -659.338341858326</t>
  </si>
  <si>
    <t>-658.903455916647 52.6250106380121 -529.805903528552</t>
  </si>
  <si>
    <t>-640.163415896472 206.883936194622 -515.976205625683</t>
  </si>
  <si>
    <t>-569.126375478807 282.684830592868 -253.704340238892</t>
  </si>
  <si>
    <t>-338.627630087775 276.576476241913 -281.660569095938</t>
  </si>
  <si>
    <t>-604.507135278264 133.3341651592 -96.9704381574393</t>
  </si>
  <si>
    <t>-628.940985002637 146.598488363993 317.673507651122</t>
  </si>
  <si>
    <t>-668.540199359345 182.039512134429 777.711178080183</t>
  </si>
  <si>
    <t>-517.855296744898 183.532764976843 834.064167789132</t>
  </si>
  <si>
    <t>-598.828944490443 -69.9032132856328 323.103427875701</t>
  </si>
  <si>
    <t>-652.977219606571 -108.752317447409 781.476438263565</t>
  </si>
  <si>
    <t>-499.199930318358 -124.784006657747 825.966385446747</t>
  </si>
  <si>
    <t>9763-20170724T115434.630179900.bin</t>
  </si>
  <si>
    <t>-598.432041575432 40.8704027069862 -92.7495483735235</t>
  </si>
  <si>
    <t>-618.404971104248 36.6748514110357 -201.565759342395</t>
  </si>
  <si>
    <t>-631.421899543448 32.7162728272397 -293.43919310178</t>
  </si>
  <si>
    <t>-642.611574860403 28.9057123007581 -376.495808269177</t>
  </si>
  <si>
    <t>-652.670692403196 24.8504334044189 -459.685409274646</t>
  </si>
  <si>
    <t>-666.14068852889 18.632719196904 -581.442649435913</t>
  </si>
  <si>
    <t>-656.49786372912 16.7366788439501 -659.18345502259</t>
  </si>
  <si>
    <t>-659.429245128202 52.666531436575 -529.703873221883</t>
  </si>
  <si>
    <t>-640.814860206109 206.966382238518 -516.177702765284</t>
  </si>
  <si>
    <t>-567.761154463803 287.278855572289 -255.809318774827</t>
  </si>
  <si>
    <t>-337.408961129011 279.73233531935 -284.609665167038</t>
  </si>
  <si>
    <t>-604.757963495274 133.504527524527 -96.8800002549515</t>
  </si>
  <si>
    <t>-629.181819240561 146.59407559767 317.770123337051</t>
  </si>
  <si>
    <t>-668.54609668855 182.082615749346 777.816873863771</t>
  </si>
  <si>
    <t>-517.836080819384 183.543491140739 834.103603906312</t>
  </si>
  <si>
    <t>-598.648408216965 -69.3973596806638 323.138835651774</t>
  </si>
  <si>
    <t>-652.989408888971 -108.68913230988 781.435864820732</t>
  </si>
  <si>
    <t>-499.178949986873 -124.560039049301 825.868755110254</t>
  </si>
  <si>
    <t>9763-20170724T115434.664270900.bin</t>
  </si>
  <si>
    <t>-598.407600803028 41.090855390936 -92.7282933700843</t>
  </si>
  <si>
    <t>-618.455379099637 36.8882000919089 -201.530597027713</t>
  </si>
  <si>
    <t>-631.519537768675 32.8976149550508 -293.395856580834</t>
  </si>
  <si>
    <t>-642.745843128583 29.0471599883022 -376.445697189626</t>
  </si>
  <si>
    <t>-652.835786168385 24.9408318117441 -459.62906505326</t>
  </si>
  <si>
    <t>-666.344741464554 18.6358472528873 -581.377437451857</t>
  </si>
  <si>
    <t>-656.744339445117 16.6733683917478 -659.121980915879</t>
  </si>
  <si>
    <t>-659.603959869931 52.7063816659584 -529.666729624261</t>
  </si>
  <si>
    <t>-641.034925883218 207.02610734797 -516.334949537559</t>
  </si>
  <si>
    <t>-567.039103812029 288.938701128802 -256.732170333989</t>
  </si>
  <si>
    <t>-336.762272423067 280.93792514995 -286.008496094058</t>
  </si>
  <si>
    <t>-604.742992974846 133.665711434853 -96.8454213364561</t>
  </si>
  <si>
    <t>-629.145499316133 146.689989430243 317.808054354769</t>
  </si>
  <si>
    <t>-668.560457841506 182.056685295542 777.868584061074</t>
  </si>
  <si>
    <t>-517.84621375208 183.483091087835 834.1447308989</t>
  </si>
  <si>
    <t>-598.552999969898 -69.1589887102946 323.160594523377</t>
  </si>
  <si>
    <t>-652.974513641867 -108.666693317549 781.427503870681</t>
  </si>
  <si>
    <t>-499.15313899927 -124.437109119541 825.858284982422</t>
  </si>
  <si>
    <t>9763-20170724T115434.729115800.bin</t>
  </si>
  <si>
    <t>-598.301821456918 41.6257355794096 -92.6571989142166</t>
  </si>
  <si>
    <t>-618.462903147314 37.4345607313912 -201.438840552573</t>
  </si>
  <si>
    <t>-631.644892201832 33.406283654607 -293.285744930381</t>
  </si>
  <si>
    <t>-642.987274339246 29.5038592655676 -376.317431819073</t>
  </si>
  <si>
    <t>-653.203468816216 25.3268162133675 -459.481832816933</t>
  </si>
  <si>
    <t>-666.90840822046 18.8984155824908 -581.201772650565</t>
  </si>
  <si>
    <t>-657.432460249636 16.8190383215942 -658.958540438309</t>
  </si>
  <si>
    <t>-660.045763839953 53.0201488525422 -529.540924648344</t>
  </si>
  <si>
    <t>-641.400810586188 207.356617091427 -516.508495402083</t>
  </si>
  <si>
    <t>-566.033166091526 291.493935844931 -258.014245540627</t>
  </si>
  <si>
    <t>-335.891519884027 282.796830594261 -288.142688311066</t>
  </si>
  <si>
    <t>-604.558563368268 134.244698106013 -96.7648341057452</t>
  </si>
  <si>
    <t>-628.999556440621 147.023537391279 317.893962118276</t>
  </si>
  <si>
    <t>-668.571984579095 182.100192296937 777.956399163708</t>
  </si>
  <si>
    <t>-517.854784458724 183.506744585913 834.225004693762</t>
  </si>
  <si>
    <t>-598.346028404563 -68.7791816669574 323.223263887553</t>
  </si>
  <si>
    <t>-652.90109282128 -108.648935422891 781.433233172468</t>
  </si>
  <si>
    <t>-499.100812873875 -124.347822485903 825.962391947335</t>
  </si>
  <si>
    <t>9763-20170724T115434.764218800.bin</t>
  </si>
  <si>
    <t>-598.233197155673 41.8930135190153 -92.6136448534995</t>
  </si>
  <si>
    <t>-618.451971247004 37.7019111261666 -201.38465857351</t>
  </si>
  <si>
    <t>-631.687184006554 33.6561421467968 -293.223044928171</t>
  </si>
  <si>
    <t>-643.079855197659 29.7311371960018 -376.246803018107</t>
  </si>
  <si>
    <t>-653.348445641719 25.5252580575946 -459.403293247608</t>
  </si>
  <si>
    <t>-667.132662106711 19.0471680645576 -581.11179686671</t>
  </si>
  <si>
    <t>-657.718666426527 16.9155647964751 -658.874655066309</t>
  </si>
  <si>
    <t>-660.223211510844 53.1894255124294 -529.470679516953</t>
  </si>
  <si>
    <t>-641.631143634371 207.540028117865 -516.550253672282</t>
  </si>
  <si>
    <t>-565.537327746943 292.4124755943 -258.509608483498</t>
  </si>
  <si>
    <t>-335.432868898891 283.529672497403 -288.866928547826</t>
  </si>
  <si>
    <t>-604.441127839061 134.538490883577 -96.7274816224453</t>
  </si>
  <si>
    <t>-628.94157834656 147.192261181822 317.931680336264</t>
  </si>
  <si>
    <t>-668.58369339404 182.109613152174 777.996195555644</t>
  </si>
  <si>
    <t>-517.862714110842 183.440908267909 834.256651551849</t>
  </si>
  <si>
    <t>-598.265038489771 -68.5972045902595 323.258754843136</t>
  </si>
  <si>
    <t>-652.830412043843 -108.658956240299 781.451839928831</t>
  </si>
  <si>
    <t>-499.079133093295 -124.527047219656 826.090088458136</t>
  </si>
  <si>
    <t>9763-20170724T115434.825948700.bin</t>
  </si>
  <si>
    <t>-598.024374400914 42.4677187267012 -92.5371043511502</t>
  </si>
  <si>
    <t>-618.387148511471 38.259954141382 -201.280564803074</t>
  </si>
  <si>
    <t>-631.738856223488 34.2262032862111 -293.102589265003</t>
  </si>
  <si>
    <t>-643.234406943012 30.323220258231 -376.113271237983</t>
  </si>
  <si>
    <t>-653.603541056898 26.1496732712017 -459.258973565172</t>
  </si>
  <si>
    <t>-667.531882530399 19.7303623469777 -580.954101533363</t>
  </si>
  <si>
    <t>-658.233454186898 17.5627559586676 -658.729758876363</t>
  </si>
  <si>
    <t>-660.53318255189 53.8467224033557 -529.307773152715</t>
  </si>
  <si>
    <t>-641.847212511192 208.180970533254 -516.339157509074</t>
  </si>
  <si>
    <t>-564.675154138034 294.266063580867 -259.021416235732</t>
  </si>
  <si>
    <t>-334.696566378398 285.187522507819 -290.261604298074</t>
  </si>
  <si>
    <t>-604.221305490856 135.134240450757 -96.6775583463238</t>
  </si>
  <si>
    <t>-628.726952121408 147.54274371545 317.988689045664</t>
  </si>
  <si>
    <t>-668.600762592375 182.118831718366 778.065301488418</t>
  </si>
  <si>
    <t>-517.874410288164 183.489015425935 834.31047409436</t>
  </si>
  <si>
    <t>-597.942588343652 -68.1299017764809 323.35312929414</t>
  </si>
  <si>
    <t>-652.630863899413 -108.666213856795 781.500812459403</t>
  </si>
  <si>
    <t>-498.95276870333 -124.357036050003 826.452594441687</t>
  </si>
  <si>
    <t>9763-20170724T115434.864051100.bin</t>
  </si>
  <si>
    <t>-597.848989116405 42.7391513934469 -92.4899291590646</t>
  </si>
  <si>
    <t>-618.300333228107 38.5216878689882 -201.216434783986</t>
  </si>
  <si>
    <t>-631.729942907481 34.4956394508959 -293.027494691669</t>
  </si>
  <si>
    <t>-643.297051994908 30.6060728215843 -376.028795073477</t>
  </si>
  <si>
    <t>-653.738847070125 26.452214774296 -459.166207857981</t>
  </si>
  <si>
    <t>-667.77455513979 20.0686340678535 -580.851003373998</t>
  </si>
  <si>
    <t>-658.537373885566 17.8965649600707 -658.633819596363</t>
  </si>
  <si>
    <t>-660.71696111014 54.1692232342575 -529.202438098128</t>
  </si>
  <si>
    <t>-642.02108811864 208.51431144022 -516.251905024014</t>
  </si>
  <si>
    <t>-564.463048877533 295.381331286698 -259.313367383959</t>
  </si>
  <si>
    <t>-334.574036526321 286.120299294472 -291.15357735718</t>
  </si>
  <si>
    <t>-604.053638040964 135.408519761903 -96.6359865718911</t>
  </si>
  <si>
    <t>-628.578558541268 147.683240030424 318.033100604397</t>
  </si>
  <si>
    <t>-668.604972911354 182.121656776374 778.107219052111</t>
  </si>
  <si>
    <t>-517.878785381476 183.469254579898 834.353330603524</t>
  </si>
  <si>
    <t>-597.67869534479 -67.8723141978694 323.412578079076</t>
  </si>
  <si>
    <t>-652.50476640088 -108.609848199908 781.533051539784</t>
  </si>
  <si>
    <t>-498.852957046654 -124.003022462935 826.677236336106</t>
  </si>
  <si>
    <t>9763-20170724T115434.929233400.bin</t>
  </si>
  <si>
    <t>-597.433038940511 43.173960027457 -92.3388318046734</t>
  </si>
  <si>
    <t>-618.094105777992 38.9785925884592 -201.026476057886</t>
  </si>
  <si>
    <t>-631.670041102355 34.9625732117877 -292.816539903025</t>
  </si>
  <si>
    <t>-643.357187433539 31.0789480780677 -375.801206271762</t>
  </si>
  <si>
    <t>-653.907085972002 26.9270155445208 -458.925236347896</t>
  </si>
  <si>
    <t>-668.087719768106 20.5415771665701 -580.593070877678</t>
  </si>
  <si>
    <t>-658.92319419174 18.3546216398504 -658.384103405789</t>
  </si>
  <si>
    <t>-660.937161098528 54.6419356300844 -528.957034152776</t>
  </si>
  <si>
    <t>-642.159915858107 208.974680909496 -516.029936086774</t>
  </si>
  <si>
    <t>-564.311358016023 297.172591499733 -259.633027717579</t>
  </si>
  <si>
    <t>-334.559224096034 287.499759251833 -292.327476450382</t>
  </si>
  <si>
    <t>-603.674248606282 135.876643886812 -96.4815537419844</t>
  </si>
  <si>
    <t>-628.282313132297 147.830696849035 318.19203564957</t>
  </si>
  <si>
    <t>-668.604693670403 182.108020705687 778.237657479238</t>
  </si>
  <si>
    <t>-517.883571197612 183.383525461132 834.498928258878</t>
  </si>
  <si>
    <t>-596.98231751492 -67.4347971110924 323.560041716229</t>
  </si>
  <si>
    <t>-652.321397265643 -108.628566197752 781.569253615307</t>
  </si>
  <si>
    <t>-498.817810135984 -124.578625118836 827.02327087554</t>
  </si>
  <si>
    <t>9763-20170724T115434.961317300.bin</t>
  </si>
  <si>
    <t>-597.105154605978 43.4007891518938 -92.265717690151</t>
  </si>
  <si>
    <t>-617.865095368941 39.2207082385751 -200.935190848104</t>
  </si>
  <si>
    <t>-631.481581862621 35.2048976744827 -292.719077767292</t>
  </si>
  <si>
    <t>-643.188303922196 31.3160697626695 -375.700856020588</t>
  </si>
  <si>
    <t>-653.74081224846 27.1529708116291 -458.8239114016</t>
  </si>
  <si>
    <t>-667.906729544979 20.7443241170947 -580.492304501945</t>
  </si>
  <si>
    <t>-658.76835563696 18.5307520417477 -658.285561073247</t>
  </si>
  <si>
    <t>-660.743958914762 54.8539228636359 -528.864128757269</t>
  </si>
  <si>
    <t>-641.904695155959 209.180876624136 -515.943577091092</t>
  </si>
  <si>
    <t>-564.194284871848 297.952028469216 -259.702697340166</t>
  </si>
  <si>
    <t>-334.51824938648 288.060582107269 -292.863090867985</t>
  </si>
  <si>
    <t>-603.349432663111 136.090111477048 -96.3902288671248</t>
  </si>
  <si>
    <t>-628.112226838109 147.887687521097 318.278658456266</t>
  </si>
  <si>
    <t>-668.616428462616 182.085252639574 778.314742202672</t>
  </si>
  <si>
    <t>-517.901126408356 183.165650819243 834.595761355088</t>
  </si>
  <si>
    <t>-596.636258803358 -67.1291391650093 323.633650916584</t>
  </si>
  <si>
    <t>-652.213579060579 -108.596366093221 781.590052695</t>
  </si>
  <si>
    <t>-498.699088559062 -123.988780428325 827.199296535417</t>
  </si>
  <si>
    <t>9763-20170724T115435.029504000.bin</t>
  </si>
  <si>
    <t>-596.285772414064 43.9104421234319 -92.1202200573756</t>
  </si>
  <si>
    <t>-617.11118046914 39.779080653889 -200.779064844602</t>
  </si>
  <si>
    <t>-630.739195866236 35.7552782141042 -292.561009823281</t>
  </si>
  <si>
    <t>-642.439328924486 31.8403251256764 -375.542380539435</t>
  </si>
  <si>
    <t>-652.968657392109 27.6307647306119 -458.665966923942</t>
  </si>
  <si>
    <t>-667.08283100539 21.1314227333169 -580.335542359501</t>
  </si>
  <si>
    <t>-657.987639500253 18.8371491113121 -658.131673348194</t>
  </si>
  <si>
    <t>-659.896736031417 55.2777552450762 -528.734858601937</t>
  </si>
  <si>
    <t>-640.843353008157 209.572814478733 -515.863284858633</t>
  </si>
  <si>
    <t>-564.3264560684 298.81395376042 -259.426618753747</t>
  </si>
  <si>
    <t>-334.823764303683 288.252137804032 -293.565864619772</t>
  </si>
  <si>
    <t>-602.378800357129 136.591506328087 -96.2132214320503</t>
  </si>
  <si>
    <t>-627.578430864577 148.195701533894 318.434720199614</t>
  </si>
  <si>
    <t>-668.574713104146 182.157023935644 778.451384078119</t>
  </si>
  <si>
    <t>-517.87443334527 183.309039128482 834.771230419611</t>
  </si>
  <si>
    <t>-596.052753573232 -66.681606554311 323.766914561225</t>
  </si>
  <si>
    <t>-652.073773428969 -108.598889790584 781.634452883261</t>
  </si>
  <si>
    <t>-498.635328493746 -124.073926987351 827.471030839951</t>
  </si>
  <si>
    <t>9763-20170724T115435.066605300.bin</t>
  </si>
  <si>
    <t>-595.911387926672 44.1037895827931 -92.0587875352701</t>
  </si>
  <si>
    <t>-616.73246040057 40.0078755299091 -200.719809889067</t>
  </si>
  <si>
    <t>-630.333716348497 35.9894057286892 -292.505874619642</t>
  </si>
  <si>
    <t>-642.000813431841 32.0701532666264 -375.49171580987</t>
  </si>
  <si>
    <t>-652.488358423358 27.8460657599521 -458.619950827336</t>
  </si>
  <si>
    <t>-666.531909187617 21.3145879729075 -580.295852378763</t>
  </si>
  <si>
    <t>-657.450101756934 18.9787895320612 -658.092334699716</t>
  </si>
  <si>
    <t>-659.330176666568 55.4727602848711 -528.705412020711</t>
  </si>
  <si>
    <t>-640.085873331104 209.749527675581 -515.908240048612</t>
  </si>
  <si>
    <t>-564.631991468581 298.910739322873 -259.129102535673</t>
  </si>
  <si>
    <t>-335.213070477791 288.085694315986 -293.74576497887</t>
  </si>
  <si>
    <t>-601.845568278442 136.833571021348 -96.1422175487551</t>
  </si>
  <si>
    <t>-627.340961864653 148.348374039563 318.490139371566</t>
  </si>
  <si>
    <t>-668.545246524706 182.211997510704 778.498946329017</t>
  </si>
  <si>
    <t>-517.857632160801 183.403655494964 834.851657282666</t>
  </si>
  <si>
    <t>-595.885543957529 -66.6215346346187 323.804140387356</t>
  </si>
  <si>
    <t>-652.072965685265 -108.547963733382 781.64465883395</t>
  </si>
  <si>
    <t>-498.634078523451 -124.047282659275 827.471501255257</t>
  </si>
  <si>
    <t>9763-20170724T115435.127780800.bin</t>
  </si>
  <si>
    <t>-595.692199927622 44.3224448993906 -92.0518077460239</t>
  </si>
  <si>
    <t>-616.452587468552 40.2528858178555 -200.725429548002</t>
  </si>
  <si>
    <t>-629.941552073262 36.2492038384705 -292.528730222519</t>
  </si>
  <si>
    <t>-641.482736385628 32.3427216642056 -375.532844976465</t>
  </si>
  <si>
    <t>-651.819713803303 28.1284238537021 -458.680386657051</t>
  </si>
  <si>
    <t>-665.616222518714 21.6072261373877 -580.385209139016</t>
  </si>
  <si>
    <t>-656.464349802799 19.2026007460429 -658.171218830367</t>
  </si>
  <si>
    <t>-658.403690860399 55.7562640184342 -528.790035891617</t>
  </si>
  <si>
    <t>-638.540980509051 209.957332151468 -515.995152701319</t>
  </si>
  <si>
    <t>-565.478651764621 298.842024911301 -258.429631898657</t>
  </si>
  <si>
    <t>-336.180349920227 287.40881713559 -293.644980955226</t>
  </si>
  <si>
    <t>-601.211078278854 137.367022466412 -96.1599390218609</t>
  </si>
  <si>
    <t>-626.955452491318 148.722505967808 318.461487366091</t>
  </si>
  <si>
    <t>-668.498673041519 182.311744233786 778.496006438037</t>
  </si>
  <si>
    <t>-517.853231744078 183.385111890815 834.963797789832</t>
  </si>
  <si>
    <t>-595.951442708484 -66.6393269595185 323.809993022431</t>
  </si>
  <si>
    <t>-652.155848720808 -108.475916444727 781.647353949144</t>
  </si>
  <si>
    <t>-498.675578640221 -124.085507294262 827.297939832773</t>
  </si>
  <si>
    <t>9763-20170724T115435.160868300.bin</t>
  </si>
  <si>
    <t>-595.82089206579 44.4186339352784 -92.0988370268199</t>
  </si>
  <si>
    <t>-616.42924276233 40.3438422649726 -200.801163506902</t>
  </si>
  <si>
    <t>-629.792307532922 36.3115870923759 -292.621605826386</t>
  </si>
  <si>
    <t>-641.221070827432 32.3711952035517 -375.63969516147</t>
  </si>
  <si>
    <t>-651.446811839907 28.1145081487612 -458.798763765013</t>
  </si>
  <si>
    <t>-665.082378253529 21.5212574972227 -580.517958578387</t>
  </si>
  <si>
    <t>-655.839246134621 19.0626355097802 -658.291421546647</t>
  </si>
  <si>
    <t>-657.881097534098 55.6982419556648 -528.939691070506</t>
  </si>
  <si>
    <t>-637.787599473728 209.875251607001 -516.189550107459</t>
  </si>
  <si>
    <t>-565.69363531579 298.916108333455 -258.405234663113</t>
  </si>
  <si>
    <t>-336.414013436161 287.119451455523 -293.62193252448</t>
  </si>
  <si>
    <t>-601.098319483109 137.546234741067 -96.212850183413</t>
  </si>
  <si>
    <t>-627.00435396568 148.841135474842 318.400125876114</t>
  </si>
  <si>
    <t>-668.495530187108 182.359241156716 778.4639703712</t>
  </si>
  <si>
    <t>-517.8680893447 183.379259585978 834.980736640144</t>
  </si>
  <si>
    <t>-596.291368429223 -66.598591892656 323.792713679391</t>
  </si>
  <si>
    <t>-652.221974303405 -108.466661260677 781.649072057908</t>
  </si>
  <si>
    <t>-498.722993015278 -124.256631679916 827.174491193351</t>
  </si>
  <si>
    <t>9763-20170724T115435.233073400.bin</t>
  </si>
  <si>
    <t>-596.281735941982 44.3666334278523 -92.2312586537531</t>
  </si>
  <si>
    <t>-616.418636340712 40.2819962794122 -201.021538765801</t>
  </si>
  <si>
    <t>-629.474998808821 36.1564560506779 -292.882065649866</t>
  </si>
  <si>
    <t>-640.664379207007 32.1017109790009 -375.927109705899</t>
  </si>
  <si>
    <t>-650.689170808223 27.6984225434571 -459.103183225398</t>
  </si>
  <si>
    <t>-664.073665368307 20.8567850870822 -580.836328108361</t>
  </si>
  <si>
    <t>-654.606496692921 18.2271087849376 -658.577400214063</t>
  </si>
  <si>
    <t>-656.854901809739 55.1330730415214 -529.326584812714</t>
  </si>
  <si>
    <t>-636.144958727135 209.25752903918 -516.882360565097</t>
  </si>
  <si>
    <t>-566.120323319745 299.151878102406 -258.823959205643</t>
  </si>
  <si>
    <t>-336.937377468525 286.247032482502 -294.28036817838</t>
  </si>
  <si>
    <t>-601.17821122717 137.518961058757 -96.3825845499852</t>
  </si>
  <si>
    <t>-627.34764344128 148.979093622257 318.209292656378</t>
  </si>
  <si>
    <t>-668.519819336259 182.351709046187 778.319378300878</t>
  </si>
  <si>
    <t>-517.909976842492 183.424995263335 834.88208268217</t>
  </si>
  <si>
    <t>-597.369331993091 -66.9270023360973 323.688053704253</t>
  </si>
  <si>
    <t>-652.425154223549 -108.400987898838 781.645252122772</t>
  </si>
  <si>
    <t>-498.852088072398 -124.55941995479 826.789992326515</t>
  </si>
  <si>
    <t>9763-20170724T115435.260145600.bin</t>
  </si>
  <si>
    <t>-596.547801267932 44.1874941728227 -92.3310336938412</t>
  </si>
  <si>
    <t>-616.46010263539 40.1179082872957 -201.163190196331</t>
  </si>
  <si>
    <t>-629.362968940135 35.9317778659849 -293.042629758987</t>
  </si>
  <si>
    <t>-640.429184117209 31.7940360686769 -376.100092416096</t>
  </si>
  <si>
    <t>-650.346687717768 27.2795178762135 -459.283064176131</t>
  </si>
  <si>
    <t>-663.592556217527 20.2437684213382 -581.020346273402</t>
  </si>
  <si>
    <t>-654.000113997807 17.4720144393234 -658.741067795988</t>
  </si>
  <si>
    <t>-656.38669718085 54.5998920013749 -529.561828757153</t>
  </si>
  <si>
    <t>-635.500435916558 208.721209694213 -517.363774868024</t>
  </si>
  <si>
    <t>-566.100513899984 299.327357077082 -259.385470403541</t>
  </si>
  <si>
    <t>-337.013668318393 285.759597800154 -295.213684462531</t>
  </si>
  <si>
    <t>-601.246470604327 137.349399329859 -96.4951255618678</t>
  </si>
  <si>
    <t>-627.584151996499 148.965111181028 318.081727291884</t>
  </si>
  <si>
    <t>-668.559121017806 182.317739875859 778.221041040211</t>
  </si>
  <si>
    <t>-517.944747651864 183.481528972824 834.769799152832</t>
  </si>
  <si>
    <t>-597.987327000615 -67.222821066641 323.578499406093</t>
  </si>
  <si>
    <t>-652.530929341811 -108.420144548818 781.632379188204</t>
  </si>
  <si>
    <t>-498.929794746052 -124.853287414146 826.581967627852</t>
  </si>
  <si>
    <t>9763-20170724T115435.327331100.bin</t>
  </si>
  <si>
    <t>-597.099408545492 43.8139795066154 -92.5737608438218</t>
  </si>
  <si>
    <t>-616.625792469538 39.7400433111866 -201.475621571572</t>
  </si>
  <si>
    <t>-629.271070109016 35.4015262209111 -293.383800608283</t>
  </si>
  <si>
    <t>-640.133653681124 31.0682601379033 -376.458145037114</t>
  </si>
  <si>
    <t>-649.87775991731 26.3000080500758 -459.647579309324</t>
  </si>
  <si>
    <t>-662.904511631591 18.8301386348151 -581.382530970181</t>
  </si>
  <si>
    <t>-653.051943345984 15.7086708462557 -659.057497997546</t>
  </si>
  <si>
    <t>-655.759659232499 53.3679140782506 -530.037256745752</t>
  </si>
  <si>
    <t>-634.727459434726 207.509533328729 -518.383616827257</t>
  </si>
  <si>
    <t>-565.673539171226 299.199813872746 -260.695817704717</t>
  </si>
  <si>
    <t>-336.784343510079 284.602049022588 -297.3725402907</t>
  </si>
  <si>
    <t>-601.679926340503 136.938667619693 -96.7837138937957</t>
  </si>
  <si>
    <t>-627.966076673637 148.856841188195 317.787864376627</t>
  </si>
  <si>
    <t>-668.610406895513 182.260915267997 777.986104503726</t>
  </si>
  <si>
    <t>-517.991461975643 183.409195085824 834.523130646024</t>
  </si>
  <si>
    <t>-599.071441393086 -67.6990987162949 323.347602277056</t>
  </si>
  <si>
    <t>-652.765645184707 -108.370734741442 781.58168212296</t>
  </si>
  <si>
    <t>-499.037383314073 -124.870005601381 826.0701183147</t>
  </si>
  <si>
    <t>9763-20170724T115435.360418200.bin</t>
  </si>
  <si>
    <t>-597.312728249158 43.6430178300595 -92.6756396699428</t>
  </si>
  <si>
    <t>-616.704209856291 39.5479504525722 -201.600880802089</t>
  </si>
  <si>
    <t>-629.262849428991 35.1133287667963 -293.516216663823</t>
  </si>
  <si>
    <t>-640.059170383089 30.6622393341879 -376.593176855039</t>
  </si>
  <si>
    <t>-649.749802102459 25.7444632602201 -459.779974181</t>
  </si>
  <si>
    <t>-662.712935995902 18.0219455943211 -581.506093858825</t>
  </si>
  <si>
    <t>-652.74062112755 14.7055072330218 -659.157637590117</t>
  </si>
  <si>
    <t>-655.57544297651 52.665156715628 -530.230824758896</t>
  </si>
  <si>
    <t>-634.4470543843 206.811601357543 -518.842131393765</t>
  </si>
  <si>
    <t>-565.48988919281 298.832229442821 -261.246131087594</t>
  </si>
  <si>
    <t>-336.696273528518 283.886039136801 -298.376029528813</t>
  </si>
  <si>
    <t>-601.917491962177 136.728883542426 -96.904079839435</t>
  </si>
  <si>
    <t>-628.14268578507 148.783665807121 317.667470601527</t>
  </si>
  <si>
    <t>-668.630882196488 182.245853371531 777.873444632938</t>
  </si>
  <si>
    <t>-518.010659782906 183.447973937729 834.405921691342</t>
  </si>
  <si>
    <t>-599.442278207962 -67.8749109588757 323.260204036113</t>
  </si>
  <si>
    <t>-652.868269043412 -108.312681281105 781.545394322086</t>
  </si>
  <si>
    <t>-499.070960970672 -124.72090133698 825.82837511018</t>
  </si>
  <si>
    <t>9763-20170724T115435.429608800.bin</t>
  </si>
  <si>
    <t>-597.537700215911 43.3134617929227 -92.8486865646742</t>
  </si>
  <si>
    <t>-616.755908291593 39.1473250386161 -201.801889397361</t>
  </si>
  <si>
    <t>-629.174028102815 34.5266150638915 -293.727244853768</t>
  </si>
  <si>
    <t>-639.847419820573 29.8556211195023 -376.808019389353</t>
  </si>
  <si>
    <t>-649.420294184064 24.6662190544989 -459.991811735003</t>
  </si>
  <si>
    <t>-662.21816945773 16.4893933041765 -581.70577315134</t>
  </si>
  <si>
    <t>-652.024922677297 12.838808651507 -659.313627412914</t>
  </si>
  <si>
    <t>-655.147209347139 51.3235306478637 -530.550989337554</t>
  </si>
  <si>
    <t>-633.889673236388 205.486471313206 -519.661922923534</t>
  </si>
  <si>
    <t>-565.180250929067 298.215983592142 -262.254055416096</t>
  </si>
  <si>
    <t>-336.533927857467 282.653135002932 -300.032206221101</t>
  </si>
  <si>
    <t>-602.27006395088 136.295223433585 -97.1143562428118</t>
  </si>
  <si>
    <t>-628.420038388977 148.602651185256 317.45444618035</t>
  </si>
  <si>
    <t>-668.684988317563 182.187134179983 777.662669127762</t>
  </si>
  <si>
    <t>-518.058303724145 183.382298633398 834.178084105586</t>
  </si>
  <si>
    <t>-599.838186628487 -68.1894670576401 323.141208732544</t>
  </si>
  <si>
    <t>-652.970282085511 -108.312515521274 781.497501323414</t>
  </si>
  <si>
    <t>-499.118284504198 -124.835771928427 825.547074134378</t>
  </si>
  <si>
    <t>9763-20170724T115435.459700400.bin</t>
  </si>
  <si>
    <t>-597.53309712843 43.1788532693081 -92.9197863710954</t>
  </si>
  <si>
    <t>-616.670521739631 38.9547195529772 -201.884964814691</t>
  </si>
  <si>
    <t>-629.035887106481 34.2383922107831 -293.812639577945</t>
  </si>
  <si>
    <t>-639.668555927258 29.4613124922819 -376.892369465911</t>
  </si>
  <si>
    <t>-649.208069077081 24.1467045291345 -460.072193903235</t>
  </si>
  <si>
    <t>-661.965785429302 15.7655685855048 -581.77646185146</t>
  </si>
  <si>
    <t>-651.691379960943 11.9790602314192 -659.367217163758</t>
  </si>
  <si>
    <t>-654.924791122736 50.6863563169281 -530.676628176378</t>
  </si>
  <si>
    <t>-633.689290996026 204.870512001369 -520.034970885036</t>
  </si>
  <si>
    <t>-565.051270091698 297.813659937687 -262.68504963703</t>
  </si>
  <si>
    <t>-336.423012864572 282.130426143416 -300.522675786338</t>
  </si>
  <si>
    <t>-602.39271409228 136.119928242928 -97.2160596967407</t>
  </si>
  <si>
    <t>-628.49130101402 148.519054232157 317.353290356539</t>
  </si>
  <si>
    <t>-668.705224306176 182.163130504756 777.562246391178</t>
  </si>
  <si>
    <t>-518.074975025094 183.425246811845 834.066723508022</t>
  </si>
  <si>
    <t>-599.903761869485 -68.3316061745898 323.107749871223</t>
  </si>
  <si>
    <t>-652.999054238514 -108.293934265629 781.483750252383</t>
  </si>
  <si>
    <t>-499.130303115681 -124.85922515304 825.458981301869</t>
  </si>
  <si>
    <t>9763-20170724T115435.529485500.bin</t>
  </si>
  <si>
    <t>-597.250846971934 42.8711971076764 -93.0114527526918</t>
  </si>
  <si>
    <t>-616.271868912241 38.5471995268658 -201.993166798246</t>
  </si>
  <si>
    <t>-628.591477694578 33.6786324656912 -293.918968264978</t>
  </si>
  <si>
    <t>-639.20500295202 28.7346827612619 -376.991505796199</t>
  </si>
  <si>
    <t>-648.748070098762 23.2257225680657 -460.158275343879</t>
  </si>
  <si>
    <t>-661.536774290421 14.5302669660305 -581.837170626574</t>
  </si>
  <si>
    <t>-651.182095959831 10.5628563789794 -659.40810965644</t>
  </si>
  <si>
    <t>-654.541058277382 49.5859649829195 -530.823475454138</t>
  </si>
  <si>
    <t>-633.46238509649 203.813382257439 -520.536240415346</t>
  </si>
  <si>
    <t>-564.863056606561 296.921591760999 -263.23566987809</t>
  </si>
  <si>
    <t>-336.202470360199 281.754601788464 -301.088494507493</t>
  </si>
  <si>
    <t>-602.346910161359 135.739936744185 -97.3732672430792</t>
  </si>
  <si>
    <t>-628.447665965518 148.299345078561 317.191085029802</t>
  </si>
  <si>
    <t>-668.720402010891 182.151518659004 777.377581572966</t>
  </si>
  <si>
    <t>-518.095051421717 183.497991056767 833.893354654721</t>
  </si>
  <si>
    <t>-599.804783464644 -68.6258105567599 323.063761755733</t>
  </si>
  <si>
    <t>-653.030256933376 -108.294571948355 781.460633704335</t>
  </si>
  <si>
    <t>-499.153615079936 -125.065148362265 825.330312917815</t>
  </si>
  <si>
    <t>9763-20170724T115435.563576500.bin</t>
  </si>
  <si>
    <t>-596.956508506934 42.7262116514519 -93.0465442820855</t>
  </si>
  <si>
    <t>-615.953498659182 38.3569679286561 -202.030559304088</t>
  </si>
  <si>
    <t>-628.285733798426 33.428622385695 -293.951527902242</t>
  </si>
  <si>
    <t>-638.924078892175 28.4216880032411 -377.017139869118</t>
  </si>
  <si>
    <t>-648.505776776525 22.841162877726 -460.174703447344</t>
  </si>
  <si>
    <t>-661.366081517076 14.0323925391215 -581.837945168338</t>
  </si>
  <si>
    <t>-651.001481232216 10.020286171896 -659.405207425494</t>
  </si>
  <si>
    <t>-654.377303126872 49.1373831207502 -530.857222382022</t>
  </si>
  <si>
    <t>-633.402594255208 203.387259966708 -520.659882722291</t>
  </si>
  <si>
    <t>-564.766048677257 296.655314355419 -263.427315924144</t>
  </si>
  <si>
    <t>-336.085806416862 281.91441198726 -301.329594005352</t>
  </si>
  <si>
    <t>-602.145252810607 135.567274399396 -97.4269870346451</t>
  </si>
  <si>
    <t>-628.325759070728 148.16998606105 317.131030830559</t>
  </si>
  <si>
    <t>-668.749934931696 182.132869766462 777.290029267413</t>
  </si>
  <si>
    <t>-518.132555996297 183.443362941926 833.827781572858</t>
  </si>
  <si>
    <t>-599.705455593156 -68.7744830919837 323.047792505272</t>
  </si>
  <si>
    <t>-653.040571308888 -108.266146681965 781.447135170857</t>
  </si>
  <si>
    <t>-499.148983706727 -125.036067517175 825.264650780915</t>
  </si>
  <si>
    <t>9763-20170724T115435.624757300.bin</t>
  </si>
  <si>
    <t>-596.182679560762 42.3810064766069 -93.0828117406329</t>
  </si>
  <si>
    <t>-615.185070097165 37.9319962912916 -202.062796976612</t>
  </si>
  <si>
    <t>-627.563056273846 32.906252558972 -293.972213983714</t>
  </si>
  <si>
    <t>-638.259691138727 27.7975436350432 -377.024141033643</t>
  </si>
  <si>
    <t>-647.916823774169 22.1035875820965 -460.165303331374</t>
  </si>
  <si>
    <t>-660.906495672821 13.1164163045087 -581.801708852626</t>
  </si>
  <si>
    <t>-650.513502137028 9.08400008030526 -659.364213642086</t>
  </si>
  <si>
    <t>-653.938928960128 48.3001262197515 -530.872260865435</t>
  </si>
  <si>
    <t>-633.258844331615 202.597575722011 -520.799820389467</t>
  </si>
  <si>
    <t>-564.606888402452 296.301654169816 -263.729696650772</t>
  </si>
  <si>
    <t>-335.86585659815 282.387845793269 -301.577560289765</t>
  </si>
  <si>
    <t>-601.581170178276 135.140746441713 -97.5130758497579</t>
  </si>
  <si>
    <t>-627.890756670952 147.863270200856 317.033148684167</t>
  </si>
  <si>
    <t>-668.76227002799 182.046402818316 777.104503786242</t>
  </si>
  <si>
    <t>-518.168061656119 183.588646289959 833.698000502207</t>
  </si>
  <si>
    <t>-599.271441851939 -69.1063552089547 323.042194893964</t>
  </si>
  <si>
    <t>-653.014603295489 -108.264196240036 781.41956758586</t>
  </si>
  <si>
    <t>-499.125931024274 -125.073537021922 825.232275060683</t>
  </si>
  <si>
    <t>9763-20170724T115435.661856900.bin</t>
  </si>
  <si>
    <t>-595.781810813204 42.1890059047669 -93.0935981044274</t>
  </si>
  <si>
    <t>-614.809117756362 37.7032374315738 -202.067661189146</t>
  </si>
  <si>
    <t>-627.216364431841 32.6476069628518 -293.971538544851</t>
  </si>
  <si>
    <t>-637.942715393342 27.5115636402181 -377.017972331858</t>
  </si>
  <si>
    <t>-647.63301519681 21.7901538667402 -460.153395683614</t>
  </si>
  <si>
    <t>-660.674849970774 12.7632709619193 -581.781388723051</t>
  </si>
  <si>
    <t>-650.278098886081 8.74705920667498 -659.344053853927</t>
  </si>
  <si>
    <t>-653.711326438385 47.9647015889686 -530.863717087718</t>
  </si>
  <si>
    <t>-633.115120342979 202.273399795559 -520.783977409619</t>
  </si>
  <si>
    <t>-564.475747669963 296.06588730887 -263.742818639475</t>
  </si>
  <si>
    <t>-335.710982001233 282.631000202812 -301.620552847436</t>
  </si>
  <si>
    <t>-601.311963582181 134.899058074886 -97.546761195462</t>
  </si>
  <si>
    <t>-627.6526175142 147.675189807399 316.995758059889</t>
  </si>
  <si>
    <t>-668.773162901702 181.962637679276 777.023716296453</t>
  </si>
  <si>
    <t>-518.194743620136 183.563278777452 833.657559976001</t>
  </si>
  <si>
    <t>-598.974106145863 -69.2372467488328 323.049723428486</t>
  </si>
  <si>
    <t>-652.973086969679 -108.249597745265 781.41527871633</t>
  </si>
  <si>
    <t>-499.058791573265 -124.729089548129 825.263195549154</t>
  </si>
  <si>
    <t>9763-20170724T115435.724546600.bin</t>
  </si>
  <si>
    <t>-594.99386079812 41.7714664758416 -93.1016522039056</t>
  </si>
  <si>
    <t>-614.080025586027 37.2164179216359 -202.0625594209</t>
  </si>
  <si>
    <t>-626.536584270211 32.1356316730555 -293.95835707031</t>
  </si>
  <si>
    <t>-637.30694746715 26.9880896496043 -376.998451549238</t>
  </si>
  <si>
    <t>-647.040448574779 21.2678852442234 -460.128851512471</t>
  </si>
  <si>
    <t>-660.144488923471 12.2559847552068 -581.751249072886</t>
  </si>
  <si>
    <t>-649.741122386887 8.30954591648378 -659.316703942916</t>
  </si>
  <si>
    <t>-653.214701760444 47.4539910179824 -530.826450313307</t>
  </si>
  <si>
    <t>-632.792973931672 201.778411583837 -520.613929344443</t>
  </si>
  <si>
    <t>-564.094068444365 295.632108236086 -263.610922316377</t>
  </si>
  <si>
    <t>-335.340003116657 282.855003853551 -301.779736887026</t>
  </si>
  <si>
    <t>-600.763332242409 134.409600223054 -97.5814126584262</t>
  </si>
  <si>
    <t>-627.258195690134 147.359067396256 316.945952374405</t>
  </si>
  <si>
    <t>-668.761189431252 181.931756095318 776.899885198531</t>
  </si>
  <si>
    <t>-518.21729991591 183.575272374999 833.62426272285</t>
  </si>
  <si>
    <t>-598.40764465229 -69.5113277517059 323.076024205856</t>
  </si>
  <si>
    <t>-652.918873458796 -108.237911028504 781.405684194325</t>
  </si>
  <si>
    <t>-499.021924927191 -124.753043865603 825.301009725266</t>
  </si>
  <si>
    <t>9763-20170724T115435.763659900.bin</t>
  </si>
  <si>
    <t>-594.654403999355 41.5059479643637 -93.1036717912378</t>
  </si>
  <si>
    <t>-613.749390165047 36.9299020593362 -202.062108730152</t>
  </si>
  <si>
    <t>-626.205576881017 31.8551002930287 -293.958432014939</t>
  </si>
  <si>
    <t>-636.972135016469 26.7215475211108 -376.999734047577</t>
  </si>
  <si>
    <t>-646.698108548317 21.0243753903039 -460.132669847799</t>
  </si>
  <si>
    <t>-659.786961944531 12.0558369670534 -581.759833351746</t>
  </si>
  <si>
    <t>-649.369848805508 8.17431182087466 -659.326742342717</t>
  </si>
  <si>
    <t>-652.900657279136 47.2374713112217 -530.817842886459</t>
  </si>
  <si>
    <t>-632.600181359376 201.568771547794 -520.46563193699</t>
  </si>
  <si>
    <t>-563.662567511547 295.228745201709 -263.455973547528</t>
  </si>
  <si>
    <t>-334.937595230249 282.684688321305 -301.875411411447</t>
  </si>
  <si>
    <t>-600.532994338571 134.099566098046 -97.5885514919449</t>
  </si>
  <si>
    <t>-627.073202518979 147.157698130342 316.932430368935</t>
  </si>
  <si>
    <t>-668.761873375895 181.865733958988 776.852052746474</t>
  </si>
  <si>
    <t>-518.235560552724 183.590598679939 833.620760029801</t>
  </si>
  <si>
    <t>-598.192632062383 -69.7155016194818 323.079115800918</t>
  </si>
  <si>
    <t>-652.890223767062 -108.271018470436 781.396129197477</t>
  </si>
  <si>
    <t>-499.010851112857 -124.850727678788 825.328764771624</t>
  </si>
  <si>
    <t>9763-20170724T115435.826322800.bin</t>
  </si>
  <si>
    <t>-594.05875344172 41.0383749633208 -93.0913836537517</t>
  </si>
  <si>
    <t>-613.104081911644 36.4156068324387 -202.056585311549</t>
  </si>
  <si>
    <t>-625.515927108327 31.3586825909233 -293.959781675046</t>
  </si>
  <si>
    <t>-636.240555372649 26.2621534186919 -377.008828639979</t>
  </si>
  <si>
    <t>-645.922246316175 20.6241811796549 -460.150988222571</t>
  </si>
  <si>
    <t>-658.943165230544 11.7669890406564 -581.793629132491</t>
  </si>
  <si>
    <t>-648.471466689053 8.09173478865046 -659.363204659521</t>
  </si>
  <si>
    <t>-652.165922089768 46.9054257876658 -530.807308724371</t>
  </si>
  <si>
    <t>-632.20281885124 201.261751277028 -520.165957922557</t>
  </si>
  <si>
    <t>-562.485808975384 294.16703138806 -263.0925342193</t>
  </si>
  <si>
    <t>-333.85332060045 282.20019639763 -302.239912947435</t>
  </si>
  <si>
    <t>-600.153792907866 133.533246012628 -97.5870602485965</t>
  </si>
  <si>
    <t>-626.814435975533 146.835601482935 316.918483583137</t>
  </si>
  <si>
    <t>-668.745956810108 181.858640002981 776.782996313697</t>
  </si>
  <si>
    <t>-518.251829725435 183.588444921996 833.636867554881</t>
  </si>
  <si>
    <t>-597.89635571129 -70.0962860315922 323.087344726452</t>
  </si>
  <si>
    <t>-652.783161260029 -108.289208884817 781.400583103615</t>
  </si>
  <si>
    <t>-498.920067470506 -124.645682799676 825.473687597011</t>
  </si>
  <si>
    <t>9763-20170724T115435.863420900.bin</t>
  </si>
  <si>
    <t>-593.781767337871 40.8356705800111 -93.0694782808366</t>
  </si>
  <si>
    <t>-612.785266591788 36.1957492667707 -202.041220960223</t>
  </si>
  <si>
    <t>-625.169681302775 31.1585826379282 -293.949157031042</t>
  </si>
  <si>
    <t>-635.872126177598 26.0925294802121 -377.002899835422</t>
  </si>
  <si>
    <t>-645.533935732112 20.4986757454817 -460.150496587758</t>
  </si>
  <si>
    <t>-658.528088983381 11.720772234575 -581.801750881</t>
  </si>
  <si>
    <t>-648.014572611551 8.19740463863945 -659.372707898934</t>
  </si>
  <si>
    <t>-651.812967499947 46.8280135343282 -530.785740564785</t>
  </si>
  <si>
    <t>-632.11262568191 201.207478149455 -520.020067547481</t>
  </si>
  <si>
    <t>-561.811127860646 293.493759581495 -262.882923823588</t>
  </si>
  <si>
    <t>-333.244094898215 281.911730251358 -302.524912156348</t>
  </si>
  <si>
    <t>-600.019439196062 133.253392527021 -97.5699558674618</t>
  </si>
  <si>
    <t>-626.733155900002 146.68956919242 316.927883288452</t>
  </si>
  <si>
    <t>-668.751703256791 181.804625728443 776.766577994945</t>
  </si>
  <si>
    <t>-518.269684029726 183.599404922468 833.650432799458</t>
  </si>
  <si>
    <t>-597.748172903659 -70.2480691419823 323.092531085616</t>
  </si>
  <si>
    <t>-652.729075793925 -108.260969559675 781.400844551166</t>
  </si>
  <si>
    <t>-498.858940221332 -124.357660960669 825.544846886886</t>
  </si>
  <si>
    <t>9763-20170724T115435.929439000.bin</t>
  </si>
  <si>
    <t>-593.316069840873 40.4233253674545 -92.9999934212923</t>
  </si>
  <si>
    <t>-612.247269748898 35.7362396699448 -201.982213528668</t>
  </si>
  <si>
    <t>-624.565654125611 30.7748947105456 -293.903349242889</t>
  </si>
  <si>
    <t>-635.204791596072 25.8206838148026 -376.971931154965</t>
  </si>
  <si>
    <t>-644.798784768275 20.3835793055202 -460.137697927572</t>
  </si>
  <si>
    <t>-657.687794589431 11.8842946506081 -581.819954328182</t>
  </si>
  <si>
    <t>-647.07878500695 8.7271704543989 -659.393536613001</t>
  </si>
  <si>
    <t>-651.116004176096 46.8785055700746 -530.707472827019</t>
  </si>
  <si>
    <t>-631.748245385807 201.270721296596 -519.492348181509</t>
  </si>
  <si>
    <t>-560.45153864008 291.852717433755 -262.023372277995</t>
  </si>
  <si>
    <t>-331.962458368999 281.222969264047 -302.375230132454</t>
  </si>
  <si>
    <t>-599.909632243802 132.651828756062 -97.5205591405266</t>
  </si>
  <si>
    <t>-626.598227475557 146.404886182891 316.968483178968</t>
  </si>
  <si>
    <t>-668.767702879768 181.695845339536 776.761812673656</t>
  </si>
  <si>
    <t>-518.301581915314 183.661864909448 833.681894705344</t>
  </si>
  <si>
    <t>-597.375401599074 -70.5539884511381 323.123261501807</t>
  </si>
  <si>
    <t>-652.617331606959 -108.311351980989 781.409150910079</t>
  </si>
  <si>
    <t>-498.771558915846 -124.201368410724 825.712784996737</t>
  </si>
  <si>
    <t>9763-20170724T115435.962528900.bin</t>
  </si>
  <si>
    <t>-593.104564161832 40.2194362665202 -92.9708227415886</t>
  </si>
  <si>
    <t>-612.015274029279 35.5146156996041 -201.955952769394</t>
  </si>
  <si>
    <t>-624.291294899 30.6068253560707 -293.8854964891</t>
  </si>
  <si>
    <t>-634.88121818095 25.7267340122412 -376.964816176953</t>
  </si>
  <si>
    <t>-644.414404854451 20.3900356010386 -460.143955857005</t>
  </si>
  <si>
    <t>-657.20134522969 12.0662645798345 -581.849091774357</t>
  </si>
  <si>
    <t>-646.514420701606 9.10616843796106 -659.419943272381</t>
  </si>
  <si>
    <t>-650.705632162189 46.9879365768149 -530.677566129124</t>
  </si>
  <si>
    <t>-631.273866502583 201.347283981894 -519.149992256709</t>
  </si>
  <si>
    <t>-559.804442883649 290.832131551582 -261.345406846052</t>
  </si>
  <si>
    <t>-331.269300067275 280.7455580138 -301.575657976066</t>
  </si>
  <si>
    <t>-599.854110476823 132.402959166608 -97.4863671880252</t>
  </si>
  <si>
    <t>-626.529749074913 146.231345088655 317.001055456272</t>
  </si>
  <si>
    <t>-668.777171867399 181.628397424823 776.770639877108</t>
  </si>
  <si>
    <t>-518.319858797233 183.730986267627 833.709211059776</t>
  </si>
  <si>
    <t>-597.136566726645 -70.6710559747621 323.149174453874</t>
  </si>
  <si>
    <t>-652.547840811146 -108.3001733092 781.415720328901</t>
  </si>
  <si>
    <t>-498.714150595751 -124.028833200365 825.818756073848</t>
  </si>
  <si>
    <t>9763-20170724T115436.029305400.bin</t>
  </si>
  <si>
    <t>-592.63969596473 39.8921731845683 -92.9152375191061</t>
  </si>
  <si>
    <t>-611.467254129708 35.1498987240664 -201.913049592686</t>
  </si>
  <si>
    <t>-623.608029809627 30.3281224723955 -293.865302458747</t>
  </si>
  <si>
    <t>-634.048057818597 25.5702331715204 -376.970559348234</t>
  </si>
  <si>
    <t>-643.402716586668 20.4002209215857 -460.180532847124</t>
  </si>
  <si>
    <t>-655.896379496912 12.3680480449261 -581.93565752895</t>
  </si>
  <si>
    <t>-645.060264716783 9.80692527588621 -659.500202402254</t>
  </si>
  <si>
    <t>-649.549344226857 47.1678771209736 -530.662493672118</t>
  </si>
  <si>
    <t>-629.992640482438 201.466135709675 -518.556333997855</t>
  </si>
  <si>
    <t>-558.628984983893 288.473878250399 -259.876053932899</t>
  </si>
  <si>
    <t>-329.939727340077 279.515835578486 -299.493146175564</t>
  </si>
  <si>
    <t>-599.620533518865 131.975351418435 -97.4229995180671</t>
  </si>
  <si>
    <t>-626.34971599129 145.984113269806 317.054865291009</t>
  </si>
  <si>
    <t>-668.749799692958 181.675954779005 776.788529610395</t>
  </si>
  <si>
    <t>-518.313848763265 183.697763629087 833.786356679161</t>
  </si>
  <si>
    <t>-596.760120606506 -70.8806119721837 323.213772916739</t>
  </si>
  <si>
    <t>-652.404156086937 -108.346969417938 781.450313817265</t>
  </si>
  <si>
    <t>-498.623268880347 -123.973385841706 826.071761823297</t>
  </si>
  <si>
    <t>9763-20170724T115436.063394000.bin</t>
  </si>
  <si>
    <t>-592.383889367817 39.7096194390006 -92.8853865902352</t>
  </si>
  <si>
    <t>-611.140871763937 34.9649496861343 -201.89525859323</t>
  </si>
  <si>
    <t>-623.201482054352 30.1934353851125 -293.860581047442</t>
  </si>
  <si>
    <t>-633.560093536315 25.5011979342996 -376.979815668945</t>
  </si>
  <si>
    <t>-642.823993824279 20.4166989339358 -460.205189097194</t>
  </si>
  <si>
    <t>-655.174243174881 12.5313625123147 -581.984670975312</t>
  </si>
  <si>
    <t>-644.268052734985 10.1554948487483 -659.545068465995</t>
  </si>
  <si>
    <t>-648.885907169223 47.2692307885818 -530.662247667539</t>
  </si>
  <si>
    <t>-629.361736726935 201.556719249227 -518.324865516564</t>
  </si>
  <si>
    <t>-558.0821891378 287.195730717586 -259.164959524333</t>
  </si>
  <si>
    <t>-329.338228827941 278.694230274002 -298.566140924446</t>
  </si>
  <si>
    <t>-599.421385471559 131.765501291782 -97.3917853364015</t>
  </si>
  <si>
    <t>-626.276948799169 145.876985804614 317.074486828124</t>
  </si>
  <si>
    <t>-668.741081465754 181.686754858267 776.795903095514</t>
  </si>
  <si>
    <t>-518.316825206155 183.718557421912 833.824472580545</t>
  </si>
  <si>
    <t>-596.676656805638 -71.0621194430746 323.232270663472</t>
  </si>
  <si>
    <t>-652.359510574032 -108.373728188638 781.462457508069</t>
  </si>
  <si>
    <t>-498.585663085689 -123.863774810955 826.155685098685</t>
  </si>
  <si>
    <t>9763-20170724T115436.128418000.bin</t>
  </si>
  <si>
    <t>-591.869187706922 39.2567533649778 -92.8366625640701</t>
  </si>
  <si>
    <t>-610.52019951271 34.5258818097955 -201.865297116138</t>
  </si>
  <si>
    <t>-622.460845794724 29.9222642226709 -293.854793689743</t>
  </si>
  <si>
    <t>-632.696703848501 25.4428432336069 -377.001107026209</t>
  </si>
  <si>
    <t>-641.821921515752 20.6330321051419 -460.25806981562</t>
  </si>
  <si>
    <t>-653.95077063595 13.2166926076732 -582.089237403813</t>
  </si>
  <si>
    <t>-642.916362719569 11.2245037086443 -659.642222053916</t>
  </si>
  <si>
    <t>-647.788853470193 47.7578450788224 -530.618918826543</t>
  </si>
  <si>
    <t>-628.522371535482 202.021253109386 -517.614609909185</t>
  </si>
  <si>
    <t>-556.972991958293 284.768079677516 -257.591042051792</t>
  </si>
  <si>
    <t>-328.176717254985 276.98305915532 -296.836090157128</t>
  </si>
  <si>
    <t>-599.006784952822 131.283358298298 -97.331456854028</t>
  </si>
  <si>
    <t>-626.095740522822 145.595500288203 317.112658441137</t>
  </si>
  <si>
    <t>-668.722614352586 181.669481088122 776.800085657692</t>
  </si>
  <si>
    <t>-518.325185863241 183.786421820161 833.896183790522</t>
  </si>
  <si>
    <t>-596.427850470707 -71.5116167123294 323.242064114555</t>
  </si>
  <si>
    <t>-652.225652654416 -108.423899910865 781.488702641027</t>
  </si>
  <si>
    <t>-498.516970113887 -123.925424487903 826.401546105569</t>
  </si>
  <si>
    <t>9763-20170724T115436.161506900.bin</t>
  </si>
  <si>
    <t>-591.576896181822 39.0444393492917 -92.803755650976</t>
  </si>
  <si>
    <t>-610.227690000012 34.3211268023463 -201.832887805028</t>
  </si>
  <si>
    <t>-622.136278344866 29.8124250181522 -293.831075456288</t>
  </si>
  <si>
    <t>-632.329077013519 25.4534779155204 -376.989043115981</t>
  </si>
  <si>
    <t>-641.396352935553 20.7991020316178 -460.261232999867</t>
  </si>
  <si>
    <t>-653.423403155798 13.6481548698509 -582.118320056692</t>
  </si>
  <si>
    <t>-642.337763024025 11.8509214402973 -659.668934955678</t>
  </si>
  <si>
    <t>-647.331738259935 48.077801828822 -530.565117378515</t>
  </si>
  <si>
    <t>-628.272761153631 202.332333675103 -517.210500709125</t>
  </si>
  <si>
    <t>-556.583309677695 283.788661669407 -256.818216149809</t>
  </si>
  <si>
    <t>-327.807649394893 276.345932761966 -296.249651064902</t>
  </si>
  <si>
    <t>-598.80298874454 131.06371761445 -97.2933239366313</t>
  </si>
  <si>
    <t>-625.946132979623 145.43380737235 317.145283335157</t>
  </si>
  <si>
    <t>-668.710923992643 181.642982007949 776.811068374199</t>
  </si>
  <si>
    <t>-518.327856017472 183.833758159903 833.942157435911</t>
  </si>
  <si>
    <t>-596.185990126905 -71.6731535642823 323.259915537768</t>
  </si>
  <si>
    <t>-652.136789682937 -108.437241606001 781.503822788614</t>
  </si>
  <si>
    <t>-498.454118717455 -123.797191038556 826.554165335811</t>
  </si>
  <si>
    <t>9763-20170724T115436.230695000.bin</t>
  </si>
  <si>
    <t>-591.009809750633 38.6065538775556 -92.7256439584316</t>
  </si>
  <si>
    <t>-609.69706801681 33.8921690344398 -201.748832652906</t>
  </si>
  <si>
    <t>-621.567484602297 29.5534617722849 -293.760323655356</t>
  </si>
  <si>
    <t>-631.695898347988 25.4112108960544 -376.937193964327</t>
  </si>
  <si>
    <t>-640.667486865519 21.0366539370075 -460.234831045112</t>
  </si>
  <si>
    <t>-652.518991686121 14.3633955671739 -582.136226841485</t>
  </si>
  <si>
    <t>-641.329718235713 12.954276543092 -659.67989996387</t>
  </si>
  <si>
    <t>-646.530447234909 48.5918051993237 -530.43705442874</t>
  </si>
  <si>
    <t>-627.775561463903 202.842653002947 -516.512132411138</t>
  </si>
  <si>
    <t>-555.825645304434 281.899866239632 -255.453244417474</t>
  </si>
  <si>
    <t>-327.096536698771 275.166568005974 -295.280232691994</t>
  </si>
  <si>
    <t>-598.453986848491 130.593050086891 -97.1848600297817</t>
  </si>
  <si>
    <t>-625.597360880577 145.08861547961 317.24934814198</t>
  </si>
  <si>
    <t>-668.692959068416 181.577798997649 776.86885377149</t>
  </si>
  <si>
    <t>-518.334505439865 183.909946123979 834.059081863681</t>
  </si>
  <si>
    <t>-595.575449043644 -71.9665076902759 323.340433538914</t>
  </si>
  <si>
    <t>-651.871331390172 -108.532328843627 781.567481380851</t>
  </si>
  <si>
    <t>-498.321232972626 -123.884442027286 827.070288078389</t>
  </si>
  <si>
    <t>9763-20170724T115436.263788400.bin</t>
  </si>
  <si>
    <t>-590.729970510619 38.4425361677168 -92.6618971213927</t>
  </si>
  <si>
    <t>-609.434568558504 33.7222993953594 -201.681893439255</t>
  </si>
  <si>
    <t>-621.297430851691 29.4517681595905 -293.697511995407</t>
  </si>
  <si>
    <t>-631.409094495643 25.3993495956177 -376.880826034051</t>
  </si>
  <si>
    <t>-640.353352171659 21.1433696975082 -460.187688820703</t>
  </si>
  <si>
    <t>-652.152740749805 14.6746110891077 -582.105061564791</t>
  </si>
  <si>
    <t>-640.919589954775 13.459202022796 -659.645710989487</t>
  </si>
  <si>
    <t>-646.212628744057 48.8169673227817 -530.343449092885</t>
  </si>
  <si>
    <t>-627.675177631713 203.06240132289 -516.137233591844</t>
  </si>
  <si>
    <t>-555.35881407697 281.243276408296 -254.915686389845</t>
  </si>
  <si>
    <t>-326.640140466016 274.828787145388 -294.85504648536</t>
  </si>
  <si>
    <t>-598.266918993005 130.41137382442 -97.1087044936343</t>
  </si>
  <si>
    <t>-625.442519284876 144.947144538806 317.322043898735</t>
  </si>
  <si>
    <t>-668.685403937337 181.562565681046 776.912427602633</t>
  </si>
  <si>
    <t>-518.334655440093 183.887133065231 834.123287042374</t>
  </si>
  <si>
    <t>-595.280977217359 -72.076381317816 323.393489166659</t>
  </si>
  <si>
    <t>-651.791995721993 -108.515919806237 781.591959738778</t>
  </si>
  <si>
    <t>-498.234338891977 -123.387697614916 827.228565130612</t>
  </si>
  <si>
    <t>9763-20170724T115436.330972600.bin</t>
  </si>
  <si>
    <t>-590.219927371577 38.1916790675707 -92.5488483540955</t>
  </si>
  <si>
    <t>-608.973013266096 33.4543552509679 -201.559768927968</t>
  </si>
  <si>
    <t>-620.82863582853 29.310070172349 -293.582143477806</t>
  </si>
  <si>
    <t>-630.912459088959 25.4251568454013 -376.776872920927</t>
  </si>
  <si>
    <t>-639.806419948291 21.391269081566 -460.099956367508</t>
  </si>
  <si>
    <t>-651.506493212517 15.3068143610537 -582.046797777754</t>
  </si>
  <si>
    <t>-640.208191645289 14.4858174151893 -659.583102107367</t>
  </si>
  <si>
    <t>-645.690031107587 49.288101388684 -530.16538121932</t>
  </si>
  <si>
    <t>-627.667816979799 203.546231775341 -515.464354582612</t>
  </si>
  <si>
    <t>-554.593109395031 280.283177093335 -254.025737414071</t>
  </si>
  <si>
    <t>-325.871183569607 274.795354679679 -294.084478428089</t>
  </si>
  <si>
    <t>-597.999955200983 130.092225462609 -96.9680839762336</t>
  </si>
  <si>
    <t>-625.24187819605 144.722812135817 317.454969816048</t>
  </si>
  <si>
    <t>-668.673088021764 181.517928503396 777.004150090989</t>
  </si>
  <si>
    <t>-518.336417555983 184.00762943492 834.244861906893</t>
  </si>
  <si>
    <t>-594.749450649729 -72.2523445550801 323.473169273326</t>
  </si>
  <si>
    <t>-651.723112897635 -108.57525870309 781.608916207986</t>
  </si>
  <si>
    <t>-498.216210943616 -123.571579040707 827.375342056957</t>
  </si>
  <si>
    <t>9763-20170724T115436.358050800.bin</t>
  </si>
  <si>
    <t>-590.023213931781 38.1066167619904 -92.5092325993361</t>
  </si>
  <si>
    <t>-608.806167687783 33.3590721072837 -201.514522571785</t>
  </si>
  <si>
    <t>-620.670761883571 29.2697280693528 -293.538169224807</t>
  </si>
  <si>
    <t>-630.755248912122 25.4587569715025 -376.736146741008</t>
  </si>
  <si>
    <t>-639.641915656641 21.5238835780665 -460.064956750143</t>
  </si>
  <si>
    <t>-651.322058588207 15.6117269515094 -582.022076723026</t>
  </si>
  <si>
    <t>-640.021159672767 14.9773663151684 -659.559729123033</t>
  </si>
  <si>
    <t>-645.560414504445 49.5208789663416 -530.087378161844</t>
  </si>
  <si>
    <t>-627.805227637404 203.79301877751 -515.183461432761</t>
  </si>
  <si>
    <t>-554.411864092846 279.879761066421 -253.644315974553</t>
  </si>
  <si>
    <t>-325.667187653315 275.012465610076 -293.653266919359</t>
  </si>
  <si>
    <t>-597.910055881349 130.016909426708 -96.9136109516205</t>
  </si>
  <si>
    <t>-625.159614372942 144.635862193886 317.509260566177</t>
  </si>
  <si>
    <t>-668.662104166822 181.522769406521 777.053528568897</t>
  </si>
  <si>
    <t>-518.33286052502 184.024746706019 834.313296736541</t>
  </si>
  <si>
    <t>-594.4912899133 -72.3313850839284 323.50419857276</t>
  </si>
  <si>
    <t>-651.707205175813 -108.60318466017 781.610974076544</t>
  </si>
  <si>
    <t>-498.204484571913 -123.586686942427 827.39562519783</t>
  </si>
  <si>
    <t>9763-20170724T115436.430242800.bin</t>
  </si>
  <si>
    <t>-589.756951327018 38.1429844331226 -92.4340196594184</t>
  </si>
  <si>
    <t>-608.544517654037 33.3538504098001 -201.436666995096</t>
  </si>
  <si>
    <t>-620.427356580692 29.3369686398116 -293.46120073346</t>
  </si>
  <si>
    <t>-630.532612292153 25.6327716793653 -376.661547857219</t>
  </si>
  <si>
    <t>-639.443470099337 21.8477665417208 -459.994637359221</t>
  </si>
  <si>
    <t>-651.161920852595 16.2019253454239 -581.960707724781</t>
  </si>
  <si>
    <t>-639.903631547465 15.8761784680005 -659.506604442728</t>
  </si>
  <si>
    <t>-645.462076246062 49.9995084596328 -529.946473405732</t>
  </si>
  <si>
    <t>-628.124651073801 204.289156560582 -514.728798262217</t>
  </si>
  <si>
    <t>-554.509575542951 279.089918068856 -252.880957699539</t>
  </si>
  <si>
    <t>-325.647476663564 275.369548428937 -292.337495999474</t>
  </si>
  <si>
    <t>-597.825112390435 130.027656522743 -96.8285044700619</t>
  </si>
  <si>
    <t>-625.111830185642 144.632418452336 317.592407571324</t>
  </si>
  <si>
    <t>-668.638490297884 181.580875384041 777.137903752118</t>
  </si>
  <si>
    <t>-518.320585156509 184.116977319111 834.425920902672</t>
  </si>
  <si>
    <t>-594.247480937341 -72.3335029453156 323.556516111296</t>
  </si>
  <si>
    <t>-651.766112651572 -108.559279278953 781.604713752532</t>
  </si>
  <si>
    <t>-498.237333413105 -123.601934844562 827.282489689473</t>
  </si>
  <si>
    <t>9763-20170724T115436.464333400.bin</t>
  </si>
  <si>
    <t>-589.688001246357 38.1949708110699 -92.4083745700593</t>
  </si>
  <si>
    <t>-608.475983799763 33.3964258081776 -201.410533256673</t>
  </si>
  <si>
    <t>-620.374085117426 29.4035628393069 -293.434142591912</t>
  </si>
  <si>
    <t>-630.498636352645 25.7337437338376 -376.633555091085</t>
  </si>
  <si>
    <t>-639.434074721381 21.996501075334 -459.966218587856</t>
  </si>
  <si>
    <t>-651.194045303007 16.4352412329856 -581.932292059322</t>
  </si>
  <si>
    <t>-639.978062123435 16.2364913903602 -659.484575839303</t>
  </si>
  <si>
    <t>-645.512526487937 50.1974568300834 -529.89309521011</t>
  </si>
  <si>
    <t>-628.340614313181 204.491666212949 -514.571514331544</t>
  </si>
  <si>
    <t>-554.76157865991 278.599420353107 -252.516604536403</t>
  </si>
  <si>
    <t>-325.797567195107 275.387651071061 -291.422810299272</t>
  </si>
  <si>
    <t>-597.792614268099 130.06800780748 -96.7985525446029</t>
  </si>
  <si>
    <t>-625.136241572452 144.652019772485 317.619417546859</t>
  </si>
  <si>
    <t>-668.644567979354 181.561989778887 777.173162064937</t>
  </si>
  <si>
    <t>-518.328391626051 184.128255291068 834.464342425297</t>
  </si>
  <si>
    <t>-594.252157747767 -72.3486105705106 323.565784293952</t>
  </si>
  <si>
    <t>-651.844629885265 -108.574251377015 781.595566543643</t>
  </si>
  <si>
    <t>-498.296769978768 -123.81488111784 827.143369101111</t>
  </si>
  <si>
    <t>9763-20170724T115436.530235500.bin</t>
  </si>
  <si>
    <t>-589.802690354832 38.4917084110589 -92.4212633792098</t>
  </si>
  <si>
    <t>-608.583732415912 33.6662810531343 -201.423497050888</t>
  </si>
  <si>
    <t>-620.521569203883 29.7131508199129 -293.443633365068</t>
  </si>
  <si>
    <t>-630.699410348906 26.1045207142638 -376.639256468733</t>
  </si>
  <si>
    <t>-639.705173723136 22.4551396927884 -459.968186459439</t>
  </si>
  <si>
    <t>-651.586065585438 17.0527319092835 -581.929636230263</t>
  </si>
  <si>
    <t>-640.550364811275 17.0776701187508 -659.50808325109</t>
  </si>
  <si>
    <t>-645.930751657161 50.7487543270638 -529.844655665635</t>
  </si>
  <si>
    <t>-629.051992499826 205.053373587099 -514.28643937254</t>
  </si>
  <si>
    <t>-555.756423600238 277.33493726412 -251.642745002196</t>
  </si>
  <si>
    <t>-326.543221757086 274.942089984263 -289.114286045793</t>
  </si>
  <si>
    <t>-597.881104592876 130.409006196847 -96.8104438692503</t>
  </si>
  <si>
    <t>-625.219069104874 144.860613714917 317.612576623878</t>
  </si>
  <si>
    <t>-668.640034403899 181.637270287731 777.201275906697</t>
  </si>
  <si>
    <t>-518.321971016342 184.029625323445 834.494990240172</t>
  </si>
  <si>
    <t>-594.427427971927 -72.2199814556045 323.53645163295</t>
  </si>
  <si>
    <t>-652.090122360453 -108.512228707526 781.545151949882</t>
  </si>
  <si>
    <t>-498.404786186933 -123.671244739824 826.654400704974</t>
  </si>
  <si>
    <t>9763-20170724T115436.564326100.bin</t>
  </si>
  <si>
    <t>-589.923088265959 38.6909624687846 -92.4478841051226</t>
  </si>
  <si>
    <t>-608.715729217264 33.8510982530534 -201.447344058179</t>
  </si>
  <si>
    <t>-620.656624251239 29.9140143267473 -293.467765235405</t>
  </si>
  <si>
    <t>-630.834221851935 26.3307380423498 -376.664626697596</t>
  </si>
  <si>
    <t>-639.836487982947 22.7182040737871 -459.995555857736</t>
  </si>
  <si>
    <t>-651.708470751695 17.3824388754856 -581.960776544217</t>
  </si>
  <si>
    <t>-640.768705821552 17.5025742098869 -659.552857039786</t>
  </si>
  <si>
    <t>-646.092469570873 51.050591314932 -529.853582035934</t>
  </si>
  <si>
    <t>-629.334105095186 205.362749926565 -514.235750479248</t>
  </si>
  <si>
    <t>-556.337945478683 276.331146722504 -251.150981766798</t>
  </si>
  <si>
    <t>-327.002567731027 274.328795089161 -287.890653186132</t>
  </si>
  <si>
    <t>-597.955947652532 130.634332926252 -96.835993994666</t>
  </si>
  <si>
    <t>-625.297682042492 144.993936916806 317.589892960975</t>
  </si>
  <si>
    <t>-668.646874048593 181.670764663928 777.205592111921</t>
  </si>
  <si>
    <t>-518.32608271726 184.147648837762 834.48870562716</t>
  </si>
  <si>
    <t>-594.528556704467 -72.072726042564 323.514642245766</t>
  </si>
  <si>
    <t>-652.196522511824 -108.505533780078 781.519657826316</t>
  </si>
  <si>
    <t>-498.477702430134 -123.891187038885 826.437638158937</t>
  </si>
  <si>
    <t>9763-20170724T115436.629218600.bin</t>
  </si>
  <si>
    <t>-590.303856073872 39.1309124042511 -92.4933364780961</t>
  </si>
  <si>
    <t>-609.107972990142 34.2621994471394 -201.489614091404</t>
  </si>
  <si>
    <t>-621.044812731534 30.2988539429289 -293.509413686411</t>
  </si>
  <si>
    <t>-631.213323009772 26.6903542940306 -376.706343467688</t>
  </si>
  <si>
    <t>-640.201000212095 23.0514731217991 -460.037627932435</t>
  </si>
  <si>
    <t>-652.045584632504 17.676009355082 -582.003814304761</t>
  </si>
  <si>
    <t>-641.286110758733 17.9168593658167 -659.62076574329</t>
  </si>
  <si>
    <t>-646.456362869832 51.3613263020231 -529.90490012418</t>
  </si>
  <si>
    <t>-629.702883558189 205.681486876229 -514.237487662785</t>
  </si>
  <si>
    <t>-557.363040744235 273.363869277613 -250.107550021769</t>
  </si>
  <si>
    <t>-327.726856570554 272.109231590021 -284.952609905353</t>
  </si>
  <si>
    <t>-598.323109313285 131.126601760805 -96.8947451393569</t>
  </si>
  <si>
    <t>-625.504602581537 145.290283954877 317.548530470263</t>
  </si>
  <si>
    <t>-668.682190952143 181.698399862031 777.209939151832</t>
  </si>
  <si>
    <t>-518.346947707191 184.153048192218 834.455905435293</t>
  </si>
  <si>
    <t>-594.655437244375 -71.726969187943 323.496950789085</t>
  </si>
  <si>
    <t>-652.319612887135 -108.506963190284 781.488775085001</t>
  </si>
  <si>
    <t>-498.55696233266 -124.145447278837 826.168835884652</t>
  </si>
  <si>
    <t>9763-20170724T115436.662294500.bin</t>
  </si>
  <si>
    <t>-590.514584873554 39.3266785530379 -92.5151273163372</t>
  </si>
  <si>
    <t>-609.313228697648 34.459880536853 -201.512437098511</t>
  </si>
  <si>
    <t>-621.263396507264 30.4664447613484 -293.529203690527</t>
  </si>
  <si>
    <t>-631.451478870908 26.8186548486301 -376.722046789482</t>
  </si>
  <si>
    <t>-640.466662032198 23.1277121009894 -460.048044661032</t>
  </si>
  <si>
    <t>-652.360391066354 17.6622504441027 -582.005429505462</t>
  </si>
  <si>
    <t>-641.695874976912 17.9434028232649 -659.63531939829</t>
  </si>
  <si>
    <t>-646.72570928907 51.3855949432138 -529.936034182961</t>
  </si>
  <si>
    <t>-629.913534983807 205.69635152285 -514.334099481628</t>
  </si>
  <si>
    <t>-557.837865628348 271.397526144524 -249.632304816455</t>
  </si>
  <si>
    <t>-328.038675595105 270.353904220145 -283.392735617788</t>
  </si>
  <si>
    <t>-598.48642275313 131.346725509417 -96.9087074648658</t>
  </si>
  <si>
    <t>-625.666803432866 145.42295169289 317.537519530351</t>
  </si>
  <si>
    <t>-668.692621067429 181.785006125597 777.217032217395</t>
  </si>
  <si>
    <t>-518.343353765732 184.192032250045 834.428253765183</t>
  </si>
  <si>
    <t>-594.750752529412 -71.601673626245 323.478895426491</t>
  </si>
  <si>
    <t>-652.363167385372 -108.459107825826 781.477345886587</t>
  </si>
  <si>
    <t>-498.556235652116 -123.923212980465 826.065563972949</t>
  </si>
  <si>
    <t>9763-20170724T115436.730059700.bin</t>
  </si>
  <si>
    <t>-591.022004553647 39.6193286257867 -92.5611720163118</t>
  </si>
  <si>
    <t>-609.781396339643 34.7773497813282 -201.566385038874</t>
  </si>
  <si>
    <t>-621.816434695814 30.7606022266957 -293.571064270649</t>
  </si>
  <si>
    <t>-632.12925124344 27.0762224685011 -376.746804036929</t>
  </si>
  <si>
    <t>-641.317797132241 23.3329975156512 -460.051661390358</t>
  </si>
  <si>
    <t>-653.518667299925 17.7745848805198 -581.974418759092</t>
  </si>
  <si>
    <t>-643.084962069319 18.2126760864032 -659.635018582948</t>
  </si>
  <si>
    <t>-647.690023692272 51.53638280821 -529.951348922734</t>
  </si>
  <si>
    <t>-630.584321786586 205.801679413794 -514.352696329178</t>
  </si>
  <si>
    <t>-558.867821857584 267.690673379523 -248.636504197436</t>
  </si>
  <si>
    <t>-328.716199947207 266.403257473617 -279.895285643634</t>
  </si>
  <si>
    <t>-598.90216466724 131.711895133317 -96.9624750513776</t>
  </si>
  <si>
    <t>-625.97372171026 145.634571901785 317.496038153236</t>
  </si>
  <si>
    <t>-668.724946673806 181.808736072239 777.211343578417</t>
  </si>
  <si>
    <t>-518.35731135511 184.190750779956 834.375433049253</t>
  </si>
  <si>
    <t>-594.967150265202 -71.3911704808529 323.440937180516</t>
  </si>
  <si>
    <t>-652.387977714702 -108.458092568269 781.464465564877</t>
  </si>
  <si>
    <t>-498.583232448363 -124.140552544698 825.9838846113</t>
  </si>
  <si>
    <t>9763-20170724T115436.764147600.bin</t>
  </si>
  <si>
    <t>-591.274775142349 39.7322635534883 -92.5787997211312</t>
  </si>
  <si>
    <t>-610.032008690443 34.8979034378078 -201.58464069132</t>
  </si>
  <si>
    <t>-622.091925646965 30.9103411106239 -293.587330361538</t>
  </si>
  <si>
    <t>-632.437670158134 27.2627586628591 -376.760618585823</t>
  </si>
  <si>
    <t>-641.66948933432 23.5658866135759 -460.062773997951</t>
  </si>
  <si>
    <t>-653.944723453264 18.0860894011491 -581.981675371684</t>
  </si>
  <si>
    <t>-643.592611655337 18.6509277045798 -659.65229278772</t>
  </si>
  <si>
    <t>-648.035461194764 51.8133605839939 -529.945184850725</t>
  </si>
  <si>
    <t>-630.555568370091 206.021509914645 -514.180683100066</t>
  </si>
  <si>
    <t>-559.23257516065 266.148175402567 -247.954426444338</t>
  </si>
  <si>
    <t>-328.959413065304 264.606622950396 -278.29293718166</t>
  </si>
  <si>
    <t>-599.065239746603 131.877054992833 -96.9913540101865</t>
  </si>
  <si>
    <t>-626.092769278197 145.729746234591 317.472399783233</t>
  </si>
  <si>
    <t>-668.741960469918 181.832350341186 777.211407424162</t>
  </si>
  <si>
    <t>-518.365716048387 184.212440080296 834.352870548694</t>
  </si>
  <si>
    <t>-595.083646119832 -71.2883521102506 323.43174586916</t>
  </si>
  <si>
    <t>-652.382382647377 -108.453175855464 781.470236180539</t>
  </si>
  <si>
    <t>-498.583735997919 -124.230409997867 825.977291145397</t>
  </si>
  <si>
    <t>9763-20170724T115436.827083000.bin</t>
  </si>
  <si>
    <t>-591.723198441278 39.9430923986852 -92.6388982069317</t>
  </si>
  <si>
    <t>-610.429366137692 35.1165229478388 -201.653922420189</t>
  </si>
  <si>
    <t>-622.496742881458 31.2198180671323 -293.659546906865</t>
  </si>
  <si>
    <t>-632.868631192281 27.6901647159807 -376.834678330171</t>
  </si>
  <si>
    <t>-642.145050433742 24.147488759088 -460.138550847539</t>
  </si>
  <si>
    <t>-654.505378059566 18.9324817320978 -582.060454231037</t>
  </si>
  <si>
    <t>-644.314456271111 19.8655493258645 -659.748845934548</t>
  </si>
  <si>
    <t>-648.512172102108 52.5456560421605 -529.959722083866</t>
  </si>
  <si>
    <t>-630.520516110691 206.653154428577 -513.684166880883</t>
  </si>
  <si>
    <t>-559.557816491522 263.064367718905 -246.54993317991</t>
  </si>
  <si>
    <t>-329.038017724533 260.91015465652 -274.914011508952</t>
  </si>
  <si>
    <t>-599.306404518793 132.150737983293 -97.0595570343537</t>
  </si>
  <si>
    <t>-626.260461692591 145.866574594372 317.413523057308</t>
  </si>
  <si>
    <t>-668.773225955749 181.902707215722 777.185941394362</t>
  </si>
  <si>
    <t>-518.380607209792 184.193438933501 834.28790364397</t>
  </si>
  <si>
    <t>-595.395451887837 -71.0865565556105 323.414194987647</t>
  </si>
  <si>
    <t>-652.403662314289 -108.445699301871 781.468063422233</t>
  </si>
  <si>
    <t>-498.573417788482 -124.119796234312 825.902227391467</t>
  </si>
  <si>
    <t>9763-20170724T115436.861191700.bin</t>
  </si>
  <si>
    <t>-591.896553693734 39.9972836524664 -92.65762245542</t>
  </si>
  <si>
    <t>-610.54046621372 35.1731102947381 -201.683433193833</t>
  </si>
  <si>
    <t>-622.616821942508 31.3475033052184 -293.690846132316</t>
  </si>
  <si>
    <t>-633.020543734471 27.9111636588 -376.865921396645</t>
  </si>
  <si>
    <t>-642.352138705558 24.4908838903616 -460.168654637331</t>
  </si>
  <si>
    <t>-654.818044954079 19.487791096017 -582.088743244622</t>
  </si>
  <si>
    <t>-644.731647657064 20.6624759734668 -659.787444970643</t>
  </si>
  <si>
    <t>-648.774497521586 53.0102515193764 -529.935628634747</t>
  </si>
  <si>
    <t>-630.568610370083 207.046616644212 -513.272154985427</t>
  </si>
  <si>
    <t>-559.674539255688 261.371027447695 -245.687613198384</t>
  </si>
  <si>
    <t>-329.044669438176 258.846326887141 -273.110341226049</t>
  </si>
  <si>
    <t>-599.447569608036 132.216719047151 -97.0886742173468</t>
  </si>
  <si>
    <t>-626.371172124935 145.918181907984 317.386930408799</t>
  </si>
  <si>
    <t>-668.78175981043 181.933862901376 777.159851511309</t>
  </si>
  <si>
    <t>-518.385100739175 184.19810997451 834.252216275942</t>
  </si>
  <si>
    <t>-595.530986982105 -71.0557836188798 323.394476539571</t>
  </si>
  <si>
    <t>-652.399171118198 -108.436646302057 781.466219311117</t>
  </si>
  <si>
    <t>-498.557895457194 -124.01559517326 825.895746879738</t>
  </si>
  <si>
    <t>9763-20170724T115436.931368500.bin</t>
  </si>
  <si>
    <t>-591.843076001734 39.8783445063357 -92.6799852235624</t>
  </si>
  <si>
    <t>-610.427558044769 35.0656800552354 -201.716522977267</t>
  </si>
  <si>
    <t>-622.568564710773 31.4697513614749 -293.72459582003</t>
  </si>
  <si>
    <t>-633.073932736608 28.3300967649152 -376.898596984245</t>
  </si>
  <si>
    <t>-642.548759175206 25.2970913087993 -460.200159249279</t>
  </si>
  <si>
    <t>-655.268157053754 20.9598150109045 -582.119580323452</t>
  </si>
  <si>
    <t>-645.424117717865 22.6854949659842 -659.839148017435</t>
  </si>
  <si>
    <t>-649.117005600896 54.1970262387451 -529.796607001954</t>
  </si>
  <si>
    <t>-630.549184296372 208.068671242078 -512.032598486485</t>
  </si>
  <si>
    <t>-559.652564950112 257.663658404554 -243.532036945679</t>
  </si>
  <si>
    <t>-328.854074384712 254.710310703255 -269.452496131872</t>
  </si>
  <si>
    <t>-599.417338544247 132.080885312845 -97.1203198362153</t>
  </si>
  <si>
    <t>-626.487499793673 145.856369965985 317.343204053955</t>
  </si>
  <si>
    <t>-668.786972694312 181.983760803816 777.103956204189</t>
  </si>
  <si>
    <t>-518.393360408095 184.269148810846 834.203494202399</t>
  </si>
  <si>
    <t>-595.519135409096 -71.1830108192889 323.366500841888</t>
  </si>
  <si>
    <t>-652.377325873227 -108.432362453939 781.467153578046</t>
  </si>
  <si>
    <t>-498.535356953381 -124.00735048359 825.895617143789</t>
  </si>
  <si>
    <t>9763-20170724T115436.964457000.bin</t>
  </si>
  <si>
    <t>-591.671498046686 39.7639757924389 -92.6857543942418</t>
  </si>
  <si>
    <t>-610.272402777322 34.9558672485387 -201.719630257433</t>
  </si>
  <si>
    <t>-622.482920268667 31.4996451454117 -293.723919700505</t>
  </si>
  <si>
    <t>-633.071652688141 28.5413536417022 -376.894059408317</t>
  </si>
  <si>
    <t>-642.649507288903 25.7455482757612 -460.19206967692</t>
  </si>
  <si>
    <t>-655.539994374248 21.8173685019108 -582.107313280983</t>
  </si>
  <si>
    <t>-645.834080814707 23.8520250290205 -659.836806005992</t>
  </si>
  <si>
    <t>-649.344146007727 54.8793802784057 -529.678870420758</t>
  </si>
  <si>
    <t>-630.676653613096 208.658941663441 -511.215021205982</t>
  </si>
  <si>
    <t>-559.618445958224 255.553130715918 -242.272113039161</t>
  </si>
  <si>
    <t>-328.753356892687 252.615174216704 -267.594143773195</t>
  </si>
  <si>
    <t>-599.308259182705 131.971156821058 -97.1274395016912</t>
  </si>
  <si>
    <t>-626.409384286106 145.74908493522 317.33405216301</t>
  </si>
  <si>
    <t>-668.78713805195 181.952633046898 777.078934018529</t>
  </si>
  <si>
    <t>-518.40330067993 184.287575971394 834.20229588023</t>
  </si>
  <si>
    <t>-595.36971005515 -71.2576730332589 323.362491313294</t>
  </si>
  <si>
    <t>-652.350785630293 -108.444189941144 781.46207059159</t>
  </si>
  <si>
    <t>-498.522188292289 -124.056353179559 825.923870749904</t>
  </si>
  <si>
    <t>9763-20170724T115437.030648900.bin</t>
  </si>
  <si>
    <t>-591.113455776162 39.4668337611965 -92.654320117237</t>
  </si>
  <si>
    <t>-609.793274787218 34.6713777305338 -201.675300906608</t>
  </si>
  <si>
    <t>-622.140889959166 31.5024222681261 -293.671549411891</t>
  </si>
  <si>
    <t>-632.878520370803 28.91416665785 -376.835012067462</t>
  </si>
  <si>
    <t>-642.628177271444 26.6018132353818 -460.127947142983</t>
  </si>
  <si>
    <t>-655.793140663804 23.504854383551 -582.037886068782</t>
  </si>
  <si>
    <t>-646.347913665908 26.2246130146432 -659.778537866245</t>
  </si>
  <si>
    <t>-649.560749130946 56.2101804143454 -529.390517045572</t>
  </si>
  <si>
    <t>-630.862712734025 209.798215554317 -509.445889324406</t>
  </si>
  <si>
    <t>-559.582397884138 251.53306288877 -239.712917031154</t>
  </si>
  <si>
    <t>-328.60963664589 248.930692335578 -264.071285936608</t>
  </si>
  <si>
    <t>-598.867258027162 131.697410458647 -97.0830176181922</t>
  </si>
  <si>
    <t>-626.03347407837 145.547542772688 317.371838223952</t>
  </si>
  <si>
    <t>-668.761458757348 181.954239632425 777.046344943569</t>
  </si>
  <si>
    <t>-518.40268291019 184.245567330293 834.237308179352</t>
  </si>
  <si>
    <t>-594.91067340913 -71.4859482487973 323.380736709311</t>
  </si>
  <si>
    <t>-652.305407085877 -108.466072808854 781.459499533709</t>
  </si>
  <si>
    <t>-498.500898336986 -124.158615316504 825.976263542613</t>
  </si>
  <si>
    <t>9763-20170724T115437.063732900.bin</t>
  </si>
  <si>
    <t>-590.754792521795 39.2786950578165 -92.6301261745472</t>
  </si>
  <si>
    <t>-609.492775095631 34.4928388295918 -201.6414893431</t>
  </si>
  <si>
    <t>-621.897485785546 31.4630788087266 -293.634864516653</t>
  </si>
  <si>
    <t>-632.688204170566 29.0531617841157 -376.79667162566</t>
  </si>
  <si>
    <t>-642.491787573732 26.9718034867315 -460.089573860056</t>
  </si>
  <si>
    <t>-655.735288338114 24.2712319501923 -582.000336126054</t>
  </si>
  <si>
    <t>-646.419873479522 27.3556017735152 -659.743031486992</t>
  </si>
  <si>
    <t>-649.508269303978 56.8059796494906 -529.246471732314</t>
  </si>
  <si>
    <t>-630.729077376952 210.29293193463 -508.567414641224</t>
  </si>
  <si>
    <t>-559.384506372896 249.4384123581 -238.463501860398</t>
  </si>
  <si>
    <t>-328.322956328084 247.115935059819 -261.994254233858</t>
  </si>
  <si>
    <t>-598.590093162263 131.497350177911 -97.0421227792125</t>
  </si>
  <si>
    <t>-625.838457760765 145.38600336156 317.405988295051</t>
  </si>
  <si>
    <t>-668.74952635148 181.920605994542 777.044618533057</t>
  </si>
  <si>
    <t>-518.405008799553 184.27606007858 834.270550328062</t>
  </si>
  <si>
    <t>-594.598044462735 -71.6345506684747 323.396899174621</t>
  </si>
  <si>
    <t>-652.300162449407 -108.479936642192 781.445863521547</t>
  </si>
  <si>
    <t>-498.494794080357 -124.188051930903 825.954199706484</t>
  </si>
  <si>
    <t>9763-20170724T115437.128448700.bin</t>
  </si>
  <si>
    <t>-589.930951264431 38.9271127997738 -92.5571061067665</t>
  </si>
  <si>
    <t>-608.755592780158 34.1564963384915 -201.554206023398</t>
  </si>
  <si>
    <t>-621.254842798774 31.4159397619612 -293.543884801725</t>
  </si>
  <si>
    <t>-632.136033036792 29.3774971485623 -376.703901696601</t>
  </si>
  <si>
    <t>-642.033269238257 27.779169168489 -459.996281899689</t>
  </si>
  <si>
    <t>-655.415198307014 25.9073017301696 -581.907409349771</t>
  </si>
  <si>
    <t>-646.319432015153 29.7270472603752 -659.643398607197</t>
  </si>
  <si>
    <t>-649.183227423525 58.0834717450873 -528.934812720509</t>
  </si>
  <si>
    <t>-629.963296189309 211.291021395116 -506.718743657839</t>
  </si>
  <si>
    <t>-558.768131456766 245.465099989462 -235.901533444496</t>
  </si>
  <si>
    <t>-327.483928027207 243.765722525939 -257.191626788419</t>
  </si>
  <si>
    <t>-597.888085230012 131.116551256912 -96.9387186289571</t>
  </si>
  <si>
    <t>-625.366189583258 145.101257636869 317.491005562901</t>
  </si>
  <si>
    <t>-668.720787311885 181.895068305038 777.063122376504</t>
  </si>
  <si>
    <t>-518.401079946087 184.26619082607 834.353443164066</t>
  </si>
  <si>
    <t>-593.950963325267 -71.8530440875168 323.431671636326</t>
  </si>
  <si>
    <t>-652.279264859657 -108.447772594004 781.423844586903</t>
  </si>
  <si>
    <t>-498.431282594871 -123.703438516608 825.942162146627</t>
  </si>
  <si>
    <t>9763-20170724T115437.162540100.bin</t>
  </si>
  <si>
    <t>-589.482311353826 38.6812687167064 -92.520718803685</t>
  </si>
  <si>
    <t>-608.357454826711 33.918713632158 -201.509408707889</t>
  </si>
  <si>
    <t>-620.91650871245 31.3314206075377 -293.495485502383</t>
  </si>
  <si>
    <t>-631.856960691729 29.489879766076 -376.652129393719</t>
  </si>
  <si>
    <t>-641.81754740458 28.1477129597017 -459.941585106077</t>
  </si>
  <si>
    <t>-655.295553606432 26.7156717065234 -581.848118756627</t>
  </si>
  <si>
    <t>-646.316538082298 30.876262350349 -659.580163096195</t>
  </si>
  <si>
    <t>-649.044930258825 58.7007875935335 -528.762157700841</t>
  </si>
  <si>
    <t>-629.534294721657 211.768050845496 -505.787234724566</t>
  </si>
  <si>
    <t>-558.270939566253 243.501215943906 -234.691182549899</t>
  </si>
  <si>
    <t>-326.844237191076 241.83798119142 -254.374957091214</t>
  </si>
  <si>
    <t>-597.469455553425 130.822785935524 -96.8834351026418</t>
  </si>
  <si>
    <t>-625.073279585263 144.904543893774 317.534689604005</t>
  </si>
  <si>
    <t>-668.717010537297 181.825460116644 777.0709438441</t>
  </si>
  <si>
    <t>-518.416259414791 184.327230341939 834.405374541374</t>
  </si>
  <si>
    <t>-593.623122785918 -72.0184150175646 323.457242057603</t>
  </si>
  <si>
    <t>-652.284576456165 -108.455079882546 781.417648973304</t>
  </si>
  <si>
    <t>-498.426110466868 -123.649547857007 825.920799937004</t>
  </si>
  <si>
    <t>9763-20170724T115437.226755900.bin</t>
  </si>
  <si>
    <t>-588.590574991163 38.18448151545 -92.4108494878149</t>
  </si>
  <si>
    <t>-607.574602606838 33.4747481391953 -201.3829733714</t>
  </si>
  <si>
    <t>-620.291088221435 31.1618420573689 -293.354608313255</t>
  </si>
  <si>
    <t>-631.397603489853 29.6605470877362 -376.496161607002</t>
  </si>
  <si>
    <t>-641.546495645346 28.7529898333025 -459.768754260058</t>
  </si>
  <si>
    <t>-655.322873296593 28.0600071541126 -581.648326854548</t>
  </si>
  <si>
    <t>-646.570440376812 32.8352268169917 -659.370963829854</t>
  </si>
  <si>
    <t>-648.991238657803 59.723225679857 -528.379320360966</t>
  </si>
  <si>
    <t>-629.022939988042 212.514405300141 -504.031414007188</t>
  </si>
  <si>
    <t>-557.67080071597 238.843827814905 -232.380501195069</t>
  </si>
  <si>
    <t>-325.904041909391 236.284317703909 -247.418847103858</t>
  </si>
  <si>
    <t>-596.662608413453 130.307832048481 -96.7234828554277</t>
  </si>
  <si>
    <t>-624.56308597672 144.46767440337 317.672067433929</t>
  </si>
  <si>
    <t>-668.689361143144 181.766962346492 777.113825536453</t>
  </si>
  <si>
    <t>-518.42017908516 184.321467103556 834.528826078576</t>
  </si>
  <si>
    <t>-593.002047663182 -72.3897880161162 323.500137524606</t>
  </si>
  <si>
    <t>-652.305010117846 -108.486365615538 781.391887967688</t>
  </si>
  <si>
    <t>-498.449596221694 -123.818228273793 825.858355539279</t>
  </si>
  <si>
    <t>9763-20170724T115437.258841200.bin</t>
  </si>
  <si>
    <t>-588.131865840612 37.9546231704728 -92.3639636094236</t>
  </si>
  <si>
    <t>-607.165391741001 33.2658738510959 -201.328394565981</t>
  </si>
  <si>
    <t>-619.959397345631 31.0805275306786 -293.292370825907</t>
  </si>
  <si>
    <t>-631.148945416604 29.7388758631178 -376.425634224789</t>
  </si>
  <si>
    <t>-641.393248422478 29.0357993400539 -459.688399782987</t>
  </si>
  <si>
    <t>-655.321850508053 28.6913545364832 -581.552223777114</t>
  </si>
  <si>
    <t>-646.67824399554 33.7507694643775 -659.269076696663</t>
  </si>
  <si>
    <t>-648.93364727143 60.2022315469019 -528.199735742828</t>
  </si>
  <si>
    <t>-628.638753194311 212.850942735334 -503.206582997521</t>
  </si>
  <si>
    <t>-557.572648962665 236.327674708089 -231.219332330339</t>
  </si>
  <si>
    <t>-325.666397881761 233.22170419813 -243.80424496997</t>
  </si>
  <si>
    <t>-596.238239959369 130.05154768565 -96.6512320375496</t>
  </si>
  <si>
    <t>-624.325033744429 144.308597894699 317.728417834072</t>
  </si>
  <si>
    <t>-668.667535973784 181.778300788904 777.138054705508</t>
  </si>
  <si>
    <t>-518.414155283831 184.307994103891 834.595414866286</t>
  </si>
  <si>
    <t>-592.705252790496 -72.5557004132838 323.525034349999</t>
  </si>
  <si>
    <t>-652.302610610565 -108.514510486481 781.39021557724</t>
  </si>
  <si>
    <t>-498.46392978084 -124.024562345632 825.852828427863</t>
  </si>
  <si>
    <t>9763-20170724T115437.327041300.bin</t>
  </si>
  <si>
    <t>-587.270691432061 37.4194048951874 -92.2599688806366</t>
  </si>
  <si>
    <t>-606.430937432307 32.7494347338691 -201.202897367288</t>
  </si>
  <si>
    <t>-619.374870370354 30.7955597859996 -293.15103542724</t>
  </si>
  <si>
    <t>-630.714455280414 29.7498524302039 -376.268320190151</t>
  </si>
  <si>
    <t>-641.121989364983 29.4300923142744 -459.513113583716</t>
  </si>
  <si>
    <t>-655.302098394177 29.7425632406887 -581.348020440693</t>
  </si>
  <si>
    <t>-646.868105153806 35.3232104648503 -659.052190571456</t>
  </si>
  <si>
    <t>-648.819063315647 60.9655508729986 -527.837869791072</t>
  </si>
  <si>
    <t>-627.953088382844 213.354437000892 -501.789121801281</t>
  </si>
  <si>
    <t>-557.922647501689 231.481875061455 -229.124988090927</t>
  </si>
  <si>
    <t>-325.843066083397 226.745875961263 -237.197614348762</t>
  </si>
  <si>
    <t>-595.411925638952 129.501253721599 -96.5148004374719</t>
  </si>
  <si>
    <t>-623.769283348299 143.946527979707 317.839896441129</t>
  </si>
  <si>
    <t>-668.628840337303 181.754626692206 777.181143557059</t>
  </si>
  <si>
    <t>-518.408367838048 184.382820833681 834.720137451012</t>
  </si>
  <si>
    <t>-592.108949643494 -72.9423780777925 323.576805354291</t>
  </si>
  <si>
    <t>-652.295096178113 -108.549358735313 781.385649209314</t>
  </si>
  <si>
    <t>-498.448494615918 -123.964904888685 825.853707790268</t>
  </si>
  <si>
    <t>9763-20170724T115437.359124500.bin</t>
  </si>
  <si>
    <t>-586.845582462753 37.185958803653 -92.2021690323013</t>
  </si>
  <si>
    <t>-606.087667618791 32.5316975105245 -201.131380677572</t>
  </si>
  <si>
    <t>-619.09350261694 30.6745063181154 -293.072873844957</t>
  </si>
  <si>
    <t>-630.485190049849 29.7493056366275 -376.184315524238</t>
  </si>
  <si>
    <t>-640.940366383723 29.5836113916719 -459.423752216546</t>
  </si>
  <si>
    <t>-655.184764558202 30.1578057441236 -581.250217238133</t>
  </si>
  <si>
    <t>-646.844377094782 35.9629098020837 -658.948043356304</t>
  </si>
  <si>
    <t>-648.683735545845 61.2657971708879 -527.675331276793</t>
  </si>
  <si>
    <t>-627.606463471817 213.550449305195 -501.156992510857</t>
  </si>
  <si>
    <t>-557.978104132088 229.237087026255 -228.238640003365</t>
  </si>
  <si>
    <t>-325.852508057013 223.433507762689 -233.945210230266</t>
  </si>
  <si>
    <t>-595.008254191311 129.289408584996 -96.4388182055973</t>
  </si>
  <si>
    <t>-623.481041258642 143.761809095548 317.906970642651</t>
  </si>
  <si>
    <t>-668.613784417399 181.724379725343 777.200805574316</t>
  </si>
  <si>
    <t>-518.410492880074 184.337444021362 834.78520683586</t>
  </si>
  <si>
    <t>-591.788853255462 -73.1125099197684 323.612170549</t>
  </si>
  <si>
    <t>-652.276542024509 -108.575654904246 781.391118071875</t>
  </si>
  <si>
    <t>-498.454603777246 -124.146348114994 825.890423243009</t>
  </si>
  <si>
    <t>9763-20170724T115437.426810400.bin</t>
  </si>
  <si>
    <t>-586.108723327314 36.7386270215095 -92.1197401583839</t>
  </si>
  <si>
    <t>-605.465085492194 32.1117419644831 -201.029865626618</t>
  </si>
  <si>
    <t>-618.548376146319 30.398029842067 -292.963113536223</t>
  </si>
  <si>
    <t>-630.001079218966 29.6501129107289 -376.067954021735</t>
  </si>
  <si>
    <t>-640.507572207587 29.709768000346 -459.301080002163</t>
  </si>
  <si>
    <t>-654.815416439846 30.6663353345077 -581.117679447927</t>
  </si>
  <si>
    <t>-646.607823337151 36.8692889728941 -658.798829541454</t>
  </si>
  <si>
    <t>-648.309963548261 61.6062477956245 -527.446109390045</t>
  </si>
  <si>
    <t>-626.64420120623 213.670837006676 -500.159780482145</t>
  </si>
  <si>
    <t>-558.031913968055 225.53384733789 -226.791488635471</t>
  </si>
  <si>
    <t>-325.94341079141 216.410018253486 -227.254042884103</t>
  </si>
  <si>
    <t>-594.344611678674 128.818724525174 -96.3087869390241</t>
  </si>
  <si>
    <t>-623.060302327026 143.410329911066 318.016066196805</t>
  </si>
  <si>
    <t>-668.586699887944 181.692898027932 777.254112513733</t>
  </si>
  <si>
    <t>-518.410858939063 184.469091407511 834.90238481069</t>
  </si>
  <si>
    <t>-591.255707739542 -73.4031203773354 323.671500638042</t>
  </si>
  <si>
    <t>-652.259915412804 -108.608953094972 781.394931414355</t>
  </si>
  <si>
    <t>-498.450803535059 -124.245930457828 825.91538608271</t>
  </si>
  <si>
    <t>9763-20170724T115437.460900000.bin</t>
  </si>
  <si>
    <t>-585.827839777793 36.5620925796482 -92.0885298922483</t>
  </si>
  <si>
    <t>-605.201538486223 31.9404220071035 -200.995794343163</t>
  </si>
  <si>
    <t>-618.33445258434 30.276456549964 -292.922902379178</t>
  </si>
  <si>
    <t>-629.84535623349 29.5919413379288 -376.020292642072</t>
  </si>
  <si>
    <t>-640.423092410258 29.7338048195754 -459.244261234848</t>
  </si>
  <si>
    <t>-654.849151101587 30.8310890394644 -581.045747807263</t>
  </si>
  <si>
    <t>-646.702998607383 37.2079193003697 -658.719343413947</t>
  </si>
  <si>
    <t>-648.288345089107 61.7090738799504 -527.345032294322</t>
  </si>
  <si>
    <t>-626.201373547016 213.658198652778 -499.768204369565</t>
  </si>
  <si>
    <t>-558.073256250731 223.793511077912 -226.209350582537</t>
  </si>
  <si>
    <t>-326.027847743755 213.804314260894 -224.293131993043</t>
  </si>
  <si>
    <t>-594.10147594503 128.630526912958 -96.2594173999305</t>
  </si>
  <si>
    <t>-622.907003470821 143.302444155565 318.0563510521</t>
  </si>
  <si>
    <t>-668.561748246535 181.718464476708 777.27824400625</t>
  </si>
  <si>
    <t>-518.398523593053 184.443070818074 834.96196904635</t>
  </si>
  <si>
    <t>-591.066521983325 -73.5332749862032 323.690793075571</t>
  </si>
  <si>
    <t>-652.255810490698 -108.628388846163 781.394514088156</t>
  </si>
  <si>
    <t>-498.428964145194 -124.057673706737 825.926170383487</t>
  </si>
  <si>
    <t>9763-20170724T115437.530087700.bin</t>
  </si>
  <si>
    <t>-585.429947758041 36.2449339915713 -92.0066591596941</t>
  </si>
  <si>
    <t>-604.823164317258 31.6288776035346 -200.910751768251</t>
  </si>
  <si>
    <t>-618.069545229937 30.0358430844065 -292.822797551564</t>
  </si>
  <si>
    <t>-629.721195290313 29.4433076173864 -375.901142939246</t>
  </si>
  <si>
    <t>-640.477722741474 29.7057080706634 -459.102013347457</t>
  </si>
  <si>
    <t>-655.206362162829 31.0112615045152 -580.86526675968</t>
  </si>
  <si>
    <t>-647.195698528284 37.6921946138177 -658.527378856638</t>
  </si>
  <si>
    <t>-648.509907651051 61.7973707316889 -527.128561190001</t>
  </si>
  <si>
    <t>-625.649552241439 213.538267581257 -499.024591782717</t>
  </si>
  <si>
    <t>-558.220750695345 220.629260888629 -225.196785273046</t>
  </si>
  <si>
    <t>-326.430912853935 207.142225208804 -218.864576678293</t>
  </si>
  <si>
    <t>-593.707786776727 128.279291734266 -96.1714363159327</t>
  </si>
  <si>
    <t>-622.684453087389 143.087839459107 318.127488803037</t>
  </si>
  <si>
    <t>-668.552810052516 181.651904156676 777.326015953486</t>
  </si>
  <si>
    <t>-518.408570769585 184.461237180083 835.0550416814</t>
  </si>
  <si>
    <t>-590.861285508434 -73.7586881628019 323.736286364718</t>
  </si>
  <si>
    <t>-652.257172696053 -108.655157809313 781.407838017392</t>
  </si>
  <si>
    <t>-498.450796617543 -124.283770843424 825.940558750143</t>
  </si>
  <si>
    <t>9763-20170724T115437.566184400.bin</t>
  </si>
  <si>
    <t>-585.319043808294 36.1915179127539 -91.9865047186391</t>
  </si>
  <si>
    <t>-604.728487160754 31.5757649108839 -200.887716287141</t>
  </si>
  <si>
    <t>-617.992744321518 30.0108734381683 -292.79762520302</t>
  </si>
  <si>
    <t>-629.661999619968 29.4553115216031 -375.873936583948</t>
  </si>
  <si>
    <t>-640.437379941477 29.7661582415781 -459.072032015074</t>
  </si>
  <si>
    <t>-655.194898963704 31.1553928652986 -580.830820992723</t>
  </si>
  <si>
    <t>-647.208277957213 37.9652070772675 -658.484242948318</t>
  </si>
  <si>
    <t>-648.484955444239 61.9043215397505 -527.074741023473</t>
  </si>
  <si>
    <t>-625.281964450565 213.541554756131 -498.766029922933</t>
  </si>
  <si>
    <t>-558.331039260221 219.441491005683 -224.792749074277</t>
  </si>
  <si>
    <t>-326.764555455009 203.47444238499 -216.393920496733</t>
  </si>
  <si>
    <t>-593.586296027576 128.219480336347 -96.1501516872885</t>
  </si>
  <si>
    <t>-622.562727313551 143.013973178982 318.149413782903</t>
  </si>
  <si>
    <t>-668.54901646548 181.619000912562 777.342180735122</t>
  </si>
  <si>
    <t>-518.415530641543 184.602305227583 835.090436977094</t>
  </si>
  <si>
    <t>-590.844547580224 -73.7739302306763 323.758616016349</t>
  </si>
  <si>
    <t>-652.267048808179 -108.641222958505 781.409836012936</t>
  </si>
  <si>
    <t>-498.453112705306 -124.230469337148 825.93028561243</t>
  </si>
  <si>
    <t>9763-20170724T115437.629979600.bin</t>
  </si>
  <si>
    <t>-585.26035386445 36.0753724095118 -92.0051469270936</t>
  </si>
  <si>
    <t>-604.601492569291 31.4112306245327 -200.916360995756</t>
  </si>
  <si>
    <t>-617.835342112104 29.869545744046 -292.831075663372</t>
  </si>
  <si>
    <t>-629.487378236605 29.3616555792976 -375.910129946765</t>
  </si>
  <si>
    <t>-640.255296607798 29.746812893567 -459.1088340285</t>
  </si>
  <si>
    <t>-655.012179669132 31.2739521374608 -580.866124537738</t>
  </si>
  <si>
    <t>-647.050605904029 38.3166754855588 -658.501387048425</t>
  </si>
  <si>
    <t>-648.281629552929 61.9620182124634 -527.077756084758</t>
  </si>
  <si>
    <t>-624.341657284444 213.454484642191 -498.535293331481</t>
  </si>
  <si>
    <t>-558.655918973497 217.599326143987 -224.223753522492</t>
  </si>
  <si>
    <t>-327.798803983688 195.228833500272 -211.850945934176</t>
  </si>
  <si>
    <t>-593.389562087447 128.134029724408 -96.1912278249218</t>
  </si>
  <si>
    <t>-622.413564050107 142.931358666487 318.104860129041</t>
  </si>
  <si>
    <t>-668.524089099081 181.650182278163 777.307765773074</t>
  </si>
  <si>
    <t>-518.412437994551 184.667181232269 835.111058480151</t>
  </si>
  <si>
    <t>-590.987730708368 -73.9282865443995 323.777406222658</t>
  </si>
  <si>
    <t>-652.261231762739 -108.679297582012 781.433623930229</t>
  </si>
  <si>
    <t>-498.489467317583 -124.64276977072 825.967187502988</t>
  </si>
  <si>
    <t>9763-20170724T115437.663072000.bin</t>
  </si>
  <si>
    <t>-585.232905623525 36.0190442017738 -92.0041811256534</t>
  </si>
  <si>
    <t>-604.561050231365 31.3401837615422 -200.917139371072</t>
  </si>
  <si>
    <t>-617.804944052565 29.8013830234131 -292.83047384456</t>
  </si>
  <si>
    <t>-629.474129376853 29.3027128273193 -375.907076892488</t>
  </si>
  <si>
    <t>-640.267085755953 29.7033907891603 -459.102596991928</t>
  </si>
  <si>
    <t>-655.068927766144 31.2605570785661 -580.853917941824</t>
  </si>
  <si>
    <t>-647.093408681167 38.3895233662934 -658.47979936331</t>
  </si>
  <si>
    <t>-648.29026088448 61.9351179125981 -527.063968767317</t>
  </si>
  <si>
    <t>-623.909795210587 213.348366030414 -498.482914877627</t>
  </si>
  <si>
    <t>-558.938752321618 216.73934679982 -223.99103335769</t>
  </si>
  <si>
    <t>-328.62802692349 190.270201570845 -209.67735533527</t>
  </si>
  <si>
    <t>-593.329832835682 128.122789836998 -96.2164382144649</t>
  </si>
  <si>
    <t>-622.360032258159 142.938973193156 318.078550748159</t>
  </si>
  <si>
    <t>-668.519619605786 181.667192080326 777.278168689553</t>
  </si>
  <si>
    <t>-518.415765757159 184.622103594379 835.104841245083</t>
  </si>
  <si>
    <t>-591.0390811799 -74.0156422595685 323.781210899856</t>
  </si>
  <si>
    <t>-652.24927852546 -108.676016465486 781.453652589913</t>
  </si>
  <si>
    <t>-498.465919720339 -124.498272225035 825.997506091696</t>
  </si>
  <si>
    <t>9763-20170724T115437.727243700.bin</t>
  </si>
  <si>
    <t>-585.211836574053 35.9469595631774 -92.0381013969035</t>
  </si>
  <si>
    <t>-604.566694783902 31.2194249381268 -200.94417289349</t>
  </si>
  <si>
    <t>-617.873583785477 29.6726579762665 -292.848391722463</t>
  </si>
  <si>
    <t>-629.615061847683 29.1814082139408 -375.914830237992</t>
  </si>
  <si>
    <t>-640.495166625055 29.6033576448551 -459.098905215338</t>
  </si>
  <si>
    <t>-655.440342745163 31.2063706943184 -580.83216392238</t>
  </si>
  <si>
    <t>-647.413050441726 38.4842381397384 -658.438808839922</t>
  </si>
  <si>
    <t>-648.529840310722 61.8599528493073 -527.046920178708</t>
  </si>
  <si>
    <t>-623.315408493585 213.127080342934 -498.411533527745</t>
  </si>
  <si>
    <t>-559.26149955611 215.085131676394 -223.690245347409</t>
  </si>
  <si>
    <t>-330.304051302345 179.96704761561 -206.551603373772</t>
  </si>
  <si>
    <t>-593.244101547479 128.139174581792 -96.292348383669</t>
  </si>
  <si>
    <t>-622.279552396916 142.953457990388 318.002320643519</t>
  </si>
  <si>
    <t>-668.515909891798 181.698553904022 777.20801964353</t>
  </si>
  <si>
    <t>-518.41898778099 184.705835182732 835.050051133971</t>
  </si>
  <si>
    <t>-591.101322053879 -74.0969009945723 323.791050879016</t>
  </si>
  <si>
    <t>-652.245137810887 -108.666767500858 781.480146697784</t>
  </si>
  <si>
    <t>-498.465211104604 -124.516462907918 826.026091980886</t>
  </si>
  <si>
    <t>9763-20170724T115437.760333000.bin</t>
  </si>
  <si>
    <t>-585.19363164079 35.8988709113885 -92.0617554418068</t>
  </si>
  <si>
    <t>-604.582796860402 31.1469427844618 -200.960656696302</t>
  </si>
  <si>
    <t>-617.949729865069 29.6043140390964 -292.856158498287</t>
  </si>
  <si>
    <t>-629.757528091903 29.1273518173582 -375.913297543781</t>
  </si>
  <si>
    <t>-640.715910725577 29.573905805059 -459.086929631566</t>
  </si>
  <si>
    <t>-655.788334704637 31.2245777482271 -580.803954238987</t>
  </si>
  <si>
    <t>-647.755932431035 38.5563986520172 -658.40500832723</t>
  </si>
  <si>
    <t>-648.804138631553 61.8570157032495 -527.016126473049</t>
  </si>
  <si>
    <t>-623.292698790948 213.066298186092 -498.326049510232</t>
  </si>
  <si>
    <t>-559.381682016235 214.231434845047 -223.566849419239</t>
  </si>
  <si>
    <t>-330.996349327243 175.980170988834 -205.525088470612</t>
  </si>
  <si>
    <t>-593.21009453276 128.111541975364 -96.3370916796945</t>
  </si>
  <si>
    <t>-622.201159397775 142.923662685465 317.960722071503</t>
  </si>
  <si>
    <t>-668.507835076826 181.720498112003 777.160459853363</t>
  </si>
  <si>
    <t>-518.415631417438 184.655988961713 835.018308796788</t>
  </si>
  <si>
    <t>-591.088728720947 -74.1072047541747 323.792023095265</t>
  </si>
  <si>
    <t>-652.232930364053 -108.67189053982 781.48768007084</t>
  </si>
  <si>
    <t>-498.444840870937 -124.402785672648 826.04765603819</t>
  </si>
  <si>
    <t>9763-20170724T115437.828515700.bin</t>
  </si>
  <si>
    <t>-585.152652916763 35.80397665383 -92.0883004320406</t>
  </si>
  <si>
    <t>-604.655992427609 31.0412554873271 -200.966270943822</t>
  </si>
  <si>
    <t>-618.163890008737 29.5041254692767 -292.841342141957</t>
  </si>
  <si>
    <t>-630.116608070678 29.0386804463556 -375.87769275775</t>
  </si>
  <si>
    <t>-641.237454804774 29.5032300210464 -459.029714983999</t>
  </si>
  <si>
    <t>-656.566350190098 31.1877900080121 -580.714168895128</t>
  </si>
  <si>
    <t>-648.566345831914 38.5449231922066 -658.316297203587</t>
  </si>
  <si>
    <t>-649.442552084709 61.8049323120749 -526.93609955935</t>
  </si>
  <si>
    <t>-623.633392526967 212.939341746742 -498.136570845352</t>
  </si>
  <si>
    <t>-559.418490246708 212.848268442996 -223.445781570426</t>
  </si>
  <si>
    <t>-332.319264086263 167.893425854819 -204.64341725692</t>
  </si>
  <si>
    <t>-593.196326748215 128.033990826218 -96.3704401053417</t>
  </si>
  <si>
    <t>-622.099500826349 142.900681368219 317.931645216343</t>
  </si>
  <si>
    <t>-668.48310009612 181.800017699342 777.089897214411</t>
  </si>
  <si>
    <t>-518.39849797377 184.511635807068 834.978419139857</t>
  </si>
  <si>
    <t>-591.074502607087 -74.166362173575 323.775192804041</t>
  </si>
  <si>
    <t>-652.195628875868 -108.679548487451 781.496078469564</t>
  </si>
  <si>
    <t>-498.408738972332 -124.279735442334 826.10609246442</t>
  </si>
  <si>
    <t>9763-20170724T115437.864612400.bin</t>
  </si>
  <si>
    <t>-585.189656173726 35.647198035919 -92.106211283214</t>
  </si>
  <si>
    <t>-604.736075812753 30.8811570223816 -200.976425275264</t>
  </si>
  <si>
    <t>-618.284544864895 29.3564564379328 -292.845617170366</t>
  </si>
  <si>
    <t>-630.275260360857 28.9082645495305 -375.876662727009</t>
  </si>
  <si>
    <t>-641.435209578732 29.3960012080929 -459.023241779404</t>
  </si>
  <si>
    <t>-656.822264605513 31.1207854519487 -580.699925447635</t>
  </si>
  <si>
    <t>-648.852116546887 38.4769424456758 -658.305140831455</t>
  </si>
  <si>
    <t>-649.658162759804 61.7199705162679 -526.916839171792</t>
  </si>
  <si>
    <t>-623.743417370383 212.835288642418 -498.103672827485</t>
  </si>
  <si>
    <t>-559.364386726387 212.153723415002 -223.452220589645</t>
  </si>
  <si>
    <t>-332.773667783445 164.682673849079 -204.699074010796</t>
  </si>
  <si>
    <t>-593.27332619478 127.87614574707 -96.3921811457162</t>
  </si>
  <si>
    <t>-622.111534767602 142.773447982868 317.91324024156</t>
  </si>
  <si>
    <t>-668.489475251151 181.763928663687 777.067267300948</t>
  </si>
  <si>
    <t>-518.408651878113 184.612521077184 834.958995749391</t>
  </si>
  <si>
    <t>-591.072093307505 -74.2632588462675 323.766661046044</t>
  </si>
  <si>
    <t>-652.181440472592 -108.72864296776 781.497346283991</t>
  </si>
  <si>
    <t>-498.417976637442 -124.468538594002 826.138977110892</t>
  </si>
  <si>
    <t>9763-20170724T115437.927542300.bin</t>
  </si>
  <si>
    <t>-585.379782908478 35.2437279237458 -92.1314430545996</t>
  </si>
  <si>
    <t>-604.984014099431 30.4889786463723 -200.99166539574</t>
  </si>
  <si>
    <t>-618.599246933979 29.005810804324 -292.851840891687</t>
  </si>
  <si>
    <t>-630.656712983566 28.607697956036 -375.873346058442</t>
  </si>
  <si>
    <t>-641.889491432667 29.1581534706552 -459.009747795719</t>
  </si>
  <si>
    <t>-657.389279830234 30.9883189529589 -580.670525311172</t>
  </si>
  <si>
    <t>-649.495242205639 38.3100085705837 -658.286779341102</t>
  </si>
  <si>
    <t>-650.162901631129 61.5408524787579 -526.86929381653</t>
  </si>
  <si>
    <t>-624.040487949654 212.593661036669 -497.941387297762</t>
  </si>
  <si>
    <t>-559.134935674079 210.520661819892 -223.420860267648</t>
  </si>
  <si>
    <t>-333.427607960153 158.739017469472 -205.437710160357</t>
  </si>
  <si>
    <t>-593.565899602981 127.453438366768 -96.4006567118341</t>
  </si>
  <si>
    <t>-622.168354926048 142.514838680823 317.915246572364</t>
  </si>
  <si>
    <t>-668.500100605418 181.686866065589 777.04975704266</t>
  </si>
  <si>
    <t>-518.421134633067 184.61600804519 834.942346440382</t>
  </si>
  <si>
    <t>-591.119561311587 -74.5205856515151 323.742040331657</t>
  </si>
  <si>
    <t>-652.12339364286 -108.732185709428 781.49981062812</t>
  </si>
  <si>
    <t>-498.357891872244 -124.166531225351 826.240979969324</t>
  </si>
  <si>
    <t>9763-20170724T115437.961632900.bin</t>
  </si>
  <si>
    <t>-585.531009878747 35.0747821183872 -92.1390787415553</t>
  </si>
  <si>
    <t>-605.150625547744 30.3264423102503 -200.996781809913</t>
  </si>
  <si>
    <t>-618.774923454851 28.8756503467155 -292.856086923608</t>
  </si>
  <si>
    <t>-630.838610755366 28.5173418809106 -375.87700242445</t>
  </si>
  <si>
    <t>-642.07536043453 29.1182851397889 -459.012420834585</t>
  </si>
  <si>
    <t>-657.578340534628 31.0338797288011 -580.671506902166</t>
  </si>
  <si>
    <t>-649.720260212387 38.3465384092228 -658.292270906555</t>
  </si>
  <si>
    <t>-650.355075853892 61.5487397056725 -526.848476122049</t>
  </si>
  <si>
    <t>-624.19350505564 212.57523394089 -497.810232785842</t>
  </si>
  <si>
    <t>-558.95994587358 209.807211762447 -223.373636694855</t>
  </si>
  <si>
    <t>-333.60086228988 156.271771841919 -206.175499524991</t>
  </si>
  <si>
    <t>-593.780125026346 127.279388022709 -96.4011403079246</t>
  </si>
  <si>
    <t>-622.263417908554 142.399946665725 317.920823260751</t>
  </si>
  <si>
    <t>-668.492411452433 181.706127685895 777.053691575303</t>
  </si>
  <si>
    <t>-518.411434060021 184.636653871344 834.940890653303</t>
  </si>
  <si>
    <t>-591.169083670877 -74.625485084578 323.729226229835</t>
  </si>
  <si>
    <t>-652.066773576921 -108.746979267513 781.507204186578</t>
  </si>
  <si>
    <t>-498.324978895305 -124.113132044712 826.353170425294</t>
  </si>
  <si>
    <t>9763-20170724T115438.028721500.bin</t>
  </si>
  <si>
    <t>-585.804681801467 34.8087812023434 -92.1461756271541</t>
  </si>
  <si>
    <t>-605.448739117516 30.071733049039 -201.000062497289</t>
  </si>
  <si>
    <t>-619.051756485113 28.683416868475 -292.863346913626</t>
  </si>
  <si>
    <t>-631.078581616272 28.4020317309521 -375.889871961257</t>
  </si>
  <si>
    <t>-642.260448230243 29.1000110204243 -459.032020608351</t>
  </si>
  <si>
    <t>-657.662933858026 31.1794257306406 -580.701061035394</t>
  </si>
  <si>
    <t>-649.843489714892 38.5171820923413 -658.323409127725</t>
  </si>
  <si>
    <t>-650.495673326892 61.6218233099096 -526.829586060435</t>
  </si>
  <si>
    <t>-624.189751129899 212.563309982488 -497.494601114824</t>
  </si>
  <si>
    <t>-558.414366005639 208.921532030618 -223.197459784936</t>
  </si>
  <si>
    <t>-333.482030575366 153.315701740382 -207.011872547781</t>
  </si>
  <si>
    <t>-594.145230457075 126.982611019859 -96.3918284898509</t>
  </si>
  <si>
    <t>-622.441095482269 142.215119739366 317.938874657809</t>
  </si>
  <si>
    <t>-668.493284658061 181.707159261018 777.086983633734</t>
  </si>
  <si>
    <t>-518.405621486605 184.651259009647 834.95614200955</t>
  </si>
  <si>
    <t>-591.257528411559 -74.7645892493692 323.713536667293</t>
  </si>
  <si>
    <t>-652.014179941024 -108.773900030624 781.523541353487</t>
  </si>
  <si>
    <t>-498.307628565545 -124.196681131748 826.470924060713</t>
  </si>
  <si>
    <t>9763-20170724T115438.062813600.bin</t>
  </si>
  <si>
    <t>-585.908055632874 34.7705360950133 -92.141935294844</t>
  </si>
  <si>
    <t>-605.557676469484 30.0383390133252 -200.995074190768</t>
  </si>
  <si>
    <t>-619.144162896492 28.6888433930837 -292.861472289681</t>
  </si>
  <si>
    <t>-631.147181369674 28.4555763130695 -375.891592223891</t>
  </si>
  <si>
    <t>-642.295924180024 29.2152145362872 -459.037625340891</t>
  </si>
  <si>
    <t>-657.63949383467 31.3994288400409 -580.712260276473</t>
  </si>
  <si>
    <t>-649.819115918881 38.7786886038959 -658.330644759192</t>
  </si>
  <si>
    <t>-650.505227781441 61.7954393504317 -526.810398315504</t>
  </si>
  <si>
    <t>-624.077566237415 212.684710142289 -497.291944090979</t>
  </si>
  <si>
    <t>-558.222598390312 208.710714617015 -223.018430349672</t>
  </si>
  <si>
    <t>-333.440202834833 152.440804318447 -207.046590915244</t>
  </si>
  <si>
    <t>-594.295793195638 126.907798511166 -96.3820531309032</t>
  </si>
  <si>
    <t>-622.493468042303 142.172653900095 317.954203847816</t>
  </si>
  <si>
    <t>-668.496679473842 181.678639864115 777.105972925772</t>
  </si>
  <si>
    <t>-518.407119351413 184.74150000167 834.964109494259</t>
  </si>
  <si>
    <t>-591.285429261431 -74.7206979492744 323.713623380427</t>
  </si>
  <si>
    <t>-651.984623575666 -108.768703694452 781.517257754472</t>
  </si>
  <si>
    <t>-498.278840351835 -124.020673742657 826.525383260046</t>
  </si>
  <si>
    <t>9763-20170724T115438.128604500.bin</t>
  </si>
  <si>
    <t>-585.937550815009 34.8993697895028 -92.0819206553812</t>
  </si>
  <si>
    <t>-605.628046825383 30.1620550475584 -200.92733618956</t>
  </si>
  <si>
    <t>-619.213491705422 28.8701602407866 -292.794688120952</t>
  </si>
  <si>
    <t>-631.200612651798 28.7127231545951 -375.827336912673</t>
  </si>
  <si>
    <t>-642.318134970258 29.5724277734048 -458.976537248928</t>
  </si>
  <si>
    <t>-657.599023165128 31.9289960090787 -580.655981614521</t>
  </si>
  <si>
    <t>-649.773301100331 39.3976682253713 -658.265128380093</t>
  </si>
  <si>
    <t>-650.536551097355 62.2490622429968 -526.70173983109</t>
  </si>
  <si>
    <t>-624.129384467848 213.082663648221 -496.892252010101</t>
  </si>
  <si>
    <t>-558.107850520005 208.53673096358 -222.667777036085</t>
  </si>
  <si>
    <t>-333.671377984806 150.765187547302 -207.200183943638</t>
  </si>
  <si>
    <t>-594.439481792253 126.925681077101 -96.3141790078673</t>
  </si>
  <si>
    <t>-622.52809429607 142.195409481386 318.029266586783</t>
  </si>
  <si>
    <t>-668.485464545305 181.69970008101 777.169662573507</t>
  </si>
  <si>
    <t>-518.388442103956 184.721560434034 835.010662654422</t>
  </si>
  <si>
    <t>-591.159117360078 -74.4755391098358 323.760711096995</t>
  </si>
  <si>
    <t>-651.800419992727 -108.793971132901 781.555301094839</t>
  </si>
  <si>
    <t>-498.128189850515 -123.457998676774 826.872391953276</t>
  </si>
  <si>
    <t>9763-20170724T115438.160664900.bin</t>
  </si>
  <si>
    <t>-585.872089011782 35.031679359339 -92.0354499382335</t>
  </si>
  <si>
    <t>-605.571836168384 30.297397808959 -200.879455540327</t>
  </si>
  <si>
    <t>-619.151527112752 29.0380176487361 -292.748046645032</t>
  </si>
  <si>
    <t>-631.127544469285 28.9213087825076 -375.782322051678</t>
  </si>
  <si>
    <t>-642.227833538607 29.8334268505514 -458.93328190708</t>
  </si>
  <si>
    <t>-657.47662218271 32.2790116817664 -580.614921371483</t>
  </si>
  <si>
    <t>-649.623118679397 39.7785214187209 -658.218460831698</t>
  </si>
  <si>
    <t>-650.442132540645 62.5598381129862 -526.634918556655</t>
  </si>
  <si>
    <t>-624.063228604811 213.374120634533 -496.683096674321</t>
  </si>
  <si>
    <t>-557.989762902404 208.468134955034 -222.47730468023</t>
  </si>
  <si>
    <t>-333.712414097934 149.982735973013 -207.389067178123</t>
  </si>
  <si>
    <t>-594.457143183661 126.993469716401 -96.2613348541818</t>
  </si>
  <si>
    <t>-622.522814886225 142.218972491888 318.085260034397</t>
  </si>
  <si>
    <t>-668.471187730226 181.739415460169 777.213508103545</t>
  </si>
  <si>
    <t>-518.370549029686 184.697216293776 835.048395243737</t>
  </si>
  <si>
    <t>-591.049424635911 -74.3029025812812 323.804101990965</t>
  </si>
  <si>
    <t>-651.776412297661 -108.813627490903 781.574620864448</t>
  </si>
  <si>
    <t>-498.134417172865 -123.62938319511 826.944737604243</t>
  </si>
  <si>
    <t>9763-20170724T115438.227858200.bin</t>
  </si>
  <si>
    <t>-585.610068298436 35.2784501349242 -91.9550230531277</t>
  </si>
  <si>
    <t>-605.312222212957 30.539301725149 -200.798275931151</t>
  </si>
  <si>
    <t>-618.903497989029 29.3470364049247 -292.666145755841</t>
  </si>
  <si>
    <t>-630.892681013117 29.318832057437 -375.698578458313</t>
  </si>
  <si>
    <t>-642.008245399443 30.3475110644745 -458.846107551394</t>
  </si>
  <si>
    <t>-657.280860026268 32.9947000729439 -580.520595412867</t>
  </si>
  <si>
    <t>-649.425511181349 40.4874120698935 -658.124522130702</t>
  </si>
  <si>
    <t>-650.245573284755 63.1861017425711 -526.490664561888</t>
  </si>
  <si>
    <t>-623.755000826011 213.933318385067 -496.296500748233</t>
  </si>
  <si>
    <t>-557.489708103091 208.371585378302 -222.149336151522</t>
  </si>
  <si>
    <t>-333.545688235341 148.481287472796 -207.632047301008</t>
  </si>
  <si>
    <t>-650.913144096101 0.480256464789818 -527.771152903349</t>
  </si>
  <si>
    <t>-594.290924667381 127.09740994655 -96.168392170457</t>
  </si>
  <si>
    <t>-622.503949703821 142.279249936059 318.169816865103</t>
  </si>
  <si>
    <t>-668.436250518112 181.821970398028 777.291384979586</t>
  </si>
  <si>
    <t>-518.335232834749 184.712633803749 835.128701572787</t>
  </si>
  <si>
    <t>-590.831675468616 -74.0119894618392 323.862761250695</t>
  </si>
  <si>
    <t>-651.872338381587 -108.793218970428 781.541637281323</t>
  </si>
  <si>
    <t>-498.208081492721 -123.775422780373 826.781552770956</t>
  </si>
  <si>
    <t>9763-20170724T115438.262941100.bin</t>
  </si>
  <si>
    <t>-585.420859078377 35.393746618377 -91.9154544887665</t>
  </si>
  <si>
    <t>-605.126612948627 30.6634379234392 -200.758430828873</t>
  </si>
  <si>
    <t>-618.762300673754 29.5048632737571 -292.620195282598</t>
  </si>
  <si>
    <t>-630.80785602533 29.5178936591988 -375.644578319822</t>
  </si>
  <si>
    <t>-641.995842912226 30.5991237564797 -458.781573911217</t>
  </si>
  <si>
    <t>-657.391790142503 33.3359030820779 -580.438544497136</t>
  </si>
  <si>
    <t>-649.554806306277 40.7992313407883 -658.047221232161</t>
  </si>
  <si>
    <t>-650.308108904659 63.4875955763637 -526.392840824769</t>
  </si>
  <si>
    <t>-623.74671738962 214.196419214211 -496.064471078922</t>
  </si>
  <si>
    <t>-557.272046419371 208.307562706827 -221.974917283703</t>
  </si>
  <si>
    <t>-333.494326917956 147.708502484531 -207.839301214718</t>
  </si>
  <si>
    <t>-650.964233742676 0.782600010955321 -527.720300881803</t>
  </si>
  <si>
    <t>-594.124427460206 127.176900858494 -96.1207413882865</t>
  </si>
  <si>
    <t>-622.416161068629 142.302513240595 318.214137508993</t>
  </si>
  <si>
    <t>-668.428600786436 181.813088484627 777.327973581136</t>
  </si>
  <si>
    <t>-518.331053411545 184.765211706747 835.171121663316</t>
  </si>
  <si>
    <t>-590.705836184497 -73.8928674557933 323.881114126829</t>
  </si>
  <si>
    <t>-651.934529535988 -108.775674678255 781.522114941508</t>
  </si>
  <si>
    <t>-498.214306741221 -123.502641002447 826.655656099978</t>
  </si>
  <si>
    <t>9763-20170724T115438.328857600.bin</t>
  </si>
  <si>
    <t>-584.832716028979 35.6049419353333 -91.84879245142</t>
  </si>
  <si>
    <t>-604.55611593459 30.8738341518799 -200.688689064639</t>
  </si>
  <si>
    <t>-618.275015752039 29.7646765765926 -292.5384890441</t>
  </si>
  <si>
    <t>-630.422627215106 29.8431014274529 -375.547951208194</t>
  </si>
  <si>
    <t>-641.739287590289 31.0110707590291 -458.666562393271</t>
  </si>
  <si>
    <t>-657.352076902867 33.8987442230289 -580.292271058652</t>
  </si>
  <si>
    <t>-649.535855861988 41.3178037229418 -657.907327729785</t>
  </si>
  <si>
    <t>-650.169634799013 63.9833025567034 -526.222232674719</t>
  </si>
  <si>
    <t>-623.480115185489 214.635483798501 -495.754249682659</t>
  </si>
  <si>
    <t>-556.72108475305 208.522873172177 -221.738935221865</t>
  </si>
  <si>
    <t>-333.079175358166 147.430901523212 -207.575422070865</t>
  </si>
  <si>
    <t>-650.832975025849 1.28008807624269 -527.625725131576</t>
  </si>
  <si>
    <t>-593.463852651074 127.385895248418 -96.0374352152322</t>
  </si>
  <si>
    <t>-622.072764361808 142.401109579891 318.279760082256</t>
  </si>
  <si>
    <t>-668.39005616062 181.875806451121 777.367645241134</t>
  </si>
  <si>
    <t>-518.304178244095 184.760721373834 835.244498160552</t>
  </si>
  <si>
    <t>-590.448190394318 -73.8075646334603 323.917129751316</t>
  </si>
  <si>
    <t>-652.067340032349 -108.77737783831 781.496106867346</t>
  </si>
  <si>
    <t>-498.296405334337 -123.635699629757 826.413233696524</t>
  </si>
  <si>
    <t>9763-20170724T115438.362949300.bin</t>
  </si>
  <si>
    <t>-584.546082066549 35.5984034794801 -91.8312799545257</t>
  </si>
  <si>
    <t>-604.276030691546 30.8827508351073 -200.670469765179</t>
  </si>
  <si>
    <t>-618.012377327878 29.8017364254886 -292.518147885437</t>
  </si>
  <si>
    <t>-630.180330611991 29.9126306676649 -375.524515195218</t>
  </si>
  <si>
    <t>-641.521942625777 31.1196802812017 -458.639176565842</t>
  </si>
  <si>
    <t>-657.176270144729 34.0715487988859 -580.258036600144</t>
  </si>
  <si>
    <t>-649.388169703892 41.47622514317 -657.877135514283</t>
  </si>
  <si>
    <t>-649.964150259856 64.1275198138505 -526.175997054866</t>
  </si>
  <si>
    <t>-623.243306477759 214.763022615462 -495.658118449564</t>
  </si>
  <si>
    <t>-556.448486087275 208.538101644137 -221.653897494751</t>
  </si>
  <si>
    <t>-332.847920593065 147.324874568437 -207.361965696739</t>
  </si>
  <si>
    <t>-650.650396738589 1.42518274072495 -527.609500182026</t>
  </si>
  <si>
    <t>-593.09236898809 127.4428658308 -96.0077602445899</t>
  </si>
  <si>
    <t>-621.885637227515 142.358324075982 318.300229381322</t>
  </si>
  <si>
    <t>-668.380545664401 181.881657141316 777.374905687207</t>
  </si>
  <si>
    <t>-518.301005117919 184.821761125778 835.265344138499</t>
  </si>
  <si>
    <t>-590.328958214636 -73.9327190363604 323.922433289359</t>
  </si>
  <si>
    <t>-652.154195299703 -108.782906003646 781.482713576936</t>
  </si>
  <si>
    <t>-498.343220024319 -123.673844351477 826.251825962951</t>
  </si>
  <si>
    <t>9763-20170724T115438.424889300.bin</t>
  </si>
  <si>
    <t>-584.03207143171 35.6406572686501 -91.8395203258478</t>
  </si>
  <si>
    <t>-603.714009290251 30.9190760224899 -200.687207347451</t>
  </si>
  <si>
    <t>-617.371635710804 29.8735042821165 -292.546931880776</t>
  </si>
  <si>
    <t>-629.452810021439 30.0329784384012 -375.565947905703</t>
  </si>
  <si>
    <t>-640.69133051317 31.3049215456417 -458.693615336996</t>
  </si>
  <si>
    <t>-656.176918047198 34.3689646923929 -580.331373211877</t>
  </si>
  <si>
    <t>-648.418363530053 41.7816448432438 -657.952689637779</t>
  </si>
  <si>
    <t>-649.004063676005 64.3746368824475 -526.216188437292</t>
  </si>
  <si>
    <t>-622.149887988595 214.945178132641 -495.490009519432</t>
  </si>
  <si>
    <t>-555.67747624989 208.413543901248 -221.414497362092</t>
  </si>
  <si>
    <t>-332.083994835015 147.225176224144 -206.906908612545</t>
  </si>
  <si>
    <t>-649.759881157873 1.67441586097448 -527.699483593579</t>
  </si>
  <si>
    <t>-592.349371049435 127.680807326487 -96.0224257478625</t>
  </si>
  <si>
    <t>-621.556237115926 142.395745023212 318.2637971997</t>
  </si>
  <si>
    <t>-668.356211064381 181.951464489208 777.329297638803</t>
  </si>
  <si>
    <t>-518.292088025882 184.800628030338 835.264269374666</t>
  </si>
  <si>
    <t>-590.212668858 -74.0998360519066 323.922816089478</t>
  </si>
  <si>
    <t>-652.368184385856 -108.779894523171 781.449133226422</t>
  </si>
  <si>
    <t>-498.492647868673 -124.087218029453 825.854441295569</t>
  </si>
  <si>
    <t>9763-20170724T115438.463992800.bin</t>
  </si>
  <si>
    <t>-583.799025631391 35.6847684507916 -91.8565599689284</t>
  </si>
  <si>
    <t>-603.4467714261 30.9684106434988 -200.710700870296</t>
  </si>
  <si>
    <t>-617.054062702621 29.9272069011265 -292.578033385201</t>
  </si>
  <si>
    <t>-629.081080884607 30.0910631171962 -375.604791249657</t>
  </si>
  <si>
    <t>-640.256752621942 31.3670884455357 -458.740985667272</t>
  </si>
  <si>
    <t>-655.64081882358 34.4369055013433 -580.3913511275</t>
  </si>
  <si>
    <t>-647.85864059594 41.8447217675146 -658.010686300731</t>
  </si>
  <si>
    <t>-648.492069521921 64.4399201162405 -526.271471568863</t>
  </si>
  <si>
    <t>-621.52965132156 214.995125545072 -495.510946553266</t>
  </si>
  <si>
    <t>-555.292567584733 208.348243261474 -221.381390225421</t>
  </si>
  <si>
    <t>-331.690141484376 147.271843542875 -206.543781570885</t>
  </si>
  <si>
    <t>-649.288712677598 1.74009103907042 -527.752983199703</t>
  </si>
  <si>
    <t>-592.013375326891 127.781685194078 -96.0420048931021</t>
  </si>
  <si>
    <t>-621.4517750826 142.410132132151 318.230838881709</t>
  </si>
  <si>
    <t>-668.357030448416 181.946348235672 777.29234627844</t>
  </si>
  <si>
    <t>-518.300165814749 184.888819852527 835.241660333107</t>
  </si>
  <si>
    <t>-590.214521403864 -74.185572082863 323.906096838553</t>
  </si>
  <si>
    <t>-652.478598437563 -108.786413685764 781.423391765572</t>
  </si>
  <si>
    <t>-498.586218174486 -124.439333366566 825.649484864775</t>
  </si>
  <si>
    <t>9763-20170724T115438.528880000.bin</t>
  </si>
  <si>
    <t>-583.457817142994 35.9021126578953 -91.9067163126508</t>
  </si>
  <si>
    <t>-603.001764184843 31.2015743356669 -200.780204123586</t>
  </si>
  <si>
    <t>-616.519254109726 30.1521401033319 -292.660614631997</t>
  </si>
  <si>
    <t>-628.464477548215 30.3013778249813 -375.699403868161</t>
  </si>
  <si>
    <t>-639.557891464368 31.5542712307636 -458.846827101217</t>
  </si>
  <si>
    <t>-654.821080470864 34.5814875978888 -580.513571898544</t>
  </si>
  <si>
    <t>-647.022594730974 41.9565527162513 -658.134387905139</t>
  </si>
  <si>
    <t>-647.680659426102 64.6029399574077 -526.402892841744</t>
  </si>
  <si>
    <t>-620.435435675978 215.095458907635 -495.63141481446</t>
  </si>
  <si>
    <t>-554.606328088224 208.559721771459 -221.400879478951</t>
  </si>
  <si>
    <t>-331.090568584776 147.285622046288 -206.080253658553</t>
  </si>
  <si>
    <t>-648.56679001938 1.90340187145307 -527.85159464191</t>
  </si>
  <si>
    <t>-591.430150680986 128.020411849302 -96.1154350693134</t>
  </si>
  <si>
    <t>-621.278875459496 142.480041429684 318.133959544925</t>
  </si>
  <si>
    <t>-668.357043133411 181.927080970924 777.192109257857</t>
  </si>
  <si>
    <t>-518.322482827312 184.99252238234 835.192683610366</t>
  </si>
  <si>
    <t>-590.264167749698 -74.1399866568879 323.858212844011</t>
  </si>
  <si>
    <t>-652.599009075393 -108.718721764523 781.392522519228</t>
  </si>
  <si>
    <t>-498.63136199514 -124.280618558027 825.388198029746</t>
  </si>
  <si>
    <t>9763-20170724T115438.561968500.bin</t>
  </si>
  <si>
    <t>-583.341059976174 35.951310821983 -91.9402209807407</t>
  </si>
  <si>
    <t>-602.822482604268 31.2615882435935 -200.825443353845</t>
  </si>
  <si>
    <t>-616.285000772769 30.2161546834166 -292.713981434803</t>
  </si>
  <si>
    <t>-628.179982760218 30.3671331461896 -375.759822516913</t>
  </si>
  <si>
    <t>-639.222438879768 31.6202913682687 -458.914042233904</t>
  </si>
  <si>
    <t>-654.410677503098 34.6455648189456 -580.590322878506</t>
  </si>
  <si>
    <t>-646.59550318075 41.9938987264782 -658.212046906986</t>
  </si>
  <si>
    <t>-647.292721151068 64.6676232773991 -526.47704092851</t>
  </si>
  <si>
    <t>-619.961094789115 215.143196751276 -495.70511381714</t>
  </si>
  <si>
    <t>-554.335116038987 208.709027925519 -221.423409141648</t>
  </si>
  <si>
    <t>-330.819188983077 147.461964962388 -205.997518138139</t>
  </si>
  <si>
    <t>-648.19972385518 1.96849129290399 -527.922701877221</t>
  </si>
  <si>
    <t>-591.211671614289 128.113088001415 -96.1595424229757</t>
  </si>
  <si>
    <t>-621.216042796952 142.515045396244 318.080631945098</t>
  </si>
  <si>
    <t>-668.366713974124 181.869318560888 777.140754302603</t>
  </si>
  <si>
    <t>-518.345154217436 185.048045245312 835.16877231354</t>
  </si>
  <si>
    <t>-590.281574110673 -74.1977855754656 323.835429289193</t>
  </si>
  <si>
    <t>-652.610676220731 -108.736474286727 781.390912316909</t>
  </si>
  <si>
    <t>-498.655186889444 -124.476075881428 825.36587986191</t>
  </si>
  <si>
    <t>9763-20170724T115438.628156500.bin</t>
  </si>
  <si>
    <t>-583.130507390677 36.0098591702749 -91.9856618517363</t>
  </si>
  <si>
    <t>-602.492479343573 31.34015522598 -200.893018732125</t>
  </si>
  <si>
    <t>-615.841666207484 30.30133423704 -292.798018614162</t>
  </si>
  <si>
    <t>-627.629412377213 30.4552839141099 -375.85928652543</t>
  </si>
  <si>
    <t>-638.559919487642 31.7074946715254 -459.028391192776</t>
  </si>
  <si>
    <t>-653.579375325356 34.7274493662501 -580.725590147242</t>
  </si>
  <si>
    <t>-645.700862688582 41.9993797073341 -658.348150918446</t>
  </si>
  <si>
    <t>-646.515448308813 64.7516451375791 -526.606440476672</t>
  </si>
  <si>
    <t>-619.105321094107 215.217765732725 -495.861461845767</t>
  </si>
  <si>
    <t>-553.870401242513 208.947045509515 -221.482723215646</t>
  </si>
  <si>
    <t>-330.349943568233 147.69636549277 -206.137175244332</t>
  </si>
  <si>
    <t>-647.462516919764 2.05285398701608 -528.045333772843</t>
  </si>
  <si>
    <t>-590.837219629601 128.32963202601 -96.2216538751711</t>
  </si>
  <si>
    <t>-621.075915789006 142.642336889647 318.004573188658</t>
  </si>
  <si>
    <t>-668.345502501478 182.017297149594 777.042428053644</t>
  </si>
  <si>
    <t>-518.336834616091 184.944462766775 835.116933665475</t>
  </si>
  <si>
    <t>-590.356474678137 -74.3816710705098 323.793052181687</t>
  </si>
  <si>
    <t>-652.620086228681 -108.747072865518 781.401801259545</t>
  </si>
  <si>
    <t>-498.659893334715 -124.570544794974 825.33012689934</t>
  </si>
  <si>
    <t>9763-20170724T115438.662240500.bin</t>
  </si>
  <si>
    <t>-583.06058716591 36.0545338055429 -92.0083169953696</t>
  </si>
  <si>
    <t>-602.35222732507 31.3842774890554 -200.92807572272</t>
  </si>
  <si>
    <t>-615.630586231638 30.3438093130003 -292.843452072936</t>
  </si>
  <si>
    <t>-627.349630282184 30.4961260931857 -375.914411613392</t>
  </si>
  <si>
    <t>-638.20669079067 31.7459441842009 -459.093110783941</t>
  </si>
  <si>
    <t>-653.113558964694 34.7614839122311 -580.80427708745</t>
  </si>
  <si>
    <t>-645.169081417944 42.0028776146255 -658.423021398364</t>
  </si>
  <si>
    <t>-646.088264529542 64.7874115155971 -526.68113179111</t>
  </si>
  <si>
    <t>-618.6357739098 215.240605359053 -495.900785705504</t>
  </si>
  <si>
    <t>-553.619165112167 209.016397097726 -221.469125365421</t>
  </si>
  <si>
    <t>-330.065547799877 147.901623034611 -206.064641816571</t>
  </si>
  <si>
    <t>-647.056932908014 2.08889406536559 -528.115978128225</t>
  </si>
  <si>
    <t>-590.695087454595 128.399758103873 -96.2546622974819</t>
  </si>
  <si>
    <t>-621.073817670772 142.639413659072 317.963884911788</t>
  </si>
  <si>
    <t>-668.361802174825 181.978361913293 776.996526537287</t>
  </si>
  <si>
    <t>-518.360511109623 184.950182961942 835.087820589947</t>
  </si>
  <si>
    <t>-590.426642228428 -74.3960321027701 323.777099786318</t>
  </si>
  <si>
    <t>-652.643363065846 -108.735367942253 781.394410000555</t>
  </si>
  <si>
    <t>-498.675719938073 -124.632137817702 825.270176603431</t>
  </si>
  <si>
    <t>9763-20170724T115438.728084400.bin</t>
  </si>
  <si>
    <t>-583.057659456486 36.1504817050818 -92.0624442268396</t>
  </si>
  <si>
    <t>-602.176423612527 31.4979208241059 -201.013356248778</t>
  </si>
  <si>
    <t>-615.30631540373 30.4596404944382 -292.950101730993</t>
  </si>
  <si>
    <t>-626.89016270754 30.6087214639508 -376.040001583074</t>
  </si>
  <si>
    <t>-637.610759407649 31.85012763845 -459.236581530092</t>
  </si>
  <si>
    <t>-652.316769097604 34.847435480458 -580.972648419991</t>
  </si>
  <si>
    <t>-644.201421926384 42.0120431199455 -658.580704901582</t>
  </si>
  <si>
    <t>-645.361302816227 64.8813942908118 -526.844815591242</t>
  </si>
  <si>
    <t>-617.87150495063 215.324880527229 -496.056372542226</t>
  </si>
  <si>
    <t>-553.374266777839 209.054247590939 -221.503409509275</t>
  </si>
  <si>
    <t>-329.738907674521 148.405502561316 -205.4570461941</t>
  </si>
  <si>
    <t>-646.366476527947 2.18313481467453 -528.267029791501</t>
  </si>
  <si>
    <t>-590.63108903788 128.530172583534 -96.3228833814704</t>
  </si>
  <si>
    <t>-621.169850880088 142.759723260323 317.884152687118</t>
  </si>
  <si>
    <t>-668.359003267656 182.095225670017 776.916540613809</t>
  </si>
  <si>
    <t>-518.361120711028 184.911359498633 835.024428822739</t>
  </si>
  <si>
    <t>-590.647861256299 -74.4895088211006 323.712520102569</t>
  </si>
  <si>
    <t>-652.660722794874 -108.697256943365 781.379943749825</t>
  </si>
  <si>
    <t>-498.659620102716 -124.466945104892 825.184082665707</t>
  </si>
  <si>
    <t>9763-20170724T115438.763178900.bin</t>
  </si>
  <si>
    <t>-583.103723380318 36.1450110248495 -92.0796391674751</t>
  </si>
  <si>
    <t>-602.1540335272 31.4964042786032 -201.042814163964</t>
  </si>
  <si>
    <t>-615.216502449935 30.4580190844667 -292.989121696659</t>
  </si>
  <si>
    <t>-626.735528782699 30.6057423306327 -376.088095553953</t>
  </si>
  <si>
    <t>-637.387447277355 31.844157006333 -459.293355678813</t>
  </si>
  <si>
    <t>-651.988798637866 34.835482431105 -581.042219314134</t>
  </si>
  <si>
    <t>-643.777698521091 41.955871116116 -658.644356021044</t>
  </si>
  <si>
    <t>-645.078540714031 64.8721059379141 -526.910061677822</t>
  </si>
  <si>
    <t>-617.632667959174 215.322987845968 -496.127839553112</t>
  </si>
  <si>
    <t>-553.364959931687 208.95122724279 -221.523334549418</t>
  </si>
  <si>
    <t>-329.654757726259 148.661642125636 -205.169583679527</t>
  </si>
  <si>
    <t>-646.085162045615 2.17372357279851 -528.329778671486</t>
  </si>
  <si>
    <t>-590.648307570245 128.545056451512 -96.3449431328334</t>
  </si>
  <si>
    <t>-621.223491523506 142.754086528214 317.860140042312</t>
  </si>
  <si>
    <t>-668.382032820679 182.05556885273 776.891693213814</t>
  </si>
  <si>
    <t>-518.384443251407 184.957501984538 834.996223753478</t>
  </si>
  <si>
    <t>-590.76448265757 -74.5843917130128 323.685739259265</t>
  </si>
  <si>
    <t>-652.668556119388 -108.717255003034 781.379247124745</t>
  </si>
  <si>
    <t>-498.68933433649 -124.762079273249 825.160348730373</t>
  </si>
  <si>
    <t>9763-20170724T115438.828373300.bin</t>
  </si>
  <si>
    <t>-583.28846095031 36.2082091787395 -92.1520674589707</t>
  </si>
  <si>
    <t>-602.197820054643 31.5830920531391 -201.140778777624</t>
  </si>
  <si>
    <t>-615.130029743474 30.555036943389 -293.105696541791</t>
  </si>
  <si>
    <t>-626.527163565839 30.7086240757581 -376.221290891695</t>
  </si>
  <si>
    <t>-637.052922469974 31.9494892421308 -459.442870739529</t>
  </si>
  <si>
    <t>-651.465396325646 34.9403372169197 -581.2142061179</t>
  </si>
  <si>
    <t>-643.055356570304 41.9803596091017 -658.802272089458</t>
  </si>
  <si>
    <t>-644.631481162622 64.9770298000667 -527.072296055461</t>
  </si>
  <si>
    <t>-617.362443486195 215.47389218706 -496.343786497308</t>
  </si>
  <si>
    <t>-553.509564324077 209.086012864612 -221.642898018755</t>
  </si>
  <si>
    <t>-329.681511311666 149.317084835998 -204.993313950076</t>
  </si>
  <si>
    <t>-645.651150336443 2.27894716035212 -528.491564442147</t>
  </si>
  <si>
    <t>-590.749205835106 128.633915674158 -96.4182394351587</t>
  </si>
  <si>
    <t>-621.372306062793 142.781392689724 317.78543890584</t>
  </si>
  <si>
    <t>-668.424597824862 182.021715478859 776.838643638394</t>
  </si>
  <si>
    <t>-518.421230473932 185.014860490162 834.923567697611</t>
  </si>
  <si>
    <t>-591.097722467165 -74.6307659896702 323.622396720219</t>
  </si>
  <si>
    <t>-652.715385686788 -108.689096764938 781.359509263697</t>
  </si>
  <si>
    <t>-498.697985212376 -124.702724004655 825.017536784788</t>
  </si>
  <si>
    <t>9763-20170724T115438.862479500.bin</t>
  </si>
  <si>
    <t>-583.371221227024 36.2924641465052 -92.1891697092673</t>
  </si>
  <si>
    <t>-602.193312632476 31.6763329641333 -201.193428950704</t>
  </si>
  <si>
    <t>-615.031425355627 30.6506256702592 -293.171344322912</t>
  </si>
  <si>
    <t>-626.335507825951 30.8045798932408 -376.299851390655</t>
  </si>
  <si>
    <t>-636.7602374905 32.0434717921194 -459.533954684387</t>
  </si>
  <si>
    <t>-651.016312810562 35.029167886642 -581.323946992663</t>
  </si>
  <si>
    <t>-642.500089689214 42.0239831429574 -658.904600813203</t>
  </si>
  <si>
    <t>-644.24813698941 65.0681813960819 -527.175031428468</t>
  </si>
  <si>
    <t>-617.114794118912 215.596029741854 -496.483467481418</t>
  </si>
  <si>
    <t>-553.371502767678 209.352908477336 -221.753815386625</t>
  </si>
  <si>
    <t>-329.451709934628 149.947088126961 -205.038349614365</t>
  </si>
  <si>
    <t>-645.273545222025 2.37008411070428 -528.592144022145</t>
  </si>
  <si>
    <t>-590.733762394252 128.736848235912 -96.4509208091154</t>
  </si>
  <si>
    <t>-621.437452773044 142.878868144049 317.746970818602</t>
  </si>
  <si>
    <t>-668.42150001551 182.125451848919 776.808558016873</t>
  </si>
  <si>
    <t>-518.411712637854 184.861115580777 834.889558938719</t>
  </si>
  <si>
    <t>-591.312784060213 -74.6243920515067 323.584854327338</t>
  </si>
  <si>
    <t>-652.720610082761 -108.716543075535 781.349846626015</t>
  </si>
  <si>
    <t>-498.736898337 -125.103971101397 824.987952052091</t>
  </si>
  <si>
    <t>9763-20170724T115438.928258100.bin</t>
  </si>
  <si>
    <t>-583.597044806919 36.4871390415351 -92.2459611758263</t>
  </si>
  <si>
    <t>-602.27543760027 31.8936820463273 -201.275893930364</t>
  </si>
  <si>
    <t>-614.941706901577 30.85503203229 -293.277580788685</t>
  </si>
  <si>
    <t>-626.070984931217 30.9849924333082 -376.429570844949</t>
  </si>
  <si>
    <t>-636.301552685932 32.1872600728975 -459.688380456421</t>
  </si>
  <si>
    <t>-650.253111785022 35.1046243720746 -581.51520249037</t>
  </si>
  <si>
    <t>-641.563943117104 41.9884998231996 -659.086606512141</t>
  </si>
  <si>
    <t>-643.605307941687 65.1737390560481 -527.368191638073</t>
  </si>
  <si>
    <t>-616.711116047224 215.774888528196 -496.821443061444</t>
  </si>
  <si>
    <t>-553.192091888624 209.762922024145 -222.034615991225</t>
  </si>
  <si>
    <t>-329.15508965133 150.81434000436 -205.270873799302</t>
  </si>
  <si>
    <t>-644.657240173607 2.47530277522037 -528.749058786938</t>
  </si>
  <si>
    <t>-590.824115771783 128.909381945064 -96.5296827836459</t>
  </si>
  <si>
    <t>-621.546371310649 143.012943883485 317.668146954969</t>
  </si>
  <si>
    <t>-668.481136861306 182.067940838861 776.750619268956</t>
  </si>
  <si>
    <t>-518.464634514682 185.018032023111 834.803786026836</t>
  </si>
  <si>
    <t>-591.756246275055 -74.5282501088179 323.524327720203</t>
  </si>
  <si>
    <t>-652.685239931372 -108.748265259501 781.356609074779</t>
  </si>
  <si>
    <t>-498.729916787929 -125.336201619408 825.019199582857</t>
  </si>
  <si>
    <t>9763-20170724T115438.961328600.bin</t>
  </si>
  <si>
    <t>-583.76778201438 36.5613227717972 -92.2901288315762</t>
  </si>
  <si>
    <t>-602.376705792124 31.9836089523592 -201.332586733415</t>
  </si>
  <si>
    <t>-614.957906900223 30.9343590814506 -293.345784362739</t>
  </si>
  <si>
    <t>-626.00006595005 31.0457201903209 -376.509528109193</t>
  </si>
  <si>
    <t>-636.133305479371 32.2196102768212 -459.780575981752</t>
  </si>
  <si>
    <t>-649.931652151299 35.084755637763 -581.62601641599</t>
  </si>
  <si>
    <t>-641.162709799388 41.9072704669877 -659.193822733477</t>
  </si>
  <si>
    <t>-643.330562656801 65.1767067734093 -527.485994693238</t>
  </si>
  <si>
    <t>-616.433255680691 215.796152608312 -497.023984438347</t>
  </si>
  <si>
    <t>-553.120753043939 209.818526605144 -222.188871184305</t>
  </si>
  <si>
    <t>-329.01221623327 151.193900631408 -205.246522816247</t>
  </si>
  <si>
    <t>-644.423535809023 2.47844143249881 -528.836597190173</t>
  </si>
  <si>
    <t>-590.897663348923 129.008135601291 -96.5770521144269</t>
  </si>
  <si>
    <t>-621.632833612701 143.099314916117 317.620187191076</t>
  </si>
  <si>
    <t>-668.494064769019 182.121008459324 776.716786591526</t>
  </si>
  <si>
    <t>-518.471729153959 184.912240698359 834.762730585624</t>
  </si>
  <si>
    <t>-591.991876753326 -74.4998853515315 323.4942369897</t>
  </si>
  <si>
    <t>-652.678084825793 -108.723827927514 781.358366474446</t>
  </si>
  <si>
    <t>-498.707842583984 -125.186587251391 825.015657834053</t>
  </si>
  <si>
    <t>9763-20170724T115439.029049800.bin</t>
  </si>
  <si>
    <t>-584.192158192143 36.712258396979 -92.3598075845598</t>
  </si>
  <si>
    <t>-602.689179024105 32.1709777996082 -201.422887527961</t>
  </si>
  <si>
    <t>-615.128301295174 31.0838656830019 -293.454909363192</t>
  </si>
  <si>
    <t>-626.023710278155 31.1343178538082 -376.638055368584</t>
  </si>
  <si>
    <t>-635.992042165357 32.2192126314249 -459.930287037882</t>
  </si>
  <si>
    <t>-649.529711590917 34.9232745763152 -581.808638902639</t>
  </si>
  <si>
    <t>-640.619407378529 41.5769125683796 -659.375062836902</t>
  </si>
  <si>
    <t>-642.985561977048 65.0859146087475 -527.700975600673</t>
  </si>
  <si>
    <t>-615.888576022388 215.714235192802 -497.472438782575</t>
  </si>
  <si>
    <t>-552.913095604426 210.020670998456 -222.553676864856</t>
  </si>
  <si>
    <t>-328.775227453813 151.600993181259 -205.29455402106</t>
  </si>
  <si>
    <t>-644.193443553162 2.3876220494119 -528.957881277454</t>
  </si>
  <si>
    <t>-591.161912837251 129.200159742098 -96.6479531809666</t>
  </si>
  <si>
    <t>-621.904414531196 143.244258500211 317.55038619019</t>
  </si>
  <si>
    <t>-668.54341609401 182.15370232076 776.674216427261</t>
  </si>
  <si>
    <t>-518.502669474546 184.892605047254 834.675142729464</t>
  </si>
  <si>
    <t>-592.45682510469 -74.4254089064259 323.430347179945</t>
  </si>
  <si>
    <t>-652.657310007424 -108.720502417409 781.355612105564</t>
  </si>
  <si>
    <t>-498.664577218084 -125.018074657042 824.995622530493</t>
  </si>
  <si>
    <t>9763-20170724T115439.062126700.bin</t>
  </si>
  <si>
    <t>-584.392439087698 36.8440816781513 -92.3923151750425</t>
  </si>
  <si>
    <t>-602.863444526936 32.3141856098971 -201.460247516954</t>
  </si>
  <si>
    <t>-615.269301425235 31.2034809327934 -293.496643396227</t>
  </si>
  <si>
    <t>-626.130529824436 31.2198823090309 -376.684184479161</t>
  </si>
  <si>
    <t>-636.060844001887 32.2573461730785 -459.981473934592</t>
  </si>
  <si>
    <t>-649.538886252587 34.8774300280973 -581.868289730172</t>
  </si>
  <si>
    <t>-640.572556731651 41.4355257539703 -659.436416009815</t>
  </si>
  <si>
    <t>-643.000295599527 65.0769305136951 -527.780514471245</t>
  </si>
  <si>
    <t>-615.851668411613 215.725084846927 -497.715545441133</t>
  </si>
  <si>
    <t>-552.89435177958 210.144831094034 -222.790484493522</t>
  </si>
  <si>
    <t>-328.765606748641 151.725077772587 -205.413014022566</t>
  </si>
  <si>
    <t>-644.249379328097 2.37855516241848 -528.990160486999</t>
  </si>
  <si>
    <t>-591.300784192614 129.353827020901 -96.6847892787366</t>
  </si>
  <si>
    <t>-622.020641401757 143.346539676715 317.517006724487</t>
  </si>
  <si>
    <t>-668.566332704291 182.180381720154 776.653717271569</t>
  </si>
  <si>
    <t>-518.514919962541 184.893695980048 834.628135961046</t>
  </si>
  <si>
    <t>-592.637346801642 -74.3336673785727 323.401609801126</t>
  </si>
  <si>
    <t>-652.647955884151 -108.70804256125 781.353843264711</t>
  </si>
  <si>
    <t>-498.650439717916 -124.972546657207 824.989305481389</t>
  </si>
  <si>
    <t>9763-20170724T115439.130833400.bin</t>
  </si>
  <si>
    <t>-584.758084426446 37.1523580077105 -92.4449781953326</t>
  </si>
  <si>
    <t>-603.251033219059 32.6429193662132 -201.509955207513</t>
  </si>
  <si>
    <t>-615.659754291614 31.4945016745985 -293.545574709907</t>
  </si>
  <si>
    <t>-626.518244808805 31.45558492955 -376.733327197797</t>
  </si>
  <si>
    <t>-636.440788549463 32.416065700776 -460.032552098086</t>
  </si>
  <si>
    <t>-649.902500854022 34.8996185794667 -581.924180712075</t>
  </si>
  <si>
    <t>-640.865027597636 41.2898252277034 -659.498025257013</t>
  </si>
  <si>
    <t>-643.334700201985 65.1589980486756 -527.873465168904</t>
  </si>
  <si>
    <t>-616.094893771136 215.849311627973 -498.086030620155</t>
  </si>
  <si>
    <t>-552.998696328963 210.542211047217 -223.187396884854</t>
  </si>
  <si>
    <t>-328.835391756717 152.245320867175 -205.843334667114</t>
  </si>
  <si>
    <t>-644.656516216191 2.46072862843243 -529.004942187022</t>
  </si>
  <si>
    <t>-591.550146013843 129.679412059086 -96.7581881711278</t>
  </si>
  <si>
    <t>-622.190405813882 143.536175567164 317.454041993782</t>
  </si>
  <si>
    <t>-668.620903817922 182.172535869322 776.616855138956</t>
  </si>
  <si>
    <t>-518.549851934814 184.884404719589 834.540488507955</t>
  </si>
  <si>
    <t>-592.907702221136 -74.0460235265766 323.359072002084</t>
  </si>
  <si>
    <t>-652.614880159057 -108.651416549897 781.343966645253</t>
  </si>
  <si>
    <t>-498.60848117886 -124.832593888495 824.979165182359</t>
  </si>
  <si>
    <t>9763-20170724T115439.161914200.bin</t>
  </si>
  <si>
    <t>-584.896434406392 37.3105954064413 -92.4704590490177</t>
  </si>
  <si>
    <t>-603.436964992015 32.8097342538745 -201.527690501194</t>
  </si>
  <si>
    <t>-615.851465393137 31.6411555181051 -293.562249340503</t>
  </si>
  <si>
    <t>-626.701868562834 31.5735791950051 -376.751173131915</t>
  </si>
  <si>
    <t>-636.60338584077 32.4942627226042 -460.053337920559</t>
  </si>
  <si>
    <t>-650.020390841258 34.9074869929564 -581.951165262364</t>
  </si>
  <si>
    <t>-640.943965896036 41.2303919136727 -659.52594970382</t>
  </si>
  <si>
    <t>-643.46984058722 65.197907934544 -527.915877383208</t>
  </si>
  <si>
    <t>-616.222185379472 215.91254415982 -498.274462076409</t>
  </si>
  <si>
    <t>-553.001104367269 210.746356398701 -223.401837067827</t>
  </si>
  <si>
    <t>-328.830532815659 152.477228171487 -206.058339963366</t>
  </si>
  <si>
    <t>-644.79646519198 2.49913570577382 -529.011008479549</t>
  </si>
  <si>
    <t>-591.630803489611 129.84809279787 -96.7848402583832</t>
  </si>
  <si>
    <t>-622.271038956022 143.537330767098 317.432944898002</t>
  </si>
  <si>
    <t>-668.648999443469 182.152737726181 776.603772991823</t>
  </si>
  <si>
    <t>-518.569966355984 184.888494204866 834.50568189519</t>
  </si>
  <si>
    <t>-592.978596570279 -73.8847266653977 323.349425476561</t>
  </si>
  <si>
    <t>-652.606942351654 -108.620752481632 781.337328004077</t>
  </si>
  <si>
    <t>-498.604925051438 -124.868582310078 824.963138660645</t>
  </si>
  <si>
    <t>9763-20170724T115439.230208000.bin</t>
  </si>
  <si>
    <t>-585.024561042753 37.7903162422201 -92.4877729760224</t>
  </si>
  <si>
    <t>-603.613335405249 33.2880581685436 -201.536747877174</t>
  </si>
  <si>
    <t>-615.985703192401 32.0568345483971 -293.576136880986</t>
  </si>
  <si>
    <t>-626.765412315214 31.9079800377738 -376.774099398879</t>
  </si>
  <si>
    <t>-636.564066132464 32.7213180527747 -460.089578248064</t>
  </si>
  <si>
    <t>-649.795730654997 34.9483768800565 -582.011207563817</t>
  </si>
  <si>
    <t>-640.626245871408 41.1695480864721 -659.58333912983</t>
  </si>
  <si>
    <t>-643.303809485312 65.320840057276 -528.014727479629</t>
  </si>
  <si>
    <t>-616.016658984364 216.084299041382 -498.623056591963</t>
  </si>
  <si>
    <t>-552.575819225185 211.187236283061 -223.796080991153</t>
  </si>
  <si>
    <t>-328.363209467233 153.081906429084 -206.446444275193</t>
  </si>
  <si>
    <t>-644.675760967149 2.62141945852954 -529.011247074247</t>
  </si>
  <si>
    <t>-591.709538137894 130.303241078986 -96.8040743711127</t>
  </si>
  <si>
    <t>-622.38258892762 143.738128181179 317.419600525648</t>
  </si>
  <si>
    <t>-668.670288129989 182.278913134138 776.598282850151</t>
  </si>
  <si>
    <t>-518.571470323786 184.822196789611 834.457623272897</t>
  </si>
  <si>
    <t>-593.013166873439 -73.4045344703279 323.355832988676</t>
  </si>
  <si>
    <t>-652.589535055989 -108.586765430431 781.319815592444</t>
  </si>
  <si>
    <t>-498.558072425119 -124.612273402067 824.92387443556</t>
  </si>
  <si>
    <t>9763-20170724T115439.263296900.bin</t>
  </si>
  <si>
    <t>-584.996915617046 38.0885982532898 -92.4716455561736</t>
  </si>
  <si>
    <t>-603.630537585422 33.5704425060828 -201.512372943904</t>
  </si>
  <si>
    <t>-616.014526233463 32.3026092800246 -293.549606896716</t>
  </si>
  <si>
    <t>-626.794276978618 32.1105960943528 -376.747613992216</t>
  </si>
  <si>
    <t>-636.582437068941 32.8704807870806 -460.064720409081</t>
  </si>
  <si>
    <t>-649.787313266208 35.007721267822 -581.990957807006</t>
  </si>
  <si>
    <t>-640.59335495065 41.1898306487333 -659.563235315878</t>
  </si>
  <si>
    <t>-643.292332703849 65.4196298806712 -528.017051459623</t>
  </si>
  <si>
    <t>-615.951749081446 216.192305665074 -498.738413152342</t>
  </si>
  <si>
    <t>-552.366380487212 211.438339444225 -223.942340201257</t>
  </si>
  <si>
    <t>-328.167298122724 153.302451052954 -206.520497550028</t>
  </si>
  <si>
    <t>-644.693947687769 2.72009956949751 -528.964392483039</t>
  </si>
  <si>
    <t>-591.725183681232 130.567706245612 -96.8021031702517</t>
  </si>
  <si>
    <t>-622.427533489284 143.903412939805 317.422573096105</t>
  </si>
  <si>
    <t>-668.675187320289 182.344474626688 776.60007606745</t>
  </si>
  <si>
    <t>-518.568137083723 184.761759281244 834.443394570925</t>
  </si>
  <si>
    <t>-592.980971213832 -73.1191354299874 323.373337725394</t>
  </si>
  <si>
    <t>-652.570396117909 -108.556843108931 781.309978224384</t>
  </si>
  <si>
    <t>-498.537790427266 -124.562840371352 824.917197715972</t>
  </si>
  <si>
    <t>9763-20170724T115439.327436500.bin</t>
  </si>
  <si>
    <t>-584.818531844817 38.5838836035925 -92.4251526299856</t>
  </si>
  <si>
    <t>-603.576050184677 34.0296002923169 -201.443013640545</t>
  </si>
  <si>
    <t>-616.051619330831 32.7039206769564 -293.467204885949</t>
  </si>
  <si>
    <t>-626.909070814233 32.4475817473622 -376.654817533926</t>
  </si>
  <si>
    <t>-636.769987659273 33.1311506496606 -459.96409754032</t>
  </si>
  <si>
    <t>-650.075856126233 35.1435252018257 -581.881314142256</t>
  </si>
  <si>
    <t>-640.910682559486 41.2629035356856 -659.462050741791</t>
  </si>
  <si>
    <t>-643.539645759493 65.6108980507854 -527.943802289416</t>
  </si>
  <si>
    <t>-616.23115389156 216.410303574922 -498.791519191587</t>
  </si>
  <si>
    <t>-552.104533873264 211.734273366838 -224.119871119022</t>
  </si>
  <si>
    <t>-327.972861357361 153.339290532416 -206.697289709259</t>
  </si>
  <si>
    <t>-644.935044234879 2.9101243066907 -528.82645198271</t>
  </si>
  <si>
    <t>-591.740431003222 130.945375311969 -96.7748688650956</t>
  </si>
  <si>
    <t>-622.487919788615 144.086803848604 317.452706354784</t>
  </si>
  <si>
    <t>-668.719267610059 182.306729531655 776.638451407404</t>
  </si>
  <si>
    <t>-518.602833952708 184.847433807418 834.452167772929</t>
  </si>
  <si>
    <t>-592.733869059064 -72.6530134152256 323.427915895083</t>
  </si>
  <si>
    <t>-652.434419762806 -108.604926809659 781.311669765283</t>
  </si>
  <si>
    <t>-498.4767041103 -124.785521438507 825.11842900394</t>
  </si>
  <si>
    <t>9763-20170724T115439.361524400.bin</t>
  </si>
  <si>
    <t>-584.64318141241 38.7634435997277 -92.383614090337</t>
  </si>
  <si>
    <t>-603.479144422292 34.1926831635399 -201.387335502505</t>
  </si>
  <si>
    <t>-616.018802368452 32.855149560166 -293.402644524193</t>
  </si>
  <si>
    <t>-626.93326607309 32.5885135704898 -376.582759860123</t>
  </si>
  <si>
    <t>-636.850403523016 33.2622848263809 -459.885437675409</t>
  </si>
  <si>
    <t>-650.23748072849 35.2609727106967 -581.793984368915</t>
  </si>
  <si>
    <t>-641.116544488699 41.3721891650512 -659.380551189016</t>
  </si>
  <si>
    <t>-643.673601239858 65.7345880262367 -527.863334250595</t>
  </si>
  <si>
    <t>-616.391501559387 216.546836760062 -498.748807359321</t>
  </si>
  <si>
    <t>-552.039910815792 211.856842225477 -224.130008631261</t>
  </si>
  <si>
    <t>-327.900541521316 153.437496541849 -206.888906979627</t>
  </si>
  <si>
    <t>-645.053078327747 3.03340602726416 -528.739810346473</t>
  </si>
  <si>
    <t>-591.625480694721 131.105937658454 -96.74480685422</t>
  </si>
  <si>
    <t>-622.392259435716 144.163960516515 317.484012347143</t>
  </si>
  <si>
    <t>-668.723005421799 182.336780790041 776.661650815343</t>
  </si>
  <si>
    <t>-518.604281748339 184.79980181646 834.472712514677</t>
  </si>
  <si>
    <t>-592.541916448577 -72.4979876436798 323.472405595836</t>
  </si>
  <si>
    <t>-652.357454518082 -108.581976100252 781.328366205704</t>
  </si>
  <si>
    <t>-498.406662318027 -124.558685375665 825.234244060933</t>
  </si>
  <si>
    <t>9763-20170724T115439.427234900.bin</t>
  </si>
  <si>
    <t>-584.137739095543 38.9739284643256 -92.2956566763623</t>
  </si>
  <si>
    <t>-603.121891250316 34.3739684004245 -201.272410915422</t>
  </si>
  <si>
    <t>-615.811959865408 33.0246137518761 -293.26690299302</t>
  </si>
  <si>
    <t>-626.872450532316 32.7524508307824 -376.427730027219</t>
  </si>
  <si>
    <t>-636.945978058812 33.426282041514 -459.711626903053</t>
  </si>
  <si>
    <t>-650.573063339865 35.4312519941548 -581.593613305037</t>
  </si>
  <si>
    <t>-641.585412430382 41.575361748771 -659.193064622232</t>
  </si>
  <si>
    <t>-643.931231761346 65.9025998977181 -527.671007644344</t>
  </si>
  <si>
    <t>-616.736978804816 216.733523681681 -498.559731765666</t>
  </si>
  <si>
    <t>-551.720245391784 211.902493710365 -224.100140486792</t>
  </si>
  <si>
    <t>-327.56266801353 153.463166098695 -207.166106339028</t>
  </si>
  <si>
    <t>-645.255972436504 3.20043272427552 -528.554503924496</t>
  </si>
  <si>
    <t>-591.219529738968 131.344554485988 -96.670065460655</t>
  </si>
  <si>
    <t>-622.08009241373 144.244000150426 317.556677325225</t>
  </si>
  <si>
    <t>-668.739468184276 182.349825438793 776.714071334951</t>
  </si>
  <si>
    <t>-518.62244126274 184.820494506362 834.52926668537</t>
  </si>
  <si>
    <t>-592.078792386102 -72.3468790455775 323.566529020789</t>
  </si>
  <si>
    <t>-652.193803175394 -108.641797357365 781.35921236535</t>
  </si>
  <si>
    <t>-498.358542246264 -124.979057598568 825.536449073284</t>
  </si>
  <si>
    <t>9763-20170724T115439.458315700.bin</t>
  </si>
  <si>
    <t>-583.842798596008 39.0416896526754 -92.2498862306277</t>
  </si>
  <si>
    <t>-602.888357587948 34.4308184252068 -201.215492444222</t>
  </si>
  <si>
    <t>-615.642841707944 33.0858781267082 -293.201121484756</t>
  </si>
  <si>
    <t>-626.766642734351 32.82313783411 -376.35349072385</t>
  </si>
  <si>
    <t>-636.908618931052 33.5124889164888 -459.629021287581</t>
  </si>
  <si>
    <t>-650.641309098832 35.547268530614 -581.498515182348</t>
  </si>
  <si>
    <t>-641.720473842502 41.7463754163757 -659.101372918051</t>
  </si>
  <si>
    <t>-643.97124092809 66.005694462179 -527.572426564911</t>
  </si>
  <si>
    <t>-616.819051421401 216.836303021385 -498.43157152319</t>
  </si>
  <si>
    <t>-551.497831042918 211.98269177569 -224.044747449135</t>
  </si>
  <si>
    <t>-327.34972120931 153.432465688182 -207.370364697251</t>
  </si>
  <si>
    <t>-645.259834200644 3.30305728590929 -528.474035450998</t>
  </si>
  <si>
    <t>-590.963271020644 131.411759114135 -96.6206083487623</t>
  </si>
  <si>
    <t>-621.934876154994 144.267192862572 317.599176300715</t>
  </si>
  <si>
    <t>-668.740535037286 182.36620995956 776.744116467084</t>
  </si>
  <si>
    <t>-518.626625183075 184.782633672429 834.569584027509</t>
  </si>
  <si>
    <t>-591.814612356681 -72.2926942908139 323.616393729744</t>
  </si>
  <si>
    <t>-652.085127968147 -108.618821390625 781.371027821244</t>
  </si>
  <si>
    <t>-498.282695180006 -124.748779617258 825.738374606811</t>
  </si>
  <si>
    <t>9763-20170724T115439.525011500.bin</t>
  </si>
  <si>
    <t>-583.13832373217 39.0595013229211 -92.1247765056526</t>
  </si>
  <si>
    <t>-602.280928154902 34.4340666839112 -201.072829715496</t>
  </si>
  <si>
    <t>-615.139985507734 33.1036762143949 -293.043919234967</t>
  </si>
  <si>
    <t>-626.367571786024 32.8647782089065 -376.182492061035</t>
  </si>
  <si>
    <t>-636.622765409029 33.5896828209122 -459.443815981976</t>
  </si>
  <si>
    <t>-650.53152392334 35.6894906559992 -581.292372819457</t>
  </si>
  <si>
    <t>-641.747422657501 42.0631109050178 -658.896667885342</t>
  </si>
  <si>
    <t>-643.835203324021 66.1202329345251 -527.353696686211</t>
  </si>
  <si>
    <t>-616.885133410394 216.972384373436 -498.114302581648</t>
  </si>
  <si>
    <t>-550.619843763566 212.008667269537 -223.955834358742</t>
  </si>
  <si>
    <t>-326.718154174963 152.21547001413 -208.421056864694</t>
  </si>
  <si>
    <t>-645.021786824521 3.41603688896203 -528.298907411174</t>
  </si>
  <si>
    <t>-590.338676346034 131.431219599 -96.503316333507</t>
  </si>
  <si>
    <t>-621.511137880476 144.217489432943 317.703610205374</t>
  </si>
  <si>
    <t>-668.740363468905 182.353772531097 776.798135625435</t>
  </si>
  <si>
    <t>-518.639389221609 184.878170524411 834.652676674515</t>
  </si>
  <si>
    <t>-591.233007299444 -72.292507984047 323.730160281785</t>
  </si>
  <si>
    <t>-651.800770233112 -108.640368321691 781.45407062124</t>
  </si>
  <si>
    <t>-498.084356878635 -124.339256212354 826.271781290835</t>
  </si>
  <si>
    <t>9763-20170724T115439.563110000.bin</t>
  </si>
  <si>
    <t>-582.762229276238 39.0301808870252 -92.0582122820326</t>
  </si>
  <si>
    <t>-601.948257689746 34.403818428153 -200.998555351393</t>
  </si>
  <si>
    <t>-614.856626899131 33.0896067278818 -292.963062962019</t>
  </si>
  <si>
    <t>-626.133852016618 32.8719549459568 -376.094921799076</t>
  </si>
  <si>
    <t>-636.443831413889 33.6253676525332 -459.349162619151</t>
  </si>
  <si>
    <t>-650.438375309771 35.7747944795258 -581.187136168425</t>
  </si>
  <si>
    <t>-641.719004603194 42.2602880093455 -658.789456838507</t>
  </si>
  <si>
    <t>-643.733467315736 66.1840322342848 -527.237361004033</t>
  </si>
  <si>
    <t>-616.839090406314 217.024972645773 -497.899224046454</t>
  </si>
  <si>
    <t>-550.13221632406 212.028463466141 -223.848487394047</t>
  </si>
  <si>
    <t>-326.459252461397 151.226644374993 -208.946127021186</t>
  </si>
  <si>
    <t>-644.861879208381 3.47940811287071 -528.214039598132</t>
  </si>
  <si>
    <t>-590.013952147914 131.415678315072 -96.4397530975879</t>
  </si>
  <si>
    <t>-621.27307773377 144.16480485024 317.761761589151</t>
  </si>
  <si>
    <t>-668.743754944158 182.315711118066 776.828407500963</t>
  </si>
  <si>
    <t>-518.651128556929 184.974910339869 834.698436986306</t>
  </si>
  <si>
    <t>-590.937038883851 -72.3448668946089 323.790984231414</t>
  </si>
  <si>
    <t>-651.698310182504 -108.672172960042 781.482094668233</t>
  </si>
  <si>
    <t>-498.04824375197 -124.487904906944 826.485842381656</t>
  </si>
  <si>
    <t>9763-20170724T115439.629289900.bin</t>
  </si>
  <si>
    <t>-582.073754624274 38.9847173626895 -91.9402845510505</t>
  </si>
  <si>
    <t>-601.345371383653 34.3473471445736 -200.865027930815</t>
  </si>
  <si>
    <t>-614.378955450221 33.0893831747462 -292.812726884272</t>
  </si>
  <si>
    <t>-625.790156845106 32.948436450896 -375.926504153005</t>
  </si>
  <si>
    <t>-636.254816555946 33.8057487854314 -459.160526754155</t>
  </si>
  <si>
    <t>-650.497722809307 36.1380734947611 -580.966185181393</t>
  </si>
  <si>
    <t>-641.893557981869 42.8668062256015 -658.560521604051</t>
  </si>
  <si>
    <t>-643.736166599909 66.4670980591777 -526.978432924705</t>
  </si>
  <si>
    <t>-616.93200413741 217.275005473746 -497.396129084065</t>
  </si>
  <si>
    <t>-549.417035140702 211.912228113532 -223.550403217728</t>
  </si>
  <si>
    <t>-326.359049282218 148.581178621936 -210.028418000786</t>
  </si>
  <si>
    <t>-644.759887432978 3.76235342631844 -528.059199654508</t>
  </si>
  <si>
    <t>-589.484995503651 131.372479725771 -96.3211328600197</t>
  </si>
  <si>
    <t>-620.878332373395 144.075202626509 317.871725849227</t>
  </si>
  <si>
    <t>-668.727391110387 182.2823466197 776.894093492304</t>
  </si>
  <si>
    <t>-518.655044800457 184.926713806366 834.817445232731</t>
  </si>
  <si>
    <t>-590.31568295501 -72.3798542139116 323.893346332146</t>
  </si>
  <si>
    <t>-651.465037035136 -108.711841146003 781.526029456756</t>
  </si>
  <si>
    <t>-497.902119658707 -124.247134664964 826.923305564271</t>
  </si>
  <si>
    <t>9763-20170724T115439.662376600.bin</t>
  </si>
  <si>
    <t>-581.753228157955 38.8952437227595 -91.8778243131029</t>
  </si>
  <si>
    <t>-601.061899728563 34.258082191996 -200.796024210638</t>
  </si>
  <si>
    <t>-614.155246468432 33.0446425396747 -292.735757518938</t>
  </si>
  <si>
    <t>-625.631388999054 32.9620015430612 -375.840747179537</t>
  </si>
  <si>
    <t>-636.171910483932 33.8961798541818 -459.064343138785</t>
  </si>
  <si>
    <t>-650.53752917546 36.3613198158816 -580.852950270778</t>
  </si>
  <si>
    <t>-641.980062968428 43.2066396889084 -658.442392019237</t>
  </si>
  <si>
    <t>-643.749783454483 66.6318159315629 -526.835605216182</t>
  </si>
  <si>
    <t>-617.000550450565 217.414870165213 -497.089862696893</t>
  </si>
  <si>
    <t>-549.17339477011 211.761000763039 -223.326868236768</t>
  </si>
  <si>
    <t>-326.450035353717 147.087202372438 -210.672737594822</t>
  </si>
  <si>
    <t>-644.718223555978 3.92754221144469 -527.990524152662</t>
  </si>
  <si>
    <t>-589.226373348864 131.311528362161 -96.25299057373</t>
  </si>
  <si>
    <t>-620.698935611392 144.012077881524 317.933892480624</t>
  </si>
  <si>
    <t>-668.707433341051 182.314664040323 776.938188387492</t>
  </si>
  <si>
    <t>-518.643056525048 184.906281574784 834.884657948109</t>
  </si>
  <si>
    <t>-590.049123538009 -72.5049593505821 323.94170115599</t>
  </si>
  <si>
    <t>-651.324032639629 -108.754486709943 781.562027998145</t>
  </si>
  <si>
    <t>-497.854731420923 -124.46931201482 827.213355450767</t>
  </si>
  <si>
    <t>9763-20170724T115439.732568200.bin</t>
  </si>
  <si>
    <t>-581.100114919239 38.6899641449543 -91.7596467507797</t>
  </si>
  <si>
    <t>-600.458721231961 34.0629905667847 -200.669386189034</t>
  </si>
  <si>
    <t>-613.648352669503 32.9541559483187 -292.596823682056</t>
  </si>
  <si>
    <t>-625.232780466095 33.0042074925241 -375.686729346799</t>
  </si>
  <si>
    <t>-635.902582836949 34.1110191264781 -458.891572916694</t>
  </si>
  <si>
    <t>-650.480014724234 36.8730390066394 -580.648747887651</t>
  </si>
  <si>
    <t>-641.997121741996 43.9289453741294 -658.227529178436</t>
  </si>
  <si>
    <t>-643.675588716926 67.0127136108758 -526.560492774151</t>
  </si>
  <si>
    <t>-617.249939482127 217.791742347561 -496.46392590546</t>
  </si>
  <si>
    <t>-548.652637312238 211.355029989695 -222.910330261147</t>
  </si>
  <si>
    <t>-326.509045801053 144.425072957004 -211.904472893247</t>
  </si>
  <si>
    <t>-644.49151975118 4.30950628876599 -527.885100447199</t>
  </si>
  <si>
    <t>-588.670056949776 131.072763683606 -96.10263375945</t>
  </si>
  <si>
    <t>-620.272729205086 143.851514526522 318.071919401689</t>
  </si>
  <si>
    <t>-668.691849165341 182.260621868959 777.028873186691</t>
  </si>
  <si>
    <t>-518.647419040982 184.938605461077 835.023013810646</t>
  </si>
  <si>
    <t>-589.501175296075 -72.6579174071512 324.045964975431</t>
  </si>
  <si>
    <t>-651.1101806172 -108.761085913188 781.63414960568</t>
  </si>
  <si>
    <t>-497.7053264851 -124.022967688536 827.65423052067</t>
  </si>
  <si>
    <t>9763-20170724T115439.760644700.bin</t>
  </si>
  <si>
    <t>-580.856392550839 38.5579302390736 -91.6904703590119</t>
  </si>
  <si>
    <t>-600.22224977297 33.9410191738132 -200.599407903124</t>
  </si>
  <si>
    <t>-613.442246903413 32.887885495448 -292.52298996698</t>
  </si>
  <si>
    <t>-625.063490278773 33.0071722849796 -375.607801237055</t>
  </si>
  <si>
    <t>-635.77949019584 34.2028634910414 -458.805625064728</t>
  </si>
  <si>
    <t>-650.434508058802 37.1168408784079 -580.549869955205</t>
  </si>
  <si>
    <t>-641.989746804329 44.2848135801569 -658.122479383447</t>
  </si>
  <si>
    <t>-643.634489347037 67.1893497004814 -526.423655551971</t>
  </si>
  <si>
    <t>-617.360888615089 217.955499780785 -496.159937843352</t>
  </si>
  <si>
    <t>-548.454130274131 211.158587827154 -222.692789278734</t>
  </si>
  <si>
    <t>-326.562988619717 143.248502527126 -212.639208098195</t>
  </si>
  <si>
    <t>-644.373530895129 4.48704538395896 -527.835399159354</t>
  </si>
  <si>
    <t>-588.478180962606 130.932540339644 -96.0240538443045</t>
  </si>
  <si>
    <t>-620.107054777212 143.780894303334 318.146355716692</t>
  </si>
  <si>
    <t>-668.66117426362 182.3137996405 777.067991282727</t>
  </si>
  <si>
    <t>-518.628030461866 184.9698043349 835.092405401071</t>
  </si>
  <si>
    <t>-589.318869272076 -72.7624444055516 324.088392054456</t>
  </si>
  <si>
    <t>-651.043021802693 -108.808694056151 781.658898081047</t>
  </si>
  <si>
    <t>-497.710624546035 -124.405868264731 827.807860499832</t>
  </si>
  <si>
    <t>9763-20170724T115439.827661000.bin</t>
  </si>
  <si>
    <t>-580.480731701879 38.1171246218946 -91.6030326908066</t>
  </si>
  <si>
    <t>-599.824673470198 33.5027770654219 -200.515975306209</t>
  </si>
  <si>
    <t>-613.029284360963 32.5410117504246 -292.442692050122</t>
  </si>
  <si>
    <t>-624.637372929938 32.7782325466465 -375.529009293522</t>
  </si>
  <si>
    <t>-635.34070013867 34.1283685635719 -458.726159029095</t>
  </si>
  <si>
    <t>-649.977642489925 37.3080322872295 -580.465792120862</t>
  </si>
  <si>
    <t>-641.575128355613 44.7295579058316 -658.019289789916</t>
  </si>
  <si>
    <t>-643.254366354741 67.2627714893129 -526.264866589764</t>
  </si>
  <si>
    <t>-617.244937154507 218.01491874719 -495.689544408639</t>
  </si>
  <si>
    <t>-547.881693839779 210.592039246143 -222.35416569529</t>
  </si>
  <si>
    <t>-326.520492998697 140.734982322912 -214.123335734697</t>
  </si>
  <si>
    <t>-643.855824032638 4.5628001054497 -527.83029132207</t>
  </si>
  <si>
    <t>-588.156758873471 130.477344300936 -95.9134155687633</t>
  </si>
  <si>
    <t>-619.881595013951 143.498105455338 318.244286741513</t>
  </si>
  <si>
    <t>-668.634741375061 182.283264881646 777.13936541411</t>
  </si>
  <si>
    <t>-518.620237910262 184.956727669328 835.211111245465</t>
  </si>
  <si>
    <t>-589.061442442774 -73.1509233152774 324.146366785392</t>
  </si>
  <si>
    <t>-650.976846372911 -108.834690904211 781.681557347555</t>
  </si>
  <si>
    <t>-497.679002340684 -124.355934350648 827.97065292648</t>
  </si>
  <si>
    <t>9763-20170724T115439.859753700.bin</t>
  </si>
  <si>
    <t>-580.371959030317 37.8063650307665 -91.5711454839665</t>
  </si>
  <si>
    <t>-599.657714458444 33.2071964263469 -200.495044507081</t>
  </si>
  <si>
    <t>-612.816302486488 32.2819089847437 -292.428780612061</t>
  </si>
  <si>
    <t>-624.384105378631 32.5614240950658 -375.520714744436</t>
  </si>
  <si>
    <t>-635.048427991404 33.9638398885431 -458.721847654617</t>
  </si>
  <si>
    <t>-649.62980520912 37.2311216073399 -580.465927821783</t>
  </si>
  <si>
    <t>-641.240865608367 44.7817080252944 -658.008295350771</t>
  </si>
  <si>
    <t>-642.96478432163 67.1471209319477 -526.236362938776</t>
  </si>
  <si>
    <t>-617.125494639021 217.899404692356 -495.514835023227</t>
  </si>
  <si>
    <t>-547.573205767446 210.240193120158 -222.233930171763</t>
  </si>
  <si>
    <t>-326.511875841909 139.32863908114 -215.024601671212</t>
  </si>
  <si>
    <t>-643.498460200238 4.44783842820061 -527.855122495448</t>
  </si>
  <si>
    <t>-588.06146180247 130.139822703999 -95.868247146158</t>
  </si>
  <si>
    <t>-619.825878673074 143.27352469204 318.282827288247</t>
  </si>
  <si>
    <t>-668.645404062546 182.176068050593 777.163209702441</t>
  </si>
  <si>
    <t>-518.643961654625 185.058087143415 835.258741083165</t>
  </si>
  <si>
    <t>-589.027747021088 -73.3938722680782 324.154602466612</t>
  </si>
  <si>
    <t>-650.926929840274 -108.836419540054 781.703856301449</t>
  </si>
  <si>
    <t>-497.639475171576 -124.205968432117 828.077864690236</t>
  </si>
  <si>
    <t>9763-20170724T115439.931951700.bin</t>
  </si>
  <si>
    <t>-580.232276514388 37.1818160870757 -91.5521048578515</t>
  </si>
  <si>
    <t>-599.380354798325 32.5991030946959 -200.500887545871</t>
  </si>
  <si>
    <t>-612.41287945627 31.7470079128468 -292.453522242346</t>
  </si>
  <si>
    <t>-623.862554425641 32.1157929214903 -375.561171281346</t>
  </si>
  <si>
    <t>-634.40428177833 33.631314880721 -458.776069108345</t>
  </si>
  <si>
    <t>-648.801259159671 37.0904037233643 -580.536773249712</t>
  </si>
  <si>
    <t>-640.405964412038 44.9170585221736 -658.05115846981</t>
  </si>
  <si>
    <t>-642.260500669357 66.9210602292978 -526.245190496942</t>
  </si>
  <si>
    <t>-616.654254551682 217.655336027307 -495.260943037174</t>
  </si>
  <si>
    <t>-547.011328721858 209.701625874127 -222.011692804192</t>
  </si>
  <si>
    <t>-326.788782113572 136.013480564194 -217.470109865686</t>
  </si>
  <si>
    <t>-642.707473331831 4.22410218871119 -527.97345621351</t>
  </si>
  <si>
    <t>-587.941820671546 129.54567326571 -95.8298215390912</t>
  </si>
  <si>
    <t>-619.764668053875 142.931766783345 318.308763758945</t>
  </si>
  <si>
    <t>-668.616859779592 182.175526441443 777.181117778044</t>
  </si>
  <si>
    <t>-518.635258672497 185.012025694675 835.330088605862</t>
  </si>
  <si>
    <t>-589.009805809466 -73.9449172053196 324.152155133489</t>
  </si>
  <si>
    <t>-650.876859213966 -108.840058441201 781.745798944403</t>
  </si>
  <si>
    <t>-497.589128426945 -123.938826224665 828.207919718867</t>
  </si>
  <si>
    <t>9763-20170724T115439.961028500.bin</t>
  </si>
  <si>
    <t>-580.186894034632 36.9220902790555 -91.5426461797748</t>
  </si>
  <si>
    <t>-599.281238329473 32.3497944352714 -200.501319275671</t>
  </si>
  <si>
    <t>-612.276373807688 31.5551098235944 -292.459594309162</t>
  </si>
  <si>
    <t>-623.695138371124 31.9953656785158 -375.571412188052</t>
  </si>
  <si>
    <t>-634.208556663378 33.6024385718817 -458.788067990054</t>
  </si>
  <si>
    <t>-648.566921399107 37.2174631237929 -580.548796478799</t>
  </si>
  <si>
    <t>-640.18490819167 45.1864050248994 -658.050063237947</t>
  </si>
  <si>
    <t>-642.058061952741 66.9786371602988 -526.215182722073</t>
  </si>
  <si>
    <t>-616.483935979357 217.681465210103 -495.085604515408</t>
  </si>
  <si>
    <t>-546.954236868886 209.567673875931 -221.812239831523</t>
  </si>
  <si>
    <t>-327.08874657812 134.752001160315 -218.600183640594</t>
  </si>
  <si>
    <t>-642.475127947183 4.28382116290027 -528.027384569476</t>
  </si>
  <si>
    <t>-587.878214473615 129.307183390948 -95.8204184284116</t>
  </si>
  <si>
    <t>-619.729083881202 142.795204480243 318.312625773568</t>
  </si>
  <si>
    <t>-668.601140818131 182.20119788256 777.181163633683</t>
  </si>
  <si>
    <t>-518.628579690563 185.021463496638 835.354250058892</t>
  </si>
  <si>
    <t>-589.023616005544 -74.1613431666055 324.153828062129</t>
  </si>
  <si>
    <t>-650.885657860766 -108.879534264109 781.751735875822</t>
  </si>
  <si>
    <t>-497.618481636577 -124.160291312858 828.222121802012</t>
  </si>
  <si>
    <t>9763-20170724T115440.031449000.bin</t>
  </si>
  <si>
    <t>-580.261206793732 36.4836912597152 -91.582373843968</t>
  </si>
  <si>
    <t>-599.222198838494 31.9451756432611 -200.565835870841</t>
  </si>
  <si>
    <t>-612.064829738686 31.2673401369432 -292.546343169771</t>
  </si>
  <si>
    <t>-623.329416977051 31.8489856006941 -375.678240685177</t>
  </si>
  <si>
    <t>-633.671925248498 33.6329558492278 -458.912762193169</t>
  </si>
  <si>
    <t>-647.761803930964 37.5459453428796 -580.695766564473</t>
  </si>
  <si>
    <t>-639.317906547136 45.7338750426172 -658.167520794012</t>
  </si>
  <si>
    <t>-641.398595043013 67.1741720609846 -526.272200864966</t>
  </si>
  <si>
    <t>-615.957481206438 217.839058055246 -494.783700723798</t>
  </si>
  <si>
    <t>-546.697008443882 208.921555909192 -221.466890874176</t>
  </si>
  <si>
    <t>-327.3784763754 132.45261431657 -220.825923020373</t>
  </si>
  <si>
    <t>-641.759955167998 4.48384222029267 -528.244683331264</t>
  </si>
  <si>
    <t>-587.828246767746 128.884939863221 -95.8241357346512</t>
  </si>
  <si>
    <t>-619.747593550122 142.51189112477 318.29911260114</t>
  </si>
  <si>
    <t>-668.597769984391 182.156384591824 777.158795601975</t>
  </si>
  <si>
    <t>-518.639110005776 185.040589673318 835.364502137104</t>
  </si>
  <si>
    <t>-589.307157852698 -74.5827916920139 324.10798528831</t>
  </si>
  <si>
    <t>-650.943988011424 -108.927927795223 781.758437631655</t>
  </si>
  <si>
    <t>-497.680044968184 -124.453275883807 828.158364861963</t>
  </si>
  <si>
    <t>9763-20170724T115440.063534000.bin</t>
  </si>
  <si>
    <t>-580.350521195275 36.2950492370237 -91.6201602914048</t>
  </si>
  <si>
    <t>-599.213928720691 31.7544074325688 -200.62048127629</t>
  </si>
  <si>
    <t>-611.956136333419 31.1214480370786 -292.615367631245</t>
  </si>
  <si>
    <t>-623.122372666669 31.7623880816889 -375.760091057769</t>
  </si>
  <si>
    <t>-633.358639928783 33.6246419765714 -459.005978480772</t>
  </si>
  <si>
    <t>-647.28445158764 37.6724800029688 -580.803383681444</t>
  </si>
  <si>
    <t>-638.775210752972 45.9441954882791 -658.259184496469</t>
  </si>
  <si>
    <t>-641.002968483063 67.2404558195083 -526.337615263928</t>
  </si>
  <si>
    <t>-615.604186063526 217.868217217621 -494.660647759848</t>
  </si>
  <si>
    <t>-546.540894656664 208.61343107213 -221.305255276358</t>
  </si>
  <si>
    <t>-327.499696291024 131.352289602564 -221.748205526528</t>
  </si>
  <si>
    <t>-641.344832236315 4.55232115991589 -528.381942005471</t>
  </si>
  <si>
    <t>-587.85688256162 128.69237021852 -95.8591814958686</t>
  </si>
  <si>
    <t>-619.820568458152 142.400322426594 318.258018413383</t>
  </si>
  <si>
    <t>-668.596531950039 182.14420354103 777.130237863759</t>
  </si>
  <si>
    <t>-518.643822194063 185.089549127797 835.348181757792</t>
  </si>
  <si>
    <t>-589.50301074068 -74.7966928186245 324.07313310666</t>
  </si>
  <si>
    <t>-650.987958501785 -108.936542299952 781.760176732268</t>
  </si>
  <si>
    <t>-497.676543909066 -124.223914069834 828.082228769438</t>
  </si>
  <si>
    <t>9763-20170724T115440.128226500.bin</t>
  </si>
  <si>
    <t>-580.495795836094 36.001616978114 -91.6526390111381</t>
  </si>
  <si>
    <t>-599.241879117091 31.4648747929832 -200.673282707101</t>
  </si>
  <si>
    <t>-611.860044015234 30.9085473655009 -292.685859206116</t>
  </si>
  <si>
    <t>-622.903345413123 31.6476616464099 -375.846071976927</t>
  </si>
  <si>
    <t>-633.005247453279 33.6370028334863 -459.105499449236</t>
  </si>
  <si>
    <t>-646.721519521683 37.9026056021119 -580.919208034728</t>
  </si>
  <si>
    <t>-638.07590443459 46.33603579337 -658.342424684905</t>
  </si>
  <si>
    <t>-640.543651389635 67.3731211354448 -526.388915057778</t>
  </si>
  <si>
    <t>-615.204556563261 217.956365491579 -494.440098793647</t>
  </si>
  <si>
    <t>-546.386145092617 208.182565307744 -221.040997987958</t>
  </si>
  <si>
    <t>-327.916337161321 129.36081284762 -223.611216693425</t>
  </si>
  <si>
    <t>-640.862286229496 4.68853750825201 -528.548013003766</t>
  </si>
  <si>
    <t>-587.977259414713 128.416008235989 -95.9182995195637</t>
  </si>
  <si>
    <t>-619.92950816717 142.28546792605 318.194435812572</t>
  </si>
  <si>
    <t>-668.602841841874 182.120136537297 777.06197533924</t>
  </si>
  <si>
    <t>-518.657068824678 185.073225817863 835.29729366783</t>
  </si>
  <si>
    <t>-589.791705470984 -75.1057998730371 324.006217438715</t>
  </si>
  <si>
    <t>-651.115162883201 -108.946447802424 781.73628826514</t>
  </si>
  <si>
    <t>-497.741980158185 -124.23703976056 827.85232495572</t>
  </si>
  <si>
    <t>9763-20170724T115440.161313300.bin</t>
  </si>
  <si>
    <t>-580.522264411604 35.8531417093784 -91.6829722456642</t>
  </si>
  <si>
    <t>-599.245106749672 31.3264486783894 -200.7081555228</t>
  </si>
  <si>
    <t>-611.839737209453 30.8061052772682 -292.724021177906</t>
  </si>
  <si>
    <t>-622.860060858781 31.5885189942044 -375.886949151018</t>
  </si>
  <si>
    <t>-632.937131510435 33.6324904487096 -459.148089214232</t>
  </si>
  <si>
    <t>-646.615134402716 37.9897833988648 -580.962929755912</t>
  </si>
  <si>
    <t>-637.915217372895 46.4937611594492 -658.372171985369</t>
  </si>
  <si>
    <t>-640.470813084214 67.4192751354556 -526.406515581681</t>
  </si>
  <si>
    <t>-615.206559305016 217.985342330845 -494.326741180153</t>
  </si>
  <si>
    <t>-546.468202460949 207.983435855652 -220.91573123624</t>
  </si>
  <si>
    <t>-328.20952169584 128.616038597821 -224.450521108233</t>
  </si>
  <si>
    <t>-640.755832264641 4.7364984083531 -528.616682165359</t>
  </si>
  <si>
    <t>-587.994118523733 128.262345007063 -95.9393728432915</t>
  </si>
  <si>
    <t>-619.960680464304 142.167400932327 318.171038745956</t>
  </si>
  <si>
    <t>-668.608300163985 182.072334735638 777.025212492347</t>
  </si>
  <si>
    <t>-518.669361542628 185.155545888473 835.271473994906</t>
  </si>
  <si>
    <t>-589.871966415136 -75.2321426917208 323.969159584426</t>
  </si>
  <si>
    <t>-651.149457167449 -108.967862056973 781.723011624321</t>
  </si>
  <si>
    <t>-497.770904619404 -124.360914680542 827.787117354373</t>
  </si>
  <si>
    <t>9763-20170724T115440.228405800.bin</t>
  </si>
  <si>
    <t>-580.440156721081 35.6652936238952 -91.7375810200496</t>
  </si>
  <si>
    <t>-599.069402484012 31.1685837172583 -200.779962312775</t>
  </si>
  <si>
    <t>-611.603652737429 30.7204117215342 -292.804464730256</t>
  </si>
  <si>
    <t>-622.576823441935 31.5869068472884 -375.972803492927</t>
  </si>
  <si>
    <t>-632.614075353598 33.7346806789326 -459.23615843029</t>
  </si>
  <si>
    <t>-646.241980086218 38.2655584537265 -581.050267150428</t>
  </si>
  <si>
    <t>-637.459937433814 46.8880685704357 -658.437171022275</t>
  </si>
  <si>
    <t>-640.155639887936 67.6173116879047 -526.445455262066</t>
  </si>
  <si>
    <t>-615.077660572253 218.167474536893 -494.154741173669</t>
  </si>
  <si>
    <t>-546.502148028771 208.010321832864 -220.708593100235</t>
  </si>
  <si>
    <t>-328.224624621434 128.726051201146 -224.887277407173</t>
  </si>
  <si>
    <t>-640.368696839884 4.93755408286643 -528.753022667066</t>
  </si>
  <si>
    <t>-587.91124121093 128.109328311024 -95.9671847887175</t>
  </si>
  <si>
    <t>-619.958009061836 142.060318348385 318.13543900097</t>
  </si>
  <si>
    <t>-668.581117463475 182.134076401305 776.973226223922</t>
  </si>
  <si>
    <t>-518.655850316039 185.136481362495 835.258987626358</t>
  </si>
  <si>
    <t>-589.81370596622 -75.4749104612695 323.927293472597</t>
  </si>
  <si>
    <t>-651.03358745128 -109.044207397538 781.730135284523</t>
  </si>
  <si>
    <t>-497.701859903958 -124.301490514771 827.99476876293</t>
  </si>
  <si>
    <t>9763-20170724T115440.263509500.bin</t>
  </si>
  <si>
    <t>-580.297112915807 35.6050763314745 -91.735550045386</t>
  </si>
  <si>
    <t>-598.898654532917 31.1263656555238 -200.783309678188</t>
  </si>
  <si>
    <t>-611.411344288982 30.7213824834305 -292.811085981203</t>
  </si>
  <si>
    <t>-622.365759123818 31.6385637500334 -375.981317480907</t>
  </si>
  <si>
    <t>-632.385008182842 33.8484984560539 -459.245230611506</t>
  </si>
  <si>
    <t>-645.987342835813 38.4832951044145 -581.058248999575</t>
  </si>
  <si>
    <t>-637.182975266855 47.1726580879749 -658.435224688177</t>
  </si>
  <si>
    <t>-639.926211633837 67.7884349007675 -526.425760266234</t>
  </si>
  <si>
    <t>-614.863847406183 218.308350487652 -493.994597805575</t>
  </si>
  <si>
    <t>-546.38775707749 208.143695322797 -220.52377736267</t>
  </si>
  <si>
    <t>-328.017886729841 129.110750206334 -224.638026490585</t>
  </si>
  <si>
    <t>-640.111313335812 5.11069240687175 -528.789823936393</t>
  </si>
  <si>
    <t>-587.770614814994 128.036292791305 -95.9551041110304</t>
  </si>
  <si>
    <t>-619.867374605482 142.001116297213 318.143125210367</t>
  </si>
  <si>
    <t>-668.590225711506 182.081914433351 776.974252789485</t>
  </si>
  <si>
    <t>-518.671837265072 185.167289736306 835.273255435229</t>
  </si>
  <si>
    <t>-589.694423869955 -75.5528859252934 323.934803506361</t>
  </si>
  <si>
    <t>-650.84835536218 -109.096595542844 781.744009623659</t>
  </si>
  <si>
    <t>-497.590667472824 -124.057357956954 828.34959618757</t>
  </si>
  <si>
    <t>9763-20170724T115440.327674600.bin</t>
  </si>
  <si>
    <t>-579.838414075689 35.6295718370739 -91.6176546526932</t>
  </si>
  <si>
    <t>-598.440619184772 31.18908403304 -200.666812930673</t>
  </si>
  <si>
    <t>-610.937450293065 30.8826072439913 -292.697181588702</t>
  </si>
  <si>
    <t>-621.870895376704 31.915930856801 -375.868781853406</t>
  </si>
  <si>
    <t>-631.862384308449 34.2692323045917 -459.132155462448</t>
  </si>
  <si>
    <t>-645.416546565798 39.1438796794994 -580.941105188452</t>
  </si>
  <si>
    <t>-636.603303388988 47.9544024743582 -658.303388160607</t>
  </si>
  <si>
    <t>-639.381639927796 68.3413191374743 -526.248134481037</t>
  </si>
  <si>
    <t>-614.142800826536 218.75912122773 -493.468519574024</t>
  </si>
  <si>
    <t>-545.977827314512 208.450634924099 -219.925525015236</t>
  </si>
  <si>
    <t>-327.446658182571 129.853382808689 -223.815594028525</t>
  </si>
  <si>
    <t>-639.556543841918 5.6685974608522 -528.736690932709</t>
  </si>
  <si>
    <t>-587.35316516407 128.114848670917 -95.8483888596145</t>
  </si>
  <si>
    <t>-619.53932224558 141.988887498989 318.246016891901</t>
  </si>
  <si>
    <t>-668.566086659164 182.152696086602 777.046731151813</t>
  </si>
  <si>
    <t>-518.652299256099 185.138532503892 835.362906090809</t>
  </si>
  <si>
    <t>-589.042048935568 -75.5769634969042 324.079495159503</t>
  </si>
  <si>
    <t>-650.097953306312 -109.265230848421 781.958180928681</t>
  </si>
  <si>
    <t>-497.231932083312 -124.230821329386 829.831294940871</t>
  </si>
  <si>
    <t>9763-20170724T115440.360763800.bin</t>
  </si>
  <si>
    <t>-579.619499307848 35.7475867661458 -91.5261027234685</t>
  </si>
  <si>
    <t>-598.227225078614 31.3371087892479 -200.575739611332</t>
  </si>
  <si>
    <t>-610.727180411418 31.0732136944232 -292.605572440369</t>
  </si>
  <si>
    <t>-621.662974987742 32.1524649827379 -375.776379086436</t>
  </si>
  <si>
    <t>-631.656317490674 34.5593510627143 -459.037941517176</t>
  </si>
  <si>
    <t>-645.212888280036 39.520281421052 -580.843293107698</t>
  </si>
  <si>
    <t>-636.417908187175 48.3747583679697 -658.202467686623</t>
  </si>
  <si>
    <t>-639.179645884852 68.6788294809746 -526.129277112657</t>
  </si>
  <si>
    <t>-613.824953484766 219.052312903212 -493.212486701235</t>
  </si>
  <si>
    <t>-545.829394979595 208.63124067932 -219.63150041361</t>
  </si>
  <si>
    <t>-327.346853144781 129.896110560955 -223.464333007678</t>
  </si>
  <si>
    <t>-639.349194772192 6.00792920532535 -528.662905631976</t>
  </si>
  <si>
    <t>-587.155796687633 128.212271870099 -95.7554591788872</t>
  </si>
  <si>
    <t>-619.404486224926 141.98755031604 318.337372421765</t>
  </si>
  <si>
    <t>-668.579035792314 182.06916794065 777.116666732585</t>
  </si>
  <si>
    <t>-518.669501528328 185.192902901205 835.436630205085</t>
  </si>
  <si>
    <t>-588.739226554968 -75.4592046419907 324.183516226202</t>
  </si>
  <si>
    <t>-649.830723279307 -109.247980959072 782.048480874431</t>
  </si>
  <si>
    <t>-497.077315162667 -123.874213823597 830.383633792391</t>
  </si>
  <si>
    <t>9763-20170724T115440.428699400.bin</t>
  </si>
  <si>
    <t>-579.300430188216 36.1540690128152 -91.3343353382488</t>
  </si>
  <si>
    <t>-597.888523932893 31.7548632610497 -200.387621383116</t>
  </si>
  <si>
    <t>-610.406564108361 31.5585226500825 -292.415294726738</t>
  </si>
  <si>
    <t>-621.372262393475 32.7226701193438 -375.581019908179</t>
  </si>
  <si>
    <t>-631.409051542834 35.2385601587121 -458.834072920924</t>
  </si>
  <si>
    <t>-645.043669397174 40.3859634675673 -580.622922395729</t>
  </si>
  <si>
    <t>-636.332563274602 49.3214638516936 -657.982365982691</t>
  </si>
  <si>
    <t>-638.988773074941 69.4608858916879 -525.866813049279</t>
  </si>
  <si>
    <t>-613.335636404816 219.7224997154 -492.711647182404</t>
  </si>
  <si>
    <t>-545.780564410912 209.128948007519 -219.028097593208</t>
  </si>
  <si>
    <t>-327.370534075122 130.176004474879 -222.495821441338</t>
  </si>
  <si>
    <t>-639.1330374692 6.79386939715369 -528.49916481024</t>
  </si>
  <si>
    <t>-586.856950235502 128.622795854657 -95.5714532406816</t>
  </si>
  <si>
    <t>-619.214326592125 142.236089951618 318.518256418764</t>
  </si>
  <si>
    <t>-668.550982590313 182.126596145045 777.274257853741</t>
  </si>
  <si>
    <t>-518.648596305623 185.251798600717 835.612420717966</t>
  </si>
  <si>
    <t>-588.371663040966 -75.2375196002545 324.36130049508</t>
  </si>
  <si>
    <t>-649.468393723978 -109.295580868679 782.161118258274</t>
  </si>
  <si>
    <t>-496.932752821662 -123.995577725139 831.15711681995</t>
  </si>
  <si>
    <t>9763-20170724T115440.462785800.bin</t>
  </si>
  <si>
    <t>-579.190397845191 36.438391123256 -91.2475594152585</t>
  </si>
  <si>
    <t>-597.773719655115 32.0462700494757 -200.301979333496</t>
  </si>
  <si>
    <t>-610.29931284498 31.8774044856009 -292.328715489822</t>
  </si>
  <si>
    <t>-621.276395530731 33.075288709457 -375.492422837498</t>
  </si>
  <si>
    <t>-631.329189214455 35.6337094070052 -458.74216726339</t>
  </si>
  <si>
    <t>-644.992241916536 40.8533891560012 -580.524823255397</t>
  </si>
  <si>
    <t>-636.335150120296 49.8229629128302 -657.886387964269</t>
  </si>
  <si>
    <t>-638.937190645798 69.8957567091668 -525.751430130583</t>
  </si>
  <si>
    <t>-613.276775198535 220.132095186433 -492.492169771337</t>
  </si>
  <si>
    <t>-545.732648577851 209.39331667126 -218.811534561949</t>
  </si>
  <si>
    <t>-327.375404755948 130.293382664559 -222.252077310577</t>
  </si>
  <si>
    <t>-639.056814877889 7.23039185668904 -528.423903352104</t>
  </si>
  <si>
    <t>-586.749804572361 128.935843542497 -95.492425302434</t>
  </si>
  <si>
    <t>-619.13196615449 142.416837642369 318.599669612664</t>
  </si>
  <si>
    <t>-668.540969639212 182.162801589428 777.356825124063</t>
  </si>
  <si>
    <t>-518.638135079405 185.156267080906 835.700624301114</t>
  </si>
  <si>
    <t>-588.279786380171 -75.1100968079613 324.429143389019</t>
  </si>
  <si>
    <t>-649.39894674615 -109.314323799988 782.196773325717</t>
  </si>
  <si>
    <t>-496.917595586905 -124.131449156217 831.326372120765</t>
  </si>
  <si>
    <t>9763-20170724T115440.527966700.bin</t>
  </si>
  <si>
    <t>-579.228877269909 37.044985199967 -91.1584520650218</t>
  </si>
  <si>
    <t>-597.787346882026 32.6631997424531 -200.217474858842</t>
  </si>
  <si>
    <t>-610.335350395704 32.5509671624659 -292.241267225348</t>
  </si>
  <si>
    <t>-621.350233616939 33.8199389275092 -375.398913530883</t>
  </si>
  <si>
    <t>-631.458366639437 36.4702760483272 -458.639193653044</t>
  </si>
  <si>
    <t>-645.221811258002 41.8470396784123 -580.403727111704</t>
  </si>
  <si>
    <t>-636.695623668662 50.880716675262 -657.772301459737</t>
  </si>
  <si>
    <t>-639.145919424364 70.8186400178181 -525.595246080702</t>
  </si>
  <si>
    <t>-613.405352649898 220.99908740257 -492.112975193634</t>
  </si>
  <si>
    <t>-545.998730842044 210.064544419998 -218.406261726571</t>
  </si>
  <si>
    <t>-327.722559480782 130.748179395038 -222.006076231843</t>
  </si>
  <si>
    <t>-639.219164538925 8.15684783529264 -528.353854301077</t>
  </si>
  <si>
    <t>-586.681564392361 129.631809727629 -95.3883357916831</t>
  </si>
  <si>
    <t>-619.186832883165 142.766257748796 318.705280071216</t>
  </si>
  <si>
    <t>-668.515462404387 182.257423900187 777.489397711668</t>
  </si>
  <si>
    <t>-518.605252336547 185.190222142939 835.817360647209</t>
  </si>
  <si>
    <t>-588.385111552414 -74.8017802358127 324.484554886129</t>
  </si>
  <si>
    <t>-649.480772049319 -109.323615408456 782.205754574118</t>
  </si>
  <si>
    <t>-496.998307376279 -124.444684534808 831.239174411268</t>
  </si>
  <si>
    <t>9763-20170724T115440.562058100.bin</t>
  </si>
  <si>
    <t>-579.351066974214 37.3380900887607 -91.1636592327426</t>
  </si>
  <si>
    <t>-597.89554008549 32.9536247410749 -200.224938394336</t>
  </si>
  <si>
    <t>-610.457000017993 32.8573949084532 -292.246940686357</t>
  </si>
  <si>
    <t>-621.49432502434 34.1487656559671 -375.401295099901</t>
  </si>
  <si>
    <t>-631.635428729862 36.8293812603915 -458.636519425225</t>
  </si>
  <si>
    <t>-645.458467462848 42.2599541332029 -580.391975801345</t>
  </si>
  <si>
    <t>-636.99830257054 51.3167755418683 -657.765039397998</t>
  </si>
  <si>
    <t>-639.360747051887 71.2073985139041 -525.572915872709</t>
  </si>
  <si>
    <t>-613.542422188839 221.363317818721 -492.048289319541</t>
  </si>
  <si>
    <t>-546.255934370725 210.459046668416 -218.310870676966</t>
  </si>
  <si>
    <t>-328.019177896727 131.035261212918 -221.932221421034</t>
  </si>
  <si>
    <t>-639.425282045696 8.54687110562691 -528.360449713402</t>
  </si>
  <si>
    <t>-586.684337991694 129.977841806025 -95.3887445060532</t>
  </si>
  <si>
    <t>-619.27183024492 142.946764116486 318.70359916881</t>
  </si>
  <si>
    <t>-668.517115598437 182.301326546916 777.529474768953</t>
  </si>
  <si>
    <t>-518.598087208443 185.159805643344 835.838438429912</t>
  </si>
  <si>
    <t>-588.604586378773 -74.6444481282181 324.469811520482</t>
  </si>
  <si>
    <t>-649.661076946937 -109.3102257463 782.188834308142</t>
  </si>
  <si>
    <t>-497.094624580758 -124.580502359718 830.913824468098</t>
  </si>
  <si>
    <t>9763-20170724T115440.630957700.bin</t>
  </si>
  <si>
    <t>-579.819061711793 37.9899068868547 -91.2470959881641</t>
  </si>
  <si>
    <t>-598.346343890045 33.640205160423 -200.312695757444</t>
  </si>
  <si>
    <t>-610.944342397824 33.5623149712187 -292.32971485285</t>
  </si>
  <si>
    <t>-622.036132710242 34.8678528095368 -375.476525086794</t>
  </si>
  <si>
    <t>-632.253713419058 37.5604143713538 -458.702160054926</t>
  </si>
  <si>
    <t>-646.213285044837 43.0065024127518 -580.441128458233</t>
  </si>
  <si>
    <t>-637.884630872739 52.0659781150648 -657.82835525896</t>
  </si>
  <si>
    <t>-640.05547958026 71.9468020433521 -525.625337623885</t>
  </si>
  <si>
    <t>-614.159797067966 222.094412528256 -492.119094852692</t>
  </si>
  <si>
    <t>-547.008905323584 211.305708226545 -218.343715947085</t>
  </si>
  <si>
    <t>-328.877919882308 131.594839553331 -222.029137324025</t>
  </si>
  <si>
    <t>-640.120449245515 9.28675548264505 -528.421054152278</t>
  </si>
  <si>
    <t>-586.785240415513 130.705632062789 -95.4569897627636</t>
  </si>
  <si>
    <t>-619.53146289087 143.280385467993 318.635005864391</t>
  </si>
  <si>
    <t>-668.555802555092 182.30116143795 777.533388785761</t>
  </si>
  <si>
    <t>-518.616633263658 185.16284671056 835.790431861635</t>
  </si>
  <si>
    <t>-589.30169065756 -74.1705982222052 324.340994386798</t>
  </si>
  <si>
    <t>-650.349845483509 -109.107808576754 782.022649501369</t>
  </si>
  <si>
    <t>-497.417729259737 -124.464957877061 829.559500476411</t>
  </si>
  <si>
    <t>9763-20170724T115440.659031400.bin</t>
  </si>
  <si>
    <t>-580.148695601481 38.3300228264545 -91.3347224351379</t>
  </si>
  <si>
    <t>-598.677375046611 33.9958693786944 -200.40083621996</t>
  </si>
  <si>
    <t>-611.286298154155 33.9319558933996 -292.416226429882</t>
  </si>
  <si>
    <t>-622.392289454586 35.2514351185482 -375.560925887574</t>
  </si>
  <si>
    <t>-632.628711479034 37.9590783835772 -458.783704866752</t>
  </si>
  <si>
    <t>-646.621087376038 43.428766684443 -580.517826801361</t>
  </si>
  <si>
    <t>-638.34384557999 52.4875525405764 -657.910693336313</t>
  </si>
  <si>
    <t>-640.447446713176 72.3585387127396 -525.698300307841</t>
  </si>
  <si>
    <t>-614.463560146997 222.491609606145 -492.19136358889</t>
  </si>
  <si>
    <t>-547.405773530344 211.7658917077 -218.390688032768</t>
  </si>
  <si>
    <t>-329.349378910813 131.855019206145 -222.158301457725</t>
  </si>
  <si>
    <t>-640.515237778196 9.69904339479035 -528.505783279004</t>
  </si>
  <si>
    <t>-586.913328844694 131.091099504741 -95.5368822870159</t>
  </si>
  <si>
    <t>-619.704311839692 143.462284810573 318.557737132743</t>
  </si>
  <si>
    <t>-668.5634352043 182.350849183188 777.491221633504</t>
  </si>
  <si>
    <t>-518.61528310046 185.1030606047 835.73043479835</t>
  </si>
  <si>
    <t>-589.689823770447 -73.8662778331513 324.240035801815</t>
  </si>
  <si>
    <t>-650.740928679345 -109.010669377993 781.911479832285</t>
  </si>
  <si>
    <t>-497.653014845465 -124.884618888545 828.772250772242</t>
  </si>
  <si>
    <t>9763-20170724T115440.728259300.bin</t>
  </si>
  <si>
    <t>-580.786970100659 38.8826207430966 -91.5673396465324</t>
  </si>
  <si>
    <t>-599.304135362486 34.5924415136492 -200.637128533954</t>
  </si>
  <si>
    <t>-611.911128863455 34.5436152897842 -292.652710120115</t>
  </si>
  <si>
    <t>-623.018952255359 35.8692479162773 -375.797129234612</t>
  </si>
  <si>
    <t>-633.260920791738 38.5749831377975 -459.019301281894</t>
  </si>
  <si>
    <t>-647.265757710091 44.0330960273757 -580.752583035067</t>
  </si>
  <si>
    <t>-639.042546063406 53.0473413115458 -658.156280760104</t>
  </si>
  <si>
    <t>-641.05150485322 72.9680783968677 -525.940345342618</t>
  </si>
  <si>
    <t>-614.824770838529 223.068185924569 -492.496437671761</t>
  </si>
  <si>
    <t>-548.065428325556 212.412899281769 -218.620220027545</t>
  </si>
  <si>
    <t>-330.184846444757 132.020327982008 -222.310917290091</t>
  </si>
  <si>
    <t>-641.18963652811 10.3080459256998 -528.733872296557</t>
  </si>
  <si>
    <t>-587.180115240777 131.724728824956 -95.7289881222629</t>
  </si>
  <si>
    <t>-620.102298186889 143.79405470748 318.364083785006</t>
  </si>
  <si>
    <t>-668.594536525399 182.412437142246 777.353969631141</t>
  </si>
  <si>
    <t>-518.631193507815 185.125508030784 835.555901243453</t>
  </si>
  <si>
    <t>-590.451074705636 -73.42757610936 323.99519152592</t>
  </si>
  <si>
    <t>-651.416326983279 -108.802290815598 781.700521453079</t>
  </si>
  <si>
    <t>-498.000614672196 -125.031429299888 827.352019939844</t>
  </si>
  <si>
    <t>9763-20170724T115440.761351700.bin</t>
  </si>
  <si>
    <t>-581.044164963303 39.1584839417314 -91.6869627558577</t>
  </si>
  <si>
    <t>-599.545322374705 34.8907119419118 -200.760240539724</t>
  </si>
  <si>
    <t>-612.15876867973 34.8568035228752 -292.775105557325</t>
  </si>
  <si>
    <t>-623.280586785021 36.1950398822544 -375.917510629392</t>
  </si>
  <si>
    <t>-633.54475588835 38.9125336556683 -459.136383819386</t>
  </si>
  <si>
    <t>-647.591239294043 44.3866896043946 -580.864203465837</t>
  </si>
  <si>
    <t>-639.392743453049 53.3774771681678 -658.2733070496</t>
  </si>
  <si>
    <t>-641.348424503224 73.3145362750654 -526.051445607235</t>
  </si>
  <si>
    <t>-615.033283013109 223.398657121449 -492.606449226542</t>
  </si>
  <si>
    <t>-548.392151640301 212.840507885984 -218.697560497317</t>
  </si>
  <si>
    <t>-330.586472883329 132.238719817395 -222.24332357494</t>
  </si>
  <si>
    <t>-641.507094642801 10.6548834178063 -528.850861946125</t>
  </si>
  <si>
    <t>-587.299180746101 132.049453559639 -95.8385638090216</t>
  </si>
  <si>
    <t>-620.266810377411 143.967814303175 318.255260807114</t>
  </si>
  <si>
    <t>-668.601190902618 182.453695146112 777.271715392345</t>
  </si>
  <si>
    <t>-518.63419229959 185.013552635203 835.471146670296</t>
  </si>
  <si>
    <t>-590.717905943672 -73.2303676838064 323.886622315337</t>
  </si>
  <si>
    <t>-651.651498535139 -108.717657741162 781.622482394965</t>
  </si>
  <si>
    <t>-498.116368864798 -125.058426015222 826.830508566776</t>
  </si>
  <si>
    <t>9763-20170724T115440.826075300.bin</t>
  </si>
  <si>
    <t>-581.489332294978 39.6536345567113 -91.8707989414132</t>
  </si>
  <si>
    <t>-599.992840414289 35.407929726397 -200.944655475152</t>
  </si>
  <si>
    <t>-612.6333847923 35.4178042584515 -292.955732660247</t>
  </si>
  <si>
    <t>-623.790093600388 36.8072748079405 -376.092671152125</t>
  </si>
  <si>
    <t>-634.099673219211 39.5875863689284 -459.303915875068</t>
  </si>
  <si>
    <t>-648.224338122728 45.1662772998134 -581.017993487078</t>
  </si>
  <si>
    <t>-640.043215662082 54.1434828504998 -658.430434775558</t>
  </si>
  <si>
    <t>-641.932872319414 74.0470821267077 -526.185749510183</t>
  </si>
  <si>
    <t>-615.490053081458 224.097929072995 -492.702127536072</t>
  </si>
  <si>
    <t>-549.052092492797 213.47362188453 -218.7465261143</t>
  </si>
  <si>
    <t>-331.264053277419 132.81689503908 -222.120988559655</t>
  </si>
  <si>
    <t>-642.120251490201 11.3896812457078 -529.035900290326</t>
  </si>
  <si>
    <t>-587.551762320457 132.611229186917 -96.035582037358</t>
  </si>
  <si>
    <t>-620.545730453057 144.24073683152 318.064381735036</t>
  </si>
  <si>
    <t>-668.648165833497 182.443893904728 777.140395710531</t>
  </si>
  <si>
    <t>-518.676620386186 184.995010397414 835.328434650149</t>
  </si>
  <si>
    <t>-591.085293520937 -72.8581489943847 323.738929521999</t>
  </si>
  <si>
    <t>-651.875305441723 -108.597414350245 781.514998871853</t>
  </si>
  <si>
    <t>-498.224381990255 -125.08174445533 826.275331086538</t>
  </si>
  <si>
    <t>9763-20170724T115440.864172400.bin</t>
  </si>
  <si>
    <t>-581.681105154969 39.8605598961083 -91.9309120022392</t>
  </si>
  <si>
    <t>-600.192323663103 35.6309064248769 -201.004096787428</t>
  </si>
  <si>
    <t>-612.831844292784 35.6661964483626 -293.015341468385</t>
  </si>
  <si>
    <t>-623.984785193055 37.0839769702743 -376.152125279885</t>
  </si>
  <si>
    <t>-634.288050710715 39.8973244050171 -459.363175300109</t>
  </si>
  <si>
    <t>-648.40055142963 45.5302812530313 -581.076070361764</t>
  </si>
  <si>
    <t>-640.204169681796 54.5161938146546 -658.485836332433</t>
  </si>
  <si>
    <t>-642.107637907852 74.3867751892681 -526.23118755455</t>
  </si>
  <si>
    <t>-615.623836464587 224.430121958947 -492.732686591403</t>
  </si>
  <si>
    <t>-549.240583651129 213.71366777175 -218.767425880817</t>
  </si>
  <si>
    <t>-331.487360792826 132.964823324298 -222.186073614565</t>
  </si>
  <si>
    <t>-642.30850448407 11.7306529159716 -529.107778119929</t>
  </si>
  <si>
    <t>-587.672519140183 132.88229170728 -96.1023081089513</t>
  </si>
  <si>
    <t>-620.666029956924 144.360272767268 318.001888596999</t>
  </si>
  <si>
    <t>-668.666812865021 182.467284862561 777.090809618043</t>
  </si>
  <si>
    <t>-518.691709380666 184.984995613608 835.271204692918</t>
  </si>
  <si>
    <t>-591.160727754694 -72.7079916128182 323.699962458356</t>
  </si>
  <si>
    <t>-651.879406481325 -108.587730571347 781.505986545337</t>
  </si>
  <si>
    <t>-498.241167095201 -125.313659118948 826.220076207193</t>
  </si>
  <si>
    <t>9763-20170724T115440.930491200.bin</t>
  </si>
  <si>
    <t>-582.011981125426 40.2209110361832 -92.0037774794142</t>
  </si>
  <si>
    <t>-600.520475524998 36.0062072081919 -201.07803331126</t>
  </si>
  <si>
    <t>-613.144356487002 36.0631715450877 -293.091331048016</t>
  </si>
  <si>
    <t>-624.27799352646 37.5053545618648 -376.230484733386</t>
  </si>
  <si>
    <t>-634.556733897106 40.3475686687368 -459.443340784456</t>
  </si>
  <si>
    <t>-648.627886732493 46.0273190890171 -581.158945159058</t>
  </si>
  <si>
    <t>-640.36133688908 55.0100914575498 -658.561678368565</t>
  </si>
  <si>
    <t>-642.336660841247 74.8625423749061 -526.302854357543</t>
  </si>
  <si>
    <t>-615.742864092984 224.876912043519 -492.759227950167</t>
  </si>
  <si>
    <t>-549.374833897518 213.975981161017 -218.797362340601</t>
  </si>
  <si>
    <t>-331.790865771652 132.782865424716 -222.461451019803</t>
  </si>
  <si>
    <t>-642.570539202375 12.2075658418032 -529.199578901063</t>
  </si>
  <si>
    <t>-587.90327134672 133.294766721059 -96.1887416606603</t>
  </si>
  <si>
    <t>-620.81364371452 144.545551044137 317.928298482046</t>
  </si>
  <si>
    <t>-668.722882022346 182.465603184674 777.031704014676</t>
  </si>
  <si>
    <t>-518.732480062574 184.965104364349 835.173407448809</t>
  </si>
  <si>
    <t>-591.353895144892 -72.3917148569265 323.659954312204</t>
  </si>
  <si>
    <t>-651.888233063412 -108.505204582567 781.489878222496</t>
  </si>
  <si>
    <t>-498.257156497196 -125.501157535351 826.12680669731</t>
  </si>
  <si>
    <t>9763-20170724T115440.960571200.bin</t>
  </si>
  <si>
    <t>-582.154291737568 40.3718192183374 -92.0209381505476</t>
  </si>
  <si>
    <t>-600.6710564707 36.1730843869943 -201.094317385601</t>
  </si>
  <si>
    <t>-613.30680970732 36.2417527628313 -293.106142004319</t>
  </si>
  <si>
    <t>-624.4532346597 37.6938920451894 -376.243259185342</t>
  </si>
  <si>
    <t>-634.746882213076 40.5454131532081 -459.45411101071</t>
  </si>
  <si>
    <t>-648.84214071921 46.238257950112 -581.166138207087</t>
  </si>
  <si>
    <t>-640.546385661509 55.2109474069875 -658.567079968696</t>
  </si>
  <si>
    <t>-642.536648678828 75.067663562817 -526.308693341712</t>
  </si>
  <si>
    <t>-615.892318139881 225.073062872187 -492.751707622548</t>
  </si>
  <si>
    <t>-549.445596786029 214.13252722681 -218.810685098219</t>
  </si>
  <si>
    <t>-331.919797803505 132.790115746907 -222.614736506535</t>
  </si>
  <si>
    <t>-642.777868799434 12.4129985179322 -529.211155826868</t>
  </si>
  <si>
    <t>-588.014904048627 133.47208205751 -96.2115898385241</t>
  </si>
  <si>
    <t>-620.910772314852 144.63046446415 317.909093037453</t>
  </si>
  <si>
    <t>-668.738141023474 182.507147333816 777.009268590689</t>
  </si>
  <si>
    <t>-518.740228253856 184.948320871115 835.133983855553</t>
  </si>
  <si>
    <t>-591.470422537547 -72.2948478576557 323.636797465106</t>
  </si>
  <si>
    <t>-651.887156731344 -108.47374905932 781.477068415231</t>
  </si>
  <si>
    <t>-498.262595339333 -125.600923491538 826.086309938153</t>
  </si>
  <si>
    <t>9763-20170724T115441.031774800.bin</t>
  </si>
  <si>
    <t>-582.379684420304 40.586272096619 -92.0545854436549</t>
  </si>
  <si>
    <t>-600.917840099934 36.4098669414395 -201.12507435718</t>
  </si>
  <si>
    <t>-613.600391699607 36.4963875369824 -293.13044574736</t>
  </si>
  <si>
    <t>-624.800645874255 37.9647958612334 -376.260092288388</t>
  </si>
  <si>
    <t>-635.159794051384 40.8326309615059 -459.462333656459</t>
  </si>
  <si>
    <t>-649.36355950716 46.5495621282523 -581.160649772909</t>
  </si>
  <si>
    <t>-641.031676266753 55.4840743266689 -658.561921951663</t>
  </si>
  <si>
    <t>-643.002573325301 75.3681730721778 -526.303903039391</t>
  </si>
  <si>
    <t>-616.257845407824 225.347377257403 -492.714231255388</t>
  </si>
  <si>
    <t>-549.647892503022 214.503118333087 -218.80899789604</t>
  </si>
  <si>
    <t>-332.100526986031 133.223184702623 -222.713561766373</t>
  </si>
  <si>
    <t>-643.259554817498 12.7139665517784 -529.217066643388</t>
  </si>
  <si>
    <t>-588.231681403397 133.690747323756 -96.248756625769</t>
  </si>
  <si>
    <t>-621.094369675395 144.743387216761 317.877441335776</t>
  </si>
  <si>
    <t>-668.7713433092 182.505208724004 776.983038780055</t>
  </si>
  <si>
    <t>-518.767324933666 184.887961363407 835.094476961056</t>
  </si>
  <si>
    <t>-591.553910331886 -72.0666439120719 323.602315582027</t>
  </si>
  <si>
    <t>-651.829436317834 -108.390816338077 781.466024442683</t>
  </si>
  <si>
    <t>-498.200682175945 -125.394311938576 826.1080443572</t>
  </si>
  <si>
    <t>9763-20170724T115441.060853700.bin</t>
  </si>
  <si>
    <t>-582.460272575375 40.597126124004 -92.0673682000361</t>
  </si>
  <si>
    <t>-601.019611089612 36.4275914220639 -201.134657760833</t>
  </si>
  <si>
    <t>-613.745468816464 36.5179312743257 -293.133966280071</t>
  </si>
  <si>
    <t>-624.995285658208 37.9892286407244 -376.256819897926</t>
  </si>
  <si>
    <t>-635.41446654308 40.8598881095627 -459.451412190201</t>
  </si>
  <si>
    <t>-649.717680130426 46.5807165590661 -581.138040164992</t>
  </si>
  <si>
    <t>-641.390835914022 55.4842287539295 -658.543388916829</t>
  </si>
  <si>
    <t>-643.312797311159 75.397572750172 -526.28522807454</t>
  </si>
  <si>
    <t>-616.566397786047 225.37917045966 -492.700438197053</t>
  </si>
  <si>
    <t>-549.905328239455 214.703254029195 -218.801100591339</t>
  </si>
  <si>
    <t>-332.340846411945 133.472898665818 -222.782736456706</t>
  </si>
  <si>
    <t>-643.570314192939 12.7433211780688 -529.200571131748</t>
  </si>
  <si>
    <t>-588.314063260247 133.687262633941 -96.2569725066544</t>
  </si>
  <si>
    <t>-621.138848629542 144.703770000939 317.873181629923</t>
  </si>
  <si>
    <t>-668.808831207461 182.419410740779 776.984465410573</t>
  </si>
  <si>
    <t>-518.806929743722 185.009733541835 835.092597943577</t>
  </si>
  <si>
    <t>-591.582478895652 -72.0158113327425 323.594925305269</t>
  </si>
  <si>
    <t>-651.804330941687 -108.383458769736 781.462157417513</t>
  </si>
  <si>
    <t>-498.195892877738 -125.503474116318 826.129571612251</t>
  </si>
  <si>
    <t>9763-20170724T115441.129039000.bin</t>
  </si>
  <si>
    <t>-582.552423805697 40.6454554597999 -92.082005761589</t>
  </si>
  <si>
    <t>-601.11435617233 36.4931040733557 -201.149563078803</t>
  </si>
  <si>
    <t>-613.894038662006 36.6028967746436 -293.141356656464</t>
  </si>
  <si>
    <t>-625.213544326367 38.0952256384942 -376.254346824093</t>
  </si>
  <si>
    <t>-635.723987714643 40.9897994252628 -459.436681668064</t>
  </si>
  <si>
    <t>-650.184297295489 46.7499241168223 -581.102773895717</t>
  </si>
  <si>
    <t>-641.876870331346 55.5926273699274 -658.517322528062</t>
  </si>
  <si>
    <t>-643.711806754464 75.5490365714245 -526.248836493862</t>
  </si>
  <si>
    <t>-616.889206772071 225.500603730664 -492.599020862099</t>
  </si>
  <si>
    <t>-550.429812067041 215.427900224941 -218.627699879863</t>
  </si>
  <si>
    <t>-332.696527460604 134.655689535187 -222.70168204829</t>
  </si>
  <si>
    <t>-643.966633714305 12.8959528198757 -529.184706306224</t>
  </si>
  <si>
    <t>-588.332171612689 133.770970562463 -96.2702348235051</t>
  </si>
  <si>
    <t>-621.162268251116 144.698954653946 317.861899406873</t>
  </si>
  <si>
    <t>-668.829482272087 182.420975235817 776.975068871551</t>
  </si>
  <si>
    <t>-518.832593706751 184.854152890056 835.102853924654</t>
  </si>
  <si>
    <t>-591.661245304366 -71.9744426161108 323.581578324016</t>
  </si>
  <si>
    <t>-651.616568746139 -108.361581200411 781.472564912491</t>
  </si>
  <si>
    <t>-498.074521330001 -125.346372303236 826.41893778304</t>
  </si>
  <si>
    <t>9763-20170724T115441.163129300.bin</t>
  </si>
  <si>
    <t>-582.532338547582 40.6323934825439 -92.0931406605881</t>
  </si>
  <si>
    <t>-601.090530626246 36.4967224676429 -201.161968964339</t>
  </si>
  <si>
    <t>-613.894346213216 36.6166827692578 -293.150357318677</t>
  </si>
  <si>
    <t>-625.247096134794 38.1173254400258 -376.258723373184</t>
  </si>
  <si>
    <t>-635.802341208435 41.0198552563015 -459.434921894291</t>
  </si>
  <si>
    <t>-650.341318136701 46.790797215097 -581.091198493726</t>
  </si>
  <si>
    <t>-642.057220329174 55.5948093788959 -658.512662275006</t>
  </si>
  <si>
    <t>-643.832494575771 75.5849862935163 -526.239021372932</t>
  </si>
  <si>
    <t>-616.998851321277 225.53381442904 -492.577917544751</t>
  </si>
  <si>
    <t>-550.736242426744 215.903790043786 -218.543083152558</t>
  </si>
  <si>
    <t>-332.955114909769 135.270536165697 -222.807600312291</t>
  </si>
  <si>
    <t>-644.09100706201 12.9320435832537 -529.180141817992</t>
  </si>
  <si>
    <t>-588.259533914504 133.762425748819 -96.2731752727021</t>
  </si>
  <si>
    <t>-621.126950341938 144.670515476552 317.85641123772</t>
  </si>
  <si>
    <t>-668.838549010963 182.401474021078 776.974533033426</t>
  </si>
  <si>
    <t>-518.848048204211 184.811546184168 835.119765893102</t>
  </si>
  <si>
    <t>-591.665160325338 -71.974963361165 323.588325619667</t>
  </si>
  <si>
    <t>-651.417630112135 -108.365328522906 781.507429849895</t>
  </si>
  <si>
    <t>-497.950417707302 -125.173897495775 826.774505930832</t>
  </si>
  <si>
    <t>9763-20170724T115441.230313400.bin</t>
  </si>
  <si>
    <t>-582.281099309662 40.6392422182041 -91.990840829583</t>
  </si>
  <si>
    <t>-600.86328885292 36.5316452234658 -201.056522512812</t>
  </si>
  <si>
    <t>-613.737152103205 36.6436996312789 -293.035305901878</t>
  </si>
  <si>
    <t>-625.174137880244 38.126161106464 -376.132465109635</t>
  </si>
  <si>
    <t>-635.835233375886 40.9994851115323 -459.296188019986</t>
  </si>
  <si>
    <t>-650.553217559693 46.7161683436643 -580.933522239436</t>
  </si>
  <si>
    <t>-642.331352065317 55.4115662949121 -658.373740920723</t>
  </si>
  <si>
    <t>-643.968467074109 75.5349553970098 -526.103048039324</t>
  </si>
  <si>
    <t>-617.019760795527 225.484867863819 -492.544224920993</t>
  </si>
  <si>
    <t>-551.311987435746 216.653322101961 -218.348949781748</t>
  </si>
  <si>
    <t>-333.285191842223 136.679733313737 -222.479930471538</t>
  </si>
  <si>
    <t>-644.221653151106 12.8807450745826 -529.01707725867</t>
  </si>
  <si>
    <t>-588.126523233182 133.83716265079 -96.2032231731459</t>
  </si>
  <si>
    <t>-620.916182122841 144.699139649472 317.933874505997</t>
  </si>
  <si>
    <t>-668.831315049459 182.423209755479 777.02751698993</t>
  </si>
  <si>
    <t>-518.858935414595 184.825362899123 835.219795210507</t>
  </si>
  <si>
    <t>-591.192966099306 -71.9529103230796 323.702876728343</t>
  </si>
  <si>
    <t>-650.442759127544 -108.473624395449 781.695629816533</t>
  </si>
  <si>
    <t>-497.44855536194 -124.994530623613 828.638796880601</t>
  </si>
  <si>
    <t>9763-20170724T115441.262397000.bin</t>
  </si>
  <si>
    <t>-582.017549654058 40.6773704140421 -91.8623050854959</t>
  </si>
  <si>
    <t>-600.643817293259 36.5799708817115 -200.920830817759</t>
  </si>
  <si>
    <t>-613.556364078649 36.674207603362 -292.894284285641</t>
  </si>
  <si>
    <t>-625.029236209418 38.1299778823582 -375.986849958827</t>
  </si>
  <si>
    <t>-635.727366248189 40.965957447848 -459.147145318767</t>
  </si>
  <si>
    <t>-650.500846687588 46.6166238597211 -580.780806564217</t>
  </si>
  <si>
    <t>-642.310216848224 55.2484131375941 -658.231576531498</t>
  </si>
  <si>
    <t>-643.889856060492 75.4649577944269 -525.969320288766</t>
  </si>
  <si>
    <t>-616.876132857177 225.425857744192 -492.520801033744</t>
  </si>
  <si>
    <t>-551.433814028322 217.056354884716 -218.247501082561</t>
  </si>
  <si>
    <t>-333.27094342737 137.44912862656 -222.271220940211</t>
  </si>
  <si>
    <t>-644.146917193484 12.8092685665015 -528.848845095049</t>
  </si>
  <si>
    <t>-588.040801774375 133.876966440175 -96.0925231739261</t>
  </si>
  <si>
    <t>-620.750936660291 144.705285839026 318.051719892068</t>
  </si>
  <si>
    <t>-668.829450263976 182.408434376151 777.123946192411</t>
  </si>
  <si>
    <t>-518.859760043382 184.810476599524 835.323184240381</t>
  </si>
  <si>
    <t>-590.669992557549 -71.8617146992046 323.860027855832</t>
  </si>
  <si>
    <t>-649.770988545412 -108.535882355197 781.884759566759</t>
  </si>
  <si>
    <t>-497.117011187082 -124.974075733705 829.951045592854</t>
  </si>
  <si>
    <t>9763-20170724T115441.328223600.bin</t>
  </si>
  <si>
    <t>-581.607215592165 40.9264388625759 -91.5153247394788</t>
  </si>
  <si>
    <t>-600.334724698501 36.8059335766807 -200.555575767201</t>
  </si>
  <si>
    <t>-613.368579734607 36.816854867116 -292.511882387686</t>
  </si>
  <si>
    <t>-624.965836355038 38.1710586906993 -375.588947435175</t>
  </si>
  <si>
    <t>-635.803563169813 40.8798455058188 -458.735517367882</t>
  </si>
  <si>
    <t>-650.798052523996 46.3165493746076 -580.351834195015</t>
  </si>
  <si>
    <t>-642.702256625776 54.7946808104775 -657.829627845984</t>
  </si>
  <si>
    <t>-644.115857725268 75.2613854406918 -525.599806777626</t>
  </si>
  <si>
    <t>-617.243634436174 225.303890874397 -492.419088783031</t>
  </si>
  <si>
    <t>-551.425245579814 217.371770997181 -218.222755937677</t>
  </si>
  <si>
    <t>-333.108520732449 138.178068017059 -222.056560330885</t>
  </si>
  <si>
    <t>-644.321349715948 12.6005781959714 -528.375566255278</t>
  </si>
  <si>
    <t>-588.061540017176 134.090694487834 -95.7869814105237</t>
  </si>
  <si>
    <t>-620.524607299873 144.824714799033 318.379032216501</t>
  </si>
  <si>
    <t>-668.788893942461 182.460078365499 777.411906742193</t>
  </si>
  <si>
    <t>-518.817379001616 184.631367387161 835.615446594923</t>
  </si>
  <si>
    <t>-589.656587247318 -71.5609251131582 324.259997455672</t>
  </si>
  <si>
    <t>-648.826441150625 -108.571713394183 782.233567399767</t>
  </si>
  <si>
    <t>-496.627110616296 -124.49201476479 831.889699556472</t>
  </si>
  <si>
    <t>9763-20170724T115441.361317400.bin</t>
  </si>
  <si>
    <t>-581.576974635144 41.025224869448 -91.3546426306978</t>
  </si>
  <si>
    <t>-600.361966439456 36.869854710842 -200.383786713871</t>
  </si>
  <si>
    <t>-613.469934358094 36.8336083226559 -292.329510034659</t>
  </si>
  <si>
    <t>-625.144258422963 38.13716761307 -375.396536752004</t>
  </si>
  <si>
    <t>-636.069142124665 40.7879522655958 -458.53363581892</t>
  </si>
  <si>
    <t>-651.202083371209 46.1313550825039 -580.136972413834</t>
  </si>
  <si>
    <t>-643.162642353975 54.5364972297175 -657.628486961861</t>
  </si>
  <si>
    <t>-644.470711485765 75.1181399308971 -525.412978927884</t>
  </si>
  <si>
    <t>-617.598568634677 225.180133561476 -492.313495618503</t>
  </si>
  <si>
    <t>-551.506604547587 217.418208682957 -218.178161113294</t>
  </si>
  <si>
    <t>-333.15838491099 138.309578118672 -221.975189578781</t>
  </si>
  <si>
    <t>-644.653030731514 12.4553666981958 -528.143804371115</t>
  </si>
  <si>
    <t>-588.202069327348 134.142422206407 -95.6380603579543</t>
  </si>
  <si>
    <t>-620.554231829082 144.844942712343 318.5374927109</t>
  </si>
  <si>
    <t>-668.798188675888 182.376052510321 777.571911747302</t>
  </si>
  <si>
    <t>-518.823764689527 184.766099966655 835.759324450794</t>
  </si>
  <si>
    <t>-589.40527964674 -71.4317098269332 324.413922638607</t>
  </si>
  <si>
    <t>-648.671061605086 -108.580127029192 782.29568817639</t>
  </si>
  <si>
    <t>-496.567763234269 -124.501267345198 832.244887943161</t>
  </si>
  <si>
    <t>9763-20170724T115441.427234200.bin</t>
  </si>
  <si>
    <t>-581.679991026089 41.1157917353028 -91.1693712754849</t>
  </si>
  <si>
    <t>-600.588291523912 36.9040189574553 -200.175113467023</t>
  </si>
  <si>
    <t>-613.820365178354 36.7641726063064 -292.102852636882</t>
  </si>
  <si>
    <t>-625.615127590999 37.9505985257083 -375.15474749956</t>
  </si>
  <si>
    <t>-636.669006537438 40.4610982020574 -458.279027241022</t>
  </si>
  <si>
    <t>-652.00001239125 45.5743864276874 -579.867503921156</t>
  </si>
  <si>
    <t>-644.100975364416 53.801910532123 -657.392417582228</t>
  </si>
  <si>
    <t>-645.204712183779 74.6645434122438 -525.206303841474</t>
  </si>
  <si>
    <t>-618.466449063016 224.821096574841 -492.41723461618</t>
  </si>
  <si>
    <t>-552.055104852688 217.702729518925 -218.34163744123</t>
  </si>
  <si>
    <t>-333.716331996615 138.570914989723 -222.197149884329</t>
  </si>
  <si>
    <t>-645.341053704355 11.9969499429303 -527.824623166451</t>
  </si>
  <si>
    <t>-588.425349237342 134.175977880868 -95.4393753343322</t>
  </si>
  <si>
    <t>-620.644932657913 144.837868318149 318.747626335643</t>
  </si>
  <si>
    <t>-668.78189982281 182.375307049441 777.817219809823</t>
  </si>
  <si>
    <t>-518.791110113272 184.720032195749 835.964335655884</t>
  </si>
  <si>
    <t>-589.349509443882 -71.2489323034813 324.551563473496</t>
  </si>
  <si>
    <t>-648.721235925551 -108.566593438727 782.317782531501</t>
  </si>
  <si>
    <t>-496.636894183157 -124.75731289752 832.238124996909</t>
  </si>
  <si>
    <t>9763-20170724T115441.464333400.bin</t>
  </si>
  <si>
    <t>-581.812586815927 41.1195914486661 -91.1487639870417</t>
  </si>
  <si>
    <t>-600.786754799823 36.8870566192099 -200.142228718135</t>
  </si>
  <si>
    <t>-614.07801294287 36.6863990625111 -292.061405872172</t>
  </si>
  <si>
    <t>-625.92829811394 37.8004372027115 -375.106294595486</t>
  </si>
  <si>
    <t>-637.040176057411 40.221384346049 -458.225506265357</t>
  </si>
  <si>
    <t>-652.459075015221 45.1847911483812 -579.808963342818</t>
  </si>
  <si>
    <t>-644.656713001898 53.3055032651548 -657.355015640501</t>
  </si>
  <si>
    <t>-645.640050709545 74.3422360242826 -525.186767054245</t>
  </si>
  <si>
    <t>-619.039904608289 224.568572661934 -492.59580761536</t>
  </si>
  <si>
    <t>-552.528347785117 217.808249395372 -218.535507284858</t>
  </si>
  <si>
    <t>-334.197792339986 138.653021262334 -222.37598799912</t>
  </si>
  <si>
    <t>-645.746762675997 11.6715026758259 -527.73175891325</t>
  </si>
  <si>
    <t>-588.528660899113 134.162450544048 -95.4085552818086</t>
  </si>
  <si>
    <t>-620.704596783257 144.790216878739 318.782702616634</t>
  </si>
  <si>
    <t>-668.788141248937 182.31534629655 777.882061697771</t>
  </si>
  <si>
    <t>-518.793605276557 184.702247440116 836.017730904705</t>
  </si>
  <si>
    <t>-589.516740138484 -71.1886933754156 324.55367601179</t>
  </si>
  <si>
    <t>-648.894415610197 -108.501082169076 782.29649254128</t>
  </si>
  <si>
    <t>-496.710324063258 -124.642118276324 831.928088335641</t>
  </si>
  <si>
    <t>9763-20170724T115441.526529500.bin</t>
  </si>
  <si>
    <t>-582.203980194723 40.9113163597253 -91.2491909989523</t>
  </si>
  <si>
    <t>-601.280401044745 36.6629879533532 -200.224096557019</t>
  </si>
  <si>
    <t>-614.625313116166 36.3591158409156 -292.13533596133</t>
  </si>
  <si>
    <t>-626.512244491003 37.3446533595313 -375.176540278887</t>
  </si>
  <si>
    <t>-637.649750662406 39.6013298548571 -458.297077465298</t>
  </si>
  <si>
    <t>-653.094667355158 44.2857471782804 -579.88833167739</t>
  </si>
  <si>
    <t>-645.456350811872 52.187876004547 -657.473165632583</t>
  </si>
  <si>
    <t>-646.266866708793 73.5683823156812 -525.334254240503</t>
  </si>
  <si>
    <t>-619.635038457264 223.856607163725 -493.057230275105</t>
  </si>
  <si>
    <t>-553.418151255107 217.866851665216 -218.907577608185</t>
  </si>
  <si>
    <t>-335.000933182451 138.940194963455 -222.518046658682</t>
  </si>
  <si>
    <t>-646.368290812246 10.8921492949396 -527.735978111986</t>
  </si>
  <si>
    <t>-588.650635505574 133.963371367088 -95.4633339712308</t>
  </si>
  <si>
    <t>-620.882318609247 144.650802221143 318.721939729267</t>
  </si>
  <si>
    <t>-668.784647453755 182.293607812459 777.876147425272</t>
  </si>
  <si>
    <t>-518.785983274028 184.737291807854 835.998864158498</t>
  </si>
  <si>
    <t>-590.282260173743 -71.2755507156653 324.418883895363</t>
  </si>
  <si>
    <t>-649.622657960197 -108.386714673822 782.149032815718</t>
  </si>
  <si>
    <t>-497.062608239286 -124.685265511599 830.559903154777</t>
  </si>
  <si>
    <t>9763-20170724T115441.565633700.bin</t>
  </si>
  <si>
    <t>-582.482666462726 40.7169914974452 -91.3727738214177</t>
  </si>
  <si>
    <t>-601.585723158066 36.473998604414 -200.343335655092</t>
  </si>
  <si>
    <t>-614.933360450036 36.1169641292615 -292.253792928727</t>
  </si>
  <si>
    <t>-626.815544657996 37.0315156176002 -375.296606908645</t>
  </si>
  <si>
    <t>-637.94140377921 39.1942079907674 -458.420999226634</t>
  </si>
  <si>
    <t>-653.362241015302 43.7154560852352 -580.0215739921</t>
  </si>
  <si>
    <t>-645.795987102042 51.4966929372536 -657.625863617181</t>
  </si>
  <si>
    <t>-646.537884434323 73.0713600204563 -525.506430117443</t>
  </si>
  <si>
    <t>-619.891134299544 223.403203374421 -493.441754882697</t>
  </si>
  <si>
    <t>-553.878588231195 217.799440838992 -219.234638383006</t>
  </si>
  <si>
    <t>-335.459377283403 138.869895990034 -222.65462613668</t>
  </si>
  <si>
    <t>-646.653576995493 10.3917487550834 -527.822290494325</t>
  </si>
  <si>
    <t>-588.729005363002 133.799527105908 -95.5594722703195</t>
  </si>
  <si>
    <t>-621.010416690398 144.549580288847 318.620451065646</t>
  </si>
  <si>
    <t>-668.772467637295 182.347447318552 777.799166806297</t>
  </si>
  <si>
    <t>-518.772354956585 184.562181225086 835.927240739221</t>
  </si>
  <si>
    <t>-590.771527117758 -71.4165998525766 324.278633009962</t>
  </si>
  <si>
    <t>-650.080407445629 -108.285899995788 782.031993130991</t>
  </si>
  <si>
    <t>-497.280044925826 -124.611526312312 829.669669993195</t>
  </si>
  <si>
    <t>9763-20170724T115441.629808200.bin</t>
  </si>
  <si>
    <t>-583.129130478095 40.1844545814713 -91.6578488180957</t>
  </si>
  <si>
    <t>-602.283283205012 35.9556853468141 -200.619947044057</t>
  </si>
  <si>
    <t>-615.622279358123 35.5079485062474 -292.531302182384</t>
  </si>
  <si>
    <t>-627.47697019064 36.2998497819935 -375.579413556328</t>
  </si>
  <si>
    <t>-638.556245581955 38.2984285084699 -458.714134089755</t>
  </si>
  <si>
    <t>-653.888554339886 42.5343055282613 -580.336127222233</t>
  </si>
  <si>
    <t>-646.422811031598 50.1147022875055 -657.969877967439</t>
  </si>
  <si>
    <t>-647.091208481597 72.0180196811518 -525.886693857918</t>
  </si>
  <si>
    <t>-620.364292431703 222.417046330145 -494.224281764746</t>
  </si>
  <si>
    <t>-554.903552156388 217.649023738679 -219.869102863473</t>
  </si>
  <si>
    <t>-336.551729537755 138.517707169959 -222.909890761525</t>
  </si>
  <si>
    <t>-647.230541771014 9.33315487849472 -528.052294542535</t>
  </si>
  <si>
    <t>-589.069266909069 133.263221930805 -95.8156902340946</t>
  </si>
  <si>
    <t>-621.338404524098 144.153199659634 318.361426901063</t>
  </si>
  <si>
    <t>-668.818624607819 182.191863619268 777.569180511087</t>
  </si>
  <si>
    <t>-518.820854136747 184.62317517351 835.694725679636</t>
  </si>
  <si>
    <t>-591.717671810298 -71.7352506740765 323.972478127659</t>
  </si>
  <si>
    <t>-650.933281994391 -108.089075874012 781.799248615236</t>
  </si>
  <si>
    <t>-497.724377581066 -124.825057996116 827.959434014333</t>
  </si>
  <si>
    <t>9763-20170724T115441.662895700.bin</t>
  </si>
  <si>
    <t>-583.368467786058 39.9572807444704 -91.806318725432</t>
  </si>
  <si>
    <t>-602.55687323931 35.7315678600808 -200.762407442161</t>
  </si>
  <si>
    <t>-615.912614965453 35.2502694561022 -292.671380687629</t>
  </si>
  <si>
    <t>-627.7778773086 35.9975782242866 -375.718278427668</t>
  </si>
  <si>
    <t>-638.863490238222 37.9368835840082 -458.853529779067</t>
  </si>
  <si>
    <t>-654.200463006187 42.0703764973885 -580.478480850966</t>
  </si>
  <si>
    <t>-646.794291151039 49.573273462059 -658.125485624515</t>
  </si>
  <si>
    <t>-647.39881977783 71.5999555728868 -526.054264818466</t>
  </si>
  <si>
    <t>-620.669160334961 222.032357435889 -494.562595159733</t>
  </si>
  <si>
    <t>-555.363490880576 217.442252286859 -220.167609629509</t>
  </si>
  <si>
    <t>-337.039799158179 138.233175213819 -223.204050085045</t>
  </si>
  <si>
    <t>-647.542637526253 8.91329566873787 -528.166638359611</t>
  </si>
  <si>
    <t>-589.193053279139 133.03897490105 -95.9542183940407</t>
  </si>
  <si>
    <t>-621.459317921522 144.010684416086 318.220986370929</t>
  </si>
  <si>
    <t>-668.824202611408 182.198831475385 777.429055894001</t>
  </si>
  <si>
    <t>-518.82763762461 184.511582652812 835.562588932704</t>
  </si>
  <si>
    <t>-592.066029713568 -71.844434627405 323.831168515884</t>
  </si>
  <si>
    <t>-651.25159905594 -107.993129466046 781.696256287189</t>
  </si>
  <si>
    <t>-497.84458468483 -124.476407892647 827.285925368516</t>
  </si>
  <si>
    <t>9763-20170724T115441.729753700.bin</t>
  </si>
  <si>
    <t>-583.718540859374 39.4866412915478 -92.0811466197938</t>
  </si>
  <si>
    <t>-602.934954213021 35.2626091253226 -201.032448994619</t>
  </si>
  <si>
    <t>-616.264635010584 34.7454901037072 -292.944757304522</t>
  </si>
  <si>
    <t>-628.086841227855 35.4454839611146 -375.998235710069</t>
  </si>
  <si>
    <t>-639.109891428361 37.3223102928032 -459.143311494295</t>
  </si>
  <si>
    <t>-654.334458398238 41.3470157533159 -580.786029018108</t>
  </si>
  <si>
    <t>-646.935554604743 48.7111087335843 -658.447107584258</t>
  </si>
  <si>
    <t>-647.570271403232 70.9252172469044 -526.38368376107</t>
  </si>
  <si>
    <t>-620.74911597166 221.365416622424 -494.993879567455</t>
  </si>
  <si>
    <t>-555.679357889939 216.938779910867 -220.53990417521</t>
  </si>
  <si>
    <t>-337.439271287436 137.504240542424 -223.694498909526</t>
  </si>
  <si>
    <t>-647.737886110565 8.23668117401689 -528.436899563282</t>
  </si>
  <si>
    <t>-589.42537247192 132.55803291391 -96.2183087446715</t>
  </si>
  <si>
    <t>-621.636492288027 143.699765819307 317.956622082577</t>
  </si>
  <si>
    <t>-668.857613229919 182.172119540728 777.171691021317</t>
  </si>
  <si>
    <t>-518.863898372341 184.580701703886 835.308657992468</t>
  </si>
  <si>
    <t>-592.56675740284 -72.1554650652165 323.616172143584</t>
  </si>
  <si>
    <t>-651.6231918841 -107.901978408549 781.574578723003</t>
  </si>
  <si>
    <t>-498.040017596331 -124.635639861214 826.474579917741</t>
  </si>
  <si>
    <t>9763-20170724T115441.763844700.bin</t>
  </si>
  <si>
    <t>-583.833111139355 39.2145795779488 -92.1834581053735</t>
  </si>
  <si>
    <t>-603.036023543356 34.9816545533283 -201.13678676935</t>
  </si>
  <si>
    <t>-616.339049601381 34.4404950404132 -293.052860652936</t>
  </si>
  <si>
    <t>-628.131076791927 35.1124533245343 -376.110863337683</t>
  </si>
  <si>
    <t>-639.118060589244 36.9541235449617 -459.261472741868</t>
  </si>
  <si>
    <t>-654.283281140185 40.9201181813855 -580.913505578193</t>
  </si>
  <si>
    <t>-646.846975690166 48.2252229556143 -658.576650279557</t>
  </si>
  <si>
    <t>-647.533617432533 70.5245840828727 -526.523634310681</t>
  </si>
  <si>
    <t>-620.644757996316 220.971132601083 -495.222855119836</t>
  </si>
  <si>
    <t>-555.749636625002 216.621055797272 -220.726403781675</t>
  </si>
  <si>
    <t>-337.568224379824 137.024516197416 -223.855688882553</t>
  </si>
  <si>
    <t>-647.724258199136 7.83507655431117 -528.543765983997</t>
  </si>
  <si>
    <t>-589.504672412271 132.256787001826 -96.3296318032076</t>
  </si>
  <si>
    <t>-621.661446954178 143.50351238347 317.846762753835</t>
  </si>
  <si>
    <t>-668.89656044928 182.065585806444 777.051302782547</t>
  </si>
  <si>
    <t>-518.906290397353 184.591073802966 835.192137795283</t>
  </si>
  <si>
    <t>-592.741526109507 -72.3467346306666 323.535740071969</t>
  </si>
  <si>
    <t>-651.704869726921 -107.873202205541 781.53324140237</t>
  </si>
  <si>
    <t>-498.069659449002 -124.554246019569 826.274660475185</t>
  </si>
  <si>
    <t>9763-20170724T115441.829025600.bin</t>
  </si>
  <si>
    <t>-583.902613002988 38.8033393597659 -92.3023350032792</t>
  </si>
  <si>
    <t>-603.139299734729 34.573324834816 -201.24978949508</t>
  </si>
  <si>
    <t>-616.441540512361 33.989911232163 -293.165836752067</t>
  </si>
  <si>
    <t>-628.221693900839 34.6059591900255 -376.22582179033</t>
  </si>
  <si>
    <t>-639.185968375748 36.3737820594752 -459.381164452283</t>
  </si>
  <si>
    <t>-654.306304439455 40.2122288066159 -581.042770424008</t>
  </si>
  <si>
    <t>-646.780975005139 47.4371140653459 -658.704746066656</t>
  </si>
  <si>
    <t>-647.575705394638 69.8737842026355 -526.681728336955</t>
  </si>
  <si>
    <t>-620.684607106674 220.35729717219 -495.566301129741</t>
  </si>
  <si>
    <t>-555.871000293367 216.220777447 -221.047289913778</t>
  </si>
  <si>
    <t>-337.821369161538 136.262560333306 -224.141759207516</t>
  </si>
  <si>
    <t>-647.767516264493 7.18220426445555 -528.635790706052</t>
  </si>
  <si>
    <t>-589.586094938811 131.906658905172 -96.4951576175538</t>
  </si>
  <si>
    <t>-621.622221879686 143.248420222185 317.687957832364</t>
  </si>
  <si>
    <t>-668.917073133937 182.056284247765 776.840163035193</t>
  </si>
  <si>
    <t>-518.932095774768 184.383022164782 835.002987551272</t>
  </si>
  <si>
    <t>-592.865714308522 -72.6506254257852 323.443583084143</t>
  </si>
  <si>
    <t>-651.734012582024 -107.872151053108 781.51758688208</t>
  </si>
  <si>
    <t>-498.127857129574 -125.060255300836 826.166751145021</t>
  </si>
  <si>
    <t>9763-20170724T115441.859104200.bin</t>
  </si>
  <si>
    <t>-583.888736097342 38.6136617629807 -92.35127716187</t>
  </si>
  <si>
    <t>-603.144485509344 34.3745030774096 -201.29497107003</t>
  </si>
  <si>
    <t>-616.453671321219 33.7664385433229 -293.209807323238</t>
  </si>
  <si>
    <t>-628.236693280304 34.3532783750791 -376.269834359878</t>
  </si>
  <si>
    <t>-639.200467667829 36.0851491615576 -459.425783000401</t>
  </si>
  <si>
    <t>-654.316678639381 39.8633333757352 -581.089849587668</t>
  </si>
  <si>
    <t>-646.759328264615 47.059552912322 -658.751511240865</t>
  </si>
  <si>
    <t>-647.59552206475 69.5517867672581 -526.742207580705</t>
  </si>
  <si>
    <t>-620.720968564463 220.048926448549 -495.671986306824</t>
  </si>
  <si>
    <t>-555.859867362394 216.008330318075 -221.162841064595</t>
  </si>
  <si>
    <t>-337.82994154896 136.000779099183 -224.367579755281</t>
  </si>
  <si>
    <t>-647.772082015507 6.85926286616791 -528.667211970024</t>
  </si>
  <si>
    <t>-589.586489452563 131.685834632229 -96.5575024774105</t>
  </si>
  <si>
    <t>-621.619397866391 143.105917323192 317.623771783477</t>
  </si>
  <si>
    <t>-668.933057011872 182.002816839002 776.759837070501</t>
  </si>
  <si>
    <t>-518.952638388826 184.43812333579 834.930007974032</t>
  </si>
  <si>
    <t>-592.896533674596 -72.7559099282721 323.413569306757</t>
  </si>
  <si>
    <t>-651.756944580123 -107.811540127035 781.502300251727</t>
  </si>
  <si>
    <t>-498.085992166952 -124.602554537985 826.079553742278</t>
  </si>
  <si>
    <t>9763-20170724T115441.929302200.bin</t>
  </si>
  <si>
    <t>-583.888845371871 38.2868172247277 -92.4352356696793</t>
  </si>
  <si>
    <t>-603.178431281327 34.0273139356477 -201.37218007205</t>
  </si>
  <si>
    <t>-616.508682669626 33.3593692168188 -293.283474441713</t>
  </si>
  <si>
    <t>-628.308103537996 33.8744505778084 -376.341665401948</t>
  </si>
  <si>
    <t>-639.286027296184 35.5168983783331 -459.497624601608</t>
  </si>
  <si>
    <t>-654.420449941479 39.1455261639937 -581.164001608219</t>
  </si>
  <si>
    <t>-646.821973884176 46.2773418455347 -658.827360771913</t>
  </si>
  <si>
    <t>-647.708141749769 68.9008152311553 -526.851770566409</t>
  </si>
  <si>
    <t>-620.952316125506 219.459000127117 -495.963873169308</t>
  </si>
  <si>
    <t>-555.914330848969 215.678412138946 -221.492791929265</t>
  </si>
  <si>
    <t>-337.981019771006 135.427426862081 -225.150423223758</t>
  </si>
  <si>
    <t>-647.851003380849 6.20597433772355 -528.703854113306</t>
  </si>
  <si>
    <t>-589.634902572736 131.38175456462 -96.6676974397034</t>
  </si>
  <si>
    <t>-621.591322957354 142.928470557836 317.515937788829</t>
  </si>
  <si>
    <t>-668.925969778682 182.045341223604 776.610773199277</t>
  </si>
  <si>
    <t>-518.960001644294 184.350255006866 834.823388457806</t>
  </si>
  <si>
    <t>-592.917482822424 -72.9833394944458 323.356746810556</t>
  </si>
  <si>
    <t>-651.798170079988 -107.774419713189 781.465554055553</t>
  </si>
  <si>
    <t>-498.115467391148 -124.716061043324 825.945194460127</t>
  </si>
  <si>
    <t>9763-20170724T115441.963392100.bin</t>
  </si>
  <si>
    <t>-583.877482302061 38.1407319529774 -92.4603513981419</t>
  </si>
  <si>
    <t>-603.189111090767 33.8624230841306 -201.392706500152</t>
  </si>
  <si>
    <t>-616.534631017345 33.1572986931867 -293.301582262197</t>
  </si>
  <si>
    <t>-628.346584434642 33.630162051707 -376.358182488419</t>
  </si>
  <si>
    <t>-639.335802628578 35.2217126555256 -459.513604150127</t>
  </si>
  <si>
    <t>-654.485522277439 38.7660751638266 -581.180566250415</t>
  </si>
  <si>
    <t>-646.870147465685 45.8693076460011 -658.845039931118</t>
  </si>
  <si>
    <t>-647.765857268197 68.5589395477803 -526.889913823926</t>
  </si>
  <si>
    <t>-621.021315917315 219.129512681479 -496.078532137208</t>
  </si>
  <si>
    <t>-555.86807329452 215.572196414161 -221.631834930887</t>
  </si>
  <si>
    <t>-338.061189746736 134.998384621761 -225.700280980444</t>
  </si>
  <si>
    <t>-647.910010183031 5.86280900682732 -528.698424274449</t>
  </si>
  <si>
    <t>-589.663282120984 131.213260578862 -96.7076773258484</t>
  </si>
  <si>
    <t>-621.568457444679 142.800858793329 317.47878958142</t>
  </si>
  <si>
    <t>-668.948923364746 181.952921548502 776.55600155274</t>
  </si>
  <si>
    <t>-518.992438209631 184.473709839159 834.784181723003</t>
  </si>
  <si>
    <t>-592.908039945291 -73.0622339072895 323.339649122318</t>
  </si>
  <si>
    <t>-651.803792602048 -107.769421797682 781.451692221825</t>
  </si>
  <si>
    <t>-498.115464919995 -124.713820293795 825.910726585096</t>
  </si>
  <si>
    <t>9763-20170724T115442.028585000.bin</t>
  </si>
  <si>
    <t>-583.815520683775 37.9707985803027 -92.4929453102047</t>
  </si>
  <si>
    <t>-603.174293540077 33.6592361632997 -201.415632600864</t>
  </si>
  <si>
    <t>-616.556866118678 32.9067973838869 -293.318637530429</t>
  </si>
  <si>
    <t>-628.401553216725 33.3284723097072 -376.370889439672</t>
  </si>
  <si>
    <t>-639.422878055696 34.8609638730966 -459.523258729597</t>
  </si>
  <si>
    <t>-654.618970832982 38.3104918091015 -581.187140584945</t>
  </si>
  <si>
    <t>-647.007385421043 45.3656526182579 -658.856295195868</t>
  </si>
  <si>
    <t>-647.898785794087 68.1456908825492 -526.919776783638</t>
  </si>
  <si>
    <t>-621.199087144254 218.741580267771 -496.185764330244</t>
  </si>
  <si>
    <t>-555.67282537532 215.420780241825 -221.824952676402</t>
  </si>
  <si>
    <t>-338.153807702715 134.123727185289 -226.804524090068</t>
  </si>
  <si>
    <t>-648.003277447392 5.44816772457489 -528.684432071249</t>
  </si>
  <si>
    <t>-589.675069250266 131.017133363779 -96.771693183045</t>
  </si>
  <si>
    <t>-621.529228229223 142.710686144927 317.415658291938</t>
  </si>
  <si>
    <t>-668.961777725546 181.926604044729 776.46633549214</t>
  </si>
  <si>
    <t>-519.01538970971 184.375229078 834.723573000346</t>
  </si>
  <si>
    <t>-592.830015092443 -73.1510789800241 323.329011699182</t>
  </si>
  <si>
    <t>-651.779491963084 -107.710041009737 781.439252445114</t>
  </si>
  <si>
    <t>-498.05954315592 -124.345666155754 825.905603963402</t>
  </si>
  <si>
    <t>9763-20170724T115442.061669400.bin</t>
  </si>
  <si>
    <t>-583.819085058172 37.8855396000172 -92.5104716595704</t>
  </si>
  <si>
    <t>-603.1905156527 33.56112611249 -201.4303869454</t>
  </si>
  <si>
    <t>-616.600337829685 32.7878328585946 -293.329364798431</t>
  </si>
  <si>
    <t>-628.476416935749 33.1863296350207 -376.37702161558</t>
  </si>
  <si>
    <t>-639.536019008477 34.6918113700178 -459.524950411465</t>
  </si>
  <si>
    <t>-654.795695638618 38.0975567070823 -581.181998406052</t>
  </si>
  <si>
    <t>-647.203570948138 45.1262155493987 -658.855568554164</t>
  </si>
  <si>
    <t>-648.061033385813 67.9522424165864 -526.927223396327</t>
  </si>
  <si>
    <t>-621.382144880916 218.564760165391 -496.246893792182</t>
  </si>
  <si>
    <t>-555.655948785257 215.196148596098 -221.934542378344</t>
  </si>
  <si>
    <t>-338.302754013706 133.490364381659 -227.438137860222</t>
  </si>
  <si>
    <t>-648.138732662814 5.25410403484034 -528.672639965756</t>
  </si>
  <si>
    <t>-589.726442188803 130.921792423251 -96.8000097003712</t>
  </si>
  <si>
    <t>-621.566190192901 142.611263839152 317.388587300216</t>
  </si>
  <si>
    <t>-668.983223028844 181.853101303818 776.437402287102</t>
  </si>
  <si>
    <t>-519.040566153348 184.352367269737 834.702075140394</t>
  </si>
  <si>
    <t>-592.819302566085 -73.2117178043004 323.316677776913</t>
  </si>
  <si>
    <t>-651.771879144968 -107.693557878021 781.432200079237</t>
  </si>
  <si>
    <t>-498.081793198886 -124.594042847006 825.901933459978</t>
  </si>
  <si>
    <t>9763-20170724T115442.126849600.bin</t>
  </si>
  <si>
    <t>-583.847608363365 37.8085998291203 -92.5334991208272</t>
  </si>
  <si>
    <t>-603.267895475581 33.4697616167559 -201.444146411157</t>
  </si>
  <si>
    <t>-616.760026859373 32.6606969653831 -293.330700055585</t>
  </si>
  <si>
    <t>-628.727300934904 33.0171419121266 -376.365591035524</t>
  </si>
  <si>
    <t>-639.895279636153 34.4715388923055 -459.499810929681</t>
  </si>
  <si>
    <t>-655.332674279008 37.792756236443 -581.136856110603</t>
  </si>
  <si>
    <t>-647.801129093646 44.7684986399781 -658.82106848702</t>
  </si>
  <si>
    <t>-648.557901476032 67.6848899285287 -526.907733452076</t>
  </si>
  <si>
    <t>-622.008515322441 218.32642071434 -496.268549653614</t>
  </si>
  <si>
    <t>-555.628965715475 214.904599337295 -222.114083234878</t>
  </si>
  <si>
    <t>-338.568409117288 132.477042467558 -228.354687206602</t>
  </si>
  <si>
    <t>-648.559874089297 4.98595637265021 -528.619366701446</t>
  </si>
  <si>
    <t>-589.82436363103 130.844433563285 -96.8343473682656</t>
  </si>
  <si>
    <t>-621.603809986613 142.562215878476 317.358049194411</t>
  </si>
  <si>
    <t>-668.992771394354 181.869472335299 776.391319798687</t>
  </si>
  <si>
    <t>-519.052886915442 184.358870637629 834.663649832865</t>
  </si>
  <si>
    <t>-592.836446029672 -73.2448175243853 323.292304624633</t>
  </si>
  <si>
    <t>-651.760034388114 -107.621322945229 781.420057379302</t>
  </si>
  <si>
    <t>-498.025843095847 -124.14243837736 825.879877994518</t>
  </si>
  <si>
    <t>9763-20170724T115442.158940200.bin</t>
  </si>
  <si>
    <t>-583.842378545331 37.829458054272 -92.5411553849606</t>
  </si>
  <si>
    <t>-603.296687861867 33.4817792887616 -201.445388610261</t>
  </si>
  <si>
    <t>-616.82797109819 32.6559474215401 -293.326010707837</t>
  </si>
  <si>
    <t>-628.834997937098 32.9932456023141 -376.355257597021</t>
  </si>
  <si>
    <t>-640.047233282304 34.424854117852 -459.483953665257</t>
  </si>
  <si>
    <t>-655.55443386218 37.7084905942947 -581.113121519046</t>
  </si>
  <si>
    <t>-648.059730438538 44.6693396105338 -658.802158574022</t>
  </si>
  <si>
    <t>-648.770736860474 67.6173734981148 -526.894249709726</t>
  </si>
  <si>
    <t>-622.314691379095 218.282297772528 -496.275467682593</t>
  </si>
  <si>
    <t>-555.644401300637 214.871957855076 -222.191431693076</t>
  </si>
  <si>
    <t>-338.669062079525 132.235767328199 -228.63301671377</t>
  </si>
  <si>
    <t>-648.729279293631 4.91793835393537 -528.592359989769</t>
  </si>
  <si>
    <t>-589.873277655407 130.857080692496 -96.8417439788186</t>
  </si>
  <si>
    <t>-621.62809534527 142.539807651173 317.353519033051</t>
  </si>
  <si>
    <t>-669.00373306937 181.849329773611 776.385550950605</t>
  </si>
  <si>
    <t>-519.063282018411 184.348298951863 834.655939913907</t>
  </si>
  <si>
    <t>-592.804606528344 -73.2205779726894 323.28907306817</t>
  </si>
  <si>
    <t>-651.740034119029 -107.628143382595 781.415584679887</t>
  </si>
  <si>
    <t>-498.054423019872 -124.516165069121 825.905501875135</t>
  </si>
  <si>
    <t>9763-20170724T115442.225711400.bin</t>
  </si>
  <si>
    <t>-583.808952758254 37.9101446463155 -92.5409331205576</t>
  </si>
  <si>
    <t>-603.340094118093 33.5328069196053 -201.430211483732</t>
  </si>
  <si>
    <t>-616.939059683757 32.6769976595835 -293.30065027154</t>
  </si>
  <si>
    <t>-629.008439755925 32.9843611218739 -376.320878553824</t>
  </si>
  <si>
    <t>-640.284269109409 34.3838193437343 -459.44155820276</t>
  </si>
  <si>
    <t>-655.88579421512 37.6179795306998 -581.059991059469</t>
  </si>
  <si>
    <t>-648.468486331907 44.5773349969727 -658.756550479004</t>
  </si>
  <si>
    <t>-649.0783004245 67.5488621960124 -526.856172121409</t>
  </si>
  <si>
    <t>-622.644574753631 218.221653189904 -496.244499641779</t>
  </si>
  <si>
    <t>-555.739836052368 214.754010485154 -222.218328705057</t>
  </si>
  <si>
    <t>-338.850926076908 131.919162712893 -229.009301721027</t>
  </si>
  <si>
    <t>-649.001627729259 4.84893112190957 -528.53338600878</t>
  </si>
  <si>
    <t>-589.928795585956 130.883445479121 -96.8439298303828</t>
  </si>
  <si>
    <t>-621.596452974864 142.578497862975 317.357700095942</t>
  </si>
  <si>
    <t>-669.02185385285 181.834811429728 776.381903312752</t>
  </si>
  <si>
    <t>-519.080461346434 184.256868513749 834.653052615315</t>
  </si>
  <si>
    <t>-592.679376637475 -73.0763713239483 323.305857417296</t>
  </si>
  <si>
    <t>-651.687474057914 -107.586138619469 781.414242300389</t>
  </si>
  <si>
    <t>-498.022014921692 -124.490723751761 825.967385670224</t>
  </si>
  <si>
    <t>9763-20170724T115442.260804900.bin</t>
  </si>
  <si>
    <t>-583.77606982145 37.9119933520581 -92.5310087773639</t>
  </si>
  <si>
    <t>-603.351302076708 33.5353311664578 -201.412409566593</t>
  </si>
  <si>
    <t>-616.984359128982 32.6746037755292 -293.277749435043</t>
  </si>
  <si>
    <t>-629.083393433254 32.9749510183594 -376.293593533461</t>
  </si>
  <si>
    <t>-640.387787623655 34.3650093452495 -459.410601960877</t>
  </si>
  <si>
    <t>-656.029807723602 37.5831392215134 -581.024296139104</t>
  </si>
  <si>
    <t>-648.640909572507 44.5467183307585 -658.723264851939</t>
  </si>
  <si>
    <t>-649.208699249543 67.5211377085272 -526.826258253392</t>
  </si>
  <si>
    <t>-622.723082877254 218.183352579232 -496.221272385623</t>
  </si>
  <si>
    <t>-555.826756964836 214.786674002743 -222.192263535519</t>
  </si>
  <si>
    <t>-338.946467749435 131.920527095928 -228.875995812762</t>
  </si>
  <si>
    <t>-649.123725646092 4.82104379843577 -528.496305169182</t>
  </si>
  <si>
    <t>-589.92278235234 130.861029801956 -96.8332684236218</t>
  </si>
  <si>
    <t>-621.580118533099 142.527878853349 317.369972261828</t>
  </si>
  <si>
    <t>-669.046532762044 181.745241891557 776.387220232701</t>
  </si>
  <si>
    <t>-519.107529059715 184.331991629465 834.657492751337</t>
  </si>
  <si>
    <t>-592.617502842045 -73.0288850445447 323.317808793646</t>
  </si>
  <si>
    <t>-651.668561812817 -107.554500117281 781.415229808288</t>
  </si>
  <si>
    <t>-497.985510823997 -124.256672507501 825.984007928546</t>
  </si>
  <si>
    <t>9763-20170724T115442.325996100.bin</t>
  </si>
  <si>
    <t>-583.688768617593 37.9635859854993 -92.500130613917</t>
  </si>
  <si>
    <t>-603.363557587975 33.6049295983016 -201.364197010502</t>
  </si>
  <si>
    <t>-617.074568509958 32.7439211245157 -293.217886891146</t>
  </si>
  <si>
    <t>-629.24201537761 33.0384316523048 -376.223989309633</t>
  </si>
  <si>
    <t>-640.613202316247 34.4166772183924 -459.331899855969</t>
  </si>
  <si>
    <t>-656.351294238003 37.6112230019139 -580.933841712822</t>
  </si>
  <si>
    <t>-649.022639844577 44.5603724925461 -658.639761049926</t>
  </si>
  <si>
    <t>-649.494845798098 67.5597035705737 -526.74609162725</t>
  </si>
  <si>
    <t>-622.967371365996 218.222511002599 -496.182780450818</t>
  </si>
  <si>
    <t>-556.083437399027 214.904378597843 -222.149757928554</t>
  </si>
  <si>
    <t>-339.227087947643 131.965522062652 -228.706742631278</t>
  </si>
  <si>
    <t>-649.396274003612 4.85926132778332 -528.40597543313</t>
  </si>
  <si>
    <t>-589.832132462621 130.892072940594 -96.8009670732192</t>
  </si>
  <si>
    <t>-621.493146003804 142.512415967429 317.403293060616</t>
  </si>
  <si>
    <t>-669.050769067408 181.76171172364 776.411127518964</t>
  </si>
  <si>
    <t>-519.113165445649 184.269020129677 834.688443543437</t>
  </si>
  <si>
    <t>-592.461436345072 -72.8649134879513 323.340669452796</t>
  </si>
  <si>
    <t>-651.557308105362 -107.564932762054 781.421997683119</t>
  </si>
  <si>
    <t>-497.938467578891 -124.372254543733 826.172359632562</t>
  </si>
  <si>
    <t>9763-20170724T115442.358081800.bin</t>
  </si>
  <si>
    <t>-583.684721989968 38.0587642728899 -92.4752269454023</t>
  </si>
  <si>
    <t>-603.413899204162 33.6998108956818 -201.32956603764</t>
  </si>
  <si>
    <t>-617.152759105282 32.8443613245474 -293.179119619733</t>
  </si>
  <si>
    <t>-629.338186304474 33.1464377906395 -376.182457020106</t>
  </si>
  <si>
    <t>-640.720202307521 34.5346832406065 -459.288767117412</t>
  </si>
  <si>
    <t>-656.466408038908 37.7463180015029 -580.88925428221</t>
  </si>
  <si>
    <t>-649.150528513775 44.6942232413444 -658.596529576242</t>
  </si>
  <si>
    <t>-649.608706090165 67.6871877348533 -526.697330221823</t>
  </si>
  <si>
    <t>-623.063126712582 218.340432293314 -496.105216929228</t>
  </si>
  <si>
    <t>-556.177343398829 214.995113605734 -222.072939343353</t>
  </si>
  <si>
    <t>-339.327139355161 132.047042337098 -228.716477343502</t>
  </si>
  <si>
    <t>-649.505523221691 4.98696694380942 -528.366666324258</t>
  </si>
  <si>
    <t>-589.846200800203 130.96994238423 -96.7830107418001</t>
  </si>
  <si>
    <t>-621.46025082404 142.525041870728 317.426638170652</t>
  </si>
  <si>
    <t>-669.056234914007 181.769412108378 776.436086027526</t>
  </si>
  <si>
    <t>-519.117075850812 184.205807567078 834.712448129371</t>
  </si>
  <si>
    <t>-592.382339223431 -72.6817229164233 323.373020213045</t>
  </si>
  <si>
    <t>-651.498222964432 -107.512543448692 781.437767878279</t>
  </si>
  <si>
    <t>-497.863412364457 -123.965478187989 826.264878688026</t>
  </si>
  <si>
    <t>9763-20170724T115442.426858700.bin</t>
  </si>
  <si>
    <t>-583.674641118794 38.3033558807604 -92.4125789523436</t>
  </si>
  <si>
    <t>-603.469186167527 33.9400374074776 -201.254936147884</t>
  </si>
  <si>
    <t>-617.210260327507 33.0886913597799 -293.104145990867</t>
  </si>
  <si>
    <t>-629.376220963772 33.3971522768779 -376.110274358251</t>
  </si>
  <si>
    <t>-640.717217784756 34.7942410068395 -459.222143448463</t>
  </si>
  <si>
    <t>-656.379575898445 38.0212709017701 -580.833022793162</t>
  </si>
  <si>
    <t>-649.015688000116 44.9916638718846 -658.533605369188</t>
  </si>
  <si>
    <t>-649.553126574668 67.9552073030923 -526.633239648118</t>
  </si>
  <si>
    <t>-622.922919641696 218.581041641618 -495.975725946023</t>
  </si>
  <si>
    <t>-556.165199538541 215.232440317277 -221.912257885221</t>
  </si>
  <si>
    <t>-339.370116453287 132.150571384236 -228.681948272312</t>
  </si>
  <si>
    <t>-649.461044263314 5.25524009770811 -528.30891402391</t>
  </si>
  <si>
    <t>-589.876499201317 131.069363650444 -96.71870676003</t>
  </si>
  <si>
    <t>-621.458626280965 142.60495763786 317.493846111514</t>
  </si>
  <si>
    <t>-669.07281466401 181.755216018454 776.491489447171</t>
  </si>
  <si>
    <t>-519.13151008527 184.288442983547 834.758198293155</t>
  </si>
  <si>
    <t>-592.288438358811 -72.2722966153312 323.441605461752</t>
  </si>
  <si>
    <t>-651.425939013488 -107.503045939095 781.44532691439</t>
  </si>
  <si>
    <t>-497.814172762214 -123.876407611733 826.380545625469</t>
  </si>
  <si>
    <t>9763-20170724T115442.464958600.bin</t>
  </si>
  <si>
    <t>-583.650633727002 38.4533167449388 -92.3823792563597</t>
  </si>
  <si>
    <t>-603.457510522176 34.082396715497 -201.222042899674</t>
  </si>
  <si>
    <t>-617.199225643509 33.2351847017969 -293.071331266766</t>
  </si>
  <si>
    <t>-629.361774097595 33.5514063457995 -376.078012683026</t>
  </si>
  <si>
    <t>-640.695243656665 34.9600041135718 -459.190547936572</t>
  </si>
  <si>
    <t>-656.341975502362 38.2083475368879 -580.802982336658</t>
  </si>
  <si>
    <t>-648.944541573428 45.209288184122 -658.497663236102</t>
  </si>
  <si>
    <t>-649.521649066586 68.132831695722 -526.597378521659</t>
  </si>
  <si>
    <t>-622.865699403651 218.744251018232 -495.916220562532</t>
  </si>
  <si>
    <t>-556.168674030747 215.413187452289 -221.837742066508</t>
  </si>
  <si>
    <t>-339.417100447341 132.217051268363 -228.596891369111</t>
  </si>
  <si>
    <t>-649.43104381946 5.43306018116846 -528.283635823239</t>
  </si>
  <si>
    <t>-589.913660339663 131.135954483285 -96.6863504268501</t>
  </si>
  <si>
    <t>-621.492195000435 142.657907827329 317.526959730079</t>
  </si>
  <si>
    <t>-669.077204205999 181.754087184494 776.524369118629</t>
  </si>
  <si>
    <t>-519.13641362504 184.382367915071 834.788311546346</t>
  </si>
  <si>
    <t>-592.24206979198 -72.0407426282534 323.473797000008</t>
  </si>
  <si>
    <t>-651.416089527905 -107.468684673922 781.444052278831</t>
  </si>
  <si>
    <t>-497.793115831722 -123.709912638971 826.388749991795</t>
  </si>
  <si>
    <t>9763-20170724T115442.527140200.bin</t>
  </si>
  <si>
    <t>-583.597096400236 38.697174475747 -92.3200100123835</t>
  </si>
  <si>
    <t>-603.410068543405 34.3282135312372 -201.158714317187</t>
  </si>
  <si>
    <t>-617.173494050924 33.5141262531185 -293.004998188466</t>
  </si>
  <si>
    <t>-629.362163848888 33.8732140243619 -376.007659157546</t>
  </si>
  <si>
    <t>-640.728196296664 35.3379595232566 -459.114806939707</t>
  </si>
  <si>
    <t>-656.429558036577 38.6827340355551 -580.717423314124</t>
  </si>
  <si>
    <t>-648.98885748108 45.737949816182 -658.403089459983</t>
  </si>
  <si>
    <t>-649.589022133681 68.564171822557 -526.490581832935</t>
  </si>
  <si>
    <t>-622.923744449776 219.156168393989 -495.699068260429</t>
  </si>
  <si>
    <t>-556.414242795027 215.654380224869 -221.577124906416</t>
  </si>
  <si>
    <t>-339.719849936629 132.318274099237 -228.444976400303</t>
  </si>
  <si>
    <t>-649.490875899281 5.86588011879098 -528.227843941696</t>
  </si>
  <si>
    <t>-589.880979199714 131.261642942833 -96.6250105275625</t>
  </si>
  <si>
    <t>-621.497146633735 142.786190144036 317.585274949369</t>
  </si>
  <si>
    <t>-669.082154795918 181.752336786508 776.589592848457</t>
  </si>
  <si>
    <t>-519.141155612068 184.331707654218 834.855019801259</t>
  </si>
  <si>
    <t>-592.180184642454 -71.7394065346241 323.520420543504</t>
  </si>
  <si>
    <t>-651.409758848381 -107.447413156394 781.442983422686</t>
  </si>
  <si>
    <t>-497.757922699419 -123.409699689903 826.388927349277</t>
  </si>
  <si>
    <t>9763-20170724T115442.560228000.bin</t>
  </si>
  <si>
    <t>-583.564110251787 38.751157007845 -92.3077576331434</t>
  </si>
  <si>
    <t>-603.381877399043 34.3831298141545 -201.145645187167</t>
  </si>
  <si>
    <t>-617.129894718725 33.5925539514722 -292.994385416953</t>
  </si>
  <si>
    <t>-629.296849197411 33.9819339280145 -376.000010846533</t>
  </si>
  <si>
    <t>-640.633305383795 35.4863546055892 -459.110504647903</t>
  </si>
  <si>
    <t>-656.282837348695 38.8990752832983 -580.718056972722</t>
  </si>
  <si>
    <t>-648.787555619513 45.986097712741 -658.39553266732</t>
  </si>
  <si>
    <t>-649.475350089028 68.7501102752624 -526.470380411147</t>
  </si>
  <si>
    <t>-622.791569935851 219.323905181645 -495.620422061689</t>
  </si>
  <si>
    <t>-556.47080556725 215.816224656396 -221.45288630532</t>
  </si>
  <si>
    <t>-339.804113993927 132.410603618649 -228.350328661325</t>
  </si>
  <si>
    <t>-649.356584819793 6.05296823312119 -528.245045413528</t>
  </si>
  <si>
    <t>-589.824983861339 131.335656861301 -96.6105079031348</t>
  </si>
  <si>
    <t>-621.458132203899 142.817203478467 317.599710131675</t>
  </si>
  <si>
    <t>-669.071623119549 181.801326605567 776.608326241098</t>
  </si>
  <si>
    <t>-519.132311532436 184.307219649494 834.881398068996</t>
  </si>
  <si>
    <t>-592.147409867459 -71.6913287150896 323.52952556442</t>
  </si>
  <si>
    <t>-651.407803607809 -107.446840453453 781.443084392533</t>
  </si>
  <si>
    <t>-497.781160152746 -123.607975489163 826.404121257866</t>
  </si>
  <si>
    <t>9763-20170724T115442.629091700.bin</t>
  </si>
  <si>
    <t>-583.504708071845 38.6841315993631 -92.3066697899719</t>
  </si>
  <si>
    <t>-603.277804393125 34.3049490002268 -201.152260436131</t>
  </si>
  <si>
    <t>-616.960513061082 33.5263453052685 -293.010783667415</t>
  </si>
  <si>
    <t>-629.057346683032 33.935298223681 -376.026790162836</t>
  </si>
  <si>
    <t>-640.312625076853 35.4676142441933 -459.147765830308</t>
  </si>
  <si>
    <t>-655.831331791169 38.930602012834 -580.770524593305</t>
  </si>
  <si>
    <t>-648.199124013698 46.0720904759319 -658.429800408656</t>
  </si>
  <si>
    <t>-649.095269497809 68.7592647515371 -526.50147893656</t>
  </si>
  <si>
    <t>-622.457138518033 219.324961862489 -495.564811901378</t>
  </si>
  <si>
    <t>-556.67134477885 215.895202876861 -221.267467610342</t>
  </si>
  <si>
    <t>-340.073876786785 132.298256935103 -228.021221924385</t>
  </si>
  <si>
    <t>-648.948438485608 6.06288311797789 -528.305489217661</t>
  </si>
  <si>
    <t>-589.747259506068 131.318245676354 -96.609194395074</t>
  </si>
  <si>
    <t>-621.42317466294 142.763561627527 317.598820695186</t>
  </si>
  <si>
    <t>-669.079094859224 181.780765266237 776.623819735805</t>
  </si>
  <si>
    <t>-519.146737683509 184.325694063451 834.913124709644</t>
  </si>
  <si>
    <t>-592.132294847223 -71.847641710981 323.538800229896</t>
  </si>
  <si>
    <t>-651.400340357907 -107.46005957406 781.459533863917</t>
  </si>
  <si>
    <t>-497.807520861566 -123.909065273325 826.431739254851</t>
  </si>
  <si>
    <t>9763-20170724T115442.661176700.bin</t>
  </si>
  <si>
    <t>-583.447945421138 38.6408024922068 -92.2983707810688</t>
  </si>
  <si>
    <t>-603.212296041358 34.2592452615841 -201.14536977471</t>
  </si>
  <si>
    <t>-616.882771747064 33.4857488472792 -293.005911309896</t>
  </si>
  <si>
    <t>-628.966670307289 33.901776936789 -376.023642139382</t>
  </si>
  <si>
    <t>-640.207101506383 35.4440374731894 -459.146479002618</t>
  </si>
  <si>
    <t>-655.70207391993 38.9246366668297 -580.771841027361</t>
  </si>
  <si>
    <t>-648.006934319508 46.1011175912192 -658.421585420308</t>
  </si>
  <si>
    <t>-648.990356337444 68.7453306534273 -526.495396751023</t>
  </si>
  <si>
    <t>-622.398290154407 219.320299276532 -495.554780631429</t>
  </si>
  <si>
    <t>-556.816426028746 215.935102437991 -221.208146264446</t>
  </si>
  <si>
    <t>-340.205664985757 132.359601868458 -227.799776752278</t>
  </si>
  <si>
    <t>-648.815639702068 6.04945704878287 -528.311878855935</t>
  </si>
  <si>
    <t>-589.668321598831 131.32386109903 -96.6055530739836</t>
  </si>
  <si>
    <t>-621.424453160329 142.758002468111 317.596557457214</t>
  </si>
  <si>
    <t>-669.06917833004 181.831352180437 776.613639790511</t>
  </si>
  <si>
    <t>-519.139873786795 184.24317330219 834.91637319208</t>
  </si>
  <si>
    <t>-592.155431239378 -71.9489580260579 323.53798895862</t>
  </si>
  <si>
    <t>-651.415907522115 -107.428436314043 781.464162526757</t>
  </si>
  <si>
    <t>-497.800756617472 -123.751762949213 826.405822916615</t>
  </si>
  <si>
    <t>9763-20170724T115442.727373800.bin</t>
  </si>
  <si>
    <t>-583.317696298603 38.5372193520479 -92.3080296376767</t>
  </si>
  <si>
    <t>-603.072441174717 34.1320432820191 -201.155826231712</t>
  </si>
  <si>
    <t>-616.740143447453 33.3522420533434 -293.016677306571</t>
  </si>
  <si>
    <t>-628.823757329426 33.7670365160152 -376.034510149028</t>
  </si>
  <si>
    <t>-640.066066205769 35.3135596534421 -459.156896736425</t>
  </si>
  <si>
    <t>-655.566272020299 38.8061794605644 -580.781269712424</t>
  </si>
  <si>
    <t>-647.760647360698 46.0475616384012 -658.413977776564</t>
  </si>
  <si>
    <t>-648.895430698081 68.6211305277893 -526.496781319524</t>
  </si>
  <si>
    <t>-622.491005308227 219.210133069628 -495.470166867825</t>
  </si>
  <si>
    <t>-556.960132948655 215.819524083906 -221.111233201237</t>
  </si>
  <si>
    <t>-340.335424722311 132.287779804121 -227.798498718118</t>
  </si>
  <si>
    <t>-648.63441624635 5.92606671697445 -528.330471667247</t>
  </si>
  <si>
    <t>-589.59814897565 131.268506874588 -96.6242478474983</t>
  </si>
  <si>
    <t>-621.457520012583 142.668812586864 317.570872191405</t>
  </si>
  <si>
    <t>-669.075473177673 181.778674909981 776.590724757283</t>
  </si>
  <si>
    <t>-519.161069223288 184.346385703693 834.9251590229</t>
  </si>
  <si>
    <t>-592.035006376622 -72.0998168515046 323.528300225238</t>
  </si>
  <si>
    <t>-651.455943464088 -107.426959808478 781.459882194731</t>
  </si>
  <si>
    <t>-497.853190176919 -124.047173572418 826.335105312058</t>
  </si>
  <si>
    <t>9763-20170724T115442.759446800.bin</t>
  </si>
  <si>
    <t>-583.267007728166 38.5048388971052 -92.3147528580741</t>
  </si>
  <si>
    <t>-603.030084582123 34.0827130224293 -201.160378356142</t>
  </si>
  <si>
    <t>-616.698076308432 33.3026200077109 -293.021090012476</t>
  </si>
  <si>
    <t>-628.779224638796 33.7222787618537 -376.039249936656</t>
  </si>
  <si>
    <t>-640.016522814466 35.2790158625489 -459.162305318035</t>
  </si>
  <si>
    <t>-655.50647959685 38.7929165349194 -580.787189389986</t>
  </si>
  <si>
    <t>-647.652280799192 46.0708099347028 -658.411611951161</t>
  </si>
  <si>
    <t>-648.870533206033 68.5982504752724 -526.4930607688</t>
  </si>
  <si>
    <t>-622.597691566657 219.198274525936 -495.427295883878</t>
  </si>
  <si>
    <t>-557.117707596731 215.845275030136 -221.055772790202</t>
  </si>
  <si>
    <t>-340.505223939069 132.299713956616 -227.962444300356</t>
  </si>
  <si>
    <t>-648.548657118296 5.90393420564669 -528.345512659624</t>
  </si>
  <si>
    <t>-589.6188342066 131.26295417386 -96.633530536799</t>
  </si>
  <si>
    <t>-621.461854606894 142.657213244009 317.563059590181</t>
  </si>
  <si>
    <t>-669.064608497492 181.813714220201 776.580929414156</t>
  </si>
  <si>
    <t>-519.154926033926 184.277445026421 834.931970875231</t>
  </si>
  <si>
    <t>-591.96396232098 -72.1639711275259 323.527628279584</t>
  </si>
  <si>
    <t>-651.464470860198 -107.424532220195 781.453668207839</t>
  </si>
  <si>
    <t>-497.866033699105 -124.116599626081 826.316966867236</t>
  </si>
  <si>
    <t>9763-20170724T115442.827674000.bin</t>
  </si>
  <si>
    <t>-583.180166707236 38.4786599112203 -92.3124442371127</t>
  </si>
  <si>
    <t>-602.951763831435 34.0471447459886 -201.156137719211</t>
  </si>
  <si>
    <t>-616.582881189752 33.2764772715359 -293.022522114954</t>
  </si>
  <si>
    <t>-628.613060883396 33.7107752487561 -376.04782981282</t>
  </si>
  <si>
    <t>-639.78187602615 35.2885116212403 -459.179777676369</t>
  </si>
  <si>
    <t>-655.152579606584 38.8402131263667 -580.818792958117</t>
  </si>
  <si>
    <t>-647.201250949442 46.1783642414089 -658.427676247412</t>
  </si>
  <si>
    <t>-648.618105126605 68.6281078187117 -526.502854477246</t>
  </si>
  <si>
    <t>-622.622118803472 219.261500050174 -495.346979701806</t>
  </si>
  <si>
    <t>-557.328373681564 215.905261601785 -220.931238094414</t>
  </si>
  <si>
    <t>-340.78741576958 132.208022971602 -228.233317003557</t>
  </si>
  <si>
    <t>-648.197991106581 5.93543136895732 -528.386514199522</t>
  </si>
  <si>
    <t>-589.574202448445 131.244646777389 -96.6311609940615</t>
  </si>
  <si>
    <t>-621.448458181761 142.599433465173 317.564185289456</t>
  </si>
  <si>
    <t>-669.067936588419 181.813311513624 776.577726100274</t>
  </si>
  <si>
    <t>-519.163825418333 184.27116735018 834.943278671549</t>
  </si>
  <si>
    <t>-591.871395407498 -72.2078343372029 323.531390346163</t>
  </si>
  <si>
    <t>-651.457281680046 -107.39256814169 781.456103576811</t>
  </si>
  <si>
    <t>-497.854175202348 -124.047372426848 826.317340500009</t>
  </si>
  <si>
    <t>9763-20170724T115442.860758000.bin</t>
  </si>
  <si>
    <t>-583.172083861861 38.4729995792411 -92.3187586390966</t>
  </si>
  <si>
    <t>-602.934488526195 34.0382098844732 -201.1639762922</t>
  </si>
  <si>
    <t>-616.530622128027 33.2802164957211 -293.035557944223</t>
  </si>
  <si>
    <t>-628.518432914782 33.7314702825167 -376.067036385939</t>
  </si>
  <si>
    <t>-639.633850503547 35.3324405157589 -459.205693622667</t>
  </si>
  <si>
    <t>-654.91456795778 38.924604928686 -580.85482790822</t>
  </si>
  <si>
    <t>-646.919614640687 46.2976532860109 -658.455946433673</t>
  </si>
  <si>
    <t>-648.438842300975 68.694259511469 -526.521851758695</t>
  </si>
  <si>
    <t>-622.512951228213 219.321819765285 -495.286044636494</t>
  </si>
  <si>
    <t>-557.447771144213 216.009585323599 -220.815373439752</t>
  </si>
  <si>
    <t>-340.991536950617 132.110284741487 -228.308347859989</t>
  </si>
  <si>
    <t>-647.980223549639 6.0024681288985 -528.43058168296</t>
  </si>
  <si>
    <t>-589.577284355917 131.232947905777 -96.6311953433792</t>
  </si>
  <si>
    <t>-621.47814791796 142.579602543237 317.562285766487</t>
  </si>
  <si>
    <t>-669.077313340037 181.79670832899 776.58100196293</t>
  </si>
  <si>
    <t>-519.172200938717 184.294745981614 834.942369548152</t>
  </si>
  <si>
    <t>-591.864832527473 -72.2226405352105 323.531155931343</t>
  </si>
  <si>
    <t>-651.47221449513 -107.379639490671 781.455836297495</t>
  </si>
  <si>
    <t>-497.879774680009 -124.183241802661 826.298028189024</t>
  </si>
  <si>
    <t>9763-20170724T115442.929791200.bin</t>
  </si>
  <si>
    <t>-583.152305798777 38.5767034499506 -92.3290678810232</t>
  </si>
  <si>
    <t>-602.847510398228 34.145725891786 -201.186623407429</t>
  </si>
  <si>
    <t>-616.369492612888 33.3966714963974 -293.069200450832</t>
  </si>
  <si>
    <t>-628.283216935537 33.8585502728808 -376.111346630767</t>
  </si>
  <si>
    <t>-639.317668803608 35.4720704087074 -459.260470250717</t>
  </si>
  <si>
    <t>-654.472240324362 39.0851936118233 -580.924787255373</t>
  </si>
  <si>
    <t>-646.403912011711 46.4930016486944 -658.515023049808</t>
  </si>
  <si>
    <t>-648.061128653909 68.8453210776465 -526.579057537787</t>
  </si>
  <si>
    <t>-622.191543018265 219.473379954095 -495.286557977383</t>
  </si>
  <si>
    <t>-557.793049445331 216.135098559759 -220.659022137638</t>
  </si>
  <si>
    <t>-341.435164681174 131.968805195483 -227.996157798759</t>
  </si>
  <si>
    <t>-647.584001841345 6.15413317286584 -528.50017830305</t>
  </si>
  <si>
    <t>-589.528493399554 131.336418619519 -96.6364036178592</t>
  </si>
  <si>
    <t>-621.51840896008 142.65374081579 317.550947494599</t>
  </si>
  <si>
    <t>-669.08043557721 181.839213064744 776.583005775112</t>
  </si>
  <si>
    <t>-519.170916484969 184.138837189362 834.94111558884</t>
  </si>
  <si>
    <t>-591.889827208453 -72.1593512055097 323.516799985516</t>
  </si>
  <si>
    <t>-651.480694190423 -107.3251985375 781.4443418136</t>
  </si>
  <si>
    <t>-497.839215577728 -123.769322174614 826.251799177107</t>
  </si>
  <si>
    <t>9763-20170724T115442.963878700.bin</t>
  </si>
  <si>
    <t>-583.13243211762 38.5759331883448 -92.3217406469888</t>
  </si>
  <si>
    <t>-602.788155430659 34.1494764913582 -201.186711897763</t>
  </si>
  <si>
    <t>-616.268015437959 33.4096768475717 -293.075629608391</t>
  </si>
  <si>
    <t>-628.140221766833 33.8818968341143 -376.123633141044</t>
  </si>
  <si>
    <t>-639.129588342499 35.5081545306941 -459.278308539533</t>
  </si>
  <si>
    <t>-654.214574205364 39.1418488122956 -580.950813014712</t>
  </si>
  <si>
    <t>-646.105719111207 46.5650244011097 -658.535264839283</t>
  </si>
  <si>
    <t>-647.839882838707 68.8928064412978 -526.595522869045</t>
  </si>
  <si>
    <t>-621.955547969168 219.505310248853 -495.258929370348</t>
  </si>
  <si>
    <t>-557.934293516437 216.22653662625 -220.542446084562</t>
  </si>
  <si>
    <t>-341.638014741259 131.893337087783 -227.77841977151</t>
  </si>
  <si>
    <t>-647.350935807942 6.20205140961798 -528.528430077186</t>
  </si>
  <si>
    <t>-589.489807363429 131.31521021318 -96.6360769388336</t>
  </si>
  <si>
    <t>-621.522619028425 142.602445201268 317.548864680861</t>
  </si>
  <si>
    <t>-669.103355205064 181.766519995509 776.579533274459</t>
  </si>
  <si>
    <t>-519.195694201003 184.331983607586 834.931315649361</t>
  </si>
  <si>
    <t>-591.888705769613 -72.1668741283556 323.518716077606</t>
  </si>
  <si>
    <t>-651.483623838384 -107.321053210592 781.44714551652</t>
  </si>
  <si>
    <t>-497.860319692468 -123.945241405276 826.250504490402</t>
  </si>
  <si>
    <t>9763-20170724T115443.029599900.bin</t>
  </si>
  <si>
    <t>-583.061094396056 38.5896301437947 -92.325972819948</t>
  </si>
  <si>
    <t>-602.638491515083 34.1822112782841 -201.205691856977</t>
  </si>
  <si>
    <t>-616.027341461215 33.4703569057699 -293.108124201891</t>
  </si>
  <si>
    <t>-627.807455999268 33.9727721018103 -376.169002006143</t>
  </si>
  <si>
    <t>-638.694991767995 35.6341162243982 -459.336644843491</t>
  </si>
  <si>
    <t>-653.620527282186 39.3249488533634 -581.026989905129</t>
  </si>
  <si>
    <t>-645.433894264514 46.7772590319053 -658.600453345888</t>
  </si>
  <si>
    <t>-647.341178779031 69.0500281639863 -526.646476975107</t>
  </si>
  <si>
    <t>-621.443046134467 219.64736401027 -495.237053169589</t>
  </si>
  <si>
    <t>-558.231313098256 216.46575824872 -220.33203215901</t>
  </si>
  <si>
    <t>-342.003243471918 131.945823648553 -227.426542378652</t>
  </si>
  <si>
    <t>-646.801527022595 6.36080942330227 -528.614060167997</t>
  </si>
  <si>
    <t>-589.401732643955 131.335812909168 -96.6219411769513</t>
  </si>
  <si>
    <t>-621.580325748223 142.567409270153 317.553141484299</t>
  </si>
  <si>
    <t>-669.139601986065 181.704749409311 776.579337253599</t>
  </si>
  <si>
    <t>-519.22971630485 184.374637477265 834.920766612294</t>
  </si>
  <si>
    <t>-591.937788588443 -72.2310015763817 323.499270949771</t>
  </si>
  <si>
    <t>-651.507788156694 -107.31755976259 781.441444266125</t>
  </si>
  <si>
    <t>-497.911072853621 -124.298437132225 826.20223035294</t>
  </si>
  <si>
    <t>9763-20170724T115443.062692300.bin</t>
  </si>
  <si>
    <t>-583.011371269463 38.6149590393945 -92.336575831616</t>
  </si>
  <si>
    <t>-602.543568027096 34.2094562764796 -201.224457749556</t>
  </si>
  <si>
    <t>-615.895518828321 33.5009128042261 -293.132414427798</t>
  </si>
  <si>
    <t>-627.642929631637 34.0068925802584 -376.197820892121</t>
  </si>
  <si>
    <t>-638.498396325175 35.6725150470622 -459.369498912885</t>
  </si>
  <si>
    <t>-653.377692993232 39.3706585881419 -581.065181403468</t>
  </si>
  <si>
    <t>-645.156009671375 46.8320094765552 -658.634225596736</t>
  </si>
  <si>
    <t>-647.126453535873 69.0924884906794 -526.679697151439</t>
  </si>
  <si>
    <t>-621.231895518755 219.693041091252 -495.26301827927</t>
  </si>
  <si>
    <t>-558.363602430467 216.535414873391 -220.278893657473</t>
  </si>
  <si>
    <t>-342.167870670852 131.933714804984 -227.384450850969</t>
  </si>
  <si>
    <t>-646.571092532422 6.40354373039872 -528.652601018006</t>
  </si>
  <si>
    <t>-589.330999395316 131.390448819087 -96.6331996056566</t>
  </si>
  <si>
    <t>-621.590329212563 142.554661392461 317.537429958639</t>
  </si>
  <si>
    <t>-669.151748306655 181.679162508033 776.571741991827</t>
  </si>
  <si>
    <t>-519.243418133491 184.349392857488 834.917146235873</t>
  </si>
  <si>
    <t>-591.956049389103 -72.28821906506 323.485972097024</t>
  </si>
  <si>
    <t>-651.53050535271 -107.327404089898 781.43799586171</t>
  </si>
  <si>
    <t>-497.951062746752 -124.556561774463 826.163164252062</t>
  </si>
  <si>
    <t>9763-20170724T115443.130391600.bin</t>
  </si>
  <si>
    <t>-582.901363573459 38.8103784039768 -92.3568586914008</t>
  </si>
  <si>
    <t>-602.344499439155 34.3937237883729 -201.260226126202</t>
  </si>
  <si>
    <t>-615.639690168493 33.6752791774468 -293.176400034782</t>
  </si>
  <si>
    <t>-627.343298816328 34.1718132607216 -376.247993711112</t>
  </si>
  <si>
    <t>-638.162405071044 35.8280637797593 -459.424623262871</t>
  </si>
  <si>
    <t>-652.996914893448 39.5121526171099 -581.126170494535</t>
  </si>
  <si>
    <t>-644.708155989043 46.9935024928654 -658.686195121816</t>
  </si>
  <si>
    <t>-646.778069880429 69.2399836425216 -526.740433887954</t>
  </si>
  <si>
    <t>-620.878947997093 219.847011242961 -495.373555926973</t>
  </si>
  <si>
    <t>-558.714146202566 216.897361263064 -220.227219141331</t>
  </si>
  <si>
    <t>-342.636141398589 131.991417905871 -227.284825428323</t>
  </si>
  <si>
    <t>-646.197272801423 6.55120289658498 -528.708854586983</t>
  </si>
  <si>
    <t>-589.18804479201 131.64736549475 -96.6671923918806</t>
  </si>
  <si>
    <t>-621.590160390347 142.726057823146 317.494630648499</t>
  </si>
  <si>
    <t>-669.15142479654 181.730736341948 776.541476540282</t>
  </si>
  <si>
    <t>-519.247721948456 184.212910780797 834.907112159599</t>
  </si>
  <si>
    <t>-591.983103537528 -72.2383562130749 323.467189728244</t>
  </si>
  <si>
    <t>-651.577497001868 -107.250503824763 781.419670113458</t>
  </si>
  <si>
    <t>-497.931708102127 -124.180629548585 826.030980550933</t>
  </si>
  <si>
    <t>9763-20170724T115443.162468800.bin</t>
  </si>
  <si>
    <t>-582.83305042134 38.884656996029 -92.3694284358182</t>
  </si>
  <si>
    <t>-602.244665175576 34.4576306216593 -201.277981529991</t>
  </si>
  <si>
    <t>-615.522746899603 33.7233616922531 -293.196444042798</t>
  </si>
  <si>
    <t>-627.214800201266 34.2027974681016 -376.269856801546</t>
  </si>
  <si>
    <t>-638.02637261355 35.8390770342596 -459.44785042449</t>
  </si>
  <si>
    <t>-652.85419689975 39.4913332191109 -581.151175602126</t>
  </si>
  <si>
    <t>-644.539691267224 46.9669490163433 -658.708905373405</t>
  </si>
  <si>
    <t>-646.647660807928 69.2332794426327 -526.771584713561</t>
  </si>
  <si>
    <t>-620.725154387228 219.849816573393 -495.471245116049</t>
  </si>
  <si>
    <t>-558.879886224486 217.035831268858 -220.251565806329</t>
  </si>
  <si>
    <t>-342.826968448001 132.059643680732 -227.231194898776</t>
  </si>
  <si>
    <t>-646.048108663565 6.54416333690051 -528.725990835098</t>
  </si>
  <si>
    <t>-589.120603620273 131.699814157857 -96.6813980112969</t>
  </si>
  <si>
    <t>-621.611609773392 142.745307070285 317.474322701234</t>
  </si>
  <si>
    <t>-669.170771972251 181.689144462568 776.528865096118</t>
  </si>
  <si>
    <t>-519.271388825338 184.308389747906 834.899558410323</t>
  </si>
  <si>
    <t>-591.936763265715 -72.2150564351575 323.464757323051</t>
  </si>
  <si>
    <t>-651.59075782433 -107.199081311243 781.412646903389</t>
  </si>
  <si>
    <t>-497.914933606499 -123.954209270472 825.986586105825</t>
  </si>
  <si>
    <t>9763-20170724T115443.227650100.bin</t>
  </si>
  <si>
    <t>-582.686183071001 39.1175077328473 -92.3481111001179</t>
  </si>
  <si>
    <t>-602.045166630527 34.6832910952271 -201.265902960308</t>
  </si>
  <si>
    <t>-615.285121871479 33.9277865295865 -293.189577819909</t>
  </si>
  <si>
    <t>-626.945621098375 34.381960589564 -376.26763062142</t>
  </si>
  <si>
    <t>-637.72881163187 35.9870552071473 -459.44976448125</t>
  </si>
  <si>
    <t>-652.518789952941 39.5878131532104 -581.159386144206</t>
  </si>
  <si>
    <t>-644.140985728375 47.0264037161439 -658.713780973463</t>
  </si>
  <si>
    <t>-646.352670361603 69.3524916921078 -526.787612811208</t>
  </si>
  <si>
    <t>-620.427699242541 219.986775632045 -495.578695357358</t>
  </si>
  <si>
    <t>-559.153308479784 217.460362448149 -220.228672352744</t>
  </si>
  <si>
    <t>-343.162030776684 132.326386289885 -227.193254215576</t>
  </si>
  <si>
    <t>-645.705472030246 6.66316964580983 -528.720830904387</t>
  </si>
  <si>
    <t>-589.016426826603 131.897389632291 -96.6817975031358</t>
  </si>
  <si>
    <t>-621.567329445047 142.825768537549 317.4722773689</t>
  </si>
  <si>
    <t>-669.189896781318 181.682477327167 776.51541620086</t>
  </si>
  <si>
    <t>-519.293078680906 184.343268064022 834.890893079072</t>
  </si>
  <si>
    <t>-591.792684769999 -72.0027281813789 323.487467284844</t>
  </si>
  <si>
    <t>-651.607935200164 -107.166272016357 781.401075692115</t>
  </si>
  <si>
    <t>-497.932087687016 -124.041026278972 825.929737773394</t>
  </si>
  <si>
    <t>9763-20170724T115443.262743300.bin</t>
  </si>
  <si>
    <t>-582.611809759557 39.2695884716652 -92.3423265793745</t>
  </si>
  <si>
    <t>-601.944291891765 34.8229509200451 -201.264284496804</t>
  </si>
  <si>
    <t>-615.156883612928 34.0519837850602 -293.191714740299</t>
  </si>
  <si>
    <t>-626.790773092442 34.4897690429136 -376.273596156803</t>
  </si>
  <si>
    <t>-637.545402010922 36.0764890132971 -459.459822718178</t>
  </si>
  <si>
    <t>-652.291672939752 39.6478406221627 -581.175507542005</t>
  </si>
  <si>
    <t>-643.871373706514 47.0543299309882 -658.728526510047</t>
  </si>
  <si>
    <t>-646.160534446571 69.4252745849449 -526.806977430196</t>
  </si>
  <si>
    <t>-620.245708170341 220.067765751444 -495.61293412945</t>
  </si>
  <si>
    <t>-559.198193290959 217.659361483988 -220.211435536845</t>
  </si>
  <si>
    <t>-343.214918857067 132.500796401913 -227.123332664378</t>
  </si>
  <si>
    <t>-645.481818396055 6.73609746546595 -528.728593528027</t>
  </si>
  <si>
    <t>-588.959686382278 132.028320512335 -96.6831277598606</t>
  </si>
  <si>
    <t>-621.544600083207 142.889533095091 317.470048696371</t>
  </si>
  <si>
    <t>-669.198931594272 181.660662718466 776.510873198677</t>
  </si>
  <si>
    <t>-519.302358520725 184.31149954665 834.887327086229</t>
  </si>
  <si>
    <t>-591.748893554653 -71.8686195681942 323.493292985111</t>
  </si>
  <si>
    <t>-651.612255990339 -107.129892812543 781.392518980466</t>
  </si>
  <si>
    <t>-497.901769165137 -123.752895116909 825.896284225241</t>
  </si>
  <si>
    <t>9763-20170724T115443.331933800.bin</t>
  </si>
  <si>
    <t>-582.450516485357 39.4334931826943 -92.328321787207</t>
  </si>
  <si>
    <t>-601.726915794469 34.975965339303 -201.259732024984</t>
  </si>
  <si>
    <t>-614.89607282521 34.1677797481632 -293.193147370581</t>
  </si>
  <si>
    <t>-626.492537646986 34.5598237531735 -376.280473642332</t>
  </si>
  <si>
    <t>-637.211692260074 36.0893984644988 -459.472409417664</t>
  </si>
  <si>
    <t>-651.908416815392 39.564581084589 -581.196885766684</t>
  </si>
  <si>
    <t>-643.405956573698 46.8941717129305 -658.7480882109</t>
  </si>
  <si>
    <t>-645.830823678956 69.3847249013004 -526.845487919527</t>
  </si>
  <si>
    <t>-620.049201353033 220.067877544825 -495.725978720762</t>
  </si>
  <si>
    <t>-559.355140701381 217.856055977767 -220.244597332846</t>
  </si>
  <si>
    <t>-343.323297067996 132.798192696608 -226.872913312298</t>
  </si>
  <si>
    <t>-645.088416422181 6.69477370438472 -528.724958888281</t>
  </si>
  <si>
    <t>-588.890514640876 132.134117228466 -96.6682119941372</t>
  </si>
  <si>
    <t>-621.544047680371 142.934834834771 317.481141594572</t>
  </si>
  <si>
    <t>-669.216930605889 181.653032875462 776.519607256396</t>
  </si>
  <si>
    <t>-519.316668979444 184.291015893305 834.887288640413</t>
  </si>
  <si>
    <t>-591.637410593753 -71.7686803035938 323.50467402444</t>
  </si>
  <si>
    <t>-651.597515820988 -107.114480915371 781.385839351626</t>
  </si>
  <si>
    <t>-497.910265202092 -123.907701869106 825.906007332477</t>
  </si>
  <si>
    <t>9763-20170724T115443.361030700.bin</t>
  </si>
  <si>
    <t>-582.384073355238 39.4689604365262 -92.322956627554</t>
  </si>
  <si>
    <t>-601.632386799305 35.0088360283405 -201.259194664256</t>
  </si>
  <si>
    <t>-614.797681665189 34.1894343880558 -293.193082060763</t>
  </si>
  <si>
    <t>-626.398612323718 34.5674090741052 -376.279786640852</t>
  </si>
  <si>
    <t>-637.130287687793 36.0791999911289 -459.470484225008</t>
  </si>
  <si>
    <t>-651.854202883006 39.5244133795586 -581.192545763711</t>
  </si>
  <si>
    <t>-643.330083952979 46.8300427456022 -658.743675706588</t>
  </si>
  <si>
    <t>-645.781986774843 69.3575026407398 -526.847751658135</t>
  </si>
  <si>
    <t>-620.035241933009 220.049805664131 -495.779418489477</t>
  </si>
  <si>
    <t>-559.565526554643 218.036844288539 -220.247401885691</t>
  </si>
  <si>
    <t>-343.537523779621 132.961450524588 -226.775089329125</t>
  </si>
  <si>
    <t>-645.005024701009 6.66767528504693 -528.716092783998</t>
  </si>
  <si>
    <t>-588.903094269989 132.138705951624 -96.6576212342292</t>
  </si>
  <si>
    <t>-621.554610935887 142.93858069324 317.491926835894</t>
  </si>
  <si>
    <t>-669.222208344945 181.645805157277 776.526993534854</t>
  </si>
  <si>
    <t>-519.319383579346 184.26805289508 834.888707704929</t>
  </si>
  <si>
    <t>-591.575918272916 -71.7343601532032 323.511950717186</t>
  </si>
  <si>
    <t>-651.584992154261 -107.077840367521 781.384911992194</t>
  </si>
  <si>
    <t>-497.871351347139 -123.623856311805 825.906519151558</t>
  </si>
  <si>
    <t>9763-20170724T115443.426201800.bin</t>
  </si>
  <si>
    <t>-582.330829988415 39.45713367189 -92.3358301225057</t>
  </si>
  <si>
    <t>-601.48490262889 34.9994396901332 -201.288799335356</t>
  </si>
  <si>
    <t>-614.5697723495 34.1751428387934 -293.234052345093</t>
  </si>
  <si>
    <t>-626.097834762354 34.545395259446 -376.331056380032</t>
  </si>
  <si>
    <t>-636.756449155361 36.0467603484174 -459.531261066461</t>
  </si>
  <si>
    <t>-651.373466021952 39.4737201472974 -581.266753323441</t>
  </si>
  <si>
    <t>-642.740221899351 46.765864979908 -658.80707198813</t>
  </si>
  <si>
    <t>-645.371394499037 69.314637424184 -526.918477479798</t>
  </si>
  <si>
    <t>-619.690921263246 220.029714117382 -495.900433746233</t>
  </si>
  <si>
    <t>-559.780959392439 218.2282322784 -220.244546331464</t>
  </si>
  <si>
    <t>-343.710563579856 133.239392033355 -226.490168505354</t>
  </si>
  <si>
    <t>-644.547889780252 6.62537643901942 -528.782105327082</t>
  </si>
  <si>
    <t>-588.866487217641 132.120286550896 -96.6569845432396</t>
  </si>
  <si>
    <t>-621.589013512493 142.927923224538 317.486791336891</t>
  </si>
  <si>
    <t>-669.211594078535 181.717061601951 776.534894337841</t>
  </si>
  <si>
    <t>-519.310504959805 184.22299961816 834.906230405341</t>
  </si>
  <si>
    <t>-591.606145004581 -71.801808809131 323.498403390379</t>
  </si>
  <si>
    <t>-651.590307542735 -107.09683895674 781.379383737648</t>
  </si>
  <si>
    <t>-497.898539493887 -123.867704810833 825.892277075569</t>
  </si>
  <si>
    <t>9763-20170724T115443.459287800.bin</t>
  </si>
  <si>
    <t>-582.369940333088 39.4318953780776 -92.3424611594553</t>
  </si>
  <si>
    <t>-601.436054759501 34.966824025541 -201.310602958819</t>
  </si>
  <si>
    <t>-614.442525226522 34.1346775343343 -293.266834305671</t>
  </si>
  <si>
    <t>-625.898183166232 34.4973492106926 -376.374002863782</t>
  </si>
  <si>
    <t>-636.482798448189 35.990432484703 -459.583677592348</t>
  </si>
  <si>
    <t>-650.989992389014 39.4045117576657 -581.332711747449</t>
  </si>
  <si>
    <t>-642.28852028684 46.7045791132689 -658.864611568746</t>
  </si>
  <si>
    <t>-645.038931324452 69.2511429940434 -526.981937694244</t>
  </si>
  <si>
    <t>-619.401948002571 219.972735260978 -495.94041858509</t>
  </si>
  <si>
    <t>-559.876237184904 218.204488863852 -220.201295127041</t>
  </si>
  <si>
    <t>-343.76960528309 133.297411164506 -226.30380645532</t>
  </si>
  <si>
    <t>-644.209841600768 6.5616155095222 -528.838789863541</t>
  </si>
  <si>
    <t>-588.887177748902 132.070572043918 -96.6692209384989</t>
  </si>
  <si>
    <t>-621.637522133831 142.907070276216 317.471584599616</t>
  </si>
  <si>
    <t>-669.229398323337 181.64973464534 776.527721567227</t>
  </si>
  <si>
    <t>-519.334420003359 184.275498995218 834.909369684029</t>
  </si>
  <si>
    <t>-591.72025838655 -71.8366180715263 323.491999898918</t>
  </si>
  <si>
    <t>-651.587762087944 -107.120754343532 781.379733530357</t>
  </si>
  <si>
    <t>-497.930345372539 -124.167656176898 825.906411440794</t>
  </si>
  <si>
    <t>9763-20170724T115443.530489700.bin</t>
  </si>
  <si>
    <t>-582.436923865161 39.3784571341816 -92.3528668767783</t>
  </si>
  <si>
    <t>-601.239389336073 34.89566555805 -201.366076438351</t>
  </si>
  <si>
    <t>-614.054030197749 34.0664641680733 -293.349486936862</t>
  </si>
  <si>
    <t>-625.348442654193 34.4388735783716 -376.478411081894</t>
  </si>
  <si>
    <t>-635.783661346864 35.9492437969577 -459.706801493891</t>
  </si>
  <si>
    <t>-650.085420179232 39.3966451642445 -581.479100171357</t>
  </si>
  <si>
    <t>-641.236579416188 46.766735788171 -658.9878022761</t>
  </si>
  <si>
    <t>-644.229668555996 69.2283602607938 -527.109847714028</t>
  </si>
  <si>
    <t>-618.580905559965 219.93863583492 -496.041095370846</t>
  </si>
  <si>
    <t>-560.054062323851 218.324716849185 -220.087198195201</t>
  </si>
  <si>
    <t>-343.949710775927 133.388852675552 -225.860870689211</t>
  </si>
  <si>
    <t>-643.39022653516 6.53953485954321 -528.983206670617</t>
  </si>
  <si>
    <t>-588.949968792071 131.955630259867 -96.7025857653514</t>
  </si>
  <si>
    <t>-621.812416073949 142.889242068092 317.42675387576</t>
  </si>
  <si>
    <t>-669.24292569691 181.632734957731 776.502645750766</t>
  </si>
  <si>
    <t>-519.358807514283 184.272711226816 834.911582347231</t>
  </si>
  <si>
    <t>-591.922704647297 -71.9820767117956 323.476172618143</t>
  </si>
  <si>
    <t>-651.550048284181 -107.079066354758 781.393480115916</t>
  </si>
  <si>
    <t>-497.868065722153 -123.800788236657 825.958614838292</t>
  </si>
  <si>
    <t>9763-20170724T115443.564579700.bin</t>
  </si>
  <si>
    <t>-582.445231328072 39.32224597097 -92.3589628585775</t>
  </si>
  <si>
    <t>-601.080141215759 34.8187154854684 -201.400185549845</t>
  </si>
  <si>
    <t>-613.788099463668 33.9900025513161 -293.398209850635</t>
  </si>
  <si>
    <t>-624.999892538923 34.3702439163835 -376.538398254486</t>
  </si>
  <si>
    <t>-635.366195551184 35.8956494582737 -459.775061948659</t>
  </si>
  <si>
    <t>-649.582017352959 39.373787014041 -581.556611969193</t>
  </si>
  <si>
    <t>-640.66051814237 46.782454407261 -659.053277676943</t>
  </si>
  <si>
    <t>-643.768016091998 69.1917517928171 -527.175301757831</t>
  </si>
  <si>
    <t>-618.117121112193 219.900687748108 -496.094006549024</t>
  </si>
  <si>
    <t>-560.016411661487 218.38406372582 -220.049520627159</t>
  </si>
  <si>
    <t>-343.898891107694 133.482909198348 -225.841239436643</t>
  </si>
  <si>
    <t>-642.920479428862 6.50342307456458 -529.064594874749</t>
  </si>
  <si>
    <t>-588.958376163275 131.880264089914 -96.7294090712252</t>
  </si>
  <si>
    <t>-621.931074373734 142.847597510921 317.390252951034</t>
  </si>
  <si>
    <t>-669.247721993156 181.655707764256 776.481695548381</t>
  </si>
  <si>
    <t>-519.36890147889 184.336751502418 834.902439461082</t>
  </si>
  <si>
    <t>-592.026681221285 -72.0782304083789 323.468896485294</t>
  </si>
  <si>
    <t>-651.530897894341 -107.093850447036 781.405489254227</t>
  </si>
  <si>
    <t>-497.864033687279 -123.877214131329 825.999640007037</t>
  </si>
  <si>
    <t>9763-20170724T115443.628269400.bin</t>
  </si>
  <si>
    <t>-582.482494766452 39.246074300471 -92.4011304732205</t>
  </si>
  <si>
    <t>-600.852561032338 34.7020001310209 -201.485439326391</t>
  </si>
  <si>
    <t>-613.426831475607 33.8767495478435 -293.502026004892</t>
  </si>
  <si>
    <t>-624.553583067962 34.2753153395558 -376.653452902697</t>
  </si>
  <si>
    <t>-634.870286516775 35.8350499921041 -459.895620125619</t>
  </si>
  <si>
    <t>-649.052472890532 39.3811288705999 -581.679148780751</t>
  </si>
  <si>
    <t>-640.034763189805 46.8461570223717 -659.159292690159</t>
  </si>
  <si>
    <t>-643.26328672514 69.1686287112286 -527.278511484097</t>
  </si>
  <si>
    <t>-617.564016003888 219.85959683692 -496.167922719479</t>
  </si>
  <si>
    <t>-560.278007880112 218.549184070348 -219.952163983883</t>
  </si>
  <si>
    <t>-344.26773736041 133.393922173641 -226.007739867351</t>
  </si>
  <si>
    <t>-642.395630154757 6.48161011878938 -529.204827427688</t>
  </si>
  <si>
    <t>-589.043672650363 131.833359429423 -96.8172859671048</t>
  </si>
  <si>
    <t>-622.035237150579 142.91269098986 317.297918635892</t>
  </si>
  <si>
    <t>-669.231659977938 181.745001321092 776.406210841634</t>
  </si>
  <si>
    <t>-519.370431456304 184.342898972872 834.875776083227</t>
  </si>
  <si>
    <t>-592.259761764812 -72.2421419521963 323.4534904879</t>
  </si>
  <si>
    <t>-651.468478293193 -107.106683455111 781.430608204214</t>
  </si>
  <si>
    <t>-497.824253794006 -123.83602378694 826.122968864403</t>
  </si>
  <si>
    <t>9763-20170724T115443.663362200.bin</t>
  </si>
  <si>
    <t>-582.529528703039 39.1856773243981 -92.4387599840668</t>
  </si>
  <si>
    <t>-600.802631226233 34.6296387884979 -201.538810664031</t>
  </si>
  <si>
    <t>-613.322298813594 33.8020260192868 -293.562867968746</t>
  </si>
  <si>
    <t>-624.410562624839 34.2020413422306 -376.719584908323</t>
  </si>
  <si>
    <t>-634.699628481692 35.766878363818 -459.965041678127</t>
  </si>
  <si>
    <t>-648.853340761788 39.3241907285712 -581.751550059038</t>
  </si>
  <si>
    <t>-639.780899450642 46.7924081787137 -659.224887240885</t>
  </si>
  <si>
    <t>-643.069041214583 69.106754024891 -527.347566970931</t>
  </si>
  <si>
    <t>-617.329649812698 219.798989854366 -496.26296948269</t>
  </si>
  <si>
    <t>-560.499945538457 218.595303150537 -219.952376945564</t>
  </si>
  <si>
    <t>-344.626810541455 133.102663610089 -226.143985855691</t>
  </si>
  <si>
    <t>-642.216592061589 6.41975840918963 -529.277750612314</t>
  </si>
  <si>
    <t>-589.034964025505 131.842740601817 -96.8691964604719</t>
  </si>
  <si>
    <t>-622.100223080006 142.90173580126 317.240710258875</t>
  </si>
  <si>
    <t>-669.226514090834 181.78162390519 776.360411053055</t>
  </si>
  <si>
    <t>-519.373606420954 184.327529176222 834.853580448282</t>
  </si>
  <si>
    <t>-592.456310035875 -72.414382054149 323.431635309869</t>
  </si>
  <si>
    <t>-651.437336551745 -107.116801084811 781.451522910874</t>
  </si>
  <si>
    <t>-497.825583251856 -123.996889322195 826.198804013682</t>
  </si>
  <si>
    <t>9763-20170724T115443.731051300.bin</t>
  </si>
  <si>
    <t>-582.545536237497 39.1182147962479 -92.4859149202737</t>
  </si>
  <si>
    <t>-600.729898583632 34.5796391777799 -201.601588644953</t>
  </si>
  <si>
    <t>-613.188165987108 33.7807333699689 -293.634112557769</t>
  </si>
  <si>
    <t>-624.226838656819 34.2139012665064 -376.79728145922</t>
  </si>
  <si>
    <t>-634.472391502432 35.818715829962 -460.047311701108</t>
  </si>
  <si>
    <t>-648.569425268385 39.4424245550151 -581.838521081743</t>
  </si>
  <si>
    <t>-639.403084248202 46.9014990159756 -659.301720586383</t>
  </si>
  <si>
    <t>-642.800952484951 69.1955097001321 -527.416770884162</t>
  </si>
  <si>
    <t>-616.87731640319 219.856299999139 -496.332345554637</t>
  </si>
  <si>
    <t>-560.805934833662 218.827635467721 -219.866228376138</t>
  </si>
  <si>
    <t>-345.356434687241 132.31193771549 -226.58009265896</t>
  </si>
  <si>
    <t>-641.966557227113 6.50930809933311 -529.37847670617</t>
  </si>
  <si>
    <t>-588.944894538629 131.84425877537 -96.9439789326052</t>
  </si>
  <si>
    <t>-622.022142048171 142.908408019716 317.164815788135</t>
  </si>
  <si>
    <t>-669.255179666433 181.731727082612 776.289826092688</t>
  </si>
  <si>
    <t>-519.409049939051 184.234328454538 834.802211918445</t>
  </si>
  <si>
    <t>-592.760096322399 -72.5110433815782 323.398914318132</t>
  </si>
  <si>
    <t>-651.396464178493 -107.05861986119 781.472003361943</t>
  </si>
  <si>
    <t>-497.742095897049 -123.420311632023 826.265467137971</t>
  </si>
  <si>
    <t>9763-20170724T115443.763137700.bin</t>
  </si>
  <si>
    <t>-582.57223669861 39.1305951597458 -92.4919430451444</t>
  </si>
  <si>
    <t>-600.748979525777 34.614526254348 -201.609837536523</t>
  </si>
  <si>
    <t>-613.196296370907 33.8267268918687 -293.643870489915</t>
  </si>
  <si>
    <t>-624.223468162952 34.2675302085672 -376.808482926084</t>
  </si>
  <si>
    <t>-634.456014706194 35.8772358509059 -460.060186672855</t>
  </si>
  <si>
    <t>-648.532587635856 39.505024374017 -581.853432414262</t>
  </si>
  <si>
    <t>-639.339568536194 46.9411031571065 -659.315780930301</t>
  </si>
  <si>
    <t>-642.766130480838 69.2563183659863 -527.430712791519</t>
  </si>
  <si>
    <t>-616.791202152602 219.91485743795 -496.375026818879</t>
  </si>
  <si>
    <t>-560.947455285455 218.873836300336 -219.862899889757</t>
  </si>
  <si>
    <t>-345.72677715138 131.816107406916 -226.901797793445</t>
  </si>
  <si>
    <t>-641.945747090513 6.56991300793811 -529.392657116949</t>
  </si>
  <si>
    <t>-588.937333856549 131.879911622747 -96.9531774426887</t>
  </si>
  <si>
    <t>-621.97675333794 142.892684359915 317.160009299163</t>
  </si>
  <si>
    <t>-669.269940733796 181.682246475649 776.265028863879</t>
  </si>
  <si>
    <t>-519.424052824761 184.302934133578 834.772814583843</t>
  </si>
  <si>
    <t>-592.81374783188 -72.4992756611 323.391949077671</t>
  </si>
  <si>
    <t>-651.376731100157 -107.040930201606 781.470660542342</t>
  </si>
  <si>
    <t>-497.753563889988 -123.585465227704 826.304026346495</t>
  </si>
  <si>
    <t>9763-20170724T115443.826324900.bin</t>
  </si>
  <si>
    <t>-582.619365338803 39.2008010184175 -92.4988522784211</t>
  </si>
  <si>
    <t>-600.817767551121 34.7461728884539 -201.615657124656</t>
  </si>
  <si>
    <t>-613.289186358317 33.9893985378267 -293.64679511808</t>
  </si>
  <si>
    <t>-624.340855941472 34.4505374935839 -376.807993449552</t>
  </si>
  <si>
    <t>-634.600891551939 36.0728122127284 -460.055988970115</t>
  </si>
  <si>
    <t>-648.721148001854 39.7104863430395 -581.844039833478</t>
  </si>
  <si>
    <t>-639.514378398482 47.0865918545881 -659.310414173885</t>
  </si>
  <si>
    <t>-642.930763020581 69.4575262598953 -527.421197188802</t>
  </si>
  <si>
    <t>-616.874136455671 220.110467173006 -496.400973842164</t>
  </si>
  <si>
    <t>-561.024327233411 219.030681139626 -219.890189489858</t>
  </si>
  <si>
    <t>-346.629666687178 130.094736109196 -228.484391735833</t>
  </si>
  <si>
    <t>-642.11986062758 6.7710858952712 -529.387696616464</t>
  </si>
  <si>
    <t>-588.948113562381 131.964566839599 -96.9355627704794</t>
  </si>
  <si>
    <t>-621.965876119006 142.934121691189 317.180549163574</t>
  </si>
  <si>
    <t>-669.275270870195 181.734650919959 776.261988541778</t>
  </si>
  <si>
    <t>-519.415120945475 184.245099233027 834.738082825377</t>
  </si>
  <si>
    <t>-592.797210943323 -72.3606127786247 323.374362971838</t>
  </si>
  <si>
    <t>-651.355758065598 -107.01015611712 781.467931708726</t>
  </si>
  <si>
    <t>-497.744831700403 -123.569682433088 826.33766119867</t>
  </si>
  <si>
    <t>9763-20170724T115443.861414900.bin</t>
  </si>
  <si>
    <t>-582.639283265426 39.2301038509202 -92.4879975203322</t>
  </si>
  <si>
    <t>-600.852131480063 34.7994012904958 -201.603293308303</t>
  </si>
  <si>
    <t>-613.347476280298 34.0513209275775 -293.631363884483</t>
  </si>
  <si>
    <t>-624.425472768361 34.5155155097607 -376.788906716592</t>
  </si>
  <si>
    <t>-634.716557875221 36.1361280167077 -460.033210908218</t>
  </si>
  <si>
    <t>-648.887251183752 39.7664700199869 -581.815532773457</t>
  </si>
  <si>
    <t>-639.689442911407 47.1138901760742 -659.285658775167</t>
  </si>
  <si>
    <t>-643.070538468949 69.516909167251 -527.39748068366</t>
  </si>
  <si>
    <t>-616.949233168638 220.157375810142 -496.381289927546</t>
  </si>
  <si>
    <t>-560.933313179231 219.069054304106 -219.904081012698</t>
  </si>
  <si>
    <t>-347.070420055259 128.981034741162 -229.668501650367</t>
  </si>
  <si>
    <t>-642.26797857799 6.83015598610041 -529.359526807686</t>
  </si>
  <si>
    <t>-588.983070078038 131.962756501278 -96.9069896198394</t>
  </si>
  <si>
    <t>-621.958587895288 142.912848636586 317.212947461955</t>
  </si>
  <si>
    <t>-669.299020267923 181.663919623591 776.28229192484</t>
  </si>
  <si>
    <t>-519.431009208679 184.275493141303 834.733917494344</t>
  </si>
  <si>
    <t>-592.722615845694 -72.2906665149001 323.371087431606</t>
  </si>
  <si>
    <t>-651.363524279126 -107.030616464966 781.454491365632</t>
  </si>
  <si>
    <t>-497.765678588531 -123.72475465331 826.319140328848</t>
  </si>
  <si>
    <t>9763-20170724T115443.929602900.bin</t>
  </si>
  <si>
    <t>-582.718421375828 39.3521132742692 -92.4558938412283</t>
  </si>
  <si>
    <t>-601.012299945763 34.9498221622976 -201.558849687159</t>
  </si>
  <si>
    <t>-613.574404752649 34.2138608213613 -293.577796848132</t>
  </si>
  <si>
    <t>-624.711865175378 34.6839050130836 -376.727417788113</t>
  </si>
  <si>
    <t>-635.061474165888 36.3054829510315 -459.964446788706</t>
  </si>
  <si>
    <t>-649.31683359072 39.9309612291604 -581.737093693227</t>
  </si>
  <si>
    <t>-640.170408309563 47.2496868562348 -659.215964415803</t>
  </si>
  <si>
    <t>-643.458179817839 69.6834732799757 -527.324711891466</t>
  </si>
  <si>
    <t>-617.301281987915 220.312924468468 -496.290313473037</t>
  </si>
  <si>
    <t>-560.781076118594 218.942186522047 -219.917055372437</t>
  </si>
  <si>
    <t>-347.716680526666 127.225814412491 -231.757980009379</t>
  </si>
  <si>
    <t>-642.665265306472 6.99673360704264 -529.283977688618</t>
  </si>
  <si>
    <t>-589.114310329542 132.066313964411 -96.8478121345291</t>
  </si>
  <si>
    <t>-621.979497712417 142.913194588278 317.283618370818</t>
  </si>
  <si>
    <t>-669.319665679084 181.641510650138 776.345345863926</t>
  </si>
  <si>
    <t>-519.427625207526 184.205721320843 834.737356250234</t>
  </si>
  <si>
    <t>-592.569224611825 -72.0491331042033 323.37883036885</t>
  </si>
  <si>
    <t>-651.395417117067 -107.009011544619 781.427954139376</t>
  </si>
  <si>
    <t>-497.798617792948 -123.844764228918 826.243119800495</t>
  </si>
  <si>
    <t>9763-20170724T115443.963693600.bin</t>
  </si>
  <si>
    <t>-582.738288748947 39.473267318825 -92.4472220496692</t>
  </si>
  <si>
    <t>-601.081365260094 35.0825810448625 -201.542327586482</t>
  </si>
  <si>
    <t>-613.680205810314 34.3608104612424 -293.556427740158</t>
  </si>
  <si>
    <t>-624.848826908166 34.8451637032763 -376.701765910809</t>
  </si>
  <si>
    <t>-635.227551478599 36.4823453739036 -459.934859571134</t>
  </si>
  <si>
    <t>-649.523019004248 40.132453530636 -581.702063384852</t>
  </si>
  <si>
    <t>-640.417796280285 47.4528533609498 -659.185766498092</t>
  </si>
  <si>
    <t>-643.645395429269 69.8740317566735 -527.28567899448</t>
  </si>
  <si>
    <t>-617.47757754763 220.496046743409 -496.21494844911</t>
  </si>
  <si>
    <t>-560.71089763417 218.927142167506 -219.893360092156</t>
  </si>
  <si>
    <t>-347.901247194345 126.760991562585 -232.776768394264</t>
  </si>
  <si>
    <t>-642.855215322228 7.18752919348731 -529.25768405483</t>
  </si>
  <si>
    <t>-589.144897214653 132.137986436246 -96.8186197427157</t>
  </si>
  <si>
    <t>-621.989513046998 142.92656648111 317.315897719989</t>
  </si>
  <si>
    <t>-669.315305205832 181.702292174095 776.376179330133</t>
  </si>
  <si>
    <t>-519.410533721745 184.215461225836 834.73767052534</t>
  </si>
  <si>
    <t>-592.533663528385 -71.8576437138777 323.382931953211</t>
  </si>
  <si>
    <t>-651.417519512347 -106.966802121734 781.410537210225</t>
  </si>
  <si>
    <t>-497.792249780057 -123.657352806372 826.182443370821</t>
  </si>
  <si>
    <t>9763-20170724T115444.029640400.bin</t>
  </si>
  <si>
    <t>-582.746848414389 39.5831834935666 -92.4423975615956</t>
  </si>
  <si>
    <t>-601.133378046349 35.200847142225 -201.530568245418</t>
  </si>
  <si>
    <t>-613.799201613826 34.5029757413308 -293.535580408728</t>
  </si>
  <si>
    <t>-625.040445704439 35.0157180433046 -376.671132216304</t>
  </si>
  <si>
    <t>-635.503988209419 36.6881261403194 -459.892836314519</t>
  </si>
  <si>
    <t>-649.936689571598 40.3976919955667 -581.641912411279</t>
  </si>
  <si>
    <t>-640.933924941946 47.7288394037091 -659.136592952517</t>
  </si>
  <si>
    <t>-644.006093253297 70.1126132607233 -527.216709409574</t>
  </si>
  <si>
    <t>-617.861121537288 220.714737255686 -496.036442472783</t>
  </si>
  <si>
    <t>-560.493976085451 218.730596225943 -219.841404589454</t>
  </si>
  <si>
    <t>-347.791055742381 126.440340747026 -233.571489199021</t>
  </si>
  <si>
    <t>-643.201393402575 7.42741592834818 -529.222120421059</t>
  </si>
  <si>
    <t>-589.119983925759 132.096282698476 -96.7700884556118</t>
  </si>
  <si>
    <t>-622.046519014862 142.904334331983 317.357469265816</t>
  </si>
  <si>
    <t>-669.344497425407 181.69520017489 776.433652206288</t>
  </si>
  <si>
    <t>-519.419025742191 184.220136177374 834.74146893037</t>
  </si>
  <si>
    <t>-592.635656881998 -71.7161317237028 323.371739476737</t>
  </si>
  <si>
    <t>-651.449882441139 -106.943287372005 781.398333709459</t>
  </si>
  <si>
    <t>-497.781385232742 -123.408937043421 826.105161014965</t>
  </si>
  <si>
    <t>9763-20170724T115444.061724000.bin</t>
  </si>
  <si>
    <t>-582.772848645412 39.602033929682 -92.4285093023371</t>
  </si>
  <si>
    <t>-601.162761727756 35.2291093826364 -201.516424979442</t>
  </si>
  <si>
    <t>-613.833113594104 34.5463410452278 -293.521036706062</t>
  </si>
  <si>
    <t>-625.079098179041 35.0757930046766 -376.655731158179</t>
  </si>
  <si>
    <t>-635.548090328378 36.7679283355767 -459.876382424852</t>
  </si>
  <si>
    <t>-649.989462110117 40.5099186317796 -581.6235034846</t>
  </si>
  <si>
    <t>-641.018697168019 47.8536047790421 -659.120670867035</t>
  </si>
  <si>
    <t>-644.057909533848 70.2103063085028 -527.190648230438</t>
  </si>
  <si>
    <t>-617.952175667449 220.803762714941 -495.951617848632</t>
  </si>
  <si>
    <t>-560.313988592956 218.597934897624 -219.814765221191</t>
  </si>
  <si>
    <t>-347.661771071928 126.264385647859 -234.030623706681</t>
  </si>
  <si>
    <t>-643.247508555718 7.52575860001366 -529.213257493283</t>
  </si>
  <si>
    <t>-589.111825710989 132.093031934062 -96.7540440713831</t>
  </si>
  <si>
    <t>-622.052677001035 142.920530259067 317.371828620726</t>
  </si>
  <si>
    <t>-669.346335707852 181.735236669305 776.445163357909</t>
  </si>
  <si>
    <t>-519.413590307109 184.104159038966 834.740920186816</t>
  </si>
  <si>
    <t>-592.703444939154 -71.7008261873521 323.364876383492</t>
  </si>
  <si>
    <t>-651.465814919728 -106.914603124814 781.395899287275</t>
  </si>
  <si>
    <t>-497.765897889345 -123.195583245762 826.062268339791</t>
  </si>
  <si>
    <t>9763-20170724T115444.128613000.bin</t>
  </si>
  <si>
    <t>-582.805620523276 39.4704542531535 -92.4072299311393</t>
  </si>
  <si>
    <t>-601.189933938503 35.1053830107307 -201.496449349664</t>
  </si>
  <si>
    <t>-613.838608356488 34.4419673552056 -293.504001517907</t>
  </si>
  <si>
    <t>-625.05822833751 34.9940795398406 -376.642247480379</t>
  </si>
  <si>
    <t>-635.493916912478 36.7140862179524 -459.866453393731</t>
  </si>
  <si>
    <t>-649.878925924882 40.502424975047 -581.618874637291</t>
  </si>
  <si>
    <t>-640.937955592296 47.8725698030198 -659.116990829742</t>
  </si>
  <si>
    <t>-643.965590225324 70.1820324814328 -527.172779615803</t>
  </si>
  <si>
    <t>-617.890725090449 220.761509619231 -495.813813615094</t>
  </si>
  <si>
    <t>-559.815250926507 218.219373196595 -219.771512557097</t>
  </si>
  <si>
    <t>-347.419024156538 125.512485523004 -235.321857506622</t>
  </si>
  <si>
    <t>-643.168267445801 7.49816290756053 -529.217307600831</t>
  </si>
  <si>
    <t>-589.09396170356 131.949621065312 -96.7385826491254</t>
  </si>
  <si>
    <t>-622.106547247667 142.751378403125 317.382361053329</t>
  </si>
  <si>
    <t>-669.397180539425 181.584462631454 776.449559280247</t>
  </si>
  <si>
    <t>-519.461289499552 184.283147248524 834.72272331965</t>
  </si>
  <si>
    <t>-592.838995619089 -71.840641891815 323.353843627827</t>
  </si>
  <si>
    <t>-651.507134780453 -106.900796225416 781.391080262515</t>
  </si>
  <si>
    <t>-497.814505630976 -123.439400702967 825.987935378892</t>
  </si>
  <si>
    <t>9763-20170724T115444.163706900.bin</t>
  </si>
  <si>
    <t>-582.731212087469 39.4162611714121 -92.4078349772358</t>
  </si>
  <si>
    <t>-601.102896463714 35.0461220005748 -201.49902141201</t>
  </si>
  <si>
    <t>-613.748857865032 34.3900378557905 -293.50709172044</t>
  </si>
  <si>
    <t>-624.969079078356 34.9535416948161 -376.645106045136</t>
  </si>
  <si>
    <t>-635.408417659855 36.6894262905735 -459.868472402771</t>
  </si>
  <si>
    <t>-649.80204543466 40.506225657075 -581.618965829638</t>
  </si>
  <si>
    <t>-640.875993930593 47.9025778271305 -659.116223050999</t>
  </si>
  <si>
    <t>-643.882510429867 70.1732720151065 -527.166549542796</t>
  </si>
  <si>
    <t>-617.806758688664 220.743367630532 -495.780505643694</t>
  </si>
  <si>
    <t>-559.601957532827 218.219692084663 -219.765289051704</t>
  </si>
  <si>
    <t>-347.50828060789 124.99619489423 -236.323537382678</t>
  </si>
  <si>
    <t>-643.089973067126 7.48968262941389 -529.225334530271</t>
  </si>
  <si>
    <t>-588.99077052515 131.909746683422 -96.7387102692188</t>
  </si>
  <si>
    <t>-622.066117248818 142.703110425808 317.377361591569</t>
  </si>
  <si>
    <t>-669.393220904249 181.634127280993 776.431882039801</t>
  </si>
  <si>
    <t>-519.457968198078 184.286524508662 834.708846256221</t>
  </si>
  <si>
    <t>-592.854102571787 -71.9207285520572 323.350522989126</t>
  </si>
  <si>
    <t>-651.515686265004 -106.88279539595 781.38940473182</t>
  </si>
  <si>
    <t>-497.810284985665 -123.391934100881 825.953182042395</t>
  </si>
  <si>
    <t>9763-20170724T115444.226381800.bin</t>
  </si>
  <si>
    <t>-582.519601536124 39.4507365642442 -92.4187587800656</t>
  </si>
  <si>
    <t>-600.867886560927 35.0864114809497 -201.514081490986</t>
  </si>
  <si>
    <t>-613.508451850927 34.4611750831373 -293.523093414448</t>
  </si>
  <si>
    <t>-624.729579780061 35.0630373729787 -376.660668477874</t>
  </si>
  <si>
    <t>-635.175574801768 36.8484444643298 -459.882323210828</t>
  </si>
  <si>
    <t>-649.58547459433 40.7492857534046 -581.628190643797</t>
  </si>
  <si>
    <t>-640.682239945852 48.2090286874843 -659.122043936633</t>
  </si>
  <si>
    <t>-643.673433497059 70.3784114295659 -527.154304701406</t>
  </si>
  <si>
    <t>-617.694491184649 220.937226142503 -495.628492838241</t>
  </si>
  <si>
    <t>-559.284777787933 218.237301420007 -219.658286256404</t>
  </si>
  <si>
    <t>-347.707512373295 124.263828166876 -238.435034608205</t>
  </si>
  <si>
    <t>-642.851653526094 7.69679094477692 -529.259977497878</t>
  </si>
  <si>
    <t>-588.762027491582 132.021366002856 -96.7515050710045</t>
  </si>
  <si>
    <t>-621.952626410005 142.727134665666 317.357597901505</t>
  </si>
  <si>
    <t>-669.394626996667 181.668257859282 776.398002148044</t>
  </si>
  <si>
    <t>-519.465594532457 184.193606991451 834.696629594884</t>
  </si>
  <si>
    <t>-592.809071388832 -71.9477952417467 323.335070687693</t>
  </si>
  <si>
    <t>-651.522094795792 -106.889896615986 781.390825285411</t>
  </si>
  <si>
    <t>-497.830825281575 -123.586103341903 825.933524006116</t>
  </si>
  <si>
    <t>9763-20170724T115444.260473800.bin</t>
  </si>
  <si>
    <t>-582.345239505153 39.4927770368231 -92.4219679250012</t>
  </si>
  <si>
    <t>-600.665264961934 35.1316610439778 -201.522144052148</t>
  </si>
  <si>
    <t>-613.266040195492 34.5298906199412 -293.536784629706</t>
  </si>
  <si>
    <t>-624.444842737311 35.1613518299919 -376.679860113241</t>
  </si>
  <si>
    <t>-634.842181180552 36.9844335362584 -459.906700552373</t>
  </si>
  <si>
    <t>-649.173962286684 40.9495870597373 -581.659799997082</t>
  </si>
  <si>
    <t>-640.260915511064 48.442878357371 -659.149316987337</t>
  </si>
  <si>
    <t>-643.306947616982 70.549802787395 -527.165185609154</t>
  </si>
  <si>
    <t>-617.373358602027 221.10021163335 -495.555355863693</t>
  </si>
  <si>
    <t>-559.043432679395 218.31359578852 -219.569126502886</t>
  </si>
  <si>
    <t>-347.727503164928 123.995337170757 -239.523257894089</t>
  </si>
  <si>
    <t>-642.46367237842 7.86953907082648 -529.30585334974</t>
  </si>
  <si>
    <t>-588.555826540731 132.072155110309 -96.7493203564165</t>
  </si>
  <si>
    <t>-621.858773087302 142.737826887713 317.351797061712</t>
  </si>
  <si>
    <t>-669.396901002607 181.669629186388 776.385165654382</t>
  </si>
  <si>
    <t>-519.472827842256 184.150981033667 834.698493753384</t>
  </si>
  <si>
    <t>-592.752913227345 -71.9661470551414 323.335083655111</t>
  </si>
  <si>
    <t>-651.519819176497 -106.873208898437 781.388322396526</t>
  </si>
  <si>
    <t>-497.814438228815 -123.467616429077 825.920395109011</t>
  </si>
  <si>
    <t>9763-20170724T115444.330164700.bin</t>
  </si>
  <si>
    <t>-581.987479140067 39.52834032839 -92.4359480427406</t>
  </si>
  <si>
    <t>-600.200111771435 35.1812440701497 -201.554758551844</t>
  </si>
  <si>
    <t>-612.691173236509 34.5959914082675 -293.584387977294</t>
  </si>
  <si>
    <t>-623.763416763797 35.2444207166398 -376.741619980548</t>
  </si>
  <si>
    <t>-634.046594621202 37.0868262753972 -459.982206979334</t>
  </si>
  <si>
    <t>-648.203228697678 41.0825321209145 -581.754634822986</t>
  </si>
  <si>
    <t>-639.238879101601 48.5918902568735 -659.236684376299</t>
  </si>
  <si>
    <t>-642.406211518425 70.6692710550026 -527.245393978643</t>
  </si>
  <si>
    <t>-616.498799272418 221.21345260161 -495.571574233057</t>
  </si>
  <si>
    <t>-558.437582701887 218.339329592936 -219.529467498173</t>
  </si>
  <si>
    <t>-347.705132947655 123.112869007187 -241.26166089725</t>
  </si>
  <si>
    <t>-641.576619702286 7.98929612509369 -529.398664020471</t>
  </si>
  <si>
    <t>-588.115373242955 132.143874268286 -96.7613911906529</t>
  </si>
  <si>
    <t>-621.624296314161 142.724139951735 317.325366454434</t>
  </si>
  <si>
    <t>-669.394097623965 181.69947795129 776.344423965852</t>
  </si>
  <si>
    <t>-519.486801717001 184.198328404007 834.700076987503</t>
  </si>
  <si>
    <t>-592.670595894304 -72.0359516951335 323.322487430381</t>
  </si>
  <si>
    <t>-651.502805935836 -106.886555145721 781.390573709475</t>
  </si>
  <si>
    <t>-497.834963928119 -123.757815272928 825.948173341037</t>
  </si>
  <si>
    <t>9763-20170724T115444.364258200.bin</t>
  </si>
  <si>
    <t>-581.794794985247 39.5566486256605 -92.4332309362916</t>
  </si>
  <si>
    <t>-599.979947909747 35.2224077359579 -201.557103098262</t>
  </si>
  <si>
    <t>-612.452799973459 34.6427707791881 -293.589338614442</t>
  </si>
  <si>
    <t>-623.510635665838 35.2946541726531 -376.748380196569</t>
  </si>
  <si>
    <t>-633.781520016493 37.1387264470127 -459.990537079575</t>
  </si>
  <si>
    <t>-647.922495761498 41.1349672658887 -581.764869116752</t>
  </si>
  <si>
    <t>-638.945542842871 48.6380923417435 -659.24598508705</t>
  </si>
  <si>
    <t>-642.123853895131 70.7216069793874 -527.255682620809</t>
  </si>
  <si>
    <t>-616.183749009497 221.251762965517 -495.535623096003</t>
  </si>
  <si>
    <t>-558.159685349693 218.401361080734 -219.485466361775</t>
  </si>
  <si>
    <t>-347.795814658973 122.559512829307 -242.066651902787</t>
  </si>
  <si>
    <t>-641.311242029667 8.04136105598423 -529.407008732793</t>
  </si>
  <si>
    <t>-587.900872556864 132.179690843788 -96.760474969603</t>
  </si>
  <si>
    <t>-621.506799105382 142.734841846614 317.319044655442</t>
  </si>
  <si>
    <t>-669.401677716103 181.677398400755 776.326274491293</t>
  </si>
  <si>
    <t>-519.504321916174 184.189597231546 834.706833847296</t>
  </si>
  <si>
    <t>-592.620692633825 -72.0529058195787 323.324273193935</t>
  </si>
  <si>
    <t>-651.493374369937 -106.834365357194 781.389428258709</t>
  </si>
  <si>
    <t>-497.767652899791 -123.187963456398 825.940397759788</t>
  </si>
  <si>
    <t>9763-20170724T115444.433447400.bin</t>
  </si>
  <si>
    <t>-581.412422412331 39.4782265097067 -92.4364913869422</t>
  </si>
  <si>
    <t>-599.576981840459 35.1642529547914 -201.564510254851</t>
  </si>
  <si>
    <t>-612.03138087102 34.5983111370253 -293.599313249342</t>
  </si>
  <si>
    <t>-623.072203683457 35.2625431524566 -376.760594753489</t>
  </si>
  <si>
    <t>-633.325831751802 37.1180183050742 -460.004488251271</t>
  </si>
  <si>
    <t>-647.44140106501 41.1299802256553 -581.781313650476</t>
  </si>
  <si>
    <t>-638.442219871119 48.6091111476278 -659.26213185694</t>
  </si>
  <si>
    <t>-641.624783949665 70.7099715145941 -527.270515871862</t>
  </si>
  <si>
    <t>-615.544437697789 221.202307332755 -495.499329751482</t>
  </si>
  <si>
    <t>-557.752476158435 218.412292703399 -219.399895755701</t>
  </si>
  <si>
    <t>-347.912915807841 121.758807490138 -243.357926747825</t>
  </si>
  <si>
    <t>-640.870492231932 8.02893864726161 -529.422961632481</t>
  </si>
  <si>
    <t>-587.387186279445 132.232346797322 -96.7726233816129</t>
  </si>
  <si>
    <t>-621.243837444818 142.69873567736 317.288744946096</t>
  </si>
  <si>
    <t>-669.392725139005 181.687678618037 776.272989533213</t>
  </si>
  <si>
    <t>-519.518383018494 184.160004242462 834.714292209845</t>
  </si>
  <si>
    <t>-592.511758690733 -72.2536452830677 323.320724381013</t>
  </si>
  <si>
    <t>-651.468315171491 -106.882279128125 781.392379749246</t>
  </si>
  <si>
    <t>-497.829263286621 -123.923785653053 825.984403856607</t>
  </si>
  <si>
    <t>9763-20170724T115444.460517800.bin</t>
  </si>
  <si>
    <t>-581.249362284766 39.4771842291464 -92.4378873268797</t>
  </si>
  <si>
    <t>-599.417766998806 35.183692966029 -201.566149667725</t>
  </si>
  <si>
    <t>-611.874694818819 34.6322580937988 -293.600729721943</t>
  </si>
  <si>
    <t>-622.917667668482 35.3092393550753 -376.761514248715</t>
  </si>
  <si>
    <t>-633.173468061077 37.1765797020153 -460.004888408712</t>
  </si>
  <si>
    <t>-647.292240755787 41.2054366923915 -581.780792508153</t>
  </si>
  <si>
    <t>-638.292087533857 48.6695884526521 -659.26298954154</t>
  </si>
  <si>
    <t>-641.458887495022 70.7781454173587 -527.267835944143</t>
  </si>
  <si>
    <t>-615.32504193092 221.256103576139 -495.489126826152</t>
  </si>
  <si>
    <t>-557.72774622732 218.448015091916 -219.349216225866</t>
  </si>
  <si>
    <t>-348.029063902954 121.6814349853 -244.071992981723</t>
  </si>
  <si>
    <t>-640.735224187016 8.09705626756704 -529.425441337365</t>
  </si>
  <si>
    <t>-587.148193395471 132.267921935017 -96.7722516317141</t>
  </si>
  <si>
    <t>-621.082870199255 142.655812079714 317.284656936025</t>
  </si>
  <si>
    <t>-669.408833526785 181.619377765854 776.255846424605</t>
  </si>
  <si>
    <t>-519.543958576796 184.231510872899 834.715276784223</t>
  </si>
  <si>
    <t>-592.46599971633 -72.2720212090937 323.319696227108</t>
  </si>
  <si>
    <t>-651.453441159047 -106.881404692688 781.393587385338</t>
  </si>
  <si>
    <t>-497.82692239422 -123.978432184648 826.007495984533</t>
  </si>
  <si>
    <t>9763-20170724T115444.529490400.bin</t>
  </si>
  <si>
    <t>-581.012346513861 39.542748236343 -92.4121539993375</t>
  </si>
  <si>
    <t>-599.207458894207 35.2829681965191 -201.537312635059</t>
  </si>
  <si>
    <t>-611.651962842973 34.7584982772225 -293.573595989882</t>
  </si>
  <si>
    <t>-622.669774457245 35.460926166965 -376.737591457103</t>
  </si>
  <si>
    <t>-632.886336888973 37.3537238387735 -459.985279600132</t>
  </si>
  <si>
    <t>-646.932407106815 41.4193339571768 -581.768286763922</t>
  </si>
  <si>
    <t>-637.920544375512 48.8454412376634 -659.252774373584</t>
  </si>
  <si>
    <t>-641.074706794893 70.9764040581242 -527.249445752639</t>
  </si>
  <si>
    <t>-614.604739383951 221.384951681583 -495.413098738492</t>
  </si>
  <si>
    <t>-557.554464806643 218.755254660772 -219.157873699937</t>
  </si>
  <si>
    <t>-348.290129496383 121.460059578365 -245.437380450157</t>
  </si>
  <si>
    <t>-640.463542793404 8.29431780082905 -529.412503749</t>
  </si>
  <si>
    <t>-586.74059078901 132.360669392443 -96.743917961333</t>
  </si>
  <si>
    <t>-620.8943910363 142.680716589552 317.296645475027</t>
  </si>
  <si>
    <t>-669.41846782443 181.650707973017 776.236434333817</t>
  </si>
  <si>
    <t>-519.55908890431 184.196419918397 834.713010051736</t>
  </si>
  <si>
    <t>-592.364968414109 -72.1937271407537 323.3413788295</t>
  </si>
  <si>
    <t>-651.442578010707 -106.867297281826 781.397078656993</t>
  </si>
  <si>
    <t>-497.820315973168 -123.99699330374 826.013182046363</t>
  </si>
  <si>
    <t>9763-20170724T115444.561574300.bin</t>
  </si>
  <si>
    <t>-580.973660930858 39.5723198037654 -92.4200312816818</t>
  </si>
  <si>
    <t>-599.18121826694 35.3263282146879 -201.543564401818</t>
  </si>
  <si>
    <t>-611.616414788036 34.8216026793123 -293.581265890974</t>
  </si>
  <si>
    <t>-622.617830258688 35.5457354274333 -376.747341592807</t>
  </si>
  <si>
    <t>-632.809817112626 37.4638010543404 -459.997360582034</t>
  </si>
  <si>
    <t>-646.811000764113 41.569770971437 -581.784265458106</t>
  </si>
  <si>
    <t>-637.795708862873 48.9864401977466 -659.269375574699</t>
  </si>
  <si>
    <t>-640.938332524585 71.109330411369 -527.257456032958</t>
  </si>
  <si>
    <t>-614.199056241005 221.452051553848 -495.332877977593</t>
  </si>
  <si>
    <t>-557.535344076715 218.855396305366 -218.997630294508</t>
  </si>
  <si>
    <t>-348.486057457552 121.347957673764 -246.186542584011</t>
  </si>
  <si>
    <t>-640.396489124784 8.42688484195901 -529.43311130669</t>
  </si>
  <si>
    <t>-586.613795576041 132.397049640592 -96.745876640447</t>
  </si>
  <si>
    <t>-620.854023603328 142.662933721335 317.28888800161</t>
  </si>
  <si>
    <t>-669.437531564315 181.607338778142 776.230057067709</t>
  </si>
  <si>
    <t>-519.578415587339 184.123648724822 834.708478462378</t>
  </si>
  <si>
    <t>-592.381082892197 -72.1596738109088 323.341660407627</t>
  </si>
  <si>
    <t>-651.443710601207 -106.868197215095 781.394543852239</t>
  </si>
  <si>
    <t>-497.828108513923 -124.07524715855 826.003772748759</t>
  </si>
  <si>
    <t>9763-20170724T115444.627735900.bin</t>
  </si>
  <si>
    <t>-581.062547378243 39.4861024383126 -92.4346750512802</t>
  </si>
  <si>
    <t>-599.289556011733 35.2782521977206 -201.556565801357</t>
  </si>
  <si>
    <t>-611.723132997402 34.8022011530072 -293.59453516401</t>
  </si>
  <si>
    <t>-622.716026158058 35.5519302469388 -376.761533519719</t>
  </si>
  <si>
    <t>-632.892363396924 37.4944918571728 -460.012941708562</t>
  </si>
  <si>
    <t>-646.86277158241 41.6351081691505 -581.802134294049</t>
  </si>
  <si>
    <t>-637.850999509958 49.0328773109336 -659.289348011856</t>
  </si>
  <si>
    <t>-640.957409450806 71.1597051965421 -527.270726038015</t>
  </si>
  <si>
    <t>-613.907944623281 221.424240266977 -495.259165834719</t>
  </si>
  <si>
    <t>-557.80209011974 218.760010566222 -218.810895349859</t>
  </si>
  <si>
    <t>-349.041903222854 120.930876242768 -247.045195103691</t>
  </si>
  <si>
    <t>-640.507900275606 8.47687998590982 -529.453408874636</t>
  </si>
  <si>
    <t>-586.545701711368 132.32379773087 -96.7512328333337</t>
  </si>
  <si>
    <t>-620.882926073856 142.556415584354 317.27630926461</t>
  </si>
  <si>
    <t>-669.488276294043 181.526463354613 776.212926856204</t>
  </si>
  <si>
    <t>-519.626677635858 184.230638966538 834.676753792732</t>
  </si>
  <si>
    <t>-592.557637738365 -72.2716950199381 323.309572577327</t>
  </si>
  <si>
    <t>-651.431421917415 -106.816995913776 781.400210660682</t>
  </si>
  <si>
    <t>-497.798075330356 -123.87636729185 826.005042543706</t>
  </si>
  <si>
    <t>9763-20170724T115444.660823700.bin</t>
  </si>
  <si>
    <t>-581.164888603977 39.4573341842154 -92.4421260900175</t>
  </si>
  <si>
    <t>-599.403289255352 35.2573602289453 -201.562344878351</t>
  </si>
  <si>
    <t>-611.831483128059 34.8060449955817 -293.60135055833</t>
  </si>
  <si>
    <t>-622.81328705638 35.5860817230648 -376.769476275464</t>
  </si>
  <si>
    <t>-632.972370578083 37.5661726435724 -460.022036981685</t>
  </si>
  <si>
    <t>-646.910692536223 41.7697262100703 -581.812787546201</t>
  </si>
  <si>
    <t>-637.883905713258 49.1873866280607 -659.296368622472</t>
  </si>
  <si>
    <t>-641.00788003253 71.2661952029785 -527.265941793427</t>
  </si>
  <si>
    <t>-613.864512306797 221.503297611404 -495.206165736163</t>
  </si>
  <si>
    <t>-557.939553260265 218.822775001375 -218.721486548368</t>
  </si>
  <si>
    <t>-349.213029565943 120.936939296927 -247.008085161104</t>
  </si>
  <si>
    <t>-640.581488988801 8.58419559941876 -529.478260088719</t>
  </si>
  <si>
    <t>-586.594262077879 132.303341734178 -96.7627820182003</t>
  </si>
  <si>
    <t>-620.924420782551 142.554382659559 317.264918708452</t>
  </si>
  <si>
    <t>-669.489299918183 181.565782126378 776.196019943387</t>
  </si>
  <si>
    <t>-519.625290935999 184.218175652541 834.656000162888</t>
  </si>
  <si>
    <t>-592.646608713577 -72.2834759137165 323.299834566655</t>
  </si>
  <si>
    <t>-651.428777823808 -106.805215732208 781.402533947431</t>
  </si>
  <si>
    <t>-497.776924283611 -123.72859854047 825.995514867862</t>
  </si>
  <si>
    <t>9763-20170724T115444.729595700.bin</t>
  </si>
  <si>
    <t>-581.456692223819 39.4937047479423 -92.4805904673564</t>
  </si>
  <si>
    <t>-599.744308584984 35.30521577425 -201.592894309154</t>
  </si>
  <si>
    <t>-612.195155797313 34.8962151284934 -293.628964707586</t>
  </si>
  <si>
    <t>-623.189613682375 35.7276854026932 -376.794971522606</t>
  </si>
  <si>
    <t>-633.353231478646 37.7723460355064 -460.04552900666</t>
  </si>
  <si>
    <t>-647.289231192409 42.0843462247972 -581.832654717103</t>
  </si>
  <si>
    <t>-638.223297683388 49.5551008087375 -659.306559524204</t>
  </si>
  <si>
    <t>-641.370701118113 71.5324567492848 -527.261352312339</t>
  </si>
  <si>
    <t>-614.146508029345 221.723750776117 -495.060208072792</t>
  </si>
  <si>
    <t>-558.155022645574 218.811913551811 -218.591389022155</t>
  </si>
  <si>
    <t>-349.575626916946 120.838074799821 -247.6480148039</t>
  </si>
  <si>
    <t>-640.977756554577 8.85215206626981 -529.525692085627</t>
  </si>
  <si>
    <t>-586.859008585667 132.366489229507 -96.8013793481171</t>
  </si>
  <si>
    <t>-621.110313333752 142.585351730107 317.233698430887</t>
  </si>
  <si>
    <t>-669.524889953801 181.56353373618 776.184588686079</t>
  </si>
  <si>
    <t>-519.649454906612 184.192094176735 834.616393985381</t>
  </si>
  <si>
    <t>-592.792722213242 -72.2094350782234 323.273748065556</t>
  </si>
  <si>
    <t>-651.437265892039 -106.774451163714 781.394909003839</t>
  </si>
  <si>
    <t>-497.801256779567 -123.914828413244 825.959572155951</t>
  </si>
  <si>
    <t>9763-20170724T115444.762682800.bin</t>
  </si>
  <si>
    <t>-581.598912080057 39.5923326004515 -92.4989827453442</t>
  </si>
  <si>
    <t>-599.911813633948 35.3952860054603 -201.606834167581</t>
  </si>
  <si>
    <t>-612.384116764166 35.0081253260469 -293.640000019326</t>
  </si>
  <si>
    <t>-623.397885862675 35.870610560542 -376.803034667306</t>
  </si>
  <si>
    <t>-633.580621853481 37.9577056486251 -460.050172416981</t>
  </si>
  <si>
    <t>-647.544074429357 42.3448597704048 -581.831575747048</t>
  </si>
  <si>
    <t>-638.463718722811 49.8618745266194 -659.299294220114</t>
  </si>
  <si>
    <t>-641.619075673203 71.759195375889 -527.242813853866</t>
  </si>
  <si>
    <t>-614.393587006503 221.930916813669 -494.941537249272</t>
  </si>
  <si>
    <t>-558.248059486715 218.816600472168 -218.506146763669</t>
  </si>
  <si>
    <t>-349.665908396494 120.923962824583 -247.815689041894</t>
  </si>
  <si>
    <t>-641.214996823543 9.08045598544345 -529.547167594436</t>
  </si>
  <si>
    <t>-587.013116909255 132.475142252965 -96.8227776602635</t>
  </si>
  <si>
    <t>-621.216162272789 142.647851015935 317.217360864102</t>
  </si>
  <si>
    <t>-669.538391491619 181.588486335404 776.18335932118</t>
  </si>
  <si>
    <t>-519.655918281971 184.165518009794 834.599258348115</t>
  </si>
  <si>
    <t>-592.851975607493 -72.1347367072256 323.263853937803</t>
  </si>
  <si>
    <t>-651.441852390423 -106.774203244879 781.388747976559</t>
  </si>
  <si>
    <t>-497.823958470218 -124.098257441475 825.944801788136</t>
  </si>
  <si>
    <t>9763-20170724T115444.827871800.bin</t>
  </si>
  <si>
    <t>-581.914246477655 39.8293608105237 -92.5147046302758</t>
  </si>
  <si>
    <t>-600.299406759866 35.6110392907146 -201.609676202385</t>
  </si>
  <si>
    <t>-612.844390873356 35.2538074247955 -293.633213434663</t>
  </si>
  <si>
    <t>-623.927999724622 36.1618192507419 -376.786366432012</t>
  </si>
  <si>
    <t>-634.184645353275 38.3133695544284 -460.022842778216</t>
  </si>
  <si>
    <t>-648.260399289776 42.8153705649354 -581.7871199545</t>
  </si>
  <si>
    <t>-639.189709714092 50.4135344731496 -659.248051198796</t>
  </si>
  <si>
    <t>-642.304285066985 72.1780790474797 -527.173870930266</t>
  </si>
  <si>
    <t>-615.154165691413 222.334759994718 -494.72493107218</t>
  </si>
  <si>
    <t>-558.488280042394 218.771040300185 -218.401094971709</t>
  </si>
  <si>
    <t>-349.80363882575 121.146099609261 -247.873357849456</t>
  </si>
  <si>
    <t>-641.863883187853 9.50181284265682 -529.54211101677</t>
  </si>
  <si>
    <t>-587.429894697454 132.691156444168 -96.8423836385718</t>
  </si>
  <si>
    <t>-621.429970149896 142.770892783065 317.216757602101</t>
  </si>
  <si>
    <t>-669.581263327075 181.603438116307 776.205660249174</t>
  </si>
  <si>
    <t>-519.678391031773 184.129415283833 834.571475471367</t>
  </si>
  <si>
    <t>-592.933188594983 -71.9115453620434 323.254706435865</t>
  </si>
  <si>
    <t>-651.443381003241 -106.74145212572 781.38011354196</t>
  </si>
  <si>
    <t>-497.828573979945 -124.152379014482 825.912898290754</t>
  </si>
  <si>
    <t>9763-20170724T115444.859966000.bin</t>
  </si>
  <si>
    <t>-582.085547635158 39.9345778362863 -92.5097602585499</t>
  </si>
  <si>
    <t>-600.51905797407 35.7154040364155 -201.596362680684</t>
  </si>
  <si>
    <t>-613.104130053007 35.3732449460142 -293.614468578093</t>
  </si>
  <si>
    <t>-624.223531036451 36.3008980467744 -376.762818418251</t>
  </si>
  <si>
    <t>-634.515458148493 38.4785716700014 -459.994178966968</t>
  </si>
  <si>
    <t>-648.642273245205 43.0253204258252 -581.750800004887</t>
  </si>
  <si>
    <t>-639.587753042927 50.6504350817097 -659.211091091445</t>
  </si>
  <si>
    <t>-642.676867800295 72.367796242979 -527.127851584596</t>
  </si>
  <si>
    <t>-615.558619764931 222.515083359192 -494.600472427499</t>
  </si>
  <si>
    <t>-558.659840152967 218.741320940346 -218.327297265008</t>
  </si>
  <si>
    <t>-349.96958384825 121.160334111764 -247.905294249442</t>
  </si>
  <si>
    <t>-642.210204562361 9.69279906160091 -529.522453968764</t>
  </si>
  <si>
    <t>-587.653915157032 132.781268707629 -96.8402378107683</t>
  </si>
  <si>
    <t>-621.540429691483 142.810038681776 317.229497277746</t>
  </si>
  <si>
    <t>-669.600313732704 181.618441929778 776.226501348718</t>
  </si>
  <si>
    <t>-519.684531926431 184.123066296406 834.560159559822</t>
  </si>
  <si>
    <t>-592.978429338849 -71.7998364381456 323.248856223746</t>
  </si>
  <si>
    <t>-651.446044615486 -106.726316370284 781.371628071387</t>
  </si>
  <si>
    <t>-497.829222414821 -124.156032579528 825.890185172502</t>
  </si>
  <si>
    <t>9763-20170724T115444.929599800.bin</t>
  </si>
  <si>
    <t>-582.406829469644 40.0837204669583 -92.5142096198929</t>
  </si>
  <si>
    <t>-600.930652014517 35.8479371541573 -201.584971628475</t>
  </si>
  <si>
    <t>-613.565476401426 35.5073236510175 -293.596245179491</t>
  </si>
  <si>
    <t>-624.718932044846 36.441621914752 -376.739901853768</t>
  </si>
  <si>
    <t>-635.033814176324 38.6312689394513 -459.968186790028</t>
  </si>
  <si>
    <t>-649.181765574716 43.201434068407 -581.721464208373</t>
  </si>
  <si>
    <t>-640.177192068568 50.8456045317103 -659.185729017733</t>
  </si>
  <si>
    <t>-643.217374077234 72.5332082829918 -527.092598775217</t>
  </si>
  <si>
    <t>-616.169170591784 222.685256094939 -494.509861684103</t>
  </si>
  <si>
    <t>-558.948552686344 218.686900434783 -218.306350278805</t>
  </si>
  <si>
    <t>-350.106681992399 121.354548366699 -247.632170008648</t>
  </si>
  <si>
    <t>-642.730166683642 9.85890322460546 -529.501742390293</t>
  </si>
  <si>
    <t>-588.059387575076 132.877729697575 -96.8401538165991</t>
  </si>
  <si>
    <t>-621.748600138608 142.842530995884 317.247218726527</t>
  </si>
  <si>
    <t>-669.652888380219 181.546350196406 776.259750195368</t>
  </si>
  <si>
    <t>-519.716710187103 184.055863427801 834.540775364984</t>
  </si>
  <si>
    <t>-593.067241398595 -71.5721755194654 323.245180020489</t>
  </si>
  <si>
    <t>-651.452820543205 -106.663797555917 781.365199371962</t>
  </si>
  <si>
    <t>-497.796033251475 -123.842984389018 825.843232197335</t>
  </si>
  <si>
    <t>9763-20170724T115444.961684400.bin</t>
  </si>
  <si>
    <t>-582.52772167684 40.145364664161 -92.517965818862</t>
  </si>
  <si>
    <t>-601.09263528075 35.9117609468358 -201.581724879452</t>
  </si>
  <si>
    <t>-613.752880698549 35.5667970140055 -293.589560329903</t>
  </si>
  <si>
    <t>-624.925514827254 36.494362603609 -376.730671964737</t>
  </si>
  <si>
    <t>-635.255768486262 38.6747250246904 -459.957215674819</t>
  </si>
  <si>
    <t>-649.421985793793 43.2281708185355 -581.709080137724</t>
  </si>
  <si>
    <t>-640.45150921538 50.871314103435 -659.177260048933</t>
  </si>
  <si>
    <t>-643.450750586523 72.5674365162911 -527.085035246091</t>
  </si>
  <si>
    <t>-616.399567451443 222.715472436912 -494.508169027832</t>
  </si>
  <si>
    <t>-559.034820558637 218.69569743995 -218.334951177745</t>
  </si>
  <si>
    <t>-350.143252230105 121.448563583606 -247.589812961287</t>
  </si>
  <si>
    <t>-642.961215109789 9.89285778937915 -529.485945210501</t>
  </si>
  <si>
    <t>-588.20105089836 132.902022464242 -96.830848452158</t>
  </si>
  <si>
    <t>-621.853023287229 142.816760028832 317.260721333704</t>
  </si>
  <si>
    <t>-669.678039867593 181.518590284757 776.277106282431</t>
  </si>
  <si>
    <t>-519.734682754714 184.135582345133 834.53481055425</t>
  </si>
  <si>
    <t>-593.128945675604 -71.4553874638732 323.238376008876</t>
  </si>
  <si>
    <t>-651.466438225766 -106.638013975577 781.361242884903</t>
  </si>
  <si>
    <t>-497.799204783418 -123.80726902038 825.806985137261</t>
  </si>
  <si>
    <t>9763-20170724T115445.029871000.bin</t>
  </si>
  <si>
    <t>-582.644558174173 40.3583334807597 -92.4970896920249</t>
  </si>
  <si>
    <t>-601.298038805053 36.1310001591728 -201.546055503024</t>
  </si>
  <si>
    <t>-614.043432805014 35.783427383562 -293.542054919995</t>
  </si>
  <si>
    <t>-625.297063170052 36.7050853065775 -376.672372532308</t>
  </si>
  <si>
    <t>-635.712345876686 38.8761279104183 -459.888631092282</t>
  </si>
  <si>
    <t>-650.007393547543 43.4119288160966 -581.626033022063</t>
  </si>
  <si>
    <t>-641.152383681231 51.0608105995368 -659.106934967282</t>
  </si>
  <si>
    <t>-643.980998267052 72.7591431586316 -527.012173560495</t>
  </si>
  <si>
    <t>-616.873066665238 222.89337507887 -494.434998389634</t>
  </si>
  <si>
    <t>-559.158411973187 218.870845743462 -218.334786162684</t>
  </si>
  <si>
    <t>-350.140132825423 121.858044194469 -247.462220119632</t>
  </si>
  <si>
    <t>-643.488703436618 10.0842776210502 -529.405231166548</t>
  </si>
  <si>
    <t>-588.394133796796 132.989817158029 -96.7939280028399</t>
  </si>
  <si>
    <t>-621.97519526464 142.868579959092 317.304228340708</t>
  </si>
  <si>
    <t>-669.703213347478 181.53941280065 776.318140999614</t>
  </si>
  <si>
    <t>-519.741378332872 184.069334815487 834.532093332738</t>
  </si>
  <si>
    <t>-593.192506157903 -71.075484981257 323.245801179549</t>
  </si>
  <si>
    <t>-651.510387051153 -106.584081660747 781.33443701392</t>
  </si>
  <si>
    <t>-497.793119163844 -123.543108178141 825.687783440065</t>
  </si>
  <si>
    <t>9763-20170724T115445.063958900.bin</t>
  </si>
  <si>
    <t>-582.591547160883 40.5159595435728 -92.4947871620673</t>
  </si>
  <si>
    <t>-601.301510089492 36.2825852012725 -201.533873363409</t>
  </si>
  <si>
    <t>-614.092530305665 35.939904402414 -293.523632846081</t>
  </si>
  <si>
    <t>-625.386332708824 36.8700437396035 -376.648355276151</t>
  </si>
  <si>
    <t>-635.840829082583 39.0530968954229 -459.859260476934</t>
  </si>
  <si>
    <t>-650.191815314898 43.6110078901002 -581.589260654025</t>
  </si>
  <si>
    <t>-641.394576330918 51.262061758041 -659.076749647975</t>
  </si>
  <si>
    <t>-644.139217392589 72.9482774221619 -526.973141655115</t>
  </si>
  <si>
    <t>-617.003320917212 223.070413610911 -494.359994015063</t>
  </si>
  <si>
    <t>-559.154613559944 218.961346969626 -218.288988846546</t>
  </si>
  <si>
    <t>-350.092846263209 122.069131419502 -247.505557700468</t>
  </si>
  <si>
    <t>-643.65023474847 10.2738708901838 -529.377457578291</t>
  </si>
  <si>
    <t>-588.363915460004 133.107927189023 -96.7847327581366</t>
  </si>
  <si>
    <t>-621.925421488536 142.945864870389 317.316058343132</t>
  </si>
  <si>
    <t>-669.692967529515 181.630502058614 776.332970110832</t>
  </si>
  <si>
    <t>-519.724386928364 183.964552486241 834.537724922546</t>
  </si>
  <si>
    <t>-593.124571730898 -70.8403369621344 323.256686070849</t>
  </si>
  <si>
    <t>-651.526155611298 -106.553113886206 781.3221437164</t>
  </si>
  <si>
    <t>-497.788694396554 -123.444113420055 825.6314371648</t>
  </si>
  <si>
    <t>9763-20170724T115445.129783000.bin</t>
  </si>
  <si>
    <t>-582.391964215158 40.6830667590523 -92.4849475621643</t>
  </si>
  <si>
    <t>-601.175261760264 36.4309180465727 -201.510627548018</t>
  </si>
  <si>
    <t>-614.010896842468 36.1032716440029 -293.494185671982</t>
  </si>
  <si>
    <t>-625.337974934568 37.0591865546317 -376.614098265062</t>
  </si>
  <si>
    <t>-635.818514960203 39.2805065993878 -459.820751274706</t>
  </si>
  <si>
    <t>-650.199588336022 43.9076078225521 -581.544791435937</t>
  </si>
  <si>
    <t>-641.500179440541 51.5926169023578 -659.039709780838</t>
  </si>
  <si>
    <t>-644.128096837719 73.2139644652989 -526.913916234511</t>
  </si>
  <si>
    <t>-616.927088554006 223.304402432082 -494.205624642152</t>
  </si>
  <si>
    <t>-558.972008721059 218.96796543548 -218.16039872162</t>
  </si>
  <si>
    <t>-349.921068382379 122.145687385271 -247.684604748851</t>
  </si>
  <si>
    <t>-643.650467174125 10.5406883790602 -529.352806864547</t>
  </si>
  <si>
    <t>-588.180418244495 133.195939208727 -96.768979122358</t>
  </si>
  <si>
    <t>-621.773608756122 142.960803089427 317.33091538995</t>
  </si>
  <si>
    <t>-669.709342436471 181.613872893708 776.349381252878</t>
  </si>
  <si>
    <t>-519.74170128814 183.974355364126 834.555560615956</t>
  </si>
  <si>
    <t>-593.046434841337 -70.5967496092549 323.28191454147</t>
  </si>
  <si>
    <t>-651.557487260777 -106.534992552937 781.299070086354</t>
  </si>
  <si>
    <t>-497.814573814887 -123.538377325714 825.546366758285</t>
  </si>
  <si>
    <t>9763-20170724T115445.161869700.bin</t>
  </si>
  <si>
    <t>-582.221760641658 40.7290944744946 -92.4636725058974</t>
  </si>
  <si>
    <t>-601.008372199727 36.4713274574976 -201.488610812088</t>
  </si>
  <si>
    <t>-613.861356551188 36.1464669954617 -293.469675822008</t>
  </si>
  <si>
    <t>-625.209811305565 37.1084084889847 -376.586667141702</t>
  </si>
  <si>
    <t>-635.717533631023 39.3387672053996 -459.789658640536</t>
  </si>
  <si>
    <t>-650.144562695588 43.9828265511612 -581.507497553792</t>
  </si>
  <si>
    <t>-641.492410653696 51.7023431396353 -659.004295017024</t>
  </si>
  <si>
    <t>-644.047265398252 73.2816079443833 -526.875506424993</t>
  </si>
  <si>
    <t>-616.81357343749 223.359558596437 -494.135429668963</t>
  </si>
  <si>
    <t>-558.781654856656 218.984718233671 -218.106857275195</t>
  </si>
  <si>
    <t>-349.818413243939 122.044934020287 -247.865582827854</t>
  </si>
  <si>
    <t>-643.580910542061 10.6085946362284 -529.321951275646</t>
  </si>
  <si>
    <t>-587.999332229611 133.239562131124 -96.7538292243041</t>
  </si>
  <si>
    <t>-621.67154852291 142.97100600104 317.34041782328</t>
  </si>
  <si>
    <t>-669.714643073928 181.614279872094 776.349067810408</t>
  </si>
  <si>
    <t>-519.750792854928 183.958288296589 834.56569757042</t>
  </si>
  <si>
    <t>-592.958285448271 -70.5847828850142 323.297358147617</t>
  </si>
  <si>
    <t>-651.560713899531 -106.533651218208 781.299279905649</t>
  </si>
  <si>
    <t>-497.814448406948 -123.526961118448 825.538810084308</t>
  </si>
  <si>
    <t>9763-20170724T115445.228056700.bin</t>
  </si>
  <si>
    <t>-581.729697979117 40.7402732468765 -92.4017826302577</t>
  </si>
  <si>
    <t>-600.54635889638 36.467508405716 -201.420845195122</t>
  </si>
  <si>
    <t>-613.471520691401 36.1668335784655 -293.392036795682</t>
  </si>
  <si>
    <t>-624.903601109275 37.1657097728555 -376.496988829964</t>
  </si>
  <si>
    <t>-635.513278898318 39.448162516913 -459.685837909969</t>
  </si>
  <si>
    <t>-650.109213053607 44.1851614256998 -581.37988382933</t>
  </si>
  <si>
    <t>-641.573002339912 51.9931241737424 -658.880653876724</t>
  </si>
  <si>
    <t>-643.93078086188 73.4422525888672 -526.734681721764</t>
  </si>
  <si>
    <t>-616.556999965852 223.468829431317 -493.865679314799</t>
  </si>
  <si>
    <t>-558.282144718831 219.00927362864 -217.889834298591</t>
  </si>
  <si>
    <t>-349.547060814689 121.791328997756 -248.334261530557</t>
  </si>
  <si>
    <t>-643.478493309076 10.7709868372267 -529.228328339675</t>
  </si>
  <si>
    <t>-587.587622690326 133.224809681499 -96.7169056925857</t>
  </si>
  <si>
    <t>-621.457794949518 142.905520009185 317.362465796107</t>
  </si>
  <si>
    <t>-669.720111796696 181.600295480698 776.343613414177</t>
  </si>
  <si>
    <t>-519.770475270874 184.068017171225 834.591640266447</t>
  </si>
  <si>
    <t>-592.653720836396 -70.5705230831918 323.347397281143</t>
  </si>
  <si>
    <t>-651.552167314052 -106.531180174785 781.296370411465</t>
  </si>
  <si>
    <t>-497.803670202607 -123.489164475401 825.541676381621</t>
  </si>
  <si>
    <t>9763-20170724T115445.262146700.bin</t>
  </si>
  <si>
    <t>-581.407630025864 40.6894687045683 -92.3641455796242</t>
  </si>
  <si>
    <t>-600.250266552898 36.4026398505698 -201.378169542829</t>
  </si>
  <si>
    <t>-613.218743565892 36.114192993969 -293.343258867724</t>
  </si>
  <si>
    <t>-624.698289824212 37.1334219454995 -376.441428850311</t>
  </si>
  <si>
    <t>-635.363626609013 39.4460747694638 -459.622228172748</t>
  </si>
  <si>
    <t>-650.049885621086 44.23767954198 -581.303332481911</t>
  </si>
  <si>
    <t>-641.56530342912 52.0830894501837 -658.806145016412</t>
  </si>
  <si>
    <t>-643.837754141032 73.4701248526471 -526.64880957749</t>
  </si>
  <si>
    <t>-616.473148900405 223.484233157317 -493.718091586421</t>
  </si>
  <si>
    <t>-557.96697372952 218.850976747512 -217.793861879752</t>
  </si>
  <si>
    <t>-349.3156191505 121.606614350787 -248.724054027246</t>
  </si>
  <si>
    <t>-643.373626918738 10.8001729871698 -529.172714180426</t>
  </si>
  <si>
    <t>-587.326314426018 133.131342001625 -96.6858785393198</t>
  </si>
  <si>
    <t>-621.302686475452 142.819265480991 317.384626356601</t>
  </si>
  <si>
    <t>-669.728078802776 181.541893580745 776.343332076447</t>
  </si>
  <si>
    <t>-519.789061102371 184.181022596797 834.61124105448</t>
  </si>
  <si>
    <t>-592.433417005361 -70.5773884434705 323.382324870759</t>
  </si>
  <si>
    <t>-651.544498965795 -106.518387367417 781.300868314156</t>
  </si>
  <si>
    <t>-497.790878122483 -123.404966846505 825.555702764753</t>
  </si>
  <si>
    <t>9763-20170724T115445.330956700.bin</t>
  </si>
  <si>
    <t>-580.73918788567 40.6257930975055 -92.2954729940041</t>
  </si>
  <si>
    <t>-599.648667054079 36.3229398547467 -201.297423260378</t>
  </si>
  <si>
    <t>-612.725337278585 36.0747132312265 -293.247251432771</t>
  </si>
  <si>
    <t>-624.323241242425 37.1514894305219 -376.328273182347</t>
  </si>
  <si>
    <t>-635.127597399419 39.5435573091779 -459.488803795525</t>
  </si>
  <si>
    <t>-650.039643358915 44.4757726111234 -581.136738590078</t>
  </si>
  <si>
    <t>-641.677881649465 52.4326121571858 -658.641522969415</t>
  </si>
  <si>
    <t>-643.761030374468 73.64456545034 -526.455860599658</t>
  </si>
  <si>
    <t>-616.5268864842 223.631239542957 -493.296689258781</t>
  </si>
  <si>
    <t>-557.439414802364 218.787404535248 -217.500037470724</t>
  </si>
  <si>
    <t>-349.01288091505 121.394058350922 -249.460209002151</t>
  </si>
  <si>
    <t>-643.231731308946 10.9785185291082 -529.061677731037</t>
  </si>
  <si>
    <t>-586.741536215482 133.050603381779 -96.6202804937786</t>
  </si>
  <si>
    <t>-620.898092432312 142.717077061823 317.435845689218</t>
  </si>
  <si>
    <t>-669.71579982143 181.496684767403 776.337592154404</t>
  </si>
  <si>
    <t>-519.800632744286 184.08304709311 834.669219169412</t>
  </si>
  <si>
    <t>-591.933939782139 -70.5928167392981 323.445093925125</t>
  </si>
  <si>
    <t>-651.537980395849 -106.519491128973 781.29513115066</t>
  </si>
  <si>
    <t>-497.783956756857 -123.356424151643 825.567555445568</t>
  </si>
  <si>
    <t>9763-20170724T115445.363041700.bin</t>
  </si>
  <si>
    <t>-580.364399711695 40.5869334232373 -92.258014820534</t>
  </si>
  <si>
    <t>-599.313932113651 36.2705655446337 -201.252370909996</t>
  </si>
  <si>
    <t>-612.439286339522 36.0481459289661 -293.195385434261</t>
  </si>
  <si>
    <t>-624.087091673143 37.1623158906432 -376.26897858796</t>
  </si>
  <si>
    <t>-634.946994968051 39.6067321089997 -459.420782228436</t>
  </si>
  <si>
    <t>-649.946448698557 44.631712870131 -581.054243098535</t>
  </si>
  <si>
    <t>-641.64171649505 52.6612053980266 -658.557586533551</t>
  </si>
  <si>
    <t>-643.650429757146 73.7583867747956 -526.352907389236</t>
  </si>
  <si>
    <t>-616.461333454561 223.724344934546 -493.072896165943</t>
  </si>
  <si>
    <t>-557.142131341817 218.753408679065 -217.328278537732</t>
  </si>
  <si>
    <t>-348.860515099202 121.245564336947 -249.878545726877</t>
  </si>
  <si>
    <t>-643.079270140856 11.094946468761 -529.012055676588</t>
  </si>
  <si>
    <t>-586.446639813007 133.00674769536 -96.5803974648278</t>
  </si>
  <si>
    <t>-620.701091678776 142.691622393204 317.467215196333</t>
  </si>
  <si>
    <t>-669.690733847899 181.553114052192 776.338339798615</t>
  </si>
  <si>
    <t>-519.787314455781 184.049762795617 834.704000425448</t>
  </si>
  <si>
    <t>-591.680794669656 -70.6376815270555 323.475219815361</t>
  </si>
  <si>
    <t>-651.503492125514 -106.530126507885 781.303899080232</t>
  </si>
  <si>
    <t>-497.774978756893 -123.465755294204 825.627144982939</t>
  </si>
  <si>
    <t>9763-20170724T115445.429223400.bin</t>
  </si>
  <si>
    <t>-579.65335121583 40.4188685809941 -92.1821124865808</t>
  </si>
  <si>
    <t>-598.623307008445 36.0839727893012 -201.17212591482</t>
  </si>
  <si>
    <t>-611.782472852518 35.9004738909159 -293.110388415032</t>
  </si>
  <si>
    <t>-623.466944681704 37.0715100755781 -376.178101703649</t>
  </si>
  <si>
    <t>-634.369768287166 39.5944457673168 -459.322014116828</t>
  </si>
  <si>
    <t>-649.438586070676 44.7581903298258 -580.940921758275</t>
  </si>
  <si>
    <t>-641.247441242112 52.9248037008729 -658.442055236083</t>
  </si>
  <si>
    <t>-643.142658336608 73.8221210762258 -526.206284061782</t>
  </si>
  <si>
    <t>-616.057493128324 223.745241305289 -492.640945338121</t>
  </si>
  <si>
    <t>-556.471401919297 218.569908881867 -216.957600135049</t>
  </si>
  <si>
    <t>-348.601762479851 120.601453295847 -250.735072901398</t>
  </si>
  <si>
    <t>-642.510412826265 11.1625991478702 -528.945003171468</t>
  </si>
  <si>
    <t>-585.829258280365 132.798741449461 -96.5069670810991</t>
  </si>
  <si>
    <t>-620.334910800156 142.543718443386 317.518449173835</t>
  </si>
  <si>
    <t>-669.669581131202 181.53826408314 776.343461342929</t>
  </si>
  <si>
    <t>-519.790742977463 184.135251173119 834.767734275805</t>
  </si>
  <si>
    <t>-591.218223508835 -70.8048727303842 323.540661884222</t>
  </si>
  <si>
    <t>-651.487731806641 -106.527989265249 781.308664535507</t>
  </si>
  <si>
    <t>-497.738098914684 -123.19235778387 825.661548390589</t>
  </si>
  <si>
    <t>9763-20170724T115445.462313700.bin</t>
  </si>
  <si>
    <t>-579.350990371347 40.2409262118574 -92.1593157327479</t>
  </si>
  <si>
    <t>-598.307881094873 35.8995525886028 -201.151521356682</t>
  </si>
  <si>
    <t>-611.467007928106 35.7373116709666 -293.089693268424</t>
  </si>
  <si>
    <t>-623.155842035499 36.9375588297164 -376.156378877462</t>
  </si>
  <si>
    <t>-634.06726162394 39.5005522543379 -459.297914294323</t>
  </si>
  <si>
    <t>-649.153267887561 44.734614114474 -580.911828870046</t>
  </si>
  <si>
    <t>-641.028367640433 52.963036499669 -658.413378303977</t>
  </si>
  <si>
    <t>-642.86445671471 73.7666325741486 -526.159180272886</t>
  </si>
  <si>
    <t>-615.810085088226 223.669690754528 -492.479746938951</t>
  </si>
  <si>
    <t>-556.278679206628 218.412544676218 -216.786018041885</t>
  </si>
  <si>
    <t>-348.633001015637 120.209744876429 -251.253585482548</t>
  </si>
  <si>
    <t>-642.202851218349 11.1092779342555 -528.938076172376</t>
  </si>
  <si>
    <t>-585.554711515163 132.649829075057 -96.4859231097353</t>
  </si>
  <si>
    <t>-620.175154778028 142.424875426077 317.529085869057</t>
  </si>
  <si>
    <t>-669.659208443749 181.535274779984 776.341843150909</t>
  </si>
  <si>
    <t>-519.791091480586 184.058687759298 834.796915387842</t>
  </si>
  <si>
    <t>-591.057484674163 -71.0344449982013 323.554028473313</t>
  </si>
  <si>
    <t>-651.441346614018 -106.592718056814 781.312961325639</t>
  </si>
  <si>
    <t>-497.779038025595 -123.759383109753 825.776776885706</t>
  </si>
  <si>
    <t>9763-20170724T115445.528493200.bin</t>
  </si>
  <si>
    <t>-578.785238819412 39.9508003529438 -92.0986931863348</t>
  </si>
  <si>
    <t>-597.69798111585 35.5891610798251 -201.097689250962</t>
  </si>
  <si>
    <t>-610.845148712546 35.4549090626374 -293.037695405797</t>
  </si>
  <si>
    <t>-622.533412239023 36.6981752733616 -376.103862787207</t>
  </si>
  <si>
    <t>-633.454568852594 39.322608922068 -459.242037156768</t>
  </si>
  <si>
    <t>-648.566108333877 44.6672471059683 -580.847984457803</t>
  </si>
  <si>
    <t>-640.559339763646 52.988508955327 -658.351948834873</t>
  </si>
  <si>
    <t>-642.308785716246 73.6487344171812 -526.065144691499</t>
  </si>
  <si>
    <t>-615.373242211013 223.533448482591 -492.207369780289</t>
  </si>
  <si>
    <t>-555.987069475163 218.077507157821 -216.486485503493</t>
  </si>
  <si>
    <t>-348.569780983492 119.530697591606 -251.345026389029</t>
  </si>
  <si>
    <t>-641.561799511202 10.9954223842694 -528.911634345365</t>
  </si>
  <si>
    <t>-585.048444718312 132.424808649577 -96.4347080596755</t>
  </si>
  <si>
    <t>-619.857161721422 142.230001816979 317.563845658307</t>
  </si>
  <si>
    <t>-669.643932320414 181.526663188666 776.333661817461</t>
  </si>
  <si>
    <t>-519.79876951496 184.141907508732 834.843554929523</t>
  </si>
  <si>
    <t>-590.692745853421 -71.3416536167233 323.611401079026</t>
  </si>
  <si>
    <t>-651.335724847886 -106.597572005851 781.36652409948</t>
  </si>
  <si>
    <t>-497.695698710727 -123.50798316373 826.005201931496</t>
  </si>
  <si>
    <t>9763-20170724T115445.561582800.bin</t>
  </si>
  <si>
    <t>-578.512103165731 39.9131382893495 -92.0726794502306</t>
  </si>
  <si>
    <t>-597.384910530712 35.5396163994269 -201.078217921</t>
  </si>
  <si>
    <t>-610.513367858325 35.4119769442241 -293.020872003599</t>
  </si>
  <si>
    <t>-622.190696780128 36.6678896267522 -376.08834110125</t>
  </si>
  <si>
    <t>-633.10710616566 39.311547150043 -459.226661923258</t>
  </si>
  <si>
    <t>-648.21847845938 44.6919780443993 -580.830923040899</t>
  </si>
  <si>
    <t>-640.262421529412 53.048401071138 -658.336295231511</t>
  </si>
  <si>
    <t>-641.987265982455 73.656870877815 -526.036380415278</t>
  </si>
  <si>
    <t>-615.15476901477 223.545532886347 -492.122685463545</t>
  </si>
  <si>
    <t>-555.859113021456 218.048187085057 -216.382965793843</t>
  </si>
  <si>
    <t>-348.477009441366 119.418978199875 -251.217983609918</t>
  </si>
  <si>
    <t>-641.18821011949 11.0052889114397 -528.907701804622</t>
  </si>
  <si>
    <t>-584.803477228146 132.36514330537 -96.4088834457681</t>
  </si>
  <si>
    <t>-619.745156024624 142.181919577842 317.578272148069</t>
  </si>
  <si>
    <t>-669.653112360772 181.445537215025 776.332435073775</t>
  </si>
  <si>
    <t>-519.819968414302 184.141044362279 834.869612060959</t>
  </si>
  <si>
    <t>-590.571556803387 -71.4031274062629 323.637257535311</t>
  </si>
  <si>
    <t>-651.324923807248 -106.583670287384 781.374566174584</t>
  </si>
  <si>
    <t>-497.684555342768 -123.422484108123 826.039032229122</t>
  </si>
  <si>
    <t>9763-20170724T115445.631775500.bin</t>
  </si>
  <si>
    <t>-578.119756795686 39.8619880644699 -92.0492801445698</t>
  </si>
  <si>
    <t>-596.87245485836 35.4587209726087 -201.074234027219</t>
  </si>
  <si>
    <t>-609.93483411746 35.3253946599227 -293.026266900896</t>
  </si>
  <si>
    <t>-621.566891532345 36.5831366118566 -376.100127618866</t>
  </si>
  <si>
    <t>-632.45242566057 39.2369097084056 -459.242217865492</t>
  </si>
  <si>
    <t>-647.534761608587 44.6410294063107 -580.849049330201</t>
  </si>
  <si>
    <t>-639.650298112575 53.046136388097 -658.356529424</t>
  </si>
  <si>
    <t>-641.361133071648 73.5944456176294 -526.041829010879</t>
  </si>
  <si>
    <t>-614.715518018695 223.505985118365 -492.070724164139</t>
  </si>
  <si>
    <t>-555.745085464283 218.117152476761 -216.259121768045</t>
  </si>
  <si>
    <t>-348.445855251506 119.254417081672 -250.924874662237</t>
  </si>
  <si>
    <t>-640.472354429504 10.9451365767702 -528.936134371303</t>
  </si>
  <si>
    <t>-584.416097670266 132.350008234709 -96.4100151227143</t>
  </si>
  <si>
    <t>-619.542015334107 142.187729590764 317.561013218765</t>
  </si>
  <si>
    <t>-669.638944061001 181.445807836423 776.306588437655</t>
  </si>
  <si>
    <t>-519.828428993499 184.300385260834 834.894062225969</t>
  </si>
  <si>
    <t>-590.406466979201 -71.6388288563946 323.646773010398</t>
  </si>
  <si>
    <t>-651.307383412277 -106.565971669941 781.384189149882</t>
  </si>
  <si>
    <t>-497.669193904095 -123.335226048353 826.082347416258</t>
  </si>
  <si>
    <t>9763-20170724T115445.658845200.bin</t>
  </si>
  <si>
    <t>-577.972743605086 39.8887084055061 -92.0439509666882</t>
  </si>
  <si>
    <t>-596.6701873792 35.4656543940982 -201.077561217116</t>
  </si>
  <si>
    <t>-609.699750878427 35.3161167985982 -293.034254798673</t>
  </si>
  <si>
    <t>-621.307819133113 36.5593992715535 -376.111655298541</t>
  </si>
  <si>
    <t>-632.175304638888 39.1989614894196 -459.256595094204</t>
  </si>
  <si>
    <t>-647.237856152516 44.5827369296562 -580.866797938008</t>
  </si>
  <si>
    <t>-639.370096818279 52.9989976556276 -658.374699721453</t>
  </si>
  <si>
    <t>-641.098312281504 73.5446564484007 -526.060304736719</t>
  </si>
  <si>
    <t>-614.504348562235 223.465726225318 -492.106932342575</t>
  </si>
  <si>
    <t>-555.781167433006 218.202570943674 -216.240152880061</t>
  </si>
  <si>
    <t>-348.535983309991 119.218771145403 -250.883589915177</t>
  </si>
  <si>
    <t>-640.158803346422 10.895942299783 -528.950166022797</t>
  </si>
  <si>
    <t>-584.298094378916 132.385093540356 -96.4212872894569</t>
  </si>
  <si>
    <t>-619.507630987889 142.190724846573 317.543366348419</t>
  </si>
  <si>
    <t>-669.653353031553 181.378790652559 776.296845842331</t>
  </si>
  <si>
    <t>-519.853613706931 184.359154560281 834.905616852351</t>
  </si>
  <si>
    <t>-590.342776003811 -71.6565394500772 323.659580493054</t>
  </si>
  <si>
    <t>-651.298666293807 -106.577730438495 781.394671552982</t>
  </si>
  <si>
    <t>-497.667344718427 -123.383066863831 826.102888959691</t>
  </si>
  <si>
    <t>9763-20170724T115445.728652100.bin</t>
  </si>
  <si>
    <t>-577.704230563407 40.1181125233218 -92.0417672852403</t>
  </si>
  <si>
    <t>-596.287550098687 35.6659695133726 -201.093744565861</t>
  </si>
  <si>
    <t>-609.252866376747 35.4736041009298 -293.059457177221</t>
  </si>
  <si>
    <t>-620.816524234831 36.6701844279701 -376.143622804272</t>
  </si>
  <si>
    <t>-631.65351576061 39.2563658634786 -459.294189688162</t>
  </si>
  <si>
    <t>-646.687196423363 44.5550886179069 -580.911755527368</t>
  </si>
  <si>
    <t>-638.812566665974 52.9628138861635 -658.420055554552</t>
  </si>
  <si>
    <t>-640.614153290856 73.5542816303571 -526.117655024648</t>
  </si>
  <si>
    <t>-614.234659668947 223.53239637365 -492.237476679491</t>
  </si>
  <si>
    <t>-555.771945645086 218.51027168467 -216.311032243844</t>
  </si>
  <si>
    <t>-348.702424106167 119.214609583915 -251.112138112471</t>
  </si>
  <si>
    <t>-639.566908581488 10.9059299014675 -528.976468082783</t>
  </si>
  <si>
    <t>-584.02597439138 132.644916767272 -96.432923444017</t>
  </si>
  <si>
    <t>-619.40026732533 142.38068181126 317.519338339275</t>
  </si>
  <si>
    <t>-669.641051796739 181.435593345089 776.269562192402</t>
  </si>
  <si>
    <t>-519.857957338606 184.296734967168 834.926772688053</t>
  </si>
  <si>
    <t>-590.18399973458 -71.6030406209495 323.68156118592</t>
  </si>
  <si>
    <t>-651.319754631845 -106.561182484692 781.394989187073</t>
  </si>
  <si>
    <t>-497.683497966653 -123.416206866587 826.067432431662</t>
  </si>
  <si>
    <t>9763-20170724T115445.762762100.bin</t>
  </si>
  <si>
    <t>-577.607104903226 40.3102597006985 -92.0347013690847</t>
  </si>
  <si>
    <t>-596.132741409198 35.8345529426776 -201.095449864149</t>
  </si>
  <si>
    <t>-609.05626185017 35.6165321638555 -293.067128230218</t>
  </si>
  <si>
    <t>-620.585026843609 36.7873544395368 -376.156527173615</t>
  </si>
  <si>
    <t>-631.390183562061 39.3453791607819 -459.312039779941</t>
  </si>
  <si>
    <t>-646.380887531072 44.6002289216767 -580.936756258526</t>
  </si>
  <si>
    <t>-638.474259446287 52.9976976155303 -658.442869471977</t>
  </si>
  <si>
    <t>-640.352383594987 73.6186244429691 -526.147799460622</t>
  </si>
  <si>
    <t>-614.097028412411 223.627137628172 -492.3149750471</t>
  </si>
  <si>
    <t>-555.743514441272 218.797208396279 -216.361916045242</t>
  </si>
  <si>
    <t>-348.729605755686 119.421451415916 -251.265054435134</t>
  </si>
  <si>
    <t>-639.253829209975 10.9702293310713 -528.989954991879</t>
  </si>
  <si>
    <t>-583.944624551821 132.838069742959 -96.4429249222425</t>
  </si>
  <si>
    <t>-619.378474241147 142.501002110334 317.505926148942</t>
  </si>
  <si>
    <t>-669.63740360036 181.480905008815 776.259569695914</t>
  </si>
  <si>
    <t>-519.857328464179 184.278620722326 834.927542284037</t>
  </si>
  <si>
    <t>-590.153101114401 -71.5370844014694 323.694510563147</t>
  </si>
  <si>
    <t>-651.343431936868 -106.560995012463 781.389901440601</t>
  </si>
  <si>
    <t>-497.733666351043 -123.737450961267 826.031129600114</t>
  </si>
  <si>
    <t>9763-20170724T115445.828928300.bin</t>
  </si>
  <si>
    <t>-577.47076856137 40.7703767795163 -92.0343865865329</t>
  </si>
  <si>
    <t>-595.886064187405 36.2645591331009 -201.112734059476</t>
  </si>
  <si>
    <t>-608.732908464147 35.9938817251036 -293.094847622022</t>
  </si>
  <si>
    <t>-620.199140430254 37.1058090761901 -376.193790912784</t>
  </si>
  <si>
    <t>-630.948590376419 39.5938457897939 -459.358582895908</t>
  </si>
  <si>
    <t>-645.865423949893 44.7344690185971 -580.997387263183</t>
  </si>
  <si>
    <t>-637.8508560604 53.088343981975 -658.497044354833</t>
  </si>
  <si>
    <t>-639.88960997408 73.8038418003575 -526.229582061157</t>
  </si>
  <si>
    <t>-613.731981453319 223.86577486664 -492.546884657069</t>
  </si>
  <si>
    <t>-555.800070711771 219.50334816922 -216.497160156193</t>
  </si>
  <si>
    <t>-348.993586871576 119.883263639486 -251.929326017105</t>
  </si>
  <si>
    <t>-638.750524228757 11.1536648207307 -529.017029207296</t>
  </si>
  <si>
    <t>-583.844193999564 133.282439973624 -96.4677287609558</t>
  </si>
  <si>
    <t>-619.434832625709 142.808539534402 317.470881033924</t>
  </si>
  <si>
    <t>-669.639130841543 181.546840743153 776.247749559645</t>
  </si>
  <si>
    <t>-519.86380157198 184.321325729061 834.928845026546</t>
  </si>
  <si>
    <t>-590.106570090975 -71.2519885964259 323.704068738682</t>
  </si>
  <si>
    <t>-651.373000515213 -106.519759720196 781.380008412729</t>
  </si>
  <si>
    <t>-497.727281305206 -123.551162979697 825.952912641181</t>
  </si>
  <si>
    <t>9763-20170724T115445.863019700.bin</t>
  </si>
  <si>
    <t>-577.432527495263 40.9728253747264 -92.0402984973211</t>
  </si>
  <si>
    <t>-595.780596324713 36.4653747341774 -201.129874400717</t>
  </si>
  <si>
    <t>-608.592632297268 36.1787826359262 -293.116847717214</t>
  </si>
  <si>
    <t>-620.036566849237 37.2705167442257 -376.219131702257</t>
  </si>
  <si>
    <t>-630.772961726124 39.7329699426255 -459.38632111616</t>
  </si>
  <si>
    <t>-645.681109087116 44.8301794116792 -581.028034610374</t>
  </si>
  <si>
    <t>-637.614866843916 53.1538545511905 -658.525583377543</t>
  </si>
  <si>
    <t>-639.71809587654 73.9189363872404 -526.269174553415</t>
  </si>
  <si>
    <t>-613.549483482807 224.0013580554 -492.691581653587</t>
  </si>
  <si>
    <t>-555.904114961774 219.929846258334 -216.577367227735</t>
  </si>
  <si>
    <t>-349.220091061583 120.069728849378 -252.048633310054</t>
  </si>
  <si>
    <t>-638.560970908382 11.2682159459553 -529.03634578942</t>
  </si>
  <si>
    <t>-583.767935081708 133.49642700938 -96.4784274985915</t>
  </si>
  <si>
    <t>-619.451975599232 142.949643976234 317.453801276277</t>
  </si>
  <si>
    <t>-669.645129748023 181.562196592025 776.242933785804</t>
  </si>
  <si>
    <t>-519.873159309866 184.398483413047 834.929655679826</t>
  </si>
  <si>
    <t>-590.160202589612 -71.1644026013869 323.695007580335</t>
  </si>
  <si>
    <t>-651.378537358911 -106.508595759434 781.375752278493</t>
  </si>
  <si>
    <t>-497.723624432414 -123.505143769112 825.930363727303</t>
  </si>
  <si>
    <t>9763-20170724T115445.927212600.bin</t>
  </si>
  <si>
    <t>-577.442634350248 41.3229856817593 -92.0501429697106</t>
  </si>
  <si>
    <t>-595.644008959229 36.8323730221921 -201.164988042046</t>
  </si>
  <si>
    <t>-608.351318986936 36.5287726539318 -293.166324018617</t>
  </si>
  <si>
    <t>-619.709289632722 37.5935761756114 -376.280728853238</t>
  </si>
  <si>
    <t>-630.368957059008 40.0175952271607 -459.459069001326</t>
  </si>
  <si>
    <t>-645.175611808286 45.0465106643978 -581.115979437258</t>
  </si>
  <si>
    <t>-636.964480107938 53.3058234070347 -658.605168200587</t>
  </si>
  <si>
    <t>-639.276473247872 74.165512210923 -526.366255539264</t>
  </si>
  <si>
    <t>-613.160278762284 224.292144900213 -492.943691294014</t>
  </si>
  <si>
    <t>-556.149528423917 220.844309324709 -216.689349585198</t>
  </si>
  <si>
    <t>-349.655784647694 120.605936820265 -252.201791368713</t>
  </si>
  <si>
    <t>-638.080700921289 11.5141702899828 -529.101650943968</t>
  </si>
  <si>
    <t>-583.650671178229 133.912842098634 -96.5088185135434</t>
  </si>
  <si>
    <t>-619.501520591438 143.14905449905 317.413949012183</t>
  </si>
  <si>
    <t>-669.672021513455 181.559672462093 776.227791884672</t>
  </si>
  <si>
    <t>-519.905711094607 184.449235561844 834.926444255652</t>
  </si>
  <si>
    <t>-590.353529276728 -70.973115771556 323.68841829814</t>
  </si>
  <si>
    <t>-651.387168981076 -106.503501281764 781.375776794875</t>
  </si>
  <si>
    <t>-497.774295722732 -123.93129894254 825.908697332448</t>
  </si>
  <si>
    <t>9763-20170724T115445.958293300.bin</t>
  </si>
  <si>
    <t>-577.47230034691 41.473516332112 -92.0671985281768</t>
  </si>
  <si>
    <t>-595.591776130949 37.0020439172497 -201.196491089421</t>
  </si>
  <si>
    <t>-608.216637723002 36.6896370565903 -293.209290076156</t>
  </si>
  <si>
    <t>-619.495222283568 37.7373880978953 -376.334605249762</t>
  </si>
  <si>
    <t>-630.070885481812 40.1345689031989 -459.524389119855</t>
  </si>
  <si>
    <t>-644.749817486359 45.1141114217528 -581.198852398712</t>
  </si>
  <si>
    <t>-636.444321593865 53.3427639458685 -658.681182047932</t>
  </si>
  <si>
    <t>-638.902461703995 74.2555539200976 -526.455564328288</t>
  </si>
  <si>
    <t>-612.727064232217 224.38892686901 -493.098645348149</t>
  </si>
  <si>
    <t>-556.245229554025 221.237558743363 -216.732015621494</t>
  </si>
  <si>
    <t>-349.827868681912 120.866502779021 -252.313812895129</t>
  </si>
  <si>
    <t>-637.715181697765 11.6027300851272 -529.162769509252</t>
  </si>
  <si>
    <t>-583.579544388843 134.095226871381 -96.5233925967405</t>
  </si>
  <si>
    <t>-619.538887133365 143.254431326746 317.391667051653</t>
  </si>
  <si>
    <t>-669.657608946965 181.675612438972 776.212552896699</t>
  </si>
  <si>
    <t>-519.892304324461 184.445545982803 834.919437532774</t>
  </si>
  <si>
    <t>-590.530738319416 -70.907496672763 323.66533448175</t>
  </si>
  <si>
    <t>-651.39023931333 -106.490594859159 781.372980292348</t>
  </si>
  <si>
    <t>-497.769368423791 -123.87941146204 825.89357800095</t>
  </si>
  <si>
    <t>9763-20170724T115446.029471900.bin</t>
  </si>
  <si>
    <t>-577.67450960444 41.4356574343831 -92.1398481814221</t>
  </si>
  <si>
    <t>-595.653819137534 37.0069031919479 -201.29401942319</t>
  </si>
  <si>
    <t>-608.129266044204 36.6663888151938 -293.327114532283</t>
  </si>
  <si>
    <t>-619.261189789257 37.6640469258211 -376.472825975709</t>
  </si>
  <si>
    <t>-629.678709853914 39.9862967425222 -459.684633701881</t>
  </si>
  <si>
    <t>-644.114400046608 44.8285612271754 -581.393690852077</t>
  </si>
  <si>
    <t>-635.625592527696 52.980739871047 -658.864308873509</t>
  </si>
  <si>
    <t>-638.355488779791 74.0322010202194 -526.674244365326</t>
  </si>
  <si>
    <t>-612.090647330499 224.191598481226 -493.505824007413</t>
  </si>
  <si>
    <t>-556.6970385555 221.702573797292 -216.912318250811</t>
  </si>
  <si>
    <t>-350.450185392846 120.968028908082 -252.455458670369</t>
  </si>
  <si>
    <t>-637.204764368913 11.3755517684483 -529.303471229705</t>
  </si>
  <si>
    <t>-583.587863480968 134.166961742614 -96.5782462799058</t>
  </si>
  <si>
    <t>-619.679202747966 143.268737307056 317.326516435185</t>
  </si>
  <si>
    <t>-669.680499894239 181.672202995547 776.158233020275</t>
  </si>
  <si>
    <t>-519.922861400262 184.400069852566 834.886746088029</t>
  </si>
  <si>
    <t>-591.055345640001 -71.1295150035676 323.58113846449</t>
  </si>
  <si>
    <t>-651.356263163635 -106.472039679705 781.389232012107</t>
  </si>
  <si>
    <t>-497.71611971192 -123.601508644413 825.943771002739</t>
  </si>
  <si>
    <t>9763-20170724T115446.064562200.bin</t>
  </si>
  <si>
    <t>-577.833506103924 41.3881657894713 -92.1667328927099</t>
  </si>
  <si>
    <t>-595.754411089478 36.9891791876055 -201.331613403159</t>
  </si>
  <si>
    <t>-608.157386249403 36.6464292391631 -293.374394967787</t>
  </si>
  <si>
    <t>-619.214747710703 37.6319193268434 -376.530356529205</t>
  </si>
  <si>
    <t>-629.548810434698 39.9309408584443 -459.753310451419</t>
  </si>
  <si>
    <t>-643.852796278875 44.7276329621639 -581.479663626513</t>
  </si>
  <si>
    <t>-635.271605104151 52.8456533969281 -658.943634478802</t>
  </si>
  <si>
    <t>-638.135161499672 73.9521305433739 -526.766981434635</t>
  </si>
  <si>
    <t>-611.753332596485 224.100718212987 -493.674960625777</t>
  </si>
  <si>
    <t>-556.903171235705 221.949208192598 -216.970394215806</t>
  </si>
  <si>
    <t>-350.761911591885 121.010357223814 -252.546643330588</t>
  </si>
  <si>
    <t>-637.017504347 11.2936312491288 -529.367394741546</t>
  </si>
  <si>
    <t>-583.658406248761 134.167577215332 -96.5988275143222</t>
  </si>
  <si>
    <t>-619.78043132345 143.24649798626 317.303838849482</t>
  </si>
  <si>
    <t>-669.692946979622 181.690232803309 776.142626798179</t>
  </si>
  <si>
    <t>-519.934003326655 184.477989851991 834.865010324638</t>
  </si>
  <si>
    <t>-591.288897958623 -71.181255681787 323.546516157432</t>
  </si>
  <si>
    <t>-651.337321601532 -106.452461081467 781.398889950157</t>
  </si>
  <si>
    <t>-497.69428717464 -123.480796941818 825.98230923479</t>
  </si>
  <si>
    <t>9763-20170724T115446.130741800.bin</t>
  </si>
  <si>
    <t>-578.296844535924 41.2952027673593 -92.2164503541982</t>
  </si>
  <si>
    <t>-596.145023812418 36.9694918760893 -201.396290663629</t>
  </si>
  <si>
    <t>-608.450552755638 36.6329375135299 -293.45215861882</t>
  </si>
  <si>
    <t>-619.406103221942 37.6034485056221 -376.62181961557</t>
  </si>
  <si>
    <t>-629.624818966205 39.8661292268275 -459.8598906413</t>
  </si>
  <si>
    <t>-643.745713770198 44.5859214812997 -581.610679704977</t>
  </si>
  <si>
    <t>-634.997491687598 52.6077139856291 -659.066041960309</t>
  </si>
  <si>
    <t>-638.069426875882 73.8459217386046 -526.912692059038</t>
  </si>
  <si>
    <t>-611.400433146823 223.975127198535 -493.955834569598</t>
  </si>
  <si>
    <t>-557.527156765459 222.210543003884 -217.056747279815</t>
  </si>
  <si>
    <t>-351.641207466309 120.770030497951 -252.684281981397</t>
  </si>
  <si>
    <t>-637.029753328399 11.1839218546049 -529.462399954149</t>
  </si>
  <si>
    <t>-583.951889666842 134.098211896855 -96.6380730217362</t>
  </si>
  <si>
    <t>-619.982699726698 143.268978162873 317.27040457899</t>
  </si>
  <si>
    <t>-669.732572783219 181.65586229311 776.125332041748</t>
  </si>
  <si>
    <t>-519.962528885881 184.38634934764 834.822006292825</t>
  </si>
  <si>
    <t>-591.774513011018 -71.1798275773274 323.484398677551</t>
  </si>
  <si>
    <t>-651.315785852975 -106.45647059205 781.407734903847</t>
  </si>
  <si>
    <t>-497.6804647083 -123.463112678012 826.025941018605</t>
  </si>
  <si>
    <t>9763-20170724T115446.162827800.bin</t>
  </si>
  <si>
    <t>-578.5832799895 41.2498809325593 -92.2478542271296</t>
  </si>
  <si>
    <t>-596.394158908332 36.9587512061096 -201.435095895805</t>
  </si>
  <si>
    <t>-608.669093525684 36.6386174008776 -293.495243921216</t>
  </si>
  <si>
    <t>-619.597555841396 37.6197415346519 -376.668187614958</t>
  </si>
  <si>
    <t>-629.789700320558 39.8884806871092 -459.909412085895</t>
  </si>
  <si>
    <t>-643.872456912207 44.6118956282371 -581.664554578791</t>
  </si>
  <si>
    <t>-635.051362614936 52.5896514104215 -659.116134346521</t>
  </si>
  <si>
    <t>-638.179446986265 73.8710002462954 -526.967618137117</t>
  </si>
  <si>
    <t>-611.305087737002 223.959059568383 -493.986142507767</t>
  </si>
  <si>
    <t>-557.868349151034 222.447367309874 -217.001001025548</t>
  </si>
  <si>
    <t>-352.173744526891 120.641401299288 -252.691490629309</t>
  </si>
  <si>
    <t>-637.206661039732 11.2076829754285 -529.51116903748</t>
  </si>
  <si>
    <t>-584.116036393941 134.076483115671 -96.6635739822445</t>
  </si>
  <si>
    <t>-620.110089451937 143.262356628944 317.247832230003</t>
  </si>
  <si>
    <t>-669.738444221444 181.696978829628 776.115339326807</t>
  </si>
  <si>
    <t>-519.95962951718 184.299890110199 834.795497796225</t>
  </si>
  <si>
    <t>-592.053597645807 -71.2241104011332 323.446359163984</t>
  </si>
  <si>
    <t>-651.312053597102 -106.485818495248 781.408412572486</t>
  </si>
  <si>
    <t>-497.721538374538 -123.857227313294 826.040380332491</t>
  </si>
  <si>
    <t>9763-20170724T115446.231014400.bin</t>
  </si>
  <si>
    <t>-579.200271691838 41.0203724732733 -92.331571602453</t>
  </si>
  <si>
    <t>-597.009667166191 36.7754715188837 -201.52078783016</t>
  </si>
  <si>
    <t>-609.285183990826 36.498549575562 -293.580992959379</t>
  </si>
  <si>
    <t>-620.214818615091 37.5224452646301 -376.753351482678</t>
  </si>
  <si>
    <t>-630.408518303173 39.8363934654381 -459.993059458993</t>
  </si>
  <si>
    <t>-644.493913605035 44.6284356370159 -581.745264387974</t>
  </si>
  <si>
    <t>-635.517898958704 52.5338466325641 -659.186440527483</t>
  </si>
  <si>
    <t>-638.720262002113 73.8581386478068 -527.041142240147</t>
  </si>
  <si>
    <t>-611.292532075189 223.837607897175 -493.995834446464</t>
  </si>
  <si>
    <t>-558.860410606327 222.536839035991 -216.817504229998</t>
  </si>
  <si>
    <t>-353.474045874736 120.187049846336 -252.726965570226</t>
  </si>
  <si>
    <t>-637.906482839156 11.1932645882591 -529.601702559281</t>
  </si>
  <si>
    <t>-584.53003333533 133.875184713539 -96.7368070839166</t>
  </si>
  <si>
    <t>-620.375259158466 143.174904609298 317.185007759158</t>
  </si>
  <si>
    <t>-669.78622987831 181.648670777731 776.085741648116</t>
  </si>
  <si>
    <t>-519.991085230952 184.297074720738 834.722182886734</t>
  </si>
  <si>
    <t>-592.558984352596 -71.3445524972065 323.366525972235</t>
  </si>
  <si>
    <t>-651.325345701524 -106.47878749249 781.406269402409</t>
  </si>
  <si>
    <t>-497.715113053166 -123.765414065263 826.003253184459</t>
  </si>
  <si>
    <t>9763-20170724T115446.261096600.bin</t>
  </si>
  <si>
    <t>-579.490466381588 40.9216727706935 -92.3661839309318</t>
  </si>
  <si>
    <t>-597.317999531849 36.7049795322046 -201.553622278471</t>
  </si>
  <si>
    <t>-609.605036647701 36.4497175213603 -293.612365271823</t>
  </si>
  <si>
    <t>-620.543489322534 37.4933281268957 -376.783308600108</t>
  </si>
  <si>
    <t>-630.744496496957 39.8262896276672 -460.021637036261</t>
  </si>
  <si>
    <t>-644.83874064835 44.645600878222 -581.771510477372</t>
  </si>
  <si>
    <t>-635.777663559307 52.528720405217 -659.205218051607</t>
  </si>
  <si>
    <t>-639.030042178804 73.8636486840139 -527.064907352193</t>
  </si>
  <si>
    <t>-611.392515412623 223.80477055122 -494.034424735682</t>
  </si>
  <si>
    <t>-559.456464396308 222.604592924013 -216.762409394846</t>
  </si>
  <si>
    <t>-354.198430153049 120.019859626024 -252.735326284882</t>
  </si>
  <si>
    <t>-638.278523003144 11.1983058044871 -529.632566476261</t>
  </si>
  <si>
    <t>-584.742582510321 133.810107872462 -96.7643235864317</t>
  </si>
  <si>
    <t>-620.489223841763 143.112742605293 317.165949066218</t>
  </si>
  <si>
    <t>-669.799322288885 181.645923251003 776.067732848021</t>
  </si>
  <si>
    <t>-519.996990521503 184.273134751056 834.686689673629</t>
  </si>
  <si>
    <t>-592.723807973443 -71.3805771387906 323.334311150332</t>
  </si>
  <si>
    <t>-651.32521627623 -106.475354077757 781.403561804149</t>
  </si>
  <si>
    <t>-497.733580115499 -123.924687660687 826.001314905818</t>
  </si>
  <si>
    <t>9763-20170724T115446.326778200.bin</t>
  </si>
  <si>
    <t>-579.972538535961 40.8189069351702 -92.4466524016144</t>
  </si>
  <si>
    <t>-597.898563318653 36.6298880045204 -201.618984501318</t>
  </si>
  <si>
    <t>-610.274512463403 36.4264810156863 -293.665989909654</t>
  </si>
  <si>
    <t>-621.29522456674 37.5294097771812 -376.825121578187</t>
  </si>
  <si>
    <t>-631.58031774164 39.9333250458085 -460.051125493629</t>
  </si>
  <si>
    <t>-645.799240886986 44.8691622122574 -581.78201509063</t>
  </si>
  <si>
    <t>-636.61537946896 52.756689240259 -659.200693846088</t>
  </si>
  <si>
    <t>-639.892332824454 74.0353971692573 -527.058274162948</t>
  </si>
  <si>
    <t>-611.989937829533 223.932918077021 -494.041358274028</t>
  </si>
  <si>
    <t>-560.690888591383 222.93514620253 -216.650004415857</t>
  </si>
  <si>
    <t>-355.750452489957 119.800318041658 -252.859984472467</t>
  </si>
  <si>
    <t>-639.227897685403 11.3711877642188 -529.676799916712</t>
  </si>
  <si>
    <t>-585.184431672937 133.719872808296 -96.8242664809428</t>
  </si>
  <si>
    <t>-620.650674677388 143.026184758368 317.130023862047</t>
  </si>
  <si>
    <t>-669.836005297096 181.588913306186 776.046901781243</t>
  </si>
  <si>
    <t>-520.021834253447 184.221121618873 834.635308364665</t>
  </si>
  <si>
    <t>-592.894352307007 -71.3341708211442 323.287638152857</t>
  </si>
  <si>
    <t>-651.338249852413 -106.413194336097 781.392297646449</t>
  </si>
  <si>
    <t>-497.703412381526 -123.586121594171 825.94844186113</t>
  </si>
  <si>
    <t>9763-20170724T115446.358862800.bin</t>
  </si>
  <si>
    <t>-580.151115430785 40.7905221670342 -92.4673935801651</t>
  </si>
  <si>
    <t>-598.145352439313 36.61130593589 -201.628967709498</t>
  </si>
  <si>
    <t>-610.58793753721 36.427110676492 -293.666905004835</t>
  </si>
  <si>
    <t>-621.672352885939 37.551937167621 -376.81738096995</t>
  </si>
  <si>
    <t>-632.024543003108 39.9823300528906 -460.034355859462</t>
  </si>
  <si>
    <t>-646.345299956391 44.9615562638523 -581.751383505383</t>
  </si>
  <si>
    <t>-637.123907910525 52.8629202666318 -659.164136233182</t>
  </si>
  <si>
    <t>-640.387630832498 74.1083967873078 -527.022833776115</t>
  </si>
  <si>
    <t>-612.488127651494 223.997082396069 -493.995215752409</t>
  </si>
  <si>
    <t>-561.33113989037 222.967764774027 -216.577723559442</t>
  </si>
  <si>
    <t>-356.546988406039 119.599136631851 -253.004402932578</t>
  </si>
  <si>
    <t>-639.735332368455 11.4449727598067 -529.663191588107</t>
  </si>
  <si>
    <t>-585.359804767097 133.716120160489 -96.8345413565626</t>
  </si>
  <si>
    <t>-620.732249081245 143.012106083875 317.12796417549</t>
  </si>
  <si>
    <t>-669.849677468789 181.573934327644 776.042117221063</t>
  </si>
  <si>
    <t>-520.030377915983 184.164765592727 834.619365680428</t>
  </si>
  <si>
    <t>-592.935773440264 -71.3264770626517 323.270937057906</t>
  </si>
  <si>
    <t>-651.360294124594 -106.436222360485 781.381625793931</t>
  </si>
  <si>
    <t>-497.751194044292 -123.914978731483 825.907541326318</t>
  </si>
  <si>
    <t>9763-20170724T115446.428560800.bin</t>
  </si>
  <si>
    <t>-580.498507798609 40.8784073181514 -92.4994917097109</t>
  </si>
  <si>
    <t>-598.633968446189 36.680827072523 -201.636928021201</t>
  </si>
  <si>
    <t>-611.209936987733 36.5383964123553 -293.656806757753</t>
  </si>
  <si>
    <t>-622.420029177718 37.7229451822368 -376.789687476105</t>
  </si>
  <si>
    <t>-632.902826341019 40.2354414790768 -459.987852863023</t>
  </si>
  <si>
    <t>-647.419550695001 45.3595862738607 -581.675668298945</t>
  </si>
  <si>
    <t>-638.195225927045 53.3503173664128 -659.078975759804</t>
  </si>
  <si>
    <t>-641.389924248121 74.4410516139219 -526.920179680194</t>
  </si>
  <si>
    <t>-613.558949581849 224.324424580069 -493.769688965521</t>
  </si>
  <si>
    <t>-562.509341382499 223.117594182977 -216.332992700846</t>
  </si>
  <si>
    <t>-357.86926884112 119.624564000723 -253.213445451359</t>
  </si>
  <si>
    <t>-640.709528295877 11.7813526524585 -529.639928347993</t>
  </si>
  <si>
    <t>-585.841168607562 133.786186165641 -96.8715420412996</t>
  </si>
  <si>
    <t>-620.924524866883 143.043861576709 317.11649673108</t>
  </si>
  <si>
    <t>-669.863959356765 181.600626972779 776.055030386966</t>
  </si>
  <si>
    <t>-520.030035467029 184.072556725504 834.599917580499</t>
  </si>
  <si>
    <t>-592.951382594448 -71.1196238306607 323.249693918091</t>
  </si>
  <si>
    <t>-651.368424876997 -106.341720705398 781.356915394812</t>
  </si>
  <si>
    <t>-497.713828200848 -123.521020792688 825.842411854299</t>
  </si>
  <si>
    <t>9763-20170724T115446.461653600.bin</t>
  </si>
  <si>
    <t>-580.652934463898 40.8907478263156 -92.499100893044</t>
  </si>
  <si>
    <t>-598.862608379421 36.6806185365265 -201.623679894781</t>
  </si>
  <si>
    <t>-611.503066172177 36.5488628362662 -293.634723671524</t>
  </si>
  <si>
    <t>-622.771896454527 37.7507732207346 -376.759377988112</t>
  </si>
  <si>
    <t>-633.31377312103 40.2888837458042 -459.949262145706</t>
  </si>
  <si>
    <t>-647.917179724251 45.4591468155168 -581.624911320514</t>
  </si>
  <si>
    <t>-638.716564371708 53.4924584804253 -659.026597083943</t>
  </si>
  <si>
    <t>-641.865964950232 74.5195216238271 -526.860620779251</t>
  </si>
  <si>
    <t>-614.179920553815 224.417658986779 -493.669260650301</t>
  </si>
  <si>
    <t>-563.076996858958 223.140751105688 -216.242735470243</t>
  </si>
  <si>
    <t>-358.480681785146 119.61817169677 -253.282461356745</t>
  </si>
  <si>
    <t>-641.152675014459 11.8614822415177 -529.608805756763</t>
  </si>
  <si>
    <t>-586.084474877204 133.751883531743 -96.8682508818308</t>
  </si>
  <si>
    <t>-621.005201031805 143.016040281744 317.133373772239</t>
  </si>
  <si>
    <t>-669.880707513708 181.569295192721 776.070263321096</t>
  </si>
  <si>
    <t>-520.040853411745 184.155423719996 834.595046273981</t>
  </si>
  <si>
    <t>-592.931833340762 -71.0102053365786 323.251654552404</t>
  </si>
  <si>
    <t>-651.386637485874 -106.34293578024 781.346867690773</t>
  </si>
  <si>
    <t>-497.754518510662 -123.790448583921 825.805604879213</t>
  </si>
  <si>
    <t>9763-20170724T115446.526374300.bin</t>
  </si>
  <si>
    <t>-580.9455536693 41.0048155006759 -92.4853072762106</t>
  </si>
  <si>
    <t>-599.288872460455 36.7819356024152 -201.587066675189</t>
  </si>
  <si>
    <t>-612.026436018876 36.6715233214113 -293.584852977306</t>
  </si>
  <si>
    <t>-623.376055118394 37.9036546370833 -376.698014142792</t>
  </si>
  <si>
    <t>-633.991568526659 40.4834747166346 -459.877179885468</t>
  </si>
  <si>
    <t>-648.69427972103 45.7274956819099 -581.537719777221</t>
  </si>
  <si>
    <t>-639.582926503207 53.8512889169758 -658.94045025371</t>
  </si>
  <si>
    <t>-642.629095862132 74.7542631641959 -526.757091189633</t>
  </si>
  <si>
    <t>-615.072564265828 224.65734139832 -493.489728020983</t>
  </si>
  <si>
    <t>-564.238065908275 223.528219545907 -216.013323779065</t>
  </si>
  <si>
    <t>-359.667120558848 119.889176475696 -252.867270122921</t>
  </si>
  <si>
    <t>-641.856585246935 12.0988062970598 -529.551149384203</t>
  </si>
  <si>
    <t>-586.616125393628 133.752788168854 -96.8305133377642</t>
  </si>
  <si>
    <t>-621.22792323176 143.022834952711 317.196888245047</t>
  </si>
  <si>
    <t>-669.894429123614 181.592122934995 776.134330621053</t>
  </si>
  <si>
    <t>-520.037517803837 184.122762271724 834.617950664918</t>
  </si>
  <si>
    <t>-592.90241837622 -70.6845272996779 323.261308828305</t>
  </si>
  <si>
    <t>-651.400388500619 -106.283057875082 781.315134963148</t>
  </si>
  <si>
    <t>-497.720963883521 -123.395359961849 825.740653523125</t>
  </si>
  <si>
    <t>9763-20170724T115446.560465000.bin</t>
  </si>
  <si>
    <t>-581.042595447236 41.0547068008602 -92.4891823200808</t>
  </si>
  <si>
    <t>-599.39029602892 36.8260220892855 -201.589974903773</t>
  </si>
  <si>
    <t>-612.133563736154 36.7136296692329 -293.586902643442</t>
  </si>
  <si>
    <t>-623.488968455852 37.9440551946682 -376.699331278287</t>
  </si>
  <si>
    <t>-634.110580585052 40.5232758111349 -459.87790273885</t>
  </si>
  <si>
    <t>-648.822609213972 45.7667806369452 -581.53712700698</t>
  </si>
  <si>
    <t>-639.754342498801 53.9252634519594 -658.941398044319</t>
  </si>
  <si>
    <t>-642.763351448859 74.7935337340866 -526.755924452342</t>
  </si>
  <si>
    <t>-615.244344725345 224.706010838606 -493.500064178186</t>
  </si>
  <si>
    <t>-564.745756954432 223.662609839098 -215.961843668289</t>
  </si>
  <si>
    <t>-360.141145257227 120.010941725198 -252.592577947109</t>
  </si>
  <si>
    <t>-641.970814250219 12.1384554267261 -529.552280021902</t>
  </si>
  <si>
    <t>-586.79640032117 133.730501489317 -96.8110853587671</t>
  </si>
  <si>
    <t>-621.364840009746 143.01155968999 317.219725069158</t>
  </si>
  <si>
    <t>-669.903045400168 181.563224172044 776.167707548433</t>
  </si>
  <si>
    <t>-520.04010595628 184.04526182172 834.637788689202</t>
  </si>
  <si>
    <t>-592.927741197574 -70.5991632876201 323.260109746639</t>
  </si>
  <si>
    <t>-651.375751520647 -106.306602285781 781.308510709393</t>
  </si>
  <si>
    <t>-497.730712351681 -123.603475779436 825.781453806652</t>
  </si>
  <si>
    <t>9763-20170724T115446.627362100.bin</t>
  </si>
  <si>
    <t>-581.167855573967 41.0316999038807 -92.4557755617755</t>
  </si>
  <si>
    <t>-599.448666170098 36.7921979429827 -201.567438417827</t>
  </si>
  <si>
    <t>-612.177265422874 36.6741402608329 -293.566206582004</t>
  </si>
  <si>
    <t>-623.536157313214 37.9005086098555 -376.678414321843</t>
  </si>
  <si>
    <t>-634.178180216704 40.4770553940923 -459.854374587856</t>
  </si>
  <si>
    <t>-648.938482674239 45.7187035929067 -581.507834746204</t>
  </si>
  <si>
    <t>-639.950873898973 53.9237525993003 -658.916533236648</t>
  </si>
  <si>
    <t>-642.886545752444 74.7457279322368 -526.726016461304</t>
  </si>
  <si>
    <t>-615.629677193501 224.715236826891 -493.523357100261</t>
  </si>
  <si>
    <t>-565.741396585673 223.845566490246 -215.874339145647</t>
  </si>
  <si>
    <t>-360.992849547735 120.258861193622 -251.879279088895</t>
  </si>
  <si>
    <t>-642.037021155798 12.0917039878025 -529.528543210475</t>
  </si>
  <si>
    <t>-587.013584389517 133.586293605084 -96.7804269914043</t>
  </si>
  <si>
    <t>-621.530335521859 142.964491402794 317.252498248199</t>
  </si>
  <si>
    <t>-669.925611062375 181.536014098384 776.226539633248</t>
  </si>
  <si>
    <t>-520.054220273599 184.098479504063 834.671546621847</t>
  </si>
  <si>
    <t>-593.028946354894 -70.6499935342122 323.265070255742</t>
  </si>
  <si>
    <t>-651.297903451289 -106.291152082611 781.325741221753</t>
  </si>
  <si>
    <t>-497.637353050592 -123.130573677185 825.920480733576</t>
  </si>
  <si>
    <t>9763-20170724T115446.661461200.bin</t>
  </si>
  <si>
    <t>-581.166811547462 41.0033901307008 -92.4333726923638</t>
  </si>
  <si>
    <t>-599.428587359396 36.7566505171146 -201.547723244734</t>
  </si>
  <si>
    <t>-612.159699029846 36.642139961808 -293.546368030843</t>
  </si>
  <si>
    <t>-623.528408778383 37.8755326803016 -376.657060197992</t>
  </si>
  <si>
    <t>-634.187991739105 40.4629563559979 -459.830350958985</t>
  </si>
  <si>
    <t>-648.982517576204 45.7251852893987 -581.47896352937</t>
  </si>
  <si>
    <t>-640.02617757534 53.9567518794561 -658.888438575649</t>
  </si>
  <si>
    <t>-642.93670455414 74.7426346889672 -526.691199362695</t>
  </si>
  <si>
    <t>-615.830527586813 224.738619176713 -493.489418943841</t>
  </si>
  <si>
    <t>-566.248295243545 223.909708049905 -215.785494897968</t>
  </si>
  <si>
    <t>-361.340128665792 120.48111512772 -251.333995456155</t>
  </si>
  <si>
    <t>-642.044889911002 12.0898341016982 -529.509895434788</t>
  </si>
  <si>
    <t>-587.038966945224 133.590028089659 -96.771200729056</t>
  </si>
  <si>
    <t>-621.54266740668 142.95652711113 317.263081345186</t>
  </si>
  <si>
    <t>-669.927325737104 181.545027273452 776.244164511699</t>
  </si>
  <si>
    <t>-520.055904711278 184.101381853793 834.689476167073</t>
  </si>
  <si>
    <t>-593.048443810488 -70.713419251133 323.275180591522</t>
  </si>
  <si>
    <t>-651.246974832998 -106.320037603229 781.348362317415</t>
  </si>
  <si>
    <t>-497.641744486306 -123.418701064483 826.034992699786</t>
  </si>
  <si>
    <t>9763-20170724T115446.731308300.bin</t>
  </si>
  <si>
    <t>-580.981178434696 40.9918969293103 -92.3972428273005</t>
  </si>
  <si>
    <t>-599.196997781677 36.7183700362359 -201.518471062064</t>
  </si>
  <si>
    <t>-611.924928417134 36.6081302739851 -293.517453442052</t>
  </si>
  <si>
    <t>-623.305402372002 37.856015417578 -376.626133432199</t>
  </si>
  <si>
    <t>-633.991714165993 40.4695542409147 -459.795217952791</t>
  </si>
  <si>
    <t>-648.842301772614 45.7822565602255 -581.434795433897</t>
  </si>
  <si>
    <t>-639.914483194259 54.0846535674787 -658.840115751334</t>
  </si>
  <si>
    <t>-642.827785808711 74.7756215551231 -526.631054521439</t>
  </si>
  <si>
    <t>-616.002007622827 224.842004582566 -493.516740524313</t>
  </si>
  <si>
    <t>-567.119349011829 223.978672337337 -215.688808967092</t>
  </si>
  <si>
    <t>-361.75010884757 121.044417396606 -249.989550616334</t>
  </si>
  <si>
    <t>-641.824205253817 12.1265256419283 -529.489912033717</t>
  </si>
  <si>
    <t>-586.892012612432 133.628719346832 -96.7516832636653</t>
  </si>
  <si>
    <t>-621.438948965092 142.933528898737 317.2803617659</t>
  </si>
  <si>
    <t>-669.934595260468 181.511436793419 776.260221009165</t>
  </si>
  <si>
    <t>-520.071733382604 184.074122743119 834.727125700322</t>
  </si>
  <si>
    <t>-592.881514139153 -70.8047108543396 323.318738211914</t>
  </si>
  <si>
    <t>-651.138976658722 -106.313481900723 781.387634866793</t>
  </si>
  <si>
    <t>-497.563946667803 -123.218035158499 826.251524526343</t>
  </si>
  <si>
    <t>9763-20170724T115446.758381200.bin</t>
  </si>
  <si>
    <t>-580.821331429016 41.0389991258971 -92.3780146499473</t>
  </si>
  <si>
    <t>-598.99354350824 36.7528842663005 -201.505896392241</t>
  </si>
  <si>
    <t>-611.679267374872 36.6354650790393 -293.51069901859</t>
  </si>
  <si>
    <t>-623.019619439071 37.8775555989751 -376.625038029184</t>
  </si>
  <si>
    <t>-633.663649080027 40.486573106472 -459.799765958237</t>
  </si>
  <si>
    <t>-648.450047654832 45.7940671372253 -581.447323912974</t>
  </si>
  <si>
    <t>-639.493783104722 54.1082274692808 -658.847938495056</t>
  </si>
  <si>
    <t>-642.476936474333 74.7895816692608 -526.640111610036</t>
  </si>
  <si>
    <t>-615.759705027038 224.888142986829 -493.547104314572</t>
  </si>
  <si>
    <t>-567.248623738648 224.019801418936 -215.654139643891</t>
  </si>
  <si>
    <t>-361.711223404378 121.268219030466 -249.492375580897</t>
  </si>
  <si>
    <t>-641.446857921005 12.1408232487217 -529.498803636543</t>
  </si>
  <si>
    <t>-586.757742799349 133.691851856366 -96.7375119338527</t>
  </si>
  <si>
    <t>-621.390617297546 142.963088507751 317.288092358634</t>
  </si>
  <si>
    <t>-669.914474875266 181.591032205227 776.258987573172</t>
  </si>
  <si>
    <t>-520.057043008831 184.087392367585 834.74267789849</t>
  </si>
  <si>
    <t>-592.797973175579 -70.8241114467701 323.341523104224</t>
  </si>
  <si>
    <t>-651.085680671898 -106.310232536118 781.402309886423</t>
  </si>
  <si>
    <t>-497.523489697174 -123.09508691133 826.35503356665</t>
  </si>
  <si>
    <t>9763-20170724T115446.826120400.bin</t>
  </si>
  <si>
    <t>-580.416621307915 41.1248368990514 -92.3348716704173</t>
  </si>
  <si>
    <t>-598.465789197966 36.8138400325104 -201.482206826385</t>
  </si>
  <si>
    <t>-611.079950375642 36.6609575095097 -293.496830429811</t>
  </si>
  <si>
    <t>-622.368563641192 37.8647244203255 -376.61876172215</t>
  </si>
  <si>
    <t>-632.973847899936 40.4293655892654 -459.799747063357</t>
  </si>
  <si>
    <t>-647.717789391421 45.6658484510876 -581.455607715672</t>
  </si>
  <si>
    <t>-638.705047495001 53.9369190615264 -658.85445585554</t>
  </si>
  <si>
    <t>-641.776739956191 74.6931540684823 -526.661735476218</t>
  </si>
  <si>
    <t>-615.210775574355 224.837974647357 -493.675878861068</t>
  </si>
  <si>
    <t>-567.285435426633 224.040423709799 -215.681091910981</t>
  </si>
  <si>
    <t>-361.519822800612 121.474121946777 -248.684132378886</t>
  </si>
  <si>
    <t>-640.719750850191 12.0432362116558 -529.486517889418</t>
  </si>
  <si>
    <t>-586.435751940768 133.737201001831 -96.7112609186663</t>
  </si>
  <si>
    <t>-621.21259960686 142.969410881669 317.303160429754</t>
  </si>
  <si>
    <t>-669.918484038355 181.514016195873 776.266032494055</t>
  </si>
  <si>
    <t>-520.081776290509 184.185649155598 834.795061639374</t>
  </si>
  <si>
    <t>-592.517889082724 -70.8142175289918 323.395212214094</t>
  </si>
  <si>
    <t>-650.949871674483 -106.336270313966 781.443368870333</t>
  </si>
  <si>
    <t>-497.481773401348 -123.350221553607 826.630603561307</t>
  </si>
  <si>
    <t>9763-20170724T115446.861217400.bin</t>
  </si>
  <si>
    <t>-580.173272815923 41.0965903715926 -92.3164774510481</t>
  </si>
  <si>
    <t>-598.176532007396 36.7809593482875 -201.471229426912</t>
  </si>
  <si>
    <t>-610.769153012408 36.613086876235 -293.488805563965</t>
  </si>
  <si>
    <t>-622.045171469398 37.7995707828397 -376.612709932418</t>
  </si>
  <si>
    <t>-632.644917181888 40.3426643880064 -459.795073316828</t>
  </si>
  <si>
    <t>-647.388558838564 45.5430932982979 -581.452507912827</t>
  </si>
  <si>
    <t>-638.350263169882 53.7760292416224 -658.852295462761</t>
  </si>
  <si>
    <t>-641.448920975797 74.5865729153104 -526.666922967863</t>
  </si>
  <si>
    <t>-614.882280964055 224.744159890567 -493.736749681781</t>
  </si>
  <si>
    <t>-567.254042974324 224.21842194253 -215.690199605211</t>
  </si>
  <si>
    <t>-361.543345682093 121.508676286068 -248.589341399418</t>
  </si>
  <si>
    <t>-640.389407247848 11.9359031399158 -529.473570248938</t>
  </si>
  <si>
    <t>-586.187390963212 133.721432644091 -96.6906584821062</t>
  </si>
  <si>
    <t>-621.102321518801 142.92281984325 317.31284581775</t>
  </si>
  <si>
    <t>-669.916608013462 181.476736835523 776.26089777203</t>
  </si>
  <si>
    <t>-520.093712441342 184.182394363605 834.823614023328</t>
  </si>
  <si>
    <t>-592.447400427013 -70.9027684580267 323.413360244272</t>
  </si>
  <si>
    <t>-650.921531016849 -106.291474341316 781.459642728186</t>
  </si>
  <si>
    <t>-497.434452014331 -123.0140496929 826.691215139898</t>
  </si>
  <si>
    <t>9763-20170724T115446.931469400.bin</t>
  </si>
  <si>
    <t>-579.767861650544 40.9935963889184 -92.2851825340305</t>
  </si>
  <si>
    <t>-597.658170346186 36.6737972229096 -201.458380175011</t>
  </si>
  <si>
    <t>-610.21369663142 36.4729029144257 -293.480967060512</t>
  </si>
  <si>
    <t>-621.480203733673 37.6183201463984 -376.606522693193</t>
  </si>
  <si>
    <t>-632.094656065093 40.1093466434627 -459.788689474034</t>
  </si>
  <si>
    <t>-646.88674367305 45.2218909064379 -581.443874145476</t>
  </si>
  <si>
    <t>-637.841106727666 53.3882599890587 -658.849990586952</t>
  </si>
  <si>
    <t>-640.924572989794 74.3048874665285 -526.682033857424</t>
  </si>
  <si>
    <t>-614.367534827085 224.481333088801 -493.836779164408</t>
  </si>
  <si>
    <t>-567.255732666954 224.524524987111 -215.701767372931</t>
  </si>
  <si>
    <t>-361.622186736835 121.65695949622 -248.59020641779</t>
  </si>
  <si>
    <t>-639.867644324725 11.6522210023054 -529.443457218774</t>
  </si>
  <si>
    <t>-585.686021709205 133.662458902255 -96.6849896406893</t>
  </si>
  <si>
    <t>-620.826287504272 142.795246345119 317.300938884792</t>
  </si>
  <si>
    <t>-669.89179898849 181.499214512952 776.227867778679</t>
  </si>
  <si>
    <t>-520.097098627925 184.249878049185 834.860615893409</t>
  </si>
  <si>
    <t>-592.396633549375 -71.0711768615297 323.439583960873</t>
  </si>
  <si>
    <t>-650.909049578029 -106.269467444905 781.47333873431</t>
  </si>
  <si>
    <t>-497.40680287571 -122.772011764396 826.734247516154</t>
  </si>
  <si>
    <t>9763-20170724T115446.967565400.bin</t>
  </si>
  <si>
    <t>-579.635629513485 40.9147649097556 -92.2803033704214</t>
  </si>
  <si>
    <t>-597.459249049386 36.6045741046573 -201.464618538281</t>
  </si>
  <si>
    <t>-609.989998074458 36.3870827357316 -293.490598379611</t>
  </si>
  <si>
    <t>-621.2470538583 37.5085091039614 -376.617975674586</t>
  </si>
  <si>
    <t>-631.865199007849 39.9663514956512 -459.800669495926</t>
  </si>
  <si>
    <t>-646.677266209642 45.0204839570401 -581.455807149667</t>
  </si>
  <si>
    <t>-637.642164252419 53.152097866993 -658.866816080091</t>
  </si>
  <si>
    <t>-640.696515532681 74.1300442562617 -526.709926311155</t>
  </si>
  <si>
    <t>-614.150627755883 224.328109722974 -493.941906095395</t>
  </si>
  <si>
    <t>-567.426787618756 224.601752432005 -215.741660798551</t>
  </si>
  <si>
    <t>-361.736781293728 121.77998482525 -248.419373708715</t>
  </si>
  <si>
    <t>-639.659196097579 11.4754967160893 -529.439095817207</t>
  </si>
  <si>
    <t>-585.459498910964 133.660524409137 -96.6862599006841</t>
  </si>
  <si>
    <t>-620.739435272419 142.748189223899 317.288850693952</t>
  </si>
  <si>
    <t>-669.867129843182 181.588450512111 776.198191837442</t>
  </si>
  <si>
    <t>-520.083227519129 184.147580168413 834.867275221566</t>
  </si>
  <si>
    <t>-592.443430347487 -71.2214390614249 323.438106334296</t>
  </si>
  <si>
    <t>-650.906967817117 -106.309562211306 781.487890902282</t>
  </si>
  <si>
    <t>-497.450520343087 -123.20987029108 826.757353600812</t>
  </si>
  <si>
    <t>9763-20170724T115447.026309300.bin</t>
  </si>
  <si>
    <t>-579.517125583047 40.7889483616386 -92.2855879819472</t>
  </si>
  <si>
    <t>-597.248710863928 36.4817647780594 -201.485105130614</t>
  </si>
  <si>
    <t>-609.691894348257 36.2415933891045 -293.52287682767</t>
  </si>
  <si>
    <t>-620.865909398804 37.3335318223947 -376.66184385533</t>
  </si>
  <si>
    <t>-631.39708327942 39.7520453435334 -459.856757600024</t>
  </si>
  <si>
    <t>-646.077652792916 44.7379466132609 -581.530707985605</t>
  </si>
  <si>
    <t>-637.021182528257 52.8150130476085 -658.94479738823</t>
  </si>
  <si>
    <t>-640.115770337185 73.8789254774015 -526.799474399064</t>
  </si>
  <si>
    <t>-613.367717435943 224.062038262473 -494.137853131407</t>
  </si>
  <si>
    <t>-567.659032077176 224.779837986787 -215.769660164192</t>
  </si>
  <si>
    <t>-361.816729748037 122.021679449857 -247.679496782959</t>
  </si>
  <si>
    <t>-639.15616481215 11.2212683797495 -529.48272252829</t>
  </si>
  <si>
    <t>-585.189082733841 133.598632552946 -96.7063550205313</t>
  </si>
  <si>
    <t>-620.664479431803 142.699316550474 317.251747742493</t>
  </si>
  <si>
    <t>-669.880720920182 181.554586346562 776.145313734644</t>
  </si>
  <si>
    <t>-520.106612327681 184.154340199054 834.837580572111</t>
  </si>
  <si>
    <t>-592.573605980947 -71.4189058513011 323.429759325229</t>
  </si>
  <si>
    <t>-650.958567734385 -106.307430765385 781.495896046017</t>
  </si>
  <si>
    <t>-497.506508676783 -123.446543743181 826.690354823317</t>
  </si>
  <si>
    <t>9763-20170724T115447.063407400.bin</t>
  </si>
  <si>
    <t>-579.477656665288 40.7645523405515 -92.2970624144565</t>
  </si>
  <si>
    <t>-597.179422405548 36.4607501348012 -201.501552785151</t>
  </si>
  <si>
    <t>-609.582330607117 36.2111845988045 -293.544656627934</t>
  </si>
  <si>
    <t>-620.713917870147 37.2897623995618 -376.689545090307</t>
  </si>
  <si>
    <t>-631.19648910834 39.6900168478355 -459.890965177347</t>
  </si>
  <si>
    <t>-645.79923649155 44.6436701384143 -581.575644660135</t>
  </si>
  <si>
    <t>-636.73807242215 52.6921400106526 -658.992254499756</t>
  </si>
  <si>
    <t>-639.852967618218 73.7996067075865 -526.850706248328</t>
  </si>
  <si>
    <t>-613.016456774515 223.977597340909 -494.230415761236</t>
  </si>
  <si>
    <t>-567.833344094372 224.785301123957 -215.776898202813</t>
  </si>
  <si>
    <t>-361.918496814118 122.066891576161 -247.344833946096</t>
  </si>
  <si>
    <t>-638.93040754508 11.1403908956929 -529.512217612484</t>
  </si>
  <si>
    <t>-585.092815517774 133.559404135211 -96.7173749550974</t>
  </si>
  <si>
    <t>-620.633342673475 142.645883546918 317.235408617427</t>
  </si>
  <si>
    <t>-669.914119076726 181.43899980027 776.123094612889</t>
  </si>
  <si>
    <t>-520.142225248125 184.309259330611 834.808359838484</t>
  </si>
  <si>
    <t>-592.634342155411 -71.4271692977609 323.420170663605</t>
  </si>
  <si>
    <t>-650.989997353537 -106.294669385241 781.486327888131</t>
  </si>
  <si>
    <t>-497.536343827297 -123.545561645378 826.632800366511</t>
  </si>
  <si>
    <t>9763-20170724T115447.128131300.bin</t>
  </si>
  <si>
    <t>-579.422194255813 40.8983161220197 -92.3523601525169</t>
  </si>
  <si>
    <t>-597.089764649848 36.5988711674265 -201.562550285165</t>
  </si>
  <si>
    <t>-609.434272619943 36.3354963423774 -293.613466719479</t>
  </si>
  <si>
    <t>-620.501287216807 37.395350175048 -376.767240924664</t>
  </si>
  <si>
    <t>-630.907345775192 39.7698685183325 -459.979014598039</t>
  </si>
  <si>
    <t>-645.385221901839 44.677944815501 -581.680506865644</t>
  </si>
  <si>
    <t>-636.302476467372 52.6693781917324 -659.100388222068</t>
  </si>
  <si>
    <t>-639.463426089963 73.8549394229849 -526.96414660219</t>
  </si>
  <si>
    <t>-612.597298021527 224.048352630267 -494.454864012916</t>
  </si>
  <si>
    <t>-568.059766858299 224.776745402264 -215.897189964443</t>
  </si>
  <si>
    <t>-362.100589014511 122.031417895754 -247.086156377597</t>
  </si>
  <si>
    <t>-638.60148221687 11.1937071439722 -529.593678456941</t>
  </si>
  <si>
    <t>-584.980298332904 133.706056506015 -96.7821896556391</t>
  </si>
  <si>
    <t>-620.630623804257 142.779661386962 317.161427091443</t>
  </si>
  <si>
    <t>-669.916217950438 181.480466034751 776.070877765368</t>
  </si>
  <si>
    <t>-520.141258063521 184.058911375801 834.761829054</t>
  </si>
  <si>
    <t>-592.764173089577 -71.3625667119777 323.38164968308</t>
  </si>
  <si>
    <t>-651.022576631216 -106.279142269256 781.476961474125</t>
  </si>
  <si>
    <t>-497.548996608963 -123.504048797639 826.565594516338</t>
  </si>
  <si>
    <t>9763-20170724T115447.161220200.bin</t>
  </si>
  <si>
    <t>-579.449371577748 40.9377461634633 -92.3755875040152</t>
  </si>
  <si>
    <t>-597.11812192355 36.6372551368627 -201.585588688142</t>
  </si>
  <si>
    <t>-609.462236627777 36.3648446964532 -293.636664828319</t>
  </si>
  <si>
    <t>-620.528258985935 37.4137043129929 -376.790571855199</t>
  </si>
  <si>
    <t>-630.93275750714 39.7738625213558 -460.002904745689</t>
  </si>
  <si>
    <t>-645.407670666786 44.657591062605 -581.705616700511</t>
  </si>
  <si>
    <t>-636.310043070691 52.6272939107027 -659.126098492217</t>
  </si>
  <si>
    <t>-639.471081179538 73.8458693934253 -526.997013151358</t>
  </si>
  <si>
    <t>-612.53370860627 224.042178375865 -494.547104952765</t>
  </si>
  <si>
    <t>-568.282945342903 224.819716752064 -215.943589384776</t>
  </si>
  <si>
    <t>-362.40417611713 121.914709272851 -247.137088647938</t>
  </si>
  <si>
    <t>-638.641333761302 11.1835007777977 -529.610119596854</t>
  </si>
  <si>
    <t>-584.978181110351 133.739198497836 -96.8035991404495</t>
  </si>
  <si>
    <t>-620.661935773158 142.796855249719 317.137481965585</t>
  </si>
  <si>
    <t>-669.915767089208 181.520347295015 776.046024914043</t>
  </si>
  <si>
    <t>-520.140916816144 184.213142605745 834.732250781102</t>
  </si>
  <si>
    <t>-592.849269637019 -71.3343506345129 323.36481299924</t>
  </si>
  <si>
    <t>-651.036197638393 -106.253741530787 781.472953358671</t>
  </si>
  <si>
    <t>-497.542696215026 -123.384135619604 826.529836104894</t>
  </si>
  <si>
    <t>9763-20170724T115447.230970700.bin</t>
  </si>
  <si>
    <t>-579.562217304097 41.0677268958293 -92.4260114166561</t>
  </si>
  <si>
    <t>-597.257055216133 36.7725236044755 -201.632053411728</t>
  </si>
  <si>
    <t>-609.602938276011 36.4854955900983 -293.682710913961</t>
  </si>
  <si>
    <t>-620.662877989521 37.5141861258751 -376.837682104523</t>
  </si>
  <si>
    <t>-631.053735071218 39.8470519423042 -460.05263555989</t>
  </si>
  <si>
    <t>-645.500633288617 44.6828581965526 -581.760532508491</t>
  </si>
  <si>
    <t>-636.348567081085 52.6219670611806 -659.177771131835</t>
  </si>
  <si>
    <t>-639.566487370571 73.8928624112248 -527.063125893699</t>
  </si>
  <si>
    <t>-612.658129829535 224.121776762569 -494.764260081707</t>
  </si>
  <si>
    <t>-568.673392447602 225.250464055116 -216.119945809597</t>
  </si>
  <si>
    <t>-362.978176476867 121.973636307117 -247.295510691333</t>
  </si>
  <si>
    <t>-638.756448570761 11.2289730532916 -529.649115416233</t>
  </si>
  <si>
    <t>-584.960271510385 133.903848767278 -96.8642644837952</t>
  </si>
  <si>
    <t>-620.692666985677 142.909277023387 317.073743298137</t>
  </si>
  <si>
    <t>-669.924919569813 181.557234105005 775.992692520646</t>
  </si>
  <si>
    <t>-520.144223687109 184.0378683739 834.673378230537</t>
  </si>
  <si>
    <t>-593.054658915201 -71.2443579482685 323.331122552775</t>
  </si>
  <si>
    <t>-651.057117929682 -106.244818544007 781.45681171647</t>
  </si>
  <si>
    <t>-497.569089698214 -123.522754938236 826.475923039623</t>
  </si>
  <si>
    <t>9763-20170724T115447.265055000.bin</t>
  </si>
  <si>
    <t>-579.680295276441 41.1382506946379 -92.4471880848716</t>
  </si>
  <si>
    <t>-597.412126571674 36.8297424627983 -201.646603209022</t>
  </si>
  <si>
    <t>-609.763937694892 36.532517564616 -293.696560279296</t>
  </si>
  <si>
    <t>-620.819186815331 37.5525417694116 -376.852216893504</t>
  </si>
  <si>
    <t>-631.195430927418 39.8772055596546 -460.069191268914</t>
  </si>
  <si>
    <t>-645.61019887202 44.7013421681881 -581.781469300677</t>
  </si>
  <si>
    <t>-636.436269306841 52.6381567189603 -659.196361345673</t>
  </si>
  <si>
    <t>-639.693499576028 73.916591404713 -527.084925092982</t>
  </si>
  <si>
    <t>-612.819851597596 224.163767098994 -494.822801858318</t>
  </si>
  <si>
    <t>-568.921177590057 225.409734625354 -216.165392184967</t>
  </si>
  <si>
    <t>-363.200004923642 122.226301930676 -247.478298949684</t>
  </si>
  <si>
    <t>-638.876747107933 11.2524407681217 -529.665400314861</t>
  </si>
  <si>
    <t>-585.054221852497 133.957940540691 -96.9042713536336</t>
  </si>
  <si>
    <t>-620.724972243678 142.912294187478 317.040160109707</t>
  </si>
  <si>
    <t>-669.93779231709 181.522954061051 775.963281161618</t>
  </si>
  <si>
    <t>-520.159259937131 184.119870748925 834.644435832842</t>
  </si>
  <si>
    <t>-593.114502027179 -71.1655915773531 323.319683548464</t>
  </si>
  <si>
    <t>-651.054921071151 -106.221844624207 781.454975206122</t>
  </si>
  <si>
    <t>-497.543783428847 -123.310334342847 826.467585132926</t>
  </si>
  <si>
    <t>9763-20170724T115447.326722100.bin</t>
  </si>
  <si>
    <t>-579.956130846035 41.2556767048218 -92.4874560806948</t>
  </si>
  <si>
    <t>-597.76794404312 36.9419359753417 -201.673685484869</t>
  </si>
  <si>
    <t>-610.147901832276 36.6303566868839 -293.719742814237</t>
  </si>
  <si>
    <t>-621.212951935576 37.6329328938932 -376.874386651398</t>
  </si>
  <si>
    <t>-631.583322113628 39.9358268447327 -460.092623181894</t>
  </si>
  <si>
    <t>-645.97228518295 44.7231625972329 -581.809303031605</t>
  </si>
  <si>
    <t>-636.78035257909 52.6306938379892 -659.225086726475</t>
  </si>
  <si>
    <t>-640.068875863936 73.9549338138943 -527.12027300901</t>
  </si>
  <si>
    <t>-613.285768319599 224.237551396692 -494.933191955512</t>
  </si>
  <si>
    <t>-569.618687481423 225.671894640557 -216.240277046057</t>
  </si>
  <si>
    <t>-363.844762072773 122.600816129733 -247.576952377646</t>
  </si>
  <si>
    <t>-639.248196148748 11.290146200625 -529.682054010153</t>
  </si>
  <si>
    <t>-585.382501453068 134.088725572248 -96.9467594735946</t>
  </si>
  <si>
    <t>-620.929373366674 143.01010981781 317.009115416569</t>
  </si>
  <si>
    <t>-669.952977243417 181.543572156618 775.947608148463</t>
  </si>
  <si>
    <t>-520.16716380053 184.007491675057 834.615823877835</t>
  </si>
  <si>
    <t>-593.204322390258 -71.0086271374801 323.299502351517</t>
  </si>
  <si>
    <t>-651.057452611473 -106.194835051863 781.448501423947</t>
  </si>
  <si>
    <t>-497.56955712435 -123.52008235274 826.449899178187</t>
  </si>
  <si>
    <t>9763-20170724T115447.358807100.bin</t>
  </si>
  <si>
    <t>-580.130957147286 41.3195259722399 -92.5119239432363</t>
  </si>
  <si>
    <t>-597.967544320652 36.995294997653 -201.693671611409</t>
  </si>
  <si>
    <t>-610.338342520208 36.6659439391456 -293.740959144182</t>
  </si>
  <si>
    <t>-621.382950481593 37.6486343318329 -376.898519809346</t>
  </si>
  <si>
    <t>-631.720728632197 39.9273589110485 -460.121459317775</t>
  </si>
  <si>
    <t>-646.04854840778 44.6750801254047 -581.847006000438</t>
  </si>
  <si>
    <t>-636.838442161546 52.5536677395376 -659.263451236599</t>
  </si>
  <si>
    <t>-640.170656108173 73.9245879170126 -527.164726027248</t>
  </si>
  <si>
    <t>-613.407352208282 224.213780673205 -495.004237717112</t>
  </si>
  <si>
    <t>-569.958202525465 225.906481161212 -216.278736446521</t>
  </si>
  <si>
    <t>-364.22567579228 122.710596387324 -247.476030410239</t>
  </si>
  <si>
    <t>-639.352655189472 11.2589133324411 -529.705132250025</t>
  </si>
  <si>
    <t>-585.560853059859 134.142481060992 -96.972812640372</t>
  </si>
  <si>
    <t>-621.057023821241 143.078333259467 316.987046489222</t>
  </si>
  <si>
    <t>-669.958327274124 181.570702958764 775.942680793101</t>
  </si>
  <si>
    <t>-520.168848332217 184.01223958143 834.60255217671</t>
  </si>
  <si>
    <t>-593.272491389356 -70.9486742084378 323.287958283824</t>
  </si>
  <si>
    <t>-651.060514088623 -106.195243945925 781.44005042778</t>
  </si>
  <si>
    <t>-497.587117212011 -123.654333151883 826.439158935445</t>
  </si>
  <si>
    <t>9763-20170724T115447.429537500.bin</t>
  </si>
  <si>
    <t>-580.544599211838 41.3572711906122 -92.5338853353196</t>
  </si>
  <si>
    <t>-598.459976835963 37.0316474488579 -201.702765923796</t>
  </si>
  <si>
    <t>-610.825338254737 36.6679493551371 -293.750504574715</t>
  </si>
  <si>
    <t>-621.83627193411 37.6060171294871 -376.913161993724</t>
  </si>
  <si>
    <t>-632.11155020688 39.826369777687 -460.14553527746</t>
  </si>
  <si>
    <t>-646.316522089606 44.4730318111417 -581.889279767703</t>
  </si>
  <si>
    <t>-637.076159743231 52.2848941506545 -659.308940931793</t>
  </si>
  <si>
    <t>-640.490724694143 73.7680816023974 -527.225595873244</t>
  </si>
  <si>
    <t>-613.730616608858 224.09702211218 -495.238486020161</t>
  </si>
  <si>
    <t>-570.813731001735 226.214913561303 -216.433412176199</t>
  </si>
  <si>
    <t>-364.995050320199 123.053322014043 -247.1725867837</t>
  </si>
  <si>
    <t>-639.676258551911 11.1002078019651 -529.712676090328</t>
  </si>
  <si>
    <t>-585.997098244873 134.182591286969 -97.005038262778</t>
  </si>
  <si>
    <t>-621.258891574452 143.084138950268 316.975570254547</t>
  </si>
  <si>
    <t>-669.995798580565 181.528697483813 775.954858799284</t>
  </si>
  <si>
    <t>-520.190916474496 184.054100298526 834.571715999434</t>
  </si>
  <si>
    <t>-593.427157219172 -70.8621752877177 323.261927583576</t>
  </si>
  <si>
    <t>-651.063456953898 -106.147972649457 781.437823268535</t>
  </si>
  <si>
    <t>-497.586229556708 -123.591758232097 826.429784550771</t>
  </si>
  <si>
    <t>9763-20170724T115447.462625700.bin</t>
  </si>
  <si>
    <t>-580.734661157245 41.3813034654065 -92.5472575851313</t>
  </si>
  <si>
    <t>-598.710272248816 37.0708459514665 -201.706828476229</t>
  </si>
  <si>
    <t>-611.109208145126 36.689832402926 -293.750038895465</t>
  </si>
  <si>
    <t>-622.143860218916 37.599982204151 -376.909719821808</t>
  </si>
  <si>
    <t>-632.43633577637 39.7803671234096 -460.14100521404</t>
  </si>
  <si>
    <t>-646.659450000584 44.3553160423335 -581.88541961962</t>
  </si>
  <si>
    <t>-637.43048703147 52.1184965914786 -659.311313625536</t>
  </si>
  <si>
    <t>-640.826622788569 73.6824267945506 -527.23986940538</t>
  </si>
  <si>
    <t>-614.111137804689 224.041543238219 -495.364343637883</t>
  </si>
  <si>
    <t>-571.375945889473 226.235254983148 -216.532046211213</t>
  </si>
  <si>
    <t>-365.476302084553 123.167932778757 -247.044329172582</t>
  </si>
  <si>
    <t>-640.01037425582 11.0131424917813 -529.690078760135</t>
  </si>
  <si>
    <t>-586.197808182775 134.207841315131 -97.0078049560448</t>
  </si>
  <si>
    <t>-621.335435352886 143.069709694419 316.984156376504</t>
  </si>
  <si>
    <t>-670.013948554188 181.484193959897 775.960252504585</t>
  </si>
  <si>
    <t>-520.20245983222 184.082084286176 834.557070370524</t>
  </si>
  <si>
    <t>-593.473179845648 -70.7791151199922 323.249534292733</t>
  </si>
  <si>
    <t>-651.050425148461 -106.125164804611 781.435253305398</t>
  </si>
  <si>
    <t>-497.551058999717 -123.346936671017 826.437191073137</t>
  </si>
  <si>
    <t>9763-20170724T115447.526848200.bin</t>
  </si>
  <si>
    <t>-581.139195086739 41.4916445000338 -92.5868875597538</t>
  </si>
  <si>
    <t>-599.222629595207 37.1726301267818 -201.728186746113</t>
  </si>
  <si>
    <t>-611.699921203173 36.7710416555915 -293.760826073872</t>
  </si>
  <si>
    <t>-622.800707017037 37.6569350998614 -376.912105820161</t>
  </si>
  <si>
    <t>-633.154997857043 39.8076671823555 -460.13635318272</t>
  </si>
  <si>
    <t>-647.463884932582 44.3333312956468 -581.872535343321</t>
  </si>
  <si>
    <t>-638.282251372711 52.026754606444 -659.311078346208</t>
  </si>
  <si>
    <t>-641.617879689288 73.6820818389929 -527.239947630743</t>
  </si>
  <si>
    <t>-615.031198089431 224.076362893214 -495.453515099196</t>
  </si>
  <si>
    <t>-572.471585878887 226.583012190031 -216.59694175384</t>
  </si>
  <si>
    <t>-366.455133654269 123.633550528687 -246.716162412233</t>
  </si>
  <si>
    <t>-640.752702497972 11.0127591317655 -529.671583664137</t>
  </si>
  <si>
    <t>-586.618981234562 134.300758641307 -97.0378143956556</t>
  </si>
  <si>
    <t>-621.571905510506 143.101972208279 316.971166286475</t>
  </si>
  <si>
    <t>-670.040662802583 181.461718011655 775.980810187514</t>
  </si>
  <si>
    <t>-520.219758234269 184.120334357769 834.550798083018</t>
  </si>
  <si>
    <t>-593.636378457636 -70.5754536538993 323.239207636186</t>
  </si>
  <si>
    <t>-651.050390601496 -106.065866966372 781.426939453374</t>
  </si>
  <si>
    <t>-497.545794657536 -123.260275428183 826.421527967669</t>
  </si>
  <si>
    <t>9763-20170724T115447.561947400.bin</t>
  </si>
  <si>
    <t>-581.334547466229 41.5993988151929 -92.6032184187575</t>
  </si>
  <si>
    <t>-599.469057891775 37.2746113312735 -201.735994169079</t>
  </si>
  <si>
    <t>-611.961563191509 36.8604003663286 -293.766327575937</t>
  </si>
  <si>
    <t>-623.064832014782 37.7321337763726 -376.917419244381</t>
  </si>
  <si>
    <t>-633.41049731496 39.8653666932623 -460.143251347675</t>
  </si>
  <si>
    <t>-647.694528903232 44.3621663070121 -581.883384990423</t>
  </si>
  <si>
    <t>-638.509805876717 52.0236381769203 -659.324677014246</t>
  </si>
  <si>
    <t>-641.865006764333 73.7238713763029 -527.256157899196</t>
  </si>
  <si>
    <t>-615.350810134245 224.146539576976 -495.499163932745</t>
  </si>
  <si>
    <t>-572.931398453658 226.761992939284 -216.622142788002</t>
  </si>
  <si>
    <t>-366.857611669415 123.890190518064 -246.614162307743</t>
  </si>
  <si>
    <t>-640.988671769072 11.054036238558 -529.673753927592</t>
  </si>
  <si>
    <t>-586.816494235524 134.414239828827 -97.0542706533549</t>
  </si>
  <si>
    <t>-621.655171238008 143.233131002867 316.963970686401</t>
  </si>
  <si>
    <t>-670.025812520163 181.578522220095 775.990513217543</t>
  </si>
  <si>
    <t>-520.196755873165 183.943090963222 834.552417872296</t>
  </si>
  <si>
    <t>-593.739654528015 -70.4460565513168 323.231288079951</t>
  </si>
  <si>
    <t>-651.050166759506 -106.060776104989 781.421423745311</t>
  </si>
  <si>
    <t>-497.561963533235 -123.376602903442 826.425352756188</t>
  </si>
  <si>
    <t>9763-20170724T115447.626629000.bin</t>
  </si>
  <si>
    <t>-581.671086442381 41.7415471325151 -92.605009012612</t>
  </si>
  <si>
    <t>-599.900805705579 37.4004756724248 -201.721170290213</t>
  </si>
  <si>
    <t>-612.433115698015 36.9477680790546 -293.746118505915</t>
  </si>
  <si>
    <t>-623.556211064836 37.7738611895054 -376.894792299647</t>
  </si>
  <si>
    <t>-633.905582057917 39.8508460310561 -460.121687581625</t>
  </si>
  <si>
    <t>-648.177400008135 44.2535828922603 -581.866793864823</t>
  </si>
  <si>
    <t>-638.990643783063 51.868075665938 -659.312508222451</t>
  </si>
  <si>
    <t>-642.362559148979 73.6573510553003 -527.260484879727</t>
  </si>
  <si>
    <t>-615.911157187216 224.12409984236 -495.658764699738</t>
  </si>
  <si>
    <t>-573.713512358163 226.969323683709 -216.750524560013</t>
  </si>
  <si>
    <t>-367.589250222422 124.157349163161 -246.60037276546</t>
  </si>
  <si>
    <t>-641.467516008962 10.9861504802384 -529.631783718688</t>
  </si>
  <si>
    <t>-587.234779758446 134.507154622269 -97.0708188199076</t>
  </si>
  <si>
    <t>-621.828854412193 143.274744084726 316.968962649161</t>
  </si>
  <si>
    <t>-670.057131369011 181.517805464865 776.007530091334</t>
  </si>
  <si>
    <t>-520.218692634177 184.037341285107 834.538850603797</t>
  </si>
  <si>
    <t>-593.901137840352 -70.2295135042712 323.225107721667</t>
  </si>
  <si>
    <t>-651.01369225141 -106.011885906039 781.426683676356</t>
  </si>
  <si>
    <t>-497.499083792738 -122.971374270684 826.476193990861</t>
  </si>
  <si>
    <t>9763-20170724T115447.663727200.bin</t>
  </si>
  <si>
    <t>-581.797827172007 41.7304177157801 -92.6088613650159</t>
  </si>
  <si>
    <t>-600.093037371525 37.3870215769839 -201.714002614218</t>
  </si>
  <si>
    <t>-612.676026247005 36.9153859784419 -293.731830663476</t>
  </si>
  <si>
    <t>-623.84326075128 37.7172562499957 -376.874949721016</t>
  </si>
  <si>
    <t>-634.235180865105 39.7632748980352 -460.0972808362</t>
  </si>
  <si>
    <t>-648.567537422541 44.1132525487767 -581.837151064406</t>
  </si>
  <si>
    <t>-639.405408834238 51.7069546431335 -659.287728564161</t>
  </si>
  <si>
    <t>-642.73597348438 73.5404951551359 -527.24519505322</t>
  </si>
  <si>
    <t>-616.346948794488 224.024000219774 -495.694608756306</t>
  </si>
  <si>
    <t>-574.099231971317 227.041192457105 -216.795737456354</t>
  </si>
  <si>
    <t>-367.937422799721 124.250239527962 -246.45827439764</t>
  </si>
  <si>
    <t>-641.82123771995 10.8686518033714 -529.592363534409</t>
  </si>
  <si>
    <t>-587.393829926353 134.507169004428 -97.072286980705</t>
  </si>
  <si>
    <t>-621.875265337644 143.274072733828 316.977015261887</t>
  </si>
  <si>
    <t>-670.050030544528 181.557135740836 776.01598178004</t>
  </si>
  <si>
    <t>-520.208754070031 183.961396346506 834.544895193779</t>
  </si>
  <si>
    <t>-593.962351729754 -70.2128353530384 323.221952289822</t>
  </si>
  <si>
    <t>-651.00924093082 -106.010769987866 781.430632144598</t>
  </si>
  <si>
    <t>-497.50157900203 -123.012121282733 826.488081300322</t>
  </si>
  <si>
    <t>9763-20170724T115447.731912000.bin</t>
  </si>
  <si>
    <t>-582.026013922644 41.5952144910525 -92.6250781064582</t>
  </si>
  <si>
    <t>-600.476356002587 37.2422260047483 -201.703671514858</t>
  </si>
  <si>
    <t>-613.198323114404 36.7448968034848 -293.702331792891</t>
  </si>
  <si>
    <t>-624.494616144891 37.5161650024338 -376.828342589265</t>
  </si>
  <si>
    <t>-635.019386196962 39.5243784680936 -460.034845473224</t>
  </si>
  <si>
    <t>-649.550220882759 43.811534257718 -581.753417742003</t>
  </si>
  <si>
    <t>-640.478328298219 51.3682026668532 -659.218265272124</t>
  </si>
  <si>
    <t>-643.654332104025 73.2664105356498 -527.18332207862</t>
  </si>
  <si>
    <t>-617.282048841269 223.768966183564 -495.706779824984</t>
  </si>
  <si>
    <t>-575.021686463592 226.981831416746 -216.812027570951</t>
  </si>
  <si>
    <t>-368.798905174961 124.295606751805 -246.413396032296</t>
  </si>
  <si>
    <t>-642.694068584144 10.5943605525845 -529.505318694255</t>
  </si>
  <si>
    <t>-587.682787108305 134.402896419143 -97.0808430081427</t>
  </si>
  <si>
    <t>-621.950653814666 143.197409919971 316.985491918077</t>
  </si>
  <si>
    <t>-670.043649881618 181.580255212302 776.024548921566</t>
  </si>
  <si>
    <t>-520.202055096601 183.961377722483 834.553605612353</t>
  </si>
  <si>
    <t>-594.059427494536 -70.2598680354881 323.202667203073</t>
  </si>
  <si>
    <t>-651.005085836553 -106.023397413572 781.421341451446</t>
  </si>
  <si>
    <t>-497.546966320938 -123.398642224154 826.504857043223</t>
  </si>
  <si>
    <t>9763-20170724T115447.760989500.bin</t>
  </si>
  <si>
    <t>-582.130191509641 41.5117102566844 -92.6328392884211</t>
  </si>
  <si>
    <t>-600.671920426799 37.1566828608463 -201.695849342972</t>
  </si>
  <si>
    <t>-613.475093678386 36.6448730656257 -293.683010255239</t>
  </si>
  <si>
    <t>-624.846424343869 37.3980067939131 -376.798992022247</t>
  </si>
  <si>
    <t>-635.448131176782 39.3828842111061 -459.996372164425</t>
  </si>
  <si>
    <t>-650.093600773162 43.6300493412969 -581.702631675676</t>
  </si>
  <si>
    <t>-641.088707349302 51.1547869384069 -659.17840942086</t>
  </si>
  <si>
    <t>-644.151027853376 73.1027333051188 -527.147186656104</t>
  </si>
  <si>
    <t>-617.828974993809 223.627975391637 -495.726501654944</t>
  </si>
  <si>
    <t>-575.490826697505 226.79738120491 -216.842936623752</t>
  </si>
  <si>
    <t>-369.19103259938 124.260725306467 -246.426088993961</t>
  </si>
  <si>
    <t>-643.183596053212 10.4301006055396 -529.450725806501</t>
  </si>
  <si>
    <t>-587.819481196689 134.299377871765 -97.0831306829576</t>
  </si>
  <si>
    <t>-621.963534319489 143.101264248808 316.993359640787</t>
  </si>
  <si>
    <t>-670.073498774328 181.450790709902 776.036228389505</t>
  </si>
  <si>
    <t>-520.232656689118 183.953893151122 834.562123583504</t>
  </si>
  <si>
    <t>-594.039591704088 -70.2481367323628 323.206636041364</t>
  </si>
  <si>
    <t>-650.986050198677 -105.99990758758 781.427082459344</t>
  </si>
  <si>
    <t>-497.528687247629 -123.299843703846 826.542248400959</t>
  </si>
  <si>
    <t>9763-20170724T115447.826692700.bin</t>
  </si>
  <si>
    <t>-582.276257724418 41.4413770246356 -92.6172213402298</t>
  </si>
  <si>
    <t>-601.018624864398 37.0835774110933 -201.645906523769</t>
  </si>
  <si>
    <t>-613.98807566625 36.5672601310193 -293.609797524234</t>
  </si>
  <si>
    <t>-625.508366418861 37.3150099044042 -376.705292358803</t>
  </si>
  <si>
    <t>-636.257798759891 39.2934466344514 -459.883791265693</t>
  </si>
  <si>
    <t>-651.117751687878 43.5299058126993 -581.564456392817</t>
  </si>
  <si>
    <t>-642.269810478096 51.0178111069465 -659.061830166422</t>
  </si>
  <si>
    <t>-645.079937703679 73.0074023457953 -527.021986947838</t>
  </si>
  <si>
    <t>-618.733583477396 223.523945226701 -495.597662389286</t>
  </si>
  <si>
    <t>-576.155963344598 226.645261388454 -216.750003695299</t>
  </si>
  <si>
    <t>-369.8397754356 124.193207007489 -246.511612903194</t>
  </si>
  <si>
    <t>-644.114715523394 10.3346559964684 -529.321902860592</t>
  </si>
  <si>
    <t>-588.045216029425 134.224175435818 -97.059539529761</t>
  </si>
  <si>
    <t>-621.946880496071 143.069811432783 317.035881319106</t>
  </si>
  <si>
    <t>-670.047366288027 181.564578503654 776.065931082707</t>
  </si>
  <si>
    <t>-520.198184234448 183.88137318532 834.578215955406</t>
  </si>
  <si>
    <t>-593.936395632659 -70.0912794491105 323.231823252178</t>
  </si>
  <si>
    <t>-650.946443395928 -105.935286725723 781.42789330506</t>
  </si>
  <si>
    <t>-497.42559233584 -122.517067327648 826.596675022775</t>
  </si>
  <si>
    <t>9763-20170724T115447.864793700.bin</t>
  </si>
  <si>
    <t>-582.331387347132 41.4204772988815 -92.6020168351148</t>
  </si>
  <si>
    <t>-601.168927643637 37.0597513559744 -201.614170520018</t>
  </si>
  <si>
    <t>-614.224885709494 36.5392043672709 -293.565771898907</t>
  </si>
  <si>
    <t>-625.825820944459 37.281977190004 -376.650018998304</t>
  </si>
  <si>
    <t>-636.658267271352 39.2547091089848 -459.818024873132</t>
  </si>
  <si>
    <t>-651.642286566093 43.481558299113 -581.483734814494</t>
  </si>
  <si>
    <t>-642.892687481775 50.9617736090495 -658.993001548283</t>
  </si>
  <si>
    <t>-645.549322277537 72.9633716422625 -526.949773442069</t>
  </si>
  <si>
    <t>-619.184932185615 223.471932906921 -495.499370941007</t>
  </si>
  <si>
    <t>-576.420946507262 226.641801183523 -216.680791287943</t>
  </si>
  <si>
    <t>-370.154110624709 124.138361830277 -246.60693196216</t>
  </si>
  <si>
    <t>-644.58554063858 10.2902924641155 -529.245843277728</t>
  </si>
  <si>
    <t>-588.170798854883 134.165589509877 -97.0339888858673</t>
  </si>
  <si>
    <t>-621.953451461484 143.01274189354 317.071165027512</t>
  </si>
  <si>
    <t>-670.056308385705 181.532059864813 776.098644131993</t>
  </si>
  <si>
    <t>-520.201235422883 183.873551275395 834.594744524893</t>
  </si>
  <si>
    <t>-593.844552158912 -69.9886335831438 323.256958944325</t>
  </si>
  <si>
    <t>-650.905632782167 -105.932208602915 781.437900075241</t>
  </si>
  <si>
    <t>-497.412784718815 -122.568963179021 826.681570295071</t>
  </si>
  <si>
    <t>9763-20170724T115447.930017300.bin</t>
  </si>
  <si>
    <t>-582.321750974267 41.3548154265277 -92.5151016103395</t>
  </si>
  <si>
    <t>-601.389315874456 37.0097154930208 -201.487832029691</t>
  </si>
  <si>
    <t>-614.633693348807 36.4808794574469 -293.412487322466</t>
  </si>
  <si>
    <t>-626.402352882573 37.2070954904334 -376.473364169296</t>
  </si>
  <si>
    <t>-637.400110797492 39.1540825844561 -459.620059058309</t>
  </si>
  <si>
    <t>-652.622798637173 43.3336371101636 -581.257825407311</t>
  </si>
  <si>
    <t>-644.078950182634 50.7905236014412 -658.792444290474</t>
  </si>
  <si>
    <t>-646.417535682163 72.8367379804236 -526.74822323292</t>
  </si>
  <si>
    <t>-620.035816720178 223.354047994127 -495.357042415741</t>
  </si>
  <si>
    <t>-576.930610314879 226.476571054576 -216.590527290894</t>
  </si>
  <si>
    <t>-370.616851658413 124.047512335083 -246.447669931145</t>
  </si>
  <si>
    <t>-645.468877617421 10.1627106300887 -529.020404865095</t>
  </si>
  <si>
    <t>-588.306768890413 133.95724997492 -96.9279340657803</t>
  </si>
  <si>
    <t>-621.879657364188 142.848508396954 317.193249675194</t>
  </si>
  <si>
    <t>-670.073967419809 181.423725694748 776.184317050098</t>
  </si>
  <si>
    <t>-520.207163683385 183.904409851818 834.644586620677</t>
  </si>
  <si>
    <t>-593.491181709634 -69.7170209438657 323.329066695766</t>
  </si>
  <si>
    <t>-650.869015122878 -105.969477584895 781.449549953047</t>
  </si>
  <si>
    <t>-497.421733038545 -122.757073657772 826.791875503543</t>
  </si>
  <si>
    <t>9763-20170724T115447.963111100.bin</t>
  </si>
  <si>
    <t>-582.218879936723 41.2788912855078 -92.4559353958276</t>
  </si>
  <si>
    <t>-601.429090251681 36.9462956426191 -201.404132249941</t>
  </si>
  <si>
    <t>-614.786496000844 36.4238710730822 -293.312409913402</t>
  </si>
  <si>
    <t>-626.654212299142 37.1538303182219 -376.359042728367</t>
  </si>
  <si>
    <t>-637.747925536482 39.1028240423755 -459.493147918856</t>
  </si>
  <si>
    <t>-653.10752800146 43.2827554249191 -581.113554672158</t>
  </si>
  <si>
    <t>-644.680723845071 50.733980584353 -658.661539618836</t>
  </si>
  <si>
    <t>-646.841042771195 72.7856358889051 -526.610851440348</t>
  </si>
  <si>
    <t>-620.41057506333 223.293329291483 -495.214419298707</t>
  </si>
  <si>
    <t>-577.158479821964 226.445188701827 -216.47098054214</t>
  </si>
  <si>
    <t>-370.775932190208 124.100495654763 -246.141495059168</t>
  </si>
  <si>
    <t>-645.894699999818 10.1116068506174 -528.884418303136</t>
  </si>
  <si>
    <t>-588.269355347839 133.805209408709 -96.8518545033058</t>
  </si>
  <si>
    <t>-621.723087707108 142.674396584001 317.279449815984</t>
  </si>
  <si>
    <t>-670.076912804381 181.394266737912 776.238746110716</t>
  </si>
  <si>
    <t>-520.202194092178 183.908665596181 834.677351445911</t>
  </si>
  <si>
    <t>-593.235333791693 -69.5969258043299 323.372604103981</t>
  </si>
  <si>
    <t>-650.859356322861 -105.92097560155 781.443148800234</t>
  </si>
  <si>
    <t>-497.385136212154 -122.436956357286 826.794095162183</t>
  </si>
  <si>
    <t>9763-20170724T115448.027547300.bin</t>
  </si>
  <si>
    <t>-581.754513751021 41.3041011580392 -92.3353231256889</t>
  </si>
  <si>
    <t>-601.252991314139 36.9845867512258 -201.232835861497</t>
  </si>
  <si>
    <t>-614.851052463633 36.4629567491077 -293.105721790024</t>
  </si>
  <si>
    <t>-626.935094144117 37.1889261269723 -376.121361657336</t>
  </si>
  <si>
    <t>-638.244150821765 39.1291097753015 -459.226589800594</t>
  </si>
  <si>
    <t>-653.917284522513 43.2912353420336 -580.807626831063</t>
  </si>
  <si>
    <t>-645.740785855081 50.7136678503357 -658.385138381371</t>
  </si>
  <si>
    <t>-647.512649243545 72.8020592476591 -526.325217466041</t>
  </si>
  <si>
    <t>-621.003298815209 223.296564363005 -494.935373886327</t>
  </si>
  <si>
    <t>-577.360062249274 226.300392176318 -216.251349987235</t>
  </si>
  <si>
    <t>-370.694832518866 124.35123349907 -245.30935484826</t>
  </si>
  <si>
    <t>-646.567441379394 10.1278146814577 -528.5926303529</t>
  </si>
  <si>
    <t>-587.955472952308 133.79197233312 -96.7003647877941</t>
  </si>
  <si>
    <t>-621.169570573724 142.262741122299 317.45856132062</t>
  </si>
  <si>
    <t>-670.029593824219 181.403027078135 776.324673608099</t>
  </si>
  <si>
    <t>-520.152231216995 183.774504864245 834.762536690846</t>
  </si>
  <si>
    <t>-592.611023044066 -69.2579415160544 323.47703524157</t>
  </si>
  <si>
    <t>-650.817602830194 -105.888856342021 781.432024684802</t>
  </si>
  <si>
    <t>-497.335277835038 -122.069324125128 826.876453589411</t>
  </si>
  <si>
    <t>9763-20170724T115448.061638000.bin</t>
  </si>
  <si>
    <t>-581.540812077861 41.3573936196362 -92.2816568059307</t>
  </si>
  <si>
    <t>-601.158551361965 37.0390487417405 -201.157681067928</t>
  </si>
  <si>
    <t>-614.864917889102 36.5118546658871 -293.014550772169</t>
  </si>
  <si>
    <t>-627.049741625427 37.2299948260138 -376.015481631971</t>
  </si>
  <si>
    <t>-638.462599560563 39.1596464718693 -459.106806737668</t>
  </si>
  <si>
    <t>-654.290742843627 43.3033643817275 -580.668415869126</t>
  </si>
  <si>
    <t>-646.24773168492 50.7234337348141 -658.260021243786</t>
  </si>
  <si>
    <t>-647.821018182345 72.8224549941574 -526.198012827333</t>
  </si>
  <si>
    <t>-621.318561380251 223.318364817979 -494.822624398342</t>
  </si>
  <si>
    <t>-577.421212698703 226.234406349306 -216.177470394239</t>
  </si>
  <si>
    <t>-370.696528950919 124.432772344758 -245.329979831078</t>
  </si>
  <si>
    <t>-646.869900107909 10.1479876157114 -528.458295922709</t>
  </si>
  <si>
    <t>-587.880446653151 133.76870820395 -96.6264828736038</t>
  </si>
  <si>
    <t>-621.067169851335 142.076362725788 317.538034487955</t>
  </si>
  <si>
    <t>-670.020894144005 181.316490695682 776.381906591872</t>
  </si>
  <si>
    <t>-520.147940508752 183.841865281774 834.824547638619</t>
  </si>
  <si>
    <t>-592.32445803826 -69.0954088334988 323.529459628919</t>
  </si>
  <si>
    <t>-650.783818709937 -105.862784627668 781.435736413333</t>
  </si>
  <si>
    <t>-497.309461407416 -121.921958838114 826.949962839643</t>
  </si>
  <si>
    <t>9763-20170724T115448.130424100.bin</t>
  </si>
  <si>
    <t>-581.178008090584 41.6438750157947 -92.1486012701448</t>
  </si>
  <si>
    <t>-601.054588647302 37.2758767610276 -200.975637400941</t>
  </si>
  <si>
    <t>-614.96964583943 36.7127869685794 -292.801002041321</t>
  </si>
  <si>
    <t>-627.338498320663 37.3998228699236 -375.774949809515</t>
  </si>
  <si>
    <t>-638.930751270427 39.2997087837755 -458.842052218348</t>
  </si>
  <si>
    <t>-655.015720038933 43.4011291650047 -580.371417684138</t>
  </si>
  <si>
    <t>-647.250811137681 50.829584336569 -657.990531084354</t>
  </si>
  <si>
    <t>-648.429025042887 72.9391107882454 -525.925356394637</t>
  </si>
  <si>
    <t>-621.932441644711 223.44794387173 -494.583433676017</t>
  </si>
  <si>
    <t>-577.638633227501 226.190514386988 -215.999336415231</t>
  </si>
  <si>
    <t>-370.806421936112 124.595815905031 -245.110927151635</t>
  </si>
  <si>
    <t>-647.486532733698 10.2638203640151 -528.165280281975</t>
  </si>
  <si>
    <t>-587.741196044761 133.998902367013 -96.5006750992538</t>
  </si>
  <si>
    <t>-620.795938372434 142.062999952493 317.67922711889</t>
  </si>
  <si>
    <t>-669.98510463211 181.296530388381 776.518261098383</t>
  </si>
  <si>
    <t>-520.115386619275 183.86370932723 834.967443901887</t>
  </si>
  <si>
    <t>-591.84146633016 -68.7310462553173 323.648044847163</t>
  </si>
  <si>
    <t>-650.781937465557 -105.845035091671 781.442125335511</t>
  </si>
  <si>
    <t>-497.313447555777 -121.849418839423 826.995458828101</t>
  </si>
  <si>
    <t>9763-20170724T115448.163508000.bin</t>
  </si>
  <si>
    <t>-580.986763827997 41.7773765757336 -92.1065548028823</t>
  </si>
  <si>
    <t>-600.980113900776 37.375725838865 -200.910911827544</t>
  </si>
  <si>
    <t>-614.965482553918 36.7937726585321 -292.72541733904</t>
  </si>
  <si>
    <t>-627.386397012751 37.4668916407545 -375.691708037904</t>
  </si>
  <si>
    <t>-639.019191441835 39.3560073324888 -458.753343286202</t>
  </si>
  <si>
    <t>-655.150610818046 43.4452257772575 -580.277000160564</t>
  </si>
  <si>
    <t>-647.504973680188 50.880465179973 -657.90738417276</t>
  </si>
  <si>
    <t>-648.548847819662 72.9885273414125 -525.835749415291</t>
  </si>
  <si>
    <t>-622.019619309647 223.486402946998 -494.465987329214</t>
  </si>
  <si>
    <t>-577.77957828631 226.265238330376 -215.873810100656</t>
  </si>
  <si>
    <t>-370.972065163355 124.628102290264 -245.012825305623</t>
  </si>
  <si>
    <t>-647.595756647135 10.31319125408 -528.07127747324</t>
  </si>
  <si>
    <t>-587.604327145574 134.158661657558 -96.4615237905834</t>
  </si>
  <si>
    <t>-620.594917741251 142.143190452765 317.72498249222</t>
  </si>
  <si>
    <t>-669.95369728676 181.324576279323 776.56963542633</t>
  </si>
  <si>
    <t>-520.091574056793 183.756830176636 835.043999675147</t>
  </si>
  <si>
    <t>-591.644651928274 -68.5565274486769 323.701113474404</t>
  </si>
  <si>
    <t>-650.806578629684 -105.863342829253 781.438973678786</t>
  </si>
  <si>
    <t>-497.362350025963 -122.109017440429 826.988575965556</t>
  </si>
  <si>
    <t>9763-20170724T115448.229206600.bin</t>
  </si>
  <si>
    <t>-580.686903225397 42.0493653174576 -92.0272104953158</t>
  </si>
  <si>
    <t>-600.825621570757 37.6159410305511 -200.803414268427</t>
  </si>
  <si>
    <t>-614.86048937801 36.988377113687 -292.610067270655</t>
  </si>
  <si>
    <t>-627.296935638723 37.6122815444235 -375.574369451828</t>
  </si>
  <si>
    <t>-638.916199554283 39.4440592277897 -458.639354083123</t>
  </si>
  <si>
    <t>-654.996086678677 43.4403082342237 -580.172805250381</t>
  </si>
  <si>
    <t>-647.523337146368 50.8586836413203 -657.82153922922</t>
  </si>
  <si>
    <t>-648.429712650982 73.0249997226708 -525.749777701117</t>
  </si>
  <si>
    <t>-622.027206251531 223.574958010526 -494.525309191755</t>
  </si>
  <si>
    <t>-578.188395933085 226.578086450864 -215.871927376899</t>
  </si>
  <si>
    <t>-371.272562927906 125.082841496152 -244.735097675991</t>
  </si>
  <si>
    <t>-647.451047124798 10.348526284658 -527.940109328192</t>
  </si>
  <si>
    <t>-587.36010362765 134.456799791601 -96.3622411230239</t>
  </si>
  <si>
    <t>-620.325240973969 142.332849635677 317.828345412626</t>
  </si>
  <si>
    <t>-669.88932011862 181.451726105479 776.66366865738</t>
  </si>
  <si>
    <t>-520.04223969824 183.826925838483 835.178787784022</t>
  </si>
  <si>
    <t>-591.369651198163 -68.2791967199812 323.789076722579</t>
  </si>
  <si>
    <t>-650.809860505424 -105.820338613856 781.454006078129</t>
  </si>
  <si>
    <t>-497.319389180718 -121.531744685273 827.035287060908</t>
  </si>
  <si>
    <t>9763-20170724T115448.262294400.bin</t>
  </si>
  <si>
    <t>-580.58353302495 42.0767405809072 -91.9924539165094</t>
  </si>
  <si>
    <t>-600.736822955704 37.6443957156534 -200.766036703105</t>
  </si>
  <si>
    <t>-614.768000411395 37.0019725391473 -292.573188995017</t>
  </si>
  <si>
    <t>-627.195007030027 37.6063512838002 -375.539177072999</t>
  </si>
  <si>
    <t>-638.799039660272 39.4122787333069 -458.606750847423</t>
  </si>
  <si>
    <t>-654.850422517249 43.3641504370726 -580.145490647578</t>
  </si>
  <si>
    <t>-647.435876593633 50.7760510077326 -657.80046328305</t>
  </si>
  <si>
    <t>-648.317294538738 72.9683574453863 -525.728986504237</t>
  </si>
  <si>
    <t>-621.975711772321 223.537924262905 -494.549174518875</t>
  </si>
  <si>
    <t>-578.362899533086 226.719306839992 -215.862190782664</t>
  </si>
  <si>
    <t>-371.352677274983 125.35809664398 -244.519091781303</t>
  </si>
  <si>
    <t>-647.297126760934 10.291842756812 -527.901584873843</t>
  </si>
  <si>
    <t>-587.2347727508 134.506389245453 -96.3226240535126</t>
  </si>
  <si>
    <t>-620.257156779901 142.398907798783 317.863146274717</t>
  </si>
  <si>
    <t>-669.879407886769 181.447843032797 776.702079794287</t>
  </si>
  <si>
    <t>-520.036879561893 183.81054936727 835.229466819236</t>
  </si>
  <si>
    <t>-591.307910484107 -68.3074506582402 323.815405303654</t>
  </si>
  <si>
    <t>-650.800244781435 -105.812244342648 781.468096039357</t>
  </si>
  <si>
    <t>-497.306893829932 -121.381795748795 827.088347731586</t>
  </si>
  <si>
    <t>9763-20170724T115448.327689400.bin</t>
  </si>
  <si>
    <t>-580.414173756889 41.9315896961327 -91.9390525967033</t>
  </si>
  <si>
    <t>-600.571717440844 37.4893348185758 -200.711450643835</t>
  </si>
  <si>
    <t>-614.599379719525 36.8146644902185 -292.518915989922</t>
  </si>
  <si>
    <t>-627.021035536509 37.3796110351907 -375.485838947442</t>
  </si>
  <si>
    <t>-638.617792008943 39.1369649486267 -458.555535710687</t>
  </si>
  <si>
    <t>-654.656873112851 43.0073780450364 -580.098581475958</t>
  </si>
  <si>
    <t>-647.324476078413 50.4088309323747 -657.76228014713</t>
  </si>
  <si>
    <t>-648.171934055466 72.6471066624654 -525.695678029884</t>
  </si>
  <si>
    <t>-621.99818851844 223.271103520216 -494.627524435342</t>
  </si>
  <si>
    <t>-578.816831879964 226.671166064591 -215.876065872485</t>
  </si>
  <si>
    <t>-371.660289681878 125.579738055324 -244.428226986024</t>
  </si>
  <si>
    <t>-647.066214128328 9.97099809454949 -527.837431536835</t>
  </si>
  <si>
    <t>-587.088939766016 134.439851158736 -96.2845538838583</t>
  </si>
  <si>
    <t>-620.213022835983 142.424685903893 317.891336842968</t>
  </si>
  <si>
    <t>-669.874134844453 181.369764942313 776.764747088837</t>
  </si>
  <si>
    <t>-520.039161773085 183.899657873537 835.304511450342</t>
  </si>
  <si>
    <t>-591.171805312396 -68.5612179426662 323.846839945291</t>
  </si>
  <si>
    <t>-650.746647266715 -105.833110724585 781.505960392135</t>
  </si>
  <si>
    <t>-497.342873250508 -121.804201756886 827.288499604521</t>
  </si>
  <si>
    <t>9763-20170724T115448.362783600.bin</t>
  </si>
  <si>
    <t>-580.332659259272 41.9285511887356 -91.9096930937509</t>
  </si>
  <si>
    <t>-600.48944157396 37.4830130449448 -200.6821597744</t>
  </si>
  <si>
    <t>-614.486697250029 36.7976880016322 -292.4940929322</t>
  </si>
  <si>
    <t>-626.869232328357 37.349353714553 -375.467068078375</t>
  </si>
  <si>
    <t>-638.415259624356 39.0902153564189 -458.543999527644</t>
  </si>
  <si>
    <t>-654.3676176426 42.9328327233648 -580.09929373122</t>
  </si>
  <si>
    <t>-647.014369233457 50.3317564813228 -657.761337817442</t>
  </si>
  <si>
    <t>-647.943536595408 72.5844305991993 -525.695653140687</t>
  </si>
  <si>
    <t>-621.88314667775 223.234489221559 -494.68978612744</t>
  </si>
  <si>
    <t>-578.882450790458 226.633436595685 -215.910239360263</t>
  </si>
  <si>
    <t>-371.666873949938 125.672547267388 -244.495873875268</t>
  </si>
  <si>
    <t>-646.792185241871 9.90893326181117 -527.828141921076</t>
  </si>
  <si>
    <t>-587.029700223053 134.46395488473 -96.2569113579577</t>
  </si>
  <si>
    <t>-620.183624553985 142.450502127966 317.916437037</t>
  </si>
  <si>
    <t>-669.867836487879 181.347043678602 776.794702979526</t>
  </si>
  <si>
    <t>-520.036514891247 183.959840790605 835.340218835642</t>
  </si>
  <si>
    <t>-591.07163026183 -68.5691143521613 323.876521262504</t>
  </si>
  <si>
    <t>-650.67514073995 -105.845794580928 781.528238194901</t>
  </si>
  <si>
    <t>-497.313827535399 -121.768925536494 827.469360700764</t>
  </si>
  <si>
    <t>9763-20170724T115448.427484200.bin</t>
  </si>
  <si>
    <t>-580.172496380273 41.8975218227836 -91.8751286625674</t>
  </si>
  <si>
    <t>-600.252114761515 37.4292633076307 -200.660916563911</t>
  </si>
  <si>
    <t>-614.139260603084 36.722206346438 -292.489484454427</t>
  </si>
  <si>
    <t>-626.404332352074 37.2527456440157 -375.479854788937</t>
  </si>
  <si>
    <t>-637.814945458552 38.9709333977667 -458.576237070756</t>
  </si>
  <si>
    <t>-653.549746209537 42.7789035152668 -580.160890962922</t>
  </si>
  <si>
    <t>-646.078726670611 50.178234970118 -657.811665390972</t>
  </si>
  <si>
    <t>-647.248935165861 72.4455727853119 -525.750867315834</t>
  </si>
  <si>
    <t>-621.329673858305 223.128518242283 -494.769706512945</t>
  </si>
  <si>
    <t>-578.746263102299 226.486894711607 -215.925715880554</t>
  </si>
  <si>
    <t>-371.47588979742 125.56431711087 -244.247967648236</t>
  </si>
  <si>
    <t>-646.041936905955 9.77054227775398 -527.870161469645</t>
  </si>
  <si>
    <t>-586.936301397138 134.424923449335 -96.2132819851751</t>
  </si>
  <si>
    <t>-620.166533987169 142.50973448474 317.952147835907</t>
  </si>
  <si>
    <t>-669.838680911839 181.372747312131 776.843838273264</t>
  </si>
  <si>
    <t>-520.012745896864 184.017231525434 835.401645546571</t>
  </si>
  <si>
    <t>-590.929188581778 -68.65923718155 323.932696503476</t>
  </si>
  <si>
    <t>-650.458934767075 -105.916914533082 781.599577019259</t>
  </si>
  <si>
    <t>-497.215506511946 -121.734246559974 827.968629086037</t>
  </si>
  <si>
    <t>9763-20170724T115448.461587300.bin</t>
  </si>
  <si>
    <t>-580.065095344309 41.8191906941984 -91.8467905390212</t>
  </si>
  <si>
    <t>-600.099906414889 37.3417657828791 -200.640518129455</t>
  </si>
  <si>
    <t>-613.946047576877 36.6266043968324 -292.475086043387</t>
  </si>
  <si>
    <t>-626.172724553097 37.1493028916534 -375.471371640299</t>
  </si>
  <si>
    <t>-637.543585333686 38.8593964197989 -458.573099528384</t>
  </si>
  <si>
    <t>-653.218744179878 42.6552127500458 -580.166016357151</t>
  </si>
  <si>
    <t>-645.674013723555 50.05533443437 -657.809489044657</t>
  </si>
  <si>
    <t>-646.954995618032 72.3270086095631 -525.754578444156</t>
  </si>
  <si>
    <t>-621.100355876358 223.021809074244 -494.764729046784</t>
  </si>
  <si>
    <t>-578.664080755201 226.29846729799 -215.897352114033</t>
  </si>
  <si>
    <t>-371.372923736238 125.39711702158 -244.143141104898</t>
  </si>
  <si>
    <t>-645.726233983074 9.65233015417448 -527.869510049908</t>
  </si>
  <si>
    <t>-586.888716605151 134.392986357839 -96.2006029522313</t>
  </si>
  <si>
    <t>-620.164254661263 142.541930907621 317.959895976633</t>
  </si>
  <si>
    <t>-669.808823647425 181.428130534127 776.855173067619</t>
  </si>
  <si>
    <t>-519.987400840588 183.968684745909 835.42913800564</t>
  </si>
  <si>
    <t>-590.844812910277 -68.8296398935686 323.95968833898</t>
  </si>
  <si>
    <t>-650.316828372299 -105.901238908123 781.659549895251</t>
  </si>
  <si>
    <t>-497.123071032152 -121.451497697239 828.282330163495</t>
  </si>
  <si>
    <t>9763-20170724T115448.528794700.bin</t>
  </si>
  <si>
    <t>-579.756397234545 41.5534809172743 -91.7636089444134</t>
  </si>
  <si>
    <t>-599.714407196683 37.0552264521143 -200.570630145982</t>
  </si>
  <si>
    <t>-613.499170910497 36.3322028157345 -292.414481674694</t>
  </si>
  <si>
    <t>-625.671687940571 36.8507489818348 -375.418545263602</t>
  </si>
  <si>
    <t>-636.98962428131 38.5601222753924 -458.527725213541</t>
  </si>
  <si>
    <t>-652.588597805698 42.3589782635927 -580.130220495869</t>
  </si>
  <si>
    <t>-644.890933998079 49.7686467001024 -657.757888408049</t>
  </si>
  <si>
    <t>-646.387128941847 72.0288052164713 -525.710571433776</t>
  </si>
  <si>
    <t>-620.721276649998 222.744910024443 -494.680801240131</t>
  </si>
  <si>
    <t>-578.302624866288 225.944756199155 -215.809833722364</t>
  </si>
  <si>
    <t>-370.964562072619 125.174975035161 -244.180822050945</t>
  </si>
  <si>
    <t>-645.100657922247 9.35541700640647 -527.833415741775</t>
  </si>
  <si>
    <t>-586.710840600745 134.123802214452 -96.1372015239667</t>
  </si>
  <si>
    <t>-620.051525303532 142.429082857404 318.014976227023</t>
  </si>
  <si>
    <t>-669.779528149016 181.368694573177 776.89969249893</t>
  </si>
  <si>
    <t>-519.968611521695 184.013974989404 835.49584500158</t>
  </si>
  <si>
    <t>-590.586390410227 -69.1138984877455 324.038664994649</t>
  </si>
  <si>
    <t>-650.063906447572 -105.944512825001 781.751934229643</t>
  </si>
  <si>
    <t>-497.023796992517 -121.464518253719 828.886614229196</t>
  </si>
  <si>
    <t>9763-20170724T115448.561886000.bin</t>
  </si>
  <si>
    <t>-579.542820309924 41.4528278273108 -91.7106397275254</t>
  </si>
  <si>
    <t>-599.472450830746 36.9466711188286 -200.522430553568</t>
  </si>
  <si>
    <t>-613.240026082154 36.2289292202611 -292.368844345996</t>
  </si>
  <si>
    <t>-625.399531007034 36.7569367492829 -375.374937575581</t>
  </si>
  <si>
    <t>-636.706919621709 38.480479103886 -458.485198530706</t>
  </si>
  <si>
    <t>-652.293238260436 42.30511621356 -580.088521017806</t>
  </si>
  <si>
    <t>-644.524666573524 49.7298152096437 -657.707670708301</t>
  </si>
  <si>
    <t>-646.10911545368 71.9630365822118 -525.660399943668</t>
  </si>
  <si>
    <t>-620.47881084949 222.679187660015 -494.601287088735</t>
  </si>
  <si>
    <t>-578.07893662684 225.823824500834 -215.72684948096</t>
  </si>
  <si>
    <t>-370.658254022478 125.224248613796 -244.097793329375</t>
  </si>
  <si>
    <t>-644.799025187031 9.29089771412305 -527.799617073057</t>
  </si>
  <si>
    <t>-586.567658796713 134.004162432336 -96.0923053244265</t>
  </si>
  <si>
    <t>-619.930496277054 142.377249678619 318.056730839338</t>
  </si>
  <si>
    <t>-669.739797124118 181.406670710224 776.919033727647</t>
  </si>
  <si>
    <t>-519.934703620974 184.014262268423 835.531857325297</t>
  </si>
  <si>
    <t>-590.401867671508 -69.177692106834 324.088450724518</t>
  </si>
  <si>
    <t>-649.967894623351 -105.955803998397 781.795169276619</t>
  </si>
  <si>
    <t>-496.976340623558 -121.357900660425 829.125734265941</t>
  </si>
  <si>
    <t>9763-20170724T115448.631192200.bin</t>
  </si>
  <si>
    <t>-579.09005465251 41.2572007207518 -91.6269333035646</t>
  </si>
  <si>
    <t>-599.009509708519 36.7254752310807 -200.439494035075</t>
  </si>
  <si>
    <t>-612.773306232381 36.02034774343 -292.286592173512</t>
  </si>
  <si>
    <t>-624.931140976405 36.5729432342916 -375.292855285091</t>
  </si>
  <si>
    <t>-636.238400527217 38.3346858657255 -458.402098404485</t>
  </si>
  <si>
    <t>-651.826104644512 42.2299797540732 -580.003065389071</t>
  </si>
  <si>
    <t>-643.956007183591 49.7080283799614 -657.606905132549</t>
  </si>
  <si>
    <t>-645.653131263165 71.8559219739532 -525.556424344684</t>
  </si>
  <si>
    <t>-620.050183739537 222.546082147505 -494.367064309928</t>
  </si>
  <si>
    <t>-577.681784496416 225.597946367329 -215.486940662095</t>
  </si>
  <si>
    <t>-370.1393639914 125.221731759762 -243.758605482026</t>
  </si>
  <si>
    <t>-644.31961541277 9.18544224278571 -527.734865409106</t>
  </si>
  <si>
    <t>-586.183493625739 133.784161472308 -96.0282103243877</t>
  </si>
  <si>
    <t>-619.656462287443 142.229622965291 318.110444802544</t>
  </si>
  <si>
    <t>-669.682619191292 181.372732824714 776.948272123563</t>
  </si>
  <si>
    <t>-519.902438279592 184.097049810574 835.61940165123</t>
  </si>
  <si>
    <t>-590.150384952562 -69.3453951999293 324.171849913152</t>
  </si>
  <si>
    <t>-649.942816659636 -105.944172588668 781.837138991173</t>
  </si>
  <si>
    <t>-496.976196632031 -121.2508699649 829.279118810199</t>
  </si>
  <si>
    <t>9763-20170724T115448.661271500.bin</t>
  </si>
  <si>
    <t>-578.919150776374 41.1102977385019 -91.6145349624502</t>
  </si>
  <si>
    <t>-598.83587150229 36.5738058358227 -200.427441423053</t>
  </si>
  <si>
    <t>-612.58661315672 35.8857654233063 -292.276634675749</t>
  </si>
  <si>
    <t>-624.728357014819 36.4623191366616 -375.285022365067</t>
  </si>
  <si>
    <t>-636.015313608813 38.2564515445472 -458.396498712902</t>
  </si>
  <si>
    <t>-651.56860760901 42.2087442204988 -579.999937357182</t>
  </si>
  <si>
    <t>-643.668422822879 49.7276991631848 -657.596663452832</t>
  </si>
  <si>
    <t>-645.418620714037 71.8089350897822 -525.536713997043</t>
  </si>
  <si>
    <t>-619.84998501329 222.494198667603 -494.27749185532</t>
  </si>
  <si>
    <t>-577.485690108668 225.419236484497 -215.395350491137</t>
  </si>
  <si>
    <t>-369.896277725706 125.164699751001 -243.753611306598</t>
  </si>
  <si>
    <t>-644.069323336194 9.13998080375904 -527.74616685519</t>
  </si>
  <si>
    <t>-585.980606464812 133.675544497839 -96.0093726138241</t>
  </si>
  <si>
    <t>-619.486697596772 142.159311478213 318.125839338095</t>
  </si>
  <si>
    <t>-669.64482979302 181.407803406404 776.948119143562</t>
  </si>
  <si>
    <t>-519.874875054485 184.068778953717 835.648221157204</t>
  </si>
  <si>
    <t>-590.128432134245 -69.5127935425644 324.180362089247</t>
  </si>
  <si>
    <t>-650.009972161415 -105.891059231574 781.835271881448</t>
  </si>
  <si>
    <t>-496.995741737716 -120.974614152253 829.195102353447</t>
  </si>
  <si>
    <t>9763-20170724T115448.731005100.bin</t>
  </si>
  <si>
    <t>-578.6912179413 40.6965111457425 -91.6301754158287</t>
  </si>
  <si>
    <t>-598.575789085592 36.1596275760232 -200.448899675632</t>
  </si>
  <si>
    <t>-612.281822413396 35.5025970821732 -292.305055052573</t>
  </si>
  <si>
    <t>-624.376214214062 36.1203458264185 -375.320012798738</t>
  </si>
  <si>
    <t>-635.608833401888 37.9689076913546 -458.437648921068</t>
  </si>
  <si>
    <t>-651.075261179301 42.0148678214146 -580.049097501013</t>
  </si>
  <si>
    <t>-643.148424067651 49.6009002976698 -657.636663014215</t>
  </si>
  <si>
    <t>-644.966759420684 71.5731147593772 -525.55835346598</t>
  </si>
  <si>
    <t>-619.470549117822 222.245096049013 -494.156501105644</t>
  </si>
  <si>
    <t>-577.235703217142 224.91111540139 -215.252150412821</t>
  </si>
  <si>
    <t>-369.595765237701 124.826843669922 -243.841024413269</t>
  </si>
  <si>
    <t>-643.610692080267 8.90597448631775 -527.815737819434</t>
  </si>
  <si>
    <t>-585.598750678552 133.327616845865 -96.0183760792494</t>
  </si>
  <si>
    <t>-619.250215097257 141.854346440746 318.104189035137</t>
  </si>
  <si>
    <t>-669.617353328223 181.281702319633 776.894637389785</t>
  </si>
  <si>
    <t>-519.866733525 184.068829372378 835.638170493849</t>
  </si>
  <si>
    <t>-590.263006358039 -69.918567775786 324.1537341488</t>
  </si>
  <si>
    <t>-650.306937013497 -105.947057791702 781.799326783912</t>
  </si>
  <si>
    <t>-497.246395859522 -121.857759708047 828.737004995437</t>
  </si>
  <si>
    <t>9763-20170724T115448.759094900.bin</t>
  </si>
  <si>
    <t>-578.634678555571 40.5226525656153 -91.6751908792103</t>
  </si>
  <si>
    <t>-598.497229887453 35.9797810711211 -200.497592916342</t>
  </si>
  <si>
    <t>-612.168964378193 35.3315516315365 -292.358949248701</t>
  </si>
  <si>
    <t>-624.226095515685 35.9626958214558 -375.379323603054</t>
  </si>
  <si>
    <t>-635.415025788349 37.8303971395949 -458.502374633038</t>
  </si>
  <si>
    <t>-650.810600023189 41.9103199093904 -580.121648817126</t>
  </si>
  <si>
    <t>-642.87027363007 49.5123395396124 -657.706288345003</t>
  </si>
  <si>
    <t>-644.733092681566 71.4532824618052 -525.61930759862</t>
  </si>
  <si>
    <t>-619.257100215099 222.118439282197 -494.175040582606</t>
  </si>
  <si>
    <t>-577.19920031513 224.71307865873 -215.24321543005</t>
  </si>
  <si>
    <t>-369.583584016457 124.575463375671 -243.821995561648</t>
  </si>
  <si>
    <t>-643.377231419892 8.78677607529517 -527.893194682197</t>
  </si>
  <si>
    <t>-585.462480423296 133.168919215259 -96.0641651163724</t>
  </si>
  <si>
    <t>-619.170791932146 141.724209607795 318.053152452134</t>
  </si>
  <si>
    <t>-669.588265915696 181.297086910372 776.836713736761</t>
  </si>
  <si>
    <t>-519.849308223965 184.09694330877 835.609367344985</t>
  </si>
  <si>
    <t>-590.417174866274 -70.0658199352836 324.104068972116</t>
  </si>
  <si>
    <t>-650.55617246855 -105.944675728794 781.748849492227</t>
  </si>
  <si>
    <t>-497.401457399313 -122.070638410769 828.304377369104</t>
  </si>
  <si>
    <t>9763-20170724T115448.829270700.bin</t>
  </si>
  <si>
    <t>-578.705430609312 40.2647620655782 -91.8038767551226</t>
  </si>
  <si>
    <t>-598.529666719565 35.7289217251616 -200.633653962636</t>
  </si>
  <si>
    <t>-612.14585583224 35.1159672912706 -292.50343266212</t>
  </si>
  <si>
    <t>-624.143567579538 35.7911895365453 -375.531846566081</t>
  </si>
  <si>
    <t>-635.264026293128 37.7146839283655 -458.663050715679</t>
  </si>
  <si>
    <t>-650.549453754292 41.8897210278001 -580.29289417321</t>
  </si>
  <si>
    <t>-642.617232979277 49.5402415995234 -657.87354723929</t>
  </si>
  <si>
    <t>-644.52887677454 71.3898913612798 -525.761005702884</t>
  </si>
  <si>
    <t>-619.082923540682 222.033519935972 -494.190783069908</t>
  </si>
  <si>
    <t>-577.558521203822 224.692816221811 -215.179582217351</t>
  </si>
  <si>
    <t>-369.974170892941 124.482486190397 -243.730691935241</t>
  </si>
  <si>
    <t>-643.155804146802 8.72562417342192 -528.084543502744</t>
  </si>
  <si>
    <t>-585.380569161711 132.872426847151 -96.1797100737376</t>
  </si>
  <si>
    <t>-619.161408821086 141.546752944012 317.929233018089</t>
  </si>
  <si>
    <t>-669.568071293209 181.225859958519 776.706371602444</t>
  </si>
  <si>
    <t>-519.847715588625 184.14737953898 835.520447907591</t>
  </si>
  <si>
    <t>-590.804971917882 -70.2226292962725 323.946728566972</t>
  </si>
  <si>
    <t>-651.017085136569 -105.858278063355 781.61881708788</t>
  </si>
  <si>
    <t>-497.637300837274 -121.972143071308 827.431590030033</t>
  </si>
  <si>
    <t>9763-20170724T115448.862358900.bin</t>
  </si>
  <si>
    <t>-578.765166130212 40.1762783855702 -91.8671344565664</t>
  </si>
  <si>
    <t>-598.568954527641 35.6489092706167 -200.700948578677</t>
  </si>
  <si>
    <t>-612.158782612312 35.0453581919924 -292.574688121088</t>
  </si>
  <si>
    <t>-624.129103039884 35.7301877557641 -375.607103848113</t>
  </si>
  <si>
    <t>-635.218611989908 37.6644160825404 -458.741972940177</t>
  </si>
  <si>
    <t>-650.454973781262 41.856356394997 -580.377608953255</t>
  </si>
  <si>
    <t>-642.516966699364 49.5214078379859 -657.956375314668</t>
  </si>
  <si>
    <t>-644.45816603718 71.3490026124816 -525.838963732208</t>
  </si>
  <si>
    <t>-619.065625658841 221.997690532671 -494.261500079349</t>
  </si>
  <si>
    <t>-577.803631250172 224.658337821141 -215.211350821793</t>
  </si>
  <si>
    <t>-370.17666608422 124.536634538567 -243.763547378354</t>
  </si>
  <si>
    <t>-643.080598765124 8.68502101242234 -528.171096057871</t>
  </si>
  <si>
    <t>-585.371000337201 132.798366998514 -96.2398768626275</t>
  </si>
  <si>
    <t>-619.188401412258 141.50283863883 317.865453697051</t>
  </si>
  <si>
    <t>-669.552018120517 181.237550524055 776.640349260362</t>
  </si>
  <si>
    <t>-519.834918358371 184.101843599127 835.465680308827</t>
  </si>
  <si>
    <t>-590.964601389579 -70.2834324628668 323.879504610977</t>
  </si>
  <si>
    <t>-651.183785094243 -105.853277619571 781.571248940275</t>
  </si>
  <si>
    <t>-497.751613610802 -122.207779443429 827.122566161404</t>
  </si>
  <si>
    <t>9763-20170724T115448.931093500.bin</t>
  </si>
  <si>
    <t>-578.850604479545 40.0984660528109 -91.9734954035192</t>
  </si>
  <si>
    <t>-598.604893829224 35.5776909756228 -200.81659208012</t>
  </si>
  <si>
    <t>-612.151441543813 34.9821569307799 -292.696804724569</t>
  </si>
  <si>
    <t>-624.082385683992 35.6747892649691 -375.734696636557</t>
  </si>
  <si>
    <t>-635.132266951644 37.6180267791019 -458.874835786926</t>
  </si>
  <si>
    <t>-650.310471148324 41.8245394966661 -580.517136055565</t>
  </si>
  <si>
    <t>-642.319323378646 49.4927083181547 -658.090015792186</t>
  </si>
  <si>
    <t>-644.358518617658 71.3100928578222 -525.969786003901</t>
  </si>
  <si>
    <t>-619.08703765342 221.980641270117 -494.39534586173</t>
  </si>
  <si>
    <t>-578.259761049202 224.85905114976 -215.283517740689</t>
  </si>
  <si>
    <t>-370.627550343069 124.690631015571 -243.632913853492</t>
  </si>
  <si>
    <t>-642.942286830389 8.6474280089335 -528.313198182196</t>
  </si>
  <si>
    <t>-585.389333474493 132.678787045772 -96.3444473726878</t>
  </si>
  <si>
    <t>-619.266359812348 141.43655154058 317.754823500401</t>
  </si>
  <si>
    <t>-669.554393171334 181.160144578184 776.52902178442</t>
  </si>
  <si>
    <t>-519.842146221195 184.077648989292 835.363937156475</t>
  </si>
  <si>
    <t>-591.160577363663 -70.3045153043267 323.792848773932</t>
  </si>
  <si>
    <t>-651.405771426872 -105.789090823555 781.507841308849</t>
  </si>
  <si>
    <t>-497.853551948176 -121.9964426964 826.705915728374</t>
  </si>
  <si>
    <t>9763-20170724T115448.962174500.bin</t>
  </si>
  <si>
    <t>-578.830291831093 40.1326645790077 -92.0079067709792</t>
  </si>
  <si>
    <t>-598.558506779221 35.6031533488892 -200.855366717783</t>
  </si>
  <si>
    <t>-612.087864601568 35.0036039469114 -292.738159075637</t>
  </si>
  <si>
    <t>-624.005168175578 35.6940519360971 -375.778062653191</t>
  </si>
  <si>
    <t>-635.043314810486 37.6365768886299 -458.919694075934</t>
  </si>
  <si>
    <t>-650.206638062732 41.8433499922296 -580.563742489828</t>
  </si>
  <si>
    <t>-642.1813390855 49.5062572343545 -658.133655129257</t>
  </si>
  <si>
    <t>-644.271832654491 71.3284316124734 -526.014315585078</t>
  </si>
  <si>
    <t>-619.039304911294 222.002397105982 -494.43041160169</t>
  </si>
  <si>
    <t>-578.485767045093 225.068073774475 -215.280723234447</t>
  </si>
  <si>
    <t>-370.838716773479 124.889710634624 -243.485977017882</t>
  </si>
  <si>
    <t>-642.834425142175 8.66630138924165 -528.360435645608</t>
  </si>
  <si>
    <t>-585.362228779553 132.690844420969 -96.3866806038261</t>
  </si>
  <si>
    <t>-619.281774866392 141.467516860577 317.708788274235</t>
  </si>
  <si>
    <t>-669.535853765538 181.214897788314 776.481051391348</t>
  </si>
  <si>
    <t>-519.824404622601 184.057961360189 835.321775157155</t>
  </si>
  <si>
    <t>-591.198485528417 -70.269328732046 323.768939256099</t>
  </si>
  <si>
    <t>-651.471171029445 -105.813394823239 781.488101060184</t>
  </si>
  <si>
    <t>-497.940277121249 -122.470066872366 826.59513137154</t>
  </si>
  <si>
    <t>9763-20170724T115449.027874500.bin</t>
  </si>
  <si>
    <t>-578.747672623041 40.2936442408572 -92.0535160773252</t>
  </si>
  <si>
    <t>-598.427113629727 35.7349552259684 -200.908749066738</t>
  </si>
  <si>
    <t>-611.917675617694 35.1109099211831 -292.7969419322</t>
  </si>
  <si>
    <t>-623.800940726018 35.778783427631 -375.842004508056</t>
  </si>
  <si>
    <t>-634.80608102832 37.698543195595 -458.988387664883</t>
  </si>
  <si>
    <t>-649.922258334075 41.8721862515195 -580.63950593654</t>
  </si>
  <si>
    <t>-641.798000743308 49.5085825474282 -658.201721664784</t>
  </si>
  <si>
    <t>-644.021335758241 71.3718315282599 -526.094260040164</t>
  </si>
  <si>
    <t>-618.935530078873 222.082011037064 -494.556451925792</t>
  </si>
  <si>
    <t>-579.072994185906 225.429666704241 -215.31032857574</t>
  </si>
  <si>
    <t>-371.242535739783 125.427370473864 -242.780006757996</t>
  </si>
  <si>
    <t>-642.557504448087 8.70979328583212 -528.425910833088</t>
  </si>
  <si>
    <t>-585.278301841293 132.794383123424 -96.4654495224115</t>
  </si>
  <si>
    <t>-619.243026330111 141.525330242052 317.627277195302</t>
  </si>
  <si>
    <t>-669.52238279864 181.220831216282 776.395985744537</t>
  </si>
  <si>
    <t>-519.821673311712 184.204151663541 835.256966856966</t>
  </si>
  <si>
    <t>-591.238303779644 -70.1010271379948 323.748322451606</t>
  </si>
  <si>
    <t>-651.566591908135 -105.757878504334 781.461955450812</t>
  </si>
  <si>
    <t>-497.956568485136 -122.092211420415 826.417148533661</t>
  </si>
  <si>
    <t>9763-20170724T115449.061964100.bin</t>
  </si>
  <si>
    <t>-578.728378007016 40.3870474512414 -92.0711932870126</t>
  </si>
  <si>
    <t>-598.369973071414 35.8122719517778 -200.932426518951</t>
  </si>
  <si>
    <t>-611.815717666543 35.1733740550358 -292.827198801631</t>
  </si>
  <si>
    <t>-623.653445123324 35.827326883993 -375.878888712415</t>
  </si>
  <si>
    <t>-634.608099752784 37.7327107065553 -459.032305348519</t>
  </si>
  <si>
    <t>-649.645213458387 41.8846932655583 -580.694088017729</t>
  </si>
  <si>
    <t>-641.455199849312 49.514772481836 -658.249894529204</t>
  </si>
  <si>
    <t>-643.793992090316 71.3935414288146 -526.148429731195</t>
  </si>
  <si>
    <t>-618.790655505205 222.123443046 -494.659048764613</t>
  </si>
  <si>
    <t>-579.380368101223 225.702549949001 -215.351701242479</t>
  </si>
  <si>
    <t>-371.426231879302 125.7837709025 -242.181768084017</t>
  </si>
  <si>
    <t>-642.300133803175 8.73211065714145 -528.471492259237</t>
  </si>
  <si>
    <t>-585.252575472124 132.889218421172 -96.4972539954391</t>
  </si>
  <si>
    <t>-619.262387427369 141.587900267623 317.592398794939</t>
  </si>
  <si>
    <t>-669.515975428184 181.231598164405 776.357095944673</t>
  </si>
  <si>
    <t>-519.819820295327 184.132126092481 835.233832817698</t>
  </si>
  <si>
    <t>-591.2766058914 -70.039808604701 323.74462308928</t>
  </si>
  <si>
    <t>-651.615597688387 -105.754271245533 781.450155118214</t>
  </si>
  <si>
    <t>-498.008369982589 -122.290706499194 826.341007482958</t>
  </si>
  <si>
    <t>9763-20170724T115449.131183600.bin</t>
  </si>
  <si>
    <t>-578.757347132626 40.5717343246765 -92.1108552708998</t>
  </si>
  <si>
    <t>-598.304557811462 35.9516482592865 -200.987231599133</t>
  </si>
  <si>
    <t>-611.63908959311 35.2760725791106 -292.897945750334</t>
  </si>
  <si>
    <t>-623.363812179671 35.8966299812932 -375.965842459265</t>
  </si>
  <si>
    <t>-634.19283319393 37.7690576933669 -459.136528803629</t>
  </si>
  <si>
    <t>-649.03248121765 41.8730895700514 -580.824078541184</t>
  </si>
  <si>
    <t>-640.70490974933 49.4859500468258 -658.367043774271</t>
  </si>
  <si>
    <t>-643.298900155078 71.4026842525266 -526.277137521207</t>
  </si>
  <si>
    <t>-618.522894765387 222.197607773186 -494.901870990167</t>
  </si>
  <si>
    <t>-579.764833062434 225.990557607201 -215.506210572546</t>
  </si>
  <si>
    <t>-371.68403877871 126.188709455612 -241.783601450203</t>
  </si>
  <si>
    <t>-641.743052286894 8.74186570951542 -528.580266274887</t>
  </si>
  <si>
    <t>-585.312915288094 133.066878422625 -96.5730967934503</t>
  </si>
  <si>
    <t>-619.384883517554 141.743752999139 317.511929385166</t>
  </si>
  <si>
    <t>-669.505150439772 181.295427526429 776.292251453062</t>
  </si>
  <si>
    <t>-519.814861932793 184.090265420244 835.188962809142</t>
  </si>
  <si>
    <t>-591.361354191509 -69.9708317395077 323.723724647125</t>
  </si>
  <si>
    <t>-651.686176306051 -105.666198390029 781.432144083517</t>
  </si>
  <si>
    <t>-498.015066882631 -121.91380710906 826.209683749605</t>
  </si>
  <si>
    <t>9763-20170724T115449.159251200.bin</t>
  </si>
  <si>
    <t>-578.804447835134 40.5811919611074 -92.1250184351799</t>
  </si>
  <si>
    <t>-598.307939725639 35.9488454304615 -201.008671068571</t>
  </si>
  <si>
    <t>-611.607279526004 35.2581278969069 -292.924399428163</t>
  </si>
  <si>
    <t>-623.300840109836 35.8628405517991 -375.996785825381</t>
  </si>
  <si>
    <t>-634.099580780546 37.7170167909696 -459.171750116039</t>
  </si>
  <si>
    <t>-648.895805442749 41.7924813426746 -580.865617934184</t>
  </si>
  <si>
    <t>-640.524932582942 49.385784762711 -658.405831178366</t>
  </si>
  <si>
    <t>-643.206157261243 71.3342070722258 -526.320614646235</t>
  </si>
  <si>
    <t>-618.617913004545 222.173836897144 -494.996570713219</t>
  </si>
  <si>
    <t>-580.07979042378 225.940688513517 -215.569862267123</t>
  </si>
  <si>
    <t>-371.925445085052 126.254560381338 -241.703709349008</t>
  </si>
  <si>
    <t>-641.60052123006 8.6743088577889 -528.614264922317</t>
  </si>
  <si>
    <t>-585.410243856721 133.086649434204 -96.6033507307575</t>
  </si>
  <si>
    <t>-619.489121602538 141.775593367115 317.480828066341</t>
  </si>
  <si>
    <t>-669.50246634222 181.318832630941 776.266630792116</t>
  </si>
  <si>
    <t>-519.814580417508 184.06691477134 835.171669291286</t>
  </si>
  <si>
    <t>-591.375264600329 -70.0251594184201 323.709592328484</t>
  </si>
  <si>
    <t>-651.716200452662 -105.714241180626 781.425416262165</t>
  </si>
  <si>
    <t>-498.097529843539 -122.516975572595 826.178089056693</t>
  </si>
  <si>
    <t>9763-20170724T115449.233588200.bin</t>
  </si>
  <si>
    <t>-579.053590285407 40.4560711292022 -92.1756317868743</t>
  </si>
  <si>
    <t>-598.433309892081 35.8065856819835 -201.080601746928</t>
  </si>
  <si>
    <t>-611.621331820905 35.1061586328685 -293.012200913967</t>
  </si>
  <si>
    <t>-623.211485975764 35.7023924460782 -376.099234267419</t>
  </si>
  <si>
    <t>-633.903696111958 37.5496079780874 -459.288258652357</t>
  </si>
  <si>
    <t>-648.540914302302 41.6160653442762 -581.00163567977</t>
  </si>
  <si>
    <t>-640.055384775576 49.1885127703351 -658.531295337893</t>
  </si>
  <si>
    <t>-642.96485480016 71.1604624181928 -526.446375115071</t>
  </si>
  <si>
    <t>-618.664146450876 222.050573890083 -495.165565507064</t>
  </si>
  <si>
    <t>-580.744539516968 225.983797899335 -215.656672275719</t>
  </si>
  <si>
    <t>-372.444807516551 126.486167835073 -241.346420357039</t>
  </si>
  <si>
    <t>-641.271596672646 8.50299204174621 -528.743390755495</t>
  </si>
  <si>
    <t>-585.773736857665 132.962576424081 -96.6492608835746</t>
  </si>
  <si>
    <t>-619.828734771387 141.739984257083 317.434978423108</t>
  </si>
  <si>
    <t>-669.515604383895 181.312619611876 776.243782758825</t>
  </si>
  <si>
    <t>-519.828703135528 184.212369076453 835.144160409257</t>
  </si>
  <si>
    <t>-591.444613307818 -70.2143104139934 323.672770101025</t>
  </si>
  <si>
    <t>-651.740226484559 -105.694559597606 781.410334676443</t>
  </si>
  <si>
    <t>-498.103564619747 -122.380990504441 826.144637304137</t>
  </si>
  <si>
    <t>9763-20170724T115449.260660000.bin</t>
  </si>
  <si>
    <t>-579.289147593337 40.3354959538456 -92.2182781254771</t>
  </si>
  <si>
    <t>-598.555339602271 35.6827615504253 -201.143324710453</t>
  </si>
  <si>
    <t>-611.635916032773 34.9661498396094 -293.090134758551</t>
  </si>
  <si>
    <t>-623.124238891944 35.5417747517158 -376.191463907677</t>
  </si>
  <si>
    <t>-633.709835538516 37.3625210286918 -459.394563763512</t>
  </si>
  <si>
    <t>-648.185899912152 41.3838920308131 -581.128721341131</t>
  </si>
  <si>
    <t>-639.613240367191 48.9449295467919 -658.65002851144</t>
  </si>
  <si>
    <t>-642.694157363387 70.9481289304154 -526.575519569948</t>
  </si>
  <si>
    <t>-618.492751401213 221.864119440106 -495.305189601203</t>
  </si>
  <si>
    <t>-581.032037730068 225.900705779569 -215.735989420822</t>
  </si>
  <si>
    <t>-372.634039210022 126.537556031229 -241.148016400895</t>
  </si>
  <si>
    <t>-640.97367290939 8.29066550035213 -528.850027952739</t>
  </si>
  <si>
    <t>-586.036523595426 132.897024049005 -96.6882670080846</t>
  </si>
  <si>
    <t>-620.082368522907 141.723551856861 317.395736245839</t>
  </si>
  <si>
    <t>-669.510294206059 181.353547076602 776.228005066214</t>
  </si>
  <si>
    <t>-519.822533370507 184.133845642545 835.131938827692</t>
  </si>
  <si>
    <t>-591.573406831399 -70.4070073120024 323.637500680228</t>
  </si>
  <si>
    <t>-651.719405360663 -105.672026967526 781.418350467996</t>
  </si>
  <si>
    <t>-498.091625865432 -122.337442218033 826.190983312173</t>
  </si>
  <si>
    <t>9763-20170724T115449.328393200.bin</t>
  </si>
  <si>
    <t>-579.80155880165 40.1791298946 -92.2884972900288</t>
  </si>
  <si>
    <t>-598.828899422039 35.5299754569785 -201.255638238463</t>
  </si>
  <si>
    <t>-611.725552640306 34.7965272079869 -293.228379531178</t>
  </si>
  <si>
    <t>-623.054754413377 35.3483814287988 -376.351671651399</t>
  </si>
  <si>
    <t>-633.488081057702 37.1371340445367 -459.574705988587</t>
  </si>
  <si>
    <t>-647.749063264317 41.1027610489637 -581.336033395446</t>
  </si>
  <si>
    <t>-639.009780153976 48.6556234681411 -658.839504451313</t>
  </si>
  <si>
    <t>-642.364467561085 70.6916363023433 -526.785676001344</t>
  </si>
  <si>
    <t>-618.181328283653 221.612313453307 -495.539258392411</t>
  </si>
  <si>
    <t>-581.740185865947 226.065605462573 -215.841728034801</t>
  </si>
  <si>
    <t>-373.148965839079 126.912909692113 -240.47867545409</t>
  </si>
  <si>
    <t>-640.618491141866 8.03365398820256 -529.030883723199</t>
  </si>
  <si>
    <t>-586.556538253979 132.772016042267 -96.7635067113416</t>
  </si>
  <si>
    <t>-620.557428980201 141.762547947301 317.32066454419</t>
  </si>
  <si>
    <t>-669.496250906112 181.466248714935 776.200716283646</t>
  </si>
  <si>
    <t>-519.809280805399 184.112970886118 835.112797179877</t>
  </si>
  <si>
    <t>-591.974875083176 -70.6437722333799 323.558830915419</t>
  </si>
  <si>
    <t>-651.663153404172 -105.681203222797 781.43402734936</t>
  </si>
  <si>
    <t>-498.034139521216 -122.053801976835 826.310393984214</t>
  </si>
  <si>
    <t>9763-20170724T115449.364491700.bin</t>
  </si>
  <si>
    <t>-580.020593136234 40.1016034574529 -92.3079080310506</t>
  </si>
  <si>
    <t>-598.952767956863 35.4640147076229 -201.292218760904</t>
  </si>
  <si>
    <t>-611.791423112639 34.7223473445574 -293.27289506087</t>
  </si>
  <si>
    <t>-623.077424304374 35.2598487632265 -376.402111398086</t>
  </si>
  <si>
    <t>-633.476837104173 37.0273488573068 -459.629966107512</t>
  </si>
  <si>
    <t>-647.69856039415 40.954444536038 -581.397222835708</t>
  </si>
  <si>
    <t>-638.878005363979 48.488296292996 -658.893295148915</t>
  </si>
  <si>
    <t>-642.328372566462 70.5606689069714 -526.854727300286</t>
  </si>
  <si>
    <t>-618.108680466106 221.473813051018 -495.617344815571</t>
  </si>
  <si>
    <t>-582.144099634709 226.274429444589 -215.86374615524</t>
  </si>
  <si>
    <t>-373.472325741485 127.170305694439 -240.009005114548</t>
  </si>
  <si>
    <t>-640.588035228588 7.9017725368567 -529.078822686367</t>
  </si>
  <si>
    <t>-586.737396422458 132.664629633428 -96.7866991845689</t>
  </si>
  <si>
    <t>-620.761970035816 141.709030740965 317.294357648771</t>
  </si>
  <si>
    <t>-669.513265103999 181.432563278569 776.193580456538</t>
  </si>
  <si>
    <t>-519.825769666449 184.240042435765 835.096884771555</t>
  </si>
  <si>
    <t>-592.207321488911 -70.7245236637843 323.537951565469</t>
  </si>
  <si>
    <t>-651.644570901467 -105.716754191794 781.444593125125</t>
  </si>
  <si>
    <t>-498.064521762928 -122.377891791994 826.38227156816</t>
  </si>
  <si>
    <t>9763-20170724T115449.429197300.bin</t>
  </si>
  <si>
    <t>-580.487185633347 39.9849435141045 -92.3672576012652</t>
  </si>
  <si>
    <t>-599.267022275184 35.3550957771058 -201.37815662964</t>
  </si>
  <si>
    <t>-612.033824068633 34.596595375592 -293.368752326697</t>
  </si>
  <si>
    <t>-623.278069853762 35.1115155262228 -376.503763689082</t>
  </si>
  <si>
    <t>-633.659371789225 36.8482329812246 -459.73443211269</t>
  </si>
  <si>
    <t>-647.880919426093 40.7219862409106 -581.503447301531</t>
  </si>
  <si>
    <t>-638.901282089863 48.1872742724604 -658.987887545742</t>
  </si>
  <si>
    <t>-642.502405588648 70.352266395794 -526.974903336261</t>
  </si>
  <si>
    <t>-618.091262202199 221.25167764236 -495.808142673122</t>
  </si>
  <si>
    <t>-583.103034996976 226.900097780894 -215.946556340057</t>
  </si>
  <si>
    <t>-374.385244743038 127.656255437876 -239.099978455219</t>
  </si>
  <si>
    <t>-640.778894659889 7.69196729981536 -529.169663949937</t>
  </si>
  <si>
    <t>-587.066754550914 132.533286026446 -96.8656360667433</t>
  </si>
  <si>
    <t>-621.118331683434 141.730379172599 317.209887710993</t>
  </si>
  <si>
    <t>-669.526824991052 181.470381553942 776.151627632662</t>
  </si>
  <si>
    <t>-519.835433781202 184.04675277118 835.055613427518</t>
  </si>
  <si>
    <t>-592.808690441211 -70.9076718046542 323.480841473234</t>
  </si>
  <si>
    <t>-651.602847537181 -105.708943293918 781.470297833113</t>
  </si>
  <si>
    <t>-498.040610869176 -122.326883179632 826.484816083231</t>
  </si>
  <si>
    <t>9763-20170724T115449.462285100.bin</t>
  </si>
  <si>
    <t>-580.793660438375 39.8702259676911 -92.4000547631749</t>
  </si>
  <si>
    <t>-599.530680168795 35.2600600223409 -201.419161635565</t>
  </si>
  <si>
    <t>-612.283982977055 34.490001755843 -293.411535222703</t>
  </si>
  <si>
    <t>-623.525474044942 34.983842116098 -376.547105686836</t>
  </si>
  <si>
    <t>-633.913472698609 36.6890492638879 -459.777626142542</t>
  </si>
  <si>
    <t>-648.155412130135 40.5046611678863 -581.545975606749</t>
  </si>
  <si>
    <t>-639.100691066657 47.9084161252617 -659.027627507299</t>
  </si>
  <si>
    <t>-642.74652176259 70.161660586039 -527.035028899506</t>
  </si>
  <si>
    <t>-618.221530608128 221.056823483797 -495.932744502726</t>
  </si>
  <si>
    <t>-583.715605766235 227.063046670816 -216.018810512036</t>
  </si>
  <si>
    <t>-375.09446431128 127.585311469254 -239.038887399585</t>
  </si>
  <si>
    <t>-641.065862689869 7.49903595788282 -529.195124297719</t>
  </si>
  <si>
    <t>-587.266939696177 132.477665427694 -96.9081717329943</t>
  </si>
  <si>
    <t>-621.274308520883 141.693023110696 317.170493027985</t>
  </si>
  <si>
    <t>-669.526927363252 181.504357637862 776.117041597187</t>
  </si>
  <si>
    <t>-519.833922021515 184.051879653151 835.018069009647</t>
  </si>
  <si>
    <t>-593.156863209662 -71.0452690063123 323.436009051044</t>
  </si>
  <si>
    <t>-651.599481833604 -105.717657984914 781.482633996777</t>
  </si>
  <si>
    <t>-498.064711800284 -122.523925268899 826.520868661018</t>
  </si>
  <si>
    <t>9763-20170724T115449.528526000.bin</t>
  </si>
  <si>
    <t>-581.42527102204 39.6054746959787 -92.48606639856</t>
  </si>
  <si>
    <t>-600.144331057767 35.0381024025696 -201.510083315309</t>
  </si>
  <si>
    <t>-612.891803911412 34.2474578676097 -293.503013327407</t>
  </si>
  <si>
    <t>-624.132236231556 34.7016224183806 -376.638996205551</t>
  </si>
  <si>
    <t>-634.523665782164 36.3450332585992 -459.87033181625</t>
  </si>
  <si>
    <t>-648.775723663789 40.0463929089035 -581.641036719421</t>
  </si>
  <si>
    <t>-639.61344806898 47.3197325443489 -659.122407848056</t>
  </si>
  <si>
    <t>-643.314822992462 69.7561488411745 -527.1638627548</t>
  </si>
  <si>
    <t>-618.363924970307 220.590646449527 -496.115055045869</t>
  </si>
  <si>
    <t>-584.936977849829 227.402268399677 -216.088634424324</t>
  </si>
  <si>
    <t>-376.685889072781 127.165620442102 -239.167301534575</t>
  </si>
  <si>
    <t>-641.729243137756 7.08846752434465 -529.254290216498</t>
  </si>
  <si>
    <t>-587.711100467011 132.272184412878 -96.9877628702044</t>
  </si>
  <si>
    <t>-621.53829774817 141.591573614381 317.103326133506</t>
  </si>
  <si>
    <t>-669.565486571687 181.421992515722 776.061531256099</t>
  </si>
  <si>
    <t>-519.864688778605 184.142376666864 834.935065831886</t>
  </si>
  <si>
    <t>-593.691217235271 -71.20323843556 323.375209536398</t>
  </si>
  <si>
    <t>-651.591529598976 -105.744708642416 781.497311687795</t>
  </si>
  <si>
    <t>-498.065833939451 -122.538271103779 826.571279814907</t>
  </si>
  <si>
    <t>9763-20170724T115449.560613400.bin</t>
  </si>
  <si>
    <t>-581.757240378878 39.503187760665 -92.5278673972684</t>
  </si>
  <si>
    <t>-600.467381547683 34.960096322824 -201.554315975043</t>
  </si>
  <si>
    <t>-613.188722372464 34.1520677539779 -293.550789251346</t>
  </si>
  <si>
    <t>-624.398162393258 34.5763061696562 -376.691156492509</t>
  </si>
  <si>
    <t>-634.751359453129 36.1746230385877 -459.928103168871</t>
  </si>
  <si>
    <t>-648.939547140488 39.7938871141544 -581.708688032411</t>
  </si>
  <si>
    <t>-639.72710025603 46.9964978417775 -659.190696527392</t>
  </si>
  <si>
    <t>-643.483594020852 69.5409586927165 -527.251434587246</t>
  </si>
  <si>
    <t>-618.400287266574 220.371473478623 -496.281442482632</t>
  </si>
  <si>
    <t>-585.547116979944 227.516695803979 -216.195343764581</t>
  </si>
  <si>
    <t>-377.504213079117 126.880846055355 -239.414115953756</t>
  </si>
  <si>
    <t>-641.944206825387 6.87063420788127 -529.293388053548</t>
  </si>
  <si>
    <t>-587.985523146959 132.185715016095 -97.0238968768934</t>
  </si>
  <si>
    <t>-621.684780771548 141.565343545097 317.076279305943</t>
  </si>
  <si>
    <t>-669.575214889358 181.43133801143 776.042636236926</t>
  </si>
  <si>
    <t>-519.863821734271 184.086890786237 834.892120397691</t>
  </si>
  <si>
    <t>-593.921398866302 -71.2278812103787 323.342801367978</t>
  </si>
  <si>
    <t>-651.592592604832 -105.731866878894 781.498707690699</t>
  </si>
  <si>
    <t>-498.051394321356 -122.368987874464 826.57788334855</t>
  </si>
  <si>
    <t>9763-20170724T115449.626297600.bin</t>
  </si>
  <si>
    <t>-582.488673687845 39.3223235731564 -92.6268562247777</t>
  </si>
  <si>
    <t>-601.185207245605 34.820154362576 -201.657406182927</t>
  </si>
  <si>
    <t>-613.874147566909 33.9657468967068 -293.658033561348</t>
  </si>
  <si>
    <t>-625.046024949858 34.3158127360666 -376.803645132456</t>
  </si>
  <si>
    <t>-635.352889172177 35.8072273866192 -460.048398117502</t>
  </si>
  <si>
    <t>-649.463782440801 39.2333069313217 -581.843462235573</t>
  </si>
  <si>
    <t>-640.185920533978 46.2848569014886 -659.331643999145</t>
  </si>
  <si>
    <t>-643.967144346536 69.0688056466317 -527.438783770373</t>
  </si>
  <si>
    <t>-618.494804954576 219.883482280423 -496.707178661708</t>
  </si>
  <si>
    <t>-586.762259711913 227.492661661749 -216.50405649695</t>
  </si>
  <si>
    <t>-379.04728477901 126.172550436257 -239.683058493742</t>
  </si>
  <si>
    <t>-642.576925128628 6.39118892016108 -529.362940252032</t>
  </si>
  <si>
    <t>-588.660225822885 132.03435414419 -97.1004189355383</t>
  </si>
  <si>
    <t>-622.069735440097 141.576608637502 317.019567947197</t>
  </si>
  <si>
    <t>-669.579088362373 181.502667130697 776.017540956763</t>
  </si>
  <si>
    <t>-519.845525463998 183.990542448189 834.817996837998</t>
  </si>
  <si>
    <t>-594.349097124128 -71.2681978603073 323.263734572068</t>
  </si>
  <si>
    <t>-651.606733211796 -105.725627953816 781.492214984045</t>
  </si>
  <si>
    <t>-498.080743992232 -122.501639801009 826.571689281259</t>
  </si>
  <si>
    <t>9763-20170724T115449.660382600.bin</t>
  </si>
  <si>
    <t>-582.875013205617 39.1542146408428 -92.6718094084102</t>
  </si>
  <si>
    <t>-601.581660012751 34.6627155953586 -201.701044655241</t>
  </si>
  <si>
    <t>-614.274183729321 33.7877430558144 -293.700922600993</t>
  </si>
  <si>
    <t>-625.447117062468 34.1079412145655 -376.846501225588</t>
  </si>
  <si>
    <t>-635.752956281171 35.5572513752272 -460.092217061892</t>
  </si>
  <si>
    <t>-649.859825474363 38.9087037184468 -581.889876317129</t>
  </si>
  <si>
    <t>-640.572653868281 45.9070787937346 -659.381728152249</t>
  </si>
  <si>
    <t>-644.337400445175 68.7781331800122 -527.5064762211</t>
  </si>
  <si>
    <t>-618.631500101307 219.563715701123 -496.871392124193</t>
  </si>
  <si>
    <t>-587.373067804782 227.532167544222 -216.625041375399</t>
  </si>
  <si>
    <t>-379.828847163242 125.826274220215 -239.643019060945</t>
  </si>
  <si>
    <t>-643.00230768515 6.09809191831346 -529.385761672697</t>
  </si>
  <si>
    <t>-589.04032891177 131.839967666179 -97.1376787636515</t>
  </si>
  <si>
    <t>-622.272994603064 141.482757897563 316.994139799195</t>
  </si>
  <si>
    <t>-669.618220509326 181.381597790284 776.012410133354</t>
  </si>
  <si>
    <t>-519.875946692953 184.120685727509 834.779495670265</t>
  </si>
  <si>
    <t>-594.546274497905 -71.3190957411434 323.228737018462</t>
  </si>
  <si>
    <t>-651.61981938846 -105.74852076059 781.48454097645</t>
  </si>
  <si>
    <t>-498.114570609503 -122.711700318713 826.564593743527</t>
  </si>
  <si>
    <t>9763-20170724T115449.724558900.bin</t>
  </si>
  <si>
    <t>-583.589245175936 38.9925412715136 -92.7577558596475</t>
  </si>
  <si>
    <t>-602.324645840267 34.5112077081869 -201.782569102534</t>
  </si>
  <si>
    <t>-615.04550131775 33.6130375587625 -293.778080594893</t>
  </si>
  <si>
    <t>-626.245743112166 33.8997684388532 -376.920299629047</t>
  </si>
  <si>
    <t>-636.580350689584 35.3030357721618 -460.163153133712</t>
  </si>
  <si>
    <t>-650.731040452956 38.5726478701813 -581.957894194582</t>
  </si>
  <si>
    <t>-641.449364395016 45.5056900368415 -659.456267400064</t>
  </si>
  <si>
    <t>-645.151331967102 68.4795271072599 -527.600868738581</t>
  </si>
  <si>
    <t>-619.206921576704 219.248724749732 -497.072318977888</t>
  </si>
  <si>
    <t>-588.653117781042 227.770783075001 -216.764522881044</t>
  </si>
  <si>
    <t>-381.339099909221 125.543401889595 -239.545954116046</t>
  </si>
  <si>
    <t>-643.892350526318 5.79643620428874 -529.429891752811</t>
  </si>
  <si>
    <t>-589.739052344951 131.691732733506 -97.2182639443704</t>
  </si>
  <si>
    <t>-622.643386589925 141.4359870715 316.937420010333</t>
  </si>
  <si>
    <t>-669.620633725579 181.440885346443 775.994002845446</t>
  </si>
  <si>
    <t>-519.86188474563 184.157012429702 834.720253262835</t>
  </si>
  <si>
    <t>-594.971445876179 -71.2506045843259 323.165436134183</t>
  </si>
  <si>
    <t>-651.598132858225 -105.670733024301 781.477562066667</t>
  </si>
  <si>
    <t>-498.017272041296 -121.843776107055 826.590478219574</t>
  </si>
  <si>
    <t>9763-20170724T115449.760653900.bin</t>
  </si>
  <si>
    <t>-583.887191348774 38.9300697694239 -92.7904159380314</t>
  </si>
  <si>
    <t>-602.639439584008 34.4457922293227 -201.812124992904</t>
  </si>
  <si>
    <t>-615.378163036244 33.5366759350275 -293.805278740511</t>
  </si>
  <si>
    <t>-626.595902576327 33.8106970159524 -376.945109911944</t>
  </si>
  <si>
    <t>-636.949632136872 35.1977783262341 -460.185800480193</t>
  </si>
  <si>
    <t>-651.129992820042 38.440322628584 -581.977988712913</t>
  </si>
  <si>
    <t>-641.848315461469 45.3604627557447 -659.477513170513</t>
  </si>
  <si>
    <t>-645.536673164574 68.3593403284888 -527.628821698767</t>
  </si>
  <si>
    <t>-619.552554337051 219.13139116515 -497.139116536648</t>
  </si>
  <si>
    <t>-589.207374813609 227.721574784701 -216.810787578109</t>
  </si>
  <si>
    <t>-381.913593710784 125.442714988953 -239.545047955053</t>
  </si>
  <si>
    <t>-644.278851037655 5.67579074561058 -529.444230897669</t>
  </si>
  <si>
    <t>-590.039784332199 131.576152762659 -97.2454371158304</t>
  </si>
  <si>
    <t>-622.798107180938 141.412892918295 316.919686965506</t>
  </si>
  <si>
    <t>-669.635253035249 181.412599022287 775.99033987451</t>
  </si>
  <si>
    <t>-519.8701798158 184.171690598972 834.698413631401</t>
  </si>
  <si>
    <t>-595.171665897282 -71.2161516795645 323.145811021882</t>
  </si>
  <si>
    <t>-651.596199117186 -105.697572721525 781.48018097493</t>
  </si>
  <si>
    <t>-498.037558934328 -122.018771304396 826.615405186759</t>
  </si>
  <si>
    <t>9763-20170724T115449.832392400.bin</t>
  </si>
  <si>
    <t>-584.455672449484 38.8094072454837 -92.8406094040183</t>
  </si>
  <si>
    <t>-603.244460536781 34.3143688185778 -201.855586269694</t>
  </si>
  <si>
    <t>-616.059436026919 33.4060878301996 -293.838154198497</t>
  </si>
  <si>
    <t>-627.364489422856 33.6843797958127 -376.966119444583</t>
  </si>
  <si>
    <t>-637.824073169959 35.080113183941 -460.19330356655</t>
  </si>
  <si>
    <t>-652.179659490833 38.3401937222361 -581.964524434662</t>
  </si>
  <si>
    <t>-642.942686379317 45.2773416021528 -659.467789258215</t>
  </si>
  <si>
    <t>-646.531948452637 68.250761996864 -527.616562996452</t>
  </si>
  <si>
    <t>-620.579781375489 219.023541832805 -497.087638635902</t>
  </si>
  <si>
    <t>-590.40973526216 227.663704954386 -216.742069894901</t>
  </si>
  <si>
    <t>-383.251431424274 125.147785921484 -239.643094083389</t>
  </si>
  <si>
    <t>-645.229210552521 5.56854917277997 -529.448236036058</t>
  </si>
  <si>
    <t>-590.699700609253 131.409699382733 -97.3119052797128</t>
  </si>
  <si>
    <t>-623.157345424985 141.376447150508 316.873688227573</t>
  </si>
  <si>
    <t>-669.623101614111 181.478314183475 775.972740560301</t>
  </si>
  <si>
    <t>-519.849498323078 184.031089061839 834.668357811911</t>
  </si>
  <si>
    <t>-595.504962563536 -71.1769903958036 323.1065291259</t>
  </si>
  <si>
    <t>-651.575157988713 -105.690741651524 781.474292465736</t>
  </si>
  <si>
    <t>-498.040126583411 -122.047716771632 826.676830111427</t>
  </si>
  <si>
    <t>9763-20170724T115449.862472100.bin</t>
  </si>
  <si>
    <t>-584.721968474692 38.6538117319826 -92.8584177646952</t>
  </si>
  <si>
    <t>-603.539259927123 34.1435574831662 -201.867995222158</t>
  </si>
  <si>
    <t>-616.385280555435 33.2379686721831 -293.846123006451</t>
  </si>
  <si>
    <t>-627.721195204174 33.5244925076925 -376.969911950706</t>
  </si>
  <si>
    <t>-638.214609231302 34.9344345329848 -460.192717569427</t>
  </si>
  <si>
    <t>-652.622807315962 38.2222523967021 -581.956912485811</t>
  </si>
  <si>
    <t>-643.408571308495 45.1860897607496 -659.460523092415</t>
  </si>
  <si>
    <t>-646.981568187225 68.1197267365988 -527.600952200532</t>
  </si>
  <si>
    <t>-621.162269130799 218.902058762149 -497.016424386554</t>
  </si>
  <si>
    <t>-591.034851358674 227.566652031347 -216.666907970498</t>
  </si>
  <si>
    <t>-383.937251570275 124.94868699322 -239.659598594302</t>
  </si>
  <si>
    <t>-645.619675566971 5.43941568781338 -529.454654208061</t>
  </si>
  <si>
    <t>-591.042950043967 131.216098412971 -97.3287848860923</t>
  </si>
  <si>
    <t>-623.314553983893 141.328396148845 316.867892036839</t>
  </si>
  <si>
    <t>-669.62179581561 181.487020524419 775.970519856618</t>
  </si>
  <si>
    <t>-519.84562663897 183.96963886105 834.662546426585</t>
  </si>
  <si>
    <t>-595.596858150699 -71.2363271317611 323.095977171695</t>
  </si>
  <si>
    <t>-651.54420021269 -105.689000315562 781.483103069973</t>
  </si>
  <si>
    <t>-498.025631928424 -122.008396571869 826.755155672585</t>
  </si>
  <si>
    <t>9763-20170724T115449.929186200.bin</t>
  </si>
  <si>
    <t>-585.228793330708 38.236073344292 -92.8573288975879</t>
  </si>
  <si>
    <t>-604.081020543305 33.7130565514738 -201.860181351932</t>
  </si>
  <si>
    <t>-616.937568212398 32.8182561541109 -293.837105033876</t>
  </si>
  <si>
    <t>-628.275230135758 33.1214815499804 -376.960507558993</t>
  </si>
  <si>
    <t>-638.762679690014 34.556012729671 -460.183633142022</t>
  </si>
  <si>
    <t>-653.153648106022 37.8885091674538 -581.948665540128</t>
  </si>
  <si>
    <t>-643.966186097898 44.9140713275297 -659.449792906277</t>
  </si>
  <si>
    <t>-647.582395312294 67.7643814590303 -527.573604492283</t>
  </si>
  <si>
    <t>-622.043842104205 218.565739308003 -496.849974794289</t>
  </si>
  <si>
    <t>-592.137459136572 227.154211715926 -216.474382139963</t>
  </si>
  <si>
    <t>-385.02857184072 124.596632495834 -239.634496798585</t>
  </si>
  <si>
    <t>-646.095644800439 5.08808144403406 -529.464756174994</t>
  </si>
  <si>
    <t>-591.785227057395 130.713525118081 -97.3266834981397</t>
  </si>
  <si>
    <t>-623.604110241724 141.100852033976 316.89816535205</t>
  </si>
  <si>
    <t>-669.62897232817 181.422106664572 775.99479082753</t>
  </si>
  <si>
    <t>-519.844954959428 184.102618354084 834.658201821372</t>
  </si>
  <si>
    <t>-595.751813803292 -71.4128127405854 323.088900199686</t>
  </si>
  <si>
    <t>-651.502010011924 -105.690029212541 781.496575331504</t>
  </si>
  <si>
    <t>-497.98540068145 -121.727388255438 826.875859710004</t>
  </si>
  <si>
    <t>9763-20170724T115449.965282200.bin</t>
  </si>
  <si>
    <t>-585.44942024938 38.0583156072612 -92.872282224164</t>
  </si>
  <si>
    <t>-604.315761880841 33.5301292453244 -201.872560386616</t>
  </si>
  <si>
    <t>-617.179468200277 32.6432074051149 -293.848448811263</t>
  </si>
  <si>
    <t>-628.521842805859 32.9573959102743 -376.971221210308</t>
  </si>
  <si>
    <t>-639.012209039907 34.4078339274688 -460.19377793019</t>
  </si>
  <si>
    <t>-653.40574293361 37.7685047611108 -581.957697947059</t>
  </si>
  <si>
    <t>-644.2315987512 44.8278416183653 -659.457473933996</t>
  </si>
  <si>
    <t>-647.871742853705 67.6306737731315 -527.571348358264</t>
  </si>
  <si>
    <t>-622.476994311762 218.44418910886 -496.784343603708</t>
  </si>
  <si>
    <t>-592.666338725122 226.920534051382 -216.39521566811</t>
  </si>
  <si>
    <t>-385.488331011185 124.507608210323 -239.577038242884</t>
  </si>
  <si>
    <t>-646.308274105567 4.95690392046981 -529.485891148935</t>
  </si>
  <si>
    <t>-592.092734235306 130.502878016658 -97.3290621584181</t>
  </si>
  <si>
    <t>-623.731925279236 141.029067035045 316.906033401921</t>
  </si>
  <si>
    <t>-669.61809966602 181.448014541025 776.008142363874</t>
  </si>
  <si>
    <t>-519.831174426519 184.053283620145 834.667421982849</t>
  </si>
  <si>
    <t>-595.82244852713 -71.4826396768381 323.081587952509</t>
  </si>
  <si>
    <t>-651.492806814921 -105.740007202984 781.499718900756</t>
  </si>
  <si>
    <t>-498.014272827576 -122.021016536307 826.92098885245</t>
  </si>
  <si>
    <t>9763-20170724T115450.028817100.bin</t>
  </si>
  <si>
    <t>-585.903252226988 37.7205401580677 -92.8832443594252</t>
  </si>
  <si>
    <t>-604.805926814809 33.1815337850644 -201.876735028196</t>
  </si>
  <si>
    <t>-617.736457770443 32.3225400207921 -293.843517169712</t>
  </si>
  <si>
    <t>-629.153906102034 32.6755426050174 -376.955816800585</t>
  </si>
  <si>
    <t>-639.734387883052 34.1796169238164 -460.165904279557</t>
  </si>
  <si>
    <t>-654.276177563797 37.6356693993407 -581.909622623551</t>
  </si>
  <si>
    <t>-645.155711072123 44.7846411810824 -659.407511904294</t>
  </si>
  <si>
    <t>-648.754476655234 67.452955244946 -527.497433523535</t>
  </si>
  <si>
    <t>-623.695592368717 218.29427167878 -496.588919758171</t>
  </si>
  <si>
    <t>-593.81153619662 226.514003947772 -216.200001936713</t>
  </si>
  <si>
    <t>-386.507949673462 124.352754914514 -239.369630836561</t>
  </si>
  <si>
    <t>-647.036235132217 4.78547497878253 -529.481683109554</t>
  </si>
  <si>
    <t>-592.721859383292 130.051233106957 -97.3229331736924</t>
  </si>
  <si>
    <t>-624.009351940958 140.851784906634 316.931906796984</t>
  </si>
  <si>
    <t>-669.630674765622 181.357187795633 776.058098431317</t>
  </si>
  <si>
    <t>-519.838489128344 184.128143023576 834.696420201311</t>
  </si>
  <si>
    <t>-595.970018931524 -71.5761398257837 323.066362367919</t>
  </si>
  <si>
    <t>-651.510746408863 -105.745484718412 781.4939275082</t>
  </si>
  <si>
    <t>-498.012042831376 -121.805406913644 826.925765551712</t>
  </si>
  <si>
    <t>9763-20170724T115450.061905300.bin</t>
  </si>
  <si>
    <t>-586.134663446269 37.6119204291836 -92.8764164280278</t>
  </si>
  <si>
    <t>-605.055867649858 33.0617014495372 -201.866175735002</t>
  </si>
  <si>
    <t>-617.995048836783 32.2222287345294 -293.832032537437</t>
  </si>
  <si>
    <t>-629.417455400006 32.6038468115491 -376.943513489947</t>
  </si>
  <si>
    <t>-640.000041311981 34.1480505766617 -460.152674376268</t>
  </si>
  <si>
    <t>-654.541739918745 37.6754636343464 -581.894228174708</t>
  </si>
  <si>
    <t>-645.413070562856 44.8847681534498 -659.385568620213</t>
  </si>
  <si>
    <t>-649.054469634008 67.4597190702691 -527.460602833976</t>
  </si>
  <si>
    <t>-624.139220667874 218.308053441001 -496.488594461664</t>
  </si>
  <si>
    <t>-594.149660215434 226.385873100669 -216.106863147474</t>
  </si>
  <si>
    <t>-386.848890059602 124.252103726136 -239.422215692352</t>
  </si>
  <si>
    <t>-647.267526362004 4.79550103188967 -529.48960734849</t>
  </si>
  <si>
    <t>-593.045146970954 129.921235600129 -97.3115177075276</t>
  </si>
  <si>
    <t>-624.137701034325 140.829081852981 316.955150856601</t>
  </si>
  <si>
    <t>-669.617294811014 181.41114366024 776.086355013361</t>
  </si>
  <si>
    <t>-519.816482348043 183.981592276945 834.711668426037</t>
  </si>
  <si>
    <t>-596.052308122431 -71.6074742126661 323.063710367935</t>
  </si>
  <si>
    <t>-651.522168940261 -105.761489408041 781.493388629414</t>
  </si>
  <si>
    <t>-498.028037142143 -121.845419644981 826.932112114703</t>
  </si>
  <si>
    <t>9763-20170724T115450.130093300.bin</t>
  </si>
  <si>
    <t>-586.508901726112 37.3672635002984 -92.8923108115711</t>
  </si>
  <si>
    <t>-605.463775425826 32.7854558749184 -201.874990865749</t>
  </si>
  <si>
    <t>-618.404271438756 31.9601307574626 -293.840658374326</t>
  </si>
  <si>
    <t>-629.816616224053 32.3690397667924 -376.953523685605</t>
  </si>
  <si>
    <t>-640.377674176768 33.9562383814773 -460.164486411256</t>
  </si>
  <si>
    <t>-654.875320268086 37.5630013117689 -581.909027894477</t>
  </si>
  <si>
    <t>-645.706236699035 44.8522404095668 -659.388092703725</t>
  </si>
  <si>
    <t>-649.455015547028 67.31026823507 -527.448334313876</t>
  </si>
  <si>
    <t>-624.894015310397 218.198674352318 -496.370357635931</t>
  </si>
  <si>
    <t>-594.563745730709 225.765530584099 -216.010905675438</t>
  </si>
  <si>
    <t>-387.554378681715 123.225206176589 -240.117556045306</t>
  </si>
  <si>
    <t>-647.572711678499 4.6506330488221 -529.528922218052</t>
  </si>
  <si>
    <t>-593.617833060427 129.564673139638 -97.3074827547525</t>
  </si>
  <si>
    <t>-624.327201561737 140.698975265505 316.981687482046</t>
  </si>
  <si>
    <t>-669.597996118028 181.436698489406 776.13179874909</t>
  </si>
  <si>
    <t>-519.78434176849 184.033379087036 834.723181140224</t>
  </si>
  <si>
    <t>-596.110928743911 -71.6285658559254 323.058392926466</t>
  </si>
  <si>
    <t>-651.587651584102 -105.753120110663 781.4823914219</t>
  </si>
  <si>
    <t>-498.035344725862 -121.496261097443 826.843853252155</t>
  </si>
  <si>
    <t>9763-20170724T115450.159170500.bin</t>
  </si>
  <si>
    <t>-586.638986312584 37.2468571783045 -92.8847037688031</t>
  </si>
  <si>
    <t>-605.624996336796 32.6544471402922 -201.861516311503</t>
  </si>
  <si>
    <t>-618.588769040375 31.8334292752045 -293.823909820028</t>
  </si>
  <si>
    <t>-630.020877343388 32.2508137742986 -376.933970008408</t>
  </si>
  <si>
    <t>-640.600550801946 33.8513604714392 -460.142408857429</t>
  </si>
  <si>
    <t>-655.124058061666 37.4833328159737 -581.883118851137</t>
  </si>
  <si>
    <t>-645.929984624948 44.8015595884085 -659.356555832965</t>
  </si>
  <si>
    <t>-649.724547401372 67.2181954573039 -527.413576264483</t>
  </si>
  <si>
    <t>-625.350773280635 218.141147899035 -496.341141460749</t>
  </si>
  <si>
    <t>-594.732027619386 225.529513862474 -216.008305206401</t>
  </si>
  <si>
    <t>-388.02078775006 122.496842696202 -240.569880791752</t>
  </si>
  <si>
    <t>-647.777954436492 4.56114760028413 -529.515167468701</t>
  </si>
  <si>
    <t>-593.864674776031 129.367707221405 -97.2952098421952</t>
  </si>
  <si>
    <t>-624.425290677459 140.592002121177 317.002571419952</t>
  </si>
  <si>
    <t>-669.613589939158 181.33523780155 776.154247319248</t>
  </si>
  <si>
    <t>-519.799380398857 184.185854030531 834.732381947078</t>
  </si>
  <si>
    <t>-596.104236186121 -71.638700678086 323.061766467145</t>
  </si>
  <si>
    <t>-651.621408939045 -105.731129208739 781.469464396146</t>
  </si>
  <si>
    <t>-498.053906446983 -121.399283661781 826.805476245773</t>
  </si>
  <si>
    <t>9763-20170724T115450.230218600.bin</t>
  </si>
  <si>
    <t>-586.714380352894 37.1911469094825 -92.8486367494938</t>
  </si>
  <si>
    <t>-605.783604673086 32.5613269055912 -201.809226931116</t>
  </si>
  <si>
    <t>-618.817003587615 31.7331732791943 -293.761926820431</t>
  </si>
  <si>
    <t>-630.311593553354 32.152105209042 -376.863243738321</t>
  </si>
  <si>
    <t>-640.953493517075 33.7633992849908 -460.063539367186</t>
  </si>
  <si>
    <t>-655.567609899345 37.4212343489778 -581.792673213908</t>
  </si>
  <si>
    <t>-646.337992222229 44.7757239045739 -659.258340780196</t>
  </si>
  <si>
    <t>-650.195199788303 67.1420392986061 -527.3127990819</t>
  </si>
  <si>
    <t>-626.131343584891 218.108852368181 -496.224374473805</t>
  </si>
  <si>
    <t>-594.589553959526 225.171570631523 -215.985362963493</t>
  </si>
  <si>
    <t>-388.622764812534 121.106194172861 -242.378771003968</t>
  </si>
  <si>
    <t>-648.114893957479 4.49043997144736 -529.445220142434</t>
  </si>
  <si>
    <t>-594.128180701504 129.266617488513 -97.2672232842478</t>
  </si>
  <si>
    <t>-624.515272933305 140.573790992749 317.041104008178</t>
  </si>
  <si>
    <t>-669.589974819496 181.337960257315 776.194935462956</t>
  </si>
  <si>
    <t>-519.770601211711 184.05234968664 834.766488476374</t>
  </si>
  <si>
    <t>-596.008262438515 -71.6256953798811 323.081920744594</t>
  </si>
  <si>
    <t>-651.598030660311 -105.741264672248 781.475240714121</t>
  </si>
  <si>
    <t>-498.020854788834 -121.100166638831 826.884256580255</t>
  </si>
  <si>
    <t>9763-20170724T115450.262303900.bin</t>
  </si>
  <si>
    <t>-586.729381890902 37.2135762876783 -92.8362587215402</t>
  </si>
  <si>
    <t>-605.858644792413 32.5551445444401 -201.785072215539</t>
  </si>
  <si>
    <t>-618.956271374196 31.7199027063812 -293.728512647246</t>
  </si>
  <si>
    <t>-630.514359546272 32.1381340267851 -376.821118075633</t>
  </si>
  <si>
    <t>-641.225090892883 33.7555313131261 -460.012437594523</t>
  </si>
  <si>
    <t>-655.945853759145 37.4292509391514 -581.728213871016</t>
  </si>
  <si>
    <t>-646.713941871664 44.7982744685414 -659.192239329348</t>
  </si>
  <si>
    <t>-650.558916155589 67.1416754869445 -527.24522170905</t>
  </si>
  <si>
    <t>-626.667332333595 218.141225307565 -496.168071109856</t>
  </si>
  <si>
    <t>-594.504940389047 224.805418443239 -215.990010749731</t>
  </si>
  <si>
    <t>-388.891339704409 120.338834818615 -243.527380139399</t>
  </si>
  <si>
    <t>-648.414151923345 4.49272358089024 -529.395476742409</t>
  </si>
  <si>
    <t>-594.264511797914 129.269593459962 -97.261738010448</t>
  </si>
  <si>
    <t>-624.51061856865 140.607317880026 317.056006458552</t>
  </si>
  <si>
    <t>-669.556805488258 181.42394481563 776.217197961223</t>
  </si>
  <si>
    <t>-519.737409588746 184.095981261145 834.790448485499</t>
  </si>
  <si>
    <t>-595.897717751473 -71.5742564282386 323.104170880689</t>
  </si>
  <si>
    <t>-651.554810583899 -105.762917673034 781.475618360459</t>
  </si>
  <si>
    <t>-498.010892919926 -121.11335451202 826.999855809064</t>
  </si>
  <si>
    <t>9763-20170724T115450.327001400.bin</t>
  </si>
  <si>
    <t>-586.623911577924 37.3268828121352 -92.7440488918942</t>
  </si>
  <si>
    <t>-605.905135519536 32.6210705544484 -201.664097766291</t>
  </si>
  <si>
    <t>-619.15009656847 31.765857368749 -293.586263233687</t>
  </si>
  <si>
    <t>-630.848414854955 32.1727869992569 -376.659275398505</t>
  </si>
  <si>
    <t>-641.706500736421 33.7859367418284 -459.831413640821</t>
  </si>
  <si>
    <t>-656.650109086933 37.4615324265442 -581.520022138415</t>
  </si>
  <si>
    <t>-647.40502529608 44.8447242858674 -658.981188301098</t>
  </si>
  <si>
    <t>-651.187537859388 67.1721680120302 -527.043661108397</t>
  </si>
  <si>
    <t>-627.503556593592 218.220470526603 -496.069798659535</t>
  </si>
  <si>
    <t>-594.234256539289 224.359546093571 -216.008988640318</t>
  </si>
  <si>
    <t>-389.522949848583 118.962495673196 -246.558617622706</t>
  </si>
  <si>
    <t>-648.998396192774 4.52528467126922 -529.204680884425</t>
  </si>
  <si>
    <t>-594.386832039191 129.337140365318 -97.1773125211625</t>
  </si>
  <si>
    <t>-624.453186512331 140.666228258458 317.153849688709</t>
  </si>
  <si>
    <t>-669.531272636281 181.448996096031 776.301114125852</t>
  </si>
  <si>
    <t>-519.711249243456 184.119904155852 834.872871642062</t>
  </si>
  <si>
    <t>-595.473146573255 -71.4114836433055 323.213957338908</t>
  </si>
  <si>
    <t>-651.248411632708 -105.809684026382 781.562424080874</t>
  </si>
  <si>
    <t>-497.835454743978 -120.783170037987 827.650292356336</t>
  </si>
  <si>
    <t>9763-20170724T115450.359076200.bin</t>
  </si>
  <si>
    <t>-586.514793162174 37.4476181456698 -92.6966218314615</t>
  </si>
  <si>
    <t>-605.892172720552 32.7150295371855 -201.598545196737</t>
  </si>
  <si>
    <t>-619.209958430483 31.8534025707713 -293.51006764018</t>
  </si>
  <si>
    <t>-630.970554128528 32.260296583541 -376.574182844686</t>
  </si>
  <si>
    <t>-641.88730582863 33.8795559093833 -459.738799973034</t>
  </si>
  <si>
    <t>-656.912625857121 37.5707167578394 -581.416747104468</t>
  </si>
  <si>
    <t>-647.655461834366 44.9508925286939 -658.876795577107</t>
  </si>
  <si>
    <t>-651.423220380178 67.2739943184311 -526.938944843135</t>
  </si>
  <si>
    <t>-627.72638346529 218.333879581325 -496.024705681541</t>
  </si>
  <si>
    <t>-593.886054194055 224.443599422304 -216.031638120075</t>
  </si>
  <si>
    <t>-389.666584791782 118.457514159042 -247.810366647353</t>
  </si>
  <si>
    <t>-649.216089497186 4.62801223051224 -529.111855875147</t>
  </si>
  <si>
    <t>-594.389230061309 129.461511542785 -97.12925426919</t>
  </si>
  <si>
    <t>-624.338934638563 140.763376957397 317.211081124403</t>
  </si>
  <si>
    <t>-669.494856573777 181.54869605635 776.3572154398</t>
  </si>
  <si>
    <t>-519.671567205387 184.044031585273 834.928364609556</t>
  </si>
  <si>
    <t>-595.247215508598 -71.2764174723523 323.284077045902</t>
  </si>
  <si>
    <t>-651.069769580601 -105.86602116575 781.615616158228</t>
  </si>
  <si>
    <t>-497.765455835328 -120.862574164579 828.056071567774</t>
  </si>
  <si>
    <t>9763-20170724T115450.428778000.bin</t>
  </si>
  <si>
    <t>-586.477746365618 37.6369387383406 -92.5479789054467</t>
  </si>
  <si>
    <t>-606.045562267671 32.8984435123175 -201.415490817556</t>
  </si>
  <si>
    <t>-619.526189301752 32.0384425189136 -293.30328006373</t>
  </si>
  <si>
    <t>-631.434817199015 32.4493774828431 -376.346315573129</t>
  </si>
  <si>
    <t>-642.50083162686 34.0752941019387 -459.490973509765</t>
  </si>
  <si>
    <t>-657.745765978508 37.7791056479987 -581.141395712818</t>
  </si>
  <si>
    <t>-648.500022624083 45.1069161003522 -658.607586360275</t>
  </si>
  <si>
    <t>-652.182219087262 67.475781080376 -526.667489137597</t>
  </si>
  <si>
    <t>-628.620950615867 218.574037740104 -495.82947826821</t>
  </si>
  <si>
    <t>-593.394244101682 224.263726758331 -215.99861416025</t>
  </si>
  <si>
    <t>-389.896750036792 117.315790377163 -249.156321015601</t>
  </si>
  <si>
    <t>-649.930617348521 4.83202238790182 -528.856914470869</t>
  </si>
  <si>
    <t>-594.497351567451 129.639450980441 -96.9832638298165</t>
  </si>
  <si>
    <t>-624.220703863415 140.812181644226 317.376812040654</t>
  </si>
  <si>
    <t>-669.496418847706 181.448587285515 776.508492375354</t>
  </si>
  <si>
    <t>-519.668057828631 184.254368668365 835.052556219994</t>
  </si>
  <si>
    <t>-594.87629847374 -71.0241277354776 323.432895339797</t>
  </si>
  <si>
    <t>-650.742525253047 -105.876230418173 781.725794733416</t>
  </si>
  <si>
    <t>-497.562332448079 -120.192429490294 828.786384156895</t>
  </si>
  <si>
    <t>9763-20170724T115450.461863700.bin</t>
  </si>
  <si>
    <t>-586.507413534119 37.7196194550593 -92.4653276764142</t>
  </si>
  <si>
    <t>-606.193071824495 32.9868209683632 -201.311938862958</t>
  </si>
  <si>
    <t>-619.74901443811 32.1458526631957 -293.188886163784</t>
  </si>
  <si>
    <t>-631.716161802283 32.5793181380086 -376.223340370255</t>
  </si>
  <si>
    <t>-642.831225834808 34.233325708447 -459.360861096299</t>
  </si>
  <si>
    <t>-658.137354393178 37.9846724218708 -581.002119322766</t>
  </si>
  <si>
    <t>-648.903594810067 45.2896586226343 -658.471976921285</t>
  </si>
  <si>
    <t>-652.557433467908 67.6596759617364 -526.518114801983</t>
  </si>
  <si>
    <t>-628.959866864169 218.754796847697 -495.693025119379</t>
  </si>
  <si>
    <t>-593.379891259739 224.117858874837 -215.900375604585</t>
  </si>
  <si>
    <t>-390.070212826551 117.074629227974 -249.892365575446</t>
  </si>
  <si>
    <t>-650.284866892233 5.01765994546599 -528.735928183089</t>
  </si>
  <si>
    <t>-594.560536053019 129.7635143194 -96.8994742144785</t>
  </si>
  <si>
    <t>-624.165397424472 140.879346958118 317.470618226884</t>
  </si>
  <si>
    <t>-669.462109378472 181.546129150874 776.590897296049</t>
  </si>
  <si>
    <t>-519.624172276472 184.218941199505 835.116653172347</t>
  </si>
  <si>
    <t>-594.703392696283 -70.9173401824614 323.506963308459</t>
  </si>
  <si>
    <t>-650.605244424714 -105.943958679662 781.781611242867</t>
  </si>
  <si>
    <t>-497.539162626357 -120.538006070341 829.127263761481</t>
  </si>
  <si>
    <t>9763-20170724T115450.532640000.bin</t>
  </si>
  <si>
    <t>-586.593619231316 37.9102210355686 -92.347902901296</t>
  </si>
  <si>
    <t>-606.49523625069 33.1832801660807 -201.155527122543</t>
  </si>
  <si>
    <t>-620.178473050197 32.3643507101056 -293.013658364641</t>
  </si>
  <si>
    <t>-632.238242514696 32.8243383520175 -376.034649466882</t>
  </si>
  <si>
    <t>-643.423511913487 34.5111214732542 -459.16220884815</t>
  </si>
  <si>
    <t>-658.807536621583 38.3169236863414 -580.791933532789</t>
  </si>
  <si>
    <t>-649.626459742861 45.5648449300547 -658.27346328703</t>
  </si>
  <si>
    <t>-653.192244228632 67.967566756558 -526.298184887431</t>
  </si>
  <si>
    <t>-629.517756435632 219.0529893103 -495.472858278592</t>
  </si>
  <si>
    <t>-592.989068867423 223.82408108036 -215.792009854079</t>
  </si>
  <si>
    <t>-389.852477360245 116.956562711085 -251.336141217976</t>
  </si>
  <si>
    <t>-650.922075959869 5.32638424258698 -528.545380472683</t>
  </si>
  <si>
    <t>-594.735114014463 130.047173291204 -96.7710311028587</t>
  </si>
  <si>
    <t>-623.975275541331 140.85181835372 317.633195839916</t>
  </si>
  <si>
    <t>-669.401699714119 181.565969036849 776.73673693279</t>
  </si>
  <si>
    <t>-519.558197975118 184.151084001613 835.252322311477</t>
  </si>
  <si>
    <t>-594.372664186131 -70.613731752424 323.62599870257</t>
  </si>
  <si>
    <t>-650.423701320609 -105.933933091152 781.845269460344</t>
  </si>
  <si>
    <t>-497.46877477607 -120.392567769357 829.590036145629</t>
  </si>
  <si>
    <t>9763-20170724T115450.561716800.bin</t>
  </si>
  <si>
    <t>-586.646350309949 38.0028977004574 -92.2943798068578</t>
  </si>
  <si>
    <t>-606.659676669155 33.2791892191372 -201.08162398968</t>
  </si>
  <si>
    <t>-620.421299911574 32.486075492963 -292.928360666063</t>
  </si>
  <si>
    <t>-632.545371765206 32.978104977969 -375.93970095791</t>
  </si>
  <si>
    <t>-643.788344248803 34.7060290042771 -459.058550977633</t>
  </si>
  <si>
    <t>-659.249322196901 38.5820689532586 -580.676305079125</t>
  </si>
  <si>
    <t>-650.117758896813 45.836906790588 -658.162993519294</t>
  </si>
  <si>
    <t>-653.609313677909 68.2007160048022 -526.167855062842</t>
  </si>
  <si>
    <t>-629.869103054568 219.249318402414 -495.243004474046</t>
  </si>
  <si>
    <t>-592.798693746459 223.771524513664 -215.629257736107</t>
  </si>
  <si>
    <t>-389.759382710717 116.975738199575 -251.936595071877</t>
  </si>
  <si>
    <t>-651.321056214668 5.56184770507002 -528.455081557618</t>
  </si>
  <si>
    <t>-594.857665517822 130.11970238164 -96.7027859812277</t>
  </si>
  <si>
    <t>-623.922153782131 140.839656719438 317.716002616587</t>
  </si>
  <si>
    <t>-669.37432230549 181.565367312347 776.820015987839</t>
  </si>
  <si>
    <t>-519.529231517296 184.225012653624 835.328092693483</t>
  </si>
  <si>
    <t>-594.165143780398 -70.4393325672052 323.674908539806</t>
  </si>
  <si>
    <t>-650.363206194262 -105.904602934482 781.87273288803</t>
  </si>
  <si>
    <t>-497.417590398654 -120.03552807279 829.745346615612</t>
  </si>
  <si>
    <t>9763-20170724T115450.626589200.bin</t>
  </si>
  <si>
    <t>-586.812978654388 38.1869426264993 -92.1689753752728</t>
  </si>
  <si>
    <t>-607.081838091731 33.4848479736661 -200.909758809427</t>
  </si>
  <si>
    <t>-621.020221951316 32.7416142047305 -292.730277189993</t>
  </si>
  <si>
    <t>-633.288357818811 33.2906444554139 -375.7202587746</t>
  </si>
  <si>
    <t>-644.659957154051 35.0878711201035 -458.820055989527</t>
  </si>
  <si>
    <t>-660.292091225428 39.0787143622142 -580.412272921478</t>
  </si>
  <si>
    <t>-651.291379374331 46.3907903697011 -657.908859781778</t>
  </si>
  <si>
    <t>-654.613791398202 68.6443947613097 -525.878942909163</t>
  </si>
  <si>
    <t>-630.906106992936 219.654300719853 -494.709237145505</t>
  </si>
  <si>
    <t>-592.399727891922 223.707116316822 -215.282291457028</t>
  </si>
  <si>
    <t>-389.666803910676 116.908725825455 -253.255917883785</t>
  </si>
  <si>
    <t>-652.251864532784 6.01082619960061 -528.238394053105</t>
  </si>
  <si>
    <t>-595.156934753149 130.343126401285 -96.5300283144726</t>
  </si>
  <si>
    <t>-623.8402416626 140.745519399263 317.923390836267</t>
  </si>
  <si>
    <t>-669.32146078121 181.571606243659 777.008787176163</t>
  </si>
  <si>
    <t>-519.458951411708 184.215039364629 835.473026608489</t>
  </si>
  <si>
    <t>-593.714250729219 -70.1278175413836 323.770125265415</t>
  </si>
  <si>
    <t>-650.331901191242 -105.948996431085 781.887109588277</t>
  </si>
  <si>
    <t>-497.465207490656 -120.388422708537 829.919435981756</t>
  </si>
  <si>
    <t>9763-20170724T115450.664689800.bin</t>
  </si>
  <si>
    <t>-586.872694244013 38.2539939521025 -92.1132997515032</t>
  </si>
  <si>
    <t>-607.281299649771 33.5733784843119 -200.828831491374</t>
  </si>
  <si>
    <t>-621.328649829557 32.8664246968121 -292.633110246759</t>
  </si>
  <si>
    <t>-633.691915792735 33.4549765110617 -375.60863662391</t>
  </si>
  <si>
    <t>-645.155647014985 35.2993450587981 -458.69475814966</t>
  </si>
  <si>
    <t>-660.919295445535 39.3673690638918 -580.267280615589</t>
  </si>
  <si>
    <t>-652.005743704548 46.7413041932846 -657.7681966989</t>
  </si>
  <si>
    <t>-655.224608873377 68.896491344575 -525.716036645566</t>
  </si>
  <si>
    <t>-631.59098357472 219.889370312857 -494.411738298677</t>
  </si>
  <si>
    <t>-592.350753459647 223.537413468402 -215.081193359837</t>
  </si>
  <si>
    <t>-389.705439021956 116.708395101055 -253.434415274808</t>
  </si>
  <si>
    <t>-652.780098833716 6.26816219570401 -528.128717812173</t>
  </si>
  <si>
    <t>-595.243180232858 130.417305128393 -96.4468419923935</t>
  </si>
  <si>
    <t>-623.784519800185 140.654645487235 318.020551867963</t>
  </si>
  <si>
    <t>-669.304362796601 181.513995143485 777.104905084512</t>
  </si>
  <si>
    <t>-519.4322149984 184.160473151593 835.544362070802</t>
  </si>
  <si>
    <t>-593.515548203684 -69.979796447908 323.809601770115</t>
  </si>
  <si>
    <t>-650.288298595391 -105.957639266693 781.895014037399</t>
  </si>
  <si>
    <t>-497.451430621678 -120.320250526667 830.045091842764</t>
  </si>
  <si>
    <t>9763-20170724T115450.728863700.bin</t>
  </si>
  <si>
    <t>-586.994602942935 38.4921733642275 -92.0329319771524</t>
  </si>
  <si>
    <t>-607.649721865758 33.8190379102659 -200.702339640058</t>
  </si>
  <si>
    <t>-621.84988085506 33.1652353075926 -292.483393972711</t>
  </si>
  <si>
    <t>-634.3296250794 33.8195954321609 -375.440939829619</t>
  </si>
  <si>
    <t>-645.8887925024 35.7488041125368 -458.51199124183</t>
  </si>
  <si>
    <t>-661.769188418604 39.9622509759452 -580.06443536859</t>
  </si>
  <si>
    <t>-653.001291990368 47.4546211971017 -657.570606206854</t>
  </si>
  <si>
    <t>-656.112286934678 69.4219536334449 -525.471689342808</t>
  </si>
  <si>
    <t>-632.688684860496 220.40608972467 -493.959339549369</t>
  </si>
  <si>
    <t>-592.418777883305 223.188195729884 -214.765571432431</t>
  </si>
  <si>
    <t>-389.994424409335 116.078252929633 -253.500203575035</t>
  </si>
  <si>
    <t>-653.489743983289 6.80484531411935 -527.984822656873</t>
  </si>
  <si>
    <t>-595.459864784314 130.646154187174 -96.2999503530004</t>
  </si>
  <si>
    <t>-623.664595748014 140.650442910399 318.196070322247</t>
  </si>
  <si>
    <t>-669.250812136672 181.539601619757 777.303526605143</t>
  </si>
  <si>
    <t>-519.368280770205 184.223286422001 835.714506156185</t>
  </si>
  <si>
    <t>-593.107364047925 -69.6453837107797 323.896954823276</t>
  </si>
  <si>
    <t>-650.220506381185 -105.953292658457 781.928773449121</t>
  </si>
  <si>
    <t>-497.41478329597 -119.962349004226 830.281402799857</t>
  </si>
  <si>
    <t>9763-20170724T115450.760949300.bin</t>
  </si>
  <si>
    <t>-587.048331361163 38.61104795754 -91.9632136730513</t>
  </si>
  <si>
    <t>-607.810626171137 33.9572278447588 -200.61297559969</t>
  </si>
  <si>
    <t>-622.054576014953 33.3321140658088 -292.387335433212</t>
  </si>
  <si>
    <t>-634.555756643374 34.0171088262832 -375.341581216778</t>
  </si>
  <si>
    <t>-646.118628241306 35.9823485837558 -458.411305714289</t>
  </si>
  <si>
    <t>-661.985413700998 40.254319771117 -579.963332689912</t>
  </si>
  <si>
    <t>-653.291808237151 47.8003373116896 -657.472615788908</t>
  </si>
  <si>
    <t>-656.388014535459 69.6852157027413 -525.348866190358</t>
  </si>
  <si>
    <t>-633.245876182078 220.688098851175 -493.733548246405</t>
  </si>
  <si>
    <t>-592.412750117211 223.096665109577 -214.618152014091</t>
  </si>
  <si>
    <t>-390.027692434117 115.914001565275 -253.356844479044</t>
  </si>
  <si>
    <t>-653.658431875278 7.07435626320807 -527.905723343806</t>
  </si>
  <si>
    <t>-595.517515557939 130.77443217022 -96.2091261184892</t>
  </si>
  <si>
    <t>-623.566951661645 140.661544039338 318.300273356237</t>
  </si>
  <si>
    <t>-669.23263349487 181.522573641582 777.400357110661</t>
  </si>
  <si>
    <t>-519.344824676218 184.231317778549 835.796714939059</t>
  </si>
  <si>
    <t>-592.914682798518 -69.4764590304628 323.944500833016</t>
  </si>
  <si>
    <t>-650.200588792679 -105.960936448467 781.943895633021</t>
  </si>
  <si>
    <t>-497.427509952799 -120.046308792493 830.377472639464</t>
  </si>
  <si>
    <t>9763-20170724T115450.828134900.bin</t>
  </si>
  <si>
    <t>-587.102674102054 38.966207169105 -91.8052237298025</t>
  </si>
  <si>
    <t>-608.0703423757 34.3420894783605 -200.416828489653</t>
  </si>
  <si>
    <t>-622.405031900789 33.7807677507649 -292.177601204967</t>
  </si>
  <si>
    <t>-634.956122122991 34.5378303555424 -375.123431858709</t>
  </si>
  <si>
    <t>-646.53758562984 36.5913655854531 -458.188430956951</t>
  </si>
  <si>
    <t>-662.397821763608 41.0107979002516 -579.736222677074</t>
  </si>
  <si>
    <t>-653.906509133958 48.6904213548924 -657.254772162235</t>
  </si>
  <si>
    <t>-656.923425647403 70.3692363758607 -525.07036008996</t>
  </si>
  <si>
    <t>-634.263036584624 221.367606114017 -493.064957190497</t>
  </si>
  <si>
    <t>-592.793748295895 223.181823917097 -214.038775518992</t>
  </si>
  <si>
    <t>-390.179074021195 116.246325991152 -252.256860462898</t>
  </si>
  <si>
    <t>-653.953573049662 7.77381436734186 -527.733856840377</t>
  </si>
  <si>
    <t>-595.681597240962 131.169153432877 -96.0202879362221</t>
  </si>
  <si>
    <t>-623.436410395536 140.810286102966 318.514817051903</t>
  </si>
  <si>
    <t>-669.165559636961 181.622672260396 777.603758814345</t>
  </si>
  <si>
    <t>-519.260498084666 184.017730544027 835.969555028624</t>
  </si>
  <si>
    <t>-592.526612553191 -69.0282989040261 324.056171021755</t>
  </si>
  <si>
    <t>-650.106446402937 -105.90863297605 781.983696254901</t>
  </si>
  <si>
    <t>-497.39360421512 -119.812861664015 830.659020464386</t>
  </si>
  <si>
    <t>9763-20170724T115450.862227700.bin</t>
  </si>
  <si>
    <t>-587.073665995234 39.1720147284479 -91.7195035109575</t>
  </si>
  <si>
    <t>-608.146674023224 34.5736625768925 -200.311806338288</t>
  </si>
  <si>
    <t>-622.517153250085 34.0470333469555 -292.067043784445</t>
  </si>
  <si>
    <t>-635.079751150703 34.8405411443134 -375.010918415736</t>
  </si>
  <si>
    <t>-646.652446863211 36.9361830611626 -458.076029987932</t>
  </si>
  <si>
    <t>-662.477807239021 41.4238257235832 -579.625850250346</t>
  </si>
  <si>
    <t>-654.095918247572 49.1815599991289 -657.148592117813</t>
  </si>
  <si>
    <t>-657.081373395711 70.7483527457198 -524.934076462803</t>
  </si>
  <si>
    <t>-634.709627145742 221.763153751527 -492.806704306717</t>
  </si>
  <si>
    <t>-593.278104770382 223.315863777587 -213.773429924885</t>
  </si>
  <si>
    <t>-390.423299566812 116.763464002947 -251.787010381029</t>
  </si>
  <si>
    <t>-653.986160806626 8.16106426399642 -527.647725731527</t>
  </si>
  <si>
    <t>-595.686703893107 131.376627416001 -95.9087357501485</t>
  </si>
  <si>
    <t>-623.476302121533 140.844324611303 318.628031041131</t>
  </si>
  <si>
    <t>-669.154293368082 181.61295279789 777.734977707653</t>
  </si>
  <si>
    <t>-519.232886660017 183.988134482839 836.059640871139</t>
  </si>
  <si>
    <t>-592.314096963017 -68.8056402897053 324.125415351491</t>
  </si>
  <si>
    <t>-650.08799355317 -105.889899539183 782.008870727596</t>
  </si>
  <si>
    <t>-497.399677348763 -119.802517929548 830.758615078301</t>
  </si>
  <si>
    <t>9763-20170724T115450.928401600.bin</t>
  </si>
  <si>
    <t>-587.11562550748 39.4907564132491 -91.5919079788902</t>
  </si>
  <si>
    <t>-608.272816652286 34.9287065799144 -200.169448618656</t>
  </si>
  <si>
    <t>-622.579626505446 34.4537360254644 -291.935014077574</t>
  </si>
  <si>
    <t>-635.031251797378 35.3009191973188 -374.894950824173</t>
  </si>
  <si>
    <t>-646.439726539819 37.4587933390646 -457.981370743076</t>
  </si>
  <si>
    <t>-661.967077008722 42.0466661746839 -579.565799295863</t>
  </si>
  <si>
    <t>-653.705957428815 49.932997699945 -657.088437972594</t>
  </si>
  <si>
    <t>-656.792846845077 71.3210261567615 -524.825571958788</t>
  </si>
  <si>
    <t>-634.830341167964 222.346446071778 -492.455436024591</t>
  </si>
  <si>
    <t>-593.853552806998 223.654812158474 -213.353878294811</t>
  </si>
  <si>
    <t>-390.536315133236 117.795566201031 -250.829708325968</t>
  </si>
  <si>
    <t>-653.514778088687 8.74599845301395 -527.605412212085</t>
  </si>
  <si>
    <t>-595.837996108873 131.705147126912 -95.7024171529666</t>
  </si>
  <si>
    <t>-623.509188243551 140.983483185313 318.84656435023</t>
  </si>
  <si>
    <t>-669.117892444345 181.632569156316 777.978436840274</t>
  </si>
  <si>
    <t>-519.170349093346 184.042093977199 836.234322421936</t>
  </si>
  <si>
    <t>-592.006622078666 -68.4768156999842 324.230291416661</t>
  </si>
  <si>
    <t>-650.151961956662 -105.866861987749 782.01876022761</t>
  </si>
  <si>
    <t>-497.485110688473 -120.027466009191 830.764430551198</t>
  </si>
  <si>
    <t>9763-20170724T115450.960491500.bin</t>
  </si>
  <si>
    <t>-587.088333769463 39.6831635299368 -91.5289539811272</t>
  </si>
  <si>
    <t>-608.227499672938 35.1306879485555 -200.110351634484</t>
  </si>
  <si>
    <t>-622.45524701595 34.672834386922 -291.888383365019</t>
  </si>
  <si>
    <t>-634.810153284449 35.5386091039807 -374.862661154221</t>
  </si>
  <si>
    <t>-646.09677746226 37.7188110815609 -457.965002390933</t>
  </si>
  <si>
    <t>-661.418479118553 42.3437131919909 -579.574137426637</t>
  </si>
  <si>
    <t>-653.176682974685 50.2974186765202 -657.09200312709</t>
  </si>
  <si>
    <t>-656.375313786263 71.5991937546171 -524.811641927946</t>
  </si>
  <si>
    <t>-634.634752906404 222.628265988682 -492.344525426608</t>
  </si>
  <si>
    <t>-593.949131844745 223.930553539356 -213.200267192386</t>
  </si>
  <si>
    <t>-390.459083877337 118.328033717295 -250.461879025829</t>
  </si>
  <si>
    <t>-653.015553834628 9.02957559760966 -527.61438426188</t>
  </si>
  <si>
    <t>-595.782624066466 131.964041429715 -95.6241679096656</t>
  </si>
  <si>
    <t>-623.477590967107 141.135957112293 318.925615403904</t>
  </si>
  <si>
    <t>-669.08176812781 181.737831109535 778.074885076933</t>
  </si>
  <si>
    <t>-519.123171856209 183.99089967394 836.3087367491</t>
  </si>
  <si>
    <t>-591.985340111883 -68.364494402585 324.260894304784</t>
  </si>
  <si>
    <t>-650.233505791428 -105.870087919565 782.010447656724</t>
  </si>
  <si>
    <t>-497.541865991631 -120.060364544539 830.669643738019</t>
  </si>
  <si>
    <t>9763-20170724T115451.030301600.bin</t>
  </si>
  <si>
    <t>-587.064293731651 40.0450580186866 -91.4314757657794</t>
  </si>
  <si>
    <t>-608.195017439355 35.5359434137333 -200.016304027133</t>
  </si>
  <si>
    <t>-622.292158856146 35.1085096125776 -291.814548167157</t>
  </si>
  <si>
    <t>-634.48026890244 35.9998611831409 -374.81336142855</t>
  </si>
  <si>
    <t>-645.551536845041 38.2039171525955 -457.943969965474</t>
  </si>
  <si>
    <t>-660.505555225531 42.8623068067698 -579.597559922677</t>
  </si>
  <si>
    <t>-652.241039924597 50.9128904917079 -657.102945308942</t>
  </si>
  <si>
    <t>-655.662698049394 72.1006629734652 -524.807853768696</t>
  </si>
  <si>
    <t>-634.192308014359 223.137419661823 -492.196352061341</t>
  </si>
  <si>
    <t>-594.175011580433 224.386209675599 -212.955225850951</t>
  </si>
  <si>
    <t>-390.377122481428 119.067921799018 -249.328315489062</t>
  </si>
  <si>
    <t>-652.225008981048 9.53590953921002 -527.62614473819</t>
  </si>
  <si>
    <t>-595.600234314758 132.366578388799 -95.4861752518007</t>
  </si>
  <si>
    <t>-623.429002934031 141.365639148941 319.058452361909</t>
  </si>
  <si>
    <t>-669.066800659987 181.758851640737 778.235334229497</t>
  </si>
  <si>
    <t>-519.081997590007 184.168189261703 836.395348489967</t>
  </si>
  <si>
    <t>-592.157565621025 -68.1992987888862 324.279984863808</t>
  </si>
  <si>
    <t>-650.462571895392 -105.845951069359 781.998725936188</t>
  </si>
  <si>
    <t>-497.672256506182 -119.978764297755 830.364063162698</t>
  </si>
  <si>
    <t>9763-20170724T115451.058376300.bin</t>
  </si>
  <si>
    <t>-587.136827252627 40.1963131667176 -91.4251806858715</t>
  </si>
  <si>
    <t>-608.254074538314 35.7104760024381 -200.013613904799</t>
  </si>
  <si>
    <t>-622.291021918578 35.3018892051091 -291.821141434268</t>
  </si>
  <si>
    <t>-634.40560172514 36.2105279044595 -374.830521273211</t>
  </si>
  <si>
    <t>-645.384171953743 38.4324147827399 -457.972868146233</t>
  </si>
  <si>
    <t>-660.181943810168 43.1170398836027 -579.64465414396</t>
  </si>
  <si>
    <t>-651.874851716808 51.1978603289215 -657.142368740972</t>
  </si>
  <si>
    <t>-655.410244671293 72.3434630888651 -524.842395749232</t>
  </si>
  <si>
    <t>-633.961306110104 223.376351961358 -492.194495335067</t>
  </si>
  <si>
    <t>-594.411067821516 224.591191086583 -212.886492408114</t>
  </si>
  <si>
    <t>-390.577700517682 119.208861399201 -248.873410240864</t>
  </si>
  <si>
    <t>-651.967397727031 9.7794139015557 -527.669925545672</t>
  </si>
  <si>
    <t>-595.520341706303 132.578859266501 -95.4601216890902</t>
  </si>
  <si>
    <t>-623.440572816626 141.507832932801 319.079760519639</t>
  </si>
  <si>
    <t>-669.067879049663 181.747779195394 778.281368512643</t>
  </si>
  <si>
    <t>-519.0677067074 184.050370755935 836.406014568671</t>
  </si>
  <si>
    <t>-592.362817938509 -68.1359710234844 324.264351396266</t>
  </si>
  <si>
    <t>-650.678948079693 -105.822009247545 781.98286194311</t>
  </si>
  <si>
    <t>-497.790508834657 -120.004636476664 830.022416476286</t>
  </si>
  <si>
    <t>9763-20170724T115451.127132700.bin</t>
  </si>
  <si>
    <t>-587.457592777525 40.45906378991 -91.5164210567524</t>
  </si>
  <si>
    <t>-608.521614060998 36.0285280685396 -200.11734992233</t>
  </si>
  <si>
    <t>-622.419011275088 35.6452578033989 -291.946377444566</t>
  </si>
  <si>
    <t>-634.369974185853 36.5705155364901 -374.97922989507</t>
  </si>
  <si>
    <t>-645.147475021806 38.8015697791579 -458.147764506072</t>
  </si>
  <si>
    <t>-659.610472705901 43.4916009830492 -579.859481984293</t>
  </si>
  <si>
    <t>-651.146023544811 51.5542785627708 -657.342092228548</t>
  </si>
  <si>
    <t>-654.948189636995 72.7180353658446 -525.04778026054</t>
  </si>
  <si>
    <t>-633.393420020963 223.756517826376 -492.472746752262</t>
  </si>
  <si>
    <t>-594.951262785895 224.966838585968 -213.010208867056</t>
  </si>
  <si>
    <t>-391.142494467001 119.137884187977 -247.806071510185</t>
  </si>
  <si>
    <t>-651.580278840514 10.1492788174428 -527.859136757761</t>
  </si>
  <si>
    <t>-595.44518971585 132.945855284279 -95.5148979076471</t>
  </si>
  <si>
    <t>-623.560271667901 141.728349677483 319.014964500812</t>
  </si>
  <si>
    <t>-669.053858768446 181.806931265197 778.27033971679</t>
  </si>
  <si>
    <t>-519.033357837401 184.069282881028 836.344025700145</t>
  </si>
  <si>
    <t>-592.980273662578 -68.0231227528204 324.156347910998</t>
  </si>
  <si>
    <t>-651.314827922075 -105.749180081448 781.86037419277</t>
  </si>
  <si>
    <t>-498.184264779275 -120.629343152788 828.907477924577</t>
  </si>
  <si>
    <t>9763-20170724T115451.160222000.bin</t>
  </si>
  <si>
    <t>-587.693314648302 40.6227904256205 -91.5877503255869</t>
  </si>
  <si>
    <t>-608.721332738381 36.2217169266185 -200.196826618292</t>
  </si>
  <si>
    <t>-622.557783797215 35.846379005171 -292.035019541101</t>
  </si>
  <si>
    <t>-634.44149475908 36.772850584653 -375.077582443531</t>
  </si>
  <si>
    <t>-645.13935253124 38.9986388544687 -458.256468839514</t>
  </si>
  <si>
    <t>-659.472322173923 43.6735620562288 -579.984212572436</t>
  </si>
  <si>
    <t>-650.893054035983 51.6920727592076 -657.458760361061</t>
  </si>
  <si>
    <t>-654.828198305477 72.9091889220686 -525.175766164778</t>
  </si>
  <si>
    <t>-633.113893018291 223.937465024673 -492.66128395226</t>
  </si>
  <si>
    <t>-595.288666866053 225.075635749647 -213.114337045542</t>
  </si>
  <si>
    <t>-391.524688071972 118.939318269529 -247.229623571549</t>
  </si>
  <si>
    <t>-651.538102611182 10.3352029877772 -527.966437499482</t>
  </si>
  <si>
    <t>-595.457725452004 133.171205043613 -95.5751259558104</t>
  </si>
  <si>
    <t>-623.678698317571 141.893432949612 318.948850386504</t>
  </si>
  <si>
    <t>-669.05629436242 181.849889057292 778.232546144943</t>
  </si>
  <si>
    <t>-519.022975899268 184.056318358737 836.275248702022</t>
  </si>
  <si>
    <t>-593.348033862255 -67.9392589275576 324.066412697107</t>
  </si>
  <si>
    <t>-651.704797847841 -105.679683387193 781.776743201698</t>
  </si>
  <si>
    <t>-498.414011287974 -120.930554416365 828.178886536805</t>
  </si>
  <si>
    <t>9763-20170724T115451.230484500.bin</t>
  </si>
  <si>
    <t>-588.169661772226 41.0159524502549 -91.7940929229756</t>
  </si>
  <si>
    <t>-609.09460799443 36.6667304426612 -200.425203064206</t>
  </si>
  <si>
    <t>-622.795956799613 36.3046913911212 -292.283714094105</t>
  </si>
  <si>
    <t>-634.538213945299 37.2333019839648 -375.346300243931</t>
  </si>
  <si>
    <t>-645.074942191852 39.4495352274384 -458.546100652686</t>
  </si>
  <si>
    <t>-659.15061215418 44.0976369746304 -580.304905998651</t>
  </si>
  <si>
    <t>-650.30376594865 52.0011621830236 -657.761071622007</t>
  </si>
  <si>
    <t>-654.530765521505 73.3504934724697 -525.50360712939</t>
  </si>
  <si>
    <t>-632.403759385697 224.338962630962 -493.115224960307</t>
  </si>
  <si>
    <t>-595.714026270455 225.542472489141 -213.417178613814</t>
  </si>
  <si>
    <t>-392.045584930429 118.761538462645 -246.059556702865</t>
  </si>
  <si>
    <t>-651.417887852659 10.7656828249378 -528.252511417144</t>
  </si>
  <si>
    <t>-595.500536126983 133.629294525481 -95.7655189532882</t>
  </si>
  <si>
    <t>-623.981852903858 142.218462696131 318.743434152309</t>
  </si>
  <si>
    <t>-669.067425096833 181.89965999687 778.089699737374</t>
  </si>
  <si>
    <t>-519.016059416443 184.069011745331 836.087118525165</t>
  </si>
  <si>
    <t>-594.197681344151 -67.7160494689174 323.843479965628</t>
  </si>
  <si>
    <t>-652.34275050294 -105.524936245664 781.593673489526</t>
  </si>
  <si>
    <t>-498.775231553053 -121.183173125248 826.933054634748</t>
  </si>
  <si>
    <t>9763-20170724T115451.262566600.bin</t>
  </si>
  <si>
    <t>-588.364183621292 41.2124301784092 -91.9107302075646</t>
  </si>
  <si>
    <t>-609.21421277661 36.8918838486713 -200.55737628916</t>
  </si>
  <si>
    <t>-622.845202654505 36.531135630428 -292.426319121723</t>
  </si>
  <si>
    <t>-634.521126305558 37.452834397938 -375.498385264842</t>
  </si>
  <si>
    <t>-644.988534170122 39.6531328254603 -458.707427583875</t>
  </si>
  <si>
    <t>-658.959592721005 44.2677492576743 -580.479334078716</t>
  </si>
  <si>
    <t>-649.969416735919 52.0946417216051 -657.927030015307</t>
  </si>
  <si>
    <t>-654.333189106673 73.5385603957343 -525.688354950559</t>
  </si>
  <si>
    <t>-632.00049202149 224.527183837492 -493.418104391588</t>
  </si>
  <si>
    <t>-595.781913020299 225.741563214667 -213.658775254266</t>
  </si>
  <si>
    <t>-392.203826566484 118.643524813035 -245.822545426226</t>
  </si>
  <si>
    <t>-651.325231821841 10.9472257741349 -528.405454310147</t>
  </si>
  <si>
    <t>-595.470708529522 133.865327872836 -95.880575804791</t>
  </si>
  <si>
    <t>-624.101181834144 142.418456185292 318.618829823521</t>
  </si>
  <si>
    <t>-669.074327195076 181.931374099859 777.998202829769</t>
  </si>
  <si>
    <t>-519.017569698299 184.043840852382 835.983838245118</t>
  </si>
  <si>
    <t>-594.599968393172 -67.6687940219661 323.740799885835</t>
  </si>
  <si>
    <t>-652.552515629492 -105.499943966549 781.543212303749</t>
  </si>
  <si>
    <t>-498.919993269649 -121.527504453197 826.531950546282</t>
  </si>
  <si>
    <t>9763-20170724T115451.332531900.bin</t>
  </si>
  <si>
    <t>-588.708340250955 41.346258265296 -92.1398582773878</t>
  </si>
  <si>
    <t>-609.357775304693 37.0843112984642 -200.827077798376</t>
  </si>
  <si>
    <t>-622.88755790521 36.7214523357993 -292.710990564983</t>
  </si>
  <si>
    <t>-634.499519651688 37.6235773274761 -375.792266907185</t>
  </si>
  <si>
    <t>-644.930347706832 39.7843688965386 -459.006754574528</t>
  </si>
  <si>
    <t>-658.87779910323 44.3199948703714 -580.784521956612</t>
  </si>
  <si>
    <t>-649.640425543732 51.9811750931206 -658.219582644268</t>
  </si>
  <si>
    <t>-654.147120772844 73.6321842780492 -526.024587710535</t>
  </si>
  <si>
    <t>-631.329672355557 224.60197278244 -494.010168652154</t>
  </si>
  <si>
    <t>-595.932990587993 225.946351682851 -214.146120573155</t>
  </si>
  <si>
    <t>-392.61843614062 118.105374076296 -245.483725082376</t>
  </si>
  <si>
    <t>-651.368437524493 11.0274213821667 -528.674456534827</t>
  </si>
  <si>
    <t>-595.367910875176 134.195677268347 -96.1213831303706</t>
  </si>
  <si>
    <t>-624.353210874661 142.69413542004 318.354429296939</t>
  </si>
  <si>
    <t>-669.093071997298 181.95988129796 777.787063398685</t>
  </si>
  <si>
    <t>-519.031639361187 184.020816678638 835.762310327651</t>
  </si>
  <si>
    <t>-595.535258160686 -68.006205742508 323.518356703766</t>
  </si>
  <si>
    <t>-652.848019586502 -105.410225942303 781.480368112326</t>
  </si>
  <si>
    <t>-499.063821690485 -121.390272809595 825.964972117971</t>
  </si>
  <si>
    <t>9763-20170724T115451.359604000.bin</t>
  </si>
  <si>
    <t>-588.858535579996 41.3320901467214 -92.2544904658263</t>
  </si>
  <si>
    <t>-609.390201705309 37.0904942469945 -200.964893475552</t>
  </si>
  <si>
    <t>-622.863959236713 36.7216457847685 -292.856971100258</t>
  </si>
  <si>
    <t>-634.442881554991 37.610419702411 -375.942985789868</t>
  </si>
  <si>
    <t>-644.857992714917 39.7496790124849 -459.159940617724</t>
  </si>
  <si>
    <t>-658.801879510683 44.2438144254113 -580.939752027509</t>
  </si>
  <si>
    <t>-649.449654520728 51.8258538971584 -658.36882995196</t>
  </si>
  <si>
    <t>-654.018601508836 73.5772431965963 -526.195736352621</t>
  </si>
  <si>
    <t>-630.988826569269 224.537786936355 -494.297374236523</t>
  </si>
  <si>
    <t>-595.886439191599 226.069579739003 -214.397194860456</t>
  </si>
  <si>
    <t>-392.79315625505 117.760798785741 -245.555956708791</t>
  </si>
  <si>
    <t>-651.348295887506 10.9662714036394 -528.812098780769</t>
  </si>
  <si>
    <t>-595.294239345997 134.289756000699 -96.2480075903379</t>
  </si>
  <si>
    <t>-624.449440104813 142.819826899376 318.215314676127</t>
  </si>
  <si>
    <t>-669.090987971196 182.036466890239 777.666910683181</t>
  </si>
  <si>
    <t>-519.028807448209 183.982268322306 835.644398064743</t>
  </si>
  <si>
    <t>-595.95522758879 -68.193847701488 323.420929223374</t>
  </si>
  <si>
    <t>-652.923179914612 -105.378628273896 781.461979140875</t>
  </si>
  <si>
    <t>-499.152528028765 -121.822454900528 825.824280724281</t>
  </si>
  <si>
    <t>9763-20170724T115451.429341800.bin</t>
  </si>
  <si>
    <t>-589.15670148976 41.3169330596718 -92.4190317553284</t>
  </si>
  <si>
    <t>-609.469102902775 37.119685718706 -201.17238978799</t>
  </si>
  <si>
    <t>-622.810067865929 36.7457514461196 -293.083767278432</t>
  </si>
  <si>
    <t>-634.28994971519 37.6160234143049 -376.183787318335</t>
  </si>
  <si>
    <t>-644.627003731825 39.7201659967184 -459.411409422856</t>
  </si>
  <si>
    <t>-658.479554742339 44.1455191477617 -581.204096052363</t>
  </si>
  <si>
    <t>-648.898231704255 51.5729338967267 -658.620054775203</t>
  </si>
  <si>
    <t>-653.631551356083 73.5147673169197 -526.484842538402</t>
  </si>
  <si>
    <t>-630.152286859945 224.448158102085 -494.769034206494</t>
  </si>
  <si>
    <t>-595.676862796012 226.48499291293 -214.794275991464</t>
  </si>
  <si>
    <t>-392.865016878065 117.495189678502 -245.40657546491</t>
  </si>
  <si>
    <t>-651.170774940715 10.8927335782018 -529.040098102845</t>
  </si>
  <si>
    <t>-595.283370357968 134.370196068741 -96.4685666490172</t>
  </si>
  <si>
    <t>-624.650254816604 142.926910103341 317.979203891194</t>
  </si>
  <si>
    <t>-669.148762791374 181.928853835215 777.450805741635</t>
  </si>
  <si>
    <t>-519.089557130288 184.111470941655 835.427447762403</t>
  </si>
  <si>
    <t>-596.603509795859 -68.3521672221545 323.284151619648</t>
  </si>
  <si>
    <t>-652.98014073178 -105.361649792426 781.452268526226</t>
  </si>
  <si>
    <t>-499.201304931603 -121.985670617772 825.718979437308</t>
  </si>
  <si>
    <t>9763-20170724T115451.461426100.bin</t>
  </si>
  <si>
    <t>-589.295578323563 41.2754765707566 -92.4972276476915</t>
  </si>
  <si>
    <t>-609.508101524158 37.0958475397051 -201.269778419226</t>
  </si>
  <si>
    <t>-622.779370026094 36.717551602565 -293.191304393029</t>
  </si>
  <si>
    <t>-634.202145006911 37.5770690791862 -376.299166405499</t>
  </si>
  <si>
    <t>-644.487782753676 39.6632521241897 -459.533767023279</t>
  </si>
  <si>
    <t>-658.271480580088 44.0539694186427 -581.335467066687</t>
  </si>
  <si>
    <t>-648.583332738059 51.4071641066575 -658.745282681</t>
  </si>
  <si>
    <t>-653.412208231385 73.4405408374644 -526.626682528478</t>
  </si>
  <si>
    <t>-629.667536227127 224.338089593331 -494.938455651472</t>
  </si>
  <si>
    <t>-595.657506121764 226.691774044827 -214.909230301149</t>
  </si>
  <si>
    <t>-392.919119963257 117.473513513587 -245.192293676487</t>
  </si>
  <si>
    <t>-651.034457260558 10.8140734352664 -529.153270699299</t>
  </si>
  <si>
    <t>-595.301680127704 134.374076126234 -96.5600850843127</t>
  </si>
  <si>
    <t>-624.743448534592 142.972663539431 317.881521361482</t>
  </si>
  <si>
    <t>-669.158034012313 181.961733999488 777.354422450306</t>
  </si>
  <si>
    <t>-519.095784756164 183.998321586211 835.328547600631</t>
  </si>
  <si>
    <t>-596.907165603974 -68.5092800895538 323.220584907537</t>
  </si>
  <si>
    <t>-652.974603591236 -105.347806723637 781.454234182415</t>
  </si>
  <si>
    <t>-499.201858256927 -122.010167351827 825.727599657077</t>
  </si>
  <si>
    <t>9763-20170724T115451.527712100.bin</t>
  </si>
  <si>
    <t>-589.493847107842 41.0218570599723 -92.6292594503728</t>
  </si>
  <si>
    <t>-609.516699106218 36.8819004538686 -201.438485410865</t>
  </si>
  <si>
    <t>-622.631633206164 36.4933737939732 -293.382451884924</t>
  </si>
  <si>
    <t>-633.91471943848 37.3274337120185 -376.509601775773</t>
  </si>
  <si>
    <t>-644.062029767218 39.3709061007878 -459.762166249397</t>
  </si>
  <si>
    <t>-657.644987186362 43.6802413374364 -581.589420379204</t>
  </si>
  <si>
    <t>-647.741359961909 50.8971438391843 -658.984622285721</t>
  </si>
  <si>
    <t>-652.814611029042 73.1058990320917 -526.899029673661</t>
  </si>
  <si>
    <t>-628.711353382936 223.973488573182 -495.329754173323</t>
  </si>
  <si>
    <t>-595.651287485677 226.913529724552 -215.192334552814</t>
  </si>
  <si>
    <t>-392.793984818839 117.688230395789 -244.641951669696</t>
  </si>
  <si>
    <t>-650.555222224915 10.4727339360172 -529.366336950118</t>
  </si>
  <si>
    <t>-595.304911280425 134.195987811359 -96.7176979586529</t>
  </si>
  <si>
    <t>-624.974848360785 142.894750199119 317.705549357305</t>
  </si>
  <si>
    <t>-669.190808904251 181.938362447791 777.169323245346</t>
  </si>
  <si>
    <t>-519.130506356145 184.033820353881 835.146328877586</t>
  </si>
  <si>
    <t>-597.436052653732 -68.9326722597473 323.091421229542</t>
  </si>
  <si>
    <t>-652.956766060635 -105.307929963694 781.455966851831</t>
  </si>
  <si>
    <t>-499.198755426422 -122.051439529899 825.749926302123</t>
  </si>
  <si>
    <t>9763-20170724T115451.561803900.bin</t>
  </si>
  <si>
    <t>-589.575724722454 40.9523097529375 -92.6873795750481</t>
  </si>
  <si>
    <t>-609.514105079695 36.8245693967142 -201.512562250103</t>
  </si>
  <si>
    <t>-622.573643442871 36.4209555719438 -293.464327316598</t>
  </si>
  <si>
    <t>-633.813154715619 37.2316284246776 -376.597682684493</t>
  </si>
  <si>
    <t>-643.923281920657 39.2416583854329 -459.855617271526</t>
  </si>
  <si>
    <t>-657.458954069822 43.4908187278368 -581.69014117117</t>
  </si>
  <si>
    <t>-647.470508543664 50.6376361076555 -659.081097754765</t>
  </si>
  <si>
    <t>-652.627846145746 72.9443918691632 -527.014752708581</t>
  </si>
  <si>
    <t>-628.381943042568 223.799263481887 -495.498168316724</t>
  </si>
  <si>
    <t>-595.745059620897 226.960290356916 -215.313602422751</t>
  </si>
  <si>
    <t>-392.741729531237 117.881099179649 -244.29489367731</t>
  </si>
  <si>
    <t>-650.411398184002 10.3082235116362 -529.44566457908</t>
  </si>
  <si>
    <t>-595.312436955637 134.158332880898 -96.7915349846071</t>
  </si>
  <si>
    <t>-624.987891880123 142.940403235084 317.629565954421</t>
  </si>
  <si>
    <t>-669.192613262377 181.95748547012 777.084927548499</t>
  </si>
  <si>
    <t>-519.133471306775 183.94388369811 835.068860917353</t>
  </si>
  <si>
    <t>-597.625932072488 -69.0513792890645 323.03595361071</t>
  </si>
  <si>
    <t>-652.94233350096 -105.283646433694 781.449119577125</t>
  </si>
  <si>
    <t>-499.204618478043 -122.157847794323 825.763916044433</t>
  </si>
  <si>
    <t>9763-20170724T115451.630014500.bin</t>
  </si>
  <si>
    <t>-589.724439131334 40.7833090463223 -92.7852714121558</t>
  </si>
  <si>
    <t>-609.596999708389 36.6698431345521 -201.622938047373</t>
  </si>
  <si>
    <t>-622.605930404839 36.2257085351162 -293.581835689927</t>
  </si>
  <si>
    <t>-633.801743610175 36.97921079258 -376.721431374206</t>
  </si>
  <si>
    <t>-643.870218314046 38.9108717673687 -459.986361293753</t>
  </si>
  <si>
    <t>-657.347136381725 43.0226021869889 -581.83216789846</t>
  </si>
  <si>
    <t>-647.193546392308 50.0262403266486 -659.214769956945</t>
  </si>
  <si>
    <t>-652.513059197771 72.5389317640154 -527.190915400435</t>
  </si>
  <si>
    <t>-628.077421472663 223.387671284027 -495.815699107925</t>
  </si>
  <si>
    <t>-595.949927760994 227.056747455843 -215.578452370604</t>
  </si>
  <si>
    <t>-392.677343691002 118.292299286506 -243.846558810342</t>
  </si>
  <si>
    <t>-650.354121834267 9.89787154540113 -529.543579425007</t>
  </si>
  <si>
    <t>-595.356637682689 134.016037147543 -96.911935708679</t>
  </si>
  <si>
    <t>-625.006279687756 142.88434300304 317.509151502621</t>
  </si>
  <si>
    <t>-669.224459275315 181.871550770474 776.943315327677</t>
  </si>
  <si>
    <t>-519.168792956379 183.852668760399 834.936353362004</t>
  </si>
  <si>
    <t>-597.893692892377 -69.2503364105378 322.948817547939</t>
  </si>
  <si>
    <t>-652.908621416807 -105.226147123508 781.436793960988</t>
  </si>
  <si>
    <t>-499.145701384815 -121.777668696526 825.785821054751</t>
  </si>
  <si>
    <t>9763-20170724T115451.662089600.bin</t>
  </si>
  <si>
    <t>-589.79216750833 40.6366246814919 -92.8248974983097</t>
  </si>
  <si>
    <t>-609.672888471172 36.5290436131309 -201.661445202163</t>
  </si>
  <si>
    <t>-622.697546677143 36.0673534335917 -293.617776361075</t>
  </si>
  <si>
    <t>-633.911282972299 36.7957772837303 -376.755400462007</t>
  </si>
  <si>
    <t>-644.001445895977 38.6932870551332 -460.018250110594</t>
  </si>
  <si>
    <t>-657.514214314841 42.745242931705 -581.862077873742</t>
  </si>
  <si>
    <t>-647.299835864661 49.6846664636548 -659.242548425978</t>
  </si>
  <si>
    <t>-652.662144417917 72.2885518448584 -527.237140993329</t>
  </si>
  <si>
    <t>-628.184549061292 223.145332326568 -495.937628884343</t>
  </si>
  <si>
    <t>-596.138624719969 227.032515943589 -215.693937170244</t>
  </si>
  <si>
    <t>-392.763501476426 118.409703731958 -243.768340584714</t>
  </si>
  <si>
    <t>-650.507686514731 9.6460559908835 -529.55919033886</t>
  </si>
  <si>
    <t>-595.412590476122 133.848384932583 -96.9529275653442</t>
  </si>
  <si>
    <t>-625.011452179564 142.782139806696 317.470407834833</t>
  </si>
  <si>
    <t>-669.247052908734 181.813611416946 776.887078457018</t>
  </si>
  <si>
    <t>-519.191275934068 183.896565358182 834.876273046461</t>
  </si>
  <si>
    <t>-597.949153557389 -69.3732225653564 322.92131630533</t>
  </si>
  <si>
    <t>-652.893288299711 -105.244525107884 781.433889028036</t>
  </si>
  <si>
    <t>-499.162066144333 -122.022177193712 825.807867424323</t>
  </si>
  <si>
    <t>9763-20170724T115451.728163000.bin</t>
  </si>
  <si>
    <t>-589.911267964208 40.4187271026124 -92.8874422660529</t>
  </si>
  <si>
    <t>-609.843292688049 36.3114564679809 -201.714568545321</t>
  </si>
  <si>
    <t>-622.934868803133 35.8197958951123 -293.66135418187</t>
  </si>
  <si>
    <t>-634.218569618817 36.5089511492652 -376.78971022045</t>
  </si>
  <si>
    <t>-644.388297624417 38.3548423137825 -460.044121022188</t>
  </si>
  <si>
    <t>-658.028074100856 42.317697129432 -581.87681495285</t>
  </si>
  <si>
    <t>-647.740035051751 49.1707738265986 -659.255063486766</t>
  </si>
  <si>
    <t>-653.127398051096 71.9005324188165 -527.277511475737</t>
  </si>
  <si>
    <t>-628.581363710257 222.779197336834 -496.123143910778</t>
  </si>
  <si>
    <t>-596.33566541277 226.933655731046 -215.906153125577</t>
  </si>
  <si>
    <t>-392.77364375489 118.625054901644 -243.83946557348</t>
  </si>
  <si>
    <t>-650.958729907447 9.25707383646659 -529.557881360124</t>
  </si>
  <si>
    <t>-595.565865265908 133.625203562442 -97.0106059545816</t>
  </si>
  <si>
    <t>-625.008472647504 142.638996793632 317.422115528992</t>
  </si>
  <si>
    <t>-669.259576813074 181.835639164208 776.809920197704</t>
  </si>
  <si>
    <t>-519.19835252404 183.811695202419 834.788754672447</t>
  </si>
  <si>
    <t>-597.930388763855 -69.4734629312707 322.88211592652</t>
  </si>
  <si>
    <t>-652.889430087806 -105.218517897106 781.412501248614</t>
  </si>
  <si>
    <t>-499.180901339217 -122.213743721159 825.782301755368</t>
  </si>
  <si>
    <t>9763-20170724T115451.764250200.bin</t>
  </si>
  <si>
    <t>-589.976103847731 40.3334997132404 -92.9075934734808</t>
  </si>
  <si>
    <t>-609.931639866792 36.2219897899481 -201.730190375268</t>
  </si>
  <si>
    <t>-623.053177783072 35.6990850992981 -293.672478348933</t>
  </si>
  <si>
    <t>-634.367905693731 36.3488843587816 -376.796956739934</t>
  </si>
  <si>
    <t>-644.572710549646 38.1442340708011 -460.048297135505</t>
  </si>
  <si>
    <t>-658.268224669776 42.0206374047957 -581.877421708114</t>
  </si>
  <si>
    <t>-647.95608207721 48.8212154878338 -659.257185771157</t>
  </si>
  <si>
    <t>-653.342971003428 71.6422740722558 -527.301428145</t>
  </si>
  <si>
    <t>-628.811455105217 222.549154400709 -496.235334685665</t>
  </si>
  <si>
    <t>-596.376598505227 226.698747411067 -216.040107430343</t>
  </si>
  <si>
    <t>-392.764441754712 118.486709280622 -243.982782820866</t>
  </si>
  <si>
    <t>-651.174530702313 8.99720681203621 -529.538376485208</t>
  </si>
  <si>
    <t>-595.682264596643 133.490419470812 -97.0293950646633</t>
  </si>
  <si>
    <t>-625.025809830528 142.549945131732 317.40937827339</t>
  </si>
  <si>
    <t>-669.280352731428 181.771636982436 776.78522946701</t>
  </si>
  <si>
    <t>-519.216658451115 183.859939557038 834.753687034843</t>
  </si>
  <si>
    <t>-597.887037940504 -69.4584432209931 322.868871629311</t>
  </si>
  <si>
    <t>-652.890305836905 -105.163279643082 781.396895802588</t>
  </si>
  <si>
    <t>-499.174076131274 -122.104061898605 825.760741609302</t>
  </si>
  <si>
    <t>9763-20170724T115451.828114800.bin</t>
  </si>
  <si>
    <t>-590.061434286868 40.2024349079611 -92.9036725870241</t>
  </si>
  <si>
    <t>-610.09030327284 36.0698831998229 -201.712135981997</t>
  </si>
  <si>
    <t>-623.34029837879 35.4840417531943 -293.635569896486</t>
  </si>
  <si>
    <t>-634.797507878556 36.0573444777547 -376.741106243891</t>
  </si>
  <si>
    <t>-645.171110881814 37.7568356424579 -459.973578534604</t>
  </si>
  <si>
    <t>-659.141937474862 41.4717740779906 -581.776434452498</t>
  </si>
  <si>
    <t>-648.863144469758 48.1806479886714 -659.168678047906</t>
  </si>
  <si>
    <t>-654.084605071311 71.1659893465367 -527.251912699065</t>
  </si>
  <si>
    <t>-629.529486634876 222.111658610431 -496.42682160354</t>
  </si>
  <si>
    <t>-596.538894114845 226.548476418926 -216.300788334559</t>
  </si>
  <si>
    <t>-392.960298833842 118.253735501205 -244.167207713721</t>
  </si>
  <si>
    <t>-651.93871770482 8.51736673376399 -529.408812798874</t>
  </si>
  <si>
    <t>-595.958545524816 133.237019446102 -97.0331651470842</t>
  </si>
  <si>
    <t>-625.110356268623 142.339866070229 317.418194115545</t>
  </si>
  <si>
    <t>-669.318569189439 181.647097900261 776.76863577698</t>
  </si>
  <si>
    <t>-519.252476692502 183.780523659021 834.729388478469</t>
  </si>
  <si>
    <t>-597.618633367128 -69.3659103849523 322.878126956086</t>
  </si>
  <si>
    <t>-652.887998223085 -105.096010832722 781.373401833578</t>
  </si>
  <si>
    <t>-499.110786012074 -121.552018930592 825.708349525687</t>
  </si>
  <si>
    <t>9763-20170724T115451.862204800.bin</t>
  </si>
  <si>
    <t>-590.082902563286 40.1699214065727 -92.9002348980207</t>
  </si>
  <si>
    <t>-610.174521413696 36.0212873951739 -201.696521831791</t>
  </si>
  <si>
    <t>-623.526641329625 35.4064986804581 -293.605050824909</t>
  </si>
  <si>
    <t>-635.095580269035 35.9472039733112 -376.695379714002</t>
  </si>
  <si>
    <t>-645.600422651513 37.6073953262335 -459.912043563213</t>
  </si>
  <si>
    <t>-659.784372143071 41.257510587061 -581.692307853694</t>
  </si>
  <si>
    <t>-649.55497758865 47.9273902320044 -659.094335887032</t>
  </si>
  <si>
    <t>-654.627315459362 70.9808961780866 -527.19299798493</t>
  </si>
  <si>
    <t>-629.993340767884 221.92901952048 -496.452339245972</t>
  </si>
  <si>
    <t>-596.682759892887 226.484232663397 -216.366157678685</t>
  </si>
  <si>
    <t>-393.119696665885 118.178618996619 -244.303611423066</t>
  </si>
  <si>
    <t>-652.493874727808 8.33076611927345 -529.319369803297</t>
  </si>
  <si>
    <t>-596.091867445398 133.172965571463 -97.0291421133744</t>
  </si>
  <si>
    <t>-625.132669412249 142.282163885796 317.429851469457</t>
  </si>
  <si>
    <t>-669.314283537476 181.665439655751 776.772169513418</t>
  </si>
  <si>
    <t>-519.247062935045 183.711181871492 834.733119991392</t>
  </si>
  <si>
    <t>-597.458519405914 -69.2773722516863 322.890041933074</t>
  </si>
  <si>
    <t>-652.907889105944 -105.08662597109 781.357304581782</t>
  </si>
  <si>
    <t>-499.140261669536 -121.721800309684 825.658653421226</t>
  </si>
  <si>
    <t>9763-20170724T115451.928065900.bin</t>
  </si>
  <si>
    <t>-590.066071586525 40.1784003332825 -92.8797704816957</t>
  </si>
  <si>
    <t>-610.315657436312 36.0053504446923 -201.645749742242</t>
  </si>
  <si>
    <t>-623.887990154421 35.3491914128558 -293.521626506611</t>
  </si>
  <si>
    <t>-635.690511292464 35.8429115563094 -376.579554204791</t>
  </si>
  <si>
    <t>-646.463602426927 37.4471414837308 -459.763119484083</t>
  </si>
  <si>
    <t>-661.077612783831 41.0055191772253 -581.495082851682</t>
  </si>
  <si>
    <t>-651.005481854487 47.6191663032344 -658.922620951633</t>
  </si>
  <si>
    <t>-655.736216556607 70.7696507980074 -527.035831333181</t>
  </si>
  <si>
    <t>-631.066627824863 221.731251527425 -496.385571752312</t>
  </si>
  <si>
    <t>-596.997312411467 226.329371256247 -216.391461345994</t>
  </si>
  <si>
    <t>-393.334473426867 118.258723388061 -244.511146056917</t>
  </si>
  <si>
    <t>-653.594014980225 8.11863162779036 -529.124367050415</t>
  </si>
  <si>
    <t>-596.259346385665 133.056770070672 -97.0016374973487</t>
  </si>
  <si>
    <t>-625.118703177637 142.132127977243 317.470780140126</t>
  </si>
  <si>
    <t>-669.320517778565 181.613185086018 776.798618504243</t>
  </si>
  <si>
    <t>-519.258001144435 183.6934226128 834.770517544815</t>
  </si>
  <si>
    <t>-597.201386227646 -68.9883832198832 322.919881228342</t>
  </si>
  <si>
    <t>-652.928775688545 -104.998680259119 781.321455284102</t>
  </si>
  <si>
    <t>-499.118558889535 -121.350932506783 825.580274832253</t>
  </si>
  <si>
    <t>9763-20170724T115451.963162200.bin</t>
  </si>
  <si>
    <t>-590.045457469602 40.1991486627558 -92.8515516431918</t>
  </si>
  <si>
    <t>-610.362162355975 36.0068841074351 -201.604331127403</t>
  </si>
  <si>
    <t>-624.024775261806 35.3318604245837 -293.466696076721</t>
  </si>
  <si>
    <t>-635.922093338311 35.8071580427886 -376.511087107813</t>
  </si>
  <si>
    <t>-646.803336267076 37.3914390395332 -459.680856167658</t>
  </si>
  <si>
    <t>-661.589954456944 40.9190386750633 -581.393085626792</t>
  </si>
  <si>
    <t>-651.611988316673 47.5216853566644 -658.83368146821</t>
  </si>
  <si>
    <t>-656.170560447704 70.6969423742544 -526.948991685587</t>
  </si>
  <si>
    <t>-631.519139760994 221.664434608381 -496.316446085513</t>
  </si>
  <si>
    <t>-597.207059488986 226.309828261396 -216.352743342609</t>
  </si>
  <si>
    <t>-393.537231690419 118.2974670435 -244.645148788186</t>
  </si>
  <si>
    <t>-654.032886340625 8.04528674793778 -529.024646824</t>
  </si>
  <si>
    <t>-596.316827189473 132.995140306588 -96.9728329572933</t>
  </si>
  <si>
    <t>-625.08460503338 142.059115852374 317.506192683758</t>
  </si>
  <si>
    <t>-669.3295582193 181.556470614916 776.823143892706</t>
  </si>
  <si>
    <t>-519.271335430029 183.791481115755 834.800360572972</t>
  </si>
  <si>
    <t>-597.075056415884 -68.8396823352145 322.950751534312</t>
  </si>
  <si>
    <t>-652.932713571923 -104.998770383351 781.31473766609</t>
  </si>
  <si>
    <t>-499.133821900514 -121.47564302547 825.566747256207</t>
  </si>
  <si>
    <t>9763-20170724T115452.028349500.bin</t>
  </si>
  <si>
    <t>-590.020836441417 40.2900407100251 -92.7972667841175</t>
  </si>
  <si>
    <t>-610.447726149817 36.0761492379581 -201.528501724083</t>
  </si>
  <si>
    <t>-624.221922293115 35.3839439273268 -293.37420794014</t>
  </si>
  <si>
    <t>-636.227642154991 35.8435017340953 -376.403064052978</t>
  </si>
  <si>
    <t>-647.224790303768 37.4125760553588 -459.558026470268</t>
  </si>
  <si>
    <t>-662.189223526411 40.9181193217139 -581.248964629063</t>
  </si>
  <si>
    <t>-652.384700881809 47.5521573518461 -658.709191213474</t>
  </si>
  <si>
    <t>-656.702570519725 70.7054330314568 -526.816858552223</t>
  </si>
  <si>
    <t>-632.094481115013 221.681841606427 -496.189369937603</t>
  </si>
  <si>
    <t>-597.619057759453 226.681813441762 -216.251760233383</t>
  </si>
  <si>
    <t>-393.967402084196 118.702705267854 -244.800800732683</t>
  </si>
  <si>
    <t>-654.543371566986 8.05436121068283 -528.887171016109</t>
  </si>
  <si>
    <t>-596.419337343012 132.989885153487 -96.9170124443807</t>
  </si>
  <si>
    <t>-625.054555464809 142.086099935576 317.570461762224</t>
  </si>
  <si>
    <t>-669.301981569282 181.645611491386 776.874115151615</t>
  </si>
  <si>
    <t>-519.248775382052 183.52668099427 834.876838696445</t>
  </si>
  <si>
    <t>-596.954646266769 -68.5679337847516 322.998312717934</t>
  </si>
  <si>
    <t>-652.944696649267 -104.950556781878 781.292170047296</t>
  </si>
  <si>
    <t>-499.113930077399 -121.182600869281 825.523782752637</t>
  </si>
  <si>
    <t>9763-20170724T115452.061438700.bin</t>
  </si>
  <si>
    <t>-590.061223086113 40.2734649290717 -92.78164445236</t>
  </si>
  <si>
    <t>-610.501239226048 36.0584416785962 -201.510316013376</t>
  </si>
  <si>
    <t>-624.302174603272 35.3593666802301 -293.351987842307</t>
  </si>
  <si>
    <t>-636.338401784379 35.8106339652963 -376.376398853774</t>
  </si>
  <si>
    <t>-647.37260823585 37.3691581631556 -459.526632100239</t>
  </si>
  <si>
    <t>-662.39841511157 40.8571409540659 -581.210598499878</t>
  </si>
  <si>
    <t>-652.676360924995 47.5205912048946 -658.678558123078</t>
  </si>
  <si>
    <t>-656.892490517665 70.6519317415866 -526.784479960677</t>
  </si>
  <si>
    <t>-632.383498972707 221.649586737839 -496.163455242541</t>
  </si>
  <si>
    <t>-597.96181351608 226.803715425902 -216.221988597252</t>
  </si>
  <si>
    <t>-394.334321166035 118.805928859369 -244.872483144007</t>
  </si>
  <si>
    <t>-654.717995880963 8.00126458193517 -528.848861170905</t>
  </si>
  <si>
    <t>-596.482206146422 132.936403113555 -96.8973821251039</t>
  </si>
  <si>
    <t>-625.053279298249 142.037781496548 317.594383515596</t>
  </si>
  <si>
    <t>-669.314250309513 181.571489920851 776.898002296891</t>
  </si>
  <si>
    <t>-519.265806579565 183.565052728641 834.909348529135</t>
  </si>
  <si>
    <t>-596.961488303006 -68.5216858848473 323.010496166412</t>
  </si>
  <si>
    <t>-652.932923312838 -104.952711796493 781.297141419468</t>
  </si>
  <si>
    <t>-499.107158717552 -121.17439117205 825.550034674637</t>
  </si>
  <si>
    <t>9763-20170724T115452.131550700.bin</t>
  </si>
  <si>
    <t>-590.194719878226 40.1193967974971 -92.7639328327468</t>
  </si>
  <si>
    <t>-610.631428069993 35.897142857639 -201.49303218923</t>
  </si>
  <si>
    <t>-624.455850009756 35.1996465320403 -293.331111711702</t>
  </si>
  <si>
    <t>-636.524014834916 35.655528487875 -376.350976143436</t>
  </si>
  <si>
    <t>-647.601139094926 37.2220872424089 -459.495140811383</t>
  </si>
  <si>
    <t>-662.701781904854 40.7259919355733 -581.169427896113</t>
  </si>
  <si>
    <t>-653.090948796377 47.4645310261608 -658.644864393842</t>
  </si>
  <si>
    <t>-657.182805027605 70.5130849946775 -526.740400807372</t>
  </si>
  <si>
    <t>-632.747026129075 221.515625141664 -496.11302731819</t>
  </si>
  <si>
    <t>-598.840146984524 227.27039263148 -216.120584330582</t>
  </si>
  <si>
    <t>-395.398216479098 118.97702618421 -244.973028875513</t>
  </si>
  <si>
    <t>-654.968646969416 7.86408786395714 -528.819404290074</t>
  </si>
  <si>
    <t>-596.669212706497 132.69151080593 -96.8730788094296</t>
  </si>
  <si>
    <t>-625.181560303786 141.924593821847 317.6198341252</t>
  </si>
  <si>
    <t>-669.337489488839 181.471028306283 776.942938232473</t>
  </si>
  <si>
    <t>-519.294729334502 183.714400218181 834.959888791544</t>
  </si>
  <si>
    <t>-597.088844157066 -68.523233056384 323.027996358795</t>
  </si>
  <si>
    <t>-652.948237769782 -104.951772073186 781.307764094722</t>
  </si>
  <si>
    <t>-499.111655413778 -121.105004846236 825.54804356593</t>
  </si>
  <si>
    <t>9763-20170724T115452.160627800.bin</t>
  </si>
  <si>
    <t>-590.278687584985 40.0490502657699 -92.7528058776307</t>
  </si>
  <si>
    <t>-610.701922683442 35.8355826171351 -201.484789770982</t>
  </si>
  <si>
    <t>-624.529368904849 35.1439606568076 -293.322418299136</t>
  </si>
  <si>
    <t>-636.606357893698 35.6045328290638 -376.340867079663</t>
  </si>
  <si>
    <t>-647.698578345559 37.175738341354 -459.483151512961</t>
  </si>
  <si>
    <t>-662.828516091661 40.6858759516012 -581.153512590316</t>
  </si>
  <si>
    <t>-653.251507095632 47.4645525425647 -658.629602302762</t>
  </si>
  <si>
    <t>-657.317668954352 70.4692257471631 -526.721666423822</t>
  </si>
  <si>
    <t>-632.942226727784 221.478870174061 -496.068654908133</t>
  </si>
  <si>
    <t>-599.306888184261 227.515129243936 -216.049281398747</t>
  </si>
  <si>
    <t>-395.935448799847 119.122958091194 -245.027218065084</t>
  </si>
  <si>
    <t>-655.061602417365 7.8220694813017 -528.809632282874</t>
  </si>
  <si>
    <t>-596.75749459042 132.609713458676 -96.8579783130058</t>
  </si>
  <si>
    <t>-625.244502698789 141.92636657714 317.634819233254</t>
  </si>
  <si>
    <t>-669.338335844024 181.460505314196 776.962758408447</t>
  </si>
  <si>
    <t>-519.297590037049 183.712535559484 834.984567866908</t>
  </si>
  <si>
    <t>-597.142683339979 -68.5377180111823 323.029864699455</t>
  </si>
  <si>
    <t>-652.935873372217 -104.948806830357 781.307519298882</t>
  </si>
  <si>
    <t>-499.092079410598 -120.953021808504 825.576821475409</t>
  </si>
  <si>
    <t>9763-20170724T115452.225806600.bin</t>
  </si>
  <si>
    <t>-590.373090784179 39.9277407609225 -92.7284018613134</t>
  </si>
  <si>
    <t>-610.76796581116 35.7106941333473 -201.465504605044</t>
  </si>
  <si>
    <t>-624.550783345138 35.0287173794466 -293.309937458387</t>
  </si>
  <si>
    <t>-636.579490315894 35.5030699846857 -376.335419170529</t>
  </si>
  <si>
    <t>-647.615855585089 37.0932065583279 -459.484760355295</t>
  </si>
  <si>
    <t>-662.655726991552 40.6380534943132 -581.165224962844</t>
  </si>
  <si>
    <t>-653.057901208215 47.4938137967258 -658.63195009523</t>
  </si>
  <si>
    <t>-657.233053981104 70.4038703065878 -526.714963653714</t>
  </si>
  <si>
    <t>-633.109389433467 221.436974693095 -495.992758713143</t>
  </si>
  <si>
    <t>-599.902690155756 227.582548509321 -215.924666114448</t>
  </si>
  <si>
    <t>-396.506217538803 119.313940526945 -245.187510618979</t>
  </si>
  <si>
    <t>-654.879631029603 7.7614054326657 -528.830759964958</t>
  </si>
  <si>
    <t>-596.905484079533 132.460166499935 -96.8405426508249</t>
  </si>
  <si>
    <t>-625.301529264795 141.945409779295 317.654674170043</t>
  </si>
  <si>
    <t>-669.33117300166 181.48873186963 776.996694133075</t>
  </si>
  <si>
    <t>-519.294008654536 183.709073775415 835.028993539842</t>
  </si>
  <si>
    <t>-597.169650257662 -68.5576979099344 323.046811750948</t>
  </si>
  <si>
    <t>-652.902861774151 -104.939643980318 781.323804920266</t>
  </si>
  <si>
    <t>-499.064661856795 -120.792564054234 825.666915434452</t>
  </si>
  <si>
    <t>9763-20170724T115452.262905100.bin</t>
  </si>
  <si>
    <t>-590.40195273064 39.8515368322014 -92.7221119749918</t>
  </si>
  <si>
    <t>-610.778374151235 35.6276578648365 -201.462502907626</t>
  </si>
  <si>
    <t>-624.536661752725 34.9584383909353 -293.310547954104</t>
  </si>
  <si>
    <t>-636.539738372584 35.4512068478841 -376.339696267782</t>
  </si>
  <si>
    <t>-647.546855764929 37.0674888873289 -459.492408250535</t>
  </si>
  <si>
    <t>-662.540219965846 40.6586964278317 -581.177218054737</t>
  </si>
  <si>
    <t>-652.905748297321 47.5560129705971 -658.635730584949</t>
  </si>
  <si>
    <t>-657.160570585022 70.4028694429626 -526.710996368452</t>
  </si>
  <si>
    <t>-633.098138453574 221.429057743235 -495.901444892011</t>
  </si>
  <si>
    <t>-600.131822154212 227.519879414798 -215.80370056696</t>
  </si>
  <si>
    <t>-396.733137555334 119.287508796532 -245.185045272485</t>
  </si>
  <si>
    <t>-654.761932121061 7.76301849857146 -528.855071926162</t>
  </si>
  <si>
    <t>-597.000869784149 132.349133951508 -96.829245298771</t>
  </si>
  <si>
    <t>-625.385534916128 141.930171705567 317.664579313206</t>
  </si>
  <si>
    <t>-669.336684294126 181.456111391523 777.015284772306</t>
  </si>
  <si>
    <t>-519.301890452431 183.647223835545 835.054827531241</t>
  </si>
  <si>
    <t>-597.1384946687 -68.5799600477151 323.055491242854</t>
  </si>
  <si>
    <t>-652.87709712207 -104.941313031452 781.333300237924</t>
  </si>
  <si>
    <t>-499.04309083997 -120.670754849856 825.734839671766</t>
  </si>
  <si>
    <t>9763-20170724T115452.329702100.bin</t>
  </si>
  <si>
    <t>-590.421131387658 39.6702621250399 -92.6962457128142</t>
  </si>
  <si>
    <t>-610.772824020512 35.4351231442877 -201.440769102412</t>
  </si>
  <si>
    <t>-624.479316801764 34.8020386546395 -293.297004275046</t>
  </si>
  <si>
    <t>-636.423111555299 35.3450374202009 -376.334215341818</t>
  </si>
  <si>
    <t>-647.35868031542 37.0297056040997 -459.495006664739</t>
  </si>
  <si>
    <t>-662.234044119664 40.7408208303823 -581.190776703294</t>
  </si>
  <si>
    <t>-652.482250655934 47.7277045161459 -658.626618344531</t>
  </si>
  <si>
    <t>-656.960022925032 70.429078579944 -526.683577830803</t>
  </si>
  <si>
    <t>-633.056730424749 221.460465084807 -495.770969775003</t>
  </si>
  <si>
    <t>-600.508960946966 227.403940339433 -215.621281336139</t>
  </si>
  <si>
    <t>-397.168120020453 119.069260950329 -245.026208924271</t>
  </si>
  <si>
    <t>-654.453684438792 7.79581600676602 -528.89999897981</t>
  </si>
  <si>
    <t>-597.15116279781 132.144891662257 -96.8075837454427</t>
  </si>
  <si>
    <t>-625.476686399156 141.847580185253 317.687435790481</t>
  </si>
  <si>
    <t>-669.322776062819 181.46139194546 777.047162426231</t>
  </si>
  <si>
    <t>-519.29443955615 183.83264147455 835.096299657217</t>
  </si>
  <si>
    <t>-597.103483780944 -68.689279395252 323.076241225155</t>
  </si>
  <si>
    <t>-652.859902376693 -104.958578312337 781.348920445613</t>
  </si>
  <si>
    <t>-499.057517408478 -120.837954836966 825.806682402055</t>
  </si>
  <si>
    <t>9763-20170724T115452.363793500.bin</t>
  </si>
  <si>
    <t>-590.421882086885 39.5759015668621 -92.6879290554182</t>
  </si>
  <si>
    <t>-610.749237720711 35.3380076147898 -201.437023201063</t>
  </si>
  <si>
    <t>-624.419699740134 34.7231401191566 -293.298627529553</t>
  </si>
  <si>
    <t>-636.324889978171 35.2900915061634 -376.341193342509</t>
  </si>
  <si>
    <t>-647.215667268839 37.0070766956983 -459.507271067541</t>
  </si>
  <si>
    <t>-662.018835707224 40.7745791531993 -581.210117037852</t>
  </si>
  <si>
    <t>-652.196236450086 47.8035441052543 -658.633087830159</t>
  </si>
  <si>
    <t>-656.804687853574 70.4362521428711 -526.682705144136</t>
  </si>
  <si>
    <t>-633.054969825447 221.472877758318 -495.680920257828</t>
  </si>
  <si>
    <t>-600.578895329823 227.172081592333 -215.517753987069</t>
  </si>
  <si>
    <t>-397.200132411207 118.920022274515 -244.964266304451</t>
  </si>
  <si>
    <t>-654.241962484344 7.8065633748306 -528.933195298649</t>
  </si>
  <si>
    <t>-597.193063344707 132.027560970398 -96.7945804732977</t>
  </si>
  <si>
    <t>-625.471754730423 141.806000600154 317.701779533186</t>
  </si>
  <si>
    <t>-669.330926479986 181.404832691889 777.065383505145</t>
  </si>
  <si>
    <t>-519.304805102946 183.820294066796 835.118385076063</t>
  </si>
  <si>
    <t>-597.088686360969 -68.7562893838021 323.087501064426</t>
  </si>
  <si>
    <t>-652.864665407128 -104.96605183642 781.349933682954</t>
  </si>
  <si>
    <t>-499.059816038307 -120.789858236023 825.819028505263</t>
  </si>
  <si>
    <t>9763-20170724T115452.424957400.bin</t>
  </si>
  <si>
    <t>-590.290446870627 39.4475650079812 -92.6632419810953</t>
  </si>
  <si>
    <t>-610.566684561736 35.2070002708588 -201.421632346413</t>
  </si>
  <si>
    <t>-624.156661291115 34.6364683906413 -293.295561860465</t>
  </si>
  <si>
    <t>-635.974074787277 35.2615226703213 -376.35043282418</t>
  </si>
  <si>
    <t>-646.762020184057 37.0552432188902 -459.528086087652</t>
  </si>
  <si>
    <t>-661.398445688555 40.9553431732663 -581.24708197374</t>
  </si>
  <si>
    <t>-651.427637834853 48.080089604977 -658.642381604995</t>
  </si>
  <si>
    <t>-656.302139302205 70.5555339528328 -526.675075701151</t>
  </si>
  <si>
    <t>-632.841500751038 221.598217371435 -495.472368394595</t>
  </si>
  <si>
    <t>-600.527454563516 226.793418632918 -215.280729059363</t>
  </si>
  <si>
    <t>-397.04626058806 118.769808264292 -244.858212129763</t>
  </si>
  <si>
    <t>-653.650099016586 7.93241743200747 -529.000567523477</t>
  </si>
  <si>
    <t>-597.10784494401 131.856802469892 -96.7523367543915</t>
  </si>
  <si>
    <t>-625.412327410922 141.785929657427 317.738741127018</t>
  </si>
  <si>
    <t>-669.304161989474 181.46821021726 777.089964229076</t>
  </si>
  <si>
    <t>-519.275734354544 183.762870093953 835.141922538437</t>
  </si>
  <si>
    <t>-596.982065173481 -68.8676191921998 323.108730233025</t>
  </si>
  <si>
    <t>-652.855704434063 -104.949804148171 781.365894014323</t>
  </si>
  <si>
    <t>-499.039200277535 -120.53535771127 825.878821405869</t>
  </si>
  <si>
    <t>9763-20170724T115452.464063300.bin</t>
  </si>
  <si>
    <t>-590.167838437119 39.3351141929525 -92.6448044316793</t>
  </si>
  <si>
    <t>-610.423308627288 35.089820759885 -201.406920646592</t>
  </si>
  <si>
    <t>-623.973779972897 34.5318756700226 -293.286814188507</t>
  </si>
  <si>
    <t>-635.7466467881 35.1745177057362 -376.34782523894</t>
  </si>
  <si>
    <t>-646.481159559157 36.9923650984915 -459.531844357304</t>
  </si>
  <si>
    <t>-661.029764526018 40.9348752668807 -581.259953664935</t>
  </si>
  <si>
    <t>-650.989923202609 48.1012054712437 -658.64243055412</t>
  </si>
  <si>
    <t>-655.995127315194 70.5151244921785 -526.671377049121</t>
  </si>
  <si>
    <t>-632.683466510437 221.57301101902 -495.41655112388</t>
  </si>
  <si>
    <t>-600.475370601584 226.586077719713 -215.209310266418</t>
  </si>
  <si>
    <t>-396.9330729637 118.65458535775 -244.702595913642</t>
  </si>
  <si>
    <t>-653.296783837653 7.8947876105708 -529.022135640494</t>
  </si>
  <si>
    <t>-597.03352144783 131.705875747837 -96.7302952786185</t>
  </si>
  <si>
    <t>-625.361822745358 141.680141604365 317.758130424695</t>
  </si>
  <si>
    <t>-669.311578311055 181.392462008066 777.097234708526</t>
  </si>
  <si>
    <t>-519.285831670708 183.809469002887 835.151223454404</t>
  </si>
  <si>
    <t>-596.86082285024 -68.9450531729503 323.119151991195</t>
  </si>
  <si>
    <t>-652.869770325044 -104.955997416687 781.36507052884</t>
  </si>
  <si>
    <t>-499.050902414489 -120.554144697949 825.865458652449</t>
  </si>
  <si>
    <t>9763-20170724T115452.529810600.bin</t>
  </si>
  <si>
    <t>-589.818783543426 39.1489779230626 -92.6262494190868</t>
  </si>
  <si>
    <t>-610.0255160643 34.8919359943432 -201.39692944003</t>
  </si>
  <si>
    <t>-623.533861777193 34.3620882178252 -293.28325721387</t>
  </si>
  <si>
    <t>-635.2681958211 35.0443795157637 -376.34927060623</t>
  </si>
  <si>
    <t>-645.963701924415 36.9169277857629 -459.537209894845</t>
  </si>
  <si>
    <t>-660.454718938363 40.9559107487735 -581.268953494947</t>
  </si>
  <si>
    <t>-650.348603958262 48.1905594922864 -658.636598057629</t>
  </si>
  <si>
    <t>-655.480405534508 70.4911913678618 -526.650657921521</t>
  </si>
  <si>
    <t>-632.346924945784 221.557902730509 -495.328119886501</t>
  </si>
  <si>
    <t>-600.42956373622 226.419481268425 -215.085029269564</t>
  </si>
  <si>
    <t>-396.764482975062 118.687285530126 -244.459058135383</t>
  </si>
  <si>
    <t>-652.711909472327 7.87621945992419 -529.057636317627</t>
  </si>
  <si>
    <t>-596.778794852159 131.500745729645 -96.7033376382561</t>
  </si>
  <si>
    <t>-625.268761057137 141.498236021817 317.773370168433</t>
  </si>
  <si>
    <t>-669.292557112398 181.360406103972 777.105828933928</t>
  </si>
  <si>
    <t>-519.27963536223 183.744953599484 835.194247587582</t>
  </si>
  <si>
    <t>-596.613134077234 -69.0883498566079 323.132383584252</t>
  </si>
  <si>
    <t>-652.924358866056 -104.946669499472 781.353226345656</t>
  </si>
  <si>
    <t>-499.117578697729 -120.790626057548 825.808526778482</t>
  </si>
  <si>
    <t>9763-20170724T115452.564904100.bin</t>
  </si>
  <si>
    <t>-589.60057254095 39.0928582156739 -92.6083123768833</t>
  </si>
  <si>
    <t>-609.767341167664 34.8239102611128 -201.385962878588</t>
  </si>
  <si>
    <t>-623.223164529817 34.3069524788996 -293.279938738835</t>
  </si>
  <si>
    <t>-634.902405852931 35.0099061687438 -376.353635411748</t>
  </si>
  <si>
    <t>-645.535186822439 36.9122069387138 -459.549013498968</t>
  </si>
  <si>
    <t>-659.926048820793 41.0050815110978 -581.290826166333</t>
  </si>
  <si>
    <t>-649.774615575538 48.2700885421714 -658.649676888769</t>
  </si>
  <si>
    <t>-655.01556245396 70.5151725121605 -526.653068746349</t>
  </si>
  <si>
    <t>-631.979049561794 221.588838263243 -495.30507522079</t>
  </si>
  <si>
    <t>-600.209657155912 226.431638465002 -215.044748576537</t>
  </si>
  <si>
    <t>-396.496999120116 118.77306147958 -244.358825084835</t>
  </si>
  <si>
    <t>-652.207379180127 7.90311504116858 -529.089973269826</t>
  </si>
  <si>
    <t>-596.571061468894 131.426682868682 -96.6897280588038</t>
  </si>
  <si>
    <t>-625.171452659921 141.486237092974 317.777899214683</t>
  </si>
  <si>
    <t>-669.266881648981 181.416475619007 777.101394273539</t>
  </si>
  <si>
    <t>-519.26081653115 183.740584520762 835.209992581916</t>
  </si>
  <si>
    <t>-596.533282960679 -69.1627305708648 323.13941205157</t>
  </si>
  <si>
    <t>-652.952622421239 -104.974432664098 781.351378996057</t>
  </si>
  <si>
    <t>-499.142328005167 -120.877379284893 825.773327806033</t>
  </si>
  <si>
    <t>9763-20170724T115452.628776800.bin</t>
  </si>
  <si>
    <t>-589.103936829952 39.0257958354473 -92.5934225382217</t>
  </si>
  <si>
    <t>-609.133542074835 34.7322121846262 -201.395485438463</t>
  </si>
  <si>
    <t>-622.437229165484 34.2098416888243 -293.311506180638</t>
  </si>
  <si>
    <t>-633.964621502234 34.9138633920209 -376.40641845659</t>
  </si>
  <si>
    <t>-644.431060585408 36.8234093244128 -459.622691913241</t>
  </si>
  <si>
    <t>-658.562871609767 40.9338157222583 -581.394266526387</t>
  </si>
  <si>
    <t>-648.321959403344 48.2376497466134 -658.737642732527</t>
  </si>
  <si>
    <t>-653.783036159753 70.4353891037904 -526.740373058001</t>
  </si>
  <si>
    <t>-630.891122759659 221.525998860736 -495.3519414289</t>
  </si>
  <si>
    <t>-599.545086807409 226.308713715651 -215.04297683828</t>
  </si>
  <si>
    <t>-395.729396596216 118.785654655465 -244.137315787658</t>
  </si>
  <si>
    <t>-650.940886878073 7.82493215644536 -529.183635118937</t>
  </si>
  <si>
    <t>-596.039464434426 131.346606211006 -96.6902206155279</t>
  </si>
  <si>
    <t>-624.897246199008 141.41004375553 317.759548048113</t>
  </si>
  <si>
    <t>-669.248626739476 181.391777972701 777.062337718149</t>
  </si>
  <si>
    <t>-519.262304702784 183.787688140951 835.218965079284</t>
  </si>
  <si>
    <t>-596.454533928031 -69.3243677552705 323.15465711866</t>
  </si>
  <si>
    <t>-653.023395023359 -104.938619794204 781.348640263853</t>
  </si>
  <si>
    <t>-499.153553148322 -120.537317738356 825.672182709314</t>
  </si>
  <si>
    <t>9763-20170724T115452.660867800.bin</t>
  </si>
  <si>
    <t>-588.808637330097 38.9737229097789 -92.5850590043037</t>
  </si>
  <si>
    <t>-608.785244460025 34.6737246734251 -201.396575699407</t>
  </si>
  <si>
    <t>-622.049098781928 34.1465315475559 -293.31839126906</t>
  </si>
  <si>
    <t>-633.542546122144 34.8464894989968 -376.417933715763</t>
  </si>
  <si>
    <t>-643.977041559561 36.752581058983 -459.638293562668</t>
  </si>
  <si>
    <t>-658.064625811684 40.8582849329362 -581.415208566922</t>
  </si>
  <si>
    <t>-647.79626229142 48.1782694440151 -658.753340476398</t>
  </si>
  <si>
    <t>-653.310494493439 70.3616311713699 -526.759971487197</t>
  </si>
  <si>
    <t>-630.506188866651 221.472699108161 -495.398423714022</t>
  </si>
  <si>
    <t>-599.315145900132 226.207923870708 -215.071276736475</t>
  </si>
  <si>
    <t>-395.477088087419 118.693776725297 -244.041623499174</t>
  </si>
  <si>
    <t>-650.455766552695 7.7517385745939 -529.20112105035</t>
  </si>
  <si>
    <t>-595.747469261087 131.259800897126 -96.6943336535459</t>
  </si>
  <si>
    <t>-624.787004797142 141.329806079934 317.74244316471</t>
  </si>
  <si>
    <t>-669.253992277274 181.308998527492 777.034901828457</t>
  </si>
  <si>
    <t>-519.281283812369 183.830425711522 835.221293923434</t>
  </si>
  <si>
    <t>-596.391105565226 -69.4187786004964 323.160426975334</t>
  </si>
  <si>
    <t>-653.064998030073 -104.937881231853 781.342798530772</t>
  </si>
  <si>
    <t>-499.183215220406 -120.567903424273 825.613837436809</t>
  </si>
  <si>
    <t>9763-20170724T115452.728765600.bin</t>
  </si>
  <si>
    <t>-588.175603852048 38.7720502936456 -92.5739705508795</t>
  </si>
  <si>
    <t>-608.065959631433 34.4416413647361 -201.400037896277</t>
  </si>
  <si>
    <t>-621.276490278466 33.9065991550196 -293.32951199059</t>
  </si>
  <si>
    <t>-632.72959406737 34.6062994709205 -376.434734192045</t>
  </si>
  <si>
    <t>-643.131667150138 36.5192452239112 -459.658960086657</t>
  </si>
  <si>
    <t>-657.180526081088 40.6429325157201 -581.439744344172</t>
  </si>
  <si>
    <t>-646.851451736028 47.9781922897268 -658.768274608409</t>
  </si>
  <si>
    <t>-652.4660099474 70.1371216044604 -526.776057320627</t>
  </si>
  <si>
    <t>-629.766115760856 221.253903459375 -495.385342598999</t>
  </si>
  <si>
    <t>-598.668631883601 225.966929423592 -215.047542368542</t>
  </si>
  <si>
    <t>-394.725859469099 118.547321008733 -243.629088693263</t>
  </si>
  <si>
    <t>-649.566006457889 7.52983335456815 -529.23058189274</t>
  </si>
  <si>
    <t>-595.125805863804 131.053580360726 -96.7054625721266</t>
  </si>
  <si>
    <t>-624.454689153496 141.220013456072 317.708647646981</t>
  </si>
  <si>
    <t>-669.235206559939 181.267949197592 776.962190816898</t>
  </si>
  <si>
    <t>-519.289910544115 183.879878713929 835.215264133616</t>
  </si>
  <si>
    <t>-596.181594424521 -69.7192593054579 323.167100406793</t>
  </si>
  <si>
    <t>-653.142783094524 -104.970500341881 781.337752520612</t>
  </si>
  <si>
    <t>-499.274023436377 -121.013728934262 825.506121469058</t>
  </si>
  <si>
    <t>9763-20170724T115452.762855600.bin</t>
  </si>
  <si>
    <t>-587.856308412082 38.6587993907563 -92.5759483095281</t>
  </si>
  <si>
    <t>-607.729816459335 34.321153428612 -201.404932398246</t>
  </si>
  <si>
    <t>-620.925919120315 33.7829303747876 -293.336421345787</t>
  </si>
  <si>
    <t>-632.365840842282 34.4807135413635 -376.443523533385</t>
  </si>
  <si>
    <t>-642.754646623156 36.3928705118246 -459.669415576067</t>
  </si>
  <si>
    <t>-656.78405686608 40.5164754885973 -581.452343583345</t>
  </si>
  <si>
    <t>-646.425175586605 47.8464957632616 -658.777511127425</t>
  </si>
  <si>
    <t>-652.091826561271 70.0099284199148 -526.786515873747</t>
  </si>
  <si>
    <t>-629.490160549724 221.146227536506 -495.400664869877</t>
  </si>
  <si>
    <t>-598.40487789333 225.760958023966 -215.059794326857</t>
  </si>
  <si>
    <t>-394.346878830277 118.496643294483 -243.401252446026</t>
  </si>
  <si>
    <t>-649.164356714239 7.40412882866644 -529.243502703792</t>
  </si>
  <si>
    <t>-594.842828014431 130.987257259766 -96.7097605384896</t>
  </si>
  <si>
    <t>-624.267542133492 141.167584605471 317.69727911233</t>
  </si>
  <si>
    <t>-669.220182725669 181.258765222784 776.928045866958</t>
  </si>
  <si>
    <t>-519.285895849877 183.863092811313 835.209710935297</t>
  </si>
  <si>
    <t>-596.023637721345 -69.9054198646991 323.163804155987</t>
  </si>
  <si>
    <t>-653.18397266003 -104.964108686214 781.329528530246</t>
  </si>
  <si>
    <t>-499.308422990056 -121.093129891886 825.442963275806</t>
  </si>
  <si>
    <t>9763-20170724T115452.831735800.bin</t>
  </si>
  <si>
    <t>-587.302077787524 38.3543126759753 -92.5903860223235</t>
  </si>
  <si>
    <t>-607.124485605729 33.9973481527288 -201.427831668772</t>
  </si>
  <si>
    <t>-620.276758694873 33.4375711982996 -293.365579741736</t>
  </si>
  <si>
    <t>-631.676725028035 34.1131829272988 -376.478301881129</t>
  </si>
  <si>
    <t>-642.025178326545 36.0006334404604 -459.709765865615</t>
  </si>
  <si>
    <t>-655.995060893402 40.0855050221228 -581.50091485701</t>
  </si>
  <si>
    <t>-645.586582839567 47.4065695015352 -658.820265935023</t>
  </si>
  <si>
    <t>-651.342071433995 69.5958201949959 -526.840603220974</t>
  </si>
  <si>
    <t>-628.902410312286 220.761991488193 -495.508956291489</t>
  </si>
  <si>
    <t>-597.910170654396 225.219844297422 -215.155262351015</t>
  </si>
  <si>
    <t>-393.704729675183 118.020841539499 -242.669702636749</t>
  </si>
  <si>
    <t>-648.388299414785 6.99041146367858 -529.279214032725</t>
  </si>
  <si>
    <t>-594.324245942021 130.708324028069 -96.7239429628992</t>
  </si>
  <si>
    <t>-624.00109287931 140.962482586254 317.663285686191</t>
  </si>
  <si>
    <t>-669.205622711547 181.216914293796 776.855020992427</t>
  </si>
  <si>
    <t>-519.296377986801 183.978839658301 835.19375055328</t>
  </si>
  <si>
    <t>-595.783804897721 -70.3225891194936 323.151862444009</t>
  </si>
  <si>
    <t>-653.231578526987 -104.949992372288 781.316880553105</t>
  </si>
  <si>
    <t>-499.324543635932 -120.963310958471 825.362604369646</t>
  </si>
  <si>
    <t>9763-20170724T115452.860813300.bin</t>
  </si>
  <si>
    <t>-587.072422923321 38.2391552759714 -92.5984707434347</t>
  </si>
  <si>
    <t>-606.857261453335 33.8753344034055 -201.442498836863</t>
  </si>
  <si>
    <t>-619.975034933509 33.3138699971214 -293.38507665199</t>
  </si>
  <si>
    <t>-631.3427974037 33.9892499726291 -376.502217307823</t>
  </si>
  <si>
    <t>-641.6578234747 35.8781550863923 -459.737817180283</t>
  </si>
  <si>
    <t>-655.57762160022 39.9669005198855 -581.534598431344</t>
  </si>
  <si>
    <t>-645.138534929178 47.3072863331099 -658.847915494795</t>
  </si>
  <si>
    <t>-650.950742968674 69.4752282167199 -526.871004457596</t>
  </si>
  <si>
    <t>-628.508181709854 220.644638003795 -495.53880483791</t>
  </si>
  <si>
    <t>-597.578754801804 225.05214361405 -215.177410637608</t>
  </si>
  <si>
    <t>-393.413706026045 117.756894926195 -242.616247422823</t>
  </si>
  <si>
    <t>-647.988735196245 6.87026139278692 -529.311257827652</t>
  </si>
  <si>
    <t>-594.083240086502 130.619435665393 -96.7408851950745</t>
  </si>
  <si>
    <t>-623.879129022477 140.934601794332 317.636306906527</t>
  </si>
  <si>
    <t>-669.183636623971 181.248741056506 776.817867611082</t>
  </si>
  <si>
    <t>-519.285819892718 183.989114543989 835.186962555249</t>
  </si>
  <si>
    <t>-595.682975072144 -70.4572589125544 323.148511167162</t>
  </si>
  <si>
    <t>-653.241154474907 -104.947850911197 781.315521073341</t>
  </si>
  <si>
    <t>-499.330447656946 -120.938086244631 825.356754000143</t>
  </si>
  <si>
    <t>9763-20170724T115452.925995300.bin</t>
  </si>
  <si>
    <t>-586.71640086612 37.9747282240983 -92.6043336075877</t>
  </si>
  <si>
    <t>-606.406833813551 33.6052583268663 -201.465329031787</t>
  </si>
  <si>
    <t>-619.439771736056 33.0217905345189 -293.419742009554</t>
  </si>
  <si>
    <t>-630.729016096192 33.6705693470433 -376.547773933086</t>
  </si>
  <si>
    <t>-640.96373461748 35.5263677704413 -459.794046605272</t>
  </si>
  <si>
    <t>-654.764344589376 39.5592922481242 -581.606214532468</t>
  </si>
  <si>
    <t>-644.279749733555 46.9359898720334 -658.910034462451</t>
  </si>
  <si>
    <t>-650.197267397763 69.0923582204655 -526.951031537973</t>
  </si>
  <si>
    <t>-627.786590629121 220.278557494359 -495.684960757537</t>
  </si>
  <si>
    <t>-596.694404486418 224.6231889346 -215.3405478927</t>
  </si>
  <si>
    <t>-392.721538842906 117.011786725108 -242.969971303124</t>
  </si>
  <si>
    <t>-647.220247053526 6.4869378429421 -529.36113094135</t>
  </si>
  <si>
    <t>-593.647190502918 130.41058547037 -96.7692894373396</t>
  </si>
  <si>
    <t>-623.637718316234 140.833916051087 317.59110922733</t>
  </si>
  <si>
    <t>-669.190119311558 181.1514645558 776.752177234632</t>
  </si>
  <si>
    <t>-519.311993544905 184.099236769731 835.161739564013</t>
  </si>
  <si>
    <t>-595.660275081055 -70.8616270810126 323.130831818163</t>
  </si>
  <si>
    <t>-653.235053204942 -104.969516783565 781.326520006659</t>
  </si>
  <si>
    <t>-499.356088625749 -121.146799409505 825.410342305476</t>
  </si>
  <si>
    <t>9763-20170724T115452.960085300.bin</t>
  </si>
  <si>
    <t>-586.610534097944 37.8573773887917 -92.6235563265085</t>
  </si>
  <si>
    <t>-606.230924785083 33.4790432794096 -201.496740570311</t>
  </si>
  <si>
    <t>-619.207702818143 32.8843294220558 -293.459194792778</t>
  </si>
  <si>
    <t>-630.447400410949 33.5218221147913 -376.593936273882</t>
  </si>
  <si>
    <t>-640.633848181556 35.36482055696 -459.846348235125</t>
  </si>
  <si>
    <t>-654.365275856404 39.3776735147169 -581.667041355709</t>
  </si>
  <si>
    <t>-643.878891127006 46.7740377820633 -658.968715948949</t>
  </si>
  <si>
    <t>-649.829678296884 68.9196931627218 -527.014153673973</t>
  </si>
  <si>
    <t>-627.465386019424 220.118355272507 -495.775967646782</t>
  </si>
  <si>
    <t>-596.23716030047 224.513088696701 -215.447550296752</t>
  </si>
  <si>
    <t>-392.411896448414 116.669535600588 -243.260416862473</t>
  </si>
  <si>
    <t>-646.850426686706 6.31402770356362 -529.412351306751</t>
  </si>
  <si>
    <t>-593.505194782276 130.344874984702 -96.7986715686251</t>
  </si>
  <si>
    <t>-623.571009104483 140.823415766912 317.554823852779</t>
  </si>
  <si>
    <t>-669.168849003833 181.230005775429 776.708349218764</t>
  </si>
  <si>
    <t>-519.295048821338 183.906363092259 835.142173800251</t>
  </si>
  <si>
    <t>-595.704493575596 -71.0897526976239 323.116625359072</t>
  </si>
  <si>
    <t>-653.219072608893 -104.970133261548 781.338202406841</t>
  </si>
  <si>
    <t>-499.344532111258 -121.090348058454 825.458299576425</t>
  </si>
  <si>
    <t>9763-20170724T115453.028972900.bin</t>
  </si>
  <si>
    <t>-586.479949844091 37.6259066376329 -92.6607112551343</t>
  </si>
  <si>
    <t>-605.969193585596 33.2386351898679 -201.557075816493</t>
  </si>
  <si>
    <t>-618.837016187861 32.6303518428133 -293.534613160599</t>
  </si>
  <si>
    <t>-629.979175802391 33.2536256016508 -376.682801143307</t>
  </si>
  <si>
    <t>-640.068952878609 35.0801595135897 -459.947352669559</t>
  </si>
  <si>
    <t>-653.659956709103 39.066925865194 -581.784533831497</t>
  </si>
  <si>
    <t>-643.177422499738 46.496866445412 -659.08347247742</t>
  </si>
  <si>
    <t>-649.174669258236 68.6212763252099 -527.134343371631</t>
  </si>
  <si>
    <t>-626.732368969519 219.819907137705 -495.934681453163</t>
  </si>
  <si>
    <t>-595.422464049557 224.256421539809 -215.616002838229</t>
  </si>
  <si>
    <t>-391.893353415442 115.91582758993 -243.664800364529</t>
  </si>
  <si>
    <t>-646.218041201056 6.01380376568409 -529.512768286473</t>
  </si>
  <si>
    <t>-593.285497757951 130.160040250966 -96.8589557953297</t>
  </si>
  <si>
    <t>-623.547759476079 140.73136790893 317.477940421487</t>
  </si>
  <si>
    <t>-669.176119818906 181.196449417491 776.626354548327</t>
  </si>
  <si>
    <t>-519.313583999291 183.980740083895 835.08393761228</t>
  </si>
  <si>
    <t>-595.803261290824 -71.4313903048792 323.09958192165</t>
  </si>
  <si>
    <t>-653.176665424688 -104.971954060596 781.367386697432</t>
  </si>
  <si>
    <t>-499.343441266111 -121.20954406466 825.588522246186</t>
  </si>
  <si>
    <t>9763-20170724T115453.062060800.bin</t>
  </si>
  <si>
    <t>-586.443786112977 37.5871488128853 -92.6811275421715</t>
  </si>
  <si>
    <t>-605.873681553937 33.188253729383 -201.587651531002</t>
  </si>
  <si>
    <t>-618.67918473377 32.5620491149571 -293.573771117377</t>
  </si>
  <si>
    <t>-629.759902821456 33.1663975964177 -376.730241794092</t>
  </si>
  <si>
    <t>-639.783031175592 34.9708065369416 -460.003302036224</t>
  </si>
  <si>
    <t>-653.27100441933 38.9212516317916 -581.853337696355</t>
  </si>
  <si>
    <t>-642.774989713608 46.3588947015112 -659.149636527685</t>
  </si>
  <si>
    <t>-648.814743927743 68.4927193510089 -527.209881702194</t>
  </si>
  <si>
    <t>-626.261130604262 219.681214323967 -496.056747485548</t>
  </si>
  <si>
    <t>-595.106994968817 224.223320694339 -215.722374616985</t>
  </si>
  <si>
    <t>-391.784346602092 115.613624178612 -244.224364842475</t>
  </si>
  <si>
    <t>-645.890467107717 5.88279468606174 -529.56341317852</t>
  </si>
  <si>
    <t>-593.215582212949 130.123924114145 -96.8942391430194</t>
  </si>
  <si>
    <t>-623.532207320055 140.725645387935 317.437949994486</t>
  </si>
  <si>
    <t>-669.178067098233 181.193753740818 776.58718424694</t>
  </si>
  <si>
    <t>-519.320310426965 184.072173844191 835.052487254977</t>
  </si>
  <si>
    <t>-595.886697286091 -71.516451704641 323.091195081502</t>
  </si>
  <si>
    <t>-653.16002729422 -104.998742949905 781.37905886957</t>
  </si>
  <si>
    <t>-499.351169197573 -121.363325168737 825.637978715457</t>
  </si>
  <si>
    <t>9763-20170724T115453.128243100.bin</t>
  </si>
  <si>
    <t>-586.325775757108 37.7298991567106 -92.7162878184345</t>
  </si>
  <si>
    <t>-605.669808124426 33.3172574126097 -201.637511333653</t>
  </si>
  <si>
    <t>-618.368771399232 32.6410328406678 -293.638106344385</t>
  </si>
  <si>
    <t>-629.339634352739 33.1855795704678 -376.809540398405</t>
  </si>
  <si>
    <t>-639.239280368079 34.9147823513044 -460.099008123313</t>
  </si>
  <si>
    <t>-652.53171921976 38.738652841555 -581.974412339473</t>
  </si>
  <si>
    <t>-641.987064462618 46.1550948922356 -659.266272877774</t>
  </si>
  <si>
    <t>-648.134610930206 68.3684098646077 -527.357803152024</t>
  </si>
  <si>
    <t>-625.33500196291 219.569674275184 -496.431181006862</t>
  </si>
  <si>
    <t>-594.608839961635 224.337743038997 -216.053403557294</t>
  </si>
  <si>
    <t>-391.797627223152 115.08044721378 -245.70125053581</t>
  </si>
  <si>
    <t>-645.263613692418 5.75315525698261 -529.635423190929</t>
  </si>
  <si>
    <t>-593.015236469372 130.300284084293 -96.9671854501687</t>
  </si>
  <si>
    <t>-623.457624625836 140.853382966342 317.356900849889</t>
  </si>
  <si>
    <t>-669.169300903584 181.239607688865 776.507936776468</t>
  </si>
  <si>
    <t>-519.318317265655 183.950904176275 834.998624920686</t>
  </si>
  <si>
    <t>-595.914814958684 -71.4701209906116 323.08267713836</t>
  </si>
  <si>
    <t>-653.123792435082 -104.982912736433 781.391037118936</t>
  </si>
  <si>
    <t>-499.309566400008 -121.11177666082 825.717739867293</t>
  </si>
  <si>
    <t>9763-20170724T115453.162334800.bin</t>
  </si>
  <si>
    <t>-586.296981974828 37.8320986754684 -92.7373218564679</t>
  </si>
  <si>
    <t>-605.605665993591 33.4100940739734 -201.664500299507</t>
  </si>
  <si>
    <t>-618.281915588736 32.7036371453087 -293.66796111064</t>
  </si>
  <si>
    <t>-629.235426059306 33.2122860724319 -376.841935325535</t>
  </si>
  <si>
    <t>-639.120862948083 34.8969661408607 -460.133989365068</t>
  </si>
  <si>
    <t>-652.396095609068 38.6464679864489 -582.013555276535</t>
  </si>
  <si>
    <t>-641.842050114136 46.0420373854208 -659.305967489976</t>
  </si>
  <si>
    <t>-647.996429032126 68.3101015846539 -527.415456570779</t>
  </si>
  <si>
    <t>-625.093574683461 219.515066899124 -496.619845189884</t>
  </si>
  <si>
    <t>-594.397629173292 224.375139413048 -216.24032556787</t>
  </si>
  <si>
    <t>-391.940939227295 114.651118752606 -246.579517182367</t>
  </si>
  <si>
    <t>-645.145618586574 5.69241569675955 -529.652236460104</t>
  </si>
  <si>
    <t>-592.924492186458 130.395191894318 -97.0018744861751</t>
  </si>
  <si>
    <t>-623.427303784471 140.896863300495 317.319103015315</t>
  </si>
  <si>
    <t>-669.184647388024 181.20769310646 776.474285405573</t>
  </si>
  <si>
    <t>-519.336922846749 183.983681435598 834.970327396116</t>
  </si>
  <si>
    <t>-595.953230565142 -71.4138904624931 323.081058408569</t>
  </si>
  <si>
    <t>-653.103365730471 -104.979780123936 781.394439226303</t>
  </si>
  <si>
    <t>-499.307130975746 -121.176904851607 825.758835203954</t>
  </si>
  <si>
    <t>9763-20170724T115453.230534200.bin</t>
  </si>
  <si>
    <t>-586.400137210232 38.0814651079234 -92.7878832275384</t>
  </si>
  <si>
    <t>-605.632151299387 33.6360211501444 -201.727614990592</t>
  </si>
  <si>
    <t>-618.277802378411 32.8734126562579 -293.734928365559</t>
  </si>
  <si>
    <t>-629.218136395215 33.3178685755347 -376.910972615642</t>
  </si>
  <si>
    <t>-639.105229345988 34.9250605021305 -460.204253841972</t>
  </si>
  <si>
    <t>-652.399669688593 38.5467102299838 -582.085647770619</t>
  </si>
  <si>
    <t>-641.815871241052 45.8865903719509 -659.379450664593</t>
  </si>
  <si>
    <t>-648.000649378182 68.2671470444536 -527.518481014947</t>
  </si>
  <si>
    <t>-625.008434734076 219.49965412505 -496.890387212399</t>
  </si>
  <si>
    <t>-594.028469304511 224.750225235081 -216.549140780446</t>
  </si>
  <si>
    <t>-392.503029679717 113.989046104777 -249.229133388067</t>
  </si>
  <si>
    <t>-645.131681650503 5.64808455829188 -529.691961012776</t>
  </si>
  <si>
    <t>-592.889493533176 130.684261058546 -97.0895719949215</t>
  </si>
  <si>
    <t>-623.510953008147 141.089812599612 317.225129924131</t>
  </si>
  <si>
    <t>-669.185398559201 181.269071102097 776.398175865663</t>
  </si>
  <si>
    <t>-519.345347362135 184.006807442737 834.915623597338</t>
  </si>
  <si>
    <t>-596.213993128359 -71.3404440904731 323.072188107143</t>
  </si>
  <si>
    <t>-653.02701646829 -104.981992452736 781.414703823749</t>
  </si>
  <si>
    <t>-499.269174993858 -121.157167207504 825.919978572888</t>
  </si>
  <si>
    <t>9763-20170724T115453.265628400.bin</t>
  </si>
  <si>
    <t>-586.562302053869 38.1793025433631 -92.8224813729377</t>
  </si>
  <si>
    <t>-605.738199233476 33.7220654356645 -201.771705697226</t>
  </si>
  <si>
    <t>-618.362626933499 32.9305648585346 -293.781621154509</t>
  </si>
  <si>
    <t>-629.294599669027 33.3416953939393 -376.958854558589</t>
  </si>
  <si>
    <t>-639.184553523868 34.9084547651853 -460.252637125067</t>
  </si>
  <si>
    <t>-652.495643738867 38.4638236180128 -582.134274826771</t>
  </si>
  <si>
    <t>-641.897788672275 45.7787864818172 -659.428449332769</t>
  </si>
  <si>
    <t>-648.112810287578 68.2127434712972 -527.581166448045</t>
  </si>
  <si>
    <t>-625.16335250803 219.467413281576 -497.037524285912</t>
  </si>
  <si>
    <t>-593.847318848333 225.033101561112 -216.739538941611</t>
  </si>
  <si>
    <t>-392.806941206886 113.980628886793 -251.360877286501</t>
  </si>
  <si>
    <t>-645.196887973615 5.59482050349811 -529.726258408515</t>
  </si>
  <si>
    <t>-593.011488868664 130.822260241265 -97.1445148296448</t>
  </si>
  <si>
    <t>-623.605033112852 141.204638590412 317.172770809191</t>
  </si>
  <si>
    <t>-669.179505060971 181.329615730705 776.358195747327</t>
  </si>
  <si>
    <t>-519.34249208233 184.045627922915 834.884319114694</t>
  </si>
  <si>
    <t>-596.406134441098 -71.3429991252995 323.052939787856</t>
  </si>
  <si>
    <t>-652.965401907752 -104.994347114339 781.432088359087</t>
  </si>
  <si>
    <t>-499.284438675587 -121.558755538552 826.059522156096</t>
  </si>
  <si>
    <t>9763-20170724T115453.325292300.bin</t>
  </si>
  <si>
    <t>-586.968868076319 38.4900857195951 -92.8792738729585</t>
  </si>
  <si>
    <t>-606.065464221591 33.9690750005036 -201.839731172408</t>
  </si>
  <si>
    <t>-618.658369355465 33.1093121844328 -293.853358015027</t>
  </si>
  <si>
    <t>-629.576466353714 33.4518397040717 -377.032700412135</t>
  </si>
  <si>
    <t>-639.46723082861 34.944419028594 -460.327942646302</t>
  </si>
  <si>
    <t>-652.796079010179 38.3847772751228 -582.210672881005</t>
  </si>
  <si>
    <t>-642.175788349416 45.6737845606349 -659.504264622391</t>
  </si>
  <si>
    <t>-648.462417400006 68.1821825264635 -527.680244372006</t>
  </si>
  <si>
    <t>-625.685162280633 219.494607065877 -497.295962057855</t>
  </si>
  <si>
    <t>-593.669424706858 225.502780769666 -217.086254769941</t>
  </si>
  <si>
    <t>-393.282973796911 114.337755302358 -254.982597460131</t>
  </si>
  <si>
    <t>-645.432591436746 5.56816948741925 -529.779073220702</t>
  </si>
  <si>
    <t>-593.519729358983 131.163938778198 -97.2561783027461</t>
  </si>
  <si>
    <t>-623.984855325909 141.474817203262 317.072355296826</t>
  </si>
  <si>
    <t>-669.200354074776 181.330912217849 776.310058331455</t>
  </si>
  <si>
    <t>-519.364394731478 184.034234292738 834.83950456587</t>
  </si>
  <si>
    <t>-596.608116192832 -71.1627558712491 323.039836025885</t>
  </si>
  <si>
    <t>-652.839845130722 -104.958394754739 781.473298076155</t>
  </si>
  <si>
    <t>-499.181858306639 -121.208366883202 826.294980284475</t>
  </si>
  <si>
    <t>9763-20170724T115453.362427400.bin</t>
  </si>
  <si>
    <t>-587.195590258122 38.6264167899601 -92.8892804287516</t>
  </si>
  <si>
    <t>-606.287229873241 34.075813465839 -201.849371772634</t>
  </si>
  <si>
    <t>-618.894295252379 33.1915209340955 -293.860927547474</t>
  </si>
  <si>
    <t>-629.832658862011 33.5109530678455 -377.037776158075</t>
  </si>
  <si>
    <t>-639.751387171948 34.9803064809155 -460.330008096935</t>
  </si>
  <si>
    <t>-653.129559656582 38.3867249294942 -582.20835355558</t>
  </si>
  <si>
    <t>-642.522203359129 45.6780977716987 -659.503383804105</t>
  </si>
  <si>
    <t>-648.817505049093 68.1970746167219 -527.683106379909</t>
  </si>
  <si>
    <t>-626.138647274293 219.538364392847 -497.365978105736</t>
  </si>
  <si>
    <t>-593.841111711652 225.567311837654 -217.189106003831</t>
  </si>
  <si>
    <t>-393.663328081832 114.494554011737 -256.434787945614</t>
  </si>
  <si>
    <t>-645.701128972712 5.58704920313858 -529.775160176859</t>
  </si>
  <si>
    <t>-593.836453869726 131.314771780062 -97.2905792861607</t>
  </si>
  <si>
    <t>-624.17095013673 141.619410038873 317.047715138694</t>
  </si>
  <si>
    <t>-669.198409072048 181.400854246328 776.301792055015</t>
  </si>
  <si>
    <t>-519.356500551634 184.032351453245 834.819351522702</t>
  </si>
  <si>
    <t>-596.654164380562 -71.0344307239341 323.039900718883</t>
  </si>
  <si>
    <t>-652.815053827559 -104.926550903076 781.475144227306</t>
  </si>
  <si>
    <t>-499.162776264341 -121.107326331161 826.341418075015</t>
  </si>
  <si>
    <t>9763-20170724T115453.426101600.bin</t>
  </si>
  <si>
    <t>-587.680331353689 38.9444462464323 -92.910223829897</t>
  </si>
  <si>
    <t>-606.817798047063 34.3456967975155 -201.860268730082</t>
  </si>
  <si>
    <t>-619.448060941107 33.4418780807764 -293.868460169336</t>
  </si>
  <si>
    <t>-630.401553040103 33.7505625553063 -377.043295967383</t>
  </si>
  <si>
    <t>-640.330159714606 35.2175216249007 -460.334391193551</t>
  </si>
  <si>
    <t>-653.717168269683 38.6306611054674 -582.211614523944</t>
  </si>
  <si>
    <t>-643.12155884539 45.936695176222 -659.506958764013</t>
  </si>
  <si>
    <t>-649.514670839082 68.4317797120536 -527.672905848792</t>
  </si>
  <si>
    <t>-627.150883341081 219.808810736998 -497.335011000382</t>
  </si>
  <si>
    <t>-594.292504879457 225.962815229676 -217.225996086084</t>
  </si>
  <si>
    <t>-394.478802691245 115.133664422371 -258.9383384862</t>
  </si>
  <si>
    <t>-646.171405574142 5.83431850860734 -529.792987783972</t>
  </si>
  <si>
    <t>-594.5350473865 131.646196761823 -97.3419478745373</t>
  </si>
  <si>
    <t>-624.458274887697 141.856841528406 317.028561059191</t>
  </si>
  <si>
    <t>-669.225668956489 181.38130310955 776.313927993335</t>
  </si>
  <si>
    <t>-519.370160690926 183.993470915504 834.797454763692</t>
  </si>
  <si>
    <t>-596.739165376065 -70.740673273014 323.046756991958</t>
  </si>
  <si>
    <t>-652.690125948201 -104.916728487302 781.480962730961</t>
  </si>
  <si>
    <t>-499.080562083182 -120.85628814173 826.579203762248</t>
  </si>
  <si>
    <t>9763-20170724T115453.464206200.bin</t>
  </si>
  <si>
    <t>-587.934531124716 39.1131324689002 -92.9223815532769</t>
  </si>
  <si>
    <t>-607.08291133924 34.500243749161 -201.869928310407</t>
  </si>
  <si>
    <t>-619.702874822296 33.5781928645836 -293.879256360764</t>
  </si>
  <si>
    <t>-630.639719364949 33.8668593681464 -377.056384443721</t>
  </si>
  <si>
    <t>-640.544537280371 35.3116611510088 -460.350702347655</t>
  </si>
  <si>
    <t>-653.88932098068 38.6898615509056 -582.233557606598</t>
  </si>
  <si>
    <t>-643.296004947278 45.998860494203 -659.529016270144</t>
  </si>
  <si>
    <t>-649.767758234698 68.5028801787889 -527.695121545454</t>
  </si>
  <si>
    <t>-627.645134198114 219.928862542661 -497.343885800366</t>
  </si>
  <si>
    <t>-594.402896303903 225.995480803861 -217.278284239899</t>
  </si>
  <si>
    <t>-394.689904247333 115.450564328738 -260.209382353258</t>
  </si>
  <si>
    <t>-646.299730756577 5.91222697528178 -529.809588143584</t>
  </si>
  <si>
    <t>-594.884566363051 131.814218356353 -97.354363027861</t>
  </si>
  <si>
    <t>-624.593795443331 141.979488549097 317.032684931533</t>
  </si>
  <si>
    <t>-669.221922116588 181.440634082594 776.338113621461</t>
  </si>
  <si>
    <t>-519.354381849569 183.825670121488 834.800593165141</t>
  </si>
  <si>
    <t>-596.769346840143 -70.5913456270118 323.056689758734</t>
  </si>
  <si>
    <t>-652.610407497886 -104.90847602837 781.512171161926</t>
  </si>
  <si>
    <t>-499.029342936529 -120.775909314342 826.732763874211</t>
  </si>
  <si>
    <t>9763-20170724T115453.528387400.bin</t>
  </si>
  <si>
    <t>-588.417552694033 39.3068154190569 -92.8754101805183</t>
  </si>
  <si>
    <t>-607.608661683606 34.677658416485 -201.814713323455</t>
  </si>
  <si>
    <t>-620.220288869363 33.703590158558 -293.824651160965</t>
  </si>
  <si>
    <t>-631.132368586162 33.9273943876124 -377.005337497698</t>
  </si>
  <si>
    <t>-640.99568583347 35.2917345574999 -460.305861256128</t>
  </si>
  <si>
    <t>-654.261965954817 38.5354297169636 -582.201005076774</t>
  </si>
  <si>
    <t>-643.722543964459 45.8702258614235 -659.501197192282</t>
  </si>
  <si>
    <t>-650.314817761509 68.4001411940976 -527.677896366688</t>
  </si>
  <si>
    <t>-628.84073196961 219.913549613978 -497.319695459932</t>
  </si>
  <si>
    <t>-594.519757530562 225.445343253162 -217.37317741449</t>
  </si>
  <si>
    <t>-394.761813567095 115.648844425975 -261.982848197782</t>
  </si>
  <si>
    <t>-646.566830516625 5.82420937015263 -529.751066566147</t>
  </si>
  <si>
    <t>-595.70235577191 131.892407759861 -97.3022214438311</t>
  </si>
  <si>
    <t>-624.966730404448 142.061231212177 317.116418473979</t>
  </si>
  <si>
    <t>-669.268624110332 181.334581351033 776.437078338319</t>
  </si>
  <si>
    <t>-519.376722151949 183.974753164797 834.826101373559</t>
  </si>
  <si>
    <t>-596.756971282884 -70.3363672273426 323.078562041675</t>
  </si>
  <si>
    <t>-652.544576365537 -104.883015393853 781.513876920211</t>
  </si>
  <si>
    <t>-499.005620492362 -120.742521854593 826.880009088357</t>
  </si>
  <si>
    <t>9763-20170724T115453.561477000.bin</t>
  </si>
  <si>
    <t>-588.588975861254 39.4196515392871 -92.8574519792041</t>
  </si>
  <si>
    <t>-607.811699032714 34.773296450448 -201.790526626465</t>
  </si>
  <si>
    <t>-620.418526255475 33.7738573926913 -293.800868097513</t>
  </si>
  <si>
    <t>-631.313561718122 33.9687469713931 -376.983643393197</t>
  </si>
  <si>
    <t>-641.14734369924 35.2991390620045 -460.288402417771</t>
  </si>
  <si>
    <t>-654.356715531287 38.4877078769568 -582.191031144306</t>
  </si>
  <si>
    <t>-643.87412526031 45.8680567740716 -659.494747983599</t>
  </si>
  <si>
    <t>-650.501055734038 68.3727534571442 -527.672675053977</t>
  </si>
  <si>
    <t>-629.318914817109 219.91385728441 -497.28491126585</t>
  </si>
  <si>
    <t>-594.31182601479 225.265850751797 -217.419924285104</t>
  </si>
  <si>
    <t>-394.418634427345 115.926215474277 -262.542995681413</t>
  </si>
  <si>
    <t>-646.620127208076 5.80425348806853 -529.729779000971</t>
  </si>
  <si>
    <t>-596.073698467401 131.951842217778 -97.2679710406104</t>
  </si>
  <si>
    <t>-625.187303145903 142.11132226772 317.161512245165</t>
  </si>
  <si>
    <t>-669.262484724744 181.373686199778 776.500550646778</t>
  </si>
  <si>
    <t>-519.356257969427 183.870914394131 834.859077433232</t>
  </si>
  <si>
    <t>-596.662325930131 -70.1735262237748 323.08972894554</t>
  </si>
  <si>
    <t>-652.483024510278 -104.859844181996 781.497636558473</t>
  </si>
  <si>
    <t>-498.951059923267 -120.429775400875 826.987631871352</t>
  </si>
  <si>
    <t>9763-20170724T115453.629418200.bin</t>
  </si>
  <si>
    <t>-588.719467609648 39.5815147724741 -92.7484079341234</t>
  </si>
  <si>
    <t>-608.043814291527 34.9060915046434 -201.662132612659</t>
  </si>
  <si>
    <t>-620.710253494088 33.8501792729724 -293.663636487726</t>
  </si>
  <si>
    <t>-631.648253547525 33.9778320402384 -376.841069834451</t>
  </si>
  <si>
    <t>-641.514106726584 35.2263497652234 -460.143076021563</t>
  </si>
  <si>
    <t>-654.75825042807 38.2789924860008 -582.045569998833</t>
  </si>
  <si>
    <t>-644.418988371519 45.7063406450502 -659.363997486981</t>
  </si>
  <si>
    <t>-650.969892071836 68.2193024263102 -527.552724665796</t>
  </si>
  <si>
    <t>-629.941254771456 219.7960283816 -497.238051731599</t>
  </si>
  <si>
    <t>-593.982043216337 224.964006569294 -217.490423400329</t>
  </si>
  <si>
    <t>-393.986945186448 116.188824541968 -263.517015154584</t>
  </si>
  <si>
    <t>-646.923794842243 5.65973793919534 -529.559003912446</t>
  </si>
  <si>
    <t>-596.643081324975 131.908850823387 -97.1280214292751</t>
  </si>
  <si>
    <t>-625.423887843605 142.086683713962 317.324206661211</t>
  </si>
  <si>
    <t>-669.25851990018 181.399482960146 776.679388653805</t>
  </si>
  <si>
    <t>-519.323246635768 183.866238177636 834.964572426467</t>
  </si>
  <si>
    <t>-596.179754979461 -69.7781565296841 323.188206200321</t>
  </si>
  <si>
    <t>-652.175921475922 -104.87733783133 781.56428389727</t>
  </si>
  <si>
    <t>-498.750445136151 -119.917207357078 827.588747264928</t>
  </si>
  <si>
    <t>9763-20170724T115453.662506700.bin</t>
  </si>
  <si>
    <t>-588.664315498645 39.6943420088792 -92.6648135598591</t>
  </si>
  <si>
    <t>-608.069299995342 35.0174875038313 -201.564139494175</t>
  </si>
  <si>
    <t>-620.809240233829 33.9421037782392 -293.555391030451</t>
  </si>
  <si>
    <t>-631.815763830535 34.0438113181433 -376.723687556632</t>
  </si>
  <si>
    <t>-641.752215441923 35.258799829794 -460.017887634678</t>
  </si>
  <si>
    <t>-655.101877909715 38.2537863067409 -581.910277581236</t>
  </si>
  <si>
    <t>-644.84623610448 45.6818610461655 -659.239851741326</t>
  </si>
  <si>
    <t>-651.289183789924 68.2183539406635 -527.432559073671</t>
  </si>
  <si>
    <t>-630.228192655145 219.798091184407 -497.148658015263</t>
  </si>
  <si>
    <t>-593.661755867847 224.829342781045 -217.477190253315</t>
  </si>
  <si>
    <t>-393.676393950511 116.2350162227 -263.970801295706</t>
  </si>
  <si>
    <t>-647.19912765158 5.66095158644794 -529.417457078061</t>
  </si>
  <si>
    <t>-596.711896833811 131.91501966175 -97.0289999619678</t>
  </si>
  <si>
    <t>-625.409963391038 142.043723302962 317.430211204869</t>
  </si>
  <si>
    <t>-669.250262832587 181.405446887534 776.774614749907</t>
  </si>
  <si>
    <t>-519.304415563518 183.879585041829 835.032204770981</t>
  </si>
  <si>
    <t>-595.949417749093 -69.5526791541863 323.262684771824</t>
  </si>
  <si>
    <t>-652.091145107718 -104.891941313297 781.58902377475</t>
  </si>
  <si>
    <t>-498.716599479891 -119.916842969241 827.787822092303</t>
  </si>
  <si>
    <t>9763-20170724T115453.730245200.bin</t>
  </si>
  <si>
    <t>-588.518784518904 40.0588906831083 -92.5147700040752</t>
  </si>
  <si>
    <t>-608.139634290216 35.3598700748944 -201.374550298965</t>
  </si>
  <si>
    <t>-621.102331814044 34.2806233450669 -293.334465056804</t>
  </si>
  <si>
    <t>-632.326230916355 34.3841824101689 -376.473829441233</t>
  </si>
  <si>
    <t>-642.49646584054 35.606477386706 -459.739756845629</t>
  </si>
  <si>
    <t>-656.205876857995 38.6183412773751 -581.591764453697</t>
  </si>
  <si>
    <t>-646.14664247504 46.0800287992979 -658.943764423997</t>
  </si>
  <si>
    <t>-652.26099938272 68.5733123868954 -527.118063944279</t>
  </si>
  <si>
    <t>-631.109798415599 220.122561892903 -496.765950058149</t>
  </si>
  <si>
    <t>-592.427138503309 224.60250548991 -217.369886390001</t>
  </si>
  <si>
    <t>-392.800347282086 115.71169182492 -264.703518995144</t>
  </si>
  <si>
    <t>-648.119614919015 6.02019648108967 -529.13015162909</t>
  </si>
  <si>
    <t>-596.731243200036 132.188978708727 -96.8547335964879</t>
  </si>
  <si>
    <t>-625.225696380684 142.210050702908 317.621188771421</t>
  </si>
  <si>
    <t>-669.233960236764 181.424141153791 776.974767643056</t>
  </si>
  <si>
    <t>-519.274697831504 183.874565814429 835.198856531518</t>
  </si>
  <si>
    <t>-595.490702761929 -69.0440134999869 323.410362623854</t>
  </si>
  <si>
    <t>-651.955785329399 -104.920692431219 781.614136053316</t>
  </si>
  <si>
    <t>-498.666098619167 -119.883624681441 828.113734399395</t>
  </si>
  <si>
    <t>9763-20170724T115453.757315600.bin</t>
  </si>
  <si>
    <t>-588.464985669864 40.2485380963008 -92.4234124724346</t>
  </si>
  <si>
    <t>-608.213159007947 35.5405279689269 -201.259708413973</t>
  </si>
  <si>
    <t>-621.293944253819 34.4853535150869 -293.203377711034</t>
  </si>
  <si>
    <t>-632.628600968545 34.62326718177 -376.327492505757</t>
  </si>
  <si>
    <t>-642.913925974765 35.8922602378179 -459.57856462706</t>
  </si>
  <si>
    <t>-656.796054353172 38.9862702507762 -581.408948343712</t>
  </si>
  <si>
    <t>-646.828286917476 46.50119714273 -658.767726784965</t>
  </si>
  <si>
    <t>-652.782926025408 68.9039417263591 -526.919738940772</t>
  </si>
  <si>
    <t>-631.536049333059 220.417131517423 -496.43739916577</t>
  </si>
  <si>
    <t>-591.706910624163 224.352165369047 -217.194306995987</t>
  </si>
  <si>
    <t>-392.357685423711 115.09577532544 -264.853989280392</t>
  </si>
  <si>
    <t>-648.626469215261 6.35329953337578 -528.981897048865</t>
  </si>
  <si>
    <t>-596.765969268372 132.373712974735 -96.7585744890745</t>
  </si>
  <si>
    <t>-625.089796979239 142.319441026042 317.730819200853</t>
  </si>
  <si>
    <t>-669.223602150588 181.44201502351 777.071439384822</t>
  </si>
  <si>
    <t>-519.257658017652 183.883516142729 835.278682185846</t>
  </si>
  <si>
    <t>-595.202771474302 -68.7887663014144 323.485645222874</t>
  </si>
  <si>
    <t>-651.857829999722 -104.893594341839 781.642574824518</t>
  </si>
  <si>
    <t>-498.604402673753 -119.654804459575 828.32580030705</t>
  </si>
  <si>
    <t>9763-20170724T115453.829162800.bin</t>
  </si>
  <si>
    <t>-588.375218395709 40.5173670204399 -92.2435478022071</t>
  </si>
  <si>
    <t>-608.418354644153 35.8117877069237 -201.026038767202</t>
  </si>
  <si>
    <t>-621.70278428601 34.8297872214825 -292.941164142245</t>
  </si>
  <si>
    <t>-633.202787761048 35.0610842969818 -376.042476383322</t>
  </si>
  <si>
    <t>-643.634402088549 36.4513630824836 -459.273437015044</t>
  </si>
  <si>
    <t>-657.709232297538 39.752942798774 -581.076252080798</t>
  </si>
  <si>
    <t>-647.908852829467 47.4291272766989 -658.440571275717</t>
  </si>
  <si>
    <t>-653.605463230582 69.5780315433126 -526.543109255899</t>
  </si>
  <si>
    <t>-632.027890271334 220.980007222518 -495.731168035848</t>
  </si>
  <si>
    <t>-589.720655569569 223.863877857413 -216.839796625996</t>
  </si>
  <si>
    <t>-391.0417871886 113.791614513172 -265.4129383713</t>
  </si>
  <si>
    <t>-649.461174955722 7.03039559410718 -528.717444401637</t>
  </si>
  <si>
    <t>-596.860413856012 132.565288101453 -96.5364207022335</t>
  </si>
  <si>
    <t>-624.924617348587 142.335715198735 317.974754959187</t>
  </si>
  <si>
    <t>-669.201452874102 181.454566396593 777.287390947403</t>
  </si>
  <si>
    <t>-519.217113745326 183.987804768354 835.443337188827</t>
  </si>
  <si>
    <t>-594.577299139613 -68.3168498711307 323.643543753317</t>
  </si>
  <si>
    <t>-651.753920944283 -104.896777715325 781.700356639619</t>
  </si>
  <si>
    <t>-498.545822313836 -119.431595613034 828.602841354135</t>
  </si>
  <si>
    <t>9763-20170724T115453.862250600.bin</t>
  </si>
  <si>
    <t>-588.308231178064 40.5539316296738 -92.1762825956069</t>
  </si>
  <si>
    <t>-608.471572021059 35.8667317510156 -200.937427909891</t>
  </si>
  <si>
    <t>-621.862575364968 34.9356688312894 -292.837610355829</t>
  </si>
  <si>
    <t>-633.460620391511 35.2269350917957 -375.92510918982</t>
  </si>
  <si>
    <t>-643.991942304198 36.6911759117604 -459.142173251948</t>
  </si>
  <si>
    <t>-658.214210280221 40.1156663831493 -580.924509825565</t>
  </si>
  <si>
    <t>-648.528926715185 47.8872737573761 -658.293734550377</t>
  </si>
  <si>
    <t>-654.033263329919 69.8864691340343 -526.367447046411</t>
  </si>
  <si>
    <t>-632.222659778001 221.225271970483 -495.391052681731</t>
  </si>
  <si>
    <t>-588.722803494494 223.396967335786 -216.676817285817</t>
  </si>
  <si>
    <t>-390.277933631291 113.12167936478 -265.743144986887</t>
  </si>
  <si>
    <t>-649.913942539347 7.33958772213259 -528.607516917924</t>
  </si>
  <si>
    <t>-596.817717370611 132.600229251789 -96.4362556214119</t>
  </si>
  <si>
    <t>-624.847297957194 142.321978103804 318.078441826814</t>
  </si>
  <si>
    <t>-669.177308732084 181.495085704099 777.386892124297</t>
  </si>
  <si>
    <t>-519.185742054461 183.843710154844 835.531883004988</t>
  </si>
  <si>
    <t>-594.327519095298 -68.1529966336468 323.703819043287</t>
  </si>
  <si>
    <t>-651.768956067773 -104.899112211858 781.699740091673</t>
  </si>
  <si>
    <t>-498.58521499192 -119.6217420083 828.623196920114</t>
  </si>
  <si>
    <t>9763-20170724T115453.929160400.bin</t>
  </si>
  <si>
    <t>-588.267876811837 40.6146906750082 -92.0676245413302</t>
  </si>
  <si>
    <t>-608.614940370816 35.9747958919529 -200.796502914294</t>
  </si>
  <si>
    <t>-622.206396937031 35.1458838591964 -292.668349430417</t>
  </si>
  <si>
    <t>-634.00324820155 35.555120821748 -375.727345175085</t>
  </si>
  <si>
    <t>-644.750787184282 37.162139777837 -458.914192838228</t>
  </si>
  <si>
    <t>-659.307851229706 40.8222653823098 -580.650019036141</t>
  </si>
  <si>
    <t>-649.875744999761 48.7467230653208 -658.035021508867</t>
  </si>
  <si>
    <t>-654.909593709921 70.4921901793539 -526.055079205447</t>
  </si>
  <si>
    <t>-632.54709903555 221.701928501231 -494.843247528325</t>
  </si>
  <si>
    <t>-586.548923579767 222.485332117308 -216.523059402238</t>
  </si>
  <si>
    <t>-388.262468060907 111.866389138609 -265.456213525904</t>
  </si>
  <si>
    <t>-650.931044122492 7.94039598084146 -528.411558322361</t>
  </si>
  <si>
    <t>-596.72763416875 132.694556961306 -96.2732182809228</t>
  </si>
  <si>
    <t>-624.661696879773 142.364193588383 318.249127112537</t>
  </si>
  <si>
    <t>-669.133872591414 181.517521840331 777.562294775707</t>
  </si>
  <si>
    <t>-519.144181311222 183.865716656803 835.711983559905</t>
  </si>
  <si>
    <t>-593.964450358056 -67.9172536056399 323.789842405734</t>
  </si>
  <si>
    <t>-651.840156254208 -104.894913691018 781.69241210531</t>
  </si>
  <si>
    <t>-498.600359871675 -119.261451434936 828.543221746487</t>
  </si>
  <si>
    <t>9763-20170724T115453.965254300.bin</t>
  </si>
  <si>
    <t>-588.30722619933 40.5714567313191 -92.0187652999331</t>
  </si>
  <si>
    <t>-608.740498301386 35.9642565671065 -200.732967002341</t>
  </si>
  <si>
    <t>-622.427130303868 35.1849226490822 -292.590846591605</t>
  </si>
  <si>
    <t>-634.318901182782 35.6488744181781 -375.636131927598</t>
  </si>
  <si>
    <t>-645.170231553841 37.3197530178757 -458.808327157831</t>
  </si>
  <si>
    <t>-659.888648983816 41.0835396190544 -580.521496876809</t>
  </si>
  <si>
    <t>-650.576852957692 49.0627937005727 -657.91548468627</t>
  </si>
  <si>
    <t>-655.379485120492 70.7095395007416 -525.911765997611</t>
  </si>
  <si>
    <t>-632.703996357441 221.850316543808 -494.583829743485</t>
  </si>
  <si>
    <t>-585.550590006179 221.909515825607 -216.455794089735</t>
  </si>
  <si>
    <t>-387.415354955429 110.767616970679 -264.813262879995</t>
  </si>
  <si>
    <t>-651.481140959605 8.15460748872579 -528.317659473274</t>
  </si>
  <si>
    <t>-596.683890043166 132.6856211089 -96.2065348502452</t>
  </si>
  <si>
    <t>-624.595072620535 142.311794404241 318.318393532452</t>
  </si>
  <si>
    <t>-669.127443773901 181.469837763051 777.637268356369</t>
  </si>
  <si>
    <t>-519.13980642986 183.924625645963 835.788032991633</t>
  </si>
  <si>
    <t>-593.934704778959 -67.8860308365004 323.812232674319</t>
  </si>
  <si>
    <t>-651.878377311299 -104.870868941114 781.686035969543</t>
  </si>
  <si>
    <t>-498.624026239627 -119.188201032132 828.504292709012</t>
  </si>
  <si>
    <t>9763-20170724T115454.025951400.bin</t>
  </si>
  <si>
    <t>-588.418364501212 40.4674235769053 -91.9837517823883</t>
  </si>
  <si>
    <t>-608.930039231244 35.9244054115354 -200.685662241387</t>
  </si>
  <si>
    <t>-622.700081406582 35.2348978222403 -292.532068189339</t>
  </si>
  <si>
    <t>-634.674121796137 35.7965237322398 -375.564889512397</t>
  </si>
  <si>
    <t>-645.614588524072 37.5802779849678 -458.722919170124</t>
  </si>
  <si>
    <t>-660.470713833851 41.5258043388374 -580.41372109413</t>
  </si>
  <si>
    <t>-651.413978532905 49.6153165058774 -657.826535230495</t>
  </si>
  <si>
    <t>-655.822666535838 71.0753124240014 -525.774231262215</t>
  </si>
  <si>
    <t>-632.74008175892 222.100893467566 -494.212978901735</t>
  </si>
  <si>
    <t>-583.806516478992 221.213564690491 -216.394182116725</t>
  </si>
  <si>
    <t>-385.843131676645 108.897425463997 -262.698669672104</t>
  </si>
  <si>
    <t>-652.081248263526 8.51388287186069 -528.259398644694</t>
  </si>
  <si>
    <t>-596.565207385334 132.655117087814 -96.1205617281829</t>
  </si>
  <si>
    <t>-624.506134477704 142.275738772801 318.402486999644</t>
  </si>
  <si>
    <t>-669.092915484312 181.489139949764 777.738406088678</t>
  </si>
  <si>
    <t>-519.109517312146 183.947587883862 835.899878352823</t>
  </si>
  <si>
    <t>-594.052671686743 -67.9246810295826 323.823834958812</t>
  </si>
  <si>
    <t>-651.971927019292 -104.920624199026 781.698988145275</t>
  </si>
  <si>
    <t>-498.756658929821 -119.904793788985 828.436251138023</t>
  </si>
  <si>
    <t>9763-20170724T115454.062111500.bin</t>
  </si>
  <si>
    <t>-588.490763026155 40.4011318430357 -91.9775876820083</t>
  </si>
  <si>
    <t>-608.98410731207 35.8819624851249 -200.684080835995</t>
  </si>
  <si>
    <t>-622.725365154675 35.2343578758434 -292.535081328339</t>
  </si>
  <si>
    <t>-634.667845545994 35.8434523444996 -375.571996965514</t>
  </si>
  <si>
    <t>-645.570966146338 37.6834253764519 -458.733681463121</t>
  </si>
  <si>
    <t>-660.365927178882 41.7209050971846 -580.428865402987</t>
  </si>
  <si>
    <t>-651.416071651973 49.8770321811571 -657.847268525274</t>
  </si>
  <si>
    <t>-655.699552895304 71.2319192871573 -525.770382523168</t>
  </si>
  <si>
    <t>-632.36154713557 222.196849273156 -494.115530760173</t>
  </si>
  <si>
    <t>-583.094784487115 220.842484946607 -216.357332841577</t>
  </si>
  <si>
    <t>-385.015457004931 108.301651717328 -261.608651029243</t>
  </si>
  <si>
    <t>-652.048538720601 8.66655349770599 -528.289926667203</t>
  </si>
  <si>
    <t>-596.522985847147 132.609002878152 -96.0959863473634</t>
  </si>
  <si>
    <t>-624.509614293644 142.285488316763 318.422652657549</t>
  </si>
  <si>
    <t>-669.068621824882 181.551370732262 777.767644755939</t>
  </si>
  <si>
    <t>-519.085699228396 183.950108597807 835.932813462157</t>
  </si>
  <si>
    <t>-594.199010253263 -67.9675754494403 323.816861063703</t>
  </si>
  <si>
    <t>-652.036581857062 -104.919996458571 781.699452757845</t>
  </si>
  <si>
    <t>-498.785989036137 -119.788193805324 828.358051044893</t>
  </si>
  <si>
    <t>9763-20170724T115454.127931400.bin</t>
  </si>
  <si>
    <t>-588.762077347096 40.0381332797958 -92.011233775087</t>
  </si>
  <si>
    <t>-609.156109894957 35.5778152024648 -200.738822820365</t>
  </si>
  <si>
    <t>-622.795576706402 35.0027839335787 -292.605415036177</t>
  </si>
  <si>
    <t>-634.638276458803 35.6890547265489 -375.656131800339</t>
  </si>
  <si>
    <t>-645.433326732562 37.6156594370541 -458.829938652347</t>
  </si>
  <si>
    <t>-660.060915995849 41.7896432427738 -580.540778943692</t>
  </si>
  <si>
    <t>-651.293489713355 50.0377983666497 -657.970204607288</t>
  </si>
  <si>
    <t>-655.35906378428 71.2461569653124 -525.855814143651</t>
  </si>
  <si>
    <t>-631.315856898368 222.085667379422 -494.109157971439</t>
  </si>
  <si>
    <t>-582.086653054167 219.934954893838 -216.349389482378</t>
  </si>
  <si>
    <t>-383.902906822716 107.05060250968 -260.268105424451</t>
  </si>
  <si>
    <t>-651.925865047051 8.670097370647 -528.414403782287</t>
  </si>
  <si>
    <t>-596.546821737186 132.329605134684 -96.1080039138258</t>
  </si>
  <si>
    <t>-624.610885778451 142.175954806552 318.401435618503</t>
  </si>
  <si>
    <t>-669.061865036535 181.483037864174 777.775170598319</t>
  </si>
  <si>
    <t>-519.085143078544 184.055820332281 835.949023543574</t>
  </si>
  <si>
    <t>-594.700633470999 -68.3958903202592 323.755591795744</t>
  </si>
  <si>
    <t>-652.176491755277 -104.946133955029 781.705254537877</t>
  </si>
  <si>
    <t>-498.907893921089 -120.186903456135 828.184102735892</t>
  </si>
  <si>
    <t>9763-20170724T115454.162019600.bin</t>
  </si>
  <si>
    <t>-588.935012599196 39.8201183690912 -92.0615091588271</t>
  </si>
  <si>
    <t>-609.279083346097 35.3914245524236 -200.799741058232</t>
  </si>
  <si>
    <t>-622.881981876873 34.8282081465916 -292.671809284324</t>
  </si>
  <si>
    <t>-634.694183678584 35.5199772914484 -375.726780478314</t>
  </si>
  <si>
    <t>-645.46117024512 37.4467063301902 -458.904258966409</t>
  </si>
  <si>
    <t>-660.050461399718 41.6149518644854 -580.61996283947</t>
  </si>
  <si>
    <t>-651.366815927179 49.8640761520442 -658.058580588142</t>
  </si>
  <si>
    <t>-655.333168819837 71.0759500388588 -525.938701568486</t>
  </si>
  <si>
    <t>-631.156068700041 221.897732706545 -494.225003756573</t>
  </si>
  <si>
    <t>-581.720759607503 219.488117629385 -216.503992871606</t>
  </si>
  <si>
    <t>-383.475814306677 106.366803867252 -259.527873137736</t>
  </si>
  <si>
    <t>-651.964459266706 8.49589083760816 -528.48565438795</t>
  </si>
  <si>
    <t>-596.550886275713 132.258844850058 -96.1559843870291</t>
  </si>
  <si>
    <t>-624.641015495416 142.137627809022 318.350886173656</t>
  </si>
  <si>
    <t>-669.013563759765 181.636022361484 777.735804689863</t>
  </si>
  <si>
    <t>-519.042802294369 183.922060908194 835.936987670583</t>
  </si>
  <si>
    <t>-594.98629244424 -68.6816790726677 323.700218915644</t>
  </si>
  <si>
    <t>-652.267630952466 -104.899035929102 781.704097417785</t>
  </si>
  <si>
    <t>-498.936078664651 -119.932121598571 828.042696892024</t>
  </si>
  <si>
    <t>9763-20170724T115454.226194200.bin</t>
  </si>
  <si>
    <t>-589.421724977748 39.3890195644244 -92.1862769644963</t>
  </si>
  <si>
    <t>-609.692242403349 34.979249581324 -200.939087091218</t>
  </si>
  <si>
    <t>-623.307666558049 34.4316331606806 -292.809387934791</t>
  </si>
  <si>
    <t>-635.161432149352 35.1388059013557 -375.858273395218</t>
  </si>
  <si>
    <t>-646.000522279362 37.0815429148263 -459.026047964267</t>
  </si>
  <si>
    <t>-660.728915411906 41.2743767958782 -580.724173779014</t>
  </si>
  <si>
    <t>-652.2254509108 49.5196704487134 -658.18315971768</t>
  </si>
  <si>
    <t>-655.93414376014 70.7253333970953 -526.044152870235</t>
  </si>
  <si>
    <t>-631.560680003673 221.511561155932 -494.312989734065</t>
  </si>
  <si>
    <t>-581.231561397447 218.801990349456 -216.755419070735</t>
  </si>
  <si>
    <t>-383.137094397385 104.984792844276 -258.621379323131</t>
  </si>
  <si>
    <t>-652.598276046461 8.14394777178177 -528.603976566799</t>
  </si>
  <si>
    <t>-596.868261275355 131.984161540471 -96.2893880770258</t>
  </si>
  <si>
    <t>-624.852912990371 141.96709814636 318.22218943182</t>
  </si>
  <si>
    <t>-669.018513246669 181.508371842007 777.640890761394</t>
  </si>
  <si>
    <t>-519.067445613106 183.879413147313 835.889305344452</t>
  </si>
  <si>
    <t>-595.524373931609 -69.1650638358433 323.565876739515</t>
  </si>
  <si>
    <t>-652.429201039893 -104.872713367771 781.683388987554</t>
  </si>
  <si>
    <t>-499.035997029046 -119.992948119179 827.789034774095</t>
  </si>
  <si>
    <t>9763-20170724T115454.263293400.bin</t>
  </si>
  <si>
    <t>-589.657098231365 39.2697157521086 -92.2530915500777</t>
  </si>
  <si>
    <t>-609.905691855531 34.8435529506864 -201.009322092869</t>
  </si>
  <si>
    <t>-623.523437308869 34.2937057229715 -292.879243003278</t>
  </si>
  <si>
    <t>-635.387665381084 35.0028727535405 -375.926589752125</t>
  </si>
  <si>
    <t>-646.245420746282 36.9522248477635 -459.091796520617</t>
  </si>
  <si>
    <t>-661.010070859362 41.1596209474283 -580.784978944257</t>
  </si>
  <si>
    <t>-652.551170389105 49.4064302433139 -658.248920306882</t>
  </si>
  <si>
    <t>-656.203071289775 70.6037430650438 -526.10253047891</t>
  </si>
  <si>
    <t>-631.773820932626 221.377876282423 -494.355671685791</t>
  </si>
  <si>
    <t>-580.999255373864 218.498982526912 -216.880886292881</t>
  </si>
  <si>
    <t>-383.0242113875 104.277106662892 -258.206071541957</t>
  </si>
  <si>
    <t>-652.859864028743 8.02317929854325 -528.67167210659</t>
  </si>
  <si>
    <t>-597.089089924414 131.948978926094 -96.3588255616598</t>
  </si>
  <si>
    <t>-624.967997489646 141.986107560361 318.158485979658</t>
  </si>
  <si>
    <t>-668.995050922322 181.590834152523 777.592919540893</t>
  </si>
  <si>
    <t>-519.047974622689 183.866249953661 835.855365594489</t>
  </si>
  <si>
    <t>-595.714975368575 -69.2976528757829 323.51889828735</t>
  </si>
  <si>
    <t>-652.487512105184 -104.859838920014 781.679705710707</t>
  </si>
  <si>
    <t>-499.084005424604 -120.121418542318 827.704373762778</t>
  </si>
  <si>
    <t>9763-20170724T115454.329216600.bin</t>
  </si>
  <si>
    <t>-590.083516083261 39.193939757675 -92.3632878188064</t>
  </si>
  <si>
    <t>-610.207712944956 34.7239691203606 -201.140756277173</t>
  </si>
  <si>
    <t>-623.723467168129 34.1312927554645 -293.025413576069</t>
  </si>
  <si>
    <t>-635.496529803396 34.7983201763855 -376.086279998141</t>
  </si>
  <si>
    <t>-646.2640409749 36.7023954333924 -459.264164575739</t>
  </si>
  <si>
    <t>-660.897761909782 40.840222994776 -580.975496312693</t>
  </si>
  <si>
    <t>-652.448725222781 49.083526732303 -658.440840149266</t>
  </si>
  <si>
    <t>-656.181699520643 70.3138297478954 -526.300975460433</t>
  </si>
  <si>
    <t>-631.771241198841 221.100061925436 -494.585400309501</t>
  </si>
  <si>
    <t>-580.001128712243 217.997364391669 -217.2970632195</t>
  </si>
  <si>
    <t>-382.017284920053 103.505156040997 -257.82446699587</t>
  </si>
  <si>
    <t>-652.771479841779 7.73548297444722 -528.838302065215</t>
  </si>
  <si>
    <t>-597.578931292126 131.899206611126 -96.4901050677464</t>
  </si>
  <si>
    <t>-625.287780626358 141.974008655144 318.037694251187</t>
  </si>
  <si>
    <t>-668.99582066114 181.557114246741 777.499109761854</t>
  </si>
  <si>
    <t>-519.053970645201 184.053386697154 835.766067875348</t>
  </si>
  <si>
    <t>-596.094363457628 -69.4479489285991 323.440889344787</t>
  </si>
  <si>
    <t>-652.59708667193 -104.825663711578 781.663166512571</t>
  </si>
  <si>
    <t>-499.169555072627 -120.303247481651 827.535379967662</t>
  </si>
  <si>
    <t>9763-20170724T115454.362304000.bin</t>
  </si>
  <si>
    <t>-590.270138664987 39.2557210864661 -92.4081859853161</t>
  </si>
  <si>
    <t>-610.331060699286 34.7509358107118 -201.195873654849</t>
  </si>
  <si>
    <t>-623.825715329409 34.1184405547201 -293.083472868992</t>
  </si>
  <si>
    <t>-635.592586694282 34.7446376283588 -376.145391587956</t>
  </si>
  <si>
    <t>-646.366892383425 36.6034646574005 -459.323522494309</t>
  </si>
  <si>
    <t>-661.024765713831 40.6702469439401 -581.03435299459</t>
  </si>
  <si>
    <t>-652.607742076941 48.9194601730726 -658.502510095522</t>
  </si>
  <si>
    <t>-656.321678285758 70.17415124645 -526.375024496427</t>
  </si>
  <si>
    <t>-631.921035313768 220.968065577422 -494.715985968905</t>
  </si>
  <si>
    <t>-579.594703834854 217.778709077598 -217.533183808905</t>
  </si>
  <si>
    <t>-381.547515063417 103.287193787125 -257.751744704284</t>
  </si>
  <si>
    <t>-652.864408821478 7.5972253864536 -528.882384904753</t>
  </si>
  <si>
    <t>-597.82872784774 131.974529422719 -96.5644658238081</t>
  </si>
  <si>
    <t>-625.418180130549 142.044821654527 317.971489676676</t>
  </si>
  <si>
    <t>-668.987445205337 181.575055963073 777.448857554834</t>
  </si>
  <si>
    <t>-519.048090310992 183.950082946274 835.727201587392</t>
  </si>
  <si>
    <t>-596.276621476339 -69.4681673063769 323.404010611828</t>
  </si>
  <si>
    <t>-652.666066079605 -104.790692934403 781.651413000191</t>
  </si>
  <si>
    <t>-499.203540509333 -120.230269648379 827.419252212923</t>
  </si>
  <si>
    <t>9763-20170724T115454.429495600.bin</t>
  </si>
  <si>
    <t>-590.752084351823 39.3967292318291 -92.5231392361634</t>
  </si>
  <si>
    <t>-610.666867537666 34.8067550045052 -201.334196871934</t>
  </si>
  <si>
    <t>-624.149660249112 34.0980079704314 -293.222914901184</t>
  </si>
  <si>
    <t>-635.950668609146 34.6524169521874 -376.280544290571</t>
  </si>
  <si>
    <t>-646.804197069064 36.4376310562911 -459.449955743787</t>
  </si>
  <si>
    <t>-661.62754586678 40.3946271994262 -581.144382224044</t>
  </si>
  <si>
    <t>-653.316602406247 48.6393231728696 -658.624483714112</t>
  </si>
  <si>
    <t>-656.894428429922 69.9452489264904 -526.512779386368</t>
  </si>
  <si>
    <t>-632.481732535436 220.784835184752 -495.049667194148</t>
  </si>
  <si>
    <t>-579.152405324462 217.262337864872 -218.061900762727</t>
  </si>
  <si>
    <t>-380.816801400609 103.070824512545 -257.707972671705</t>
  </si>
  <si>
    <t>-653.351910218944 7.37146953385627 -528.978965829796</t>
  </si>
  <si>
    <t>-598.430415117333 132.146165552041 -96.726810065821</t>
  </si>
  <si>
    <t>-625.739848068048 142.184935196407 317.828415339571</t>
  </si>
  <si>
    <t>-668.99411771369 181.559542420651 777.363461529024</t>
  </si>
  <si>
    <t>-519.056479787445 184.008344248802 835.643124806257</t>
  </si>
  <si>
    <t>-596.570825269431 -69.4384317242443 323.352107787221</t>
  </si>
  <si>
    <t>-652.778822292533 -104.774381250598 781.617819341477</t>
  </si>
  <si>
    <t>-499.291739780764 -120.407046590227 827.237543740253</t>
  </si>
  <si>
    <t>9763-20170724T115454.463581700.bin</t>
  </si>
  <si>
    <t>-590.984201645822 39.5186495343685 -92.5612569565162</t>
  </si>
  <si>
    <t>-610.860694617969 34.885875682601 -201.377372779204</t>
  </si>
  <si>
    <t>-624.372082583351 34.1328709816755 -293.261689750163</t>
  </si>
  <si>
    <t>-636.223496796566 34.6436892469392 -376.312339529228</t>
  </si>
  <si>
    <t>-647.152284391414 36.3820113954314 -459.472967078239</t>
  </si>
  <si>
    <t>-662.112998983424 40.2673457986482 -581.1527802797</t>
  </si>
  <si>
    <t>-653.88926335117 48.5002203554045 -658.643474577442</t>
  </si>
  <si>
    <t>-657.347909165386 69.8483580661753 -526.54050844208</t>
  </si>
  <si>
    <t>-633.030354839572 220.727514270457 -495.193675662689</t>
  </si>
  <si>
    <t>-579.270593768958 216.935940777911 -218.292821218069</t>
  </si>
  <si>
    <t>-380.724140226333 102.97999550833 -257.559687770206</t>
  </si>
  <si>
    <t>-653.74878841877 7.27672604607346 -528.980990017367</t>
  </si>
  <si>
    <t>-598.720894488989 132.260354358139 -96.8013700645021</t>
  </si>
  <si>
    <t>-625.830514350077 142.331902049859 317.76617199269</t>
  </si>
  <si>
    <t>-668.987344368152 181.583995217203 777.311075092113</t>
  </si>
  <si>
    <t>-519.050174924394 183.909248667587 835.597031537324</t>
  </si>
  <si>
    <t>-596.681157896156 -69.3404617256776 323.343674744977</t>
  </si>
  <si>
    <t>-652.795439667903 -104.742496848736 781.617377262864</t>
  </si>
  <si>
    <t>-499.298566617514 -120.344706546199 827.214531273407</t>
  </si>
  <si>
    <t>9763-20170724T115454.528762900.bin</t>
  </si>
  <si>
    <t>-591.401906731265 39.7033550707995 -92.62857213955</t>
  </si>
  <si>
    <t>-611.264279851615 35.0187752117909 -201.44507736697</t>
  </si>
  <si>
    <t>-624.822747213344 34.2049174515125 -293.321865188075</t>
  </si>
  <si>
    <t>-636.740496203118 34.653359730662 -376.363420540479</t>
  </si>
  <si>
    <t>-647.759397236698 36.3226201842199 -459.513470839923</t>
  </si>
  <si>
    <t>-662.878205196576 40.0991599022016 -581.177284355045</t>
  </si>
  <si>
    <t>-654.803468290319 48.3274260766614 -658.684163651328</t>
  </si>
  <si>
    <t>-658.059292259038 69.7277903229115 -526.595668636627</t>
  </si>
  <si>
    <t>-633.69215386746 220.646633192797 -495.499931582485</t>
  </si>
  <si>
    <t>-579.831604551363 217.031147568722 -218.616305571314</t>
  </si>
  <si>
    <t>-380.880534590205 103.465355211916 -256.954310601584</t>
  </si>
  <si>
    <t>-654.429139054323 7.15628076646499 -528.988975994718</t>
  </si>
  <si>
    <t>-599.196020194056 132.441492650615 -96.9202292732962</t>
  </si>
  <si>
    <t>-625.9983543424 142.499485279282 317.667573839613</t>
  </si>
  <si>
    <t>-668.985372636912 181.584946790967 777.23420737918</t>
  </si>
  <si>
    <t>-519.044991051524 183.952843522808 835.510301341927</t>
  </si>
  <si>
    <t>-596.889467349074 -69.1561822464362 323.32336268587</t>
  </si>
  <si>
    <t>-652.837792793408 -104.723554173539 781.612323877196</t>
  </si>
  <si>
    <t>-499.340895690252 -120.442407624713 827.169419900946</t>
  </si>
  <si>
    <t>9763-20170724T115454.562855700.bin</t>
  </si>
  <si>
    <t>-591.566681886155 39.7787063753904 -92.6544661816747</t>
  </si>
  <si>
    <t>-611.458952906519 35.0787085100126 -201.464907430815</t>
  </si>
  <si>
    <t>-625.065783291275 34.2441005794883 -293.334367161976</t>
  </si>
  <si>
    <t>-637.036408489097 34.6704566999349 -376.368404108145</t>
  </si>
  <si>
    <t>-648.117384910021 36.3141152839892 -459.510650914144</t>
  </si>
  <si>
    <t>-663.336890532655 40.0495669674197 -581.163344971316</t>
  </si>
  <si>
    <t>-655.344659125752 48.2635000913335 -658.680186984822</t>
  </si>
  <si>
    <t>-658.464252845329 69.6972290919186 -526.596655793997</t>
  </si>
  <si>
    <t>-633.967113037173 220.644451565651 -495.687715322341</t>
  </si>
  <si>
    <t>-580.250402163308 217.026150026458 -218.776146620195</t>
  </si>
  <si>
    <t>-380.994768988836 103.749121306764 -256.379695986546</t>
  </si>
  <si>
    <t>-654.853154716926 7.12376796513513 -528.969700692945</t>
  </si>
  <si>
    <t>-599.36998599898 132.497194647331 -96.9593122310974</t>
  </si>
  <si>
    <t>-626.071717747886 142.567490694062 317.634755176759</t>
  </si>
  <si>
    <t>-668.979115863036 181.605259100988 777.208552654649</t>
  </si>
  <si>
    <t>-519.034218158664 183.878206917685 835.476763052338</t>
  </si>
  <si>
    <t>-596.93744222721 -69.0560142378376 323.313979953284</t>
  </si>
  <si>
    <t>-652.844506094362 -104.714648140093 781.606392345472</t>
  </si>
  <si>
    <t>-499.353417151823 -120.473870449801 827.169117335102</t>
  </si>
  <si>
    <t>9763-20170724T115454.630038500.bin</t>
  </si>
  <si>
    <t>-591.867604587836 39.8223332480206 -92.6824647502726</t>
  </si>
  <si>
    <t>-611.863316931448 35.0952303219854 -201.472807348898</t>
  </si>
  <si>
    <t>-625.614591698472 34.2084998403313 -293.320186039536</t>
  </si>
  <si>
    <t>-637.738395041842 34.575882086514 -376.332280415741</t>
  </si>
  <si>
    <t>-648.99540664168 36.1483449905704 -459.452342877279</t>
  </si>
  <si>
    <t>-664.497167800837 39.7666121055665 -581.072764507498</t>
  </si>
  <si>
    <t>-656.680245429792 47.9185933581011 -658.614102051929</t>
  </si>
  <si>
    <t>-659.492115867017 69.467256591282 -526.546939439764</t>
  </si>
  <si>
    <t>-635.051082413722 220.477911443274 -495.930943959893</t>
  </si>
  <si>
    <t>-581.334074024583 217.171261399351 -219.015630906167</t>
  </si>
  <si>
    <t>-381.792750879733 103.862519933922 -254.972834106336</t>
  </si>
  <si>
    <t>-655.898090030919 6.89075585169758 -528.866531326209</t>
  </si>
  <si>
    <t>-599.765001477949 132.518092114832 -97.0074766877519</t>
  </si>
  <si>
    <t>-626.146318733008 142.622256650511 317.606212759466</t>
  </si>
  <si>
    <t>-668.977001518667 181.581349245936 777.176058280951</t>
  </si>
  <si>
    <t>-519.028104761651 183.964797302447 835.429598905684</t>
  </si>
  <si>
    <t>-596.914621232251 -68.8320789315792 323.315413189523</t>
  </si>
  <si>
    <t>-652.851414255109 -104.646295703858 781.601811298855</t>
  </si>
  <si>
    <t>-499.345168048355 -120.235656118515 827.171898614982</t>
  </si>
  <si>
    <t>9763-20170724T115454.662124500.bin</t>
  </si>
  <si>
    <t>-592.001024148602 39.7553438540906 -92.6867971422397</t>
  </si>
  <si>
    <t>-612.055174715168 35.0282902815118 -201.466179744788</t>
  </si>
  <si>
    <t>-625.876028018801 34.1350672979356 -293.303271279662</t>
  </si>
  <si>
    <t>-638.070774400225 34.4934345339311 -376.304969241052</t>
  </si>
  <si>
    <t>-649.406636530418 36.0542524784819 -459.414539139856</t>
  </si>
  <si>
    <t>-665.032361587414 39.6521957270495 -581.019625434275</t>
  </si>
  <si>
    <t>-657.294491604079 47.7865400037886 -658.570721337787</t>
  </si>
  <si>
    <t>-659.971195122517 69.361910156056 -526.503924339939</t>
  </si>
  <si>
    <t>-635.552569349907 220.388678121035 -495.944353475711</t>
  </si>
  <si>
    <t>-582.040381958144 217.420814799814 -218.98555787687</t>
  </si>
  <si>
    <t>-382.507916258589 103.866249295068 -254.208983848757</t>
  </si>
  <si>
    <t>-656.38064960489 6.78501446524865 -528.81678719122</t>
  </si>
  <si>
    <t>-599.951489520492 132.414963049388 -97.0035743342471</t>
  </si>
  <si>
    <t>-626.217313549349 142.568675783714 317.616293851055</t>
  </si>
  <si>
    <t>-668.974112019024 181.570628697141 777.174256492047</t>
  </si>
  <si>
    <t>-519.021549097157 183.91655190344 835.419801396364</t>
  </si>
  <si>
    <t>-596.927130985873 -68.7866362779241 323.314924227658</t>
  </si>
  <si>
    <t>-652.878639213838 -104.603769778187 781.590323425347</t>
  </si>
  <si>
    <t>-499.353688460042 -120.078892592288 827.136281569028</t>
  </si>
  <si>
    <t>9763-20170724T115454.730312200.bin</t>
  </si>
  <si>
    <t>-592.14854591554 39.4736796685211 -92.6928491337937</t>
  </si>
  <si>
    <t>-612.307956317536 34.7591058109465 -201.453463528232</t>
  </si>
  <si>
    <t>-626.257133845998 33.8743706235418 -293.2710056577</t>
  </si>
  <si>
    <t>-638.58336373075 34.2399851202197 -376.253380079936</t>
  </si>
  <si>
    <t>-650.066442780856 35.8068674902941 -459.342681255937</t>
  </si>
  <si>
    <t>-665.92440316315 39.4127489240946 -580.917487309209</t>
  </si>
  <si>
    <t>-658.325932140488 47.5476335048638 -658.48229699382</t>
  </si>
  <si>
    <t>-660.742593945364 69.1198838761809 -526.411803496481</t>
  </si>
  <si>
    <t>-636.146740134628 220.138813725937 -495.961965877275</t>
  </si>
  <si>
    <t>-584.104926142955 217.831214201663 -218.716705821316</t>
  </si>
  <si>
    <t>-384.254460881641 104.548813456915 -253.001086972183</t>
  </si>
  <si>
    <t>-657.189529658888 6.54121124817448 -528.731255057054</t>
  </si>
  <si>
    <t>-600.111720355908 132.04245247955 -96.9907143847392</t>
  </si>
  <si>
    <t>-626.345155714419 142.422832897093 317.625543131131</t>
  </si>
  <si>
    <t>-668.96978949257 181.55672482499 777.184639366893</t>
  </si>
  <si>
    <t>-519.008568574807 183.868296709705 835.409304264631</t>
  </si>
  <si>
    <t>-596.97329184346 -68.8461300541755 323.299723493412</t>
  </si>
  <si>
    <t>-652.896030335929 -104.638499742648 781.575574673061</t>
  </si>
  <si>
    <t>-499.375672421774 -120.089413186464 827.145259803839</t>
  </si>
  <si>
    <t>9763-20170724T115454.764405300.bin</t>
  </si>
  <si>
    <t>-592.223647967198 39.2683990337821 -92.6966374673939</t>
  </si>
  <si>
    <t>-612.442818341037 34.5701638673065 -201.446826610968</t>
  </si>
  <si>
    <t>-626.477544719761 33.699016625482 -293.251570127171</t>
  </si>
  <si>
    <t>-638.895161941718 34.0771735819469 -376.220183315375</t>
  </si>
  <si>
    <t>-650.483660994207 35.656833382872 -459.294505570463</t>
  </si>
  <si>
    <t>-666.511212567345 39.2813229543547 -580.846612409602</t>
  </si>
  <si>
    <t>-658.980379860434 47.4141541163267 -658.418172102314</t>
  </si>
  <si>
    <t>-661.231230298718 68.9814559327253 -526.346509514911</t>
  </si>
  <si>
    <t>-636.430948232093 219.97975752992 -495.949251660095</t>
  </si>
  <si>
    <t>-585.597965271316 217.928432065447 -218.477894384484</t>
  </si>
  <si>
    <t>-385.532889739964 105.037138261438 -252.800704035661</t>
  </si>
  <si>
    <t>-657.72577688237 6.40022601928536 -528.674742584409</t>
  </si>
  <si>
    <t>-600.170881875075 131.8178931532 -96.988846570193</t>
  </si>
  <si>
    <t>-626.324737381579 142.320543579932 317.629403851503</t>
  </si>
  <si>
    <t>-668.951277876488 181.582256986413 777.182399415846</t>
  </si>
  <si>
    <t>-518.991290008922 183.89722797782 835.410128584792</t>
  </si>
  <si>
    <t>-596.943910197293 -68.9117249055048 323.295960709731</t>
  </si>
  <si>
    <t>-652.88051839218 -104.647181621153 781.578375483311</t>
  </si>
  <si>
    <t>-499.358593628721 -119.952629524777 827.191849565045</t>
  </si>
  <si>
    <t>9763-20170724T115454.829583100.bin</t>
  </si>
  <si>
    <t>-592.413298706463 38.8443932230166 -92.6674415678825</t>
  </si>
  <si>
    <t>-612.782879399721 34.1906809121765 -201.391469294712</t>
  </si>
  <si>
    <t>-626.986588840514 33.3589513470092 -293.170499599437</t>
  </si>
  <si>
    <t>-639.573791047113 33.7740237327371 -376.113561820438</t>
  </si>
  <si>
    <t>-651.348945709505 35.3917374459973 -459.160909143151</t>
  </si>
  <si>
    <t>-667.668133648539 39.0728660207931 -580.672441066738</t>
  </si>
  <si>
    <t>-660.287276567674 47.1775213478538 -658.261409006576</t>
  </si>
  <si>
    <t>-662.246557496641 68.7482749245901 -526.172650265725</t>
  </si>
  <si>
    <t>-637.274685939771 219.681646058302 -495.67753744701</t>
  </si>
  <si>
    <t>-588.556928978562 218.403497157052 -217.822232199269</t>
  </si>
  <si>
    <t>-388.24033731344 106.070742299327 -252.50871759165</t>
  </si>
  <si>
    <t>-658.768277983023 6.16685313991911 -528.535606026142</t>
  </si>
  <si>
    <t>-600.417082604389 131.355476113145 -96.9327283733718</t>
  </si>
  <si>
    <t>-626.326067988418 142.038263446678 317.69627128522</t>
  </si>
  <si>
    <t>-668.932210389791 181.536907367415 777.208284461174</t>
  </si>
  <si>
    <t>-518.978665062502 183.852823685032 835.452503946693</t>
  </si>
  <si>
    <t>-596.810525714089 -68.9876001827288 323.311418291509</t>
  </si>
  <si>
    <t>-652.902116143916 -104.64146619396 781.577791733465</t>
  </si>
  <si>
    <t>-499.368183181603 -119.791907916398 827.20246082045</t>
  </si>
  <si>
    <t>9763-20170724T115454.862673000.bin</t>
  </si>
  <si>
    <t>-592.535932682933 38.6770897490264 -92.6488700593744</t>
  </si>
  <si>
    <t>-612.977895939752 34.0282606040323 -201.359552555215</t>
  </si>
  <si>
    <t>-627.231969629129 33.2390282437063 -293.131140495056</t>
  </si>
  <si>
    <t>-639.860246911519 33.7064359663764 -376.067569470703</t>
  </si>
  <si>
    <t>-651.671971479647 35.3914502962698 -459.108439761871</t>
  </si>
  <si>
    <t>-668.039612777344 39.187318755148 -580.609838992038</t>
  </si>
  <si>
    <t>-660.688299975643 47.3228627711912 -658.198406461418</t>
  </si>
  <si>
    <t>-662.628885183991 68.8092846632912 -526.080018425256</t>
  </si>
  <si>
    <t>-637.781540769373 219.727758620999 -495.399729074991</t>
  </si>
  <si>
    <t>-589.636452421417 218.748404662625 -217.443492813751</t>
  </si>
  <si>
    <t>-389.258403479559 106.703317541569 -252.700692885949</t>
  </si>
  <si>
    <t>-659.086350152173 6.23426119671853 -528.512208723674</t>
  </si>
  <si>
    <t>-600.665842272745 131.115730305426 -96.8888598921953</t>
  </si>
  <si>
    <t>-626.424726068061 141.920882759931 317.746325019285</t>
  </si>
  <si>
    <t>-668.920981199593 181.533128637603 777.24255396423</t>
  </si>
  <si>
    <t>-518.966355131672 183.881189582378 835.482844890606</t>
  </si>
  <si>
    <t>-596.701570919671 -68.9830664413878 323.318924400773</t>
  </si>
  <si>
    <t>-652.930193109608 -104.635942306162 781.564312221044</t>
  </si>
  <si>
    <t>-499.380252318299 -119.691280830778 827.166662017279</t>
  </si>
  <si>
    <t>9763-20170724T115454.928856500.bin</t>
  </si>
  <si>
    <t>-592.771651805848 38.4040033576293 -92.6072091343303</t>
  </si>
  <si>
    <t>-613.306855304368 33.7112847562537 -201.29841168298</t>
  </si>
  <si>
    <t>-627.661293492951 32.9950976753535 -293.05508026974</t>
  </si>
  <si>
    <t>-640.387676640477 33.569295031888 -375.97578205246</t>
  </si>
  <si>
    <t>-652.304725952666 35.4034295127522 -458.998407395166</t>
  </si>
  <si>
    <t>-668.833740080858 39.4636799453313 -580.469587991454</t>
  </si>
  <si>
    <t>-661.536012428459 47.7498916169527 -658.047132171</t>
  </si>
  <si>
    <t>-663.436990401704 68.9613760985976 -525.87100056408</t>
  </si>
  <si>
    <t>-638.826047794198 219.832325924791 -494.754023067305</t>
  </si>
  <si>
    <t>-591.454948315138 218.735490488387 -216.665241561831</t>
  </si>
  <si>
    <t>-390.924921048823 107.422504905057 -253.348508413131</t>
  </si>
  <si>
    <t>-659.724868284493 6.40283155025008 -528.467010456042</t>
  </si>
  <si>
    <t>-601.298813639756 130.678575852964 -96.8098248314429</t>
  </si>
  <si>
    <t>-626.738729624218 141.796619991104 317.836754924671</t>
  </si>
  <si>
    <t>-668.904161021651 181.47963448436 777.33751962726</t>
  </si>
  <si>
    <t>-518.946153627015 183.913748807535 835.565315068049</t>
  </si>
  <si>
    <t>-596.437182510777 -69.0071754751286 323.330862094659</t>
  </si>
  <si>
    <t>-652.984076358689 -104.592492593749 781.536276669498</t>
  </si>
  <si>
    <t>-499.409641825124 -119.519560558585 827.098401058346</t>
  </si>
  <si>
    <t>9763-20170724T115454.962946800.bin</t>
  </si>
  <si>
    <t>-592.865553326935 38.3278371064066 -92.5913777449586</t>
  </si>
  <si>
    <t>-613.431979083848 33.6009075109901 -201.275217083159</t>
  </si>
  <si>
    <t>-627.83869280761 32.9205436898444 -293.023847050752</t>
  </si>
  <si>
    <t>-640.622233421651 33.5510183775723 -375.935372782611</t>
  </si>
  <si>
    <t>-652.606261715299 35.4664382399292 -458.946523583709</t>
  </si>
  <si>
    <t>-669.243582697577 39.6731755959622 -580.397946753584</t>
  </si>
  <si>
    <t>-661.947476130847 48.0678686163042 -657.964031724058</t>
  </si>
  <si>
    <t>-663.844170035998 69.102092349264 -525.762462965651</t>
  </si>
  <si>
    <t>-639.33524237349 219.958314189757 -494.487857373391</t>
  </si>
  <si>
    <t>-592.185986625593 218.774145929437 -216.361701350707</t>
  </si>
  <si>
    <t>-391.772029044097 107.555180084189 -253.953090759355</t>
  </si>
  <si>
    <t>-660.042344637424 6.552626457006 -528.449677195808</t>
  </si>
  <si>
    <t>-601.583866327678 130.536990681855 -96.7815629671859</t>
  </si>
  <si>
    <t>-626.86682289678 141.770040883858 317.871569697231</t>
  </si>
  <si>
    <t>-668.883313698808 181.502678826919 777.389835590407</t>
  </si>
  <si>
    <t>-518.923904402835 183.774253604751 835.620786361795</t>
  </si>
  <si>
    <t>-596.341052457444 -69.010697433403 323.33846317433</t>
  </si>
  <si>
    <t>-653.034178208647 -104.576856805163 781.524175175418</t>
  </si>
  <si>
    <t>-499.427568877064 -119.358527391672 827.025132313096</t>
  </si>
  <si>
    <t>9763-20170724T115455.024116000.bin</t>
  </si>
  <si>
    <t>-593.004512429384 38.0201709587798 -92.5546973098403</t>
  </si>
  <si>
    <t>-613.644620956492 33.2578300642697 -201.22312376801</t>
  </si>
  <si>
    <t>-628.202698799216 32.6890192262047 -292.948661517877</t>
  </si>
  <si>
    <t>-641.158594579353 33.4748542568291 -375.832055016083</t>
  </si>
  <si>
    <t>-653.351014638232 35.602114861091 -458.807617954709</t>
  </si>
  <si>
    <t>-670.332672954894 40.1807602036408 -580.197807806269</t>
  </si>
  <si>
    <t>-663.067396093485 48.815082780244 -657.740685910978</t>
  </si>
  <si>
    <t>-664.892607889612 69.4342457562434 -525.472224504081</t>
  </si>
  <si>
    <t>-640.696869012479 220.250524129529 -493.773338800162</t>
  </si>
  <si>
    <t>-593.357808637268 218.759076978816 -215.681013115215</t>
  </si>
  <si>
    <t>-393.3351426038 107.69455193734 -255.732636558427</t>
  </si>
  <si>
    <t>-660.869957895128 6.9090464875801 -528.393415895097</t>
  </si>
  <si>
    <t>-601.958148845843 130.111742930114 -96.7139959748629</t>
  </si>
  <si>
    <t>-627.022256889838 141.509488669992 317.947873252112</t>
  </si>
  <si>
    <t>-668.877948943901 181.378137362511 777.468440782912</t>
  </si>
  <si>
    <t>-518.929402368107 184.038020625633 835.710884910722</t>
  </si>
  <si>
    <t>-596.295294278808 -69.1695179147082 323.345201040689</t>
  </si>
  <si>
    <t>-653.156719690378 -104.603593307361 781.491607795918</t>
  </si>
  <si>
    <t>-499.53388586993 -119.631237395645 826.856921708421</t>
  </si>
  <si>
    <t>9763-20170724T115455.064979700.bin</t>
  </si>
  <si>
    <t>-593.072023490797 37.9459984235184 -92.5395923772021</t>
  </si>
  <si>
    <t>-613.756101298893 33.1677882418996 -201.198825256502</t>
  </si>
  <si>
    <t>-628.379269910428 32.6678073648156 -292.914483096691</t>
  </si>
  <si>
    <t>-641.405420916302 33.5480103937987 -375.785873861772</t>
  </si>
  <si>
    <t>-653.679780670399 35.8032567305413 -458.746058850059</t>
  </si>
  <si>
    <t>-670.794445591329 40.6054677410455 -580.108957185745</t>
  </si>
  <si>
    <t>-663.526250760001 49.3711239241482 -657.636816220675</t>
  </si>
  <si>
    <t>-665.354081082158 69.7538391504229 -525.327425112373</t>
  </si>
  <si>
    <t>-641.410106135002 220.552145618457 -493.347816883962</t>
  </si>
  <si>
    <t>-593.679485156062 218.748837539201 -215.324239018193</t>
  </si>
  <si>
    <t>-393.782523540347 107.947107674261 -256.70929353628</t>
  </si>
  <si>
    <t>-661.215292196652 7.242753407907 -528.384608334462</t>
  </si>
  <si>
    <t>-602.092106144794 130.025958351864 -96.6920705204925</t>
  </si>
  <si>
    <t>-627.017207806175 141.486707018659 317.976476822682</t>
  </si>
  <si>
    <t>-668.850948204075 181.410087910357 777.499469513747</t>
  </si>
  <si>
    <t>-518.905036431587 183.986180858252 835.752579077567</t>
  </si>
  <si>
    <t>-596.298030077461 -69.1961061851889 323.348389337768</t>
  </si>
  <si>
    <t>-653.192352500349 -104.563162815608 781.484023393982</t>
  </si>
  <si>
    <t>-499.531807766495 -119.349046345495 826.801175542627</t>
  </si>
  <si>
    <t>9763-20170724T115455.128756200.bin</t>
  </si>
  <si>
    <t>-593.218533663235 37.8158922006382 -92.5328240334371</t>
  </si>
  <si>
    <t>-613.938799048073 33.0040798424557 -201.183679796227</t>
  </si>
  <si>
    <t>-628.631024825649 32.6487435892905 -292.888848492088</t>
  </si>
  <si>
    <t>-641.735228536013 33.7279582133376 -375.745753576583</t>
  </si>
  <si>
    <t>-654.103741694023 36.2515285699981 -458.684151855132</t>
  </si>
  <si>
    <t>-671.373722317041 41.5232768451021 -580.005557044633</t>
  </si>
  <si>
    <t>-664.085121380154 50.5670511181854 -657.499377001322</t>
  </si>
  <si>
    <t>-665.947315855536 70.453162279621 -525.106896482234</t>
  </si>
  <si>
    <t>-642.229777556934 221.166052868969 -492.534608859371</t>
  </si>
  <si>
    <t>-593.683420493103 218.614835571282 -214.658241799325</t>
  </si>
  <si>
    <t>-394.18130871285 108.070304470491 -258.559674274952</t>
  </si>
  <si>
    <t>-661.644250300792 7.96711473468031 -528.434586841403</t>
  </si>
  <si>
    <t>-602.32755338409 129.873612687321 -96.6768865162405</t>
  </si>
  <si>
    <t>-627.065319828613 141.37850535733 318.001570214139</t>
  </si>
  <si>
    <t>-668.833506553345 181.372814121194 777.542411219116</t>
  </si>
  <si>
    <t>-518.892005676033 183.913980008716 835.808377220446</t>
  </si>
  <si>
    <t>-596.3162513577 -69.2431888977883 323.363248811297</t>
  </si>
  <si>
    <t>-653.234607464924 -104.5733262139 781.492406871265</t>
  </si>
  <si>
    <t>-499.560798364677 -119.248962025277 826.800333263813</t>
  </si>
  <si>
    <t>9763-20170724T115455.161842900.bin</t>
  </si>
  <si>
    <t>-593.269883217185 37.7163638458035 -92.5201695461982</t>
  </si>
  <si>
    <t>-613.991904488842 32.8916012398108 -201.170159085208</t>
  </si>
  <si>
    <t>-628.698903189254 32.6162073107023 -292.873342074518</t>
  </si>
  <si>
    <t>-641.821487218871 33.803384759731 -375.725764914342</t>
  </si>
  <si>
    <t>-654.213289983292 36.4715092799329 -458.656126340268</t>
  </si>
  <si>
    <t>-671.522688805084 41.9941112423646 -579.960774167979</t>
  </si>
  <si>
    <t>-664.22852474221 51.1756291339764 -657.437869067182</t>
  </si>
  <si>
    <t>-666.099674178084 70.808685072403 -525.001144025424</t>
  </si>
  <si>
    <t>-642.316904132804 221.450815311274 -492.155722549203</t>
  </si>
  <si>
    <t>-593.525098987166 218.468342720337 -214.326520986417</t>
  </si>
  <si>
    <t>-394.235390513996 107.969546895428 -259.295131725552</t>
  </si>
  <si>
    <t>-661.755268262576 8.33294906983224 -528.465418646177</t>
  </si>
  <si>
    <t>-602.428224133154 129.754196819216 -96.6622063979243</t>
  </si>
  <si>
    <t>-627.107518334881 141.302917559178 318.018635379728</t>
  </si>
  <si>
    <t>-668.817106523093 181.382996402256 777.553257890168</t>
  </si>
  <si>
    <t>-518.87990980575 183.961286112053 835.828586142365</t>
  </si>
  <si>
    <t>-596.294506295106 -69.3170161728465 323.372905043232</t>
  </si>
  <si>
    <t>-653.253502078095 -104.596002394819 781.500294817255</t>
  </si>
  <si>
    <t>-499.596839858582 -119.446601526678 826.809403261061</t>
  </si>
  <si>
    <t>9763-20170724T115455.227047100.bin</t>
  </si>
  <si>
    <t>-593.310327885715 37.5349503013347 -92.4956338872649</t>
  </si>
  <si>
    <t>-614.072488097889 32.7149015890352 -201.138226890836</t>
  </si>
  <si>
    <t>-628.806331520891 32.5713473828139 -292.837336937142</t>
  </si>
  <si>
    <t>-641.949600745651 33.9284719517777 -375.683777819738</t>
  </si>
  <si>
    <t>-654.358286254146 36.8173809119496 -458.604399597916</t>
  </si>
  <si>
    <t>-671.687706137888 42.7187046576259 -579.888391977051</t>
  </si>
  <si>
    <t>-664.381113291434 52.1201083814979 -657.337933610435</t>
  </si>
  <si>
    <t>-666.260583403894 71.3612173628756 -524.839422541498</t>
  </si>
  <si>
    <t>-642.268634861197 221.896171989793 -491.64180272197</t>
  </si>
  <si>
    <t>-592.754908363056 217.91419370776 -213.952835444152</t>
  </si>
  <si>
    <t>-393.924773926468 107.58677138415 -261.312874529073</t>
  </si>
  <si>
    <t>-661.906806526234 8.89739852980188 -528.500660653679</t>
  </si>
  <si>
    <t>-602.554220275584 129.603088742509 -96.6312059318412</t>
  </si>
  <si>
    <t>-627.075698580531 141.261457760218 318.055861987849</t>
  </si>
  <si>
    <t>-668.757818893917 181.480353428784 777.578530100702</t>
  </si>
  <si>
    <t>-518.825405949764 183.878521413226 835.873880504008</t>
  </si>
  <si>
    <t>-596.222885666656 -69.4199297350715 323.3831169148</t>
  </si>
  <si>
    <t>-653.279835605657 -104.587859167671 781.50738487473</t>
  </si>
  <si>
    <t>-499.607659939043 -119.258562867073 826.822448991821</t>
  </si>
  <si>
    <t>9763-20170724T115455.260801100.bin</t>
  </si>
  <si>
    <t>-593.342477253358 37.4160035218404 -92.4903238533358</t>
  </si>
  <si>
    <t>-614.131586556058 32.6089090184207 -201.128198360895</t>
  </si>
  <si>
    <t>-628.89935016449 32.542147486291 -292.822010953616</t>
  </si>
  <si>
    <t>-642.077364415786 33.9952160497389 -375.661393825738</t>
  </si>
  <si>
    <t>-654.524748398607 37.0063088403745 -458.571672406518</t>
  </si>
  <si>
    <t>-671.914912710651 43.1150627190723 -579.836735624364</t>
  </si>
  <si>
    <t>-664.623562179754 52.6301461555329 -657.273858086886</t>
  </si>
  <si>
    <t>-666.448999378689 71.6642711408003 -524.743103010193</t>
  </si>
  <si>
    <t>-642.378418448518 222.139688196233 -491.367048872902</t>
  </si>
  <si>
    <t>-592.349925237616 217.457721440851 -213.781368368329</t>
  </si>
  <si>
    <t>-393.711993082955 107.132451381435 -261.94614904729</t>
  </si>
  <si>
    <t>-662.119562204281 9.2048431130454 -528.510384154985</t>
  </si>
  <si>
    <t>-602.597482031893 129.476563071539 -96.6121881114794</t>
  </si>
  <si>
    <t>-627.048973226641 141.195230033125 318.077315699655</t>
  </si>
  <si>
    <t>-668.746875464718 181.456140407781 777.601327045168</t>
  </si>
  <si>
    <t>-518.816656663011 183.968573914522 835.89747926126</t>
  </si>
  <si>
    <t>-596.177785279843 -69.4758955709674 323.39048247687</t>
  </si>
  <si>
    <t>-653.284795665674 -104.599394194039 781.510779771085</t>
  </si>
  <si>
    <t>-499.622674541916 -119.304923994736 826.848663829557</t>
  </si>
  <si>
    <t>9763-20170724T115455.327987000.bin</t>
  </si>
  <si>
    <t>-593.466999781926 37.1637714211727 -92.4581891207088</t>
  </si>
  <si>
    <t>-614.281520877143 32.3907743179868 -201.092831359877</t>
  </si>
  <si>
    <t>-629.094608315257 32.494912659155 -292.779213413449</t>
  </si>
  <si>
    <t>-642.323155040609 34.1600566793993 -375.606490778128</t>
  </si>
  <si>
    <t>-654.830457585058 37.4409943631456 -458.497682201158</t>
  </si>
  <si>
    <t>-672.318618312004 44.0072211414699 -579.724671169203</t>
  </si>
  <si>
    <t>-665.079613123802 53.7599309125098 -657.137052966269</t>
  </si>
  <si>
    <t>-666.790977155442 72.3496772086253 -524.530403270096</t>
  </si>
  <si>
    <t>-642.491444744659 222.656357689271 -490.588010564164</t>
  </si>
  <si>
    <t>-591.252926529882 216.542235335352 -213.251079224852</t>
  </si>
  <si>
    <t>-392.977335040618 105.913861491559 -262.207082286706</t>
  </si>
  <si>
    <t>-662.498940979222 9.90244040039602 -528.532118239161</t>
  </si>
  <si>
    <t>-602.615029399976 129.263782964509 -96.5666105640756</t>
  </si>
  <si>
    <t>-627.030920502161 141.050267688782 318.123048239448</t>
  </si>
  <si>
    <t>-668.737492383607 181.399388277501 777.64195604457</t>
  </si>
  <si>
    <t>-518.808553902078 184.042766953253 835.935605425281</t>
  </si>
  <si>
    <t>-596.174313708136 -69.6532931342813 323.408742670563</t>
  </si>
  <si>
    <t>-653.31565045391 -104.598314932611 781.518062805788</t>
  </si>
  <si>
    <t>-499.62593295732 -119.016980892069 826.854550655091</t>
  </si>
  <si>
    <t>9763-20170724T115455.361076200.bin</t>
  </si>
  <si>
    <t>-593.463170789578 37.0997452001438 -92.4431977852954</t>
  </si>
  <si>
    <t>-614.280582981408 32.3587766031735 -201.078520888854</t>
  </si>
  <si>
    <t>-629.07753592232 32.5768751243393 -292.767515654089</t>
  </si>
  <si>
    <t>-642.283814951385 34.3805990707544 -375.595410895246</t>
  </si>
  <si>
    <t>-654.761027246635 37.8352294789647 -458.484074374411</t>
  </si>
  <si>
    <t>-672.196289034116 44.6943221465556 -579.702344996633</t>
  </si>
  <si>
    <t>-664.980904010387 54.5886343719026 -657.099153282131</t>
  </si>
  <si>
    <t>-666.670458046088 72.9051786781827 -524.440656102436</t>
  </si>
  <si>
    <t>-642.081297472466 223.099251591151 -490.191018238807</t>
  </si>
  <si>
    <t>-590.792751488808 216.303619708358 -212.879151082139</t>
  </si>
  <si>
    <t>-392.585641867407 105.735295035555 -262.246344199624</t>
  </si>
  <si>
    <t>-662.421176749986 10.4642049638735 -528.584959411213</t>
  </si>
  <si>
    <t>-602.524901583605 129.261184953098 -96.5430609374519</t>
  </si>
  <si>
    <t>-626.988186200104 141.048186408222 318.143842776626</t>
  </si>
  <si>
    <t>-668.716476590764 181.44888237445 777.657943525716</t>
  </si>
  <si>
    <t>-518.782271610162 183.931304936189 835.945170412278</t>
  </si>
  <si>
    <t>-596.176980793762 -69.7471774080909 323.407156899643</t>
  </si>
  <si>
    <t>-653.324618575027 -104.615690234624 781.52824647445</t>
  </si>
  <si>
    <t>-499.664799224604 -119.287030265445 826.885024572525</t>
  </si>
  <si>
    <t>9763-20170724T115455.429292500.bin</t>
  </si>
  <si>
    <t>-593.367493016085 37.060324249353 -92.4464339195289</t>
  </si>
  <si>
    <t>-614.166026273561 32.3820716188095 -201.088224075439</t>
  </si>
  <si>
    <t>-628.911173185636 32.8037860875552 -292.784610691787</t>
  </si>
  <si>
    <t>-642.055763483387 34.8531443246402 -375.616748167704</t>
  </si>
  <si>
    <t>-654.455746143962 38.6144875515863 -458.503624024375</t>
  </si>
  <si>
    <t>-671.760906040305 45.9880081029676 -579.710408656937</t>
  </si>
  <si>
    <t>-664.623337556402 56.1351332963582 -657.081590445979</t>
  </si>
  <si>
    <t>-666.232823917616 73.9687055863728 -524.3319948784</t>
  </si>
  <si>
    <t>-641.239715854735 223.995567326897 -489.620770673949</t>
  </si>
  <si>
    <t>-589.906528905438 215.375678005747 -212.367828322695</t>
  </si>
  <si>
    <t>-391.615693996234 105.537508253729 -263.01228273946</t>
  </si>
  <si>
    <t>-662.102255028001 11.536475690498 -528.719780384293</t>
  </si>
  <si>
    <t>-602.246551861506 129.315368225831 -96.5195326316015</t>
  </si>
  <si>
    <t>-626.844657856161 141.031280536013 318.161416130641</t>
  </si>
  <si>
    <t>-668.698762745502 181.440216915889 777.676260365633</t>
  </si>
  <si>
    <t>-518.761393134734 183.961092950584 835.953581713158</t>
  </si>
  <si>
    <t>-596.063434866471 -69.7882909006955 323.396984306258</t>
  </si>
  <si>
    <t>-653.35067385121 -104.607428681709 781.533773747086</t>
  </si>
  <si>
    <t>-499.676806507342 -119.107168801806 826.898200683785</t>
  </si>
  <si>
    <t>9763-20170724T115455.461348500.bin</t>
  </si>
  <si>
    <t>-593.313160491648 37.083476042543 -92.432891887059</t>
  </si>
  <si>
    <t>-614.113463976081 32.4316949925883 -201.075510778831</t>
  </si>
  <si>
    <t>-628.843425900578 32.9464066119967 -292.773842993689</t>
  </si>
  <si>
    <t>-641.967334325894 35.1088454327362 -375.606286981762</t>
  </si>
  <si>
    <t>-654.339635812687 39.0116065857499 -458.490740265771</t>
  </si>
  <si>
    <t>-671.59631945556 46.6236154905064 -579.689768160513</t>
  </si>
  <si>
    <t>-664.500426063482 56.8844071548758 -657.049806089602</t>
  </si>
  <si>
    <t>-666.071201868929 74.496801780492 -524.256821397029</t>
  </si>
  <si>
    <t>-640.953354577724 224.435410938343 -489.259576096192</t>
  </si>
  <si>
    <t>-589.401406041666 215.191363104056 -212.06721781773</t>
  </si>
  <si>
    <t>-391.242813297708 105.404035464004 -263.33569278478</t>
  </si>
  <si>
    <t>-661.977237979395 12.0703330157085 -528.760395844537</t>
  </si>
  <si>
    <t>-602.149234657244 129.397908618453 -96.4951359260683</t>
  </si>
  <si>
    <t>-626.810006562761 141.025552439304 318.184537033537</t>
  </si>
  <si>
    <t>-668.681211479706 181.479679851962 777.689314897405</t>
  </si>
  <si>
    <t>-518.742258330391 183.94476134516 835.964899905482</t>
  </si>
  <si>
    <t>-595.966279558186 -69.788373531658 323.405992863903</t>
  </si>
  <si>
    <t>-653.365538909242 -104.609882736946 781.534826529935</t>
  </si>
  <si>
    <t>-499.713630518318 -119.326606491459 826.903641643111</t>
  </si>
  <si>
    <t>9763-20170724T115455.528029900.bin</t>
  </si>
  <si>
    <t>-593.123415970956 37.2423130828981 -92.392755502796</t>
  </si>
  <si>
    <t>-613.917252880753 32.6309300580308 -201.038236003235</t>
  </si>
  <si>
    <t>-628.636811858408 33.3119127047819 -292.737325330515</t>
  </si>
  <si>
    <t>-641.748466548985 35.6779229220383 -375.566125715402</t>
  </si>
  <si>
    <t>-654.105001756763 39.8373076292553 -458.440533659218</t>
  </si>
  <si>
    <t>-671.334396829622 47.8820752853205 -579.615402781276</t>
  </si>
  <si>
    <t>-664.329384802833 58.3749866403109 -656.952640143927</t>
  </si>
  <si>
    <t>-665.784730882266 75.5597990823092 -524.087272802112</t>
  </si>
  <si>
    <t>-640.464953830278 225.329277117349 -488.522612913845</t>
  </si>
  <si>
    <t>-588.039686180679 215.031171369997 -211.531383813258</t>
  </si>
  <si>
    <t>-390.098262500065 105.014832151168 -263.146625371702</t>
  </si>
  <si>
    <t>-661.76388051606 13.1442383481437 -528.802620161496</t>
  </si>
  <si>
    <t>-601.891766367673 129.569772901152 -96.4285437953965</t>
  </si>
  <si>
    <t>-626.790437230412 141.065277054503 318.240614064713</t>
  </si>
  <si>
    <t>-668.655000192473 181.52039361315 777.734964113505</t>
  </si>
  <si>
    <t>-518.708455947906 183.906524589143 835.994437685674</t>
  </si>
  <si>
    <t>-595.771895600054 -69.6843059256812 323.426533380384</t>
  </si>
  <si>
    <t>-653.414322805081 -104.620072071779 781.527326137088</t>
  </si>
  <si>
    <t>-499.768046347114 -119.493771225366 826.864077081641</t>
  </si>
  <si>
    <t>9763-20170724T115455.561562300.bin</t>
  </si>
  <si>
    <t>-593.050338075153 37.3102735934758 -92.3744256676513</t>
  </si>
  <si>
    <t>-613.837774916374 32.7155279513715 -201.021818859716</t>
  </si>
  <si>
    <t>-628.562978508434 33.470557226829 -292.719464062711</t>
  </si>
  <si>
    <t>-641.683704701492 35.9275074106213 -375.544180635169</t>
  </si>
  <si>
    <t>-654.053001059832 40.2018477834213 -458.410685776723</t>
  </si>
  <si>
    <t>-671.304896446788 48.4405025013218 -579.56934200159</t>
  </si>
  <si>
    <t>-664.348875344822 59.0457893497021 -656.895759261141</t>
  </si>
  <si>
    <t>-665.729480856909 76.0305594275374 -524.000018398118</t>
  </si>
  <si>
    <t>-640.266923044826 225.711534148846 -488.168288882227</t>
  </si>
  <si>
    <t>-587.664675564947 214.676874985279 -211.239182603362</t>
  </si>
  <si>
    <t>-389.648470502589 104.912168504599 -263.102777371296</t>
  </si>
  <si>
    <t>-661.740363288149 13.6203690266809 -528.812010782602</t>
  </si>
  <si>
    <t>-601.802998632914 129.631784593144 -96.3968715979388</t>
  </si>
  <si>
    <t>-626.758599213456 141.089372205309 318.269886273537</t>
  </si>
  <si>
    <t>-668.641312109226 181.557176192647 777.759024464105</t>
  </si>
  <si>
    <t>-518.68936166199 183.930171771751 836.005208957488</t>
  </si>
  <si>
    <t>-595.703735705857 -69.6513805041416 323.431961694357</t>
  </si>
  <si>
    <t>-653.450797238164 -104.633033390703 781.522586547233</t>
  </si>
  <si>
    <t>-499.82410568935 -119.799493129929 826.828666430845</t>
  </si>
  <si>
    <t>9763-20170724T115455.627244300.bin</t>
  </si>
  <si>
    <t>-592.839335920017 37.4925851608316 -92.3504501535878</t>
  </si>
  <si>
    <t>-613.625260924314 32.9121301248656 -200.998855943986</t>
  </si>
  <si>
    <t>-628.369783737531 33.8119506608275 -292.691907708807</t>
  </si>
  <si>
    <t>-641.515323683978 36.4527977883561 -375.507050992018</t>
  </si>
  <si>
    <t>-653.916201982853 40.9641022642504 -458.356489152361</t>
  </si>
  <si>
    <t>-671.221248392644 49.6069353200451 -579.4792919973</t>
  </si>
  <si>
    <t>-664.39177384086 60.4659856354538 -656.781702108163</t>
  </si>
  <si>
    <t>-665.595067211221 77.0134526366987 -523.824422836993</t>
  </si>
  <si>
    <t>-639.889326399037 226.559355202239 -487.597505670638</t>
  </si>
  <si>
    <t>-587.292944059599 214.231786838692 -210.721669771043</t>
  </si>
  <si>
    <t>-389.183510430993 105.011278268044 -263.372037273079</t>
  </si>
  <si>
    <t>-661.660790105934 14.6157208068521 -528.838967817576</t>
  </si>
  <si>
    <t>-601.555899389173 129.739495994237 -96.3552308887643</t>
  </si>
  <si>
    <t>-626.662203523225 141.070967208453 318.305881974965</t>
  </si>
  <si>
    <t>-668.649170571576 181.423892240345 777.796221359064</t>
  </si>
  <si>
    <t>-518.697158091554 183.952503029118 836.035643790399</t>
  </si>
  <si>
    <t>-595.554167211615 -69.4936728244459 323.442923118399</t>
  </si>
  <si>
    <t>-653.53036997051 -104.538257024456 781.500182529859</t>
  </si>
  <si>
    <t>-499.809868132008 -119.068933142757 826.696331697327</t>
  </si>
  <si>
    <t>9763-20170724T115455.661831800.bin</t>
  </si>
  <si>
    <t>-592.706453147636 37.5864994676481 -92.3417468738892</t>
  </si>
  <si>
    <t>-613.475455213597 33.0153151592506 -200.993780479242</t>
  </si>
  <si>
    <t>-628.222914613521 33.9888854180633 -292.685597678008</t>
  </si>
  <si>
    <t>-641.377920917897 36.7229651146054 -375.496332775568</t>
  </si>
  <si>
    <t>-653.795003466478 41.3538579157716 -458.336394742766</t>
  </si>
  <si>
    <t>-671.130959555493 50.2007946933243 -579.440252272163</t>
  </si>
  <si>
    <t>-664.357362496605 61.193081319866 -656.728689832291</t>
  </si>
  <si>
    <t>-665.484309970181 77.5139135647144 -523.741421404434</t>
  </si>
  <si>
    <t>-639.700026046976 226.98947192728 -487.281310190185</t>
  </si>
  <si>
    <t>-587.024789657332 214.192445208187 -210.441609618058</t>
  </si>
  <si>
    <t>-388.907296596688 105.203600936451 -263.539843424899</t>
  </si>
  <si>
    <t>-661.563895501863 15.1237735625332 -528.860498757754</t>
  </si>
  <si>
    <t>-601.383754978783 129.841261628267 -96.3405770349125</t>
  </si>
  <si>
    <t>-626.622994656294 141.123090857065 318.313808137045</t>
  </si>
  <si>
    <t>-668.63025808078 181.452342339735 777.811742252687</t>
  </si>
  <si>
    <t>-518.679393402215 183.89072800755 836.057847906719</t>
  </si>
  <si>
    <t>-595.467520544221 -69.4338638823767 323.455479672658</t>
  </si>
  <si>
    <t>-653.554761871972 -104.561808505065 781.49482873259</t>
  </si>
  <si>
    <t>-499.862366242513 -119.413685578492 826.682020047509</t>
  </si>
  <si>
    <t>9763-20170724T115455.727008900.bin</t>
  </si>
  <si>
    <t>-592.424660638569 37.7616546718616 -92.3074244976318</t>
  </si>
  <si>
    <t>-613.119470707309 33.1967360586252 -200.973749634147</t>
  </si>
  <si>
    <t>-627.841365776916 34.3198196747937 -292.668032985025</t>
  </si>
  <si>
    <t>-640.987724001869 37.2473879851757 -375.47340835316</t>
  </si>
  <si>
    <t>-653.410588316695 42.1297212738502 -458.298391348582</t>
  </si>
  <si>
    <t>-670.770475168486 51.4082495968512 -579.36649738812</t>
  </si>
  <si>
    <t>-664.067371054756 62.666186489457 -656.622791235871</t>
  </si>
  <si>
    <t>-665.105943737283 78.5231504361989 -523.572793997174</t>
  </si>
  <si>
    <t>-639.167899211158 227.855090042096 -486.637920807793</t>
  </si>
  <si>
    <t>-586.499954278367 213.884181043681 -209.853735579735</t>
  </si>
  <si>
    <t>-388.430698518488 105.457593814504 -264.266705306657</t>
  </si>
  <si>
    <t>-661.200270690808 16.1506957490355 -528.912935883898</t>
  </si>
  <si>
    <t>-601.024018865872 130.000073222954 -96.3090068517978</t>
  </si>
  <si>
    <t>-626.520750035108 141.189449525974 318.332135368298</t>
  </si>
  <si>
    <t>-668.593779948878 181.548591745586 777.827674577875</t>
  </si>
  <si>
    <t>-518.647469066168 183.93938777687 836.087489144861</t>
  </si>
  <si>
    <t>-595.410241088839 -69.3916617109596 323.4815881449</t>
  </si>
  <si>
    <t>-653.598157904269 -104.563033512126 781.501552429214</t>
  </si>
  <si>
    <t>-499.91875255918 -119.628219948894 826.662446999438</t>
  </si>
  <si>
    <t>9763-20170724T115455.758721200.bin</t>
  </si>
  <si>
    <t>-592.249984547993 37.8557938205636 -92.2928561993715</t>
  </si>
  <si>
    <t>-612.90537863846 33.2861250869805 -200.966429543702</t>
  </si>
  <si>
    <t>-627.61045296644 34.485176792185 -292.6624221146</t>
  </si>
  <si>
    <t>-640.748205007524 37.5136823737075 -375.46567505915</t>
  </si>
  <si>
    <t>-653.168960947409 42.5294975962724 -458.282994010484</t>
  </si>
  <si>
    <t>-670.533160605735 52.0380164472517 -579.33249423755</t>
  </si>
  <si>
    <t>-663.86007545083 63.4423593053591 -656.569931538174</t>
  </si>
  <si>
    <t>-664.874702275992 79.0462457296546 -523.486491180077</t>
  </si>
  <si>
    <t>-638.944387814507 228.326381234502 -486.323192818597</t>
  </si>
  <si>
    <t>-586.108227722909 213.706188554923 -209.604787316995</t>
  </si>
  <si>
    <t>-388.086253296883 105.652516637642 -264.92409538838</t>
  </si>
  <si>
    <t>-660.953131995439 16.6851489983342 -528.947569907529</t>
  </si>
  <si>
    <t>-600.832242790067 130.080992801826 -96.3024718541294</t>
  </si>
  <si>
    <t>-626.449698934821 141.257864043607 318.331647952332</t>
  </si>
  <si>
    <t>-668.584766114862 181.544172853874 777.821014794616</t>
  </si>
  <si>
    <t>-518.643984595161 183.963033058832 836.093924389567</t>
  </si>
  <si>
    <t>-595.380553142647 -69.3645462593036 323.495222561977</t>
  </si>
  <si>
    <t>-653.631313810758 -104.554275185524 781.497724467148</t>
  </si>
  <si>
    <t>-499.919060309133 -119.407749750341 826.616939078528</t>
  </si>
  <si>
    <t>9763-20170724T115455.831499200.bin</t>
  </si>
  <si>
    <t>-591.853797338051 37.9225227519023 -92.2710026184266</t>
  </si>
  <si>
    <t>-612.439744640451 33.3456632281936 -200.95764009512</t>
  </si>
  <si>
    <t>-627.125977375349 34.6989453533361 -292.654390707868</t>
  </si>
  <si>
    <t>-640.262837337056 37.9301824362583 -375.450039287542</t>
  </si>
  <si>
    <t>-652.69911694289 43.212672119826 -458.24840095879</t>
  </si>
  <si>
    <t>-670.1040730156 53.1818062475058 -579.255061610949</t>
  </si>
  <si>
    <t>-663.521911445871 64.9070064894274 -656.452314167221</t>
  </si>
  <si>
    <t>-664.476675542807 79.9735799527259 -523.301767414912</t>
  </si>
  <si>
    <t>-638.926967661163 229.174989834341 -485.58491766418</t>
  </si>
  <si>
    <t>-585.309035046207 213.400865922115 -209.080087159311</t>
  </si>
  <si>
    <t>-387.431608528335 105.655370376785 -265.506507491408</t>
  </si>
  <si>
    <t>-660.457147144208 17.6414174114284 -529.015247504054</t>
  </si>
  <si>
    <t>-600.455485150623 130.11232956258 -96.2877502172015</t>
  </si>
  <si>
    <t>-626.27707544075 141.275652649748 318.334039934662</t>
  </si>
  <si>
    <t>-668.558664928411 181.532433691348 777.803742150432</t>
  </si>
  <si>
    <t>-518.635993577048 183.96485727148 836.122677837286</t>
  </si>
  <si>
    <t>-595.183688874743 -69.3697955607829 323.513213468399</t>
  </si>
  <si>
    <t>-653.67897918531 -104.574906036708 781.488744627256</t>
  </si>
  <si>
    <t>-499.974685181139 -119.632207850087 826.567422028362</t>
  </si>
  <si>
    <t>9763-20170724T115455.859574900.bin</t>
  </si>
  <si>
    <t>-591.672923741454 37.9400234649222 -92.25447451026</t>
  </si>
  <si>
    <t>-612.222098726187 33.3542532652373 -200.947616435163</t>
  </si>
  <si>
    <t>-626.874875841987 34.7894537884852 -292.648757690476</t>
  </si>
  <si>
    <t>-639.980667550759 38.1299377853395 -375.444859938683</t>
  </si>
  <si>
    <t>-652.384995791201 43.5577513244232 -458.238722158677</t>
  </si>
  <si>
    <t>-669.742504559295 53.7783848410281 -579.231065602163</t>
  </si>
  <si>
    <t>-663.188709800127 65.6715602945583 -656.40503646681</t>
  </si>
  <si>
    <t>-664.16644441646 80.4514469788719 -523.216020940246</t>
  </si>
  <si>
    <t>-638.810019994546 229.6139006422 -485.19383307618</t>
  </si>
  <si>
    <t>-584.898253975925 213.038508874439 -208.79309323857</t>
  </si>
  <si>
    <t>-386.963204345375 105.421344736947 -265.262536076937</t>
  </si>
  <si>
    <t>-660.085941812562 18.1357951282796 -529.065456507121</t>
  </si>
  <si>
    <t>-600.311402235884 130.125194008425 -96.2809418554123</t>
  </si>
  <si>
    <t>-626.196758775301 141.27575144723 318.337217936296</t>
  </si>
  <si>
    <t>-668.538610483873 181.532741096431 777.792297224674</t>
  </si>
  <si>
    <t>-518.62711616756 183.978987289266 836.13928650965</t>
  </si>
  <si>
    <t>-595.104264281847 -69.3951131555427 323.521319452006</t>
  </si>
  <si>
    <t>-653.701706491155 -104.573556737444 781.484847679578</t>
  </si>
  <si>
    <t>-499.965170596087 -119.369043031468 826.54036015026</t>
  </si>
  <si>
    <t>9763-20170724T115455.926256600.bin</t>
  </si>
  <si>
    <t>-591.271340951496 37.8058201188301 -92.2560059307984</t>
  </si>
  <si>
    <t>-611.705923919096 33.2239419131156 -200.970902174324</t>
  </si>
  <si>
    <t>-626.238383238371 34.8484879512548 -292.687956480353</t>
  </si>
  <si>
    <t>-639.225600374223 38.434486128732 -375.492485024281</t>
  </si>
  <si>
    <t>-651.501478198041 44.1819398203488 -458.283854820881</t>
  </si>
  <si>
    <t>-668.660173532346 54.9513685914501 -579.257078086417</t>
  </si>
  <si>
    <t>-662.121132372722 67.2121250590872 -656.374750872682</t>
  </si>
  <si>
    <t>-663.194175977168 81.3687264006726 -523.110008461809</t>
  </si>
  <si>
    <t>-638.008386779723 230.363216341624 -484.333552376293</t>
  </si>
  <si>
    <t>-584.11863303367 212.074632094072 -208.036715778386</t>
  </si>
  <si>
    <t>-385.885061637005 104.798776528047 -264.106817875947</t>
  </si>
  <si>
    <t>-659.06797162447 19.083070553052 -529.240224090811</t>
  </si>
  <si>
    <t>-599.886772764607 129.991090003553 -96.2744839657934</t>
  </si>
  <si>
    <t>-626.025257745167 141.174998584705 318.326842720042</t>
  </si>
  <si>
    <t>-668.517907471887 181.488517618612 777.780160379259</t>
  </si>
  <si>
    <t>-518.628025569686 184.109371148795 836.175114936729</t>
  </si>
  <si>
    <t>-595.008814016903 -69.6651723401721 323.522927477864</t>
  </si>
  <si>
    <t>-653.727876314841 -104.587785531541 781.483490215706</t>
  </si>
  <si>
    <t>-500.021896283634 -119.695392844397 826.539679444132</t>
  </si>
  <si>
    <t>9763-20170724T115455.965576600.bin</t>
  </si>
  <si>
    <t>-591.074396333481 37.675118371104 -92.2415530437185</t>
  </si>
  <si>
    <t>-611.440864787631 33.1125270297127 -200.970113244566</t>
  </si>
  <si>
    <t>-625.928543144281 34.8358694764192 -292.692365958179</t>
  </si>
  <si>
    <t>-638.880359633842 38.5444896458944 -375.497092983396</t>
  </si>
  <si>
    <t>-651.125777858885 44.4475822084355 -458.281963754133</t>
  </si>
  <si>
    <t>-668.245302991929 55.4808932691872 -579.236973085326</t>
  </si>
  <si>
    <t>-661.715332489839 67.9296102469971 -656.325317632197</t>
  </si>
  <si>
    <t>-662.790876798508 81.7760937856735 -523.031535478242</t>
  </si>
  <si>
    <t>-637.505501068882 230.667975685 -483.90307293617</t>
  </si>
  <si>
    <t>-583.937307677496 211.62491562914 -207.594420253637</t>
  </si>
  <si>
    <t>-385.519435216095 104.4822157308 -263.266005658539</t>
  </si>
  <si>
    <t>-658.67597515802 19.5029175643781 -529.294471737434</t>
  </si>
  <si>
    <t>-599.649659785013 129.893331610627 -96.2682257575188</t>
  </si>
  <si>
    <t>-625.896327879127 141.072762166014 318.326421762583</t>
  </si>
  <si>
    <t>-668.504113080776 181.478332399347 777.761744929005</t>
  </si>
  <si>
    <t>-518.626238262755 184.062727162284 836.189256914054</t>
  </si>
  <si>
    <t>-595.022853963345 -69.8910747884263 323.510116946845</t>
  </si>
  <si>
    <t>-653.737994239586 -104.616448644917 781.488888558338</t>
  </si>
  <si>
    <t>-500.047312124256 -119.850758170699 826.554577746231</t>
  </si>
  <si>
    <t>9763-20170724T115456.025747200.bin</t>
  </si>
  <si>
    <t>-590.684020826742 37.4078765798536 -92.2529461102411</t>
  </si>
  <si>
    <t>-610.942239387545 32.8691538153882 -201.002610333944</t>
  </si>
  <si>
    <t>-625.35186959274 34.7685803254785 -292.733721561034</t>
  </si>
  <si>
    <t>-638.239344808687 38.6991598483996 -375.538173571739</t>
  </si>
  <si>
    <t>-650.42686941292 44.8875239581469 -458.310894056106</t>
  </si>
  <si>
    <t>-667.46952178734 56.4065586356814 -579.231452451864</t>
  </si>
  <si>
    <t>-660.946783711591 69.2230476716195 -656.260100957819</t>
  </si>
  <si>
    <t>-662.059831969761 82.4751648969695 -522.916165624829</t>
  </si>
  <si>
    <t>-636.777264608123 231.192276341412 -483.149340385498</t>
  </si>
  <si>
    <t>-583.546784753085 210.993425127533 -206.857730345464</t>
  </si>
  <si>
    <t>-385.026592581763 103.998675646037 -262.449021140698</t>
  </si>
  <si>
    <t>-657.922903654236 20.2289660370473 -529.428924423616</t>
  </si>
  <si>
    <t>-599.093956324019 129.727591661996 -96.2754722885795</t>
  </si>
  <si>
    <t>-625.602791671702 140.934360912355 318.3017662014</t>
  </si>
  <si>
    <t>-668.45993747327 181.523096484879 777.698941949329</t>
  </si>
  <si>
    <t>-518.609801897983 184.051372833914 836.199963711566</t>
  </si>
  <si>
    <t>-595.049707296829 -70.3652567008016 323.488603642276</t>
  </si>
  <si>
    <t>-653.742586365396 -104.633015850232 781.508185359538</t>
  </si>
  <si>
    <t>-500.070528608907 -119.981310253519 826.598628563137</t>
  </si>
  <si>
    <t>9763-20170724T115456.064652500.bin</t>
  </si>
  <si>
    <t>-590.544038599285 37.2787793044145 -92.2655600100539</t>
  </si>
  <si>
    <t>-610.75855253489 32.7599590669665 -201.024201572282</t>
  </si>
  <si>
    <t>-625.13538571662 34.7564405893543 -292.75846159204</t>
  </si>
  <si>
    <t>-637.995184823051 38.8072675730803 -375.561440209288</t>
  </si>
  <si>
    <t>-650.157213288722 45.1481974682065 -458.326313580969</t>
  </si>
  <si>
    <t>-667.165160093607 56.9258706382866 -579.226907850531</t>
  </si>
  <si>
    <t>-660.642175458058 69.9236644993898 -656.225047211053</t>
  </si>
  <si>
    <t>-661.778009393967 82.8733777596287 -522.85362871924</t>
  </si>
  <si>
    <t>-636.570318940453 231.503351282625 -482.72284725913</t>
  </si>
  <si>
    <t>-583.356591978732 210.725724766105 -206.470893265718</t>
  </si>
  <si>
    <t>-384.894691378731 103.828820578313 -262.457180971771</t>
  </si>
  <si>
    <t>-657.62645388622 20.6424205108628 -529.499959448306</t>
  </si>
  <si>
    <t>-598.883206284311 129.697925831918 -96.288893263124</t>
  </si>
  <si>
    <t>-625.48354831351 140.870017981079 318.283470016942</t>
  </si>
  <si>
    <t>-668.445069489831 181.524842014695 777.666505803081</t>
  </si>
  <si>
    <t>-518.607297432901 184.029633578154 836.200290448608</t>
  </si>
  <si>
    <t>-595.06395814211 -70.5760913325346 323.471522844869</t>
  </si>
  <si>
    <t>-653.747651271386 -104.634425123181 781.516246882824</t>
  </si>
  <si>
    <t>-500.061659480726 -119.83571975888 826.609044391731</t>
  </si>
  <si>
    <t>9763-20170724T115456.129438100.bin</t>
  </si>
  <si>
    <t>-590.32386466303 37.2898151983109 -92.2846413288763</t>
  </si>
  <si>
    <t>-610.458853760008 32.8085958054101 -201.059686446067</t>
  </si>
  <si>
    <t>-624.783661068242 34.9786896264886 -292.798047739281</t>
  </si>
  <si>
    <t>-637.603412332189 39.2437635304927 -375.596537481709</t>
  </si>
  <si>
    <t>-649.732854281921 45.8564452937105 -458.344869518759</t>
  </si>
  <si>
    <t>-666.701940803396 58.0940771011285 -579.205145825767</t>
  </si>
  <si>
    <t>-660.178532181031 71.4267383693332 -656.145985752137</t>
  </si>
  <si>
    <t>-661.350132723853 83.8255861317944 -522.729446536269</t>
  </si>
  <si>
    <t>-636.224552243473 232.291806787136 -481.942772065385</t>
  </si>
  <si>
    <t>-582.849153041698 210.717688469574 -205.782832062891</t>
  </si>
  <si>
    <t>-384.731855434022 103.780504817973 -262.901421359872</t>
  </si>
  <si>
    <t>-657.161949784964 21.6231156667741 -529.615761441343</t>
  </si>
  <si>
    <t>-598.501684505805 129.734702307562 -96.2970744068581</t>
  </si>
  <si>
    <t>-625.357439484421 140.843344584944 318.260471085888</t>
  </si>
  <si>
    <t>-668.426943047044 181.53036855135 777.623951548956</t>
  </si>
  <si>
    <t>-518.604788934628 183.98989635672 836.199426059914</t>
  </si>
  <si>
    <t>-595.101186167043 -70.6911463863519 323.446736587805</t>
  </si>
  <si>
    <t>-653.771189112351 -104.654278635762 781.518294744607</t>
  </si>
  <si>
    <t>-500.113368191908 -120.135152328927 826.612029064672</t>
  </si>
  <si>
    <t>9763-20170724T115456.162523900.bin</t>
  </si>
  <si>
    <t>-590.298935351977 37.3437954262386 -92.3005755775569</t>
  </si>
  <si>
    <t>-610.398443991196 32.8741467395841 -201.082702179039</t>
  </si>
  <si>
    <t>-624.69348983622 35.1121453553835 -292.824005479623</t>
  </si>
  <si>
    <t>-637.487050183376 39.4623355815231 -375.622189383414</t>
  </si>
  <si>
    <t>-649.591435815256 46.183554185985 -458.365493892816</t>
  </si>
  <si>
    <t>-666.525314615698 58.6062483666367 -579.211724877729</t>
  </si>
  <si>
    <t>-659.988243215809 72.083641199428 -656.12615232349</t>
  </si>
  <si>
    <t>-661.200004642163 84.2503815581958 -522.693990852133</t>
  </si>
  <si>
    <t>-636.15259991679 232.654536810609 -481.637814277274</t>
  </si>
  <si>
    <t>-582.632411839251 210.827566419745 -205.525999887168</t>
  </si>
  <si>
    <t>-384.706923760359 103.822807187544 -263.180309915752</t>
  </si>
  <si>
    <t>-656.989738036702 22.0601983170809 -529.67692303975</t>
  </si>
  <si>
    <t>-598.407146688866 129.772153272664 -96.3112498175171</t>
  </si>
  <si>
    <t>-625.342982741109 140.845187714998 318.242021396804</t>
  </si>
  <si>
    <t>-668.434680125081 181.480991221996 777.606802320718</t>
  </si>
  <si>
    <t>-518.618684446509 184.113393366905 836.190623530284</t>
  </si>
  <si>
    <t>-595.167622628561 -70.7140551813441 323.432695206072</t>
  </si>
  <si>
    <t>-653.785280092952 -104.65714310732 781.517772688665</t>
  </si>
  <si>
    <t>-500.117994732865 -120.096872890734 826.593253611837</t>
  </si>
  <si>
    <t>9763-20170724T115456.225194500.bin</t>
  </si>
  <si>
    <t>-590.517218752066 37.4945601843533 -92.3549702183376</t>
  </si>
  <si>
    <t>-610.526253202428 33.0440941426339 -201.15447188319</t>
  </si>
  <si>
    <t>-624.732746177432 35.3742516098409 -292.907228299204</t>
  </si>
  <si>
    <t>-637.441949046916 39.8392646991431 -375.712262572013</t>
  </si>
  <si>
    <t>-649.457634808991 46.7065759635273 -458.45649040417</t>
  </si>
  <si>
    <t>-666.257614698121 59.3763975385621 -579.295838986601</t>
  </si>
  <si>
    <t>-659.664104114558 73.0627095010266 -656.168588451544</t>
  </si>
  <si>
    <t>-660.969095827453 84.9069670251886 -522.723219686119</t>
  </si>
  <si>
    <t>-635.84984047942 233.223417959851 -481.363548151964</t>
  </si>
  <si>
    <t>-582.439489364021 210.687242209868 -205.287396758347</t>
  </si>
  <si>
    <t>-384.669787394367 103.620464210565 -263.359695290181</t>
  </si>
  <si>
    <t>-656.802763241107 22.7269961562665 -529.822037748198</t>
  </si>
  <si>
    <t>-598.423740387977 130.060358658167 -96.3891206089882</t>
  </si>
  <si>
    <t>-625.403205433677 140.964604944176 318.16582471392</t>
  </si>
  <si>
    <t>-668.454844889533 181.433965348051 777.566441342427</t>
  </si>
  <si>
    <t>-518.642785255983 184.163486671085 836.155896515031</t>
  </si>
  <si>
    <t>-595.548070887129 -70.8183688363952 323.379014457782</t>
  </si>
  <si>
    <t>-653.853072576391 -104.657871719406 781.514859705263</t>
  </si>
  <si>
    <t>-500.193652720352 -120.436524659617 826.499701138229</t>
  </si>
  <si>
    <t>9763-20170724T115456.262452400.bin</t>
  </si>
  <si>
    <t>-590.664311996989 37.7063839772229 -92.3894565886459</t>
  </si>
  <si>
    <t>-610.643040891408 33.2719744451854 -201.195174244719</t>
  </si>
  <si>
    <t>-624.809632824501 35.63359358823 -292.95339184218</t>
  </si>
  <si>
    <t>-637.477213042473 40.1350764905535 -375.762725720665</t>
  </si>
  <si>
    <t>-649.445770091935 47.0464395306751 -458.510164472439</t>
  </si>
  <si>
    <t>-666.170937210709 59.7888339564163 -579.352310506691</t>
  </si>
  <si>
    <t>-659.539294662684 73.5219877885932 -656.213362895855</t>
  </si>
  <si>
    <t>-660.893332631878 85.2873769579401 -522.764232801087</t>
  </si>
  <si>
    <t>-635.682072736043 233.559016377413 -481.326531345622</t>
  </si>
  <si>
    <t>-582.396756880823 210.817138123685 -205.243188519328</t>
  </si>
  <si>
    <t>-384.706207122301 103.591902381542 -263.292480698547</t>
  </si>
  <si>
    <t>-656.770871733485 23.1076484735845 -529.891458178769</t>
  </si>
  <si>
    <t>-598.439021099423 130.381459506633 -96.4326521565237</t>
  </si>
  <si>
    <t>-625.444176709541 141.153143650875 318.124105550557</t>
  </si>
  <si>
    <t>-668.43085186874 181.582376375674 777.540880767478</t>
  </si>
  <si>
    <t>-518.612757823273 183.971490400463 836.129737404372</t>
  </si>
  <si>
    <t>-595.761403227835 -70.7186708227175 323.351962415738</t>
  </si>
  <si>
    <t>-653.891078293875 -104.600960816836 781.506978804389</t>
  </si>
  <si>
    <t>-500.182048415527 -120.079429764879 826.426627798972</t>
  </si>
  <si>
    <t>9763-20170724T115456.328158700.bin</t>
  </si>
  <si>
    <t>-590.979872356099 38.1715086853076 -92.4210632243869</t>
  </si>
  <si>
    <t>-610.941257799265 33.7803318112465 -201.231619018272</t>
  </si>
  <si>
    <t>-625.042188980196 36.19830039613 -292.998516006758</t>
  </si>
  <si>
    <t>-637.630291825321 40.760194403955 -375.816866855077</t>
  </si>
  <si>
    <t>-649.499238299384 47.7404415958179 -458.572644571344</t>
  </si>
  <si>
    <t>-666.056763693916 60.592918129631 -579.426268117637</t>
  </si>
  <si>
    <t>-659.335490782021 74.3418882320352 -656.276787690548</t>
  </si>
  <si>
    <t>-660.812607305189 86.043482317597 -522.813491228666</t>
  </si>
  <si>
    <t>-635.374595872827 234.253787676872 -481.277750843148</t>
  </si>
  <si>
    <t>-582.342901525619 211.290966443795 -205.163779872307</t>
  </si>
  <si>
    <t>-384.714757348641 103.949134551676 -263.210122156439</t>
  </si>
  <si>
    <t>-656.770347258969 23.8631294883992 -529.980051448059</t>
  </si>
  <si>
    <t>-598.582875381525 130.869089298068 -96.4695251245732</t>
  </si>
  <si>
    <t>-625.55728232582 141.474904493179 318.093506266066</t>
  </si>
  <si>
    <t>-668.468071537494 181.544402365553 777.528270969765</t>
  </si>
  <si>
    <t>-518.631637471645 183.949375538644 836.069565764295</t>
  </si>
  <si>
    <t>-596.017990057516 -70.3880807413057 323.313637610356</t>
  </si>
  <si>
    <t>-653.913191626702 -104.608876789788 781.501850960083</t>
  </si>
  <si>
    <t>-500.225830816074 -120.383247242767 826.392685114219</t>
  </si>
  <si>
    <t>9763-20170724T115456.360511000.bin</t>
  </si>
  <si>
    <t>-591.159241728522 38.4413100713341 -92.4427026731515</t>
  </si>
  <si>
    <t>-611.129074452968 34.0679337507215 -201.252481490172</t>
  </si>
  <si>
    <t>-625.218599349537 36.5046522032992 -293.020601311591</t>
  </si>
  <si>
    <t>-637.788998527372 41.0858452130869 -375.840530625742</t>
  </si>
  <si>
    <t>-649.63286619981 48.0872755755927 -458.59831269118</t>
  </si>
  <si>
    <t>-666.145651255087 60.97281791979 -579.454428966289</t>
  </si>
  <si>
    <t>-659.379061162541 74.713471410925 -656.302419209865</t>
  </si>
  <si>
    <t>-660.904537740663 86.4093579845548 -522.83497215287</t>
  </si>
  <si>
    <t>-635.423094980675 234.604185771587 -481.284243610898</t>
  </si>
  <si>
    <t>-582.45356324222 211.510111077711 -205.169294859781</t>
  </si>
  <si>
    <t>-384.843866261039 104.14848830671 -263.241877993789</t>
  </si>
  <si>
    <t>-656.895405442098 24.2282086518949 -530.012573478168</t>
  </si>
  <si>
    <t>-598.706478050006 131.14993799473 -96.4913058096585</t>
  </si>
  <si>
    <t>-625.647249705968 141.618300296734 318.077387971942</t>
  </si>
  <si>
    <t>-668.487929536924 181.527569983758 777.534904470468</t>
  </si>
  <si>
    <t>-518.640365494587 183.936795893179 836.047532325753</t>
  </si>
  <si>
    <t>-596.106275992925 -70.1619155933004 323.300693769993</t>
  </si>
  <si>
    <t>-653.920647744792 -104.576634611329 781.497872774904</t>
  </si>
  <si>
    <t>-500.230679899555 -120.361511368846 826.376005111554</t>
  </si>
  <si>
    <t>9763-20170724T115456.430747700.bin</t>
  </si>
  <si>
    <t>-591.546467675185 39.0463592781464 -92.4678901317511</t>
  </si>
  <si>
    <t>-611.546958702905 34.6991246339446 -201.273081688261</t>
  </si>
  <si>
    <t>-625.635378599004 37.1669940356855 -293.040534410593</t>
  </si>
  <si>
    <t>-638.194005765539 41.7803707244891 -375.860438930976</t>
  </si>
  <si>
    <t>-650.015067157849 48.817983629777 -458.618312844944</t>
  </si>
  <si>
    <t>-666.482466350805 61.7605499486801 -579.474596928855</t>
  </si>
  <si>
    <t>-659.602697462307 75.5028051389809 -656.312285825396</t>
  </si>
  <si>
    <t>-661.233969817343 87.1727272009334 -522.844906672561</t>
  </si>
  <si>
    <t>-635.660209830689 235.353032197884 -481.302058817404</t>
  </si>
  <si>
    <t>-582.665993529801 212.068347057938 -205.207755616506</t>
  </si>
  <si>
    <t>-385.164948345681 104.571629444215 -263.399946086299</t>
  </si>
  <si>
    <t>-657.279464583865 24.9901773584477 -530.042924155407</t>
  </si>
  <si>
    <t>-599.008051586363 131.783326439872 -96.5201779989968</t>
  </si>
  <si>
    <t>-625.821651577796 141.96790698102 318.063828849846</t>
  </si>
  <si>
    <t>-668.510260012794 181.558361018801 777.557116592223</t>
  </si>
  <si>
    <t>-518.643174767585 183.915464621242 836.021790647062</t>
  </si>
  <si>
    <t>-596.246460377285 -69.6436549634939 323.289641383536</t>
  </si>
  <si>
    <t>-653.936104674047 -104.483535270564 781.480546747681</t>
  </si>
  <si>
    <t>-500.223037414322 -120.121594872385 826.330966474301</t>
  </si>
  <si>
    <t>9763-20170724T115456.464809100.bin</t>
  </si>
  <si>
    <t>-591.748495431759 39.2982601374588 -92.4714398491677</t>
  </si>
  <si>
    <t>-611.784267266881 34.9618994228592 -201.270593545359</t>
  </si>
  <si>
    <t>-625.879917889176 37.4520802429008 -293.036383380582</t>
  </si>
  <si>
    <t>-638.436033414727 42.0913692640825 -375.855175523718</t>
  </si>
  <si>
    <t>-650.245632945751 49.160142208196 -458.612133549081</t>
  </si>
  <si>
    <t>-666.686340758126 62.1542434312855 -579.466454217219</t>
  </si>
  <si>
    <t>-659.738768339438 75.9230934314228 -656.293355104098</t>
  </si>
  <si>
    <t>-661.437190753845 87.543150773053 -522.826566413427</t>
  </si>
  <si>
    <t>-635.778092049944 235.695195054114 -481.240437025812</t>
  </si>
  <si>
    <t>-582.729469090744 212.338743896366 -205.162655236895</t>
  </si>
  <si>
    <t>-385.33296244059 104.73941943081 -263.519741634275</t>
  </si>
  <si>
    <t>-657.507446278464 25.3617896340313 -530.046717770788</t>
  </si>
  <si>
    <t>-599.171615995951 132.036895857776 -96.5155823238549</t>
  </si>
  <si>
    <t>-625.91834406257 142.114119987179 318.075367534172</t>
  </si>
  <si>
    <t>-668.526368454581 181.563767635653 777.58328188025</t>
  </si>
  <si>
    <t>-518.648413792752 183.960191405617 836.018457299767</t>
  </si>
  <si>
    <t>-596.311137209466 -69.4143316346147 323.28954086483</t>
  </si>
  <si>
    <t>-653.947260662593 -104.476125250776 781.474463340953</t>
  </si>
  <si>
    <t>-500.265750654534 -120.456777508482 826.312329862643</t>
  </si>
  <si>
    <t>9763-20170724T115456.527986100.bin</t>
  </si>
  <si>
    <t>-592.220456838689 39.8239866583738 -92.4828107745444</t>
  </si>
  <si>
    <t>-612.328003192005 35.5120315543809 -201.269666887503</t>
  </si>
  <si>
    <t>-626.435789396191 38.0595234114035 -293.032033242506</t>
  </si>
  <si>
    <t>-638.983323732043 42.7660227301046 -375.84836746353</t>
  </si>
  <si>
    <t>-650.764692146963 49.9168608536602 -458.602206288097</t>
  </si>
  <si>
    <t>-667.142498102528 63.0472132237298 -579.450321702676</t>
  </si>
  <si>
    <t>-660.048502779154 76.8841609834726 -656.251501196844</t>
  </si>
  <si>
    <t>-661.898568368815 88.3742087016522 -522.782104591919</t>
  </si>
  <si>
    <t>-636.144048028479 236.482613588176 -481.088158914649</t>
  </si>
  <si>
    <t>-582.709666255868 212.924351881061 -205.102013041972</t>
  </si>
  <si>
    <t>-385.460828472508 105.327851450601 -263.961426817241</t>
  </si>
  <si>
    <t>-658.013588724008 26.1971508501285 -530.06433101057</t>
  </si>
  <si>
    <t>-599.573728623398 132.578193219373 -96.511874517425</t>
  </si>
  <si>
    <t>-626.113628498306 142.481666169461 318.096616335289</t>
  </si>
  <si>
    <t>-668.541177157574 181.614483328561 777.630769354639</t>
  </si>
  <si>
    <t>-518.639761207913 183.830105500877 836.012997503971</t>
  </si>
  <si>
    <t>-596.524341529609 -68.9204686343642 323.271983264235</t>
  </si>
  <si>
    <t>-653.97849272847 -104.457797806156 781.454504455452</t>
  </si>
  <si>
    <t>-500.319036295106 -120.750041304534 826.255858091592</t>
  </si>
  <si>
    <t>9763-20170724T115456.558695900.bin</t>
  </si>
  <si>
    <t>-592.463516298574 40.0490928978084 -92.4807904637935</t>
  </si>
  <si>
    <t>-612.60953056057 35.7571130543004 -201.261291900719</t>
  </si>
  <si>
    <t>-626.745445481461 38.3495199404183 -293.018029329108</t>
  </si>
  <si>
    <t>-639.316755228564 43.1079625931279 -375.82771432247</t>
  </si>
  <si>
    <t>-651.120265238655 50.3220466273287 -458.572915487759</t>
  </si>
  <si>
    <t>-667.52861197565 63.5571965736212 -579.405661071776</t>
  </si>
  <si>
    <t>-660.379872484479 77.4404753333336 -656.193390048232</t>
  </si>
  <si>
    <t>-662.264345397222 88.8355817422141 -522.7176632728</t>
  </si>
  <si>
    <t>-636.5149327932 236.920542017144 -480.950146813173</t>
  </si>
  <si>
    <t>-582.687150549205 213.189304072885 -205.05514161044</t>
  </si>
  <si>
    <t>-385.525160732327 105.580596612423 -264.182587056046</t>
  </si>
  <si>
    <t>-658.393147092136 26.6640548742625 -530.053058508414</t>
  </si>
  <si>
    <t>-599.779017842081 132.817672083521 -96.5084703309757</t>
  </si>
  <si>
    <t>-626.200152725925 142.664254968029 318.108927691328</t>
  </si>
  <si>
    <t>-668.530578146667 181.703228446255 777.658105828264</t>
  </si>
  <si>
    <t>-518.618452111419 183.798116099709 836.017275820282</t>
  </si>
  <si>
    <t>-596.625372421961 -68.682269135754 323.266277486426</t>
  </si>
  <si>
    <t>-653.979941438147 -104.441254685067 781.445529814862</t>
  </si>
  <si>
    <t>-500.303868691878 -120.604280213905 826.236688011482</t>
  </si>
  <si>
    <t>9763-20170724T115456.628401300.bin</t>
  </si>
  <si>
    <t>-592.907339995474 40.3592847263847 -92.4677841126747</t>
  </si>
  <si>
    <t>-613.164339177658 36.1261538017054 -201.23002163331</t>
  </si>
  <si>
    <t>-627.380468837717 38.823116460653 -292.971358133248</t>
  </si>
  <si>
    <t>-640.019590762144 43.6988145008447 -375.763941976822</t>
  </si>
  <si>
    <t>-651.886788300355 51.0527725757111 -458.487728861474</t>
  </si>
  <si>
    <t>-668.384247188436 64.5171049785122 -579.282880075188</t>
  </si>
  <si>
    <t>-661.165273881445 78.5112436535794 -656.043880247715</t>
  </si>
  <si>
    <t>-663.081662135801 89.6875451018855 -522.550456092934</t>
  </si>
  <si>
    <t>-637.61811880405 237.76714562386 -480.579162672345</t>
  </si>
  <si>
    <t>-582.3283859963 213.839306765015 -204.990688051189</t>
  </si>
  <si>
    <t>-385.366810619308 106.004171394029 -264.372813109655</t>
  </si>
  <si>
    <t>-659.208959952466 27.530572287769 -530.00770724631</t>
  </si>
  <si>
    <t>-600.150972487104 133.100252874748 -96.4672446511881</t>
  </si>
  <si>
    <t>-626.343427176354 142.834625597998 318.167322258677</t>
  </si>
  <si>
    <t>-668.552659079026 181.66807288964 777.734281395009</t>
  </si>
  <si>
    <t>-518.620679389307 183.774930587864 836.04210007135</t>
  </si>
  <si>
    <t>-596.768987393586 -68.2766632344012 323.264020909753</t>
  </si>
  <si>
    <t>-653.977365659957 -104.381019448337 781.434462114396</t>
  </si>
  <si>
    <t>-500.250705568211 -120.063447980877 826.222807264538</t>
  </si>
  <si>
    <t>9763-20170724T115456.661526100.bin</t>
  </si>
  <si>
    <t>-593.179655507138 40.4095519658924 -92.4575409696148</t>
  </si>
  <si>
    <t>-613.503926387997 36.2087607625806 -201.208442841624</t>
  </si>
  <si>
    <t>-627.744978182709 38.970708559373 -292.94401932953</t>
  </si>
  <si>
    <t>-640.394525064478 43.9204940376655 -375.730594486318</t>
  </si>
  <si>
    <t>-652.260444795452 51.3641267376261 -458.446474139887</t>
  </si>
  <si>
    <t>-668.743647585381 64.9766796892939 -579.227048170141</t>
  </si>
  <si>
    <t>-661.484219383479 79.0527510923073 -655.96922512458</t>
  </si>
  <si>
    <t>-663.462533840932 90.0762981379346 -522.461233180709</t>
  </si>
  <si>
    <t>-638.169756495774 238.107830714522 -480.230006511063</t>
  </si>
  <si>
    <t>-581.855860204751 214.148380745837 -204.851632603405</t>
  </si>
  <si>
    <t>-384.926450793593 106.196267316281 -264.127878924398</t>
  </si>
  <si>
    <t>-659.559446967887 27.9307793732626 -529.99789942959</t>
  </si>
  <si>
    <t>-600.395286175905 133.163031799181 -96.4418520331431</t>
  </si>
  <si>
    <t>-626.404997601257 142.866449839421 318.204923495583</t>
  </si>
  <si>
    <t>-668.57700832571 181.585816834575 777.773321165409</t>
  </si>
  <si>
    <t>-518.636238537803 183.732918912175 836.056922181783</t>
  </si>
  <si>
    <t>-596.846691021796 -68.180745453722 323.264699955392</t>
  </si>
  <si>
    <t>-653.985378213376 -104.378273538813 781.43078817104</t>
  </si>
  <si>
    <t>-500.289898786705 -120.35369204026 826.222686680169</t>
  </si>
  <si>
    <t>9763-20170724T115456.726202100.bin</t>
  </si>
  <si>
    <t>-593.701060072305 40.4524568674606 -92.4360928649389</t>
  </si>
  <si>
    <t>-614.114239021562 36.3473648362592 -201.174128361853</t>
  </si>
  <si>
    <t>-628.362973791118 39.2440770850967 -292.904295785086</t>
  </si>
  <si>
    <t>-640.99375009515 44.3373921651059 -375.685011851436</t>
  </si>
  <si>
    <t>-652.815812562515 51.9469227390221 -458.39217872382</t>
  </si>
  <si>
    <t>-669.208098173724 65.8264215040931 -579.154711238482</t>
  </si>
  <si>
    <t>-661.874877343858 80.0539730670912 -655.861989604378</t>
  </si>
  <si>
    <t>-663.997167722029 90.7984106465944 -522.326025194548</t>
  </si>
  <si>
    <t>-639.02123965487 238.724197059299 -479.528275784849</t>
  </si>
  <si>
    <t>-580.26635054578 214.383985488205 -204.693977003708</t>
  </si>
  <si>
    <t>-383.195444755785 106.476873003115 -263.580643538431</t>
  </si>
  <si>
    <t>-660.0334354402 28.6740211089905 -530.004124151848</t>
  </si>
  <si>
    <t>-600.84231771488 133.226189540138 -96.3420633803189</t>
  </si>
  <si>
    <t>-626.53885610902 142.904760775886 318.324859871202</t>
  </si>
  <si>
    <t>-668.616374747168 181.496787597001 777.893110225816</t>
  </si>
  <si>
    <t>-518.63897784328 183.810667571366 836.075980407482</t>
  </si>
  <si>
    <t>-597.025322240947 -68.049863851495 323.231336678876</t>
  </si>
  <si>
    <t>-653.978114865336 -104.360645689939 781.42072663305</t>
  </si>
  <si>
    <t>-500.2982543624 -120.420553926626 826.235847739242</t>
  </si>
  <si>
    <t>9763-20170724T115456.760797700.bin</t>
  </si>
  <si>
    <t>-593.920084102904 40.4874323272791 -92.4097444653153</t>
  </si>
  <si>
    <t>-614.388442317101 36.4380066228116 -201.139391205621</t>
  </si>
  <si>
    <t>-628.668931664734 39.3927139668892 -292.86277832617</t>
  </si>
  <si>
    <t>-641.322864577492 44.5431500554473 -375.63650446117</t>
  </si>
  <si>
    <t>-653.162933907127 52.2144396600195 -458.335386216386</t>
  </si>
  <si>
    <t>-669.576164916066 66.1892327762832 -579.083996185035</t>
  </si>
  <si>
    <t>-662.230813482473 80.4701269436766 -655.78029379436</t>
  </si>
  <si>
    <t>-664.364848997418 91.1157013236598 -522.235396453682</t>
  </si>
  <si>
    <t>-639.54546274225 239.018559582173 -479.246024177987</t>
  </si>
  <si>
    <t>-579.445822837801 214.272516995398 -204.738742981572</t>
  </si>
  <si>
    <t>-382.354673532526 106.392768726389 -263.607846816102</t>
  </si>
  <si>
    <t>-660.383451408398 28.9989302006206 -529.965736930795</t>
  </si>
  <si>
    <t>-601.043489007813 133.2717310352 -96.2778042218429</t>
  </si>
  <si>
    <t>-626.671981113058 142.819303533047 318.396292712093</t>
  </si>
  <si>
    <t>-668.611266432159 181.56300136353 777.958385124503</t>
  </si>
  <si>
    <t>-518.608491329975 183.56928161795 836.087293043446</t>
  </si>
  <si>
    <t>-597.115851857996 -68.0021820369343 323.215497540549</t>
  </si>
  <si>
    <t>-653.981767114195 -104.366160091394 781.417919068756</t>
  </si>
  <si>
    <t>-500.299594818692 -120.402016365509 826.233888043743</t>
  </si>
  <si>
    <t>9763-20170724T115456.830042900.bin</t>
  </si>
  <si>
    <t>-594.278491714963 40.4022436414273 -92.3928197296253</t>
  </si>
  <si>
    <t>-614.796368362414 36.4207663484565 -201.115674980012</t>
  </si>
  <si>
    <t>-629.159733047807 39.4363524899679 -292.824212489139</t>
  </si>
  <si>
    <t>-641.90448736654 44.6433608012028 -375.580262601241</t>
  </si>
  <si>
    <t>-653.851061161205 52.3723871857358 -458.25850513485</t>
  </si>
  <si>
    <t>-670.436908381665 66.4327612972056 -578.973727026902</t>
  </si>
  <si>
    <t>-663.120767539406 80.7497934370315 -655.665976356308</t>
  </si>
  <si>
    <t>-665.12449482428 91.3203715739364 -522.117448064104</t>
  </si>
  <si>
    <t>-640.291111611191 239.158883084164 -478.918552973631</t>
  </si>
  <si>
    <t>-578.156160111362 213.909721867206 -204.910571449868</t>
  </si>
  <si>
    <t>-381.367158141197 105.663853094319 -264.117559588863</t>
  </si>
  <si>
    <t>-661.193910471 29.2058385640833 -529.892374297376</t>
  </si>
  <si>
    <t>-601.375466787696 133.041126703819 -96.1716877422796</t>
  </si>
  <si>
    <t>-627.112478082426 142.630509277496 318.49467286519</t>
  </si>
  <si>
    <t>-668.653028996435 181.540779998057 778.10412538167</t>
  </si>
  <si>
    <t>-518.602428245734 183.488611929742 836.111375297883</t>
  </si>
  <si>
    <t>-597.244406407311 -67.9448453116058 323.194947784856</t>
  </si>
  <si>
    <t>-653.973260927142 -104.321357654389 781.408868883815</t>
  </si>
  <si>
    <t>-500.266388917041 -120.07386908081 826.240512681341</t>
  </si>
  <si>
    <t>9763-20170724T115456.862099300.bin</t>
  </si>
  <si>
    <t>-594.416921440303 40.3527155048655 -92.3732725429388</t>
  </si>
  <si>
    <t>-614.954856643121 36.388472127365 -201.092976358349</t>
  </si>
  <si>
    <t>-629.352235616487 39.4230884323747 -292.795536102402</t>
  </si>
  <si>
    <t>-642.134165444275 44.6490702154781 -375.544763517612</t>
  </si>
  <si>
    <t>-654.124235664675 52.3986018214744 -458.214778067634</t>
  </si>
  <si>
    <t>-670.780285255902 66.4907284017891 -578.916470490285</t>
  </si>
  <si>
    <t>-663.496841279371 80.8197931061011 -655.609703769008</t>
  </si>
  <si>
    <t>-665.424525749759 91.3642183664492 -522.058184724244</t>
  </si>
  <si>
    <t>-640.529980261801 239.173096951574 -478.829913738093</t>
  </si>
  <si>
    <t>-577.81017001902 213.783470086012 -204.968451580118</t>
  </si>
  <si>
    <t>-381.144976396281 105.450535578704 -264.426912508622</t>
  </si>
  <si>
    <t>-661.518995035023 29.2501590496584 -529.848985903976</t>
  </si>
  <si>
    <t>-601.502361376093 132.953558644198 -96.133776534243</t>
  </si>
  <si>
    <t>-627.177313046818 142.656096182808 318.533945523652</t>
  </si>
  <si>
    <t>-668.671640362561 181.508058897688 778.158868397397</t>
  </si>
  <si>
    <t>-518.607450263616 183.553313081187 836.127689458965</t>
  </si>
  <si>
    <t>-597.262748550567 -67.9210154067362 323.193601880929</t>
  </si>
  <si>
    <t>-653.952047072294 -104.322303918543 781.407845266663</t>
  </si>
  <si>
    <t>-500.255620302071 -120.049681151549 826.284130587085</t>
  </si>
  <si>
    <t>9763-20170724T115456.929839900.bin</t>
  </si>
  <si>
    <t>-594.624914380105 40.5364246002794 -92.3082992885368</t>
  </si>
  <si>
    <t>-615.271690942686 36.6157783706467 -201.009014125549</t>
  </si>
  <si>
    <t>-629.732455284323 39.6987904646651 -292.699910714896</t>
  </si>
  <si>
    <t>-642.560669542936 44.9743192981371 -375.438711535147</t>
  </si>
  <si>
    <t>-654.586327834551 52.7787734376577 -458.09831575028</t>
  </si>
  <si>
    <t>-671.282972175631 66.9568909820948 -578.78456100788</t>
  </si>
  <si>
    <t>-664.087046738897 81.339989772481 -655.475810900865</t>
  </si>
  <si>
    <t>-665.887878401762 91.7914791589317 -521.912893529221</t>
  </si>
  <si>
    <t>-640.882401038626 239.560406783294 -478.621179117287</t>
  </si>
  <si>
    <t>-577.19939103638 213.723588927983 -205.023764416052</t>
  </si>
  <si>
    <t>-380.509064683407 105.659048070153 -264.886133486025</t>
  </si>
  <si>
    <t>-662.025390527594 29.6798048980552 -529.744034866288</t>
  </si>
  <si>
    <t>-601.622374956231 133.188611317799 -96.0613404247858</t>
  </si>
  <si>
    <t>-627.092222456352 142.753629403192 318.622182014338</t>
  </si>
  <si>
    <t>-668.688419140396 181.480608040244 778.245269820565</t>
  </si>
  <si>
    <t>-518.608721123763 183.463173067601 836.176120769641</t>
  </si>
  <si>
    <t>-597.325752693322 -67.6972921933091 323.229806339103</t>
  </si>
  <si>
    <t>-653.893482581228 -104.307271607981 781.436221558441</t>
  </si>
  <si>
    <t>-500.194829820171 -119.753425437073 826.402522199696</t>
  </si>
  <si>
    <t>9763-20170724T115456.957929400.bin</t>
  </si>
  <si>
    <t>-594.694986228603 40.6553668344548 -92.2948257946547</t>
  </si>
  <si>
    <t>-615.393366033506 36.743527831009 -200.986010715007</t>
  </si>
  <si>
    <t>-629.890427924511 39.851615286932 -292.67026424614</t>
  </si>
  <si>
    <t>-642.74873650899 45.1573854457743 -375.402642695578</t>
  </si>
  <si>
    <t>-654.801749961532 52.9994597853197 -458.054756394963</t>
  </si>
  <si>
    <t>-671.535433993287 67.240652706862 -578.728173819047</t>
  </si>
  <si>
    <t>-664.384974506047 81.6611980739883 -655.416794274082</t>
  </si>
  <si>
    <t>-666.102148935913 92.0470769090623 -521.847989706809</t>
  </si>
  <si>
    <t>-640.951781701782 239.772973608352 -478.469018300457</t>
  </si>
  <si>
    <t>-576.904861749451 213.708304378976 -204.978334804541</t>
  </si>
  <si>
    <t>-380.204332000618 105.810060666058 -265.106465585443</t>
  </si>
  <si>
    <t>-662.283579513533 29.9362950530988 -529.707552593864</t>
  </si>
  <si>
    <t>-601.619655648857 133.299153985834 -96.0416527011845</t>
  </si>
  <si>
    <t>-627.07593166629 142.822028593176 318.643707234116</t>
  </si>
  <si>
    <t>-668.69434979183 181.480368760194 778.279670709108</t>
  </si>
  <si>
    <t>-518.61159596844 183.438481926714 836.203425118233</t>
  </si>
  <si>
    <t>-597.357896656175 -67.5970014606114 323.252123265106</t>
  </si>
  <si>
    <t>-653.887786828462 -104.336784198035 781.4451735021</t>
  </si>
  <si>
    <t>-500.219246997297 -120.013676133874 826.434554374029</t>
  </si>
  <si>
    <t>9763-20170724T115457.027603400.bin</t>
  </si>
  <si>
    <t>-594.742454762698 40.8916957398949 -92.2623431791163</t>
  </si>
  <si>
    <t>-615.516456685186 36.9709734378232 -200.938756151408</t>
  </si>
  <si>
    <t>-630.117697181956 40.1083719162964 -292.605423231562</t>
  </si>
  <si>
    <t>-643.086344557288 45.4560449094263 -375.317985929765</t>
  </si>
  <si>
    <t>-655.265999352495 53.3547848533719 -457.946042639892</t>
  </si>
  <si>
    <t>-672.202665011519 67.6949495375338 -578.579473147052</t>
  </si>
  <si>
    <t>-665.140737620822 82.165473336212 -655.266831060805</t>
  </si>
  <si>
    <t>-666.653678107505 92.456326300201 -521.690747207726</t>
  </si>
  <si>
    <t>-641.299223128014 240.120383349114 -478.208167534535</t>
  </si>
  <si>
    <t>-575.825572699404 213.661696773134 -205.093228166511</t>
  </si>
  <si>
    <t>-379.217130490843 105.909455087969 -265.781906025773</t>
  </si>
  <si>
    <t>-662.888339055455 30.3488714321518 -529.602413203956</t>
  </si>
  <si>
    <t>-601.582678456114 133.568221188333 -96.0137753107119</t>
  </si>
  <si>
    <t>-627.027723137511 143.007642466908 318.674084721786</t>
  </si>
  <si>
    <t>-668.689813781527 181.554344835957 778.325250033991</t>
  </si>
  <si>
    <t>-518.60382400746 183.330078949123 836.246490046489</t>
  </si>
  <si>
    <t>-597.324952122229 -67.3905853012134 323.286130629095</t>
  </si>
  <si>
    <t>-653.85876664299 -104.30625628243 781.459725395892</t>
  </si>
  <si>
    <t>-500.238312929079 -120.274092667941 826.51095009796</t>
  </si>
  <si>
    <t>9763-20170724T115457.059196800.bin</t>
  </si>
  <si>
    <t>-594.734897256688 41.0013639302326 -92.2413980829059</t>
  </si>
  <si>
    <t>-615.556776741328 37.0762437959229 -200.908516592493</t>
  </si>
  <si>
    <t>-630.220456852786 40.2236341467044 -292.564937482636</t>
  </si>
  <si>
    <t>-643.254111616126 45.5859143194489 -375.266177305864</t>
  </si>
  <si>
    <t>-655.507356285019 53.5047707685465 -457.881523930899</t>
  </si>
  <si>
    <t>-672.560946591213 67.8802757161884 -578.494381810384</t>
  </si>
  <si>
    <t>-665.544475670092 82.3722328739511 -655.181774228456</t>
  </si>
  <si>
    <t>-666.955739037104 92.6251249278653 -521.60391799461</t>
  </si>
  <si>
    <t>-641.553959228658 240.25785096301 -478.05673800787</t>
  </si>
  <si>
    <t>-575.107467472509 213.675079358852 -205.188901407186</t>
  </si>
  <si>
    <t>-378.672582887781 105.812270565616 -266.242078986651</t>
  </si>
  <si>
    <t>-663.200182826901 30.5198113977272 -529.537042675177</t>
  </si>
  <si>
    <t>-601.582291012212 133.713973240064 -96.0010968838317</t>
  </si>
  <si>
    <t>-626.979841484663 143.094832815231 318.691053906536</t>
  </si>
  <si>
    <t>-668.677250667692 181.615143401505 778.33825583096</t>
  </si>
  <si>
    <t>-518.591234759762 183.371782527606 836.259905717682</t>
  </si>
  <si>
    <t>-597.236418328158 -67.3059495432506 323.307239842644</t>
  </si>
  <si>
    <t>-653.828371314026 -104.310010279988 781.474195595107</t>
  </si>
  <si>
    <t>-500.217544993085 -120.243646766251 826.570377016462</t>
  </si>
  <si>
    <t>9763-20170724T115457.128891600.bin</t>
  </si>
  <si>
    <t>-594.62929020548 41.1787661046505 -92.1981640370632</t>
  </si>
  <si>
    <t>-615.588170073303 37.2546142338492 -200.838954076715</t>
  </si>
  <si>
    <t>-630.412162210243 40.42883783159 -292.46868007993</t>
  </si>
  <si>
    <t>-643.608048766054 45.8255598680075 -375.142121866339</t>
  </si>
  <si>
    <t>-656.040799845442 53.7887896014474 -457.726132574347</t>
  </si>
  <si>
    <t>-673.375288506143 68.2402203393251 -578.289853634768</t>
  </si>
  <si>
    <t>-666.48679503147 82.7931070411978 -654.977438338446</t>
  </si>
  <si>
    <t>-667.630712782714 92.9497227399652 -521.398143004698</t>
  </si>
  <si>
    <t>-642.110687687448 240.536222475161 -477.748401794012</t>
  </si>
  <si>
    <t>-573.745442082072 213.925332081384 -205.357820002694</t>
  </si>
  <si>
    <t>-377.652457220357 105.72901025267 -266.917754127349</t>
  </si>
  <si>
    <t>-663.907422582118 30.848388349573 -529.377154935552</t>
  </si>
  <si>
    <t>-601.522873302598 133.908920120874 -95.9514233830914</t>
  </si>
  <si>
    <t>-626.814760510334 143.213169984138 318.748863247475</t>
  </si>
  <si>
    <t>-668.673220360277 181.620452905591 778.378717529188</t>
  </si>
  <si>
    <t>-518.586088145569 183.362419613868 836.298046336981</t>
  </si>
  <si>
    <t>-596.959058646203 -67.0946602605457 323.358001453152</t>
  </si>
  <si>
    <t>-653.779045771685 -104.221346538685 781.479852964033</t>
  </si>
  <si>
    <t>-500.138063842902 -119.646978501685 826.649820328664</t>
  </si>
  <si>
    <t>9763-20170724T115457.159102100.bin</t>
  </si>
  <si>
    <t>-594.54222355628 41.2460401354365 -92.1760909951528</t>
  </si>
  <si>
    <t>-615.575192108497 37.3339160242151 -200.802978606642</t>
  </si>
  <si>
    <t>-630.487593319648 40.5128237189817 -292.418244697953</t>
  </si>
  <si>
    <t>-643.773903283031 45.9116494700377 -375.076971012676</t>
  </si>
  <si>
    <t>-656.307658582459 53.8750255461869 -457.645848745431</t>
  </si>
  <si>
    <t>-673.80161480235 68.3241274927241 -578.186713219883</t>
  </si>
  <si>
    <t>-666.990298855577 82.8998258459476 -654.876800916271</t>
  </si>
  <si>
    <t>-667.979475409905 93.0349085793996 -521.303242224284</t>
  </si>
  <si>
    <t>-642.407283007526 240.600889017338 -477.63246379518</t>
  </si>
  <si>
    <t>-573.200447608264 213.874377189729 -205.465667052786</t>
  </si>
  <si>
    <t>-377.183549271825 105.546305137537 -267.036220668684</t>
  </si>
  <si>
    <t>-664.271323543285 30.9330847291824 -529.285623032533</t>
  </si>
  <si>
    <t>-601.439731564775 133.983613755662 -95.9250568928069</t>
  </si>
  <si>
    <t>-626.693779590488 143.189243396529 318.779736152551</t>
  </si>
  <si>
    <t>-668.691479735969 181.529991213913 778.409222686257</t>
  </si>
  <si>
    <t>-518.604228529761 183.433837770375 836.322988046234</t>
  </si>
  <si>
    <t>-596.769952151956 -67.0191471339704 323.38052308554</t>
  </si>
  <si>
    <t>-653.71999597863 -104.224613790267 781.491439123737</t>
  </si>
  <si>
    <t>-500.112365233175 -119.682833600348 826.763441408049</t>
  </si>
  <si>
    <t>9763-20170724T115457.226284100.bin</t>
  </si>
  <si>
    <t>-594.321160434878 41.3478710297534 -92.0886175684673</t>
  </si>
  <si>
    <t>-615.509097223799 37.4675742461523 -200.686614221013</t>
  </si>
  <si>
    <t>-630.601351266641 40.6680002695277 -292.271562705677</t>
  </si>
  <si>
    <t>-644.070298817004 46.0845966689717 -374.899538256048</t>
  </si>
  <si>
    <t>-656.807261373518 54.0641090479969 -457.435806940803</t>
  </si>
  <si>
    <t>-674.621141613153 68.5348233098061 -577.927288654233</t>
  </si>
  <si>
    <t>-667.99682112035 83.1399824909208 -654.62805592638</t>
  </si>
  <si>
    <t>-668.651320963685 93.2351526669318 -521.054465372363</t>
  </si>
  <si>
    <t>-642.860498922232 240.733427779055 -477.263093887575</t>
  </si>
  <si>
    <t>-572.191142867895 213.845892651155 -205.488265537165</t>
  </si>
  <si>
    <t>-376.163394357296 105.287136997079 -266.616402602926</t>
  </si>
  <si>
    <t>-664.9578245231 31.1352372431002 -529.058739824696</t>
  </si>
  <si>
    <t>-601.189253317486 134.129217509092 -95.8233076202266</t>
  </si>
  <si>
    <t>-626.421790163475 143.174202215963 318.886366004546</t>
  </si>
  <si>
    <t>-668.698542846744 181.479991060161 778.486220968053</t>
  </si>
  <si>
    <t>-518.608121060515 183.362393711497 836.392474439517</t>
  </si>
  <si>
    <t>-596.321859774873 -66.9238133369956 323.453318920522</t>
  </si>
  <si>
    <t>-653.655741089993 -104.213684706584 781.51967856613</t>
  </si>
  <si>
    <t>-500.093692452101 -119.759313938532 826.916305715732</t>
  </si>
  <si>
    <t>9763-20170724T115457.265092400.bin</t>
  </si>
  <si>
    <t>-594.18389738851 41.3802885643363 -92.0387350167543</t>
  </si>
  <si>
    <t>-615.4701482594 37.5165312513088 -200.618060908293</t>
  </si>
  <si>
    <t>-630.638411209902 40.7262029320418 -292.190193761775</t>
  </si>
  <si>
    <t>-644.173262861817 46.1493889230585 -374.80698592025</t>
  </si>
  <si>
    <t>-656.973506261716 54.1334123504373 -457.332967402537</t>
  </si>
  <si>
    <t>-674.876904485564 68.6089905307272 -577.810565751634</t>
  </si>
  <si>
    <t>-668.339283499383 83.2120766927144 -654.519249225541</t>
  </si>
  <si>
    <t>-668.864506943983 93.3070693857592 -520.941496714167</t>
  </si>
  <si>
    <t>-642.987263907176 240.781068950626 -477.144244054629</t>
  </si>
  <si>
    <t>-571.665928382933 213.78822112582 -205.55053915343</t>
  </si>
  <si>
    <t>-375.565517173107 105.264644907002 -266.507721527734</t>
  </si>
  <si>
    <t>-665.177580582013 31.2075211657216 -528.950682164604</t>
  </si>
  <si>
    <t>-601.055025057639 134.20520361995 -95.7583768987614</t>
  </si>
  <si>
    <t>-626.293081053744 143.159928333991 318.952837756153</t>
  </si>
  <si>
    <t>-668.685604705049 181.514596532807 778.532895458949</t>
  </si>
  <si>
    <t>-518.586690265672 183.317538191554 836.419664199041</t>
  </si>
  <si>
    <t>-596.055168937133 -66.8735438620538 323.485108664706</t>
  </si>
  <si>
    <t>-653.642387945587 -104.192744079351 781.521075663566</t>
  </si>
  <si>
    <t>-500.092777827424 -119.776996390298 826.946609262771</t>
  </si>
  <si>
    <t>9763-20170724T115457.324755900.bin</t>
  </si>
  <si>
    <t>-593.834352718278 41.4726559339931 -91.9535651296709</t>
  </si>
  <si>
    <t>-615.27660689191 37.6324057569661 -200.503027693314</t>
  </si>
  <si>
    <t>-630.579544159749 40.8590568756108 -292.052053299517</t>
  </si>
  <si>
    <t>-644.236753933901 46.2960219210661 -374.647923158052</t>
  </si>
  <si>
    <t>-657.159722018182 54.2926393604948 -457.153551508105</t>
  </si>
  <si>
    <t>-675.242716947172 68.7847699983167 -577.602308327454</t>
  </si>
  <si>
    <t>-668.876562003384 83.3927696186684 -654.324547105628</t>
  </si>
  <si>
    <t>-669.141542338906 93.4752904101326 -520.739333572522</t>
  </si>
  <si>
    <t>-643.185279797953 240.933761831293 -476.915872582822</t>
  </si>
  <si>
    <t>-570.094489294798 213.780912837058 -205.808824528021</t>
  </si>
  <si>
    <t>-374.016381370228 105.283136583301 -266.883640041533</t>
  </si>
  <si>
    <t>-665.474576085845 31.3762136966334 -528.761517367615</t>
  </si>
  <si>
    <t>-600.723078750025 134.317297165191 -95.6360527495763</t>
  </si>
  <si>
    <t>-625.979902818825 143.063102922983 319.078535348148</t>
  </si>
  <si>
    <t>-668.674576390231 181.473244278943 778.616595153767</t>
  </si>
  <si>
    <t>-518.574126040963 183.166451997891 836.502783726486</t>
  </si>
  <si>
    <t>-595.404375580767 -66.6821091483434 323.562709694953</t>
  </si>
  <si>
    <t>-653.642282602166 -104.126826119203 781.516980975039</t>
  </si>
  <si>
    <t>-500.081117132717 -119.578786673207 826.948499216217</t>
  </si>
  <si>
    <t>9763-20170724T115457.368373300.bin</t>
  </si>
  <si>
    <t>-593.6279466582 41.5658717241454 -91.9123478908652</t>
  </si>
  <si>
    <t>-615.136156620079 37.7171489914554 -200.448424838937</t>
  </si>
  <si>
    <t>-630.519639675103 40.9443413705424 -291.984141609463</t>
  </si>
  <si>
    <t>-644.258815757836 46.3844566048824 -374.565983598525</t>
  </si>
  <si>
    <t>-657.272660277747 54.3867514590347 -457.056845707712</t>
  </si>
  <si>
    <t>-675.497736063204 68.8901356859765 -577.48295196447</t>
  </si>
  <si>
    <t>-669.230184314594 83.5149686355333 -654.209853654398</t>
  </si>
  <si>
    <t>-669.324777686718 93.5757104029594 -520.625541487072</t>
  </si>
  <si>
    <t>-643.314236991904 241.005585176158 -476.74267714848</t>
  </si>
  <si>
    <t>-569.198181791508 213.645406753324 -205.934947201234</t>
  </si>
  <si>
    <t>-373.230754155431 105.075025544223 -267.235656120338</t>
  </si>
  <si>
    <t>-665.676667613903 31.476672305826 -528.656475292455</t>
  </si>
  <si>
    <t>-600.569951947525 134.376515807427 -95.5780319322915</t>
  </si>
  <si>
    <t>-625.857814928069 143.042711845865 319.136285299434</t>
  </si>
  <si>
    <t>-668.668474275599 181.431954141119 778.671225987238</t>
  </si>
  <si>
    <t>-518.571687234057 183.262431703111 836.562778549994</t>
  </si>
  <si>
    <t>-595.151322059729 -66.5370033872744 323.594982239905</t>
  </si>
  <si>
    <t>-653.662715805888 -104.080702783372 781.49443892705</t>
  </si>
  <si>
    <t>-500.086994152153 -119.483323738584 826.893607125066</t>
  </si>
  <si>
    <t>9763-20170724T115457.432437800.bin</t>
  </si>
  <si>
    <t>-593.156394057732 41.8556564378043 -91.8786575180388</t>
  </si>
  <si>
    <t>-614.756790260802 37.999759912145 -200.396126568042</t>
  </si>
  <si>
    <t>-630.288708269978 41.2670860649105 -291.905277255333</t>
  </si>
  <si>
    <t>-644.18933951705 46.7611177523377 -374.45664705243</t>
  </si>
  <si>
    <t>-657.391566415801 54.8349229732555 -456.910538695504</t>
  </si>
  <si>
    <t>-675.920957554166 69.4620664409856 -577.27515076474</t>
  </si>
  <si>
    <t>-669.863226713058 84.1714406855547 -654.003015870846</t>
  </si>
  <si>
    <t>-669.601357697522 94.0894060602488 -520.408735816299</t>
  </si>
  <si>
    <t>-643.440920017503 241.431352897745 -476.332128887909</t>
  </si>
  <si>
    <t>-567.049552636555 213.730929868238 -206.192086282459</t>
  </si>
  <si>
    <t>-371.327860505493 105.001705362106 -267.99422483346</t>
  </si>
  <si>
    <t>-665.979507915015 31.9981597280162 -528.511762206962</t>
  </si>
  <si>
    <t>-600.167698465671 134.564966335694 -95.5161707748468</t>
  </si>
  <si>
    <t>-625.617616092798 143.042040025794 319.192236937782</t>
  </si>
  <si>
    <t>-668.666909041536 181.355880632733 778.72344341689</t>
  </si>
  <si>
    <t>-518.577630034187 183.317204634929 836.630080072504</t>
  </si>
  <si>
    <t>-594.826887492555 -66.2166769160594 323.595558073878</t>
  </si>
  <si>
    <t>-653.7084762834 -104.0461510518 781.400190940157</t>
  </si>
  <si>
    <t>-500.141103962856 -119.706129136363 826.739524261594</t>
  </si>
  <si>
    <t>9763-20170724T115457.459509300.bin</t>
  </si>
  <si>
    <t>-592.985936760959 41.9569103128235 -91.8820761211928</t>
  </si>
  <si>
    <t>-614.615980938037 38.1155493861866 -200.394221159514</t>
  </si>
  <si>
    <t>-630.181330291277 41.4206148686399 -291.896405009334</t>
  </si>
  <si>
    <t>-644.115513246577 46.9592328188885 -374.439016013331</t>
  </si>
  <si>
    <t>-657.354811519545 55.0876616685619 -456.881705107356</t>
  </si>
  <si>
    <t>-675.942190360912 69.8057070385044 -577.22622798609</t>
  </si>
  <si>
    <t>-669.95785822402 84.5666872795075 -653.949733646818</t>
  </si>
  <si>
    <t>-669.590696095066 94.3905367119132 -520.344861463256</t>
  </si>
  <si>
    <t>-643.402208909714 241.68059500398 -476.108643709009</t>
  </si>
  <si>
    <t>-565.882166568417 213.537613043565 -206.33616649857</t>
  </si>
  <si>
    <t>-370.170083450315 104.847153441547 -268.236782731953</t>
  </si>
  <si>
    <t>-665.981681429168 32.3047404922627 -528.495345245554</t>
  </si>
  <si>
    <t>-599.955651371484 134.648079313406 -95.5052660338132</t>
  </si>
  <si>
    <t>-625.414511984767 143.088957368312 319.203299244336</t>
  </si>
  <si>
    <t>-668.651501771227 181.358619546992 778.720532016379</t>
  </si>
  <si>
    <t>-518.567392905179 183.144740346505 836.646196529294</t>
  </si>
  <si>
    <t>-594.719387896366 -66.1335978435561 323.5789605957</t>
  </si>
  <si>
    <t>-653.73040538955 -104.046455370938 781.355452144858</t>
  </si>
  <si>
    <t>-500.144095039777 -119.611112638626 826.663290341639</t>
  </si>
  <si>
    <t>9763-20170724T115457.524717000.bin</t>
  </si>
  <si>
    <t>-592.805012157233 41.9119834879243 -91.906300482461</t>
  </si>
  <si>
    <t>-614.412862126572 38.1116241321354 -200.424315048979</t>
  </si>
  <si>
    <t>-629.95173110026 41.5237235224183 -291.926982593628</t>
  </si>
  <si>
    <t>-643.85920741909 47.1890764681789 -374.465556717912</t>
  </si>
  <si>
    <t>-657.069008337239 55.4738360918202 -456.897331532044</t>
  </si>
  <si>
    <t>-675.610381475885 70.4525781403233 -577.216959413099</t>
  </si>
  <si>
    <t>-669.723572760721 85.3654670725764 -653.91865100023</t>
  </si>
  <si>
    <t>-669.25139189447 94.9162610932501 -520.284147054138</t>
  </si>
  <si>
    <t>-642.866175722104 242.063572325935 -475.681720721839</t>
  </si>
  <si>
    <t>-563.527714728149 212.994636901169 -206.536770742553</t>
  </si>
  <si>
    <t>-367.824695802073 104.226661780471 -268.329979948012</t>
  </si>
  <si>
    <t>-665.69780091796 32.8437646586949 -528.559232009669</t>
  </si>
  <si>
    <t>-599.601134551522 134.597993266211 -95.5049459900745</t>
  </si>
  <si>
    <t>-625.107201850221 142.975320557307 319.20205515572</t>
  </si>
  <si>
    <t>-668.649060670198 181.310852219603 778.704209645238</t>
  </si>
  <si>
    <t>-518.574545234203 183.165671746609 836.65279097622</t>
  </si>
  <si>
    <t>-594.772065881211 -66.1518777590147 323.525410758426</t>
  </si>
  <si>
    <t>-653.761302079262 -103.998253274935 781.30019787535</t>
  </si>
  <si>
    <t>-500.15121661211 -119.476181891713 826.557231240303</t>
  </si>
  <si>
    <t>9763-20170724T115457.558811600.bin</t>
  </si>
  <si>
    <t>-592.748488809089 41.8418766162667 -91.9083968023327</t>
  </si>
  <si>
    <t>-614.338694442465 38.068629175353 -200.430866477431</t>
  </si>
  <si>
    <t>-629.854452678423 41.5338196817606 -291.935515458583</t>
  </si>
  <si>
    <t>-643.737762718834 47.2596659596925 -374.473967164976</t>
  </si>
  <si>
    <t>-656.919954920668 55.6172468546906 -456.902741909417</t>
  </si>
  <si>
    <t>-675.41735942271 70.7153577345605 -577.214113379463</t>
  </si>
  <si>
    <t>-669.558829964774 85.6952899925504 -653.904968465771</t>
  </si>
  <si>
    <t>-669.056931631831 95.124284952914 -520.258021958263</t>
  </si>
  <si>
    <t>-642.530754995147 242.200170175795 -475.495299076776</t>
  </si>
  <si>
    <t>-562.622592192351 212.523544690707 -206.585365776833</t>
  </si>
  <si>
    <t>-366.857557009542 103.748128877466 -268.168576029497</t>
  </si>
  <si>
    <t>-665.54478878367 33.0565391395373 -528.58712265163</t>
  </si>
  <si>
    <t>-599.456417294752 134.532212312005 -95.4985613281362</t>
  </si>
  <si>
    <t>-625.009433779848 142.913735515388 319.205396113624</t>
  </si>
  <si>
    <t>-668.660476646177 181.251666597631 778.692392018444</t>
  </si>
  <si>
    <t>-518.589759968791 183.248495035152 836.645974382724</t>
  </si>
  <si>
    <t>-594.851532690614 -66.242036833017 323.499293402514</t>
  </si>
  <si>
    <t>-653.764141184751 -104.021559511253 781.287006112139</t>
  </si>
  <si>
    <t>-500.18035923741 -119.741496716372 826.549961646377</t>
  </si>
  <si>
    <t>9763-20170724T115457.629505000.bin</t>
  </si>
  <si>
    <t>-592.786924117195 41.7036852268791 -91.9496203366293</t>
  </si>
  <si>
    <t>-614.307993210064 37.9976041176312 -200.488119245603</t>
  </si>
  <si>
    <t>-629.761176901475 41.5726015864466 -291.999101540397</t>
  </si>
  <si>
    <t>-643.586380143077 47.4207018575928 -374.538780515963</t>
  </si>
  <si>
    <t>-656.708944704346 55.9223399162324 -456.962403608969</t>
  </si>
  <si>
    <t>-675.117588526482 71.2548562281411 -577.257673994195</t>
  </si>
  <si>
    <t>-669.286766303331 86.3492356438985 -653.928240038813</t>
  </si>
  <si>
    <t>-668.750225151095 95.5564591477498 -520.256563672222</t>
  </si>
  <si>
    <t>-642.060443053958 242.506681653075 -475.203132904229</t>
  </si>
  <si>
    <t>-560.692488352098 211.697650494967 -206.858925994874</t>
  </si>
  <si>
    <t>-364.615554355811 102.975592428215 -267.537489928496</t>
  </si>
  <si>
    <t>-665.329855475648 33.497657052756 -528.689828795822</t>
  </si>
  <si>
    <t>-599.337698593422 134.441971072093 -95.5153516768434</t>
  </si>
  <si>
    <t>-625.026599954185 142.868614557106 319.179362321306</t>
  </si>
  <si>
    <t>-668.651745826567 181.270862661767 778.670282438838</t>
  </si>
  <si>
    <t>-518.585846039844 183.102020512786 836.641704518962</t>
  </si>
  <si>
    <t>-595.067039957629 -66.3883317938619 323.436414451264</t>
  </si>
  <si>
    <t>-653.764113210197 -104.01314611482 781.272825275025</t>
  </si>
  <si>
    <t>-500.166412501075 -119.589518894717 826.538089695027</t>
  </si>
  <si>
    <t>9763-20170724T115457.663110400.bin</t>
  </si>
  <si>
    <t>-592.847058646357 41.6422248330387 -91.9678280403045</t>
  </si>
  <si>
    <t>-614.337146772281 37.9542714687275 -200.513166919668</t>
  </si>
  <si>
    <t>-629.756073075384 41.5923948077971 -292.027498199986</t>
  </si>
  <si>
    <t>-643.547752034141 47.5170703809342 -374.567163440076</t>
  </si>
  <si>
    <t>-656.634565534498 56.1145114085714 -456.986554931304</t>
  </si>
  <si>
    <t>-674.988712697979 71.6086352505322 -577.269591949487</t>
  </si>
  <si>
    <t>-669.144980527228 86.7767895254158 -653.924571657463</t>
  </si>
  <si>
    <t>-668.646610225372 95.8337311243438 -520.23298669268</t>
  </si>
  <si>
    <t>-641.930251499441 242.718831261895 -474.995500877777</t>
  </si>
  <si>
    <t>-559.684530637671 211.399933418528 -206.978147930143</t>
  </si>
  <si>
    <t>-363.459372611055 102.663232105336 -267.148983742976</t>
  </si>
  <si>
    <t>-665.223479382054 33.7863066955574 -528.747876522941</t>
  </si>
  <si>
    <t>-599.335151891994 134.370124632257 -95.5274321152426</t>
  </si>
  <si>
    <t>-625.044354888967 142.841648141548 319.165062934627</t>
  </si>
  <si>
    <t>-668.656065651962 181.251067849454 778.664952651442</t>
  </si>
  <si>
    <t>-518.591155213365 183.084772167589 836.638958759234</t>
  </si>
  <si>
    <t>-595.180768760121 -66.4336879938949 323.419258691346</t>
  </si>
  <si>
    <t>-653.762480043656 -103.988267292549 781.273382672813</t>
  </si>
  <si>
    <t>-500.145976258754 -119.383310592818 826.536839396602</t>
  </si>
  <si>
    <t>9763-20170724T115457.729789300.bin</t>
  </si>
  <si>
    <t>-592.988855644901 41.6803456667706 -91.9795041943902</t>
  </si>
  <si>
    <t>-614.422187043348 38.0055494100618 -200.536494347107</t>
  </si>
  <si>
    <t>-629.73336342497 41.756334126989 -292.064183134235</t>
  </si>
  <si>
    <t>-643.40584927751 47.8232758364536 -374.613563386605</t>
  </si>
  <si>
    <t>-656.352596816106 56.6044411921512 -457.035614281847</t>
  </si>
  <si>
    <t>-674.480483693728 72.4121502859807 -577.312220093952</t>
  </si>
  <si>
    <t>-668.525232732444 87.7353298679486 -653.92771912705</t>
  </si>
  <si>
    <t>-668.298581208122 96.4843801768229 -520.193465286195</t>
  </si>
  <si>
    <t>-641.680957127562 243.277478271732 -474.586427974097</t>
  </si>
  <si>
    <t>-557.475577203408 210.949091012189 -207.298342808251</t>
  </si>
  <si>
    <t>-361.029720839636 102.156493254659 -266.642494670726</t>
  </si>
  <si>
    <t>-664.753676836048 34.4673252578209 -528.878418317691</t>
  </si>
  <si>
    <t>-599.415845276439 134.422297776399 -95.5430526027934</t>
  </si>
  <si>
    <t>-625.115246224395 142.914494363459 319.149633803629</t>
  </si>
  <si>
    <t>-668.657660658207 181.29495645019 778.664776962849</t>
  </si>
  <si>
    <t>-518.591284561181 182.933588871847 836.640758279575</t>
  </si>
  <si>
    <t>-595.380865763515 -66.4965452267609 323.403776462362</t>
  </si>
  <si>
    <t>-653.736028991655 -104.041324843616 781.286720134839</t>
  </si>
  <si>
    <t>-500.184428140596 -119.874917377964 826.619090561861</t>
  </si>
  <si>
    <t>9763-20170724T115457.759183100.bin</t>
  </si>
  <si>
    <t>-593.063662154902 41.770227501517 -91.9850102695941</t>
  </si>
  <si>
    <t>-614.465575125457 38.0962611761431 -200.548189038576</t>
  </si>
  <si>
    <t>-629.727947277257 41.8948302116071 -292.0820485783</t>
  </si>
  <si>
    <t>-643.348093133289 48.0239941237776 -374.635509787969</t>
  </si>
  <si>
    <t>-656.234809916798 56.8864933380887 -457.058344954092</t>
  </si>
  <si>
    <t>-674.267123991738 72.8339896436064 -577.330706526526</t>
  </si>
  <si>
    <t>-668.254374350347 88.2424415421326 -653.92476052905</t>
  </si>
  <si>
    <t>-668.158899343434 96.8376784761022 -520.175081624761</t>
  </si>
  <si>
    <t>-641.597415438256 243.579124781891 -474.368843122831</t>
  </si>
  <si>
    <t>-556.387977395431 210.790843380456 -207.455152950157</t>
  </si>
  <si>
    <t>-359.938950143173 101.896435066923 -266.601806880324</t>
  </si>
  <si>
    <t>-664.550493762169 34.8351169523548 -528.93726004969</t>
  </si>
  <si>
    <t>-599.490210147373 134.460927891476 -95.5538596344617</t>
  </si>
  <si>
    <t>-625.17826575988 142.960366938792 319.139414254414</t>
  </si>
  <si>
    <t>-668.670788976094 181.257304729609 778.664451960433</t>
  </si>
  <si>
    <t>-518.605010819812 183.084186286292 836.636377864087</t>
  </si>
  <si>
    <t>-595.404256289072 -66.4339347132639 323.409174382518</t>
  </si>
  <si>
    <t>-653.720907594705 -104.029129469522 781.28966638307</t>
  </si>
  <si>
    <t>-500.169127317374 -119.783646581902 826.649095251338</t>
  </si>
  <si>
    <t>9763-20170724T115457.827373600.bin</t>
  </si>
  <si>
    <t>-593.118798116011 42.0998552931512 -91.9896033593349</t>
  </si>
  <si>
    <t>-614.438303317963 38.3841257459087 -200.567532239853</t>
  </si>
  <si>
    <t>-629.639465040142 42.2420453063726 -292.109133660252</t>
  </si>
  <si>
    <t>-643.207679765157 48.462159179986 -374.664308319416</t>
  </si>
  <si>
    <t>-656.045995402333 57.4528388875058 -457.080845424566</t>
  </si>
  <si>
    <t>-674.011390274446 73.6283508685094 -577.332643475198</t>
  </si>
  <si>
    <t>-667.906461529892 89.174972896798 -653.891505525193</t>
  </si>
  <si>
    <t>-667.955175972275 97.5219590267832 -520.125474144868</t>
  </si>
  <si>
    <t>-641.366808850363 244.16496856559 -474.010119792383</t>
  </si>
  <si>
    <t>-554.425143019078 210.142446730309 -207.810553185079</t>
  </si>
  <si>
    <t>-357.870741042543 101.171663614812 -266.464313179333</t>
  </si>
  <si>
    <t>-664.301484059282 35.5393938707373 -529.008849771825</t>
  </si>
  <si>
    <t>-599.595575298648 134.778605567296 -95.5849351637768</t>
  </si>
  <si>
    <t>-625.322467867898 143.219932464352 319.107143542669</t>
  </si>
  <si>
    <t>-668.681629121993 181.257104533512 778.672930130997</t>
  </si>
  <si>
    <t>-518.616625035159 183.109856592647 836.646183516114</t>
  </si>
  <si>
    <t>-595.437031598429 -66.2482198820117 323.429122525804</t>
  </si>
  <si>
    <t>-653.67257635444 -104.032149328589 781.305317016227</t>
  </si>
  <si>
    <t>-500.138740789245 -119.717955861193 826.749069625223</t>
  </si>
  <si>
    <t>9763-20170724T115457.858454300.bin</t>
  </si>
  <si>
    <t>-593.133501496958 42.3149752056388 -91.9814510259719</t>
  </si>
  <si>
    <t>-614.418603503771 38.5864557922755 -200.565706872103</t>
  </si>
  <si>
    <t>-629.591690191791 42.4816999699701 -292.110422291564</t>
  </si>
  <si>
    <t>-643.136286349816 48.7539402853145 -374.665373321355</t>
  </si>
  <si>
    <t>-655.953435473226 57.8160824985491 -457.07743026824</t>
  </si>
  <si>
    <t>-673.891332523896 74.1173825824271 -577.316398925941</t>
  </si>
  <si>
    <t>-667.732637642805 89.7425738114173 -653.85486587595</t>
  </si>
  <si>
    <t>-667.898458677911 97.947168086487 -520.076012612096</t>
  </si>
  <si>
    <t>-641.331252435245 244.536078034677 -473.809781504169</t>
  </si>
  <si>
    <t>-553.492993794547 210.0131903821 -207.96923702219</t>
  </si>
  <si>
    <t>-356.809524977678 101.02809606663 -266.162136072783</t>
  </si>
  <si>
    <t>-664.142206803119 35.9819375068814 -529.037314714621</t>
  </si>
  <si>
    <t>-599.62009507427 135.040190601584 -95.5909529742571</t>
  </si>
  <si>
    <t>-625.367548521485 143.41716410034 319.101154837138</t>
  </si>
  <si>
    <t>-668.669779861158 181.34793985804 778.679401094215</t>
  </si>
  <si>
    <t>-518.60470531283 183.031725779648 836.657454576885</t>
  </si>
  <si>
    <t>-595.466196582623 -66.1945137369378 323.44074320017</t>
  </si>
  <si>
    <t>-653.652428452115 -104.032190795406 781.317626304322</t>
  </si>
  <si>
    <t>-500.135489927152 -119.771007246801 826.800162136788</t>
  </si>
  <si>
    <t>9763-20170724T115457.927653000.bin</t>
  </si>
  <si>
    <t>-593.174715848539 42.6800837849494 -91.9718186377515</t>
  </si>
  <si>
    <t>-614.417783725881 38.9419465155083 -200.563906250019</t>
  </si>
  <si>
    <t>-629.553431872598 42.8997481324288 -292.112312298034</t>
  </si>
  <si>
    <t>-643.065398496343 49.2562506551337 -374.66618417034</t>
  </si>
  <si>
    <t>-655.852692799242 58.4310906306066 -457.070306128273</t>
  </si>
  <si>
    <t>-673.751348403019 74.928465045228 -577.288552731205</t>
  </si>
  <si>
    <t>-667.504965090912 90.6993308238898 -653.789899114371</t>
  </si>
  <si>
    <t>-667.872600988998 98.6569082870883 -519.994053916966</t>
  </si>
  <si>
    <t>-641.515784427586 245.239563593166 -473.542911539921</t>
  </si>
  <si>
    <t>-551.851572751664 209.89945604335 -208.420415876206</t>
  </si>
  <si>
    <t>-354.866129535633 100.894342395798 -265.544396129922</t>
  </si>
  <si>
    <t>-663.922567724823 36.722195730674 -529.081387957775</t>
  </si>
  <si>
    <t>-599.668462347976 135.505990379921 -95.5955024930115</t>
  </si>
  <si>
    <t>-625.488010193928 143.641535909959 319.096893217367</t>
  </si>
  <si>
    <t>-668.708445833715 181.258097662018 778.701043509398</t>
  </si>
  <si>
    <t>-518.643983623986 183.170710612062 836.673633397574</t>
  </si>
  <si>
    <t>-595.428518789172 -66.1595121866492 323.441321255759</t>
  </si>
  <si>
    <t>-653.564409418354 -104.038280168114 781.343732654108</t>
  </si>
  <si>
    <t>-500.114931313819 -119.983559451025 826.981730407655</t>
  </si>
  <si>
    <t>9763-20170724T115457.964751100.bin</t>
  </si>
  <si>
    <t>-593.167976992495 42.9090065916334 -91.9744048199183</t>
  </si>
  <si>
    <t>-614.40739905568 39.1676037993464 -200.567212103725</t>
  </si>
  <si>
    <t>-629.554881262245 43.1511661113841 -292.112412443296</t>
  </si>
  <si>
    <t>-643.08494421328 49.5414708792623 -374.660734657968</t>
  </si>
  <si>
    <t>-655.898510110669 58.7616897263374 -457.055760651548</t>
  </si>
  <si>
    <t>-673.84540673022 75.3381108356862 -577.255801943003</t>
  </si>
  <si>
    <t>-667.594154556763 91.1850129750821 -653.741091859974</t>
  </si>
  <si>
    <t>-668.000197728669 99.0240689323684 -519.940522521292</t>
  </si>
  <si>
    <t>-641.852032646051 245.613974118974 -473.403215120349</t>
  </si>
  <si>
    <t>-551.255895425851 209.900969463651 -208.647631241229</t>
  </si>
  <si>
    <t>-354.192911914686 100.675449492409 -265.078983336065</t>
  </si>
  <si>
    <t>-663.940736440803 37.1049840917228 -529.085577102994</t>
  </si>
  <si>
    <t>-599.689142790018 135.77418750384 -95.5985169837182</t>
  </si>
  <si>
    <t>-625.542060575002 143.838691333325 319.0931746954</t>
  </si>
  <si>
    <t>-668.697779619997 181.341201041045 778.709500919214</t>
  </si>
  <si>
    <t>-518.634813214785 183.098695519495 836.690975558526</t>
  </si>
  <si>
    <t>-595.315819491341 -66.0151714965509 323.450842769594</t>
  </si>
  <si>
    <t>-653.511498238851 -104.036324819943 781.3508774778</t>
  </si>
  <si>
    <t>-500.085519425287 -119.955440769022 827.076924994199</t>
  </si>
  <si>
    <t>9763-20170724T115458.026418200.bin</t>
  </si>
  <si>
    <t>-593.183725286611 43.5208082000277 -91.9639260961188</t>
  </si>
  <si>
    <t>-614.354468762328 39.7744735441602 -200.569947995994</t>
  </si>
  <si>
    <t>-629.497786550946 43.7893033035482 -292.114468802923</t>
  </si>
  <si>
    <t>-643.049130087134 50.220625586036 -374.65620660431</t>
  </si>
  <si>
    <t>-655.911581657613 59.4961193578613 -457.037311685518</t>
  </si>
  <si>
    <t>-673.96237004687 76.1695234919466 -577.20847736872</t>
  </si>
  <si>
    <t>-667.747830159669 92.1811581783709 -653.662417408861</t>
  </si>
  <si>
    <t>-668.227403196698 99.7950284851947 -519.857080367473</t>
  </si>
  <si>
    <t>-643.039685215275 246.47718841656 -473.073548048344</t>
  </si>
  <si>
    <t>-550.103539601398 210.967586994343 -209.102838523903</t>
  </si>
  <si>
    <t>-353.069704221271 100.510132872718 -263.189353274736</t>
  </si>
  <si>
    <t>-663.856301914606 37.9116399114109 -529.09978920204</t>
  </si>
  <si>
    <t>-599.792618647926 136.407268900573 -95.5849425128256</t>
  </si>
  <si>
    <t>-625.84055420093 144.171127041169 319.100315469293</t>
  </si>
  <si>
    <t>-668.710216071044 181.383315992469 778.74949441452</t>
  </si>
  <si>
    <t>-518.64487400782 183.061534047159 836.727168567106</t>
  </si>
  <si>
    <t>-595.201588754494 -65.6403581354505 323.461832022796</t>
  </si>
  <si>
    <t>-653.422420369124 -104.023910659025 781.328416831132</t>
  </si>
  <si>
    <t>-500.052305212975 -120.018634302314 827.215230538463</t>
  </si>
  <si>
    <t>9763-20170724T115458.058840000.bin</t>
  </si>
  <si>
    <t>-593.191256224127 43.8733950813139 -91.959013714086</t>
  </si>
  <si>
    <t>-614.299948962786 40.1298542345455 -200.57710760679</t>
  </si>
  <si>
    <t>-629.421993618098 44.147072885929 -292.125118053324</t>
  </si>
  <si>
    <t>-642.96884748267 50.5792122198704 -374.667521405624</t>
  </si>
  <si>
    <t>-655.842887890664 59.8560285289252 -457.046665475121</t>
  </si>
  <si>
    <t>-673.92969642086 76.5315998823201 -577.212104729074</t>
  </si>
  <si>
    <t>-667.756231818996 92.6284432182485 -653.651539164311</t>
  </si>
  <si>
    <t>-668.272576378262 100.147376671336 -519.848830855971</t>
  </si>
  <si>
    <t>-643.658641695063 246.861380444218 -472.875950331915</t>
  </si>
  <si>
    <t>-549.780614904691 211.819232796802 -209.176210096789</t>
  </si>
  <si>
    <t>-352.615532329501 100.56313262097 -261.104390167224</t>
  </si>
  <si>
    <t>-663.71413551288 38.281702640335 -529.120266497089</t>
  </si>
  <si>
    <t>-599.84169160534 136.748684164166 -95.579955271511</t>
  </si>
  <si>
    <t>-625.980098704253 144.406029106191 319.101473011674</t>
  </si>
  <si>
    <t>-668.701647756819 181.461402321569 778.768006099657</t>
  </si>
  <si>
    <t>-518.633506464424 182.978876450031 836.742740772289</t>
  </si>
  <si>
    <t>-595.159610164484 -65.4243625401589 323.452404272541</t>
  </si>
  <si>
    <t>-653.343892606495 -104.012462102205 781.309525114004</t>
  </si>
  <si>
    <t>-500.000985284306 -119.891334070941 827.327337164104</t>
  </si>
  <si>
    <t>9763-20170724T115458.128530100.bin</t>
  </si>
  <si>
    <t>-593.173169354437 44.5217538745437 -91.9688147089242</t>
  </si>
  <si>
    <t>-614.170031012164 40.7621829001332 -200.608080103377</t>
  </si>
  <si>
    <t>-629.135306570656 44.7292514855587 -292.183925140544</t>
  </si>
  <si>
    <t>-642.518373404301 51.1007658862607 -374.757818027643</t>
  </si>
  <si>
    <t>-655.208466081075 60.3029228170005 -457.173945093678</t>
  </si>
  <si>
    <t>-673.006007407099 76.8550202638926 -577.399504413079</t>
  </si>
  <si>
    <t>-666.832560750758 93.0414083860662 -653.820109047622</t>
  </si>
  <si>
    <t>-667.614113471992 100.51743051052 -520.030056206719</t>
  </si>
  <si>
    <t>-643.901099893281 247.385963921961 -473.023847343031</t>
  </si>
  <si>
    <t>-550.310765341259 213.548011979007 -209.064756277507</t>
  </si>
  <si>
    <t>-352.647489039859 100.783617606553 -255.561387067461</t>
  </si>
  <si>
    <t>-662.779127941222 38.6666914472878 -529.261058780494</t>
  </si>
  <si>
    <t>-599.919548649313 137.34868249287 -95.5936536626667</t>
  </si>
  <si>
    <t>-626.226575793818 144.767383905822 319.081531807156</t>
  </si>
  <si>
    <t>-668.721492626648 181.470467745679 778.801780223715</t>
  </si>
  <si>
    <t>-518.649054885853 182.927894227406 836.767029085192</t>
  </si>
  <si>
    <t>-595.091406436722 -64.9916163354251 323.43145391021</t>
  </si>
  <si>
    <t>-653.257312506411 -103.96925095212 781.268928017447</t>
  </si>
  <si>
    <t>-499.929999685156 -119.601297089934 827.42294374162</t>
  </si>
  <si>
    <t>9763-20170724T115458.160764300.bin</t>
  </si>
  <si>
    <t>-593.188531475943 44.7362188349998 -91.9814552563086</t>
  </si>
  <si>
    <t>-614.124473351531 40.9699856680179 -200.632339011631</t>
  </si>
  <si>
    <t>-629.009592035142 44.8900854143976 -292.223278243152</t>
  </si>
  <si>
    <t>-642.309846507943 51.2022919908868 -374.814989239838</t>
  </si>
  <si>
    <t>-654.907196558001 60.3294399871788 -457.253663170025</t>
  </si>
  <si>
    <t>-672.559022243338 76.7548023244913 -577.518118981434</t>
  </si>
  <si>
    <t>-666.391698305595 92.9249058006276 -653.942632831777</t>
  </si>
  <si>
    <t>-667.271540089587 100.474279675482 -520.16254341558</t>
  </si>
  <si>
    <t>-643.988964471906 247.452876105704 -473.29939529822</t>
  </si>
  <si>
    <t>-551.448883860996 214.745364485288 -208.82793810538</t>
  </si>
  <si>
    <t>-353.675170945622 100.91975587504 -252.161732372906</t>
  </si>
  <si>
    <t>-662.355547172841 38.6207576080947 -529.331796996946</t>
  </si>
  <si>
    <t>-599.95571538374 137.54553840422 -95.6117351521892</t>
  </si>
  <si>
    <t>-626.35815075178 144.859043744728 319.059272239858</t>
  </si>
  <si>
    <t>-668.72699124966 181.473485049504 778.808947025793</t>
  </si>
  <si>
    <t>-518.65806685993 183.048417464095 836.7800943905</t>
  </si>
  <si>
    <t>-595.054433965917 -64.8138533823828 323.426311139408</t>
  </si>
  <si>
    <t>-653.229083899781 -103.941165170264 781.243094679939</t>
  </si>
  <si>
    <t>-499.924856141813 -119.636302106991 827.452396044224</t>
  </si>
  <si>
    <t>9763-20170724T115458.227446700.bin</t>
  </si>
  <si>
    <t>-593.27333278002 44.9544496189387 -91.9769163478518</t>
  </si>
  <si>
    <t>-614.137763268726 41.176080029619 -200.641060006264</t>
  </si>
  <si>
    <t>-628.905538153119 44.9455631837477 -292.257225412963</t>
  </si>
  <si>
    <t>-642.079849679827 51.065830765109 -374.883595325534</t>
  </si>
  <si>
    <t>-654.533089939173 59.9466682884713 -457.371141739881</t>
  </si>
  <si>
    <t>-671.95603407467 75.9532251398321 -577.725373686913</t>
  </si>
  <si>
    <t>-665.770869711969 91.956056322997 -654.183692693827</t>
  </si>
  <si>
    <t>-666.872607972011 99.8627386148528 -520.430230394772</t>
  </si>
  <si>
    <t>-644.397674272882 247.157011376179 -474.202802627729</t>
  </si>
  <si>
    <t>-554.84120848503 217.825232451052 -208.312113705382</t>
  </si>
  <si>
    <t>-356.970393701235 102.480215472171 -246.928027572611</t>
  </si>
  <si>
    <t>-661.749335023531 37.9967601607054 -529.399814426394</t>
  </si>
  <si>
    <t>-600.051408570978 137.727393683921 -95.6214446552558</t>
  </si>
  <si>
    <t>-626.544766526171 144.924843080649 319.045798486073</t>
  </si>
  <si>
    <t>-668.751285166902 181.430567508869 778.826146817422</t>
  </si>
  <si>
    <t>-518.683525965417 183.111797390304 836.797408835802</t>
  </si>
  <si>
    <t>-595.110223485626 -64.6382373604979 323.425622834722</t>
  </si>
  <si>
    <t>-653.188414579643 -103.922879821817 781.213094995603</t>
  </si>
  <si>
    <t>-499.915301978349 -119.691957122573 827.500403333517</t>
  </si>
  <si>
    <t>9763-20170724T115458.261049000.bin</t>
  </si>
  <si>
    <t>-593.406732722506 45.0464625918157 -91.9751732592966</t>
  </si>
  <si>
    <t>-614.260398165466 41.2601457181111 -200.641026328828</t>
  </si>
  <si>
    <t>-629.007512817713 44.9245707875475 -292.265001267253</t>
  </si>
  <si>
    <t>-642.159588306581 50.9107241242448 -374.904757688268</t>
  </si>
  <si>
    <t>-654.587780313223 59.6188770806923 -457.414377420587</t>
  </si>
  <si>
    <t>-671.971566749441 75.3315462803323 -577.813019645288</t>
  </si>
  <si>
    <t>-665.775110136384 91.2017556148289 -654.298063480075</t>
  </si>
  <si>
    <t>-666.953580119871 99.3760166188918 -520.568612062163</t>
  </si>
  <si>
    <t>-644.952943437733 246.873740987067 -474.771262774125</t>
  </si>
  <si>
    <t>-557.164129373426 218.908125785089 -208.144852061095</t>
  </si>
  <si>
    <t>-359.380933909635 102.784878998348 -244.829014472245</t>
  </si>
  <si>
    <t>-661.733836476206 37.49791342555 -529.397708165529</t>
  </si>
  <si>
    <t>-600.191276110347 137.847358163603 -95.6398290973511</t>
  </si>
  <si>
    <t>-626.554555727248 144.996810769544 319.036502970267</t>
  </si>
  <si>
    <t>-668.749046322462 181.456278039371 778.826464203108</t>
  </si>
  <si>
    <t>-518.681205820429 183.102748354784 836.798566211065</t>
  </si>
  <si>
    <t>-595.189561064698 -64.545114290748 323.423617033054</t>
  </si>
  <si>
    <t>-653.172949724324 -103.950135927055 781.20867638503</t>
  </si>
  <si>
    <t>-499.917951506437 -119.793529988921 827.530592292338</t>
  </si>
  <si>
    <t>9763-20170724T115458.327726700.bin</t>
  </si>
  <si>
    <t>-593.867710694345 45.0942800418632 -92.0102660607965</t>
  </si>
  <si>
    <t>-614.717431725467 41.2331325568778 -200.674246905868</t>
  </si>
  <si>
    <t>-629.359702984115 44.6592947413276 -292.324292657486</t>
  </si>
  <si>
    <t>-642.377348978014 50.3597183605243 -375.005511940506</t>
  </si>
  <si>
    <t>-654.631958531399 58.7133174820701 -457.577664190531</t>
  </si>
  <si>
    <t>-671.719635593376 73.8334156051369 -578.094612764913</t>
  </si>
  <si>
    <t>-665.407437004487 89.4194573657519 -654.628568565344</t>
  </si>
  <si>
    <t>-666.915905732549 98.1516647604105 -520.947391353569</t>
  </si>
  <si>
    <t>-645.86211737896 246.098640044375 -476.165730808504</t>
  </si>
  <si>
    <t>-561.96048024691 220.370575746529 -208.066594835227</t>
  </si>
  <si>
    <t>-364.280262333769 103.384183964049 -242.494082271405</t>
  </si>
  <si>
    <t>-661.527431390214 36.2462359631822 -529.478096067408</t>
  </si>
  <si>
    <t>-600.759727279111 137.891458918176 -95.6939847536339</t>
  </si>
  <si>
    <t>-626.78220069556 145.096684699678 319.002921335746</t>
  </si>
  <si>
    <t>-668.76049723032 181.457516757926 778.830850791948</t>
  </si>
  <si>
    <t>-518.689237595931 183.015904413074 836.796453846776</t>
  </si>
  <si>
    <t>-595.348074685153 -64.4143167000664 323.434087881132</t>
  </si>
  <si>
    <t>-653.161946947058 -103.924710120644 781.212917374237</t>
  </si>
  <si>
    <t>-499.934673736694 -119.944385168596 827.565881875996</t>
  </si>
  <si>
    <t>9763-20170724T115458.361327600.bin</t>
  </si>
  <si>
    <t>-594.174387210737 45.0651770364263 -92.0216263410668</t>
  </si>
  <si>
    <t>-615.019428888744 41.1605188464368 -200.685013954964</t>
  </si>
  <si>
    <t>-629.621456497957 44.4598198431618 -292.345953617416</t>
  </si>
  <si>
    <t>-642.587956084089 50.0086395476274 -375.045541169142</t>
  </si>
  <si>
    <t>-654.776534590888 58.1748144752853 -457.646337102851</t>
  </si>
  <si>
    <t>-671.751391086915 72.9817350234534 -578.217985146061</t>
  </si>
  <si>
    <t>-665.376811698549 88.4114309507447 -654.778405606161</t>
  </si>
  <si>
    <t>-667.047372400096 97.44344461021 -521.123808387726</t>
  </si>
  <si>
    <t>-646.59501465141 245.661684434944 -476.963096559282</t>
  </si>
  <si>
    <t>-564.621660300679 220.754645639979 -208.190690573877</t>
  </si>
  <si>
    <t>-367.217822416499 102.857344035751 -241.061462426018</t>
  </si>
  <si>
    <t>-661.558594230643 35.5257401053286 -529.500471137163</t>
  </si>
  <si>
    <t>-601.232639027546 137.843787729278 -95.719914960311</t>
  </si>
  <si>
    <t>-626.982408782443 145.145710837761 318.992347990908</t>
  </si>
  <si>
    <t>-668.739097419569 181.571420192335 778.831003102928</t>
  </si>
  <si>
    <t>-518.663893790206 182.950167483866 836.790962815602</t>
  </si>
  <si>
    <t>-595.460300426141 -64.4019354437096 323.431170380807</t>
  </si>
  <si>
    <t>-653.152522451369 -103.902182278348 781.219307883653</t>
  </si>
  <si>
    <t>-499.902288925178 -119.666280239211 827.583970430023</t>
  </si>
  <si>
    <t>9763-20170724T115458.429506900.bin</t>
  </si>
  <si>
    <t>-594.788236825346 44.8775420282921 -92.0756249893756</t>
  </si>
  <si>
    <t>-615.651221704766 40.874888394731 -200.732083541387</t>
  </si>
  <si>
    <t>-630.222579496921 43.9238640583676 -292.406555425975</t>
  </si>
  <si>
    <t>-643.141448578888 49.1757617993806 -375.13293679272</t>
  </si>
  <si>
    <t>-655.26194684734 56.9767054276044 -457.779000328566</t>
  </si>
  <si>
    <t>-672.11397039295 71.1756537857311 -578.441142335929</t>
  </si>
  <si>
    <t>-665.616563964009 86.2963436950122 -655.052803955689</t>
  </si>
  <si>
    <t>-667.579821974632 95.9129238561829 -521.452099638354</t>
  </si>
  <si>
    <t>-647.946087599374 244.515509079182 -478.265254259527</t>
  </si>
  <si>
    <t>-569.231825292105 221.421370572583 -208.359148704013</t>
  </si>
  <si>
    <t>-371.955166011826 102.078767746445 -236.426594606033</t>
  </si>
  <si>
    <t>-661.859099680654 33.9775893816652 -529.539169944064</t>
  </si>
  <si>
    <t>-602.336679231204 137.535082971128 -95.7720345479951</t>
  </si>
  <si>
    <t>-627.491084790947 145.102923947942 318.971885670721</t>
  </si>
  <si>
    <t>-668.76377608227 181.48968836748 778.845666445117</t>
  </si>
  <si>
    <t>-518.679424548555 182.970521536711 836.779416674009</t>
  </si>
  <si>
    <t>-595.616920624807 -64.4377735311828 323.389684041628</t>
  </si>
  <si>
    <t>-653.054827867557 -103.873187968563 781.215789647269</t>
  </si>
  <si>
    <t>-499.80224942215 -119.058507885753 827.765484114701</t>
  </si>
  <si>
    <t>9763-20170724T115458.462627500.bin</t>
  </si>
  <si>
    <t>-595.091236674773 44.7452764268355 -92.107504282327</t>
  </si>
  <si>
    <t>-615.986625271567 40.6758308349119 -200.755090971222</t>
  </si>
  <si>
    <t>-630.567183969054 43.6107958213377 -292.431834072316</t>
  </si>
  <si>
    <t>-643.485840111552 48.7343646094155 -375.166452934732</t>
  </si>
  <si>
    <t>-655.597075930966 56.3827893807106 -457.828054881486</t>
  </si>
  <si>
    <t>-672.424945902328 70.3325570468794 -578.522467440164</t>
  </si>
  <si>
    <t>-665.888966551051 85.3166253996681 -655.157921884453</t>
  </si>
  <si>
    <t>-667.95357010818 95.181694287648 -521.577336547319</t>
  </si>
  <si>
    <t>-648.856631639302 244.000333100205 -478.871353503139</t>
  </si>
  <si>
    <t>-570.878972697021 222.179349422932 -208.645710016441</t>
  </si>
  <si>
    <t>-373.570397738173 102.434029817586 -234.70152418828</t>
  </si>
  <si>
    <t>-662.128536330531 33.2411306729236 -529.548430926438</t>
  </si>
  <si>
    <t>-602.942428503138 137.280795856109 -95.806361943591</t>
  </si>
  <si>
    <t>-627.726602672986 145.048091864122 318.956223411823</t>
  </si>
  <si>
    <t>-668.762728044072 181.475605027209 778.852395776626</t>
  </si>
  <si>
    <t>-518.672664789315 183.006019892001 836.769965468635</t>
  </si>
  <si>
    <t>-595.637857688194 -64.4639718599692 323.374133102967</t>
  </si>
  <si>
    <t>-652.9820574553 -103.900625709979 781.212649055015</t>
  </si>
  <si>
    <t>-499.782599695117 -119.188386531675 827.903451761331</t>
  </si>
  <si>
    <t>9763-20170724T115458.531812700.bin</t>
  </si>
  <si>
    <t>-595.766059603509 44.2960920392329 -92.1400972625565</t>
  </si>
  <si>
    <t>-616.756915775592 40.1333257759741 -200.765758729729</t>
  </si>
  <si>
    <t>-631.437377604611 42.8344687926055 -292.433791582589</t>
  </si>
  <si>
    <t>-644.452906960027 47.6810767365655 -375.169749258882</t>
  </si>
  <si>
    <t>-656.667285132894 54.9889425248 -457.847168483524</t>
  </si>
  <si>
    <t>-673.652150866583 68.3714252843477 -578.583825849787</t>
  </si>
  <si>
    <t>-667.068634135827 83.1166443656168 -655.261417189684</t>
  </si>
  <si>
    <t>-669.207083881001 93.4767669784837 -521.748861612061</t>
  </si>
  <si>
    <t>-650.987408710031 242.609172158422 -479.775086287013</t>
  </si>
  <si>
    <t>-572.855757016198 222.254843557383 -209.479320937618</t>
  </si>
  <si>
    <t>-374.936078242062 102.445263656241 -230.021823891926</t>
  </si>
  <si>
    <t>-663.191608985764 31.5218172392895 -529.462225794203</t>
  </si>
  <si>
    <t>-604.109680348702 136.641988520036 -95.8536512895632</t>
  </si>
  <si>
    <t>-628.032761536566 144.858845381868 318.950831578614</t>
  </si>
  <si>
    <t>-668.778355315694 181.368497136644 778.86962267795</t>
  </si>
  <si>
    <t>-518.67656920216 183.044396802432 836.752798485423</t>
  </si>
  <si>
    <t>-595.5936833586 -64.5667147820802 323.357747999179</t>
  </si>
  <si>
    <t>-652.720261555525 -103.975999077675 781.204142385135</t>
  </si>
  <si>
    <t>-499.638672072561 -118.904076230735 828.395273032053</t>
  </si>
  <si>
    <t>9763-20170724T115458.561908600.bin</t>
  </si>
  <si>
    <t>-596.073033856955 43.9785557175046 -92.1430007624998</t>
  </si>
  <si>
    <t>-617.116236062284 39.8108333629607 -200.758403821649</t>
  </si>
  <si>
    <t>-631.843523019239 42.4498393521853 -292.420717782315</t>
  </si>
  <si>
    <t>-644.902263624279 47.2163097850018 -375.154553209857</t>
  </si>
  <si>
    <t>-657.160812362874 54.4204739541549 -457.834495202861</t>
  </si>
  <si>
    <t>-674.211165459715 67.6258140946388 -578.58140083635</t>
  </si>
  <si>
    <t>-667.60746117291 82.2901032547238 -655.272750184173</t>
  </si>
  <si>
    <t>-669.762140035104 92.8115129994208 -521.782380794039</t>
  </si>
  <si>
    <t>-651.650973489448 242.034486535053 -480.058718069466</t>
  </si>
  <si>
    <t>-573.220740477901 222.371957242438 -209.798338194323</t>
  </si>
  <si>
    <t>-374.975348047683 102.8657502024 -228.917890715948</t>
  </si>
  <si>
    <t>-663.697130023692 30.8512462108358 -529.41499595385</t>
  </si>
  <si>
    <t>-604.533453253795 136.319992049405 -95.8405741913213</t>
  </si>
  <si>
    <t>-628.130269444076 144.682958948697 318.979730953284</t>
  </si>
  <si>
    <t>-668.769874508939 181.384470885473 778.880948318302</t>
  </si>
  <si>
    <t>-518.656816897204 182.970419482115 836.737532419778</t>
  </si>
  <si>
    <t>-595.647005221295 -64.7204126169092 323.352244814809</t>
  </si>
  <si>
    <t>-652.597075644052 -104.054696077675 781.205707110191</t>
  </si>
  <si>
    <t>-499.59127355792 -118.988124000641 828.640305827398</t>
  </si>
  <si>
    <t>9763-20170724T115458.627086000.bin</t>
  </si>
  <si>
    <t>-596.612649886806 43.3553231538062 -92.1957404735587</t>
  </si>
  <si>
    <t>-617.728939077728 39.1882604327459 -200.797059675935</t>
  </si>
  <si>
    <t>-632.516038093219 41.6773938419763 -292.453869297208</t>
  </si>
  <si>
    <t>-645.627055183912 46.2483145569602 -375.190390023041</t>
  </si>
  <si>
    <t>-657.935404893956 53.1969598588773 -457.884713219755</t>
  </si>
  <si>
    <t>-675.05537220491 65.9625864514214 -578.669279344838</t>
  </si>
  <si>
    <t>-668.394162018847 80.3669317924223 -655.404798209483</t>
  </si>
  <si>
    <t>-670.55063607998 91.3575543430354 -521.967728747505</t>
  </si>
  <si>
    <t>-652.18786382812 240.722569326436 -480.844138850312</t>
  </si>
  <si>
    <t>-573.437862801731 221.94136190127 -210.614126030221</t>
  </si>
  <si>
    <t>-375.449661447899 101.793773916557 -228.327287408743</t>
  </si>
  <si>
    <t>-664.535909029156 29.3647722475866 -529.372368887512</t>
  </si>
  <si>
    <t>-605.165452907787 135.556708129142 -95.8560604468762</t>
  </si>
  <si>
    <t>-628.318493677534 144.206199425711 318.983407167794</t>
  </si>
  <si>
    <t>-668.777965406639 181.284119714298 778.885414272898</t>
  </si>
  <si>
    <t>-518.650914206506 183.021666831381 836.701263019437</t>
  </si>
  <si>
    <t>-595.925813525221 -64.9874897863976 323.292510329577</t>
  </si>
  <si>
    <t>-652.404469807533 -104.038110992622 781.203871714316</t>
  </si>
  <si>
    <t>-499.446100127715 -118.277334214358 829.003534535563</t>
  </si>
  <si>
    <t>9763-20170724T115458.662168900.bin</t>
  </si>
  <si>
    <t>-596.932658968281 43.0456579996549 -92.2257492364741</t>
  </si>
  <si>
    <t>-618.069286772149 38.8900656180269 -200.823583244629</t>
  </si>
  <si>
    <t>-632.866356013069 41.3198685766993 -292.480428811768</t>
  </si>
  <si>
    <t>-645.983027597601 45.8100697118555 -375.220523927093</t>
  </si>
  <si>
    <t>-658.293292301483 52.6503515177658 -457.923619846207</t>
  </si>
  <si>
    <t>-675.41148425986 65.2277000647371 -578.727965774836</t>
  </si>
  <si>
    <t>-668.701117696498 79.504284995963 -655.483220712242</t>
  </si>
  <si>
    <t>-670.875865176756 90.7145435562886 -522.070301335352</t>
  </si>
  <si>
    <t>-652.253011845945 240.125728931217 -481.27618580482</t>
  </si>
  <si>
    <t>-573.581299689827 221.901651202699 -210.985195620701</t>
  </si>
  <si>
    <t>-376.209065955936 100.785269618666 -228.973053450273</t>
  </si>
  <si>
    <t>-664.924423873131 28.7033357773314 -529.369770310637</t>
  </si>
  <si>
    <t>-605.468464226316 135.2395279649 -95.8737117646664</t>
  </si>
  <si>
    <t>-628.412652216844 144.082723036709 318.973156084373</t>
  </si>
  <si>
    <t>-668.744651995023 181.382827082222 778.879228932955</t>
  </si>
  <si>
    <t>-518.613445752064 182.99677395554 836.687820264819</t>
  </si>
  <si>
    <t>-596.087208828305 -65.1555160086759 323.257961101871</t>
  </si>
  <si>
    <t>-652.348125369714 -104.092319684958 781.20702150603</t>
  </si>
  <si>
    <t>-499.442427392637 -118.459589833622 829.136649676851</t>
  </si>
  <si>
    <t>9763-20170724T115458.726845300.bin</t>
  </si>
  <si>
    <t>-597.614797181377 42.4324675123403 -92.2651402468522</t>
  </si>
  <si>
    <t>-618.769518727041 38.281951123003 -200.85953358319</t>
  </si>
  <si>
    <t>-633.537311628585 40.6139765706878 -292.523690035778</t>
  </si>
  <si>
    <t>-646.608398557279 44.9763971976261 -375.277775595107</t>
  </si>
  <si>
    <t>-658.852746404082 51.6485646865935 -458.00448445237</t>
  </si>
  <si>
    <t>-675.851444338434 63.9356176454517 -578.85564677446</t>
  </si>
  <si>
    <t>-669.028580250628 77.9610118397993 -655.647187599331</t>
  </si>
  <si>
    <t>-671.273462421495 89.5691408031751 -522.267677204549</t>
  </si>
  <si>
    <t>-652.029377032232 239.04993521128 -482.001698738908</t>
  </si>
  <si>
    <t>-573.574286462282 221.357988543834 -211.612397948619</t>
  </si>
  <si>
    <t>-377.178400484255 98.8399106727727 -230.756909570478</t>
  </si>
  <si>
    <t>-665.511691699439 27.5190506851477 -529.386683076239</t>
  </si>
  <si>
    <t>-606.073405218067 134.653192865547 -95.9176776480613</t>
  </si>
  <si>
    <t>-628.61105585541 143.782208465628 318.945394703812</t>
  </si>
  <si>
    <t>-668.746254514451 181.314847958084 778.866252164926</t>
  </si>
  <si>
    <t>-518.610008880162 183.089943860682 836.657035751423</t>
  </si>
  <si>
    <t>-596.565289165447 -65.4902696717536 323.230667133658</t>
  </si>
  <si>
    <t>-652.342409754385 -104.105159509644 781.219544260659</t>
  </si>
  <si>
    <t>-499.423388560737 -118.134226381348 829.206775875951</t>
  </si>
  <si>
    <t>9763-20170724T115458.762440200.bin</t>
  </si>
  <si>
    <t>-597.956294014799 42.1744460571581 -92.2923600197648</t>
  </si>
  <si>
    <t>-619.098725898181 38.0227644294087 -200.889231421015</t>
  </si>
  <si>
    <t>-633.841721089322 40.3335681348217 -292.557768275761</t>
  </si>
  <si>
    <t>-646.884068910506 44.6701098542842 -375.317846622822</t>
  </si>
  <si>
    <t>-659.093012785075 51.3083819026656 -458.052418170834</t>
  </si>
  <si>
    <t>-676.032205328865 63.5373980775084 -578.917805061462</t>
  </si>
  <si>
    <t>-669.154387680148 77.4694971995127 -655.721451039661</t>
  </si>
  <si>
    <t>-671.426786292714 89.2041259186747 -522.34699963805</t>
  </si>
  <si>
    <t>-651.925849291798 238.687459984487 -482.238508310865</t>
  </si>
  <si>
    <t>-573.294491653976 221.130373003273 -211.891647863917</t>
  </si>
  <si>
    <t>-377.310379032104 98.0119530217225 -231.400783123708</t>
  </si>
  <si>
    <t>-665.772053772307 27.1388502435593 -529.419253392365</t>
  </si>
  <si>
    <t>-606.322126836246 134.42442612081 -95.9460432222029</t>
  </si>
  <si>
    <t>-628.71209675712 143.685648378557 318.922020180368</t>
  </si>
  <si>
    <t>-668.730414518475 181.363481027233 778.857470746469</t>
  </si>
  <si>
    <t>-518.590532926626 182.990374913585 836.643215449486</t>
  </si>
  <si>
    <t>-596.895757186426 -65.6883497607869 323.219070591505</t>
  </si>
  <si>
    <t>-652.384274664662 -104.149945113207 781.23901489389</t>
  </si>
  <si>
    <t>-499.461951314013 -118.291650063328 829.182707843935</t>
  </si>
  <si>
    <t>9763-20170724T115458.829119100.bin</t>
  </si>
  <si>
    <t>-598.576749956881 41.6388324153331 -92.3166788320254</t>
  </si>
  <si>
    <t>-619.650470196337 37.5110831280435 -200.92771500561</t>
  </si>
  <si>
    <t>-634.337158526756 39.8218915544301 -292.605428165206</t>
  </si>
  <si>
    <t>-647.329133771488 44.1530906192422 -375.373734011496</t>
  </si>
  <si>
    <t>-659.487627608028 50.7789864125768 -458.116730603216</t>
  </si>
  <si>
    <t>-676.352755343023 62.9817569479271 -578.994938910977</t>
  </si>
  <si>
    <t>-669.346214812486 76.7780061805172 -655.811617962628</t>
  </si>
  <si>
    <t>-671.665760494966 88.6728228595591 -522.441995471278</t>
  </si>
  <si>
    <t>-651.388191725158 238.110135115793 -482.491107196647</t>
  </si>
  <si>
    <t>-572.694545548613 220.261758429079 -212.181342560156</t>
  </si>
  <si>
    <t>-377.197208813685 96.5085665933855 -232.539753907588</t>
  </si>
  <si>
    <t>-666.239205612042 26.5817582851801 -529.467281685781</t>
  </si>
  <si>
    <t>-606.62156692329 133.956467234464 -95.9958153849609</t>
  </si>
  <si>
    <t>-628.849637561609 143.506182157385 318.874393124188</t>
  </si>
  <si>
    <t>-668.707022228461 181.424668072545 778.834320127266</t>
  </si>
  <si>
    <t>-518.557006421021 182.957716108787 836.59633411106</t>
  </si>
  <si>
    <t>-597.68931520371 -66.1646967139186 323.203324451737</t>
  </si>
  <si>
    <t>-652.542869921205 -104.225791919464 781.315784182212</t>
  </si>
  <si>
    <t>-499.601348638309 -118.838772189924 829.056509423318</t>
  </si>
  <si>
    <t>9763-20170724T115458.861311600.bin</t>
  </si>
  <si>
    <t>-598.823456763182 41.376048198214 -92.3174045122017</t>
  </si>
  <si>
    <t>-619.8578493021 37.2673467732359 -200.936877675992</t>
  </si>
  <si>
    <t>-634.495267487741 39.581943562858 -292.622269634452</t>
  </si>
  <si>
    <t>-647.436659689503 43.9134802266053 -375.398460277072</t>
  </si>
  <si>
    <t>-659.53842675421 50.5355835666687 -458.150066424344</t>
  </si>
  <si>
    <t>-676.313994350149 62.7286512323738 -579.041797077646</t>
  </si>
  <si>
    <t>-669.222513740133 76.4631812238574 -655.86164797957</t>
  </si>
  <si>
    <t>-671.614753335469 88.4296640161167 -522.494411620793</t>
  </si>
  <si>
    <t>-650.948522451615 237.826713453602 -482.61195804884</t>
  </si>
  <si>
    <t>-572.351991161044 220.038798938687 -212.269975065149</t>
  </si>
  <si>
    <t>-377.082308669531 95.9896398333231 -233.008462444664</t>
  </si>
  <si>
    <t>-666.291317010446 26.3271611371806 -529.496755122356</t>
  </si>
  <si>
    <t>-606.655300995197 133.783005153713 -96.0116615626358</t>
  </si>
  <si>
    <t>-628.922773703834 143.39973957791 318.854866586202</t>
  </si>
  <si>
    <t>-668.697899860946 181.440001228046 778.821645663105</t>
  </si>
  <si>
    <t>-518.543809995464 182.837122933365 836.576469243009</t>
  </si>
  <si>
    <t>-598.149248648476 -66.434058648239 323.21106528331</t>
  </si>
  <si>
    <t>-652.69516973117 -104.242903940505 781.377215356598</t>
  </si>
  <si>
    <t>-499.708646797505 -119.145224505116 828.883735038327</t>
  </si>
  <si>
    <t>9763-20170724T115458.928503500.bin</t>
  </si>
  <si>
    <t>-599.221058089445 40.9570919659807 -92.3364747308702</t>
  </si>
  <si>
    <t>-620.148484891742 36.8948779107491 -200.978353398045</t>
  </si>
  <si>
    <t>-634.599910580484 39.2196739612386 -292.692974714869</t>
  </si>
  <si>
    <t>-647.335255258049 43.5527251089404 -375.501082734501</t>
  </si>
  <si>
    <t>-659.192819866007 50.1666009389298 -458.28863401092</t>
  </si>
  <si>
    <t>-675.569513663789 62.3372918020361 -579.23737470965</t>
  </si>
  <si>
    <t>-668.237846561218 75.9187839774788 -656.061882332146</t>
  </si>
  <si>
    <t>-670.943006670024 88.0600129881639 -522.693842391499</t>
  </si>
  <si>
    <t>-649.675310198295 237.430740582785 -483.017233942451</t>
  </si>
  <si>
    <t>-571.579920122632 219.532637775668 -212.537389447784</t>
  </si>
  <si>
    <t>-376.738158216036 95.0153800523151 -234.461778361186</t>
  </si>
  <si>
    <t>-665.824109382454 25.9337785965122 -529.638487359748</t>
  </si>
  <si>
    <t>-606.594275125883 133.466476577616 -96.0418658767003</t>
  </si>
  <si>
    <t>-629.041803276624 143.242842775706 318.811356612846</t>
  </si>
  <si>
    <t>-668.681440902619 181.463147942886 778.784607132208</t>
  </si>
  <si>
    <t>-518.524843934112 182.851417303255 836.533171429267</t>
  </si>
  <si>
    <t>-599.097751489166 -66.8103382110301 323.223948477275</t>
  </si>
  <si>
    <t>-653.178396477051 -104.138200034562 781.471099650242</t>
  </si>
  <si>
    <t>-499.960922151661 -119.196938741205 828.177323216019</t>
  </si>
  <si>
    <t>9763-20170724T115458.960594800.bin</t>
  </si>
  <si>
    <t>-599.444906502082 40.7851905290979 -92.345838122356</t>
  </si>
  <si>
    <t>-620.301154057931 36.7437545405337 -201.00207405497</t>
  </si>
  <si>
    <t>-634.659372483117 39.0773454455075 -292.731285451776</t>
  </si>
  <si>
    <t>-647.297527859457 43.416494367108 -375.55381248965</t>
  </si>
  <si>
    <t>-659.044912035184 50.033996596025 -458.356909481856</t>
  </si>
  <si>
    <t>-675.246556540695 62.207111582308 -579.329053558175</t>
  </si>
  <si>
    <t>-667.802956748535 75.7261552058283 -656.153748618448</t>
  </si>
  <si>
    <t>-670.663815161154 87.9322655234485 -522.78295171951</t>
  </si>
  <si>
    <t>-649.182214181052 237.277706061569 -483.142890332777</t>
  </si>
  <si>
    <t>-571.163000429698 219.218589573503 -212.651688284367</t>
  </si>
  <si>
    <t>-376.55900548156 94.4903375295728 -235.470179843014</t>
  </si>
  <si>
    <t>-665.611017854271 25.7989541510078 -529.711918660788</t>
  </si>
  <si>
    <t>-606.614550682181 133.336650612882 -96.0582701328074</t>
  </si>
  <si>
    <t>-629.129361744973 143.164914144535 318.789988492664</t>
  </si>
  <si>
    <t>-668.687576953683 181.43485982605 778.772293642219</t>
  </si>
  <si>
    <t>-518.528220990655 182.910875257257 836.511481405684</t>
  </si>
  <si>
    <t>-599.519000353883 -66.9685236036091 323.219498462144</t>
  </si>
  <si>
    <t>-653.466329904458 -104.054626071158 781.523021750519</t>
  </si>
  <si>
    <t>-500.103538456173 -119.188641861499 827.725180866968</t>
  </si>
  <si>
    <t>9763-20170724T115459.029774400.bin</t>
  </si>
  <si>
    <t>-599.789312005669 40.73757816537 -92.360009997539</t>
  </si>
  <si>
    <t>-620.495053610508 36.7120957853726 -201.045597588586</t>
  </si>
  <si>
    <t>-634.680699054684 39.090403225619 -292.800502278326</t>
  </si>
  <si>
    <t>-647.145389997564 43.4840139490871 -375.64654803896</t>
  </si>
  <si>
    <t>-658.701706171128 50.1695809409277 -458.470934234378</t>
  </si>
  <si>
    <t>-674.605107931251 62.457226171048 -579.470957326066</t>
  </si>
  <si>
    <t>-666.976887713745 75.9200419168155 -656.28753526977</t>
  </si>
  <si>
    <t>-670.11570449927 88.1332730329568 -522.895103716254</t>
  </si>
  <si>
    <t>-648.270599736342 237.41697104959 -483.220663208945</t>
  </si>
  <si>
    <t>-570.51145732524 218.978622504844 -212.680326080665</t>
  </si>
  <si>
    <t>-376.338703596561 94.0972631789214 -238.177893486619</t>
  </si>
  <si>
    <t>-665.138035360915 25.9975981513164 -529.859386135135</t>
  </si>
  <si>
    <t>-606.632126123288 133.316744116148 -96.1024381612484</t>
  </si>
  <si>
    <t>-629.428881290497 143.120077205042 318.731050487564</t>
  </si>
  <si>
    <t>-668.723523699002 181.319256355988 778.735265522549</t>
  </si>
  <si>
    <t>-518.558683539773 182.887690915081 836.457780940276</t>
  </si>
  <si>
    <t>-600.284769552016 -67.0452054115895 323.22894586534</t>
  </si>
  <si>
    <t>-654.023929670313 -103.852985416695 781.598215574958</t>
  </si>
  <si>
    <t>-500.395515737558 -119.217824482328 826.8315351149</t>
  </si>
  <si>
    <t>9763-20170724T115459.062380200.bin</t>
  </si>
  <si>
    <t>-599.866645012295 40.8979767069786 -92.4355707080174</t>
  </si>
  <si>
    <t>-620.479209993361 36.8591741758269 -201.138445233071</t>
  </si>
  <si>
    <t>-634.565152927143 39.2527555824538 -292.90820295106</t>
  </si>
  <si>
    <t>-646.931587770894 43.6714117259364 -375.767701386417</t>
  </si>
  <si>
    <t>-658.38143077424 50.3930235750788 -458.604018822201</t>
  </si>
  <si>
    <t>-674.12036391207 62.7453426169282 -579.618942917274</t>
  </si>
  <si>
    <t>-666.415624274515 76.1840486030874 -656.431985733393</t>
  </si>
  <si>
    <t>-669.696599586642 88.3921133884023 -523.024686194492</t>
  </si>
  <si>
    <t>-647.773938349936 237.651041691362 -483.298224765794</t>
  </si>
  <si>
    <t>-570.051250115032 219.12555929102 -212.753142715957</t>
  </si>
  <si>
    <t>-376.002106367794 94.3069694796509 -239.470101357972</t>
  </si>
  <si>
    <t>-664.731942445552 26.2583100574375 -530.012629318938</t>
  </si>
  <si>
    <t>-606.57655281265 133.470146434097 -96.1963397160414</t>
  </si>
  <si>
    <t>-629.520397241857 143.250906294087 318.629583002578</t>
  </si>
  <si>
    <t>-668.713376386954 181.39558462125 778.646879346706</t>
  </si>
  <si>
    <t>-518.548624914618 182.729053848843 836.375492792435</t>
  </si>
  <si>
    <t>-600.610526366406 -66.9692060843997 323.181414703156</t>
  </si>
  <si>
    <t>-654.224977523234 -103.821497035962 781.581532471666</t>
  </si>
  <si>
    <t>-500.544582158209 -119.668750867197 826.470620734601</t>
  </si>
  <si>
    <t>9763-20170724T115459.127056900.bin</t>
  </si>
  <si>
    <t>-599.918621063551 41.2126159420081 -92.6542751524642</t>
  </si>
  <si>
    <t>-620.267949592093 37.1414560431581 -201.405511135651</t>
  </si>
  <si>
    <t>-634.094725839947 39.5220071885224 -293.215040696734</t>
  </si>
  <si>
    <t>-646.21257738915 43.9356983259299 -376.111327889277</t>
  </si>
  <si>
    <t>-657.399590238778 50.6588708141092 -458.983502853127</t>
  </si>
  <si>
    <t>-672.739003286799 63.0204347216095 -580.048778480621</t>
  </si>
  <si>
    <t>-664.907822994159 76.3842545468276 -656.862212049313</t>
  </si>
  <si>
    <t>-668.487453368171 88.6642731948671 -523.440002075941</t>
  </si>
  <si>
    <t>-646.57215588851 237.930445465029 -483.7251895718</t>
  </si>
  <si>
    <t>-569.199853868466 219.282315406067 -213.088262473002</t>
  </si>
  <si>
    <t>-375.104619310926 94.7459448075986 -240.769788804135</t>
  </si>
  <si>
    <t>-663.52897901513 26.5282324574564 -530.412890618199</t>
  </si>
  <si>
    <t>-606.383939651034 133.808802130013 -96.4689564031206</t>
  </si>
  <si>
    <t>-629.625474981211 143.474307260607 318.342996687412</t>
  </si>
  <si>
    <t>-668.74786316969 181.361575777374 778.397603259941</t>
  </si>
  <si>
    <t>-518.590605863628 182.858498183751 836.141615396467</t>
  </si>
  <si>
    <t>-601.239003972936 -67.0157753132567 323.020568390693</t>
  </si>
  <si>
    <t>-654.474974762637 -103.662284711972 781.522946340232</t>
  </si>
  <si>
    <t>-500.613413064999 -119.11995371 825.924551395262</t>
  </si>
  <si>
    <t>9763-20170724T115459.159144400.bin</t>
  </si>
  <si>
    <t>-599.902208141742 41.4115203497365 -92.7350290403338</t>
  </si>
  <si>
    <t>-620.127159360019 37.3256677588076 -201.509007201789</t>
  </si>
  <si>
    <t>-633.825494320614 39.6877593679367 -293.33821337004</t>
  </si>
  <si>
    <t>-645.818268909301 44.0827229730462 -376.253808707146</t>
  </si>
  <si>
    <t>-656.871267078489 50.7849039614482 -459.145548853199</t>
  </si>
  <si>
    <t>-672.005114905454 63.1138351074242 -580.240058677888</t>
  </si>
  <si>
    <t>-664.120684463567 76.4360337538149 -657.055192142082</t>
  </si>
  <si>
    <t>-667.851560462737 88.7728509843 -523.630794386709</t>
  </si>
  <si>
    <t>-645.918726757061 238.041004783937 -483.948287935421</t>
  </si>
  <si>
    <t>-568.832929342994 219.35434011078 -213.232231854229</t>
  </si>
  <si>
    <t>-374.768987667777 94.8273395148128 -241.173872432424</t>
  </si>
  <si>
    <t>-662.877459000995 26.6352248634134 -530.578898776257</t>
  </si>
  <si>
    <t>-606.290462065001 134.078264941021 -96.5950562957674</t>
  </si>
  <si>
    <t>-629.690202058763 143.607260820525 318.211278882218</t>
  </si>
  <si>
    <t>-668.761002552419 181.380185450415 778.268118959869</t>
  </si>
  <si>
    <t>-518.607021122718 182.805974005239 836.022441233994</t>
  </si>
  <si>
    <t>-601.415712271012 -67.0435078799167 322.957471316076</t>
  </si>
  <si>
    <t>-654.535851130524 -103.657522662096 781.505881725781</t>
  </si>
  <si>
    <t>-500.678663076213 -119.483617179196 825.792696173057</t>
  </si>
  <si>
    <t>9763-20170724T115459.227826800.bin</t>
  </si>
  <si>
    <t>-599.693111179121 41.8455362802961 -92.8644820903821</t>
  </si>
  <si>
    <t>-619.694686807037 37.7256257954191 -201.67842303303</t>
  </si>
  <si>
    <t>-633.184343691113 40.0471949889886 -293.539589732159</t>
  </si>
  <si>
    <t>-644.980862592759 44.4012884467145 -376.485359049428</t>
  </si>
  <si>
    <t>-655.830112316064 51.0582098580728 -459.407672197863</t>
  </si>
  <si>
    <t>-670.658242545937 63.3163840522773 -580.547302842674</t>
  </si>
  <si>
    <t>-662.72353115145 76.5600346732604 -657.370950579695</t>
  </si>
  <si>
    <t>-666.655127483441 89.0076834428896 -523.941878257383</t>
  </si>
  <si>
    <t>-644.640158766095 238.290701910816 -484.354607098917</t>
  </si>
  <si>
    <t>-568.395445481285 219.539275504554 -213.405004116081</t>
  </si>
  <si>
    <t>-374.271306603805 95.0370862881909 -241.03742533541</t>
  </si>
  <si>
    <t>-661.648479615757 26.8674413989834 -530.842794480766</t>
  </si>
  <si>
    <t>-605.996914284992 134.645098368247 -96.8064549531496</t>
  </si>
  <si>
    <t>-629.829559336706 143.821029061971 317.983123045768</t>
  </si>
  <si>
    <t>-668.811551917592 181.330468490915 778.04242930529</t>
  </si>
  <si>
    <t>-518.660872163557 182.866950743442 835.80263335245</t>
  </si>
  <si>
    <t>-601.550175928285 -67.0584676027675 322.876702745093</t>
  </si>
  <si>
    <t>-654.563876119793 -103.631133467265 781.477626378711</t>
  </si>
  <si>
    <t>-500.740529705858 -120.002460740352 825.683739275265</t>
  </si>
  <si>
    <t>9763-20170724T115459.260416400.bin</t>
  </si>
  <si>
    <t>-599.540120810738 42.1654352672958 -92.9247382294241</t>
  </si>
  <si>
    <t>-619.458542864286 38.02049279071 -201.753008522023</t>
  </si>
  <si>
    <t>-632.867276604266 40.3024622311843 -293.626910282151</t>
  </si>
  <si>
    <t>-644.586451947174 44.6131509149084 -376.586051959998</t>
  </si>
  <si>
    <t>-655.354118753697 51.2193859538236 -459.523051835557</t>
  </si>
  <si>
    <t>-670.05824412127 63.3957231633647 -580.68591067441</t>
  </si>
  <si>
    <t>-662.110435297692 76.5816000001685 -657.518135812971</t>
  </si>
  <si>
    <t>-666.120359203479 89.1246791108624 -524.093054717959</t>
  </si>
  <si>
    <t>-644.200903594227 238.452135940827 -484.613371795142</t>
  </si>
  <si>
    <t>-568.262429215935 219.794407739238 -213.571172627455</t>
  </si>
  <si>
    <t>-374.102375146433 95.3779664303781 -241.337187223523</t>
  </si>
  <si>
    <t>-661.09201409913 26.9811435050233 -530.948464215363</t>
  </si>
  <si>
    <t>-605.820493410959 135.046497273111 -96.8986596112433</t>
  </si>
  <si>
    <t>-629.810310437314 144.015739523973 317.886366713459</t>
  </si>
  <si>
    <t>-668.816078007124 181.38350334496 777.943349288799</t>
  </si>
  <si>
    <t>-518.666286064747 182.820963017153 835.708468250003</t>
  </si>
  <si>
    <t>-601.58604021039 -66.96504585909 322.845618736088</t>
  </si>
  <si>
    <t>-654.546057441808 -103.584066834916 781.466217710751</t>
  </si>
  <si>
    <t>-500.70888838353 -119.817388070259 825.675110724174</t>
  </si>
  <si>
    <t>9763-20170724T115459.328100200.bin</t>
  </si>
  <si>
    <t>-599.125062572721 43.1766974077868 -92.958124926563</t>
  </si>
  <si>
    <t>-618.910642635925 39.0109770404692 -201.809773345841</t>
  </si>
  <si>
    <t>-632.202066961636 41.2196015646016 -293.702600314019</t>
  </si>
  <si>
    <t>-643.813753040529 45.441479433659 -376.681412676757</t>
  </si>
  <si>
    <t>-654.472585286148 51.9370069389697 -459.641138951625</t>
  </si>
  <si>
    <t>-669.016496798658 63.927610348901 -580.841838416725</t>
  </si>
  <si>
    <t>-661.052723139796 77.005556785733 -657.690802485582</t>
  </si>
  <si>
    <t>-665.171754722626 89.7415003959406 -524.281401065986</t>
  </si>
  <si>
    <t>-643.469376973435 239.163591260824 -485.061454064102</t>
  </si>
  <si>
    <t>-567.859549351751 220.756111271721 -213.910392833579</t>
  </si>
  <si>
    <t>-373.553480521981 96.5528470967251 -241.60912863518</t>
  </si>
  <si>
    <t>-660.097764202932 27.5909572091025 -531.03877899342</t>
  </si>
  <si>
    <t>-605.335859423575 136.088367257247 -97.0070060932866</t>
  </si>
  <si>
    <t>-629.610444074905 144.581983568226 317.771480129323</t>
  </si>
  <si>
    <t>-668.843318484913 181.448909308609 777.80583099148</t>
  </si>
  <si>
    <t>-518.691704139198 182.709432996362 835.5701523346</t>
  </si>
  <si>
    <t>-601.449169817005 -66.3276019871755 322.852337861466</t>
  </si>
  <si>
    <t>-654.48911305574 -103.549400141691 781.452163884726</t>
  </si>
  <si>
    <t>-500.714253620845 -120.208780779965 825.71929277221</t>
  </si>
  <si>
    <t>9763-20170724T115459.360291300.bin</t>
  </si>
  <si>
    <t>-598.893985994958 43.6865196838085 -92.9657550885174</t>
  </si>
  <si>
    <t>-618.630255686877 39.5174060749905 -201.826191295633</t>
  </si>
  <si>
    <t>-631.882792797619 41.6842715062635 -293.725711068169</t>
  </si>
  <si>
    <t>-643.460872029854 45.8533231075642 -376.711739001239</t>
  </si>
  <si>
    <t>-654.087867885232 52.2808009589526 -459.681057512532</t>
  </si>
  <si>
    <t>-668.587365092141 64.1554639568299 -580.898439192737</t>
  </si>
  <si>
    <t>-660.606912968644 77.1675447145753 -657.756885701661</t>
  </si>
  <si>
    <t>-664.772921252224 90.0226052896851 -524.360113555329</t>
  </si>
  <si>
    <t>-643.211959514974 239.493527683619 -485.258231828373</t>
  </si>
  <si>
    <t>-567.515207023732 221.226838662888 -214.121831123834</t>
  </si>
  <si>
    <t>-373.144491141235 97.035543523293 -241.417965321161</t>
  </si>
  <si>
    <t>-659.677311856807 27.8673494693003 -531.058507448508</t>
  </si>
  <si>
    <t>-605.064177315769 136.600922981786 -97.0273014186166</t>
  </si>
  <si>
    <t>-629.510619169866 144.864517805312 317.745699889986</t>
  </si>
  <si>
    <t>-668.870690738686 181.434546628442 777.775729876375</t>
  </si>
  <si>
    <t>-518.713257640662 182.757728238657 835.523624086365</t>
  </si>
  <si>
    <t>-601.34672959968 -66.0272407430984 322.859753039948</t>
  </si>
  <si>
    <t>-654.440240620629 -103.499122755762 781.441355730458</t>
  </si>
  <si>
    <t>-500.67283959923 -120.044019474799 825.777201134914</t>
  </si>
  <si>
    <t>9763-20170724T115459.429482200.bin</t>
  </si>
  <si>
    <t>-598.328593660287 44.6636047355714 -92.9260365480237</t>
  </si>
  <si>
    <t>-618.017270376755 40.4969565060485 -201.795160283026</t>
  </si>
  <si>
    <t>-631.22756047952 42.5990141692182 -293.70214940201</t>
  </si>
  <si>
    <t>-642.7668423362 46.6827975961396 -376.698081188159</t>
  </si>
  <si>
    <t>-653.354360073767 52.9987055972906 -459.680839416846</t>
  </si>
  <si>
    <t>-667.795769416667 64.6810007946578 -580.924022918736</t>
  </si>
  <si>
    <t>-659.76058841336 77.5707246003603 -657.797278337951</t>
  </si>
  <si>
    <t>-664.015262569749 90.6370449740759 -524.424191369041</t>
  </si>
  <si>
    <t>-642.592235981025 240.173463818845 -485.495640533698</t>
  </si>
  <si>
    <t>-566.555709650154 221.798382930925 -214.461690508718</t>
  </si>
  <si>
    <t>-371.966385039339 97.8591849817949 -241.342761817165</t>
  </si>
  <si>
    <t>-658.902808237095 28.4726360354941 -531.023006230256</t>
  </si>
  <si>
    <t>-604.535219932143 137.599975836634 -97.0239280149141</t>
  </si>
  <si>
    <t>-629.280553520531 145.421186268642 317.740015962607</t>
  </si>
  <si>
    <t>-668.912689007649 181.413232165497 777.758542927366</t>
  </si>
  <si>
    <t>-518.746592143666 182.760050876549 835.483297490256</t>
  </si>
  <si>
    <t>-600.885331921802 -65.3851783378623 322.907496437111</t>
  </si>
  <si>
    <t>-654.260897805368 -103.43050007618 781.446525382816</t>
  </si>
  <si>
    <t>-500.568605191415 -119.997865726463 826.033716620044</t>
  </si>
  <si>
    <t>9763-20170724T115459.461567900.bin</t>
  </si>
  <si>
    <t>-598.007007985956 45.1584777787525 -92.8885082734423</t>
  </si>
  <si>
    <t>-617.687929537586 40.9948354306016 -201.759198184901</t>
  </si>
  <si>
    <t>-630.889639916727 43.0750687657569 -293.668031400412</t>
  </si>
  <si>
    <t>-642.420371778541 47.1292456255819 -376.666471530787</t>
  </si>
  <si>
    <t>-652.998574614234 53.4057101521662 -459.653479589383</t>
  </si>
  <si>
    <t>-667.425344055466 65.0198590803971 -580.904796813079</t>
  </si>
  <si>
    <t>-659.375714707981 77.8592341639649 -657.785025382909</t>
  </si>
  <si>
    <t>-663.652954312717 91.0076086326847 -524.419017738364</t>
  </si>
  <si>
    <t>-642.356590067872 240.597512747577 -485.609527859225</t>
  </si>
  <si>
    <t>-566.019897589583 222.329463629542 -214.652702191969</t>
  </si>
  <si>
    <t>-371.367100907599 98.457918008311 -241.385893914969</t>
  </si>
  <si>
    <t>-658.537051889525 28.8397141936928 -530.982557640723</t>
  </si>
  <si>
    <t>-604.22396843832 138.14269921514 -96.994415459047</t>
  </si>
  <si>
    <t>-629.112784833555 145.753304756779 317.764838482257</t>
  </si>
  <si>
    <t>-668.903843628007 181.533857133207 777.779580268071</t>
  </si>
  <si>
    <t>-518.72896551189 182.731853153503 835.484799842047</t>
  </si>
  <si>
    <t>-600.6205630598 -65.0519112433108 322.946129033704</t>
  </si>
  <si>
    <t>-654.188047907673 -103.389103487342 781.449712117576</t>
  </si>
  <si>
    <t>-500.527991899392 -119.973504267182 826.141558908575</t>
  </si>
  <si>
    <t>9763-20170724T115459.530758800.bin</t>
  </si>
  <si>
    <t>-597.300886528583 46.1049842999516 -92.7976736933945</t>
  </si>
  <si>
    <t>-617.009993516855 41.9428292293437 -201.663321974763</t>
  </si>
  <si>
    <t>-630.229972378504 43.9715832570907 -293.570626664288</t>
  </si>
  <si>
    <t>-641.774057723875 47.9584653215898 -376.570500630113</t>
  </si>
  <si>
    <t>-652.361891047673 54.1462771900524 -459.562949744035</t>
  </si>
  <si>
    <t>-666.798238900265 65.6073007098562 -580.827666051127</t>
  </si>
  <si>
    <t>-658.72015344605 78.334331038126 -657.72361827033</t>
  </si>
  <si>
    <t>-662.991368956851 91.6691845572796 -524.378379219234</t>
  </si>
  <si>
    <t>-641.853482618134 241.348861866339 -485.800742021988</t>
  </si>
  <si>
    <t>-564.676099030296 223.127296843593 -215.079080405548</t>
  </si>
  <si>
    <t>-369.749356539351 99.6047971811431 -241.428267261415</t>
  </si>
  <si>
    <t>-657.936028465243 29.4874660594255 -530.857115360767</t>
  </si>
  <si>
    <t>-603.54650043489 139.070096687817 -96.9125596513977</t>
  </si>
  <si>
    <t>-628.726323968052 146.207968770027 317.837430342795</t>
  </si>
  <si>
    <t>-668.960767061676 181.409901572225 777.844548109906</t>
  </si>
  <si>
    <t>-518.776247244208 182.804464443353 835.520194007766</t>
  </si>
  <si>
    <t>-599.967005999051 -64.4038431763088 323.042970265264</t>
  </si>
  <si>
    <t>-654.070105656694 -103.362634861042 781.450152737465</t>
  </si>
  <si>
    <t>-500.503891372876 -120.329299399246 826.320746323027</t>
  </si>
  <si>
    <t>9763-20170724T115459.558835900.bin</t>
  </si>
  <si>
    <t>-596.919434043692 46.5845019251951 -92.726674280117</t>
  </si>
  <si>
    <t>-616.653367554033 42.4183760117439 -201.587570508335</t>
  </si>
  <si>
    <t>-629.897920964965 44.4183161400424 -293.491969098644</t>
  </si>
  <si>
    <t>-641.465249567196 48.3688099321553 -376.490386931826</t>
  </si>
  <si>
    <t>-652.077035769936 54.5099382118208 -459.483180865477</t>
  </si>
  <si>
    <t>-666.548885301728 65.8911547691637 -580.751428355727</t>
  </si>
  <si>
    <t>-658.47042974615 78.5617273720493 -657.656522829275</t>
  </si>
  <si>
    <t>-662.708638827516 91.9917800472999 -524.32209199548</t>
  </si>
  <si>
    <t>-641.530705951069 241.676289491186 -485.826122926812</t>
  </si>
  <si>
    <t>-563.963680915947 223.540220433303 -215.210211007124</t>
  </si>
  <si>
    <t>-369.029382869167 99.9379638426026 -241.125926614659</t>
  </si>
  <si>
    <t>-657.688895346023 29.8025770849599 -530.757737801803</t>
  </si>
  <si>
    <t>-603.161896068968 139.539825840012 -96.8472961100681</t>
  </si>
  <si>
    <t>-628.514372030714 146.44125743442 317.896293828801</t>
  </si>
  <si>
    <t>-668.960370263509 181.460380339643 777.886057716066</t>
  </si>
  <si>
    <t>-518.770036880954 182.75536769038 835.548958412392</t>
  </si>
  <si>
    <t>-599.651479648523 -64.0405940251947 323.107443370201</t>
  </si>
  <si>
    <t>-654.036390350824 -103.300490998365 781.446923029839</t>
  </si>
  <si>
    <t>-500.458400139364 -120.098808582505 826.340535811766</t>
  </si>
  <si>
    <t>9763-20170724T115459.625515100.bin</t>
  </si>
  <si>
    <t>-596.089747203437 47.4674022597321 -92.6255312294097</t>
  </si>
  <si>
    <t>-615.870172564292 43.3016553120342 -201.478153295407</t>
  </si>
  <si>
    <t>-629.176982452366 45.2467618084054 -293.374639358552</t>
  </si>
  <si>
    <t>-640.808653808222 49.126278423505 -376.367365650862</t>
  </si>
  <si>
    <t>-651.492396875446 55.1733424024121 -459.357914720699</t>
  </si>
  <si>
    <t>-666.076839980241 66.3925095674845 -580.627679878745</t>
  </si>
  <si>
    <t>-658.048233331692 78.9330955295391 -657.559381986416</t>
  </si>
  <si>
    <t>-662.129286078173 92.5736354631017 -524.243156274358</t>
  </si>
  <si>
    <t>-640.873486256569 242.310601138661 -485.965983119383</t>
  </si>
  <si>
    <t>-562.454940736719 224.176972397166 -215.595412573084</t>
  </si>
  <si>
    <t>-367.519560124137 100.377924774446 -240.546017995869</t>
  </si>
  <si>
    <t>-657.225301641214 30.3658347668036 -530.588043262946</t>
  </si>
  <si>
    <t>-602.218960589026 140.337922747612 -96.7335004508446</t>
  </si>
  <si>
    <t>-628.05692265202 146.782023560393 317.987451756668</t>
  </si>
  <si>
    <t>-668.983229195726 181.447118381443 777.955349667802</t>
  </si>
  <si>
    <t>-518.79095482122 182.701022925237 835.614153126494</t>
  </si>
  <si>
    <t>-599.075982332836 -63.3617108665994 323.201067239064</t>
  </si>
  <si>
    <t>-654.051126887693 -103.208101441644 781.418944124244</t>
  </si>
  <si>
    <t>-500.444954843837 -119.941599519554 826.240342697276</t>
  </si>
  <si>
    <t>9763-20170724T115459.665121800.bin</t>
  </si>
  <si>
    <t>-595.724995604139 47.8163371604833 -92.5843602522395</t>
  </si>
  <si>
    <t>-615.519272446329 43.6440789331464 -201.434140097604</t>
  </si>
  <si>
    <t>-628.83529682903 45.565189330918 -293.32984056695</t>
  </si>
  <si>
    <t>-640.473771895548 49.4156278299515 -376.322963252561</t>
  </si>
  <si>
    <t>-651.162292659171 55.4262069027693 -459.315631410964</t>
  </si>
  <si>
    <t>-665.751185220837 66.5832219670385 -580.59044378786</t>
  </si>
  <si>
    <t>-657.734049616977 79.0532757016342 -657.534807141822</t>
  </si>
  <si>
    <t>-661.764421576891 92.7963494683224 -524.223710687113</t>
  </si>
  <si>
    <t>-640.413088272125 242.53763948022 -486.022434702574</t>
  </si>
  <si>
    <t>-561.566750733401 224.287335509691 -215.784068048932</t>
  </si>
  <si>
    <t>-366.730561889494 100.285716268481 -240.502059818977</t>
  </si>
  <si>
    <t>-656.93501359716 30.5788359008207 -530.528489423429</t>
  </si>
  <si>
    <t>-601.789822820426 140.665561302174 -96.6925321306962</t>
  </si>
  <si>
    <t>-627.82214627688 146.96940609418 318.018414522437</t>
  </si>
  <si>
    <t>-668.981749222488 181.494022869403 777.976473882354</t>
  </si>
  <si>
    <t>-518.791521951837 182.561901626818 835.64421423919</t>
  </si>
  <si>
    <t>-598.861644082674 -63.1206776166955 323.239192934855</t>
  </si>
  <si>
    <t>-654.076882728864 -103.175145316591 781.404721460896</t>
  </si>
  <si>
    <t>-500.48890802069 -120.223461342265 826.169788370411</t>
  </si>
  <si>
    <t>9763-20170724T115459.724784600.bin</t>
  </si>
  <si>
    <t>-595.057338466892 48.3090932928508 -92.5203858285</t>
  </si>
  <si>
    <t>-614.864683504911 44.1461108850358 -201.36810276455</t>
  </si>
  <si>
    <t>-628.218643967891 46.0508279253143 -293.258778563958</t>
  </si>
  <si>
    <t>-639.901663290582 49.8781729122638 -376.246604289202</t>
  </si>
  <si>
    <t>-650.644791584248 55.85574838662 -459.234481554882</t>
  </si>
  <si>
    <t>-665.324017285376 66.9541535496335 -580.503973584175</t>
  </si>
  <si>
    <t>-657.359667899674 79.3079026912776 -657.472610139956</t>
  </si>
  <si>
    <t>-661.232521184598 93.2001600441604 -524.159785555218</t>
  </si>
  <si>
    <t>-639.693686120008 242.947523657866 -486.112071369786</t>
  </si>
  <si>
    <t>-559.954006433877 224.481329058108 -216.150610038274</t>
  </si>
  <si>
    <t>-365.206541957884 100.26637310145 -240.493994424901</t>
  </si>
  <si>
    <t>-656.533257126196 30.968456281614 -530.424115609264</t>
  </si>
  <si>
    <t>-600.974570357477 141.156784768545 -96.6324558259837</t>
  </si>
  <si>
    <t>-627.419900916678 147.215976428225 318.056009254322</t>
  </si>
  <si>
    <t>-669.007791695194 181.502509309829 777.999589304491</t>
  </si>
  <si>
    <t>-518.817721020429 182.528709179612 835.66858360549</t>
  </si>
  <si>
    <t>-598.517885316022 -62.791512399468 323.291782201955</t>
  </si>
  <si>
    <t>-654.115035346049 -103.083791479557 781.382656573462</t>
  </si>
  <si>
    <t>-500.448263829855 -119.782735583139 826.008765695265</t>
  </si>
  <si>
    <t>9763-20170724T115459.764178600.bin</t>
  </si>
  <si>
    <t>-594.772308631739 48.4635563455292 -92.5043651487028</t>
  </si>
  <si>
    <t>-614.578156122153 44.3236501450504 -201.353247569102</t>
  </si>
  <si>
    <t>-627.949788763145 46.2480777117951 -293.240854688429</t>
  </si>
  <si>
    <t>-639.656963309406 50.0941555398711 -376.224506064349</t>
  </si>
  <si>
    <t>-650.432580369103 56.0913190113592 -459.206716850739</t>
  </si>
  <si>
    <t>-665.168935551731 67.2188878136774 -580.466494083182</t>
  </si>
  <si>
    <t>-657.231845923386 79.5452797371031 -657.442429490075</t>
  </si>
  <si>
    <t>-661.038776514179 93.4523086542165 -524.119562173535</t>
  </si>
  <si>
    <t>-639.491872467796 243.2007530928 -486.074844309134</t>
  </si>
  <si>
    <t>-559.142336006962 224.554019960433 -216.306715134135</t>
  </si>
  <si>
    <t>-364.31650806772 100.476287340759 -240.722898571377</t>
  </si>
  <si>
    <t>-656.36671465238 31.2201156262688 -530.398080235094</t>
  </si>
  <si>
    <t>-600.565054381299 141.348014579607 -96.6122135182262</t>
  </si>
  <si>
    <t>-627.255009011388 147.295266877019 318.062240520008</t>
  </si>
  <si>
    <t>-669.016178767802 181.526640571403 777.999827814848</t>
  </si>
  <si>
    <t>-518.829407073247 182.463367337161 835.678883947925</t>
  </si>
  <si>
    <t>-598.406523067754 -62.7149911288975 323.30251733257</t>
  </si>
  <si>
    <t>-654.125914430365 -103.036233491342 781.379928458031</t>
  </si>
  <si>
    <t>-500.457196539488 -119.826443337389 825.965033254167</t>
  </si>
  <si>
    <t>9763-20170724T115459.828883900.bin</t>
  </si>
  <si>
    <t>-594.36569387613 48.6389517375294 -92.4880334337432</t>
  </si>
  <si>
    <t>-614.135812806875 44.5172841661347 -201.344229877009</t>
  </si>
  <si>
    <t>-627.513922879249 46.4964190905525 -293.229647294789</t>
  </si>
  <si>
    <t>-639.242728282872 50.4092009384117 -376.207084719965</t>
  </si>
  <si>
    <t>-650.056377836037 56.4899174924267 -459.178276880547</t>
  </si>
  <si>
    <t>-664.867057791732 67.75784138215 -580.416157702912</t>
  </si>
  <si>
    <t>-656.97720196799 80.1133222063065 -657.39213021713</t>
  </si>
  <si>
    <t>-660.691034477236 93.9270837377633 -524.042503992582</t>
  </si>
  <si>
    <t>-639.300399330214 243.666296028449 -485.878838394235</t>
  </si>
  <si>
    <t>-557.715555874938 224.649200631688 -216.507588407553</t>
  </si>
  <si>
    <t>-362.632102936833 101.130229579735 -241.687565412749</t>
  </si>
  <si>
    <t>-656.045457800453 31.7001873804545 -530.393534594926</t>
  </si>
  <si>
    <t>-599.961915173757 141.612352480159 -96.6076692133944</t>
  </si>
  <si>
    <t>-627.055003214113 147.301468362365 318.044287397402</t>
  </si>
  <si>
    <t>-669.04214992123 181.493873926971 777.968714303528</t>
  </si>
  <si>
    <t>-518.86519100381 182.567631742095 835.67101985669</t>
  </si>
  <si>
    <t>-598.337168935143 -62.7706062315769 323.31336427764</t>
  </si>
  <si>
    <t>-654.144718425476 -103.025096540134 781.383184895906</t>
  </si>
  <si>
    <t>-500.50044899596 -120.238257449566 825.891311625712</t>
  </si>
  <si>
    <t>9763-20170724T115459.861101800.bin</t>
  </si>
  <si>
    <t>-594.22827572998 48.6092104050135 -92.5032886887748</t>
  </si>
  <si>
    <t>-613.959452996483 44.4902003772959 -201.366469969507</t>
  </si>
  <si>
    <t>-627.292474833301 46.5052373363994 -293.257760402243</t>
  </si>
  <si>
    <t>-638.975968289291 50.4644791286207 -376.239503683903</t>
  </si>
  <si>
    <t>-649.739939659683 56.6052199822554 -459.212675237212</t>
  </si>
  <si>
    <t>-664.473197884799 67.9765072569903 -580.450286542692</t>
  </si>
  <si>
    <t>-656.565565914003 80.388498725026 -657.415430727282</t>
  </si>
  <si>
    <t>-660.323570310018 94.0984569368552 -524.052929916177</t>
  </si>
  <si>
    <t>-639.050303082831 243.839604472806 -485.807625399593</t>
  </si>
  <si>
    <t>-556.990602942246 224.677796375503 -216.591043289086</t>
  </si>
  <si>
    <t>-361.758530571225 101.489990813086 -242.237101280417</t>
  </si>
  <si>
    <t>-655.693144989838 31.8753933714254 -530.451664036102</t>
  </si>
  <si>
    <t>-599.73174366956 141.623045669806 -96.6213489913752</t>
  </si>
  <si>
    <t>-626.951464594545 147.303523800855 318.022414331032</t>
  </si>
  <si>
    <t>-669.05173192652 181.51146590607 777.942839438995</t>
  </si>
  <si>
    <t>-518.880730295045 182.555699503731 835.661098370132</t>
  </si>
  <si>
    <t>-598.305429222746 -62.8526571590669 323.306805206839</t>
  </si>
  <si>
    <t>-654.152725933687 -103.027557991347 781.383616423405</t>
  </si>
  <si>
    <t>-500.521652979969 -120.450487145749 825.855653764712</t>
  </si>
  <si>
    <t>9763-20170724T115459.925275600.bin</t>
  </si>
  <si>
    <t>-593.944198285061 48.6435911370447 -92.5136267339839</t>
  </si>
  <si>
    <t>-613.548716185898 44.5342783016474 -201.400225344519</t>
  </si>
  <si>
    <t>-626.775841080476 46.6128439410531 -293.305319635105</t>
  </si>
  <si>
    <t>-638.364687455844 50.6518248982243 -376.296348707376</t>
  </si>
  <si>
    <t>-649.035138185617 56.8952140786275 -459.274072164018</t>
  </si>
  <si>
    <t>-663.63351597015 68.4407759428493 -580.511487366417</t>
  </si>
  <si>
    <t>-655.635580280913 80.9731920984405 -657.447660826253</t>
  </si>
  <si>
    <t>-659.548762690679 94.4814632751859 -524.071759556589</t>
  </si>
  <si>
    <t>-638.493659487169 244.200297402969 -485.641979716638</t>
  </si>
  <si>
    <t>-555.308267475537 224.477352386525 -216.81159007955</t>
  </si>
  <si>
    <t>-359.7144274625 101.947385186034 -242.849837361598</t>
  </si>
  <si>
    <t>-654.90700283572 32.2679012373437 -530.555304504989</t>
  </si>
  <si>
    <t>-599.380276906448 141.684436948823 -96.6454531153347</t>
  </si>
  <si>
    <t>-626.877714105108 147.325133853194 317.980517239207</t>
  </si>
  <si>
    <t>-669.07649706323 181.501910944712 777.889979797596</t>
  </si>
  <si>
    <t>-518.916150338218 182.399056826717 835.63855090363</t>
  </si>
  <si>
    <t>-598.259475171913 -62.9034020093907 323.292081965972</t>
  </si>
  <si>
    <t>-654.163184233172 -102.937777236252 781.371870533236</t>
  </si>
  <si>
    <t>-500.46383795936 -119.979602602266 825.755565247077</t>
  </si>
  <si>
    <t>9763-20170724T115459.959020000.bin</t>
  </si>
  <si>
    <t>-593.797782665412 48.6659992373488 -92.5165408135734</t>
  </si>
  <si>
    <t>-613.346206951362 44.5579948108152 -201.41325646221</t>
  </si>
  <si>
    <t>-626.545347635915 46.6742894203323 -293.321593630542</t>
  </si>
  <si>
    <t>-638.117054025832 50.7620809462762 -376.312580472613</t>
  </si>
  <si>
    <t>-648.778843737018 57.06900935111 -459.286537365983</t>
  </si>
  <si>
    <t>-663.374197901036 68.7236668163973 -580.514014644854</t>
  </si>
  <si>
    <t>-655.329765463358 81.3214722263756 -657.43471539487</t>
  </si>
  <si>
    <t>-659.306056073252 94.7123202530497 -524.048977345088</t>
  </si>
  <si>
    <t>-638.41292280493 244.425908309726 -485.488907205175</t>
  </si>
  <si>
    <t>-554.552302200341 224.375648345899 -216.892703341764</t>
  </si>
  <si>
    <t>-358.829018956083 102.100383519238 -243.154531116526</t>
  </si>
  <si>
    <t>-654.633671692505 32.5072695961301 -530.591958403527</t>
  </si>
  <si>
    <t>-599.233338606124 141.683726687018 -96.660589019589</t>
  </si>
  <si>
    <t>-626.861060881157 147.328559886517 317.956637277074</t>
  </si>
  <si>
    <t>-669.102434974346 181.428675799597 777.867252646492</t>
  </si>
  <si>
    <t>-518.948262306342 182.381906034185 835.630908986301</t>
  </si>
  <si>
    <t>-598.230930801573 -62.9380088824535 323.286125779989</t>
  </si>
  <si>
    <t>-654.170011473185 -102.920009742431 781.367124102041</t>
  </si>
  <si>
    <t>-500.48696747999 -120.21054308803 825.71113040001</t>
  </si>
  <si>
    <t>9763-20170724T115500.029215500.bin</t>
  </si>
  <si>
    <t>-593.536861543599 48.5604281722979 -92.5293120606406</t>
  </si>
  <si>
    <t>-613.035970173285 44.4379700451441 -201.434240218689</t>
  </si>
  <si>
    <t>-626.226839333384 46.6237890360644 -293.342120034872</t>
  </si>
  <si>
    <t>-637.805294903212 50.806727386017 -376.327496374661</t>
  </si>
  <si>
    <t>-648.488799350048 57.2412200366725 -459.288902524532</t>
  </si>
  <si>
    <t>-663.132694636654 69.1183436108304 -580.488836167943</t>
  </si>
  <si>
    <t>-655.005273926934 81.8526883799402 -657.378382526034</t>
  </si>
  <si>
    <t>-659.083290087678 94.999544699687 -523.973236883951</t>
  </si>
  <si>
    <t>-638.611913137945 244.704689939876 -485.176586803219</t>
  </si>
  <si>
    <t>-553.408621250006 224.159897845594 -217.040783557824</t>
  </si>
  <si>
    <t>-357.348937182235 102.543405201208 -243.846785670252</t>
  </si>
  <si>
    <t>-654.330866962771 32.8139029169815 -530.641425304458</t>
  </si>
  <si>
    <t>-598.973037092006 141.567556164571 -96.6904906750461</t>
  </si>
  <si>
    <t>-626.712476936411 147.228276187934 317.919071901843</t>
  </si>
  <si>
    <t>-669.123723487262 181.407873807967 777.8060850428</t>
  </si>
  <si>
    <t>-518.984622175233 182.471645213121 835.606915610718</t>
  </si>
  <si>
    <t>-598.148634430603 -63.1081004942168 323.264065850871</t>
  </si>
  <si>
    <t>-654.151435577712 -102.917086973317 781.363425497239</t>
  </si>
  <si>
    <t>-500.463281735358 -120.216230896228 825.686242107557</t>
  </si>
  <si>
    <t>9763-20170724T115500.059987700.bin</t>
  </si>
  <si>
    <t>-593.437470553719 48.4561145311438 -92.5434951578077</t>
  </si>
  <si>
    <t>-612.930510984212 44.3399714265065 -201.449705876088</t>
  </si>
  <si>
    <t>-626.1224718269 46.5655014086979 -293.356439899346</t>
  </si>
  <si>
    <t>-637.704907153498 50.7978527275495 -376.33885147787</t>
  </si>
  <si>
    <t>-648.395578970606 57.2957859137246 -459.294469398224</t>
  </si>
  <si>
    <t>-663.053914408816 69.2807491477893 -580.481991512962</t>
  </si>
  <si>
    <t>-654.891961153209 82.0825954587922 -657.35655393606</t>
  </si>
  <si>
    <t>-659.017806318381 95.1098129949833 -523.94156259368</t>
  </si>
  <si>
    <t>-638.7608191647 244.819953298775 -485.02574738238</t>
  </si>
  <si>
    <t>-552.899238087966 223.985513361361 -217.122136100971</t>
  </si>
  <si>
    <t>-356.613977413494 102.805656477833 -244.252865645057</t>
  </si>
  <si>
    <t>-654.226182718812 32.9336811700971 -530.670244253545</t>
  </si>
  <si>
    <t>-598.884267064276 141.488457476205 -96.6995422310911</t>
  </si>
  <si>
    <t>-626.630958948344 147.150917052464 317.909498196756</t>
  </si>
  <si>
    <t>-669.14761691623 181.347543221474 777.78362814742</t>
  </si>
  <si>
    <t>-519.014691910509 182.403769028148 835.600727013498</t>
  </si>
  <si>
    <t>-598.061007701995 -63.1891955711064 323.257485513376</t>
  </si>
  <si>
    <t>-654.129113043969 -102.903773647715 781.364405200989</t>
  </si>
  <si>
    <t>-500.441565159054 -120.184330724186 825.696590458893</t>
  </si>
  <si>
    <t>9763-20170724T115500.132190300.bin</t>
  </si>
  <si>
    <t>-593.297543265793 48.3147810467215 -92.5715697945539</t>
  </si>
  <si>
    <t>-612.773704581236 44.1913937385127 -201.480637087129</t>
  </si>
  <si>
    <t>-625.960310477032 46.4945935416433 -293.386155425822</t>
  </si>
  <si>
    <t>-637.542311615768 50.8301484017175 -376.363282007808</t>
  </si>
  <si>
    <t>-648.237705636597 57.4648577395426 -459.307412191084</t>
  </si>
  <si>
    <t>-662.909120462984 69.6865754735377 -580.469711689315</t>
  </si>
  <si>
    <t>-654.686730054289 82.6317171588553 -657.313840650495</t>
  </si>
  <si>
    <t>-658.915332143993 95.4007899905639 -523.874050743664</t>
  </si>
  <si>
    <t>-639.082856159467 245.098052235657 -484.715097635932</t>
  </si>
  <si>
    <t>-551.759892563846 223.87059188211 -217.315167509726</t>
  </si>
  <si>
    <t>-354.953244244118 103.648508727125 -244.925516453619</t>
  </si>
  <si>
    <t>-654.027551517822 33.2466883535308 -530.735531296426</t>
  </si>
  <si>
    <t>-598.789663350971 141.325582124416 -96.7135946023585</t>
  </si>
  <si>
    <t>-626.58689616321 147.057179409654 317.891125525077</t>
  </si>
  <si>
    <t>-669.182880971167 181.275022579676 777.749907675085</t>
  </si>
  <si>
    <t>-519.057193203859 182.338355701262 835.585504732684</t>
  </si>
  <si>
    <t>-597.974149973112 -63.2881303886554 323.24770211928</t>
  </si>
  <si>
    <t>-654.107995558492 -102.871955148736 781.356308034058</t>
  </si>
  <si>
    <t>-500.408645835651 -120.100554501601 825.66779806103</t>
  </si>
  <si>
    <t>9763-20170724T115500.159280800.bin</t>
  </si>
  <si>
    <t>-593.30931511182 48.2289868674234 -92.5825650500316</t>
  </si>
  <si>
    <t>-612.761095956464 44.1010652579382 -201.495733546241</t>
  </si>
  <si>
    <t>-625.952983650368 46.435164770272 -293.399744576163</t>
  </si>
  <si>
    <t>-637.550686008355 50.8121807682708 -376.372447430099</t>
  </si>
  <si>
    <t>-648.272993132335 57.5022178593638 -459.308801737692</t>
  </si>
  <si>
    <t>-662.996284748146 69.8201538528397 -580.455020794654</t>
  </si>
  <si>
    <t>-654.771022234141 82.8247886977927 -657.288728719961</t>
  </si>
  <si>
    <t>-658.995897008996 95.4879329277974 -523.838663509803</t>
  </si>
  <si>
    <t>-639.328274110527 245.177931164206 -484.544016305534</t>
  </si>
  <si>
    <t>-551.24450399018 223.779631049839 -217.407441314437</t>
  </si>
  <si>
    <t>-354.210216609627 103.956670652137 -245.129078765558</t>
  </si>
  <si>
    <t>-654.075731629329 33.3424746834339 -530.755490742616</t>
  </si>
  <si>
    <t>-598.817158176886 141.206572720044 -96.7292164778571</t>
  </si>
  <si>
    <t>-626.61745188625 146.971396013734 317.874860575348</t>
  </si>
  <si>
    <t>-669.205795898008 181.249336989147 777.739651847991</t>
  </si>
  <si>
    <t>-519.079824134994 182.461201588264 835.571740909556</t>
  </si>
  <si>
    <t>-597.997844646626 -63.3678908954778 323.239480895443</t>
  </si>
  <si>
    <t>-654.098898660403 -102.861777933483 781.348960663311</t>
  </si>
  <si>
    <t>-500.411860953334 -120.215448034118 825.654289480155</t>
  </si>
  <si>
    <t>9763-20170724T115500.229970700.bin</t>
  </si>
  <si>
    <t>-593.354455711013 48.1905984431621 -92.5974003041267</t>
  </si>
  <si>
    <t>-612.786686080805 44.066203353706 -201.514270380312</t>
  </si>
  <si>
    <t>-625.977184969326 46.4553282352945 -293.417107424808</t>
  </si>
  <si>
    <t>-637.580353845961 50.9026228080822 -376.385348043246</t>
  </si>
  <si>
    <t>-648.315227198738 57.6837902529458 -459.31249164427</t>
  </si>
  <si>
    <t>-663.065207811313 70.1577324847201 -580.439471788107</t>
  </si>
  <si>
    <t>-654.833295429375 83.2549472464796 -657.256978438893</t>
  </si>
  <si>
    <t>-659.076895711065 95.7503139331895 -523.788234441183</t>
  </si>
  <si>
    <t>-639.680561369943 245.424181822554 -484.318402857177</t>
  </si>
  <si>
    <t>-550.312546907041 223.517756317396 -217.64999609675</t>
  </si>
  <si>
    <t>-352.852410308679 104.465326535574 -245.659583117972</t>
  </si>
  <si>
    <t>-654.109161679912 33.6183696043165 -530.791847469317</t>
  </si>
  <si>
    <t>-598.84195506119 141.192457226402 -96.7523194735799</t>
  </si>
  <si>
    <t>-626.660425038121 146.988691217127 317.850098634578</t>
  </si>
  <si>
    <t>-669.224201245881 181.298598583039 777.707363472595</t>
  </si>
  <si>
    <t>-519.102605577925 182.219574090638 835.556219638653</t>
  </si>
  <si>
    <t>-598.067181884127 -63.4099252655983 323.214767104854</t>
  </si>
  <si>
    <t>-654.03690963512 -102.833005399847 781.35472125653</t>
  </si>
  <si>
    <t>-500.344051751669 -120.026601114415 825.702279955904</t>
  </si>
  <si>
    <t>9763-20170724T115500.262083900.bin</t>
  </si>
  <si>
    <t>-593.400815167006 48.1480813976311 -92.6057998499103</t>
  </si>
  <si>
    <t>-612.822840281142 44.024179277113 -201.5244436408</t>
  </si>
  <si>
    <t>-626.013712793526 46.4413302036851 -293.426485633609</t>
  </si>
  <si>
    <t>-637.62083881845 50.9251505923833 -376.392302945065</t>
  </si>
  <si>
    <t>-648.363524009084 57.7536208066149 -459.314463650406</t>
  </si>
  <si>
    <t>-663.129077051737 70.3089209120296 -580.431156388809</t>
  </si>
  <si>
    <t>-654.908344168685 83.4507921079032 -657.242153873865</t>
  </si>
  <si>
    <t>-659.140468217544 95.8627982135888 -523.762490100469</t>
  </si>
  <si>
    <t>-639.796853513954 245.523616742254 -484.21059132009</t>
  </si>
  <si>
    <t>-549.759995036127 223.445924807168 -217.781422902716</t>
  </si>
  <si>
    <t>-352.140412322807 104.668860958682 -245.83568166306</t>
  </si>
  <si>
    <t>-654.159669669568 33.7368143023309 -530.809835091232</t>
  </si>
  <si>
    <t>-598.907209949885 141.142710294459 -96.7627535258919</t>
  </si>
  <si>
    <t>-626.710896260434 146.934364533924 317.840725980069</t>
  </si>
  <si>
    <t>-669.252447380954 181.240690347681 777.703013621237</t>
  </si>
  <si>
    <t>-519.132894914844 182.389995574735 835.552932478058</t>
  </si>
  <si>
    <t>-598.082632450064 -63.4210926699941 323.205621842425</t>
  </si>
  <si>
    <t>-654.012530596395 -102.825619284646 781.356506884131</t>
  </si>
  <si>
    <t>-500.357847475252 -120.294762876544 825.728758145893</t>
  </si>
  <si>
    <t>9763-20170724T115500.323747800.bin</t>
  </si>
  <si>
    <t>-593.467118408416 48.1923723685925 -92.5941178015644</t>
  </si>
  <si>
    <t>-612.900559619005 44.0514303315804 -201.510052895856</t>
  </si>
  <si>
    <t>-626.134624714496 46.5056431998389 -293.40489261394</t>
  </si>
  <si>
    <t>-637.794038490607 51.0429422214975 -376.360413900469</t>
  </si>
  <si>
    <t>-648.602115571319 57.9452003206986 -459.268162324029</t>
  </si>
  <si>
    <t>-663.477737367286 70.6296703411265 -580.358015541947</t>
  </si>
  <si>
    <t>-655.314540544237 83.8522074912214 -657.161152214173</t>
  </si>
  <si>
    <t>-659.438231708954 96.1229986274986 -523.665702072608</t>
  </si>
  <si>
    <t>-640.142973409668 245.74834498849 -483.947280530525</t>
  </si>
  <si>
    <t>-548.765341581771 223.441778154415 -217.994095278465</t>
  </si>
  <si>
    <t>-350.856535643643 105.194550935191 -246.247091201993</t>
  </si>
  <si>
    <t>-654.462632386793 34.004747275415 -530.783919230542</t>
  </si>
  <si>
    <t>-599.034176487288 141.120132867465 -96.7644857994518</t>
  </si>
  <si>
    <t>-626.790648155449 146.957537376042 317.841419744214</t>
  </si>
  <si>
    <t>-669.314409293613 181.142476323319 777.711020326329</t>
  </si>
  <si>
    <t>-519.191380086953 182.292101262691 835.552012848895</t>
  </si>
  <si>
    <t>-598.067921897142 -63.3391118283998 323.219784214318</t>
  </si>
  <si>
    <t>-653.976530500634 -102.787647934046 781.355009256202</t>
  </si>
  <si>
    <t>-500.29978546397 -120.058233947594 825.728530354444</t>
  </si>
  <si>
    <t>9763-20170724T115500.361851600.bin</t>
  </si>
  <si>
    <t>-593.514461713151 48.241151609127 -92.5964644846847</t>
  </si>
  <si>
    <t>-612.966345265319 44.0932929006992 -201.508898321168</t>
  </si>
  <si>
    <t>-626.242160857313 46.5631045841703 -293.397284003947</t>
  </si>
  <si>
    <t>-637.949600910484 51.1230004154047 -376.344836626416</t>
  </si>
  <si>
    <t>-648.815932769244 58.0560488046651 -459.242259736815</t>
  </si>
  <si>
    <t>-663.787749754744 70.7945974997406 -580.314554828992</t>
  </si>
  <si>
    <t>-655.663611830245 84.047026954875 -657.116812061297</t>
  </si>
  <si>
    <t>-659.69385579012 96.2634666434699 -523.615114220255</t>
  </si>
  <si>
    <t>-640.390848604736 245.861651329296 -483.80258741816</t>
  </si>
  <si>
    <t>-548.355768808419 223.369115582515 -218.091793180109</t>
  </si>
  <si>
    <t>-350.330631410198 105.370976014798 -246.570095812847</t>
  </si>
  <si>
    <t>-654.742640782111 34.1466659362661 -530.763060033009</t>
  </si>
  <si>
    <t>-599.093908690651 141.179102440005 -96.7730017724997</t>
  </si>
  <si>
    <t>-626.820065757414 146.994404811208 317.835377504192</t>
  </si>
  <si>
    <t>-669.323652383983 181.174678580291 777.709045182859</t>
  </si>
  <si>
    <t>-519.20068549346 182.308170735692 835.550655173089</t>
  </si>
  <si>
    <t>-598.051798709121 -63.2804131749831 323.224568920924</t>
  </si>
  <si>
    <t>-653.950082432592 -102.792780035624 781.354928195401</t>
  </si>
  <si>
    <t>-500.29225363398 -120.185272670963 825.746293661232</t>
  </si>
  <si>
    <t>9763-20170724T115500.433559100.bin</t>
  </si>
  <si>
    <t>-593.64115969572 48.3262864268677 -92.5964982045042</t>
  </si>
  <si>
    <t>-613.152965080052 44.1818320586997 -201.498307559454</t>
  </si>
  <si>
    <t>-626.486768032772 46.681676307976 -293.377580587165</t>
  </si>
  <si>
    <t>-638.249237570824 51.2800597196219 -376.315108504039</t>
  </si>
  <si>
    <t>-649.173200420713 58.2622264848299 -459.200842809549</t>
  </si>
  <si>
    <t>-664.231864483766 71.0842560239894 -580.253569665004</t>
  </si>
  <si>
    <t>-656.149529327352 84.3767375400457 -657.053389065609</t>
  </si>
  <si>
    <t>-660.072880564718 96.5162480894121 -523.542307644575</t>
  </si>
  <si>
    <t>-640.684976904626 246.079075109468 -483.641592300606</t>
  </si>
  <si>
    <t>-547.52072374473 223.402287143134 -218.340241426724</t>
  </si>
  <si>
    <t>-349.210634562323 105.989387668564 -247.251361777585</t>
  </si>
  <si>
    <t>-655.175660713539 34.3998281288623 -530.731017252101</t>
  </si>
  <si>
    <t>-599.206813226209 141.24898702913 -96.7649590401734</t>
  </si>
  <si>
    <t>-626.867945564814 146.988111754703 317.8487502902</t>
  </si>
  <si>
    <t>-669.369225234124 181.135961187233 777.717737663986</t>
  </si>
  <si>
    <t>-519.241481897372 182.346382124363 835.545307998677</t>
  </si>
  <si>
    <t>-598.020474692785 -63.1257024616768 323.233687295187</t>
  </si>
  <si>
    <t>-653.915455162181 -102.742662395319 781.350501670499</t>
  </si>
  <si>
    <t>-500.229243533454 -119.89163676321 825.738412715016</t>
  </si>
  <si>
    <t>9763-20170724T115500.462140500.bin</t>
  </si>
  <si>
    <t>-593.722421243926 48.3893616607445 -92.585362946934</t>
  </si>
  <si>
    <t>-613.265506077482 44.2531759865731 -201.481821565181</t>
  </si>
  <si>
    <t>-626.628066335114 46.7601246081476 -293.356842102353</t>
  </si>
  <si>
    <t>-638.417299953685 51.3647679022924 -376.290166561028</t>
  </si>
  <si>
    <t>-649.368529625723 58.3529574222657 -459.171796233648</t>
  </si>
  <si>
    <t>-664.467337122293 71.1838543312315 -580.218571784927</t>
  </si>
  <si>
    <t>-656.404500729116 84.4797496588758 -657.019748087645</t>
  </si>
  <si>
    <t>-660.273644822129 96.6131979472068 -523.508702269157</t>
  </si>
  <si>
    <t>-640.888417220938 246.17214273127 -483.577497715702</t>
  </si>
  <si>
    <t>-547.097493642924 223.445642471174 -218.501361932247</t>
  </si>
  <si>
    <t>-348.629473634784 106.326940033399 -247.521828072634</t>
  </si>
  <si>
    <t>-655.410508866772 34.494525460628 -530.699831346554</t>
  </si>
  <si>
    <t>-599.298682528179 141.290885536524 -96.7570292196341</t>
  </si>
  <si>
    <t>-626.897533402266 147.015859784582 317.861019434944</t>
  </si>
  <si>
    <t>-669.395338048503 181.104329864479 777.729120430254</t>
  </si>
  <si>
    <t>-519.265442337228 182.180430728898 835.55375881976</t>
  </si>
  <si>
    <t>-597.987935465831 -63.026616123225 323.239172783701</t>
  </si>
  <si>
    <t>-653.899103768734 -102.729584048134 781.345319427795</t>
  </si>
  <si>
    <t>-500.229566554623 -120.001009610088 825.743438385554</t>
  </si>
  <si>
    <t>9763-20170724T115500.526316500.bin</t>
  </si>
  <si>
    <t>-593.890782707618 48.6389534660982 -92.5453754653489</t>
  </si>
  <si>
    <t>-613.532821354546 44.5241450027359 -201.424969604922</t>
  </si>
  <si>
    <t>-626.974429364455 47.0579066719711 -293.287497184889</t>
  </si>
  <si>
    <t>-638.832781709536 51.6905930023142 -376.209560925966</t>
  </si>
  <si>
    <t>-649.850661638286 58.710306350353 -459.079734565767</t>
  </si>
  <si>
    <t>-665.04398307102 71.5908272445104 -580.109268533148</t>
  </si>
  <si>
    <t>-657.025316772899 84.8956963224964 -656.913641195222</t>
  </si>
  <si>
    <t>-660.788667087634 96.9984685622726 -523.394424718011</t>
  </si>
  <si>
    <t>-641.356724031082 246.513584993534 -483.356629695183</t>
  </si>
  <si>
    <t>-546.349849768916 223.806695519889 -218.712119250472</t>
  </si>
  <si>
    <t>-347.530871688581 107.369714414081 -248.071586837936</t>
  </si>
  <si>
    <t>-655.965907942867 34.8795000875709 -530.61077119653</t>
  </si>
  <si>
    <t>-599.488724625524 141.498910177209 -96.7084272719343</t>
  </si>
  <si>
    <t>-626.946095265194 147.190887436128 317.919472984682</t>
  </si>
  <si>
    <t>-669.408776781371 181.193686503404 777.775189089729</t>
  </si>
  <si>
    <t>-519.269545060747 182.064342727516 835.578992204938</t>
  </si>
  <si>
    <t>-597.885376421475 -62.6489567853441 323.269621749561</t>
  </si>
  <si>
    <t>-653.854065547776 -102.666223348662 781.341320729282</t>
  </si>
  <si>
    <t>-500.162207738918 -119.683213578322 825.760496634891</t>
  </si>
  <si>
    <t>9763-20170724T115500.558104900.bin</t>
  </si>
  <si>
    <t>-594.001042504158 48.7756148418168 -92.5244546668869</t>
  </si>
  <si>
    <t>-613.694276089953 44.6698574933346 -201.395027835431</t>
  </si>
  <si>
    <t>-627.177515130503 47.2129311180433 -293.25144080305</t>
  </si>
  <si>
    <t>-639.072878361297 51.8545796689109 -376.16754283329</t>
  </si>
  <si>
    <t>-650.127053360723 58.8839255186906 -459.032040499965</t>
  </si>
  <si>
    <t>-665.372566875554 71.7793613864251 -580.053517071497</t>
  </si>
  <si>
    <t>-657.386579878557 85.0922753789332 -656.859876579739</t>
  </si>
  <si>
    <t>-661.088103369292 97.1804697934554 -523.337821724044</t>
  </si>
  <si>
    <t>-641.723733076193 246.713540173981 -483.302135815177</t>
  </si>
  <si>
    <t>-546.135859100149 224.026546808613 -218.865227639885</t>
  </si>
  <si>
    <t>-347.085349150258 108.01369572416 -248.334530980564</t>
  </si>
  <si>
    <t>-656.277794321805 35.0615606670431 -530.562898201059</t>
  </si>
  <si>
    <t>-599.626297941043 141.554428402782 -96.6782788585211</t>
  </si>
  <si>
    <t>-627.000523426823 147.203240462875 317.955772724016</t>
  </si>
  <si>
    <t>-669.453387217752 181.080728466997 777.817748146426</t>
  </si>
  <si>
    <t>-519.306502778063 182.18986369417 835.597547245862</t>
  </si>
  <si>
    <t>-597.860405283018 -62.4221593675329 323.291069875227</t>
  </si>
  <si>
    <t>-653.844093695524 -102.669001396992 781.335045593233</t>
  </si>
  <si>
    <t>-500.158034859352 -119.731693911542 825.756692907564</t>
  </si>
  <si>
    <t>9763-20170724T115500.625301400.bin</t>
  </si>
  <si>
    <t>-594.238154867078 49.0357209244924 -92.5128057343904</t>
  </si>
  <si>
    <t>-613.998642274154 44.9359581300732 -201.371461825936</t>
  </si>
  <si>
    <t>-627.505232168763 47.4924285937202 -293.223842649631</t>
  </si>
  <si>
    <t>-639.408051185785 52.1499661710573 -376.13811714386</t>
  </si>
  <si>
    <t>-650.455985143694 59.1987637963246 -459.001841574818</t>
  </si>
  <si>
    <t>-665.677203752765 72.1263916768241 -580.022998050033</t>
  </si>
  <si>
    <t>-657.723959772879 85.4773502601743 -656.82608765952</t>
  </si>
  <si>
    <t>-661.392594488951 97.5135372546947 -523.30110223663</t>
  </si>
  <si>
    <t>-642.09789757725 247.033479106986 -483.193995459543</t>
  </si>
  <si>
    <t>-545.655256796795 224.597563802571 -219.046365865866</t>
  </si>
  <si>
    <t>-346.1956656351 109.224236573561 -248.25942743108</t>
  </si>
  <si>
    <t>-656.603902889009 35.3943221106829 -530.538977984544</t>
  </si>
  <si>
    <t>-599.893260479461 141.724876902628 -96.6344412129492</t>
  </si>
  <si>
    <t>-627.172576614165 147.327075328299 318.006412258501</t>
  </si>
  <si>
    <t>-669.490926886971 181.085556056574 777.898184141262</t>
  </si>
  <si>
    <t>-519.330455547474 182.070468433002 835.644921408498</t>
  </si>
  <si>
    <t>-597.907792856756 -62.0663546818448 323.314035211954</t>
  </si>
  <si>
    <t>-653.851664082733 -102.65235077491 781.321158262535</t>
  </si>
  <si>
    <t>-500.178415474647 -119.943282743693 825.698810932609</t>
  </si>
  <si>
    <t>9763-20170724T115500.659940400.bin</t>
  </si>
  <si>
    <t>-594.34915792965 49.1324087472872 -92.497847447851</t>
  </si>
  <si>
    <t>-614.099161810944 45.0289786551305 -201.358368688002</t>
  </si>
  <si>
    <t>-627.593718132694 47.5829812889513 -293.212575923288</t>
  </si>
  <si>
    <t>-639.484136731385 52.2383241523382 -376.128696314957</t>
  </si>
  <si>
    <t>-650.517701705482 59.2853579897778 -458.994468130927</t>
  </si>
  <si>
    <t>-665.71587915066 72.2100249308417 -580.018801061614</t>
  </si>
  <si>
    <t>-657.779483317968 85.5656696735796 -656.822760347327</t>
  </si>
  <si>
    <t>-661.429319909902 97.5996130343979 -523.298010461947</t>
  </si>
  <si>
    <t>-642.117799654402 247.114854731154 -483.183312836523</t>
  </si>
  <si>
    <t>-545.400996545706 224.690239374899 -219.134853437714</t>
  </si>
  <si>
    <t>-345.744956061873 109.600722792608 -248.124676424423</t>
  </si>
  <si>
    <t>-656.664809180808 35.4779111827706 -530.530582042583</t>
  </si>
  <si>
    <t>-600.010605082469 141.770709235419 -96.6233347230262</t>
  </si>
  <si>
    <t>-627.262849475556 147.360277514345 318.019508019349</t>
  </si>
  <si>
    <t>-669.513852811123 181.075742592231 777.930526083815</t>
  </si>
  <si>
    <t>-519.348058421545 182.114601817216 835.662469369756</t>
  </si>
  <si>
    <t>-597.995307181188 -61.9545335968651 323.315279738691</t>
  </si>
  <si>
    <t>-653.851173667664 -102.596824989929 781.314440193652</t>
  </si>
  <si>
    <t>-500.114310695339 -119.412856506984 825.654252782531</t>
  </si>
  <si>
    <t>9763-20170724T115500.726126600.bin</t>
  </si>
  <si>
    <t>-594.477305058116 49.1949342759178 -92.4901920810971</t>
  </si>
  <si>
    <t>-614.252282547673 45.1018209021086 -201.346488191157</t>
  </si>
  <si>
    <t>-627.786332979196 47.6511135340202 -293.195168444615</t>
  </si>
  <si>
    <t>-639.719973342482 52.2972514631902 -376.105521869751</t>
  </si>
  <si>
    <t>-650.80463548403 59.3296290200954 -458.965729359509</t>
  </si>
  <si>
    <t>-666.086148807562 72.2274466493932 -579.982462898972</t>
  </si>
  <si>
    <t>-658.212364604767 85.5628864687446 -656.796447972996</t>
  </si>
  <si>
    <t>-661.764518131233 97.6293224440362 -523.269917715538</t>
  </si>
  <si>
    <t>-642.392057724666 247.106491575481 -483.033383627657</t>
  </si>
  <si>
    <t>-545.183225638272 224.752210793371 -219.159737121278</t>
  </si>
  <si>
    <t>-345.159645574761 110.199151693256 -247.73784605043</t>
  </si>
  <si>
    <t>-656.996960836545 35.5067991642711 -530.492923386296</t>
  </si>
  <si>
    <t>-600.157502815862 141.847229343713 -96.6140218094816</t>
  </si>
  <si>
    <t>-627.413931525253 147.398818014699 318.029039041146</t>
  </si>
  <si>
    <t>-669.537237472554 181.081254622292 777.967580444766</t>
  </si>
  <si>
    <t>-519.371215708291 182.105902534345 835.699261354769</t>
  </si>
  <si>
    <t>-598.108346640885 -61.9356175134947 323.310276243632</t>
  </si>
  <si>
    <t>-653.840244218766 -102.614754583801 781.312701456783</t>
  </si>
  <si>
    <t>-500.152500279636 -119.884165091999 825.648502276195</t>
  </si>
  <si>
    <t>9763-20170724T115500.764224500.bin</t>
  </si>
  <si>
    <t>-594.504596163786 49.1863259184361 -92.4932435632395</t>
  </si>
  <si>
    <t>-614.302908424046 45.0890439993138 -201.345140372182</t>
  </si>
  <si>
    <t>-627.864601072295 47.6261231574836 -293.189990775933</t>
  </si>
  <si>
    <t>-639.82690279823 52.2575246780652 -376.097150236429</t>
  </si>
  <si>
    <t>-650.944162834187 59.2717336533715 -458.954431147097</t>
  </si>
  <si>
    <t>-666.277769429737 72.139578111472 -579.967757439245</t>
  </si>
  <si>
    <t>-658.444634318249 85.4547838132423 -656.789358304268</t>
  </si>
  <si>
    <t>-661.945796926057 97.5540935797601 -523.261746882818</t>
  </si>
  <si>
    <t>-642.599017667596 247.016431669395 -482.955409743395</t>
  </si>
  <si>
    <t>-545.236984678509 224.747040669578 -219.130974759285</t>
  </si>
  <si>
    <t>-345.05301416663 110.462042704719 -247.659041881665</t>
  </si>
  <si>
    <t>-657.153249876677 35.4324431211764 -530.474650760708</t>
  </si>
  <si>
    <t>-600.157091670932 141.899240371585 -96.6199487638332</t>
  </si>
  <si>
    <t>-627.400350918556 147.441501981023 318.024101418901</t>
  </si>
  <si>
    <t>-669.533732920094 181.143180735444 777.969092398875</t>
  </si>
  <si>
    <t>-519.37248431639 181.869293472651 835.717676036839</t>
  </si>
  <si>
    <t>-598.157539186241 -61.9839842371421 323.300041416851</t>
  </si>
  <si>
    <t>-653.827937878814 -102.615948481575 781.316874745589</t>
  </si>
  <si>
    <t>-500.150340146485 -119.976614000597 825.652256759947</t>
  </si>
  <si>
    <t>9763-20170724T115500.828899400.bin</t>
  </si>
  <si>
    <t>-594.549819669427 49.0441802979424 -92.5079866015824</t>
  </si>
  <si>
    <t>-614.409466256598 44.9280962225932 -201.347995466999</t>
  </si>
  <si>
    <t>-628.036453529749 47.423099415156 -293.184405538992</t>
  </si>
  <si>
    <t>-640.063373543828 52.0056721721808 -376.084816167306</t>
  </si>
  <si>
    <t>-651.251320995934 58.9606640519874 -458.937692739986</t>
  </si>
  <si>
    <t>-666.69512086651 71.7304943887818 -579.947341669569</t>
  </si>
  <si>
    <t>-658.953366736476 85.0107527199673 -656.784200937414</t>
  </si>
  <si>
    <t>-662.346209405107 97.1876924508797 -523.261780877012</t>
  </si>
  <si>
    <t>-642.845445296755 246.568067880572 -482.723869091861</t>
  </si>
  <si>
    <t>-545.644045410523 224.607273676909 -218.814483913477</t>
  </si>
  <si>
    <t>-345.227420622259 110.756175815635 -247.443867474557</t>
  </si>
  <si>
    <t>-657.490881539889 35.0665299253258 -530.436937144708</t>
  </si>
  <si>
    <t>-600.261674596369 141.817637564207 -96.6350730698288</t>
  </si>
  <si>
    <t>-627.405052354397 147.337926681952 318.015858986457</t>
  </si>
  <si>
    <t>-669.549919867029 181.12561195402 777.956372068516</t>
  </si>
  <si>
    <t>-519.399208600073 182.049755882651 835.729459827266</t>
  </si>
  <si>
    <t>-598.124065447357 -62.1201420260447 323.286617575608</t>
  </si>
  <si>
    <t>-653.790680508288 -102.587083923898 781.324176910289</t>
  </si>
  <si>
    <t>-500.098202045926 -119.771355970817 825.676641410479</t>
  </si>
  <si>
    <t>9763-20170724T115500.864503800.bin</t>
  </si>
  <si>
    <t>-594.562711200428 48.9753683869947 -92.5161805969817</t>
  </si>
  <si>
    <t>-614.44530163177 44.8474931506771 -201.351617736364</t>
  </si>
  <si>
    <t>-628.100907566424 47.3236969513273 -293.184125243623</t>
  </si>
  <si>
    <t>-640.157238700188 51.8852535083092 -376.081528948848</t>
  </si>
  <si>
    <t>-651.378152878506 58.8152898336034 -458.932033456518</t>
  </si>
  <si>
    <t>-666.873881761961 71.5446184359632 -579.939367845707</t>
  </si>
  <si>
    <t>-659.183065384172 84.8141941861286 -656.783227842682</t>
  </si>
  <si>
    <t>-662.518997171264 97.0192568504967 -523.261894577247</t>
  </si>
  <si>
    <t>-642.802511788776 246.316945706256 -482.535111842422</t>
  </si>
  <si>
    <t>-545.993985794084 224.504503194467 -218.469125059251</t>
  </si>
  <si>
    <t>-345.582597092115 110.717140936907 -247.386885127477</t>
  </si>
  <si>
    <t>-657.629947915318 34.8990840209083 -530.422736307362</t>
  </si>
  <si>
    <t>-600.334677682744 141.78348019852 -96.6401188044559</t>
  </si>
  <si>
    <t>-627.465411087532 147.285301021547 318.011799727873</t>
  </si>
  <si>
    <t>-669.550322273829 181.156818737209 777.953173043708</t>
  </si>
  <si>
    <t>-519.404694481357 182.038122022817 835.740210197559</t>
  </si>
  <si>
    <t>-598.069173587669 -62.1995801208052 323.287982769851</t>
  </si>
  <si>
    <t>-653.764549362264 -102.586400659602 781.327515847555</t>
  </si>
  <si>
    <t>-500.064346077635 -119.653366192444 825.698614049708</t>
  </si>
  <si>
    <t>9763-20170724T115500.928171700.bin</t>
  </si>
  <si>
    <t>-594.649489749727 48.8436913311357 -92.5275278990272</t>
  </si>
  <si>
    <t>-614.534842966809 44.6676906194464 -201.360471839257</t>
  </si>
  <si>
    <t>-628.230033850178 47.0974059925218 -293.188506366749</t>
  </si>
  <si>
    <t>-640.336665763332 51.6125924856151 -376.08106554405</t>
  </si>
  <si>
    <t>-651.622141429544 58.4929477613343 -458.926879477802</t>
  </si>
  <si>
    <t>-667.227885103102 71.1455594738993 -579.928130305704</t>
  </si>
  <si>
    <t>-659.649051558352 84.4041712870769 -656.785037234564</t>
  </si>
  <si>
    <t>-662.867018753621 96.6517928855408 -523.265443829231</t>
  </si>
  <si>
    <t>-642.879386026201 245.814322509867 -482.19442055573</t>
  </si>
  <si>
    <t>-546.987726102562 224.502041789492 -217.753181261334</t>
  </si>
  <si>
    <t>-346.948675576293 110.244602188868 -247.386506566223</t>
  </si>
  <si>
    <t>-657.893445423798 34.5355327261423 -530.402210339536</t>
  </si>
  <si>
    <t>-600.612013271954 141.619911296228 -96.6586296695789</t>
  </si>
  <si>
    <t>-627.686557336236 147.164605207437 317.99644898987</t>
  </si>
  <si>
    <t>-669.608873841768 180.987247541005 777.959526586509</t>
  </si>
  <si>
    <t>-519.473229858879 182.135069391659 835.767763418599</t>
  </si>
  <si>
    <t>-598.017262781047 -62.3249201714484 323.284341458339</t>
  </si>
  <si>
    <t>-653.710023076306 -102.586991034235 781.337415458209</t>
  </si>
  <si>
    <t>-500.052149514649 -119.848600188038 825.779771549475</t>
  </si>
  <si>
    <t>9763-20170724T115500.959279200.bin</t>
  </si>
  <si>
    <t>-594.714551581811 48.8696727163524 -92.5264996461162</t>
  </si>
  <si>
    <t>-614.609718800458 44.6727118921226 -201.357000623179</t>
  </si>
  <si>
    <t>-628.319026715198 47.0819478172868 -293.183308831178</t>
  </si>
  <si>
    <t>-640.440586957215 51.5766151126768 -376.074845456815</t>
  </si>
  <si>
    <t>-651.743213332962 58.4347976089286 -458.920129721631</t>
  </si>
  <si>
    <t>-667.376229178311 71.053685379371 -579.921437033865</t>
  </si>
  <si>
    <t>-659.844533867733 84.3116526526198 -656.783034521654</t>
  </si>
  <si>
    <t>-663.028255351617 96.5733542425633 -523.263759658379</t>
  </si>
  <si>
    <t>-643.026751414166 245.710591695261 -482.121127663664</t>
  </si>
  <si>
    <t>-547.71677220747 224.520526173714 -217.459848003655</t>
  </si>
  <si>
    <t>-347.977615597086 109.865180075871 -247.575511603678</t>
  </si>
  <si>
    <t>-658.004969975986 34.4598436735334 -530.390356600724</t>
  </si>
  <si>
    <t>-600.791468303448 141.642419491578 -96.6624386712296</t>
  </si>
  <si>
    <t>-627.792549501354 147.191071051833 317.997368358825</t>
  </si>
  <si>
    <t>-669.609624313958 181.007865452538 777.963814546376</t>
  </si>
  <si>
    <t>-519.479879738167 182.148288181492 835.787556156582</t>
  </si>
  <si>
    <t>-597.987380163804 -62.3058610119185 323.287658165316</t>
  </si>
  <si>
    <t>-653.683606859893 -102.569676877677 781.341705339368</t>
  </si>
  <si>
    <t>-500.005349675519 -119.581332517858 825.809949810687</t>
  </si>
  <si>
    <t>9763-20170724T115501.025456600.bin</t>
  </si>
  <si>
    <t>-594.96316478344 48.9222781113476 -92.5372406006719</t>
  </si>
  <si>
    <t>-614.903859529824 44.681289741967 -201.357561782368</t>
  </si>
  <si>
    <t>-628.665286583047 47.0780125428901 -293.176611736901</t>
  </si>
  <si>
    <t>-640.839832172611 51.5697325105182 -376.060482457974</t>
  </si>
  <si>
    <t>-652.201777517423 58.4345105506111 -458.897135019067</t>
  </si>
  <si>
    <t>-667.928835566388 71.0731096243744 -579.884152431144</t>
  </si>
  <si>
    <t>-660.493888686897 84.3666373416793 -656.749102093529</t>
  </si>
  <si>
    <t>-663.604432247263 96.5771202917713 -523.217571779621</t>
  </si>
  <si>
    <t>-643.560194471174 245.664025796412 -481.896086718265</t>
  </si>
  <si>
    <t>-549.120145780696 224.52268388735 -216.919328526066</t>
  </si>
  <si>
    <t>-349.594461210781 109.833697176901 -248.295807340372</t>
  </si>
  <si>
    <t>-658.451455049581 34.4776451468413 -530.374578973433</t>
  </si>
  <si>
    <t>-601.195977616243 141.7751040894 -96.6928404689573</t>
  </si>
  <si>
    <t>-627.916162409027 147.255039102793 317.986075265623</t>
  </si>
  <si>
    <t>-669.61133112701 181.051462112705 777.979953439898</t>
  </si>
  <si>
    <t>-519.490770021893 181.960234241706 835.831642654045</t>
  </si>
  <si>
    <t>-597.972288478716 -62.3224580984615 323.286314184342</t>
  </si>
  <si>
    <t>-653.624404110199 -102.56392302543 781.350339762241</t>
  </si>
  <si>
    <t>-500.006014305792 -119.904061290451 825.898487302298</t>
  </si>
  <si>
    <t>9763-20170724T115501.059048300.bin</t>
  </si>
  <si>
    <t>-595.14724530489 48.9325371391626 -92.5443765629774</t>
  </si>
  <si>
    <t>-615.127454112305 44.6834728958886 -201.357255179958</t>
  </si>
  <si>
    <t>-628.92979171723 47.0778389447 -293.170053019737</t>
  </si>
  <si>
    <t>-641.144919468376 51.5686190628342 -376.048084234014</t>
  </si>
  <si>
    <t>-652.551586798866 58.4340771147931 -458.878425633512</t>
  </si>
  <si>
    <t>-668.34886366672 71.0757674537815 -579.855978383461</t>
  </si>
  <si>
    <t>-660.946854858914 84.3938215192782 -656.719887125622</t>
  </si>
  <si>
    <t>-664.032186344746 96.5742655216554 -523.186427387406</t>
  </si>
  <si>
    <t>-644.013517012494 245.647617415742 -481.808736506229</t>
  </si>
  <si>
    <t>-549.756601191703 224.533738946968 -216.764670336859</t>
  </si>
  <si>
    <t>-350.282041364274 109.87047999457 -248.557117273899</t>
  </si>
  <si>
    <t>-658.802129406788 34.4831298014492 -530.35781655101</t>
  </si>
  <si>
    <t>-601.45144479457 141.777514335194 -96.6927696956402</t>
  </si>
  <si>
    <t>-628.019584126331 147.262205679653 317.99580645441</t>
  </si>
  <si>
    <t>-669.621989982532 181.033245643895 777.995554511126</t>
  </si>
  <si>
    <t>-519.503924926405 182.049630366004 835.851920207394</t>
  </si>
  <si>
    <t>-597.990382059211 -62.2870915465699 323.285594318713</t>
  </si>
  <si>
    <t>-653.602647799595 -102.536974270724 781.354121999889</t>
  </si>
  <si>
    <t>-499.982438479798 -119.804302833837 825.924181297108</t>
  </si>
  <si>
    <t>9763-20170724T115501.126733900.bin</t>
  </si>
  <si>
    <t>-595.582442650466 48.9661932069021 -92.5445308661931</t>
  </si>
  <si>
    <t>-615.63843863321 44.7117150478587 -201.343144096929</t>
  </si>
  <si>
    <t>-629.532267675574 47.1017150899706 -293.142253016836</t>
  </si>
  <si>
    <t>-641.841830466938 51.5875967140482 -376.006601636436</t>
  </si>
  <si>
    <t>-653.355303619298 58.4482598179395 -458.822708522122</t>
  </si>
  <si>
    <t>-669.322853684847 71.0827447846759 -579.778618598451</t>
  </si>
  <si>
    <t>-661.975110654819 84.4359432737849 -656.641611293926</t>
  </si>
  <si>
    <t>-664.987911244227 96.5786480528282 -523.109275942636</t>
  </si>
  <si>
    <t>-645.036143152181 245.658931402433 -481.72269661474</t>
  </si>
  <si>
    <t>-550.815521323618 224.649971455518 -216.657320021449</t>
  </si>
  <si>
    <t>-351.156614632009 110.497718462047 -249.124796100515</t>
  </si>
  <si>
    <t>-659.644912066507 34.4991344372472 -530.299190504731</t>
  </si>
  <si>
    <t>-601.977635460197 141.812969906088 -96.6771426466922</t>
  </si>
  <si>
    <t>-628.202410880568 147.331064226446 318.032952982905</t>
  </si>
  <si>
    <t>-669.633369964235 181.07150791157 778.043592736548</t>
  </si>
  <si>
    <t>-519.511013406339 182.066892858857 835.889090006706</t>
  </si>
  <si>
    <t>-598.099404093 -62.1854571090214 323.280141643621</t>
  </si>
  <si>
    <t>-653.560230260416 -102.501788971608 781.352590325406</t>
  </si>
  <si>
    <t>-499.944825276516 -119.682554105807 825.972646559019</t>
  </si>
  <si>
    <t>9763-20170724T115501.158319200.bin</t>
  </si>
  <si>
    <t>-595.839078214605 48.9753067749932 -92.5410396558516</t>
  </si>
  <si>
    <t>-615.931715715149 44.7223187930838 -201.333032948687</t>
  </si>
  <si>
    <t>-629.870786021923 47.1197942404508 -293.125245365698</t>
  </si>
  <si>
    <t>-642.227058240884 51.6143704710994 -375.982065038741</t>
  </si>
  <si>
    <t>-653.793127249674 58.4858735367793 -458.789878758519</t>
  </si>
  <si>
    <t>-669.843997484013 71.1387705765931 -579.73281932135</t>
  </si>
  <si>
    <t>-662.520181564039 84.4954044114738 -656.597503431861</t>
  </si>
  <si>
    <t>-665.481764617319 96.6247929822548 -523.061134518022</t>
  </si>
  <si>
    <t>-645.433517932746 245.693914417106 -481.6566387449</t>
  </si>
  <si>
    <t>-551.181165811075 224.671219169697 -216.603520606632</t>
  </si>
  <si>
    <t>-351.329859011734 110.941391518855 -249.368071172624</t>
  </si>
  <si>
    <t>-660.120288930148 34.5486956769291 -530.267050739669</t>
  </si>
  <si>
    <t>-602.2676407303 141.82647535029 -96.6730202655828</t>
  </si>
  <si>
    <t>-628.349104250962 147.35976381599 318.045747601841</t>
  </si>
  <si>
    <t>-669.659386220546 181.01353486456 778.070994741799</t>
  </si>
  <si>
    <t>-519.531119902067 182.128821025676 835.899074716122</t>
  </si>
  <si>
    <t>-598.185218105083 -62.1385776698642 323.277597245608</t>
  </si>
  <si>
    <t>-653.53940845059 -102.494523604855 781.353678476311</t>
  </si>
  <si>
    <t>-499.92907136535 -119.656635335494 825.998450107468</t>
  </si>
  <si>
    <t>9763-20170724T115501.225501300.bin</t>
  </si>
  <si>
    <t>-596.374575288512 48.9395155419368 -92.5585973906882</t>
  </si>
  <si>
    <t>-616.544943830221 44.7068774496336 -201.337008506255</t>
  </si>
  <si>
    <t>-630.551902517121 47.0968511460044 -293.118968187761</t>
  </si>
  <si>
    <t>-642.970416304798 51.5749380933801 -375.967345750781</t>
  </si>
  <si>
    <t>-654.599540760757 58.420446594972 -458.768656137602</t>
  </si>
  <si>
    <t>-670.743623685602 71.0244416657629 -579.704213465354</t>
  </si>
  <si>
    <t>-663.41496549625 84.2889532249224 -656.584289774576</t>
  </si>
  <si>
    <t>-666.332573729613 96.5338918750115 -523.046902311164</t>
  </si>
  <si>
    <t>-646.08688242354 245.599161476909 -481.73327234793</t>
  </si>
  <si>
    <t>-551.658105151206 224.962874352932 -216.712613015917</t>
  </si>
  <si>
    <t>-351.658673926731 111.656750478873 -250.036633479474</t>
  </si>
  <si>
    <t>-660.986905124026 34.4539357282472 -530.230545926256</t>
  </si>
  <si>
    <t>-602.813212458474 141.768013000129 -96.662609388369</t>
  </si>
  <si>
    <t>-628.623591857102 147.355215994567 318.072555263491</t>
  </si>
  <si>
    <t>-669.698687355543 180.959672212557 778.136896404052</t>
  </si>
  <si>
    <t>-519.55503970409 182.157862485759 835.923408709298</t>
  </si>
  <si>
    <t>-598.362403870882 -62.0509326640261 323.261916690231</t>
  </si>
  <si>
    <t>-653.508257561016 -102.463829730611 781.361775537374</t>
  </si>
  <si>
    <t>-499.911691460341 -119.646098381112 826.046175499874</t>
  </si>
  <si>
    <t>9763-20170724T115501.261616300.bin</t>
  </si>
  <si>
    <t>-596.653415797695 48.9141347821662 -92.5599638033607</t>
  </si>
  <si>
    <t>-616.857350311546 44.7071164359327 -201.333184591156</t>
  </si>
  <si>
    <t>-630.903859872348 47.0935547694296 -293.109277439408</t>
  </si>
  <si>
    <t>-643.362300710814 51.5587726057504 -375.952402435358</t>
  </si>
  <si>
    <t>-655.0354631807 58.381139544246 -458.749165465092</t>
  </si>
  <si>
    <t>-671.248022952135 70.9405441446672 -579.680386222332</t>
  </si>
  <si>
    <t>-663.914742520716 84.121837153768 -656.574353865319</t>
  </si>
  <si>
    <t>-666.784103110744 96.472862896893 -523.037454498073</t>
  </si>
  <si>
    <t>-646.442286414862 245.55670242091 -481.839188124984</t>
  </si>
  <si>
    <t>-551.911679287103 225.067783306948 -216.843523007738</t>
  </si>
  <si>
    <t>-351.885687412904 111.772824928821 -250.045707713538</t>
  </si>
  <si>
    <t>-661.484133499266 34.3861184785703 -530.196121140208</t>
  </si>
  <si>
    <t>-603.059800037656 141.75708134204 -96.6522599675998</t>
  </si>
  <si>
    <t>-628.759060198808 147.348665124532 318.089727990654</t>
  </si>
  <si>
    <t>-669.712703438306 180.951142122109 778.164550617219</t>
  </si>
  <si>
    <t>-519.562047175096 182.018358588889 835.935401847725</t>
  </si>
  <si>
    <t>-598.46849004277 -62.0152119719025 323.246180046897</t>
  </si>
  <si>
    <t>-653.494679489432 -102.461238585817 781.361069831259</t>
  </si>
  <si>
    <t>-499.904685283798 -119.673275663597 826.056502272463</t>
  </si>
  <si>
    <t>9763-20170724T115501.329302200.bin</t>
  </si>
  <si>
    <t>-597.150435724048 48.9269218336153 -92.5678949028066</t>
  </si>
  <si>
    <t>-617.468650330736 44.7643662278483 -201.321407985204</t>
  </si>
  <si>
    <t>-631.637993672713 47.1641561315869 -293.078262013207</t>
  </si>
  <si>
    <t>-644.217854998034 51.6327306103553 -375.902931023955</t>
  </si>
  <si>
    <t>-656.022680638802 58.4491103934372 -458.681629510289</t>
  </si>
  <si>
    <t>-672.438839592907 70.9895062572145 -579.587189150931</t>
  </si>
  <si>
    <t>-665.114638953373 84.019481708774 -656.507935180265</t>
  </si>
  <si>
    <t>-667.837766339428 96.5350171038442 -522.961223527245</t>
  </si>
  <si>
    <t>-647.204154494787 245.61852160882 -481.937356498678</t>
  </si>
  <si>
    <t>-552.53236893899 225.413721870509 -216.970177123641</t>
  </si>
  <si>
    <t>-352.455144529262 112.018829294462 -249.516088308184</t>
  </si>
  <si>
    <t>-662.633380322777 34.4387944516898 -530.108499262989</t>
  </si>
  <si>
    <t>-603.452110684448 141.84136713888 -96.6342558434933</t>
  </si>
  <si>
    <t>-628.966953097054 147.427836207086 318.119190321779</t>
  </si>
  <si>
    <t>-669.728640271539 181.019662353043 778.220111544815</t>
  </si>
  <si>
    <t>-519.562953731394 181.870585089064 835.95544954989</t>
  </si>
  <si>
    <t>-598.633789186529 -61.8707440439732 323.22594789458</t>
  </si>
  <si>
    <t>-653.4619915888 -102.376613273618 781.362099903478</t>
  </si>
  <si>
    <t>-499.824871472484 -119.108517706242 826.077947642346</t>
  </si>
  <si>
    <t>9763-20170724T115501.360914700.bin</t>
  </si>
  <si>
    <t>-597.356749047823 49.0093623052451 -92.5628816295523</t>
  </si>
  <si>
    <t>-617.740932760488 44.8732833512995 -201.30514472042</t>
  </si>
  <si>
    <t>-631.96256482171 47.2687873133134 -293.053957963782</t>
  </si>
  <si>
    <t>-644.588205116996 51.7238328779483 -375.872420732702</t>
  </si>
  <si>
    <t>-656.437362851037 58.5162590226957 -458.64678612386</t>
  </si>
  <si>
    <t>-672.91663449969 71.010077899964 -579.548636860148</t>
  </si>
  <si>
    <t>-665.587508833506 83.9579114872536 -656.482700181771</t>
  </si>
  <si>
    <t>-668.256540485743 96.580283998308 -522.938531998787</t>
  </si>
  <si>
    <t>-647.473242281063 245.684333583064 -482.027794171921</t>
  </si>
  <si>
    <t>-552.852394876395 225.45105492877 -217.044699731049</t>
  </si>
  <si>
    <t>-352.733178499028 111.983828085546 -249.076174063216</t>
  </si>
  <si>
    <t>-663.114793153292 34.4755226799414 -530.057141586864</t>
  </si>
  <si>
    <t>-603.598868923401 141.940194685767 -96.6157789758653</t>
  </si>
  <si>
    <t>-629.035723395747 147.467044674276 318.143239675658</t>
  </si>
  <si>
    <t>-669.73890872642 181.027611817073 778.25177611616</t>
  </si>
  <si>
    <t>-519.564497400919 181.897316786605 835.964037405727</t>
  </si>
  <si>
    <t>-598.693992473858 -61.7313094218382 323.231306513146</t>
  </si>
  <si>
    <t>-653.438881078744 -102.434198534096 781.367020306693</t>
  </si>
  <si>
    <t>-499.886403924355 -119.799313729162 826.132081039866</t>
  </si>
  <si>
    <t>9763-20170724T115501.426095300.bin</t>
  </si>
  <si>
    <t>-597.656591677269 49.3652522549378 -92.5482023314107</t>
  </si>
  <si>
    <t>-618.146358107671 45.2569044576255 -201.271630619128</t>
  </si>
  <si>
    <t>-632.451315705661 47.6204919856807 -293.008322611278</t>
  </si>
  <si>
    <t>-645.149171586621 52.0262093630188 -375.818292713674</t>
  </si>
  <si>
    <t>-657.066849503758 58.7476861993155 -458.58865399194</t>
  </si>
  <si>
    <t>-673.641633970619 71.1140673162581 -579.490654019526</t>
  </si>
  <si>
    <t>-666.318093305413 83.9207285451687 -656.448688800702</t>
  </si>
  <si>
    <t>-668.853759175923 96.751855595166 -522.921729957923</t>
  </si>
  <si>
    <t>-647.718834174248 245.880883778622 -482.286578116945</t>
  </si>
  <si>
    <t>-553.381658375389 225.940866976342 -217.180015670829</t>
  </si>
  <si>
    <t>-353.179281410122 112.380562381502 -248.35050207401</t>
  </si>
  <si>
    <t>-663.883777831424 34.6237211214273 -529.957892526836</t>
  </si>
  <si>
    <t>-603.742068955287 142.252436847713 -96.5857753622696</t>
  </si>
  <si>
    <t>-629.102910680358 147.616508849189 318.180059137316</t>
  </si>
  <si>
    <t>-669.756309980752 181.047374922735 778.310006475503</t>
  </si>
  <si>
    <t>-519.569941174335 181.869327590284 835.991888120741</t>
  </si>
  <si>
    <t>-598.772835364955 -61.2206341502206 323.258982204176</t>
  </si>
  <si>
    <t>-653.399673607026 -102.37110232838 781.364537617018</t>
  </si>
  <si>
    <t>-499.83989757046 -119.571486854996 826.168127275667</t>
  </si>
  <si>
    <t>9763-20170724T115501.462069600.bin</t>
  </si>
  <si>
    <t>-597.755729809624 49.591407906963 -92.5252731106365</t>
  </si>
  <si>
    <t>-618.2930820474 45.4904003417487 -201.239948044638</t>
  </si>
  <si>
    <t>-632.657611073095 47.8233399833759 -292.968189947699</t>
  </si>
  <si>
    <t>-645.416553598732 52.1872244590738 -375.770972319751</t>
  </si>
  <si>
    <t>-657.402320818536 58.8519341640083 -458.535980223147</t>
  </si>
  <si>
    <t>-674.08394962427 71.1192165083974 -579.433415980295</t>
  </si>
  <si>
    <t>-666.791144708239 83.8468995922944 -656.407631189504</t>
  </si>
  <si>
    <t>-669.211941998913 96.8065337374044 -522.894298882522</t>
  </si>
  <si>
    <t>-647.889481594944 245.95560064008 -482.431989015151</t>
  </si>
  <si>
    <t>-553.629084994283 226.194500684875 -217.284714606267</t>
  </si>
  <si>
    <t>-353.390040995754 112.627476433798 -248.194117437741</t>
  </si>
  <si>
    <t>-664.316442201475 34.6663889634119 -529.875027785383</t>
  </si>
  <si>
    <t>-603.814549899402 142.447515252278 -96.5712050832039</t>
  </si>
  <si>
    <t>-629.121139498227 147.742366749789 318.198760968967</t>
  </si>
  <si>
    <t>-669.772259337598 181.026238460912 778.335920730069</t>
  </si>
  <si>
    <t>-519.582673279675 181.783182427633 836.010302374378</t>
  </si>
  <si>
    <t>-598.78498621867 -60.9604567628844 323.277186060209</t>
  </si>
  <si>
    <t>-653.360682776583 -102.32918120078 781.3701775685</t>
  </si>
  <si>
    <t>-499.795557466046 -119.353196756211 826.222843556602</t>
  </si>
  <si>
    <t>9763-20170724T115501.529278100.bin</t>
  </si>
  <si>
    <t>-597.923300455402 49.9899871109255 -92.4713562862626</t>
  </si>
  <si>
    <t>-618.579907897705 45.8862409930625 -201.163347938834</t>
  </si>
  <si>
    <t>-633.071933546706 48.1452420828657 -292.8733560373</t>
  </si>
  <si>
    <t>-645.956054814224 52.4141230780745 -375.661747696477</t>
  </si>
  <si>
    <t>-658.07643498146 58.9552500134555 -458.41708006348</t>
  </si>
  <si>
    <t>-674.964780848584 71.0098657005935 -579.307110379746</t>
  </si>
  <si>
    <t>-667.752886626294 83.5536864230978 -656.319094730781</t>
  </si>
  <si>
    <t>-669.950401565981 96.8008266852296 -522.827547446773</t>
  </si>
  <si>
    <t>-648.398806103324 246.004936141863 -482.7021555233</t>
  </si>
  <si>
    <t>-553.932491353289 226.817312413515 -217.586095079162</t>
  </si>
  <si>
    <t>-353.683600909682 113.189535038425 -248.206744403962</t>
  </si>
  <si>
    <t>-665.158250836041 34.6399497824254 -529.695539909875</t>
  </si>
  <si>
    <t>-603.986892893968 142.812801860659 -96.5337806611884</t>
  </si>
  <si>
    <t>-629.146545506059 148.000603815324 318.246493385707</t>
  </si>
  <si>
    <t>-669.785217002426 181.035434647399 778.391642158914</t>
  </si>
  <si>
    <t>-519.5885401466 181.789773255853 836.047575461536</t>
  </si>
  <si>
    <t>-598.774864216328 -60.5437276498976 323.33563035993</t>
  </si>
  <si>
    <t>-653.308197082296 -102.285033783258 781.393236985075</t>
  </si>
  <si>
    <t>-499.773977849523 -119.393650616339 826.3193863778</t>
  </si>
  <si>
    <t>9763-20170724T115501.561368700.bin</t>
  </si>
  <si>
    <t>-598.014689231371 50.1691533726907 -92.4595855767142</t>
  </si>
  <si>
    <t>-618.74767791174 46.0549694870033 -201.136679717074</t>
  </si>
  <si>
    <t>-633.320124543699 48.274187927454 -292.834720387287</t>
  </si>
  <si>
    <t>-646.28276277841 52.4948765181487 -375.613449471748</t>
  </si>
  <si>
    <t>-658.487431079906 58.9747982838351 -458.361165739202</t>
  </si>
  <si>
    <t>-675.504707889708 70.9266360383983 -579.243204403622</t>
  </si>
  <si>
    <t>-668.361645471019 83.3788480924582 -656.276693999288</t>
  </si>
  <si>
    <t>-670.416404968122 96.7669671299618 -522.793087822314</t>
  </si>
  <si>
    <t>-648.822214519654 246.015371205594 -482.849138819191</t>
  </si>
  <si>
    <t>-554.156268228558 227.08984402055 -217.78542814004</t>
  </si>
  <si>
    <t>-353.905934545371 113.449109848601 -248.34887517116</t>
  </si>
  <si>
    <t>-665.658902426443 34.5977309655739 -529.60944906754</t>
  </si>
  <si>
    <t>-604.109685877606 143.018010567855 -96.5266188824345</t>
  </si>
  <si>
    <t>-629.10934531805 148.17780058301 318.263654541241</t>
  </si>
  <si>
    <t>-669.766141738589 181.137796753422 778.417403126564</t>
  </si>
  <si>
    <t>-519.565412915718 181.731587449826 836.064682239085</t>
  </si>
  <si>
    <t>-598.753257009942 -60.3447173225891 323.360745631111</t>
  </si>
  <si>
    <t>-653.314069979158 -102.258223575376 781.392970974083</t>
  </si>
  <si>
    <t>-499.768602925727 -119.303287106979 826.304931020821</t>
  </si>
  <si>
    <t>9763-20170724T115501.630061400.bin</t>
  </si>
  <si>
    <t>-598.187650468034 50.4285024094777 -92.4307329580849</t>
  </si>
  <si>
    <t>-619.052631158082 46.2960973142458 -201.081816081928</t>
  </si>
  <si>
    <t>-633.760856550427 48.4450248016124 -292.759956421179</t>
  </si>
  <si>
    <t>-646.855399417444 52.5798981066623 -375.522206997886</t>
  </si>
  <si>
    <t>-659.200761853204 58.9518846156238 -458.257362698533</t>
  </si>
  <si>
    <t>-676.433146163717 70.7210815318233 -579.127059764795</t>
  </si>
  <si>
    <t>-669.424207706473 83.0260877775775 -656.196254335736</t>
  </si>
  <si>
    <t>-671.230900815099 96.6478039653971 -522.726774472274</t>
  </si>
  <si>
    <t>-649.610474563613 245.970866726077 -483.083320280577</t>
  </si>
  <si>
    <t>-554.575040625598 227.449864132874 -218.123279679872</t>
  </si>
  <si>
    <t>-354.303225439528 113.805160112838 -248.530499807111</t>
  </si>
  <si>
    <t>-666.512485951875 34.4660677879065 -529.454105215646</t>
  </si>
  <si>
    <t>-604.339997061723 143.188965645624 -96.4868233687523</t>
  </si>
  <si>
    <t>-629.180208255563 148.267058961253 318.314045949162</t>
  </si>
  <si>
    <t>-669.816370562236 180.974511938604 778.481149893736</t>
  </si>
  <si>
    <t>-519.606549248143 181.735753176203 836.102828842184</t>
  </si>
  <si>
    <t>-598.684668787998 -60.0238751864952 323.398961354123</t>
  </si>
  <si>
    <t>-653.338307577686 -102.200381631388 781.378530648556</t>
  </si>
  <si>
    <t>-499.713314097099 -118.694734410457 826.224005506688</t>
  </si>
  <si>
    <t>9763-20170724T115501.661649200.bin</t>
  </si>
  <si>
    <t>-598.233004950315 50.5389890958172 -92.4104025903761</t>
  </si>
  <si>
    <t>-619.143121693667 46.402630048545 -201.052786607357</t>
  </si>
  <si>
    <t>-633.909921821147 48.5252120507453 -292.722127990894</t>
  </si>
  <si>
    <t>-647.065311019564 52.6268757227392 -375.47618793581</t>
  </si>
  <si>
    <t>-659.479440390809 58.956227943037 -458.204478879892</t>
  </si>
  <si>
    <t>-676.820869666894 70.6527129153749 -579.065536057006</t>
  </si>
  <si>
    <t>-669.88183052069 82.8946175284518 -656.151151976362</t>
  </si>
  <si>
    <t>-671.569517437626 96.6131471752308 -522.685383747476</t>
  </si>
  <si>
    <t>-649.942971472878 245.965301799591 -483.149639923178</t>
  </si>
  <si>
    <t>-554.762467254479 227.659607129033 -218.226682252521</t>
  </si>
  <si>
    <t>-354.488560646748 113.98379159422 -248.503581748901</t>
  </si>
  <si>
    <t>-666.853687298987 34.427578023689 -529.380030414541</t>
  </si>
  <si>
    <t>-604.414143484759 143.285984471482 -96.4608818185588</t>
  </si>
  <si>
    <t>-629.211032150688 148.339681642749 318.342917973081</t>
  </si>
  <si>
    <t>-669.808691240054 181.029124659301 778.509223091219</t>
  </si>
  <si>
    <t>-519.595125264926 181.725660808995 836.12195775099</t>
  </si>
  <si>
    <t>-598.616863370057 -59.9165967225888 323.411933791299</t>
  </si>
  <si>
    <t>-653.35530123735 -102.197685180771 781.374133194854</t>
  </si>
  <si>
    <t>-499.764005355606 -119.053965198892 826.200492220718</t>
  </si>
  <si>
    <t>9763-20170724T115501.727325200.bin</t>
  </si>
  <si>
    <t>-598.258050941375 50.8446061434117 -92.370376095365</t>
  </si>
  <si>
    <t>-619.222539004355 46.6986929318416 -201.001768871481</t>
  </si>
  <si>
    <t>-634.073028038422 48.764252231925 -292.658974313186</t>
  </si>
  <si>
    <t>-647.318409603351 52.7936417205051 -375.402260634013</t>
  </si>
  <si>
    <t>-659.836461775429 59.0304311401715 -458.12197261036</t>
  </si>
  <si>
    <t>-677.344682632826 70.5688648591006 -578.974198564835</t>
  </si>
  <si>
    <t>-670.532398472079 82.6938145581453 -656.089551114728</t>
  </si>
  <si>
    <t>-672.019027305238 96.6027403472667 -522.634845437363</t>
  </si>
  <si>
    <t>-650.419793572027 246.028702112794 -483.365693071785</t>
  </si>
  <si>
    <t>-555.167053744788 227.901787657802 -218.456343875342</t>
  </si>
  <si>
    <t>-354.725300169655 114.311565256694 -247.93358041724</t>
  </si>
  <si>
    <t>-667.305434602368 34.409057047154 -529.2557849621</t>
  </si>
  <si>
    <t>-604.532987748075 143.576904192631 -96.4162415360915</t>
  </si>
  <si>
    <t>-629.246999262391 148.587237712662 318.393051794421</t>
  </si>
  <si>
    <t>-669.813108584544 181.062068546874 778.576948842301</t>
  </si>
  <si>
    <t>-519.590885708998 181.558847706875 836.169179834292</t>
  </si>
  <si>
    <t>-598.46689563553 -59.6029532347654 323.439234419161</t>
  </si>
  <si>
    <t>-653.398558581012 -102.129173737231 781.354988300626</t>
  </si>
  <si>
    <t>-499.754201107798 -118.745556557173 826.088934714935</t>
  </si>
  <si>
    <t>9763-20170724T115501.763925100.bin</t>
  </si>
  <si>
    <t>-598.236893449741 50.9659874852764 -92.3439609211027</t>
  </si>
  <si>
    <t>-619.213176170111 46.8266765125009 -200.973453292229</t>
  </si>
  <si>
    <t>-634.091199978792 48.8740147032454 -292.626563797729</t>
  </si>
  <si>
    <t>-647.368388119876 52.8771339610223 -375.366142505169</t>
  </si>
  <si>
    <t>-659.925070950144 59.0778105850713 -458.082523407193</t>
  </si>
  <si>
    <t>-677.497175480516 70.552689067674 -578.931454309011</t>
  </si>
  <si>
    <t>-670.742979785744 82.6347660603212 -656.058758769218</t>
  </si>
  <si>
    <t>-672.140538915838 96.6163196170992 -522.608816230778</t>
  </si>
  <si>
    <t>-650.510537899081 246.071656798257 -483.475488800344</t>
  </si>
  <si>
    <t>-555.420347285589 228.107047212321 -218.496733589363</t>
  </si>
  <si>
    <t>-354.86756311033 114.537481318821 -247.290107618164</t>
  </si>
  <si>
    <t>-667.432842393965 34.418943863185 -529.199158659987</t>
  </si>
  <si>
    <t>-604.532278042551 143.663090629351 -96.3852592418765</t>
  </si>
  <si>
    <t>-629.239930824774 148.645848786391 318.424729436522</t>
  </si>
  <si>
    <t>-669.828913302483 181.01223006192 778.613661577086</t>
  </si>
  <si>
    <t>-519.603418535124 181.620786433414 836.196148186437</t>
  </si>
  <si>
    <t>-598.419776152041 -59.4933176827503 323.454338306329</t>
  </si>
  <si>
    <t>-653.406330563002 -102.12564752755 781.346491291772</t>
  </si>
  <si>
    <t>-499.761848841486 -118.777689608824 826.066733782543</t>
  </si>
  <si>
    <t>9763-20170724T115501.826626800.bin</t>
  </si>
  <si>
    <t>-598.107290022895 51.1801721029167 -92.3027687615321</t>
  </si>
  <si>
    <t>-619.105017797675 47.0547032358752 -200.928550814359</t>
  </si>
  <si>
    <t>-634.020774789042 49.0676435595851 -292.576326391041</t>
  </si>
  <si>
    <t>-647.340204929458 53.0217485464534 -375.311399794535</t>
  </si>
  <si>
    <t>-659.947502555996 59.1553111751373 -458.025228957651</t>
  </si>
  <si>
    <t>-677.602967592206 70.512450742202 -578.873137835477</t>
  </si>
  <si>
    <t>-670.940742307749 82.5179538382547 -656.020284240413</t>
  </si>
  <si>
    <t>-672.209479801997 96.6306784919936 -522.579389217604</t>
  </si>
  <si>
    <t>-650.585644794772 246.146390664157 -483.674088449173</t>
  </si>
  <si>
    <t>-555.844447369286 228.676210490843 -218.537472787649</t>
  </si>
  <si>
    <t>-355.009554549579 115.293708026739 -246.074342607085</t>
  </si>
  <si>
    <t>-667.502333051289 34.427293434735 -529.112751497195</t>
  </si>
  <si>
    <t>-604.352594032718 143.831006218084 -96.3231836089547</t>
  </si>
  <si>
    <t>-629.176812845325 148.749630226749 318.480531168358</t>
  </si>
  <si>
    <t>-669.843764820262 180.990152728003 778.673152621581</t>
  </si>
  <si>
    <t>-519.61403728438 181.60688431226 836.244656264472</t>
  </si>
  <si>
    <t>-598.364512708499 -59.3594056035522 323.489641229705</t>
  </si>
  <si>
    <t>-653.40524878542 -102.126734941235 781.350038564203</t>
  </si>
  <si>
    <t>-499.789000955621 -119.044583065958 826.067588765484</t>
  </si>
  <si>
    <t>9763-20170724T115501.866216100.bin</t>
  </si>
  <si>
    <t>-598.039792343903 51.2974871548374 -92.2857542458784</t>
  </si>
  <si>
    <t>-619.043784271235 47.1723753983549 -200.910470863439</t>
  </si>
  <si>
    <t>-633.969316146522 49.1723301975539 -292.556854789214</t>
  </si>
  <si>
    <t>-647.299838443043 53.1096238607336 -375.290885841488</t>
  </si>
  <si>
    <t>-659.920802011906 59.2213860060374 -458.004194009479</t>
  </si>
  <si>
    <t>-677.599358236923 70.5411422950654 -578.852338314241</t>
  </si>
  <si>
    <t>-670.964492779918 82.5065391371311 -656.00805719658</t>
  </si>
  <si>
    <t>-672.204429025874 96.6759930729213 -522.566376737492</t>
  </si>
  <si>
    <t>-650.628834336282 246.220830941848 -483.752959036117</t>
  </si>
  <si>
    <t>-556.047507954682 228.999280915563 -218.542907093247</t>
  </si>
  <si>
    <t>-355.01693145518 115.812765045458 -245.451047596296</t>
  </si>
  <si>
    <t>-667.479926257033 34.4722329528815 -529.084086229112</t>
  </si>
  <si>
    <t>-604.250715971527 143.963941352809 -96.3123335431663</t>
  </si>
  <si>
    <t>-629.108736492709 148.819527356877 318.490130358637</t>
  </si>
  <si>
    <t>-669.841546747537 181.00608390374 778.68871484228</t>
  </si>
  <si>
    <t>-519.612295415054 181.693771864743 836.260591457447</t>
  </si>
  <si>
    <t>-598.319383610572 -59.2701576371314 323.4984702269</t>
  </si>
  <si>
    <t>-653.396885033007 -102.072297485493 781.349539915024</t>
  </si>
  <si>
    <t>-499.745702744519 -118.664965021645 826.068976984878</t>
  </si>
  <si>
    <t>9763-20170724T115501.926893400.bin</t>
  </si>
  <si>
    <t>-597.844947332383 51.5549339189536 -92.2486310002784</t>
  </si>
  <si>
    <t>-618.861731497299 47.4280867552118 -200.870658999383</t>
  </si>
  <si>
    <t>-633.806175423334 49.385943381104 -292.514865657363</t>
  </si>
  <si>
    <t>-647.157125351776 53.2694365438708 -375.248213521452</t>
  </si>
  <si>
    <t>-659.80198840791 59.3111516109946 -457.963130737895</t>
  </si>
  <si>
    <t>-677.519172290612 70.5110819275171 -578.816652391906</t>
  </si>
  <si>
    <t>-670.907238227313 82.3811690985299 -655.989158804183</t>
  </si>
  <si>
    <t>-672.099848866595 96.7023045615447 -522.559310501054</t>
  </si>
  <si>
    <t>-650.499390882966 246.310538791874 -483.989983562133</t>
  </si>
  <si>
    <t>-556.375147370595 229.500256898887 -218.590850416168</t>
  </si>
  <si>
    <t>-354.976441235939 116.708172037155 -244.379211556662</t>
  </si>
  <si>
    <t>-667.390172307808 34.4910608995265 -529.015106477772</t>
  </si>
  <si>
    <t>-604.049759839958 144.198000047243 -96.2770521417447</t>
  </si>
  <si>
    <t>-629.016244286268 148.931581006597 318.520328598123</t>
  </si>
  <si>
    <t>-669.85325805956 180.962828011139 778.722405316937</t>
  </si>
  <si>
    <t>-519.62997045937 181.701309222575 836.309137713253</t>
  </si>
  <si>
    <t>-598.155817046288 -59.0467865486753 323.546376415357</t>
  </si>
  <si>
    <t>-653.360216706179 -102.029136358317 781.36382161215</t>
  </si>
  <si>
    <t>-499.721121175276 -118.59751285272 826.133678661484</t>
  </si>
  <si>
    <t>9763-20170724T115501.959460500.bin</t>
  </si>
  <si>
    <t>-597.700053874887 51.6664860025703 -92.2350354662344</t>
  </si>
  <si>
    <t>-618.703523754846 47.5321902294093 -200.859423942164</t>
  </si>
  <si>
    <t>-633.632969133334 49.4605544902183 -292.506733604176</t>
  </si>
  <si>
    <t>-646.968842255578 53.3081321965724 -375.244130035457</t>
  </si>
  <si>
    <t>-659.596943848181 59.3048405267891 -457.964887645528</t>
  </si>
  <si>
    <t>-677.28781647148 70.4288819229175 -578.829327636647</t>
  </si>
  <si>
    <t>-670.65910578348 82.246289826734 -656.008465118208</t>
  </si>
  <si>
    <t>-671.87706314357 96.655705982917 -522.58770585843</t>
  </si>
  <si>
    <t>-650.235974040812 246.289699859592 -484.134178180223</t>
  </si>
  <si>
    <t>-556.387332695627 229.804992629714 -218.617290706209</t>
  </si>
  <si>
    <t>-354.882653652575 117.177898838517 -244.298654490336</t>
  </si>
  <si>
    <t>-667.173403706294 34.4396433754812 -529.002365433845</t>
  </si>
  <si>
    <t>-603.91017216655 144.313580523415 -96.2658742661628</t>
  </si>
  <si>
    <t>-628.958643600048 149.030055912589 318.526786020955</t>
  </si>
  <si>
    <t>-669.829774741748 181.06386403716 778.736429782376</t>
  </si>
  <si>
    <t>-519.610841859821 181.544088297179 836.337371741403</t>
  </si>
  <si>
    <t>-598.086646275467 -58.9737442543394 323.564168902365</t>
  </si>
  <si>
    <t>-653.34708435188 -102.036685251231 781.368029541545</t>
  </si>
  <si>
    <t>-499.735764836713 -118.814271678097 826.155357822579</t>
  </si>
  <si>
    <t>9763-20170724T115502.030149600.bin</t>
  </si>
  <si>
    <t>-597.504602385539 51.6595724334484 -92.2146331233653</t>
  </si>
  <si>
    <t>-618.441058329194 47.5162740295632 -200.851589947287</t>
  </si>
  <si>
    <t>-633.317909980589 49.3749059329398 -292.508931717684</t>
  </si>
  <si>
    <t>-646.607779269825 53.1346539324572 -375.257765273613</t>
  </si>
  <si>
    <t>-659.191516194095 59.0185622559595 -457.993202948858</t>
  </si>
  <si>
    <t>-676.819220318319 69.9506107832356 -578.884486712662</t>
  </si>
  <si>
    <t>-670.125821127219 81.6350879104496 -656.078278625735</t>
  </si>
  <si>
    <t>-671.443430843189 96.2662726625417 -522.680955010198</t>
  </si>
  <si>
    <t>-649.887471668178 245.963394961976 -484.442010074399</t>
  </si>
  <si>
    <t>-556.257222789204 230.099533816033 -218.810099946154</t>
  </si>
  <si>
    <t>-354.606103720762 117.810533381485 -244.820550426709</t>
  </si>
  <si>
    <t>-666.725249127472 34.0411082945552 -528.995955647949</t>
  </si>
  <si>
    <t>-603.699019326598 144.336572269126 -96.2556698466736</t>
  </si>
  <si>
    <t>-628.894866542228 149.01868183081 318.528439503143</t>
  </si>
  <si>
    <t>-669.845731535856 181.005714736017 778.741545433495</t>
  </si>
  <si>
    <t>-519.636501581298 181.551799087781 836.367073325443</t>
  </si>
  <si>
    <t>-598.080136548833 -59.1539600620056 323.571089977757</t>
  </si>
  <si>
    <t>-653.305797656007 -102.042883724829 781.386310094902</t>
  </si>
  <si>
    <t>-499.736066170914 -119.020702840731 826.240600631895</t>
  </si>
  <si>
    <t>9763-20170724T115502.062747700.bin</t>
  </si>
  <si>
    <t>-597.473631000931 51.5629938569355 -92.2206885137804</t>
  </si>
  <si>
    <t>-618.375804287046 47.4220801769445 -200.864399627219</t>
  </si>
  <si>
    <t>-633.22636573759 49.2557319411792 -292.52632656265</t>
  </si>
  <si>
    <t>-646.493620390764 52.9821342348703 -375.280512258772</t>
  </si>
  <si>
    <t>-659.055897153399 58.8217952373084 -458.022339594292</t>
  </si>
  <si>
    <t>-676.653474489002 69.6775845754519 -578.92478816133</t>
  </si>
  <si>
    <t>-669.915933121318 81.2949497930447 -656.124959763131</t>
  </si>
  <si>
    <t>-671.293655550755 96.0286337425923 -522.736346210703</t>
  </si>
  <si>
    <t>-649.786948443821 245.759503215254 -484.600480294788</t>
  </si>
  <si>
    <t>-556.275258603263 230.085530689912 -218.915547672364</t>
  </si>
  <si>
    <t>-354.590592871562 117.879954645212 -245.02560786418</t>
  </si>
  <si>
    <t>-666.569947608164 33.7997885039322 -529.011374670213</t>
  </si>
  <si>
    <t>-603.646588502538 144.293647791789 -96.2615245465159</t>
  </si>
  <si>
    <t>-628.910376477733 148.955045258561 318.518683395367</t>
  </si>
  <si>
    <t>-669.847954453851 180.997286448337 778.732978363146</t>
  </si>
  <si>
    <t>-519.642724483905 181.667250615357 836.367797961106</t>
  </si>
  <si>
    <t>-598.127529360908 -59.3337148111661 323.558684854873</t>
  </si>
  <si>
    <t>-653.275101491668 -102.013101886777 781.40095145672</t>
  </si>
  <si>
    <t>-499.718860179436 -118.978161029727 826.306385781423</t>
  </si>
  <si>
    <t>9763-20170724T115502.129430700.bin</t>
  </si>
  <si>
    <t>-597.422714054553 51.4961625337128 -92.2274339606428</t>
  </si>
  <si>
    <t>-618.249421743512 47.3236094227675 -200.884372488523</t>
  </si>
  <si>
    <t>-633.040079942356 49.1109437027001 -292.557036372768</t>
  </si>
  <si>
    <t>-646.255073510939 52.78781955869 -375.321613643822</t>
  </si>
  <si>
    <t>-658.767213229539 58.5702574513607 -458.075158797362</t>
  </si>
  <si>
    <t>-676.294040248025 69.3342340001323 -578.996165376954</t>
  </si>
  <si>
    <t>-669.451543790554 80.8477017114226 -656.202599611059</t>
  </si>
  <si>
    <t>-670.986299587309 95.7260064165766 -522.821926109147</t>
  </si>
  <si>
    <t>-649.638829959447 245.520530415687 -484.840396770518</t>
  </si>
  <si>
    <t>-556.530101664675 230.214335797714 -218.992503885711</t>
  </si>
  <si>
    <t>-354.716370503248 118.203706336762 -244.941512483894</t>
  </si>
  <si>
    <t>-666.220557811942 33.4961180453918 -529.052213391679</t>
  </si>
  <si>
    <t>-603.612992805128 144.273278796714 -96.2912803271594</t>
  </si>
  <si>
    <t>-628.921100669202 148.944724955251 318.486076791322</t>
  </si>
  <si>
    <t>-669.856092200565 180.993454854248 778.711180373494</t>
  </si>
  <si>
    <t>-519.658782501611 181.610587375402 836.367174629259</t>
  </si>
  <si>
    <t>-598.143833810734 -59.4551422488767 323.564845779201</t>
  </si>
  <si>
    <t>-653.221873762229 -101.973105176147 781.424468088779</t>
  </si>
  <si>
    <t>-499.660692410602 -118.706964024329 826.399628006879</t>
  </si>
  <si>
    <t>9763-20170724T115502.160010700.bin</t>
  </si>
  <si>
    <t>-597.448110775533 51.4223642654158 -92.2361078055922</t>
  </si>
  <si>
    <t>-618.227331999293 47.2503868127212 -200.902050550846</t>
  </si>
  <si>
    <t>-632.936186959478 49.0183330258244 -292.588340204086</t>
  </si>
  <si>
    <t>-646.060828863728 52.6695412032939 -375.368399184363</t>
  </si>
  <si>
    <t>-658.466099557217 58.4186611166253 -458.14038224826</t>
  </si>
  <si>
    <t>-675.818704151132 69.1257307934789 -579.091501049851</t>
  </si>
  <si>
    <t>-668.878942173628 80.5992607907153 -656.29522740587</t>
  </si>
  <si>
    <t>-670.595097566581 95.5438288515925 -522.921684559677</t>
  </si>
  <si>
    <t>-649.350266789855 245.37549320655 -485.028744768998</t>
  </si>
  <si>
    <t>-556.547660286765 230.211243303851 -219.06573445051</t>
  </si>
  <si>
    <t>-354.561835963949 118.467052968691 -244.823951328314</t>
  </si>
  <si>
    <t>-665.813932106123 33.3113802568535 -529.116649203711</t>
  </si>
  <si>
    <t>-603.611050271976 144.224466968003 -96.3052459728259</t>
  </si>
  <si>
    <t>-628.984542412548 148.879417064322 318.468322938111</t>
  </si>
  <si>
    <t>-669.86689474683 180.970070475694 778.694084075566</t>
  </si>
  <si>
    <t>-519.670468550942 181.620006415851 836.352099475168</t>
  </si>
  <si>
    <t>-598.23844841891 -59.59597000851 323.553445862112</t>
  </si>
  <si>
    <t>-653.209616824619 -101.969476401503 781.435084972726</t>
  </si>
  <si>
    <t>-499.658734606007 -118.74043349831 826.431563400823</t>
  </si>
  <si>
    <t>9763-20170724T115502.231207300.bin</t>
  </si>
  <si>
    <t>-597.551562842328 51.1862921406821 -92.2820168673032</t>
  </si>
  <si>
    <t>-618.200538376812 47.0255586493688 -200.97337273482</t>
  </si>
  <si>
    <t>-632.69725741269 48.7379842388948 -292.694432134348</t>
  </si>
  <si>
    <t>-645.589632987746 52.3136789616565 -375.514241263238</t>
  </si>
  <si>
    <t>-657.721922613858 57.9626541426783 -458.333637990671</t>
  </si>
  <si>
    <t>-674.631163282393 68.4959661273165 -579.362595949493</t>
  </si>
  <si>
    <t>-667.446883600071 79.8692128820073 -656.558856116208</t>
  </si>
  <si>
    <t>-669.620824530602 94.993921768023 -523.211224359684</t>
  </si>
  <si>
    <t>-648.590816721734 244.917401744899 -485.544675021393</t>
  </si>
  <si>
    <t>-556.431614665324 230.07503299925 -219.339905611819</t>
  </si>
  <si>
    <t>-354.127832389908 118.669850142188 -244.049767500522</t>
  </si>
  <si>
    <t>-664.802271937182 32.754089624525 -529.301139726957</t>
  </si>
  <si>
    <t>-603.636034947795 144.056796199221 -96.3550168923226</t>
  </si>
  <si>
    <t>-629.056976106277 148.759246324095 318.415140627329</t>
  </si>
  <si>
    <t>-669.884322004022 180.927879617279 778.636526227506</t>
  </si>
  <si>
    <t>-519.688414681466 181.449441919307 836.297136189897</t>
  </si>
  <si>
    <t>-598.492774517726 -59.928530008001 323.499219553462</t>
  </si>
  <si>
    <t>-653.200922108997 -101.995506879938 781.452445618229</t>
  </si>
  <si>
    <t>-499.683770524142 -119.008057959052 826.473357881026</t>
  </si>
  <si>
    <t>9763-20170724T115502.262890700.bin</t>
  </si>
  <si>
    <t>-597.603442194042 51.0913829834005 -92.3022011830105</t>
  </si>
  <si>
    <t>-618.217391133551 46.9384123650202 -201.00046862754</t>
  </si>
  <si>
    <t>-632.633449749216 48.6186829156868 -292.734802193213</t>
  </si>
  <si>
    <t>-645.432410949915 52.1503254653937 -375.571095236696</t>
  </si>
  <si>
    <t>-657.450717565694 57.7398717843282 -458.410984653706</t>
  </si>
  <si>
    <t>-674.170717385144 68.1700175397752 -579.475437199351</t>
  </si>
  <si>
    <t>-666.861549625401 79.4793769988753 -656.669247845314</t>
  </si>
  <si>
    <t>-669.247326624806 94.716036768873 -523.338817407094</t>
  </si>
  <si>
    <t>-648.306356289724 244.674866207932 -485.770208387515</t>
  </si>
  <si>
    <t>-556.284209004016 229.999572296188 -219.508769639028</t>
  </si>
  <si>
    <t>-353.860796018139 118.67620405212 -243.600096730666</t>
  </si>
  <si>
    <t>-664.420866014846 32.4708852462898 -529.368033025135</t>
  </si>
  <si>
    <t>-603.699276134932 143.955408640316 -96.3759289474477</t>
  </si>
  <si>
    <t>-629.109172898068 148.717380190498 318.394222321797</t>
  </si>
  <si>
    <t>-669.902509659512 180.875383570786 778.616794319417</t>
  </si>
  <si>
    <t>-519.702995100635 181.526414274796 836.26656721302</t>
  </si>
  <si>
    <t>-598.553997224398 -60.0292279428324 323.482313201208</t>
  </si>
  <si>
    <t>-653.203131351758 -102.002321857511 781.450115742616</t>
  </si>
  <si>
    <t>-499.711040767263 -119.245176906225 826.46885488252</t>
  </si>
  <si>
    <t>9763-20170724T115502.327565600.bin</t>
  </si>
  <si>
    <t>-597.597511510525 51.0233303917544 -92.3596384205548</t>
  </si>
  <si>
    <t>-618.164184632449 46.8584057065846 -201.066474662529</t>
  </si>
  <si>
    <t>-632.454663287643 48.462056163484 -292.821775192708</t>
  </si>
  <si>
    <t>-645.105682502976 51.8979265953196 -375.684847194261</t>
  </si>
  <si>
    <t>-656.941176916401 57.3656102023649 -458.559183599399</t>
  </si>
  <si>
    <t>-673.355599151161 67.5890514568257 -579.683027380195</t>
  </si>
  <si>
    <t>-665.833165261685 78.7613915323855 -656.876302243776</t>
  </si>
  <si>
    <t>-668.568342739597 94.2312379517757 -523.580286175733</t>
  </si>
  <si>
    <t>-647.828362255912 244.264733197078 -486.203677220266</t>
  </si>
  <si>
    <t>-556.054630494016 229.949090027051 -219.837017926623</t>
  </si>
  <si>
    <t>-353.418307322474 118.785101006212 -242.850552575261</t>
  </si>
  <si>
    <t>-663.737852345766 31.9749244224383 -529.489632579453</t>
  </si>
  <si>
    <t>-603.700513142258 143.85996760573 -96.4322027535054</t>
  </si>
  <si>
    <t>-629.163560476912 148.673398079011 318.334089890302</t>
  </si>
  <si>
    <t>-669.914169375024 180.84690351647 778.570353256229</t>
  </si>
  <si>
    <t>-519.712769367375 181.55805752672 836.214638819146</t>
  </si>
  <si>
    <t>-598.589856327469 -60.0459852289816 323.454163086647</t>
  </si>
  <si>
    <t>-653.221604078951 -101.980163451808 781.443530871474</t>
  </si>
  <si>
    <t>-499.710880012918 -119.155455281685 826.42461337133</t>
  </si>
  <si>
    <t>9763-20170724T115502.359875200.bin</t>
  </si>
  <si>
    <t>-597.563359379177 51.0131619624153 -92.3806212569225</t>
  </si>
  <si>
    <t>-618.118167357918 46.8400894667516 -201.089261545441</t>
  </si>
  <si>
    <t>-632.364091546646 48.4060034216966 -292.852284195055</t>
  </si>
  <si>
    <t>-644.960919304279 51.7956100230497 -375.725406146361</t>
  </si>
  <si>
    <t>-656.728232601692 57.204881401115 -458.613405837827</t>
  </si>
  <si>
    <t>-673.027498850696 67.3297186182151 -579.761103283008</t>
  </si>
  <si>
    <t>-665.422520904859 78.436909274935 -656.955671999449</t>
  </si>
  <si>
    <t>-668.291420049282 94.0178541480711 -523.675778334841</t>
  </si>
  <si>
    <t>-647.642911533132 244.086727997048 -486.387617393013</t>
  </si>
  <si>
    <t>-555.992785005785 229.938729314249 -219.969293329948</t>
  </si>
  <si>
    <t>-353.218597270053 118.926784596923 -242.497256438069</t>
  </si>
  <si>
    <t>-663.459587638058 31.7563327647977 -529.529329888301</t>
  </si>
  <si>
    <t>-603.688147588588 143.839752300894 -96.458227013849</t>
  </si>
  <si>
    <t>-629.176351634538 148.656859100151 318.306533478537</t>
  </si>
  <si>
    <t>-669.912192549051 180.859242693046 778.550097970903</t>
  </si>
  <si>
    <t>-519.7115899761 181.524875580695 836.196895298112</t>
  </si>
  <si>
    <t>-598.560881568023 -60.0432422428064 323.445630623725</t>
  </si>
  <si>
    <t>-653.235364658387 -101.965602047708 781.434233002344</t>
  </si>
  <si>
    <t>-499.706476616095 -119.062560732447 826.383109046716</t>
  </si>
  <si>
    <t>9763-20170724T115502.426053700.bin</t>
  </si>
  <si>
    <t>-597.387099108301 51.0287207296155 -92.3932080186888</t>
  </si>
  <si>
    <t>-617.94650908241 46.8529664956022 -201.100827857407</t>
  </si>
  <si>
    <t>-632.112622392722 48.3536030269356 -292.877386028045</t>
  </si>
  <si>
    <t>-644.603292805941 51.6597679803128 -375.769896653393</t>
  </si>
  <si>
    <t>-656.230088714117 56.9608159697264 -458.684600630801</t>
  </si>
  <si>
    <t>-672.28593036566 66.9004892508372 -579.880146710584</t>
  </si>
  <si>
    <t>-664.537285600388 77.878679311209 -657.078907754635</t>
  </si>
  <si>
    <t>-667.641939221376 93.6759906103932 -523.828924957856</t>
  </si>
  <si>
    <t>-647.088687937899 243.793405596321 -486.696722908161</t>
  </si>
  <si>
    <t>-555.683853709672 230.122317856273 -220.169307868347</t>
  </si>
  <si>
    <t>-352.769754200223 119.272804998017 -242.232550988365</t>
  </si>
  <si>
    <t>-662.839627306705 31.4020420018587 -529.5724003846</t>
  </si>
  <si>
    <t>-603.49243257055 143.814850978909 -96.4768592729449</t>
  </si>
  <si>
    <t>-629.097292163649 148.642433465325 318.280481052046</t>
  </si>
  <si>
    <t>-669.906675460066 180.871189473309 778.500947260025</t>
  </si>
  <si>
    <t>-519.711625695565 181.465005167545 836.16303630564</t>
  </si>
  <si>
    <t>-598.556333047678 -60.0028805483762 323.429091543159</t>
  </si>
  <si>
    <t>-653.26840602054 -101.926601904385 781.414810121245</t>
  </si>
  <si>
    <t>-499.71517106642 -118.978539300234 826.297499610938</t>
  </si>
  <si>
    <t>9763-20170724T115502.462006500.bin</t>
  </si>
  <si>
    <t>-597.280923143725 51.0144514081542 -92.4080547532953</t>
  </si>
  <si>
    <t>-617.829193973088 46.8367358606804 -201.117848658728</t>
  </si>
  <si>
    <t>-631.958113881662 48.3146062290562 -292.900282295407</t>
  </si>
  <si>
    <t>-644.404109340629 51.591905502157 -375.800735806652</t>
  </si>
  <si>
    <t>-655.974943261441 56.855966937781 -458.725655898131</t>
  </si>
  <si>
    <t>-671.93673951909 66.7325195316637 -579.938708611317</t>
  </si>
  <si>
    <t>-664.143155486656 77.6603009431265 -657.140130800443</t>
  </si>
  <si>
    <t>-667.330590685178 93.5376508519532 -523.898495097287</t>
  </si>
  <si>
    <t>-646.8049828314 243.668224470772 -486.812932457421</t>
  </si>
  <si>
    <t>-555.522855063593 230.166775738051 -220.234788012327</t>
  </si>
  <si>
    <t>-352.530361689794 119.436558614147 -242.175392463277</t>
  </si>
  <si>
    <t>-662.535142290226 31.2597658532754 -529.604613708525</t>
  </si>
  <si>
    <t>-603.368986149332 143.788265712068 -96.4906037373826</t>
  </si>
  <si>
    <t>-629.037683393598 148.615447652345 318.262867953577</t>
  </si>
  <si>
    <t>-669.931550297961 180.785490855712 778.48771953718</t>
  </si>
  <si>
    <t>-519.73715148805 181.46382831307 836.150625859799</t>
  </si>
  <si>
    <t>-598.518974631424 -60.0237743082644 323.42353114509</t>
  </si>
  <si>
    <t>-653.276564186251 -101.925752878622 781.406613415921</t>
  </si>
  <si>
    <t>-499.720024868721 -118.998045995935 826.27025756675</t>
  </si>
  <si>
    <t>9763-20170724T115502.528177200.bin</t>
  </si>
  <si>
    <t>-597.072578220976 51.0017347803405 -92.4158796682912</t>
  </si>
  <si>
    <t>-617.606139715746 46.8117044279775 -201.127964002476</t>
  </si>
  <si>
    <t>-631.682636795402 48.2446403025601 -292.919196429086</t>
  </si>
  <si>
    <t>-644.065065484031 51.4673785449133 -375.831291107688</t>
  </si>
  <si>
    <t>-655.556014728224 56.6631464739694 -458.771630568189</t>
  </si>
  <si>
    <t>-671.382912505918 66.4251019121959 -580.011646536792</t>
  </si>
  <si>
    <t>-663.562403035317 77.268470157594 -657.222212073251</t>
  </si>
  <si>
    <t>-666.842300708189 93.2831345224936 -523.991327411667</t>
  </si>
  <si>
    <t>-646.430009405958 243.446921896946 -486.978123987969</t>
  </si>
  <si>
    <t>-555.257985776964 230.177302454752 -220.35084215242</t>
  </si>
  <si>
    <t>-352.211360842 119.562828394577 -242.374603941704</t>
  </si>
  <si>
    <t>-662.03405961145 31.0002442497639 -529.633870095703</t>
  </si>
  <si>
    <t>-603.181581627725 143.794176945587 -96.5213050196716</t>
  </si>
  <si>
    <t>-628.938891887506 148.648446301933 318.226293447235</t>
  </si>
  <si>
    <t>-669.913500975319 180.87445162848 778.441542809058</t>
  </si>
  <si>
    <t>-519.724906026815 181.35529457979 836.121580598617</t>
  </si>
  <si>
    <t>-598.499712690571 -60.0956298623557 323.413860295703</t>
  </si>
  <si>
    <t>-653.255302776113 -101.902054163604 781.404276320792</t>
  </si>
  <si>
    <t>-499.7139245979 -119.040643395498 826.294558359796</t>
  </si>
  <si>
    <t>9763-20170724T115502.559262600.bin</t>
  </si>
  <si>
    <t>-596.944680548949 50.9802484811833 -92.4136540533688</t>
  </si>
  <si>
    <t>-617.469589356577 46.7906659736057 -201.127334568928</t>
  </si>
  <si>
    <t>-631.528062788572 48.212324779679 -292.921487292671</t>
  </si>
  <si>
    <t>-643.889790842431 51.4201646794493 -375.837362673793</t>
  </si>
  <si>
    <t>-655.355516694837 56.5962304437667 -458.782378869371</t>
  </si>
  <si>
    <t>-671.140569244373 66.3240335742973 -580.030598512633</t>
  </si>
  <si>
    <t>-663.331917532223 77.1468177900767 -657.245256635591</t>
  </si>
  <si>
    <t>-666.61590912036 93.1981418530684 -524.016590040447</t>
  </si>
  <si>
    <t>-646.223790508972 243.377808800707 -487.043877895434</t>
  </si>
  <si>
    <t>-555.09190612661 230.206764730785 -220.397928770791</t>
  </si>
  <si>
    <t>-352.056595722521 119.573183018042 -242.429992329316</t>
  </si>
  <si>
    <t>-661.812490182178 30.9131669074984 -529.639119987107</t>
  </si>
  <si>
    <t>-603.037595011871 143.778202410452 -96.5206925053163</t>
  </si>
  <si>
    <t>-628.856385058514 148.630995796243 318.223103372579</t>
  </si>
  <si>
    <t>-669.917811747948 180.862139260953 778.424399923292</t>
  </si>
  <si>
    <t>-519.731131596449 181.407367728206 836.108724978736</t>
  </si>
  <si>
    <t>-598.451836713002 -60.1387309009951 323.415561023849</t>
  </si>
  <si>
    <t>-653.235198771551 -101.868083244308 781.405547062339</t>
  </si>
  <si>
    <t>-499.660319339263 -118.667028899058 826.30965018289</t>
  </si>
  <si>
    <t>9763-20170724T115502.626452700.bin</t>
  </si>
  <si>
    <t>-596.662995671933 50.9655603626982 -92.4015121864005</t>
  </si>
  <si>
    <t>-617.182120710933 46.7626619226135 -201.115802816842</t>
  </si>
  <si>
    <t>-631.244411587795 48.1645713946511 -292.909706568283</t>
  </si>
  <si>
    <t>-643.612742372341 51.3510604862092 -375.825440919117</t>
  </si>
  <si>
    <t>-655.088114285463 56.5022018674565 -458.770733409867</t>
  </si>
  <si>
    <t>-670.890355094998 66.1897123061005 -580.01981244245</t>
  </si>
  <si>
    <t>-663.143930355467 76.9873427848738 -657.244388983144</t>
  </si>
  <si>
    <t>-666.352645841775 93.082788365138 -524.016130933754</t>
  </si>
  <si>
    <t>-646.013156723074 243.266595946843 -487.048645191935</t>
  </si>
  <si>
    <t>-554.805973910632 230.106463053864 -220.427830517822</t>
  </si>
  <si>
    <t>-351.801855719019 119.433084040747 -242.547147030471</t>
  </si>
  <si>
    <t>-661.560292635259 30.7950661200089 -529.617436351672</t>
  </si>
  <si>
    <t>-602.782053803979 143.728148058677 -96.516975872797</t>
  </si>
  <si>
    <t>-628.708607583593 148.574812450501 318.220166488943</t>
  </si>
  <si>
    <t>-669.939447334297 180.765016560031 778.403083035489</t>
  </si>
  <si>
    <t>-519.75714322862 181.430191182683 836.097574508091</t>
  </si>
  <si>
    <t>-598.272307870115 -60.1519264134383 323.43514583504</t>
  </si>
  <si>
    <t>-653.197961877518 -101.830164331469 781.413048903496</t>
  </si>
  <si>
    <t>-499.62876107698 -118.543389692341 826.368444813846</t>
  </si>
  <si>
    <t>9763-20170724T115502.663558600.bin</t>
  </si>
  <si>
    <t>-596.495318496182 50.9834282398438 -92.3911907990409</t>
  </si>
  <si>
    <t>-617.019789542759 46.7719673505276 -201.104108149192</t>
  </si>
  <si>
    <t>-631.094191084275 48.1717827544217 -292.896193610434</t>
  </si>
  <si>
    <t>-643.476540522911 51.3581506344312 -375.809846800653</t>
  </si>
  <si>
    <t>-654.96889417974 56.5112099897292 -458.752515649477</t>
  </si>
  <si>
    <t>-670.799282309324 66.2034642784847 -579.997794604986</t>
  </si>
  <si>
    <t>-663.089788618968 76.9966950243315 -657.226471428287</t>
  </si>
  <si>
    <t>-666.248353250016 93.0942981307962 -523.994031567222</t>
  </si>
  <si>
    <t>-645.921890815334 243.278877868057 -486.997641280777</t>
  </si>
  <si>
    <t>-554.671307192917 230.056289024209 -220.394779081366</t>
  </si>
  <si>
    <t>-351.634131049954 119.451816152616 -242.555542117838</t>
  </si>
  <si>
    <t>-661.457782659455 30.8067304048577 -529.598699540727</t>
  </si>
  <si>
    <t>-602.631942297526 143.736299503319 -96.5139896355338</t>
  </si>
  <si>
    <t>-628.606719561927 148.582954416603 318.2201951216</t>
  </si>
  <si>
    <t>-669.938703271054 180.771192813847 778.389237242944</t>
  </si>
  <si>
    <t>-519.759833247205 181.410451812734 836.093020685962</t>
  </si>
  <si>
    <t>-598.147610672578 -60.1166092936439 323.454423759586</t>
  </si>
  <si>
    <t>-653.179191108479 -101.845716151547 781.414391560898</t>
  </si>
  <si>
    <t>-499.629600504875 -118.650321338948 826.402714230364</t>
  </si>
  <si>
    <t>9763-20170724T115502.725228900.bin</t>
  </si>
  <si>
    <t>-596.147264594028 51.0071023106811 -92.3532865106464</t>
  </si>
  <si>
    <t>-616.696232882919 46.7839410949173 -201.061213529177</t>
  </si>
  <si>
    <t>-630.805550367601 48.1959071793237 -292.847732681722</t>
  </si>
  <si>
    <t>-643.225237246294 51.4019199260986 -375.754940450485</t>
  </si>
  <si>
    <t>-654.760915350241 56.583055010927 -458.689938681356</t>
  </si>
  <si>
    <t>-670.66119000456 66.325939085476 -579.921793497365</t>
  </si>
  <si>
    <t>-663.032599550774 77.1373715272623 -657.156029479997</t>
  </si>
  <si>
    <t>-666.088834135583 93.1924560034643 -523.908166680395</t>
  </si>
  <si>
    <t>-645.793996215574 243.351909676012 -486.796551675754</t>
  </si>
  <si>
    <t>-554.520961635014 229.95084388017 -220.21027684368</t>
  </si>
  <si>
    <t>-351.380220394964 119.51743164602 -242.274736321231</t>
  </si>
  <si>
    <t>-661.279762597877 30.9091543811767 -529.54449710104</t>
  </si>
  <si>
    <t>-602.334101587692 143.718947269524 -96.48896841956</t>
  </si>
  <si>
    <t>-628.408461919415 148.570188663115 318.238931739025</t>
  </si>
  <si>
    <t>-669.942393403469 180.714702688637 778.385002719377</t>
  </si>
  <si>
    <t>-519.771217650119 181.511965677588 836.10691740351</t>
  </si>
  <si>
    <t>-597.863792518203 -60.0574691249697 323.494806428933</t>
  </si>
  <si>
    <t>-653.126885267028 -101.835485577466 781.427334760553</t>
  </si>
  <si>
    <t>-499.620406460083 -118.805887759437 826.500537450715</t>
  </si>
  <si>
    <t>9763-20170724T115502.763850700.bin</t>
  </si>
  <si>
    <t>-595.997761131433 51.0192462101209 -92.3321714987693</t>
  </si>
  <si>
    <t>-616.557806179213 46.7945924813664 -201.037842314983</t>
  </si>
  <si>
    <t>-630.671918529108 48.2130927584647 -292.823620350156</t>
  </si>
  <si>
    <t>-643.094134046698 51.4280267589531 -375.730102281376</t>
  </si>
  <si>
    <t>-654.630639342285 56.6212819952432 -458.664145676157</t>
  </si>
  <si>
    <t>-670.530379973764 66.3851969119801 -579.894577662942</t>
  </si>
  <si>
    <t>-662.928718479678 77.213350234769 -657.129136142693</t>
  </si>
  <si>
    <t>-665.967970547166 93.2412261633094 -523.875093475725</t>
  </si>
  <si>
    <t>-645.718119494666 243.392560284993 -486.697441012729</t>
  </si>
  <si>
    <t>-554.425010279523 229.885049083997 -220.123564266639</t>
  </si>
  <si>
    <t>-351.201978512334 119.590956554702 -242.126734099443</t>
  </si>
  <si>
    <t>-661.139419873403 30.9606368501147 -529.524511056146</t>
  </si>
  <si>
    <t>-602.214448924016 143.711975892077 -96.4688484145029</t>
  </si>
  <si>
    <t>-628.299581589094 148.559749511428 318.258352091107</t>
  </si>
  <si>
    <t>-669.944815288276 180.680725622788 778.387108067439</t>
  </si>
  <si>
    <t>-519.776671572325 181.512882182325 836.116308371582</t>
  </si>
  <si>
    <t>-597.746428950251 -60.0361401466637 323.518347524817</t>
  </si>
  <si>
    <t>-653.131726252045 -101.834534699541 781.424586537334</t>
  </si>
  <si>
    <t>-499.663912237346 -119.142851127881 826.50089862902</t>
  </si>
  <si>
    <t>9763-20170724T115502.829516800.bin</t>
  </si>
  <si>
    <t>-595.736286517608 51.1072053845328 -92.3081449921166</t>
  </si>
  <si>
    <t>-616.314120525108 46.8709925703768 -201.010101868581</t>
  </si>
  <si>
    <t>-630.441362530411 48.3064379470663 -292.793513346294</t>
  </si>
  <si>
    <t>-642.874673872012 51.5467699252122 -375.69729523476</t>
  </si>
  <si>
    <t>-654.421559663354 56.7759373273173 -458.62782062622</t>
  </si>
  <si>
    <t>-670.335631122315 66.6038015760769 -579.851004683799</t>
  </si>
  <si>
    <t>-662.771306001054 77.4887055997172 -657.081367607373</t>
  </si>
  <si>
    <t>-665.787714897409 93.4283802337893 -523.81521800731</t>
  </si>
  <si>
    <t>-645.678711868495 243.558444020802 -486.495892717408</t>
  </si>
  <si>
    <t>-554.332254102927 229.978402859834 -219.943857731867</t>
  </si>
  <si>
    <t>-350.963099021599 119.925547436151 -241.804196525963</t>
  </si>
  <si>
    <t>-660.917625590311 31.1544410789529 -529.503270286686</t>
  </si>
  <si>
    <t>-602.018412104094 143.755993019791 -96.4399964530256</t>
  </si>
  <si>
    <t>-628.17650429371 148.590884981557 318.282798129855</t>
  </si>
  <si>
    <t>-669.925508354656 180.704465453351 778.391352045877</t>
  </si>
  <si>
    <t>-519.768649358749 181.363025308958 836.152226671288</t>
  </si>
  <si>
    <t>-597.519739505072 -59.9000951117209 323.538750194781</t>
  </si>
  <si>
    <t>-653.162319777985 -101.816523241142 781.404620689909</t>
  </si>
  <si>
    <t>-499.669905104267 -119.068158091798 826.418977228039</t>
  </si>
  <si>
    <t>9763-20170724T115502.861098600.bin</t>
  </si>
  <si>
    <t>-595.594266662461 51.1598306285855 -92.2886730820403</t>
  </si>
  <si>
    <t>-616.179968522753 46.9182299342679 -200.988940604029</t>
  </si>
  <si>
    <t>-630.321507136877 48.3756862741629 -292.769701873463</t>
  </si>
  <si>
    <t>-642.770919901772 51.6461042694696 -375.669990169564</t>
  </si>
  <si>
    <t>-654.337271383627 56.9157095674545 -458.595202226473</t>
  </si>
  <si>
    <t>-670.283582429313 66.8141687739571 -579.808597733104</t>
  </si>
  <si>
    <t>-662.739894658626 77.7426270294891 -657.034537726168</t>
  </si>
  <si>
    <t>-665.739866338616 93.6042753972306 -523.756061385635</t>
  </si>
  <si>
    <t>-645.720737977123 243.718219764176 -486.333380134733</t>
  </si>
  <si>
    <t>-554.280292243554 230.038219430126 -219.818721264333</t>
  </si>
  <si>
    <t>-350.816785612648 120.139281884404 -241.575296099026</t>
  </si>
  <si>
    <t>-660.833107660289 31.3372784752905 -529.486372965995</t>
  </si>
  <si>
    <t>-601.909437319302 143.761508767852 -96.4187085442649</t>
  </si>
  <si>
    <t>-628.107659050363 148.591473947705 318.301637650168</t>
  </si>
  <si>
    <t>-669.931629069834 180.673133739417 778.405205634685</t>
  </si>
  <si>
    <t>-519.777580158452 181.387510758388 836.172715606919</t>
  </si>
  <si>
    <t>-597.415425679095 -59.8147206976828 323.553852921122</t>
  </si>
  <si>
    <t>-653.187177579322 -101.801150827961 781.39406425001</t>
  </si>
  <si>
    <t>-499.667968210619 -118.943738225489 826.358573039479</t>
  </si>
  <si>
    <t>9763-20170724T115502.930284900.bin</t>
  </si>
  <si>
    <t>-595.317207848517 51.3182324344593 -92.2416192860335</t>
  </si>
  <si>
    <t>-615.921072612882 47.0676092995734 -200.937977364507</t>
  </si>
  <si>
    <t>-630.102075941644 48.572725517178 -292.712047520326</t>
  </si>
  <si>
    <t>-642.597294295701 51.9076728935718 -375.602780429753</t>
  </si>
  <si>
    <t>-654.219991848883 57.2640256584812 -458.514579203651</t>
  </si>
  <si>
    <t>-670.260771596835 67.3133450591904 -579.703065069894</t>
  </si>
  <si>
    <t>-662.765711219438 78.3494737639292 -656.918571526682</t>
  </si>
  <si>
    <t>-665.717057895022 94.0297993196407 -523.615252984803</t>
  </si>
  <si>
    <t>-645.902988847271 244.113766741535 -485.945077397404</t>
  </si>
  <si>
    <t>-554.404928478502 230.027333821543 -219.4712600918</t>
  </si>
  <si>
    <t>-350.753389418262 120.494358173098 -241.314082073443</t>
  </si>
  <si>
    <t>-660.727339794744 31.7779107065649 -529.437780083752</t>
  </si>
  <si>
    <t>-601.708998085194 143.815444598412 -96.3748577254316</t>
  </si>
  <si>
    <t>-627.998835900247 148.628183613654 318.339824522558</t>
  </si>
  <si>
    <t>-669.930104364544 180.655224527453 778.437830114377</t>
  </si>
  <si>
    <t>-519.784038915482 181.371782373266 836.225981517797</t>
  </si>
  <si>
    <t>-597.206788287734 -59.5940264353562 323.588581269761</t>
  </si>
  <si>
    <t>-653.267215988573 -101.767919743836 781.366596450666</t>
  </si>
  <si>
    <t>-499.705324558829 -118.887238458273 826.19400123923</t>
  </si>
  <si>
    <t>9763-20170724T115502.960366000.bin</t>
  </si>
  <si>
    <t>-595.178896034083 51.4459172271233 -92.2190851117384</t>
  </si>
  <si>
    <t>-615.784906556844 47.1847473714297 -200.914683109327</t>
  </si>
  <si>
    <t>-629.962940442247 48.7203184497166 -292.688623045894</t>
  </si>
  <si>
    <t>-642.453868204747 52.0982227877535 -375.578355292526</t>
  </si>
  <si>
    <t>-654.071063750289 57.5130401412066 -458.487008504542</t>
  </si>
  <si>
    <t>-670.102388548851 67.6657767850884 -579.668086175763</t>
  </si>
  <si>
    <t>-662.61753908335 78.7751576049113 -656.874149960516</t>
  </si>
  <si>
    <t>-665.586670982727 94.3321760418087 -523.554370738466</t>
  </si>
  <si>
    <t>-645.897215442685 244.407037261229 -485.782362341363</t>
  </si>
  <si>
    <t>-554.404938465332 230.166351177487 -219.314840507183</t>
  </si>
  <si>
    <t>-350.675606693218 120.783668603714 -241.18530926597</t>
  </si>
  <si>
    <t>-660.549293074255 32.0895326227967 -529.43548094252</t>
  </si>
  <si>
    <t>-601.583635466746 143.893260564992 -96.347232593675</t>
  </si>
  <si>
    <t>-627.940648096139 148.706569919976 318.363185202932</t>
  </si>
  <si>
    <t>-669.92426770621 180.675670662645 778.456469836547</t>
  </si>
  <si>
    <t>-519.781108701589 181.371577953769 836.252328703781</t>
  </si>
  <si>
    <t>-597.110870229768 -59.4425936550545 323.608412702007</t>
  </si>
  <si>
    <t>-653.305066063704 -101.725293757272 781.352056329893</t>
  </si>
  <si>
    <t>-499.673818504394 -118.426607563317 826.099499948759</t>
  </si>
  <si>
    <t>9763-20170724T115503.026043700.bin</t>
  </si>
  <si>
    <t>-594.927213946593 51.5612146399117 -92.1804166246712</t>
  </si>
  <si>
    <t>-615.465530388948 47.2933897720482 -200.88854186556</t>
  </si>
  <si>
    <t>-629.586548634345 48.876804097926 -292.670529275394</t>
  </si>
  <si>
    <t>-642.026288856885 52.318387228237 -375.565193036314</t>
  </si>
  <si>
    <t>-653.592551307361 57.8184656649657 -458.475508127074</t>
  </si>
  <si>
    <t>-669.550135754074 68.1185252528094 -579.653839722243</t>
  </si>
  <si>
    <t>-662.059572552899 79.3483349861649 -656.841783572782</t>
  </si>
  <si>
    <t>-665.097980380587 94.713851340407 -523.501224400199</t>
  </si>
  <si>
    <t>-645.609592393578 244.749550738123 -485.473939512502</t>
  </si>
  <si>
    <t>-554.1482873264 230.122496017608 -219.016796310743</t>
  </si>
  <si>
    <t>-350.283223037251 120.941737725821 -240.629971484733</t>
  </si>
  <si>
    <t>-659.998204082204 32.4840175008785 -529.462412704605</t>
  </si>
  <si>
    <t>-601.387127970742 143.95587144557 -96.3069994208819</t>
  </si>
  <si>
    <t>-627.867998081235 148.757829918179 318.395683066012</t>
  </si>
  <si>
    <t>-669.926860053279 180.651306759133 778.477261633158</t>
  </si>
  <si>
    <t>-519.792850271197 181.359144187042 836.296909373199</t>
  </si>
  <si>
    <t>-596.997249049437 -59.372000317233 323.628988106565</t>
  </si>
  <si>
    <t>-653.347671630005 -101.738250408562 781.335694563305</t>
  </si>
  <si>
    <t>-499.72360402039 -118.678864764909 826.017816034165</t>
  </si>
  <si>
    <t>9763-20170724T115503.061097100.bin</t>
  </si>
  <si>
    <t>-594.748356905171 51.592339048497 -92.1627455541956</t>
  </si>
  <si>
    <t>-615.263088878751 47.3233900358996 -200.875210705615</t>
  </si>
  <si>
    <t>-629.359924009569 48.9296056310427 -292.6605546612</t>
  </si>
  <si>
    <t>-641.776084720716 52.4009503369462 -375.557624162475</t>
  </si>
  <si>
    <t>-653.317074376051 57.9400225990566 -458.468796823314</t>
  </si>
  <si>
    <t>-669.235847746218 68.3073523596722 -579.646461352158</t>
  </si>
  <si>
    <t>-661.746440354134 79.5909981115642 -656.826759847199</t>
  </si>
  <si>
    <t>-664.810911610665 94.8706858624525 -523.476596905767</t>
  </si>
  <si>
    <t>-645.401990205484 244.89145560741 -485.336940836975</t>
  </si>
  <si>
    <t>-553.990902178942 230.05758752905 -218.873971606519</t>
  </si>
  <si>
    <t>-350.067407446197 120.954846309164 -240.329325199328</t>
  </si>
  <si>
    <t>-659.690735790003 32.6458370302828 -529.472952620708</t>
  </si>
  <si>
    <t>-601.232865163796 143.977203100163 -96.2852364658025</t>
  </si>
  <si>
    <t>-627.827788693591 148.793324480902 318.409967096866</t>
  </si>
  <si>
    <t>-669.907501752569 180.720611570553 778.484919814239</t>
  </si>
  <si>
    <t>-519.780151264464 181.320649452009 836.323067241351</t>
  </si>
  <si>
    <t>-596.917103087928 -59.3854632166469 323.639895104062</t>
  </si>
  <si>
    <t>-653.351893942778 -101.724366085405 781.336602784858</t>
  </si>
  <si>
    <t>-499.68878643729 -118.375581802796 825.993193701955</t>
  </si>
  <si>
    <t>9763-20170724T115503.130285100.bin</t>
  </si>
  <si>
    <t>-594.412084585878 51.5128011507486 -92.1351055215046</t>
  </si>
  <si>
    <t>-614.877478746859 47.2528986623392 -200.857274007537</t>
  </si>
  <si>
    <t>-628.926669930685 48.9035394870011 -292.649032713266</t>
  </si>
  <si>
    <t>-641.297707741451 52.429543171874 -375.550601621763</t>
  </si>
  <si>
    <t>-652.791582410892 58.0381904394681 -458.463530721195</t>
  </si>
  <si>
    <t>-668.639542832162 68.5234573770376 -579.640439678553</t>
  </si>
  <si>
    <t>-661.150739182044 79.89867058039 -656.807313252433</t>
  </si>
  <si>
    <t>-664.262944971823 95.0305342362378 -523.440388607045</t>
  </si>
  <si>
    <t>-644.989414678258 245.015418104917 -485.108188410813</t>
  </si>
  <si>
    <t>-553.747742626845 229.864916814083 -218.604811977638</t>
  </si>
  <si>
    <t>-349.793674963003 120.789507726726 -239.908075022943</t>
  </si>
  <si>
    <t>-659.108304717 32.8145318476002 -529.497911142621</t>
  </si>
  <si>
    <t>-600.914702981481 143.903403491634 -96.2572258855078</t>
  </si>
  <si>
    <t>-627.732226714052 148.708684054716 318.423722466537</t>
  </si>
  <si>
    <t>-669.898055297484 180.716396422708 778.495139121836</t>
  </si>
  <si>
    <t>-519.784493036821 181.410844944867 836.367906011568</t>
  </si>
  <si>
    <t>-596.775601898334 -59.5359599127833 323.651026045776</t>
  </si>
  <si>
    <t>-653.379798760539 -101.741509434456 781.331917842629</t>
  </si>
  <si>
    <t>-499.732825833011 -118.65420042658 825.945628726063</t>
  </si>
  <si>
    <t>9763-20170724T115503.160931800.bin</t>
  </si>
  <si>
    <t>-594.248445315191 51.4948622136505 -92.1304277895993</t>
  </si>
  <si>
    <t>-614.698478249562 47.2363100288619 -200.855548531438</t>
  </si>
  <si>
    <t>-628.737208308021 48.9143865227504 -292.648464721156</t>
  </si>
  <si>
    <t>-641.100007282014 52.4760457021284 -375.549725770366</t>
  </si>
  <si>
    <t>-652.587157848404 58.1309205104724 -458.460475089225</t>
  </si>
  <si>
    <t>-668.427113891933 68.6955327959329 -579.631414596646</t>
  </si>
  <si>
    <t>-660.943991833963 80.1179737586538 -656.792033886999</t>
  </si>
  <si>
    <t>-664.060089985483 95.1653217196472 -523.413013344482</t>
  </si>
  <si>
    <t>-644.811421357254 245.126890681591 -484.976987440588</t>
  </si>
  <si>
    <t>-553.667078755333 229.850905416188 -218.44759774932</t>
  </si>
  <si>
    <t>-349.703957260076 120.790387288109 -239.740177831302</t>
  </si>
  <si>
    <t>-658.893310091481 32.9543447500018 -529.512379982408</t>
  </si>
  <si>
    <t>-600.727461192637 143.908558492609 -96.2524093935367</t>
  </si>
  <si>
    <t>-627.602633372145 148.690744040473 318.425130261543</t>
  </si>
  <si>
    <t>-669.896040136463 180.719450797244 778.493871603701</t>
  </si>
  <si>
    <t>-519.789745206699 181.511273819542 836.384325835166</t>
  </si>
  <si>
    <t>-596.700454164587 -59.5687291504262 323.653904141743</t>
  </si>
  <si>
    <t>-653.393668208582 -101.721132788541 781.327804331498</t>
  </si>
  <si>
    <t>-499.717373862955 -118.455813728889 825.90781427778</t>
  </si>
  <si>
    <t>9763-20170724T115503.232125500.bin</t>
  </si>
  <si>
    <t>-593.890591404366 51.4026890049304 -92.1219271327</t>
  </si>
  <si>
    <t>-614.314374973196 47.1673846787919 -200.852992236207</t>
  </si>
  <si>
    <t>-628.332718821598 48.8996132532934 -292.647820561164</t>
  </si>
  <si>
    <t>-640.678202651361 52.5245487197687 -375.549032097265</t>
  </si>
  <si>
    <t>-652.149387529749 58.2568321588781 -458.456608678894</t>
  </si>
  <si>
    <t>-667.967653850783 68.9501903326423 -579.619230934122</t>
  </si>
  <si>
    <t>-660.458476445165 80.4489658191128 -656.765885338168</t>
  </si>
  <si>
    <t>-663.603821073374 95.3609021013524 -523.372640479719</t>
  </si>
  <si>
    <t>-644.34411119343 245.279595452375 -484.77931745055</t>
  </si>
  <si>
    <t>-553.386809319959 229.79891477108 -218.197830881524</t>
  </si>
  <si>
    <t>-349.476748281971 120.63454804705 -239.466350559831</t>
  </si>
  <si>
    <t>-658.449662447839 33.155134130478 -529.535594008523</t>
  </si>
  <si>
    <t>-600.293499874816 143.870899402874 -96.2276779460676</t>
  </si>
  <si>
    <t>-627.389633478542 148.630178481462 318.435782693991</t>
  </si>
  <si>
    <t>-669.894602525371 180.689400512414 778.484161928898</t>
  </si>
  <si>
    <t>-519.806347881926 181.456092184357 836.42174479677</t>
  </si>
  <si>
    <t>-596.583464917574 -59.7276493663223 323.650580220973</t>
  </si>
  <si>
    <t>-653.396962008712 -101.72061956927 781.329266161614</t>
  </si>
  <si>
    <t>-499.736771276603 -118.62157163302 825.901931735597</t>
  </si>
  <si>
    <t>9763-20170724T115503.259202700.bin</t>
  </si>
  <si>
    <t>-593.754035543593 51.3242508594774 -92.1203242724062</t>
  </si>
  <si>
    <t>-614.162840455535 47.1005889251567 -200.854579516355</t>
  </si>
  <si>
    <t>-628.167817019407 48.8620521402574 -292.651077334037</t>
  </si>
  <si>
    <t>-640.501141397184 52.5213468382315 -375.552330724541</t>
  </si>
  <si>
    <t>-651.960109501954 58.2960350062799 -458.458803579121</t>
  </si>
  <si>
    <t>-667.760555509285 69.0602981814566 -579.617426047447</t>
  </si>
  <si>
    <t>-660.233571554402 80.6082593051424 -656.754907082013</t>
  </si>
  <si>
    <t>-663.401770231265 95.4384046591181 -523.35520151478</t>
  </si>
  <si>
    <t>-644.092117670427 245.32181434793 -484.642169450751</t>
  </si>
  <si>
    <t>-553.203953148302 229.757253021004 -218.041924144234</t>
  </si>
  <si>
    <t>-349.300247486673 120.559398160162 -239.199319006476</t>
  </si>
  <si>
    <t>-658.253142020434 33.2356061785097 -529.552978100452</t>
  </si>
  <si>
    <t>-600.123402581231 143.827264172358 -96.2186887732074</t>
  </si>
  <si>
    <t>-627.291274406063 148.568331528573 318.440270115651</t>
  </si>
  <si>
    <t>-669.903285271358 180.648915631338 778.480360223721</t>
  </si>
  <si>
    <t>-519.819928628781 181.471840162051 836.429811037631</t>
  </si>
  <si>
    <t>-596.535737148418 -59.8423803365442 323.649208616704</t>
  </si>
  <si>
    <t>-653.393204013714 -101.729432826168 781.338429586368</t>
  </si>
  <si>
    <t>-499.736758434088 -118.658875664941 825.913261722494</t>
  </si>
  <si>
    <t>9763-20170724T115503.326896000.bin</t>
  </si>
  <si>
    <t>-593.469161330768 51.2742821634097 -92.1142747169309</t>
  </si>
  <si>
    <t>-613.833011532471 47.0583198108261 -200.857253079668</t>
  </si>
  <si>
    <t>-627.807462939339 48.8408087761616 -292.658018792395</t>
  </si>
  <si>
    <t>-640.116329112053 52.5248887532912 -375.561831506936</t>
  </si>
  <si>
    <t>-651.553943971263 58.3300526028875 -458.469061388463</t>
  </si>
  <si>
    <t>-667.326611938914 69.1451091622914 -579.62683993987</t>
  </si>
  <si>
    <t>-659.780171969693 80.7621210362438 -656.752146938961</t>
  </si>
  <si>
    <t>-662.97259209856 95.5004301053045 -523.353507247345</t>
  </si>
  <si>
    <t>-643.655469471298 245.34228862936 -484.490049930689</t>
  </si>
  <si>
    <t>-552.995152658163 229.555706908667 -217.825229147664</t>
  </si>
  <si>
    <t>-349.175577448156 120.130860473232 -238.617496115636</t>
  </si>
  <si>
    <t>-657.838826215569 33.29867249878 -529.574248699005</t>
  </si>
  <si>
    <t>-599.792991348566 143.824229385156 -96.2087172810876</t>
  </si>
  <si>
    <t>-627.180918619881 148.501001700172 318.436469325583</t>
  </si>
  <si>
    <t>-669.904905798149 180.645693863642 778.465490125815</t>
  </si>
  <si>
    <t>-519.8325687846 181.414181793456 836.444241125133</t>
  </si>
  <si>
    <t>-596.405850183623 -59.9835119228605 323.655324065971</t>
  </si>
  <si>
    <t>-653.408935462062 -101.744498765603 781.342981964435</t>
  </si>
  <si>
    <t>-499.770921338627 -118.916440514406 825.888487359044</t>
  </si>
  <si>
    <t>9763-20170724T115503.361498300.bin</t>
  </si>
  <si>
    <t>-593.379949422719 51.2475819471997 -92.1288361256113</t>
  </si>
  <si>
    <t>-613.716179785792 47.0264847942856 -200.876686220388</t>
  </si>
  <si>
    <t>-627.666613750318 48.8152622562939 -292.681010482467</t>
  </si>
  <si>
    <t>-639.953327555332 52.5096436070819 -375.587681452254</t>
  </si>
  <si>
    <t>-651.368302016729 58.3294430439084 -458.497159362767</t>
  </si>
  <si>
    <t>-667.107393326206 69.1704409242441 -579.656744450655</t>
  </si>
  <si>
    <t>-659.562154684227 80.8128949280472 -656.778354230329</t>
  </si>
  <si>
    <t>-662.763196966329 95.5142241568642 -523.377410869434</t>
  </si>
  <si>
    <t>-643.411565518954 245.336128701063 -484.45431476329</t>
  </si>
  <si>
    <t>-552.923592175536 229.553022274541 -217.730896632516</t>
  </si>
  <si>
    <t>-349.155860446666 119.990254238245 -238.303801518764</t>
  </si>
  <si>
    <t>-657.639241803456 33.3128346265084 -529.608570437763</t>
  </si>
  <si>
    <t>-599.678776278975 143.808702197121 -96.224486211019</t>
  </si>
  <si>
    <t>-627.139976855662 148.474840264063 318.416006210661</t>
  </si>
  <si>
    <t>-669.916527297325 180.576598754867 778.445262003298</t>
  </si>
  <si>
    <t>-519.852016146357 181.481991838411 836.442182822694</t>
  </si>
  <si>
    <t>-596.382036696999 -60.0400385293894 323.649029757969</t>
  </si>
  <si>
    <t>-653.418687227249 -101.72944625867 781.341550167055</t>
  </si>
  <si>
    <t>-499.774127779091 -118.912782550678 825.860232799087</t>
  </si>
  <si>
    <t>9763-20170724T115503.430173000.bin</t>
  </si>
  <si>
    <t>-593.287027166561 51.1816004786037 -92.1649273931351</t>
  </si>
  <si>
    <t>-613.56207341826 46.9560616056492 -200.924214929414</t>
  </si>
  <si>
    <t>-627.469534422055 48.7446683109474 -292.735046032182</t>
  </si>
  <si>
    <t>-639.720912528924 52.4408003090596 -375.646782071902</t>
  </si>
  <si>
    <t>-651.104260460691 58.2636052593077 -458.560370810745</t>
  </si>
  <si>
    <t>-666.80107948923 69.1108022025528 -579.725005402113</t>
  </si>
  <si>
    <t>-659.265391979404 80.7522197652959 -656.847600132501</t>
  </si>
  <si>
    <t>-662.469284077208 95.4523355396605 -523.443473039912</t>
  </si>
  <si>
    <t>-643.060252430442 245.256959677399 -484.478953018179</t>
  </si>
  <si>
    <t>-553.106741502871 229.486313363483 -217.573929596865</t>
  </si>
  <si>
    <t>-349.413753280943 119.727116134475 -237.83764002745</t>
  </si>
  <si>
    <t>-657.357657557921 33.249879245752 -529.674420135154</t>
  </si>
  <si>
    <t>-599.503092818461 143.81651400998 -96.2670424436185</t>
  </si>
  <si>
    <t>-627.12089192292 148.41492810108 318.363714210291</t>
  </si>
  <si>
    <t>-669.914260090458 180.597963368459 778.397674932207</t>
  </si>
  <si>
    <t>-519.86324673249 181.547749355115 836.428828208534</t>
  </si>
  <si>
    <t>-596.484481647646 -60.2088955933907 323.607370423472</t>
  </si>
  <si>
    <t>-653.456803458348 -101.715216163718 781.335799418224</t>
  </si>
  <si>
    <t>-499.824533103916 -119.197781143564 825.780209827183</t>
  </si>
  <si>
    <t>9763-20170724T115503.462579200.bin</t>
  </si>
  <si>
    <t>-593.276084054462 51.206934292039 -92.1785128862097</t>
  </si>
  <si>
    <t>-613.521658183175 46.9843516201222 -200.943300940596</t>
  </si>
  <si>
    <t>-627.414387801358 48.77120602022 -292.756436734227</t>
  </si>
  <si>
    <t>-639.657116743575 52.464222191415 -375.669742925732</t>
  </si>
  <si>
    <t>-651.03662388801 58.2828111362373 -458.584096036164</t>
  </si>
  <si>
    <t>-666.733481998073 69.1223558444701 -579.749397722107</t>
  </si>
  <si>
    <t>-659.218871278037 80.7483188433655 -656.876376849405</t>
  </si>
  <si>
    <t>-662.410266380397 95.4666494661747 -523.46861039454</t>
  </si>
  <si>
    <t>-643.012145760307 245.26948165551 -484.49437960101</t>
  </si>
  <si>
    <t>-553.280029141087 229.605797160297 -217.508723331674</t>
  </si>
  <si>
    <t>-349.569432588151 119.860487915052 -237.670267179143</t>
  </si>
  <si>
    <t>-657.281409235226 33.2654204912853 -529.697501546609</t>
  </si>
  <si>
    <t>-599.436453580811 143.831527811884 -96.2842770616196</t>
  </si>
  <si>
    <t>-627.106768169574 148.400121408195 318.343361173578</t>
  </si>
  <si>
    <t>-669.934919608836 180.544784331978 778.377610800046</t>
  </si>
  <si>
    <t>-519.887585366158 181.578074080985 836.416878705061</t>
  </si>
  <si>
    <t>-596.533669436913 -60.186586540033 323.597181705729</t>
  </si>
  <si>
    <t>-653.475867915854 -101.645832472455 781.327303445351</t>
  </si>
  <si>
    <t>-499.766447986391 -118.586068722279 825.71502356389</t>
  </si>
  <si>
    <t>9763-20170724T115503.527254400.bin</t>
  </si>
  <si>
    <t>-593.292060045167 51.2391214728805 -92.2124624054428</t>
  </si>
  <si>
    <t>-613.491648658168 47.0259647815108 -200.986173923876</t>
  </si>
  <si>
    <t>-627.360497580184 48.7892096568091 -292.803233242401</t>
  </si>
  <si>
    <t>-639.588228071505 52.4483820506298 -375.720269293945</t>
  </si>
  <si>
    <t>-650.959611058631 58.2208735637503 -458.638912551272</t>
  </si>
  <si>
    <t>-666.65247600871 68.9797651197109 -579.811914977205</t>
  </si>
  <si>
    <t>-659.169351268415 80.5582464158542 -656.949219432654</t>
  </si>
  <si>
    <t>-662.349957716874 95.359823093353 -523.546183621883</t>
  </si>
  <si>
    <t>-643.03559963538 245.194368804695 -484.641764857339</t>
  </si>
  <si>
    <t>-553.744078981912 229.777739894235 -217.493895615133</t>
  </si>
  <si>
    <t>-350.000646460294 120.083668257287 -237.602489590721</t>
  </si>
  <si>
    <t>-657.183171872764 33.1579774540896 -529.738264520944</t>
  </si>
  <si>
    <t>-599.384915163641 143.934317439851 -96.3260968789026</t>
  </si>
  <si>
    <t>-627.105692470358 148.4903085889 318.298297421807</t>
  </si>
  <si>
    <t>-669.929877475281 180.618503317253 778.324731247064</t>
  </si>
  <si>
    <t>-519.890316498777 181.41410726528 836.387818108081</t>
  </si>
  <si>
    <t>-596.651633325224 -60.2789894999059 323.56440035485</t>
  </si>
  <si>
    <t>-653.513082206139 -101.661203283405 781.323900885832</t>
  </si>
  <si>
    <t>-499.815068530875 -118.907829870555 825.632972061475</t>
  </si>
  <si>
    <t>9763-20170724T115503.559849700.bin</t>
  </si>
  <si>
    <t>-593.30647783095 51.2551822384835 -92.2281731510737</t>
  </si>
  <si>
    <t>-613.492367362844 47.0352285659476 -201.004213409165</t>
  </si>
  <si>
    <t>-627.356361533874 48.7804491294864 -292.822346344268</t>
  </si>
  <si>
    <t>-639.582438059017 52.4182101970966 -375.740505846863</t>
  </si>
  <si>
    <t>-650.955004317468 58.1641204992561 -458.660902474958</t>
  </si>
  <si>
    <t>-666.652688465681 68.8788586754133 -579.837179327676</t>
  </si>
  <si>
    <t>-659.18572388189 80.4339198180635 -656.97945642757</t>
  </si>
  <si>
    <t>-662.35681859043 95.2785281575445 -523.580247101503</t>
  </si>
  <si>
    <t>-643.068575179628 245.121042223274 -484.704922553544</t>
  </si>
  <si>
    <t>-553.940743795745 229.891107479598 -217.491746110576</t>
  </si>
  <si>
    <t>-350.189814855297 120.19011533636 -237.486560244667</t>
  </si>
  <si>
    <t>-657.172535699642 33.0761765506199 -529.751911879605</t>
  </si>
  <si>
    <t>-599.386150339201 143.969009470492 -96.3460219791549</t>
  </si>
  <si>
    <t>-627.097396402452 148.521320397332 318.279045477324</t>
  </si>
  <si>
    <t>-669.933809504845 180.635850700187 778.303147450779</t>
  </si>
  <si>
    <t>-519.893231146557 181.424439883475 836.363563659339</t>
  </si>
  <si>
    <t>-596.679412567792 -60.2957149064825 323.547146707735</t>
  </si>
  <si>
    <t>-653.542382668859 -101.639184877019 781.31296326038</t>
  </si>
  <si>
    <t>-499.848053148098 -119.048987792007 825.570966597619</t>
  </si>
  <si>
    <t>9763-20170724T115503.629050800.bin</t>
  </si>
  <si>
    <t>-593.302942570116 51.412491304696 -92.2483259466228</t>
  </si>
  <si>
    <t>-613.466392265581 47.1703958169853 -201.027603216055</t>
  </si>
  <si>
    <t>-627.295398759435 48.8727340750893 -292.85189873243</t>
  </si>
  <si>
    <t>-639.483247945568 52.4615050935095 -375.77789545084</t>
  </si>
  <si>
    <t>-650.810774594123 58.148571165505 -458.708326030945</t>
  </si>
  <si>
    <t>-666.435101253494 68.7662842702352 -579.902758210481</t>
  </si>
  <si>
    <t>-658.958549360534 80.2821818151535 -657.049912397075</t>
  </si>
  <si>
    <t>-662.184795614382 95.2098721698403 -523.663022270472</t>
  </si>
  <si>
    <t>-642.946934172131 245.08328684035 -484.883336900325</t>
  </si>
  <si>
    <t>-554.063006745838 230.013392367534 -217.579773611139</t>
  </si>
  <si>
    <t>-350.254843053726 120.382873360796 -237.376464799381</t>
  </si>
  <si>
    <t>-656.973817726646 33.0046984516398 -529.784479219515</t>
  </si>
  <si>
    <t>-599.440306678646 144.086136084755 -96.3816272999823</t>
  </si>
  <si>
    <t>-627.144067480288 148.590176257565 318.244479179626</t>
  </si>
  <si>
    <t>-669.966818991773 180.595349158122 778.271857796386</t>
  </si>
  <si>
    <t>-519.920695996332 181.439085329762 836.317252074729</t>
  </si>
  <si>
    <t>-596.652958625909 -60.180941332161 323.538288856729</t>
  </si>
  <si>
    <t>-653.567999157769 -101.662713424756 781.294196493261</t>
  </si>
  <si>
    <t>-499.887777613991 -119.356836369854 825.488417334101</t>
  </si>
  <si>
    <t>9763-20170724T115503.665151700.bin</t>
  </si>
  <si>
    <t>-593.281024775301 51.5010336243147 -92.2590118255542</t>
  </si>
  <si>
    <t>-613.438758420295 47.2513699680142 -201.038976068641</t>
  </si>
  <si>
    <t>-627.262646514005 48.9390454692486 -292.864314295957</t>
  </si>
  <si>
    <t>-639.44595322028 52.5107625443893 -375.79176395173</t>
  </si>
  <si>
    <t>-650.768899378705 58.1776843360622 -458.724306442381</t>
  </si>
  <si>
    <t>-666.386690672099 68.7622690646945 -579.922434587641</t>
  </si>
  <si>
    <t>-658.913143414245 80.2648396206012 -657.071846429145</t>
  </si>
  <si>
    <t>-662.149773862828 95.2203087836508 -523.688326123994</t>
  </si>
  <si>
    <t>-642.944878429405 245.108169037535 -484.945106741841</t>
  </si>
  <si>
    <t>-554.122019667955 230.150552052277 -217.615148467149</t>
  </si>
  <si>
    <t>-350.233803281628 120.694084287483 -237.550230615372</t>
  </si>
  <si>
    <t>-656.917691305592 33.0154062209876 -529.7950101348</t>
  </si>
  <si>
    <t>-599.423843329515 144.142253278196 -96.3932859167733</t>
  </si>
  <si>
    <t>-627.129383997815 148.640068352266 318.232790361856</t>
  </si>
  <si>
    <t>-669.981641324598 180.577761319973 778.259181884114</t>
  </si>
  <si>
    <t>-519.93303004012 181.447268186462 836.297743401711</t>
  </si>
  <si>
    <t>-596.619042398669 -60.1031374915312 323.533005115525</t>
  </si>
  <si>
    <t>-653.568386241335 -101.605664276598 781.28721989906</t>
  </si>
  <si>
    <t>-499.822745762343 -118.798264286172 825.45182218623</t>
  </si>
  <si>
    <t>9763-20170724T115503.732363700.bin</t>
  </si>
  <si>
    <t>-593.257506481692 51.6380879303808 -92.274603349219</t>
  </si>
  <si>
    <t>-613.41389194821 47.3844520048524 -201.054823182047</t>
  </si>
  <si>
    <t>-627.27633980127 49.050201643633 -292.874735523569</t>
  </si>
  <si>
    <t>-639.511043738258 52.5950306075079 -375.795700856418</t>
  </si>
  <si>
    <t>-650.902766934692 58.2276041271737 -458.721213973959</t>
  </si>
  <si>
    <t>-666.640419591363 68.754324951813 -579.90873185319</t>
  </si>
  <si>
    <t>-659.218252787487 80.2299688088328 -657.067298204325</t>
  </si>
  <si>
    <t>-662.37801141337 95.2362166373034 -523.687947972646</t>
  </si>
  <si>
    <t>-643.324478747582 245.171738784095 -485.059974124555</t>
  </si>
  <si>
    <t>-554.345594404634 230.442808047434 -217.769152172463</t>
  </si>
  <si>
    <t>-350.26957308033 121.4295290381 -238.205208932472</t>
  </si>
  <si>
    <t>-657.091777729743 33.0342678475383 -529.777536005294</t>
  </si>
  <si>
    <t>-599.369333257345 144.293994722144 -96.4193603211544</t>
  </si>
  <si>
    <t>-627.093253104235 148.69967974764 318.206491649619</t>
  </si>
  <si>
    <t>-670.019950618012 180.520849479257 778.238359430899</t>
  </si>
  <si>
    <t>-519.968606237378 181.391337169151 836.269713086983</t>
  </si>
  <si>
    <t>-596.620854676129 -60.0444966386945 323.523084207327</t>
  </si>
  <si>
    <t>-653.566207010426 -101.59516130211 781.281816832467</t>
  </si>
  <si>
    <t>-499.871657686178 -119.254132511981 825.440227625124</t>
  </si>
  <si>
    <t>9763-20170724T115503.764474100.bin</t>
  </si>
  <si>
    <t>-593.252745639247 51.6976563478086 -92.2789729773607</t>
  </si>
  <si>
    <t>-613.417085323247 47.442220702133 -201.057588032816</t>
  </si>
  <si>
    <t>-627.287971601309 49.1008195107595 -292.876420041532</t>
  </si>
  <si>
    <t>-639.531293239679 52.6371468827983 -375.796387983302</t>
  </si>
  <si>
    <t>-650.932873321928 58.2591554328094 -458.721176581463</t>
  </si>
  <si>
    <t>-666.686520335224 68.7683233693292 -579.908317979331</t>
  </si>
  <si>
    <t>-659.272149085974 80.2388358015842 -657.068197201304</t>
  </si>
  <si>
    <t>-662.42745167295 95.2573364027849 -523.690523603457</t>
  </si>
  <si>
    <t>-643.409186037359 245.206212226843 -485.087668017513</t>
  </si>
  <si>
    <t>-554.309693480043 230.510529581877 -217.835227530888</t>
  </si>
  <si>
    <t>-350.172893885722 121.687975998326 -238.676374640609</t>
  </si>
  <si>
    <t>-657.120449073305 33.0567168414341 -529.774394201462</t>
  </si>
  <si>
    <t>-599.338290827666 144.365623879709 -96.4325179541893</t>
  </si>
  <si>
    <t>-627.038637838429 148.741876069417 318.195122651677</t>
  </si>
  <si>
    <t>-670.032872428097 180.515084092766 778.226573218093</t>
  </si>
  <si>
    <t>-519.979832317792 181.442966040994 836.252915610833</t>
  </si>
  <si>
    <t>-596.62266056639 -60.0089723728886 323.525945518706</t>
  </si>
  <si>
    <t>-653.567722126613 -101.600458277645 781.281426361053</t>
  </si>
  <si>
    <t>-499.886623847107 -119.398005442641 825.431135997123</t>
  </si>
  <si>
    <t>9763-20170724T115503.826136600.bin</t>
  </si>
  <si>
    <t>-593.294681642432 51.8595784623988 -92.3032698422769</t>
  </si>
  <si>
    <t>-613.449979918317 47.5964639953593 -201.083174090979</t>
  </si>
  <si>
    <t>-627.28751375388 49.2512889746511 -292.906989186263</t>
  </si>
  <si>
    <t>-639.490920306736 52.7853055830219 -375.833060514378</t>
  </si>
  <si>
    <t>-650.842950458273 58.4065918651252 -458.76469448641</t>
  </si>
  <si>
    <t>-666.513890697183 68.9164576520507 -579.962440312976</t>
  </si>
  <si>
    <t>-659.107682650685 80.3930678448578 -657.122427514519</t>
  </si>
  <si>
    <t>-662.310327870047 95.4035579062884 -523.739605201564</t>
  </si>
  <si>
    <t>-643.399415761994 245.373969764315 -485.161014920223</t>
  </si>
  <si>
    <t>-554.088711306775 230.724655163146 -217.97646669007</t>
  </si>
  <si>
    <t>-349.911261293827 122.15457910827 -239.716753676128</t>
  </si>
  <si>
    <t>-656.964864163024 33.2062024299153 -529.824410684832</t>
  </si>
  <si>
    <t>-599.373846898168 144.540700993324 -96.4601690589531</t>
  </si>
  <si>
    <t>-627.054829324711 148.844333286941 318.169667342603</t>
  </si>
  <si>
    <t>-670.039269143409 180.55565346799 778.200026122724</t>
  </si>
  <si>
    <t>-519.986622404407 181.461920147368 836.227646842327</t>
  </si>
  <si>
    <t>-596.639538365336 -59.8784648042263 323.521333304138</t>
  </si>
  <si>
    <t>-653.556910716646 -101.573725770785 781.273996745957</t>
  </si>
  <si>
    <t>-499.86029259583 -119.269984561837 825.410336554522</t>
  </si>
  <si>
    <t>9763-20170724T115503.861415600.bin</t>
  </si>
  <si>
    <t>-593.303619933471 51.9423296364214 -92.3028394846084</t>
  </si>
  <si>
    <t>-613.448753132405 47.6760259623788 -201.084548335196</t>
  </si>
  <si>
    <t>-627.283163751577 49.3218851600832 -292.908986775851</t>
  </si>
  <si>
    <t>-639.485823855756 52.8450905895916 -375.835675530128</t>
  </si>
  <si>
    <t>-650.839197442516 58.4529907192109 -458.768157585292</t>
  </si>
  <si>
    <t>-666.51440970781 68.9402602123209 -579.96715740985</t>
  </si>
  <si>
    <t>-659.122644131511 80.413685354536 -657.128883643611</t>
  </si>
  <si>
    <t>-662.316787877718 95.4369907944415 -523.748503962227</t>
  </si>
  <si>
    <t>-643.487211184657 245.430521179752 -485.20624524042</t>
  </si>
  <si>
    <t>-554.022703569663 230.719410784762 -218.076390064255</t>
  </si>
  <si>
    <t>-349.876943861907 122.154747825548 -240.139115385828</t>
  </si>
  <si>
    <t>-656.955754378992 33.2400860033124 -529.823723458623</t>
  </si>
  <si>
    <t>-599.403178658273 144.623973392011 -96.4676525988953</t>
  </si>
  <si>
    <t>-627.087576929362 148.917271660656 318.161944531277</t>
  </si>
  <si>
    <t>-670.026194798074 180.650194269518 778.191595172004</t>
  </si>
  <si>
    <t>-519.974830124074 181.374433575312 836.225113281235</t>
  </si>
  <si>
    <t>-596.640220869019 -59.828526252142 323.51244062931</t>
  </si>
  <si>
    <t>-653.543845969143 -101.528717357254 781.269272402868</t>
  </si>
  <si>
    <t>-499.808620783787 -118.897143180217 825.401403122384</t>
  </si>
  <si>
    <t>9763-20170724T115503.927096500.bin</t>
  </si>
  <si>
    <t>-593.340500096617 51.9683789491505 -92.2914347795149</t>
  </si>
  <si>
    <t>-613.493391955422 47.6872417622228 -201.071166411793</t>
  </si>
  <si>
    <t>-627.348257766799 49.3109605225718 -292.892883426543</t>
  </si>
  <si>
    <t>-639.574751234688 52.8094501833364 -375.817036387189</t>
  </si>
  <si>
    <t>-650.957228440752 58.3883163368016 -458.747426162922</t>
  </si>
  <si>
    <t>-666.680651876717 68.8282494921605 -579.944318872284</t>
  </si>
  <si>
    <t>-659.322864078168 80.296018990485 -657.110217923717</t>
  </si>
  <si>
    <t>-662.474654973387 95.3455816644062 -523.735991131114</t>
  </si>
  <si>
    <t>-643.726882539763 245.350892513203 -485.219507581764</t>
  </si>
  <si>
    <t>-553.95805073862 230.666065591867 -218.190486673732</t>
  </si>
  <si>
    <t>-349.908132862786 122.105348584407 -241.141026565712</t>
  </si>
  <si>
    <t>-657.088019115523 33.1490331316652 -529.792442767839</t>
  </si>
  <si>
    <t>-599.528675729283 144.619802369164 -96.4659146725032</t>
  </si>
  <si>
    <t>-627.183950525002 148.907126175362 318.165743008899</t>
  </si>
  <si>
    <t>-670.069723759527 180.539684216114 778.196485972252</t>
  </si>
  <si>
    <t>-520.01848954424 181.359944757502 836.229019997151</t>
  </si>
  <si>
    <t>-596.622907921793 -59.8303090614747 323.512856643617</t>
  </si>
  <si>
    <t>-653.532836645409 -101.532671964654 781.263600643192</t>
  </si>
  <si>
    <t>-499.821569136637 -119.091642489143 825.403743924221</t>
  </si>
  <si>
    <t>9763-20170724T115503.958686800.bin</t>
  </si>
  <si>
    <t>-593.348756994935 51.939321807864 -92.296240519181</t>
  </si>
  <si>
    <t>-613.529863258182 47.6521778154454 -201.07062438091</t>
  </si>
  <si>
    <t>-627.405654111255 49.2718651016671 -292.889190363663</t>
  </si>
  <si>
    <t>-639.649968528089 52.7670373070757 -375.810929093573</t>
  </si>
  <si>
    <t>-651.049239641216 58.3429096883876 -458.739192790095</t>
  </si>
  <si>
    <t>-666.795950608953 68.7793665048416 -579.933354192916</t>
  </si>
  <si>
    <t>-659.448385681521 80.2485971222388 -657.100031331472</t>
  </si>
  <si>
    <t>-662.586747048313 95.2976410453487 -523.725650230221</t>
  </si>
  <si>
    <t>-643.877264966262 245.30869225251 -485.211512109531</t>
  </si>
  <si>
    <t>-553.944393775651 230.62627071698 -218.237643053184</t>
  </si>
  <si>
    <t>-349.895313359409 122.15799237939 -241.628429768809</t>
  </si>
  <si>
    <t>-657.186079852876 33.1023932385224 -529.783112634869</t>
  </si>
  <si>
    <t>-599.550212214216 144.57694370918 -96.467598022983</t>
  </si>
  <si>
    <t>-627.161807301589 148.875671495123 318.166836778351</t>
  </si>
  <si>
    <t>-670.081157329721 180.515471634409 778.194185317069</t>
  </si>
  <si>
    <t>-520.030185714865 181.426708735131 836.226025298519</t>
  </si>
  <si>
    <t>-596.585220729853 -59.8335912345278 323.514857685548</t>
  </si>
  <si>
    <t>-653.52403493724 -101.537729292867 781.262423828319</t>
  </si>
  <si>
    <t>-499.820546309627 -119.160568659888 825.404138467062</t>
  </si>
  <si>
    <t>9763-20170724T115504.028871000.bin</t>
  </si>
  <si>
    <t>-593.394340398684 51.9057418529085 -92.2790440411283</t>
  </si>
  <si>
    <t>-613.644921797727 47.6261639127722 -201.040799574988</t>
  </si>
  <si>
    <t>-627.57126102437 49.2587485495912 -292.851438523673</t>
  </si>
  <si>
    <t>-639.858418780609 52.7688421358625 -375.766179769336</t>
  </si>
  <si>
    <t>-651.298219911341 58.3626367183447 -458.687722252608</t>
  </si>
  <si>
    <t>-667.10194197612 68.8288625473201 -579.872065592562</t>
  </si>
  <si>
    <t>-659.774414764169 80.3161373814564 -657.037749975862</t>
  </si>
  <si>
    <t>-662.881171675813 95.3317232356226 -523.657913912862</t>
  </si>
  <si>
    <t>-644.222583144954 245.335483455203 -485.100400043433</t>
  </si>
  <si>
    <t>-553.996525471865 230.713123569632 -218.22205816156</t>
  </si>
  <si>
    <t>-349.916515762155 122.485846850129 -242.444654008261</t>
  </si>
  <si>
    <t>-657.453624144085 33.141043141216 -529.736831344536</t>
  </si>
  <si>
    <t>-599.57718858385 144.552884546398 -96.4545219450492</t>
  </si>
  <si>
    <t>-627.07843055088 148.849487013937 318.187227214013</t>
  </si>
  <si>
    <t>-670.111427729157 180.467847655765 778.201094348143</t>
  </si>
  <si>
    <t>-520.059431992456 181.353873579858 836.230715292485</t>
  </si>
  <si>
    <t>-596.515765336252 -59.7909639233862 323.528312205849</t>
  </si>
  <si>
    <t>-653.501170970766 -101.504812462625 781.256789354019</t>
  </si>
  <si>
    <t>-499.774914660855 -118.905476488201 825.407477106967</t>
  </si>
  <si>
    <t>9763-20170724T115504.060666900.bin</t>
  </si>
  <si>
    <t>-593.423833660143 51.8881365813565 -92.2775225994154</t>
  </si>
  <si>
    <t>-613.712531630504 47.6126632920229 -201.032242844361</t>
  </si>
  <si>
    <t>-627.660740993739 49.2550001362772 -292.839545502522</t>
  </si>
  <si>
    <t>-639.963864019754 52.776274667026 -375.751313848117</t>
  </si>
  <si>
    <t>-651.415745642309 58.3842947862543 -458.670215681459</t>
  </si>
  <si>
    <t>-667.233219456562 68.8741982174938 -579.850624545457</t>
  </si>
  <si>
    <t>-659.910147396375 80.372885826024 -657.015210054118</t>
  </si>
  <si>
    <t>-663.009337756101 95.3657468950471 -523.631418188301</t>
  </si>
  <si>
    <t>-644.36144676863 245.364644368813 -485.033458570881</t>
  </si>
  <si>
    <t>-553.989829414044 230.67406052099 -218.208265139243</t>
  </si>
  <si>
    <t>-349.87149784823 122.619036816698 -242.87295840338</t>
  </si>
  <si>
    <t>-657.575947303896 33.1769424964502 -529.724025503446</t>
  </si>
  <si>
    <t>-599.599045952029 144.546684025032 -96.4520795615625</t>
  </si>
  <si>
    <t>-627.044701329267 148.857572174193 318.193243214963</t>
  </si>
  <si>
    <t>-670.116033983971 180.479881198514 778.20044990318</t>
  </si>
  <si>
    <t>-520.062559554831 181.368140105436 836.226261049929</t>
  </si>
  <si>
    <t>-596.488631433061 -59.7758857929568 323.532982866415</t>
  </si>
  <si>
    <t>-653.486997040797 -101.479430468553 781.261042786008</t>
  </si>
  <si>
    <t>-499.753102212699 -118.803528513646 825.415230091728</t>
  </si>
  <si>
    <t>9763-20170724T115504.127855200.bin</t>
  </si>
  <si>
    <t>-593.524535556441 51.8425566487299 -92.2857812312474</t>
  </si>
  <si>
    <t>-613.861292112051 47.5788810701829 -201.03208478165</t>
  </si>
  <si>
    <t>-627.85833174188 49.2525902119789 -292.831238367901</t>
  </si>
  <si>
    <t>-640.209158399138 52.8105188611723 -375.734537225278</t>
  </si>
  <si>
    <t>-651.71243038945 58.4638591349012 -458.643097405201</t>
  </si>
  <si>
    <t>-667.609237489748 69.0293276195932 -579.806695326559</t>
  </si>
  <si>
    <t>-660.321028005386 80.578435291304 -656.967017174813</t>
  </si>
  <si>
    <t>-663.357255784562 95.4850836661012 -523.572690974744</t>
  </si>
  <si>
    <t>-644.712717945348 245.459066290985 -484.858911311896</t>
  </si>
  <si>
    <t>-553.923501907689 230.50460236284 -218.190073664012</t>
  </si>
  <si>
    <t>-349.708274405947 122.86234634828 -243.838103321411</t>
  </si>
  <si>
    <t>-657.910423322242 33.301593567686 -529.709760756872</t>
  </si>
  <si>
    <t>-599.716476615681 144.499821109362 -96.4413951545292</t>
  </si>
  <si>
    <t>-627.069376399807 148.862872029507 318.209554139672</t>
  </si>
  <si>
    <t>-670.133373179099 180.481158765564 778.218267405444</t>
  </si>
  <si>
    <t>-520.074001979069 181.219883306164 836.230881512394</t>
  </si>
  <si>
    <t>-596.471066279988 -59.7519460909284 323.524514896569</t>
  </si>
  <si>
    <t>-653.471971029015 -101.466555243852 781.260753242513</t>
  </si>
  <si>
    <t>-499.732768038976 -118.731312140064 825.419678930665</t>
  </si>
  <si>
    <t>9763-20170724T115504.161942400.bin</t>
  </si>
  <si>
    <t>-593.590618241587 51.8118112188163 -92.287792092846</t>
  </si>
  <si>
    <t>-613.942556715881 47.5539804460993 -201.031447482554</t>
  </si>
  <si>
    <t>-627.957136573255 49.2457027546659 -292.827617744265</t>
  </si>
  <si>
    <t>-640.325739948219 52.8250438924335 -375.727397092697</t>
  </si>
  <si>
    <t>-651.848856755665 58.505027465696 -458.631393564358</t>
  </si>
  <si>
    <t>-667.777001969637 69.1150419460159 -579.786919963878</t>
  </si>
  <si>
    <t>-660.511842232795 80.6957453324389 -656.94464191358</t>
  </si>
  <si>
    <t>-663.518899697056 95.5492094011665 -523.543194505491</t>
  </si>
  <si>
    <t>-644.918125310475 245.505752904408 -484.760993361299</t>
  </si>
  <si>
    <t>-553.975562691085 230.465097381482 -218.149169605949</t>
  </si>
  <si>
    <t>-349.681999188569 123.110793178472 -244.374008814648</t>
  </si>
  <si>
    <t>-658.056853181248 33.3697368048061 -529.706674204963</t>
  </si>
  <si>
    <t>-599.811037708502 144.433753421707 -96.4337290216246</t>
  </si>
  <si>
    <t>-627.120208355042 148.819521891438 318.219841657298</t>
  </si>
  <si>
    <t>-670.141299083798 180.467025363306 778.227984243727</t>
  </si>
  <si>
    <t>-520.080056334753 181.322764524342 836.23409493396</t>
  </si>
  <si>
    <t>-596.455116942452 -59.7054380669999 323.525143665791</t>
  </si>
  <si>
    <t>-653.474236894228 -101.468750655418 781.255288587952</t>
  </si>
  <si>
    <t>-499.708362664553 -118.548158385381 825.393320709213</t>
  </si>
  <si>
    <t>9763-20170724T115504.228621200.bin</t>
  </si>
  <si>
    <t>-593.637258802495 51.8180592707199 -92.2694538848807</t>
  </si>
  <si>
    <t>-614.02970717379 47.5590806066959 -201.005312315594</t>
  </si>
  <si>
    <t>-628.098354318365 49.3059110446238 -292.792385962171</t>
  </si>
  <si>
    <t>-640.52389708984 52.9569664315447 -375.680319199885</t>
  </si>
  <si>
    <t>-652.112458729383 58.7305259347088 -458.568918435747</t>
  </si>
  <si>
    <t>-668.145710413467 69.5014032098986 -579.696230960322</t>
  </si>
  <si>
    <t>-660.95897328987 81.1776920892139 -656.846948299704</t>
  </si>
  <si>
    <t>-663.86676122328 95.8580368929095 -523.417863536978</t>
  </si>
  <si>
    <t>-645.35116399356 245.768919854017 -484.437303374653</t>
  </si>
  <si>
    <t>-554.08249479631 230.578088275262 -217.945492947474</t>
  </si>
  <si>
    <t>-349.470447235129 124.131223110305 -245.35920276755</t>
  </si>
  <si>
    <t>-658.354175990555 33.692352778198 -529.675326023199</t>
  </si>
  <si>
    <t>-599.952111176431 144.33695295655 -96.4044438436858</t>
  </si>
  <si>
    <t>-627.202655513584 148.77392170075 318.252426157701</t>
  </si>
  <si>
    <t>-670.156039631633 180.443513638809 778.265445091786</t>
  </si>
  <si>
    <t>-520.091311819996 181.386369123615 836.261214711019</t>
  </si>
  <si>
    <t>-596.362589099579 -59.5655300949516 323.539998935544</t>
  </si>
  <si>
    <t>-653.473347825611 -101.440339184566 781.241238552387</t>
  </si>
  <si>
    <t>-499.71254062131 -118.588599570633 825.370376631258</t>
  </si>
  <si>
    <t>9763-20170724T115504.262214400.bin</t>
  </si>
  <si>
    <t>-593.612247171767 51.8484398053984 -92.2491990816294</t>
  </si>
  <si>
    <t>-614.035243645778 47.5921715747561 -200.979535550721</t>
  </si>
  <si>
    <t>-628.137100549072 49.3687362818225 -292.760920855293</t>
  </si>
  <si>
    <t>-640.595757516939 53.0569154603731 -375.642249854297</t>
  </si>
  <si>
    <t>-652.220445218588 58.8784867352017 -458.5223283293</t>
  </si>
  <si>
    <t>-668.309927109974 69.7312803787831 -579.635014051241</t>
  </si>
  <si>
    <t>-661.160364626073 81.4604677342218 -656.781080901025</t>
  </si>
  <si>
    <t>-664.01389686554 96.0488305082572 -523.339550547749</t>
  </si>
  <si>
    <t>-645.520857352469 245.942129207873 -484.253918907219</t>
  </si>
  <si>
    <t>-554.146443028921 230.616821344901 -217.806139287837</t>
  </si>
  <si>
    <t>-349.333830620183 124.700117393666 -245.770188155932</t>
  </si>
  <si>
    <t>-658.486151072698 33.8893940328339 -529.644001959392</t>
  </si>
  <si>
    <t>-599.985374075173 144.327219310268 -96.3806236931537</t>
  </si>
  <si>
    <t>-627.20276702918 148.749904569732 318.278613318262</t>
  </si>
  <si>
    <t>-670.153949300411 180.466972617489 778.291343221809</t>
  </si>
  <si>
    <t>-520.088622778108 181.379306893123 836.286052020262</t>
  </si>
  <si>
    <t>-596.270558872616 -59.4725901199165 323.554918555185</t>
  </si>
  <si>
    <t>-653.475048782405 -101.469654748431 781.233354055955</t>
  </si>
  <si>
    <t>-499.730088425643 -118.779311072181 825.354702869073</t>
  </si>
  <si>
    <t>9763-20170724T115504.326888200.bin</t>
  </si>
  <si>
    <t>-593.50103145992 51.9596223213284 -92.19867975276</t>
  </si>
  <si>
    <t>-613.990765232917 47.7067952277778 -200.916566134246</t>
  </si>
  <si>
    <t>-628.181637717994 49.5451614318549 -292.683031978348</t>
  </si>
  <si>
    <t>-640.734123564215 53.3120683712357 -375.546632006826</t>
  </si>
  <si>
    <t>-652.466396952337 59.2354315227915 -458.404420976236</t>
  </si>
  <si>
    <t>-668.728344511545 70.262584575031 -579.478193745792</t>
  </si>
  <si>
    <t>-661.665013985327 82.096060532805 -656.616340301394</t>
  </si>
  <si>
    <t>-664.377152264798 96.4965529350018 -523.148040056041</t>
  </si>
  <si>
    <t>-645.871351933491 246.319465984528 -483.820927882717</t>
  </si>
  <si>
    <t>-554.176272013059 230.745085210788 -217.497643687043</t>
  </si>
  <si>
    <t>-349.035454587018 125.742762096107 -246.485394653992</t>
  </si>
  <si>
    <t>-658.80835084956 34.3513329432103 -529.55605001396</t>
  </si>
  <si>
    <t>-599.944155490205 144.339261498934 -96.3143641340746</t>
  </si>
  <si>
    <t>-627.121742147787 148.755386552208 318.347490802323</t>
  </si>
  <si>
    <t>-670.16596758382 180.419832391232 778.346253679485</t>
  </si>
  <si>
    <t>-520.106504248489 181.341808769728 836.356118703464</t>
  </si>
  <si>
    <t>-596.013664572753 -59.2096075204843 323.596580647864</t>
  </si>
  <si>
    <t>-653.51019971695 -101.417290624736 781.210471388888</t>
  </si>
  <si>
    <t>-499.704791181062 -118.388430249711 825.252434607883</t>
  </si>
  <si>
    <t>9763-20170724T115504.359478500.bin</t>
  </si>
  <si>
    <t>-593.421600969049 52.0113817776776 -92.1675306396153</t>
  </si>
  <si>
    <t>-613.959566756617 47.7616393158371 -200.876353926977</t>
  </si>
  <si>
    <t>-628.214472509492 49.6321246067969 -292.632324982029</t>
  </si>
  <si>
    <t>-640.834188403103 53.4400448649446 -375.483825109649</t>
  </si>
  <si>
    <t>-652.643482007287 59.4160603753885 -458.326890415749</t>
  </si>
  <si>
    <t>-669.028907846682 70.5325922514121 -579.375804786889</t>
  </si>
  <si>
    <t>-662.02725637763 82.4109266668684 -656.512646854973</t>
  </si>
  <si>
    <t>-664.635972380965 96.7233745998642 -523.028827899446</t>
  </si>
  <si>
    <t>-646.124955879996 246.516583942899 -483.577647707353</t>
  </si>
  <si>
    <t>-554.193445707899 230.757808484181 -217.346827010952</t>
  </si>
  <si>
    <t>-348.991895711877 126.019166433125 -246.854098767282</t>
  </si>
  <si>
    <t>-659.042296081449 34.5860776411639 -529.492393263049</t>
  </si>
  <si>
    <t>-599.912391059363 144.358225284641 -96.2794659338786</t>
  </si>
  <si>
    <t>-627.04879923066 148.762937061196 318.385260725681</t>
  </si>
  <si>
    <t>-670.155981746725 180.442688609912 778.370539006601</t>
  </si>
  <si>
    <t>-520.101237278125 181.37309440591 836.392363619508</t>
  </si>
  <si>
    <t>-595.837117906362 -59.0997128396657 323.622367256964</t>
  </si>
  <si>
    <t>-653.526766249519 -101.416417636931 781.193862500195</t>
  </si>
  <si>
    <t>-499.723288207175 -118.479803389911 825.206992729464</t>
  </si>
  <si>
    <t>9763-20170724T115504.425657000.bin</t>
  </si>
  <si>
    <t>-593.198038570209 52.0757913772395 -92.1059886813524</t>
  </si>
  <si>
    <t>-613.811113392599 47.8397677051007 -200.801220621651</t>
  </si>
  <si>
    <t>-628.160239967709 49.7759236963775 -292.541085157589</t>
  </si>
  <si>
    <t>-640.878007014315 53.6635967605146 -375.373878533447</t>
  </si>
  <si>
    <t>-652.798494798608 59.7407249185276 -458.193534213492</t>
  </si>
  <si>
    <t>-669.361205925596 71.0284835840239 -579.202679842854</t>
  </si>
  <si>
    <t>-662.479927760882 82.9972036337938 -656.336300470508</t>
  </si>
  <si>
    <t>-664.918781861319 97.136086965528 -522.820946540826</t>
  </si>
  <si>
    <t>-646.400992984138 246.861319343656 -483.120804496717</t>
  </si>
  <si>
    <t>-554.094234584545 230.918553992384 -217.030804318066</t>
  </si>
  <si>
    <t>-348.801948763907 126.659360539429 -247.586114886457</t>
  </si>
  <si>
    <t>-659.268494921248 35.014878311408 -529.389026220334</t>
  </si>
  <si>
    <t>-599.76264921659 144.37729534805 -96.1962159434765</t>
  </si>
  <si>
    <t>-626.900712644062 148.779055382973 318.468457341619</t>
  </si>
  <si>
    <t>-670.148343091198 180.442869733731 778.444332362699</t>
  </si>
  <si>
    <t>-520.100902976407 181.185674720376 836.487749866876</t>
  </si>
  <si>
    <t>-595.520490888419 -58.9334379818565 323.671267315776</t>
  </si>
  <si>
    <t>-653.533430877174 -101.409066806582 781.183897073786</t>
  </si>
  <si>
    <t>-499.69394534026 -118.207311707233 825.173267798276</t>
  </si>
  <si>
    <t>9763-20170724T115504.461667300.bin</t>
  </si>
  <si>
    <t>-593.071252875962 52.0889957319396 -92.075003246073</t>
  </si>
  <si>
    <t>-613.694930363443 47.8566725048372 -200.76842777452</t>
  </si>
  <si>
    <t>-628.077135078455 49.8196016259244 -292.502414098442</t>
  </si>
  <si>
    <t>-640.834360451437 53.7408307261451 -375.327561372234</t>
  </si>
  <si>
    <t>-652.804142862858 59.8604871922043 -458.137124836421</t>
  </si>
  <si>
    <t>-669.449605464347 71.2204118806378 -579.128035293748</t>
  </si>
  <si>
    <t>-662.630605795062 83.2366022594272 -656.25990552493</t>
  </si>
  <si>
    <t>-664.978198805313 97.2933228155759 -522.732661325303</t>
  </si>
  <si>
    <t>-646.44251340566 246.989742081311 -482.91074880412</t>
  </si>
  <si>
    <t>-553.989794634874 230.888865429655 -216.881002496722</t>
  </si>
  <si>
    <t>-348.624613441123 126.844981573845 -247.67955948541</t>
  </si>
  <si>
    <t>-659.313220058992 35.1782502531307 -529.343923211761</t>
  </si>
  <si>
    <t>-599.672618449976 144.354266070628 -96.1457730231043</t>
  </si>
  <si>
    <t>-626.845053675396 148.77308408436 318.516385983602</t>
  </si>
  <si>
    <t>-670.141431385961 180.456258494051 778.485236868563</t>
  </si>
  <si>
    <t>-520.098450705151 181.144515850049 836.540819312212</t>
  </si>
  <si>
    <t>-595.364420518144 -58.8742609076626 323.698091187329</t>
  </si>
  <si>
    <t>-653.53551113008 -101.420201202857 781.182958675976</t>
  </si>
  <si>
    <t>-499.68996641281 -118.197391391075 825.159041935326</t>
  </si>
  <si>
    <t>9763-20170724T115504.525838300.bin</t>
  </si>
  <si>
    <t>-592.8283208104 52.064264360755 -92.0029205785188</t>
  </si>
  <si>
    <t>-613.44213020827 47.8443583351591 -200.698642499385</t>
  </si>
  <si>
    <t>-627.881009530752 49.8600119284688 -292.422649824661</t>
  </si>
  <si>
    <t>-640.71581894103 53.844765025691 -375.232830409858</t>
  </si>
  <si>
    <t>-652.789797844236 60.0441611579313 -458.021272807287</t>
  </si>
  <si>
    <t>-669.617029034493 71.5379814107346 -578.974401056626</t>
  </si>
  <si>
    <t>-662.928073046286 83.6632861941109 -656.100603346703</t>
  </si>
  <si>
    <t>-665.085902322054 97.5458908344413 -522.553624618884</t>
  </si>
  <si>
    <t>-646.510838897208 247.167777939303 -482.504500338077</t>
  </si>
  <si>
    <t>-553.813990635271 230.875507174901 -216.571347667232</t>
  </si>
  <si>
    <t>-348.31809099181 127.277784809038 -247.995292413706</t>
  </si>
  <si>
    <t>-659.380857568951 35.4433381909953 -529.248697888525</t>
  </si>
  <si>
    <t>-599.499247272627 144.252437989375 -96.0501951831011</t>
  </si>
  <si>
    <t>-626.758033986303 148.673486511321 318.606251844647</t>
  </si>
  <si>
    <t>-670.145529176636 180.396601389574 778.558701847423</t>
  </si>
  <si>
    <t>-520.114232762958 181.29122322031 836.641656674631</t>
  </si>
  <si>
    <t>-595.230843597869 -58.844369717395 323.735579555687</t>
  </si>
  <si>
    <t>-653.575034372801 -101.438070604389 781.172328741935</t>
  </si>
  <si>
    <t>-499.738153306583 -118.456309863411 825.086139639505</t>
  </si>
  <si>
    <t>9763-20170724T115504.562565900.bin</t>
  </si>
  <si>
    <t>-592.70810873303 52.0713500736617 -91.9766265933346</t>
  </si>
  <si>
    <t>-613.311738257462 47.8596953012109 -200.674616191712</t>
  </si>
  <si>
    <t>-627.787691242648 49.9085510762363 -292.391907370726</t>
  </si>
  <si>
    <t>-640.674915273577 53.9333122006003 -375.192069556464</t>
  </si>
  <si>
    <t>-652.820483395505 60.1831041562714 -457.966289519556</t>
  </si>
  <si>
    <t>-669.773811428668 71.761887135043 -578.89362697777</t>
  </si>
  <si>
    <t>-663.156506384242 83.9515130522141 -656.015841298092</t>
  </si>
  <si>
    <t>-665.205897062519 97.7279290255503 -522.456497275367</t>
  </si>
  <si>
    <t>-646.611194419465 247.322913544662 -482.307458298051</t>
  </si>
  <si>
    <t>-553.794997268703 230.952818250863 -216.420561321916</t>
  </si>
  <si>
    <t>-348.256749881032 127.657193793655 -248.554436169614</t>
  </si>
  <si>
    <t>-659.463757084836 35.6346654252486 -529.206975401182</t>
  </si>
  <si>
    <t>-599.377856862632 144.226999002165 -96.01538986853</t>
  </si>
  <si>
    <t>-626.690347415397 148.672295506378 318.637332330179</t>
  </si>
  <si>
    <t>-670.13876178222 180.393645662554 778.589762456139</t>
  </si>
  <si>
    <t>-520.112843815181 181.3034468679 836.686428946257</t>
  </si>
  <si>
    <t>-595.188017981784 -58.8281983542336 323.747372633716</t>
  </si>
  <si>
    <t>-653.593198128517 -101.43795890485 781.16423238519</t>
  </si>
  <si>
    <t>-499.754824570574 -118.518662431187 825.048482007549</t>
  </si>
  <si>
    <t>9763-20170724T115504.628239800.bin</t>
  </si>
  <si>
    <t>-592.558059121732 52.0652770713557 -91.9290613636487</t>
  </si>
  <si>
    <t>-613.119943660976 47.8607578882984 -200.635281613294</t>
  </si>
  <si>
    <t>-627.624627270634 49.994209223571 -292.346180986593</t>
  </si>
  <si>
    <t>-640.564638389332 54.126324024925 -375.132702023941</t>
  </si>
  <si>
    <t>-652.790926290166 60.5145554791848 -457.884510993541</t>
  </si>
  <si>
    <t>-669.893706560968 72.3295926558153 -578.767919764405</t>
  </si>
  <si>
    <t>-663.365767468111 84.6742855566949 -655.873080675953</t>
  </si>
  <si>
    <t>-665.310307685159 98.17927778844 -522.278885053548</t>
  </si>
  <si>
    <t>-646.900088814226 247.732999649088 -481.900511459032</t>
  </si>
  <si>
    <t>-553.829024106035 231.124533092449 -216.117622655909</t>
  </si>
  <si>
    <t>-348.12687011917 128.579620531365 -249.579346486179</t>
  </si>
  <si>
    <t>-659.468039058531 36.1111228207046 -529.171783951448</t>
  </si>
  <si>
    <t>-599.23829270905 144.213380042813 -95.958843537553</t>
  </si>
  <si>
    <t>-626.577374966934 148.680079562202 318.691902813819</t>
  </si>
  <si>
    <t>-670.120953231555 180.437658630479 778.637022190766</t>
  </si>
  <si>
    <t>-520.104816285692 181.398059149453 836.758199348822</t>
  </si>
  <si>
    <t>-595.145500470971 -58.8624674427001 323.763523459919</t>
  </si>
  <si>
    <t>-653.601235740958 -101.452394175936 781.167973619315</t>
  </si>
  <si>
    <t>-499.748407713439 -118.460847538458 825.029687581124</t>
  </si>
  <si>
    <t>9763-20170724T115504.660851600.bin</t>
  </si>
  <si>
    <t>-592.509851440171 51.9880995257827 -91.92305818035</t>
  </si>
  <si>
    <t>-613.029722906496 47.7868216281861 -200.637362289787</t>
  </si>
  <si>
    <t>-627.50224736298 49.9660415772917 -292.352213232599</t>
  </si>
  <si>
    <t>-640.41515385343 54.1564567027319 -375.140127163024</t>
  </si>
  <si>
    <t>-652.616567813121 60.6203292910566 -457.889642429133</t>
  </si>
  <si>
    <t>-669.685856620405 72.5648176694267 -578.765163548131</t>
  </si>
  <si>
    <t>-663.148890358849 84.9767795254538 -655.858719966222</t>
  </si>
  <si>
    <t>-665.13791339353 98.3518243794138 -522.244402875865</t>
  </si>
  <si>
    <t>-646.804356051085 247.882537493075 -481.724113227959</t>
  </si>
  <si>
    <t>-553.693183341469 231.057014835264 -215.968971999843</t>
  </si>
  <si>
    <t>-347.84623601765 128.862555476085 -249.612187515939</t>
  </si>
  <si>
    <t>-659.254109279541 36.2954656764809 -529.207462548445</t>
  </si>
  <si>
    <t>-599.179332970468 144.158271231039 -95.9263862246257</t>
  </si>
  <si>
    <t>-626.553578345038 148.669760680771 318.721624134957</t>
  </si>
  <si>
    <t>-670.123877593146 180.423051276001 778.682924727743</t>
  </si>
  <si>
    <t>-520.111589360139 181.363039292803 836.814325904531</t>
  </si>
  <si>
    <t>-595.164944735321 -59.0020313520397 323.75245948979</t>
  </si>
  <si>
    <t>-653.598141344602 -101.444108976371 781.15782001383</t>
  </si>
  <si>
    <t>-499.728528340489 -118.299479927465 825.019582182309</t>
  </si>
  <si>
    <t>9763-20170724T115504.730030500.bin</t>
  </si>
  <si>
    <t>-592.535557712804 51.7031117421116 -91.9175852918124</t>
  </si>
  <si>
    <t>-612.942273226549 47.5257494424548 -200.65396017939</t>
  </si>
  <si>
    <t>-627.335400471728 49.7743786060259 -292.379755490901</t>
  </si>
  <si>
    <t>-640.18378296262 54.0473041688217 -375.173404485382</t>
  </si>
  <si>
    <t>-652.328502029725 60.6132492512954 -457.923238466787</t>
  </si>
  <si>
    <t>-669.323817777893 72.7289373307281 -578.792206003676</t>
  </si>
  <si>
    <t>-662.71513841036 85.2324014126639 -655.864843983118</t>
  </si>
  <si>
    <t>-664.830272852304 98.433730958986 -522.229783539243</t>
  </si>
  <si>
    <t>-646.569381930575 247.940257180364 -481.57856279893</t>
  </si>
  <si>
    <t>-553.756474232556 230.716093051333 -215.744620778586</t>
  </si>
  <si>
    <t>-347.667366954349 128.99647765877 -249.344111386911</t>
  </si>
  <si>
    <t>-658.902573147966 36.3916257182316 -529.282206700749</t>
  </si>
  <si>
    <t>-599.137691247528 143.987260649204 -95.9132811456608</t>
  </si>
  <si>
    <t>-626.631344574126 148.517526234246 318.726591684334</t>
  </si>
  <si>
    <t>-670.122886965986 180.423301324519 778.702211540618</t>
  </si>
  <si>
    <t>-520.121589449921 181.359749457126 836.861988207919</t>
  </si>
  <si>
    <t>-595.330883614294 -59.419546774797 323.718966908207</t>
  </si>
  <si>
    <t>-653.589464501075 -101.478761735751 781.172428879617</t>
  </si>
  <si>
    <t>-499.75923808754 -118.636318095765 825.055265531641</t>
  </si>
  <si>
    <t>9763-20170724T115504.762116500.bin</t>
  </si>
  <si>
    <t>-592.560102845284 51.5422996182613 -91.9311290193284</t>
  </si>
  <si>
    <t>-612.91150675286 47.379559158529 -200.678590626271</t>
  </si>
  <si>
    <t>-627.260227158933 49.6441506947224 -292.410848002364</t>
  </si>
  <si>
    <t>-640.069907740835 53.9333701559103 -375.209545998719</t>
  </si>
  <si>
    <t>-652.177686230975 60.5173095425876 -457.963431498078</t>
  </si>
  <si>
    <t>-669.12121611748 72.661373818233 -578.836734004193</t>
  </si>
  <si>
    <t>-662.455432691865 85.1853287173781 -655.901237806119</t>
  </si>
  <si>
    <t>-664.659921787704 98.3520523008183 -522.265386991508</t>
  </si>
  <si>
    <t>-646.464776242101 247.860485617865 -481.608127885341</t>
  </si>
  <si>
    <t>-553.80188273808 230.622007417392 -215.722776624722</t>
  </si>
  <si>
    <t>-347.61726983539 129.016441986653 -249.080605256964</t>
  </si>
  <si>
    <t>-658.713194728637 36.3132681338566 -529.331873836991</t>
  </si>
  <si>
    <t>-599.092409894588 143.887271023068 -95.9179816637767</t>
  </si>
  <si>
    <t>-626.65079562293 148.438004598356 318.717299987677</t>
  </si>
  <si>
    <t>-670.111227881348 180.467968848531 778.694062473708</t>
  </si>
  <si>
    <t>-520.117676107366 181.393901251668 836.873921221247</t>
  </si>
  <si>
    <t>-595.478851885595 -59.6511343502691 323.699001197607</t>
  </si>
  <si>
    <t>-653.580598157263 -101.502008673763 781.194396641297</t>
  </si>
  <si>
    <t>-499.758098580212 -118.693093130016 825.091200440685</t>
  </si>
  <si>
    <t>9763-20170724T115504.827792500.bin</t>
  </si>
  <si>
    <t>-592.661892122156 51.3103472688497 -91.9616186580763</t>
  </si>
  <si>
    <t>-612.893532903316 47.1800953616951 -200.732507557603</t>
  </si>
  <si>
    <t>-627.154699041045 49.4610503303397 -292.478120438109</t>
  </si>
  <si>
    <t>-639.891599322352 53.7610184729135 -375.287687913999</t>
  </si>
  <si>
    <t>-651.933283929663 60.3517608360935 -458.050524574466</t>
  </si>
  <si>
    <t>-668.788064454229 72.5015710912674 -578.935743337496</t>
  </si>
  <si>
    <t>-661.996067617154 85.0377698246018 -655.987117798523</t>
  </si>
  <si>
    <t>-664.377621224128 98.1886111397957 -522.358498660951</t>
  </si>
  <si>
    <t>-646.304262942613 247.710069723238 -481.704510669882</t>
  </si>
  <si>
    <t>-553.811701073987 230.495689880355 -215.758325647793</t>
  </si>
  <si>
    <t>-347.479015794202 129.005746163706 -248.547577987783</t>
  </si>
  <si>
    <t>-658.407008376653 36.1521634403102 -529.426121535703</t>
  </si>
  <si>
    <t>-599.099986658606 143.735688626854 -95.9359479703232</t>
  </si>
  <si>
    <t>-626.700900095989 148.302431518555 318.696335813111</t>
  </si>
  <si>
    <t>-670.125138797817 180.413045410604 778.681105437607</t>
  </si>
  <si>
    <t>-520.14568276261 181.395432810917 836.896427428985</t>
  </si>
  <si>
    <t>-595.704079080471 -59.9559317662499 323.664706420399</t>
  </si>
  <si>
    <t>-653.548895189753 -101.499574418422 781.240498271383</t>
  </si>
  <si>
    <t>-499.71406348114 -118.484164650213 825.17444467348</t>
  </si>
  <si>
    <t>9763-20170724T115504.858997700.bin</t>
  </si>
  <si>
    <t>-592.758012286682 51.2590086371413 -91.964765195749</t>
  </si>
  <si>
    <t>-612.923074283691 47.1232037498821 -200.747924908076</t>
  </si>
  <si>
    <t>-627.12542774393 49.4020263350603 -292.502627300288</t>
  </si>
  <si>
    <t>-639.808184745394 53.7012697254831 -375.320422403991</t>
  </si>
  <si>
    <t>-651.794508163724 60.2925893600823 -458.091316671983</t>
  </si>
  <si>
    <t>-668.567131634023 72.4439981700668 -578.987875730262</t>
  </si>
  <si>
    <t>-661.685644977407 84.9786405353032 -656.031465069789</t>
  </si>
  <si>
    <t>-664.179154901891 98.1319799319472 -522.409380283277</t>
  </si>
  <si>
    <t>-646.079758318001 247.656368068785 -481.772501564845</t>
  </si>
  <si>
    <t>-553.715627844307 230.415920440696 -215.783316300214</t>
  </si>
  <si>
    <t>-347.395999599236 128.860763275939 -248.452859934925</t>
  </si>
  <si>
    <t>-658.235726909784 36.0922212638459 -529.469619003518</t>
  </si>
  <si>
    <t>-599.136297723118 143.723166046685 -95.9486686635594</t>
  </si>
  <si>
    <t>-626.762327399574 148.311390497933 318.681769070395</t>
  </si>
  <si>
    <t>-670.111721438249 180.489235275428 778.678868275069</t>
  </si>
  <si>
    <t>-520.135007500357 181.39096718793 836.902539753809</t>
  </si>
  <si>
    <t>-595.866998766125 -60.0682363864694 323.666970692795</t>
  </si>
  <si>
    <t>-653.531992060852 -101.526752360807 781.276225097129</t>
  </si>
  <si>
    <t>-499.705633193897 -118.527643567 825.233499563732</t>
  </si>
  <si>
    <t>9763-20170724T115504.927687200.bin</t>
  </si>
  <si>
    <t>-593.06746321688 51.0392129879478 -92.0234224768659</t>
  </si>
  <si>
    <t>-613.148594882641 46.9288877257331 -200.822904867865</t>
  </si>
  <si>
    <t>-627.255604361909 49.2114151884407 -292.592269925855</t>
  </si>
  <si>
    <t>-639.842409800975 53.5083180538818 -375.424967887608</t>
  </si>
  <si>
    <t>-651.722818003479 60.0908827696562 -458.211811847</t>
  </si>
  <si>
    <t>-668.329545598542 72.2227924693859 -579.133118506183</t>
  </si>
  <si>
    <t>-661.262997815906 84.7340940174613 -656.163910821838</t>
  </si>
  <si>
    <t>-663.971719664424 97.9249965732888 -522.558926141862</t>
  </si>
  <si>
    <t>-645.606238040129 247.435562581452 -481.995519317288</t>
  </si>
  <si>
    <t>-553.643404515438 230.184863262138 -215.868047600267</t>
  </si>
  <si>
    <t>-347.509613807846 128.139530794157 -248.181178265238</t>
  </si>
  <si>
    <t>-658.113610307865 35.873768313066 -529.588901583423</t>
  </si>
  <si>
    <t>-599.263885281243 143.636617150436 -96.004654342109</t>
  </si>
  <si>
    <t>-626.906350179274 148.196553329049 318.624971178626</t>
  </si>
  <si>
    <t>-670.147867597259 180.435491347395 778.63563302095</t>
  </si>
  <si>
    <t>-520.172771255236 181.480389149455 836.861148453455</t>
  </si>
  <si>
    <t>-596.23710361733 -60.384952783151 323.635341282966</t>
  </si>
  <si>
    <t>-653.491593153558 -101.565156605131 781.331320509856</t>
  </si>
  <si>
    <t>-499.733908609603 -119.022207328498 825.35007131947</t>
  </si>
  <si>
    <t>9763-20170724T115504.957954800.bin</t>
  </si>
  <si>
    <t>-593.260858894989 51.0067077285555 -92.0833763179462</t>
  </si>
  <si>
    <t>-613.272044009731 46.9194530334335 -200.896679050728</t>
  </si>
  <si>
    <t>-627.325637930948 49.2026162783397 -292.674279521774</t>
  </si>
  <si>
    <t>-639.866323016185 53.4934291017512 -375.514182886074</t>
  </si>
  <si>
    <t>-651.702529197441 60.0626933025128 -458.308477917809</t>
  </si>
  <si>
    <t>-668.246634790992 72.1672022429486 -579.241078324636</t>
  </si>
  <si>
    <t>-661.093676348003 84.6405917401935 -656.270054729007</t>
  </si>
  <si>
    <t>-663.883146274347 97.8860522149428 -522.674821056863</t>
  </si>
  <si>
    <t>-645.387235145447 247.404451985733 -482.19313713189</t>
  </si>
  <si>
    <t>-553.621664558343 230.134814212019 -215.99880800524</t>
  </si>
  <si>
    <t>-347.635305717033 127.74861936861 -248.173718869961</t>
  </si>
  <si>
    <t>-658.091302445592 35.8255988470094 -529.679041391277</t>
  </si>
  <si>
    <t>-599.34352033338 143.672533026704 -96.0577300033417</t>
  </si>
  <si>
    <t>-627.009306400544 148.180611004131 318.570921860905</t>
  </si>
  <si>
    <t>-670.160386311012 180.440671217356 778.590416249429</t>
  </si>
  <si>
    <t>-520.185385038749 181.421078478591 836.817213452735</t>
  </si>
  <si>
    <t>-596.45324700422 -60.47613425025 323.584640135459</t>
  </si>
  <si>
    <t>-653.462234519965 -101.577287848819 781.334103505187</t>
  </si>
  <si>
    <t>-499.728502246478 -119.11409796795 825.404823922014</t>
  </si>
  <si>
    <t>9763-20170724T115505.028646100.bin</t>
  </si>
  <si>
    <t>-593.768254135685 50.9837334135098 -92.1825019111145</t>
  </si>
  <si>
    <t>-613.628957788393 46.9447828348491 -201.025212106911</t>
  </si>
  <si>
    <t>-627.563694499503 49.2261200892578 -292.820972000189</t>
  </si>
  <si>
    <t>-640.000270318741 53.500412595715 -375.677427649147</t>
  </si>
  <si>
    <t>-651.735443857492 60.0369879642981 -458.488628019692</t>
  </si>
  <si>
    <t>-668.135365846176 72.0755076967466 -579.447381312382</t>
  </si>
  <si>
    <t>-660.822681965311 84.4527240883117 -656.476903136205</t>
  </si>
  <si>
    <t>-663.769119271772 97.832658024643 -522.898894232905</t>
  </si>
  <si>
    <t>-644.938625914312 247.351005126977 -482.568308856574</t>
  </si>
  <si>
    <t>-553.606370990815 230.082082052897 -216.224945504226</t>
  </si>
  <si>
    <t>-347.834126910347 127.073537020984 -247.777394418934</t>
  </si>
  <si>
    <t>-658.109364279647 35.7534792040658 -529.844770941207</t>
  </si>
  <si>
    <t>-599.606028222256 143.723903333313 -96.1781016066448</t>
  </si>
  <si>
    <t>-627.236949741579 148.151130032418 318.4537493851</t>
  </si>
  <si>
    <t>-670.189384507685 180.445568480152 778.492381408161</t>
  </si>
  <si>
    <t>-520.214137246446 181.508095757401 836.717127103702</t>
  </si>
  <si>
    <t>-596.960930140114 -60.5990751277761 323.494012973674</t>
  </si>
  <si>
    <t>-653.385004872971 -101.540445844733 781.342357087821</t>
  </si>
  <si>
    <t>-499.653614780416 -118.874074830406 825.501503652363</t>
  </si>
  <si>
    <t>9763-20170724T115505.060938400.bin</t>
  </si>
  <si>
    <t>-594.086681015509 51.0236207017931 -92.224886921986</t>
  </si>
  <si>
    <t>-613.899798799238 47.015239704411 -201.077459207535</t>
  </si>
  <si>
    <t>-627.782058803905 49.2903654625177 -292.881254550899</t>
  </si>
  <si>
    <t>-640.166270326425 53.5476350552981 -375.74633305964</t>
  </si>
  <si>
    <t>-651.843949310891 60.0549090471304 -458.568112889218</t>
  </si>
  <si>
    <t>-668.153998382305 72.037642024492 -579.544650418417</t>
  </si>
  <si>
    <t>-660.762713166223 84.3569706801557 -656.575872143825</t>
  </si>
  <si>
    <t>-663.786256470892 97.8254505780708 -523.010037408625</t>
  </si>
  <si>
    <t>-644.750197339663 247.348951130904 -482.794035874389</t>
  </si>
  <si>
    <t>-553.646079760471 230.151485323455 -216.36795986195</t>
  </si>
  <si>
    <t>-347.96159716472 126.874154803791 -247.612536317479</t>
  </si>
  <si>
    <t>-658.208315405056 35.7339807620344 -529.912191140563</t>
  </si>
  <si>
    <t>-599.78402362005 143.826304242158 -96.2341284251573</t>
  </si>
  <si>
    <t>-627.412610575943 148.191489040301 318.398483574405</t>
  </si>
  <si>
    <t>-670.200374766256 180.482290311524 778.448021210728</t>
  </si>
  <si>
    <t>-520.221385443991 181.37131357466 836.666095004961</t>
  </si>
  <si>
    <t>-597.280361756528 -60.588517230635 323.452928881121</t>
  </si>
  <si>
    <t>-653.362825601905 -101.540550778843 781.340759927987</t>
  </si>
  <si>
    <t>-499.65042589638 -118.9458325312 825.537778528972</t>
  </si>
  <si>
    <t>9763-20170724T115505.128621100.bin</t>
  </si>
  <si>
    <t>-594.778945677058 51.1681217964667 -92.3173648230634</t>
  </si>
  <si>
    <t>-614.562296490323 47.1986046620746 -201.176691058113</t>
  </si>
  <si>
    <t>-628.392440107404 49.4457029214266 -292.989076314828</t>
  </si>
  <si>
    <t>-640.71848571107 53.6556212812866 -375.865416735381</t>
  </si>
  <si>
    <t>-652.32651526121 60.0921561562495 -458.702320767674</t>
  </si>
  <si>
    <t>-668.521862249352 71.9462180804649 -579.706971526135</t>
  </si>
  <si>
    <t>-660.975545457174 84.1296703757325 -656.744814100207</t>
  </si>
  <si>
    <t>-664.125849103069 97.8024537409485 -523.205928673127</t>
  </si>
  <si>
    <t>-644.681430947258 247.338621582519 -483.226019892589</t>
  </si>
  <si>
    <t>-553.9004329203 230.209530217022 -216.685246656642</t>
  </si>
  <si>
    <t>-348.432590199772 126.427593136634 -247.682311120126</t>
  </si>
  <si>
    <t>-658.705105819375 35.687072864725 -530.016356810951</t>
  </si>
  <si>
    <t>-600.250980766651 144.034216367078 -96.3413420125471</t>
  </si>
  <si>
    <t>-627.710094304375 148.353501271228 318.303085321134</t>
  </si>
  <si>
    <t>-670.232275254353 180.532925886899 778.373636531097</t>
  </si>
  <si>
    <t>-520.237532539928 181.335963569648 836.552372181028</t>
  </si>
  <si>
    <t>-597.769297903782 -60.4721516027764 323.379385617243</t>
  </si>
  <si>
    <t>-653.332522394119 -101.546995791506 781.339293307938</t>
  </si>
  <si>
    <t>-499.659489822961 -119.227625867221 825.5639545212</t>
  </si>
  <si>
    <t>9763-20170724T115505.158887300.bin</t>
  </si>
  <si>
    <t>-595.168002011313 51.2875484612646 -92.3562301589941</t>
  </si>
  <si>
    <t>-614.966076512589 47.3340338529297 -201.213538760892</t>
  </si>
  <si>
    <t>-628.784323839095 49.5630252772871 -293.028219117722</t>
  </si>
  <si>
    <t>-641.089524099786 53.7449905242529 -375.909004050797</t>
  </si>
  <si>
    <t>-652.666376326325 60.141378440311 -458.753348289758</t>
  </si>
  <si>
    <t>-668.804614585403 71.9233240278945 -579.772651426649</t>
  </si>
  <si>
    <t>-661.176714968578 84.0306129827641 -656.814417739463</t>
  </si>
  <si>
    <t>-664.400206708596 97.8168361756434 -523.28930636404</t>
  </si>
  <si>
    <t>-644.79739021642 247.363472331955 -483.447998888242</t>
  </si>
  <si>
    <t>-554.091403912054 230.373717692736 -216.872817899846</t>
  </si>
  <si>
    <t>-348.734400668314 126.349459221891 -247.791794490015</t>
  </si>
  <si>
    <t>-659.046372091207 35.6902698476817 -530.05154991346</t>
  </si>
  <si>
    <t>-600.577518547408 144.201426564187 -96.387223837806</t>
  </si>
  <si>
    <t>-627.897258769213 148.473941462675 318.266915133357</t>
  </si>
  <si>
    <t>-670.256756759496 180.551990418417 778.351583416655</t>
  </si>
  <si>
    <t>-520.250213672228 181.268138197418 836.501028255571</t>
  </si>
  <si>
    <t>-597.984595760507 -60.3682411403768 323.343258014275</t>
  </si>
  <si>
    <t>-653.327913798822 -101.531331479596 781.330808096471</t>
  </si>
  <si>
    <t>-499.649336094273 -119.1772405691 825.549983593534</t>
  </si>
  <si>
    <t>9763-20170724T115505.229079600.bin</t>
  </si>
  <si>
    <t>-596.005733979113 51.5781106608006 -92.4269086732638</t>
  </si>
  <si>
    <t>-615.862363348671 47.6317881692733 -201.27391629845</t>
  </si>
  <si>
    <t>-629.691522263456 49.810791192474 -293.08797249951</t>
  </si>
  <si>
    <t>-641.99033400129 53.9259032482673 -375.973091144045</t>
  </si>
  <si>
    <t>-653.543782417062 60.2332796915387 -458.827565232735</t>
  </si>
  <si>
    <t>-669.628580157714 71.8609065832634 -579.868915961215</t>
  </si>
  <si>
    <t>-661.853641274951 83.8257318849091 -656.918207033978</t>
  </si>
  <si>
    <t>-665.195799919949 97.8315867499816 -523.423267771013</t>
  </si>
  <si>
    <t>-645.331529867191 247.414536387354 -483.846241614312</t>
  </si>
  <si>
    <t>-554.683949185301 230.721729128171 -217.2324058931</t>
  </si>
  <si>
    <t>-349.430271221398 126.427670106628 -247.927979493217</t>
  </si>
  <si>
    <t>-659.945661035835 35.6859308141809 -530.090763495234</t>
  </si>
  <si>
    <t>-601.366740286427 144.507862600466 -96.4687208878868</t>
  </si>
  <si>
    <t>-628.341180049266 148.69102508881 318.208828084886</t>
  </si>
  <si>
    <t>-670.326265581568 180.504036547595 778.341972049048</t>
  </si>
  <si>
    <t>-520.287594479925 181.249453857323 836.408115434028</t>
  </si>
  <si>
    <t>-598.321860020026 -60.034080326413 323.294347362403</t>
  </si>
  <si>
    <t>-653.329154758984 -101.473286342914 781.312252723426</t>
  </si>
  <si>
    <t>-499.623825076368 -118.99230660844 825.488935466138</t>
  </si>
  <si>
    <t>9763-20170724T115505.259161400.bin</t>
  </si>
  <si>
    <t>-596.449012033924 51.737096302287 -92.454704053603</t>
  </si>
  <si>
    <t>-616.336357844322 47.784638183693 -201.295662430275</t>
  </si>
  <si>
    <t>-630.170078055959 49.9344209674741 -293.10982336711</t>
  </si>
  <si>
    <t>-642.463783139697 54.0136805851321 -375.997544105004</t>
  </si>
  <si>
    <t>-654.002434213748 60.2758809986224 -458.857419279751</t>
  </si>
  <si>
    <t>-670.054678465268 71.8268951197656 -579.910499699327</t>
  </si>
  <si>
    <t>-662.200094780728 83.7198502614142 -656.962896329399</t>
  </si>
  <si>
    <t>-665.614905575819 97.835512799699 -523.482760806834</t>
  </si>
  <si>
    <t>-645.633674809303 247.442057698537 -484.040398312733</t>
  </si>
  <si>
    <t>-554.964478055148 230.818031065131 -217.429485722036</t>
  </si>
  <si>
    <t>-349.701077177431 126.510675418244 -248.014622697229</t>
  </si>
  <si>
    <t>-660.407286395097 35.6813382045418 -530.104088886156</t>
  </si>
  <si>
    <t>-601.812828558589 144.67064057248 -96.5028640716848</t>
  </si>
  <si>
    <t>-628.572877837069 148.830896775188 318.188829009238</t>
  </si>
  <si>
    <t>-670.352202803103 180.503503314508 778.344601913453</t>
  </si>
  <si>
    <t>-520.297147924896 181.204299226126 836.368783162801</t>
  </si>
  <si>
    <t>-598.471086201598 -59.8624681263032 323.279244349683</t>
  </si>
  <si>
    <t>-653.337707518295 -101.469392433579 781.300375857024</t>
  </si>
  <si>
    <t>-499.6710087992 -119.374527858523 825.456575097972</t>
  </si>
  <si>
    <t>9763-20170724T115505.329852700.bin</t>
  </si>
  <si>
    <t>-597.262146300613 52.1465394691961 -92.5124054003011</t>
  </si>
  <si>
    <t>-617.220403923359 48.1688769180578 -201.339518704786</t>
  </si>
  <si>
    <t>-631.085006729834 50.248033122884 -293.150632014378</t>
  </si>
  <si>
    <t>-643.39412318723 54.2436593467983 -376.040048905678</t>
  </si>
  <si>
    <t>-654.935227902685 60.402024106545 -458.90756670417</t>
  </si>
  <si>
    <t>-670.97603591496 71.7796794345072 -579.978440728964</t>
  </si>
  <si>
    <t>-662.982181398285 83.5119898637056 -657.041190084518</t>
  </si>
  <si>
    <t>-666.5229668848 97.8708779422827 -523.589958945532</t>
  </si>
  <si>
    <t>-646.533490377045 247.548394058115 -484.435765416198</t>
  </si>
  <si>
    <t>-555.54264858253 231.21123361289 -217.916770175256</t>
  </si>
  <si>
    <t>-350.278313120689 126.8568220188 -248.334502510384</t>
  </si>
  <si>
    <t>-661.351949739818 35.7036413433864 -530.117320230567</t>
  </si>
  <si>
    <t>-602.651453561674 145.056690023388 -96.5670453920286</t>
  </si>
  <si>
    <t>-628.977816107692 149.202909038376 318.152538593682</t>
  </si>
  <si>
    <t>-670.393036674097 180.534607474031 778.350630127299</t>
  </si>
  <si>
    <t>-520.309385705864 181.074449078668 836.302622904218</t>
  </si>
  <si>
    <t>-598.78713798411 -59.4016363589401 323.2481873197</t>
  </si>
  <si>
    <t>-653.36575849015 -101.396170558142 781.274712290507</t>
  </si>
  <si>
    <t>-499.6430713886 -119.041960587216 825.340346409549</t>
  </si>
  <si>
    <t>9763-20170724T115505.361447900.bin</t>
  </si>
  <si>
    <t>-597.602959526353 52.3567900385601 -92.5256058413156</t>
  </si>
  <si>
    <t>-617.595979886367 48.3733116810224 -201.346169773715</t>
  </si>
  <si>
    <t>-631.490039943603 50.4221941021401 -293.153559825615</t>
  </si>
  <si>
    <t>-643.825592882932 54.3801040026926 -376.040887859788</t>
  </si>
  <si>
    <t>-655.392833310047 60.4905397408163 -458.908155076028</t>
  </si>
  <si>
    <t>-671.471528543147 71.7867022132125 -579.981702683922</t>
  </si>
  <si>
    <t>-663.435824260595 83.4491439548369 -657.050684326665</t>
  </si>
  <si>
    <t>-667.0056652549 97.9152575302292 -523.611563106755</t>
  </si>
  <si>
    <t>-647.113211292592 247.650044209656 -484.622643476628</t>
  </si>
  <si>
    <t>-555.891577030646 231.516007487621 -218.170308923126</t>
  </si>
  <si>
    <t>-350.650228014967 127.116874080711 -248.589689550406</t>
  </si>
  <si>
    <t>-661.827028364753 35.7447128053343 -530.099767552739</t>
  </si>
  <si>
    <t>-603.021308728434 145.211188043162 -96.5806190690575</t>
  </si>
  <si>
    <t>-629.151560080579 149.328002462525 318.151707125719</t>
  </si>
  <si>
    <t>-670.429993956558 180.478645809642 778.364994136246</t>
  </si>
  <si>
    <t>-520.330190488247 181.155353006036 836.273712253564</t>
  </si>
  <si>
    <t>-598.929984519813 -59.1516864757396 323.236569324057</t>
  </si>
  <si>
    <t>-653.388137875027 -101.369918238379 781.257480771108</t>
  </si>
  <si>
    <t>-499.628833620504 -118.847152945017 825.262487068807</t>
  </si>
  <si>
    <t>9763-20170724T115505.430126800.bin</t>
  </si>
  <si>
    <t>-598.115426562268 52.7817248804829 -92.5199052873324</t>
  </si>
  <si>
    <t>-618.185082495874 48.8037672896671 -201.326563309223</t>
  </si>
  <si>
    <t>-632.140677706878 50.8281941911448 -293.125219280432</t>
  </si>
  <si>
    <t>-644.530691271636 54.7515937629216 -376.0058920551</t>
  </si>
  <si>
    <t>-656.151457440662 60.8158167419442 -458.869183344664</t>
  </si>
  <si>
    <t>-672.307369654149 72.0317120161776 -579.93990601801</t>
  </si>
  <si>
    <t>-664.228906558168 83.6098080609816 -657.017241919773</t>
  </si>
  <si>
    <t>-667.839100943644 98.1945284049316 -523.585837344281</t>
  </si>
  <si>
    <t>-648.250392044155 248.058677200398 -484.937678426568</t>
  </si>
  <si>
    <t>-556.41392352618 232.387707974937 -218.669025935402</t>
  </si>
  <si>
    <t>-351.200842121344 127.994346425033 -249.29807786292</t>
  </si>
  <si>
    <t>-662.59749475956 36.0260403561338 -530.044525200089</t>
  </si>
  <si>
    <t>-603.572300855031 145.492977776509 -96.5578597492837</t>
  </si>
  <si>
    <t>-629.361537178742 149.576146060404 318.196116462435</t>
  </si>
  <si>
    <t>-670.464325066232 180.530196996662 778.413685554533</t>
  </si>
  <si>
    <t>-520.326336382005 181.023529343448 836.225107330385</t>
  </si>
  <si>
    <t>-599.061045278012 -58.6453661430851 323.234225577345</t>
  </si>
  <si>
    <t>-653.417266449434 -101.305020509062 781.224979198562</t>
  </si>
  <si>
    <t>-499.605426510022 -118.539370779998 825.142119220395</t>
  </si>
  <si>
    <t>9763-20170724T115505.462636300.bin</t>
  </si>
  <si>
    <t>-598.322154589936 52.9507759780126 -92.4922501949922</t>
  </si>
  <si>
    <t>-618.436563495865 48.9929067158855 -201.291359236126</t>
  </si>
  <si>
    <t>-632.396120148314 51.0153423190482 -293.089339448137</t>
  </si>
  <si>
    <t>-644.776110308653 54.929345243622 -375.972087971053</t>
  </si>
  <si>
    <t>-656.37321600313 60.9767504144331 -458.839949615839</t>
  </si>
  <si>
    <t>-672.479586659534 72.1602528006858 -579.920165293231</t>
  </si>
  <si>
    <t>-664.37251295578 83.6974559610469 -657.000557164001</t>
  </si>
  <si>
    <t>-668.045013677771 98.3372084706964 -523.569907262329</t>
  </si>
  <si>
    <t>-648.609493929145 248.257813362058 -485.048629775151</t>
  </si>
  <si>
    <t>-556.454498175671 232.777353368527 -218.878841353353</t>
  </si>
  <si>
    <t>-351.212128602245 128.515387892368 -249.758441566382</t>
  </si>
  <si>
    <t>-662.779459980731 36.1689601008857 -530.012576754733</t>
  </si>
  <si>
    <t>-603.835703850497 145.582061624419 -96.5165587140973</t>
  </si>
  <si>
    <t>-629.470397518808 149.623162342627 318.24740064256</t>
  </si>
  <si>
    <t>-670.506479437352 180.472148304371 778.45581105396</t>
  </si>
  <si>
    <t>-520.340283133641 181.010884570985 836.193527253187</t>
  </si>
  <si>
    <t>-599.084398966592 -58.4503462036453 323.239138880313</t>
  </si>
  <si>
    <t>-653.43405479436 -101.312836211267 781.209307984936</t>
  </si>
  <si>
    <t>-499.621969537232 -118.650704962751 825.084859150783</t>
  </si>
  <si>
    <t>9763-20170724T115505.524802000.bin</t>
  </si>
  <si>
    <t>-598.54400370782 53.232368244094 -92.4545959965113</t>
  </si>
  <si>
    <t>-618.685319402378 49.3164312967133 -201.250245254451</t>
  </si>
  <si>
    <t>-632.620760319687 51.3303457845936 -293.052036820915</t>
  </si>
  <si>
    <t>-644.960090316187 55.2184739472104 -375.942050052122</t>
  </si>
  <si>
    <t>-656.497479017228 61.2227722241701 -458.821453601943</t>
  </si>
  <si>
    <t>-672.495596387148 72.3242907665795 -579.923610402179</t>
  </si>
  <si>
    <t>-664.346164828337 83.7794511166956 -657.011787834236</t>
  </si>
  <si>
    <t>-668.131226861048 98.5373596503041 -523.584609913469</t>
  </si>
  <si>
    <t>-649.013668676328 248.55602541344 -485.285782696276</t>
  </si>
  <si>
    <t>-556.073426017505 233.379781150038 -219.371518496826</t>
  </si>
  <si>
    <t>-350.867528053199 129.149502155195 -250.598345416676</t>
  </si>
  <si>
    <t>-662.820266012355 36.3687576488248 -529.985360918748</t>
  </si>
  <si>
    <t>-604.151699672242 145.757241840416 -96.4487029930792</t>
  </si>
  <si>
    <t>-629.802550011913 149.638471821795 318.315752827287</t>
  </si>
  <si>
    <t>-670.558461930656 180.447286242616 778.559682932353</t>
  </si>
  <si>
    <t>-520.346531453116 181.012573425168 836.178068986114</t>
  </si>
  <si>
    <t>-599.006073157293 -58.1482372476314 323.24234458294</t>
  </si>
  <si>
    <t>-653.463268949785 -101.287000348867 781.17334919475</t>
  </si>
  <si>
    <t>-499.623699076522 -118.576968732361 824.971266488336</t>
  </si>
  <si>
    <t>9763-20170724T115505.561576100.bin</t>
  </si>
  <si>
    <t>-598.486908527731 53.4046407510739 -92.4395370737183</t>
  </si>
  <si>
    <t>-618.648703024509 49.4943628061967 -201.231554371326</t>
  </si>
  <si>
    <t>-632.592094931336 51.5025090035094 -293.032316388029</t>
  </si>
  <si>
    <t>-644.934639722729 55.3810155187794 -375.922348944183</t>
  </si>
  <si>
    <t>-656.471276252141 61.3710528470003 -458.802652447126</t>
  </si>
  <si>
    <t>-672.463740980897 72.4468506945389 -579.908044300534</t>
  </si>
  <si>
    <t>-664.308950689364 83.8672927618563 -657.000693038817</t>
  </si>
  <si>
    <t>-668.10853021883 98.6712488625167 -523.573643238769</t>
  </si>
  <si>
    <t>-649.087114321214 248.704285186022 -485.296487983029</t>
  </si>
  <si>
    <t>-555.660939756032 233.620376627712 -219.547341870322</t>
  </si>
  <si>
    <t>-350.520647241217 129.306409027913 -250.925247783975</t>
  </si>
  <si>
    <t>-662.78421339121 36.5025568045107 -529.962518439512</t>
  </si>
  <si>
    <t>-604.134452458771 145.913044107 -96.414072250088</t>
  </si>
  <si>
    <t>-629.804185490146 149.812025222129 318.349082769504</t>
  </si>
  <si>
    <t>-670.557516596645 180.51582002966 778.605054766964</t>
  </si>
  <si>
    <t>-520.336576025885 180.87432574462 836.201677847616</t>
  </si>
  <si>
    <t>-598.913213497424 -58.0064891486056 323.250667735205</t>
  </si>
  <si>
    <t>-653.461595843088 -101.273486766994 781.162331075095</t>
  </si>
  <si>
    <t>-499.60327336785 -118.465771792453 824.932871480521</t>
  </si>
  <si>
    <t>9763-20170724T115505.628284900.bin</t>
  </si>
  <si>
    <t>-598.201408397287 53.7861320690567 -92.3798971713519</t>
  </si>
  <si>
    <t>-618.426517335596 49.8778727950562 -201.16034343647</t>
  </si>
  <si>
    <t>-632.378104603291 51.8953622646411 -292.959703184091</t>
  </si>
  <si>
    <t>-644.709935706476 55.7849350612696 -375.850746798865</t>
  </si>
  <si>
    <t>-656.217692493984 61.7895211583984 -458.734125135303</t>
  </si>
  <si>
    <t>-672.148098521041 72.8903574573696 -579.8453512463</t>
  </si>
  <si>
    <t>-664.004423606505 84.3141831371324 -656.938671636484</t>
  </si>
  <si>
    <t>-667.842307647238 99.1010362786649 -523.500824455195</t>
  </si>
  <si>
    <t>-649.093755735228 249.161434343418 -485.210281913294</t>
  </si>
  <si>
    <t>-554.79881094283 233.984044837432 -219.773526265607</t>
  </si>
  <si>
    <t>-349.587839423377 129.889016383856 -251.415338375308</t>
  </si>
  <si>
    <t>-662.473606364679 36.9378334231001 -529.904580127466</t>
  </si>
  <si>
    <t>-603.951105047019 146.299653081943 -96.3379144279157</t>
  </si>
  <si>
    <t>-629.659732843696 150.036509308394 318.424326258104</t>
  </si>
  <si>
    <t>-670.575618115557 180.511283336256 778.687331044195</t>
  </si>
  <si>
    <t>-520.348875969823 181.037636168527 836.267483496281</t>
  </si>
  <si>
    <t>-598.630735794611 -57.7115177020485 323.286745165009</t>
  </si>
  <si>
    <t>-653.468580106321 -101.230956416775 781.139590072243</t>
  </si>
  <si>
    <t>-499.601997375297 -118.488962885526 824.855273461412</t>
  </si>
  <si>
    <t>9763-20170724T115505.659876600.bin</t>
  </si>
  <si>
    <t>-597.994302501594 54.0098837263993 -92.34347940999</t>
  </si>
  <si>
    <t>-618.254710229532 50.1062755218543 -201.117552000968</t>
  </si>
  <si>
    <t>-632.212284938168 52.1386934725392 -292.915600795806</t>
  </si>
  <si>
    <t>-644.540154690938 56.0464631340863 -375.806371787467</t>
  </si>
  <si>
    <t>-656.034760981583 62.0740328933621 -458.689915448615</t>
  </si>
  <si>
    <t>-671.936059217791 73.2135208968862 -579.801269513905</t>
  </si>
  <si>
    <t>-663.804291782336 84.676153656008 -656.890356128457</t>
  </si>
  <si>
    <t>-667.649730885472 99.4055866046087 -523.446689041628</t>
  </si>
  <si>
    <t>-649.005888697659 249.473843773463 -485.122745156651</t>
  </si>
  <si>
    <t>-554.349791306531 234.207542224291 -219.819597144735</t>
  </si>
  <si>
    <t>-349.080919427141 130.232657751588 -251.481149336227</t>
  </si>
  <si>
    <t>-662.267669521527 37.2456351619392 -529.870662088992</t>
  </si>
  <si>
    <t>-603.73851805336 146.514932598025 -96.2935395907149</t>
  </si>
  <si>
    <t>-629.498010774248 150.145233866765 318.466481900703</t>
  </si>
  <si>
    <t>-670.590193470626 180.465979212029 778.725715209311</t>
  </si>
  <si>
    <t>-520.365730196441 181.073915558378 836.310919983381</t>
  </si>
  <si>
    <t>-598.421254888679 -57.5291186028451 323.318652383195</t>
  </si>
  <si>
    <t>-653.472305480864 -101.201499595902 781.131105182706</t>
  </si>
  <si>
    <t>-499.571026445434 -118.222956573095 824.817308714556</t>
  </si>
  <si>
    <t>9763-20170724T115505.731080200.bin</t>
  </si>
  <si>
    <t>-597.326441429185 54.4466400740048 -92.262200392768</t>
  </si>
  <si>
    <t>-617.654048846123 50.5285509110547 -201.023124858895</t>
  </si>
  <si>
    <t>-631.611110808221 52.587829165187 -292.820747659179</t>
  </si>
  <si>
    <t>-643.91578794956 56.5360736279429 -375.713072774986</t>
  </si>
  <si>
    <t>-655.364496793669 62.6203208707661 -458.598748560885</t>
  </si>
  <si>
    <t>-671.173932128215 73.8608400120108 -579.712968769785</t>
  </si>
  <si>
    <t>-663.052309946561 85.4100396770652 -656.790007702151</t>
  </si>
  <si>
    <t>-666.922771427165 100.006691281977 -523.334160829547</t>
  </si>
  <si>
    <t>-648.40627615908 250.063673728068 -484.89137468438</t>
  </si>
  <si>
    <t>-553.039467713012 234.484221450792 -219.861141143421</t>
  </si>
  <si>
    <t>-347.677043063234 130.674608216636 -251.458154414455</t>
  </si>
  <si>
    <t>-661.551016282529 37.8504785872808 -529.804049501232</t>
  </si>
  <si>
    <t>-603.016134105996 147.001870870589 -96.2071435610598</t>
  </si>
  <si>
    <t>-629.0423793651 150.410216319779 318.538110606119</t>
  </si>
  <si>
    <t>-670.585200427682 180.507723457804 778.774776308856</t>
  </si>
  <si>
    <t>-520.3743397493 180.925871858242 836.39709527002</t>
  </si>
  <si>
    <t>-597.961479702141 -57.2645210722135 323.399736912542</t>
  </si>
  <si>
    <t>-653.475429118897 -101.221622531743 781.126489967377</t>
  </si>
  <si>
    <t>-499.594209392574 -118.496541924588 824.783859281369</t>
  </si>
  <si>
    <t>9763-20170724T115505.765173000.bin</t>
  </si>
  <si>
    <t>-596.971979984072 54.5413765974922 -92.2357238307999</t>
  </si>
  <si>
    <t>-617.298541755824 50.6311125075742 -200.997120223968</t>
  </si>
  <si>
    <t>-631.243602460318 52.7154577611891 -292.796018680982</t>
  </si>
  <si>
    <t>-643.532966787423 56.694048936225 -375.689130969993</t>
  </si>
  <si>
    <t>-654.961963428086 62.8161622582552 -458.574709407395</t>
  </si>
  <si>
    <t>-670.7376624161 74.1203855266851 -579.687387265499</t>
  </si>
  <si>
    <t>-662.61842056478 85.7150850404732 -656.757878543019</t>
  </si>
  <si>
    <t>-666.495526590215 100.237171228401 -523.294481035136</t>
  </si>
  <si>
    <t>-648.008622290642 250.273045149801 -484.779524892712</t>
  </si>
  <si>
    <t>-552.30048954526 234.587630823956 -219.878613199252</t>
  </si>
  <si>
    <t>-346.894935454869 130.804728089051 -251.282417908859</t>
  </si>
  <si>
    <t>-661.135336944571 38.0832163261734 -529.793955081263</t>
  </si>
  <si>
    <t>-602.658133748656 147.116265026345 -96.1675862538069</t>
  </si>
  <si>
    <t>-628.825231781881 150.448472080193 318.569420081875</t>
  </si>
  <si>
    <t>-670.586278246537 180.507472799684 778.79140618196</t>
  </si>
  <si>
    <t>-520.381253203157 180.975870504209 836.428673726713</t>
  </si>
  <si>
    <t>-597.748630057059 -57.2704159395694 323.421278078791</t>
  </si>
  <si>
    <t>-653.465080554447 -101.195110494961 781.127115318611</t>
  </si>
  <si>
    <t>-499.578392682911 -118.429990110537 824.781158841711</t>
  </si>
  <si>
    <t>9763-20170724T115505.830350700.bin</t>
  </si>
  <si>
    <t>-596.256281299775 54.6325328397165 -92.1730931986017</t>
  </si>
  <si>
    <t>-616.568148254075 50.7566346094327 -200.938468906438</t>
  </si>
  <si>
    <t>-630.478943513555 52.9113557739797 -292.740893619979</t>
  </si>
  <si>
    <t>-642.728437801127 56.9705645569456 -375.636023127802</t>
  </si>
  <si>
    <t>-654.108388332989 63.1900292682444 -458.521171216985</t>
  </si>
  <si>
    <t>-669.802236493769 74.6547779532229 -579.629387258593</t>
  </si>
  <si>
    <t>-661.668057033533 86.3137202656396 -656.688528874085</t>
  </si>
  <si>
    <t>-665.568594811397 100.699733673236 -523.20254141107</t>
  </si>
  <si>
    <t>-647.029588041838 250.682196936679 -484.50311971147</t>
  </si>
  <si>
    <t>-550.747947682444 234.401800893349 -219.845976239098</t>
  </si>
  <si>
    <t>-345.141599927083 130.98966323348 -251.158939855919</t>
  </si>
  <si>
    <t>-660.263240023156 38.5485207954951 -529.773597206799</t>
  </si>
  <si>
    <t>-601.898374275572 147.272549958592 -96.0993491968244</t>
  </si>
  <si>
    <t>-628.387031538376 150.458411918608 318.61837727819</t>
  </si>
  <si>
    <t>-670.578263378054 180.486760152314 778.802108798375</t>
  </si>
  <si>
    <t>-520.394596564751 180.974840987594 836.494686665156</t>
  </si>
  <si>
    <t>-597.318888158841 -57.335725740199 323.461004992502</t>
  </si>
  <si>
    <t>-653.434924691361 -101.197509716257 781.13455830461</t>
  </si>
  <si>
    <t>-499.584318516433 -118.682472642167 824.816291768855</t>
  </si>
  <si>
    <t>9763-20170724T115505.862437100.bin</t>
  </si>
  <si>
    <t>-595.899025097176 54.6441694349558 -92.1432805565491</t>
  </si>
  <si>
    <t>-616.189349226093 50.7830217950088 -200.913251281549</t>
  </si>
  <si>
    <t>-630.06420739635 52.983402664981 -292.720001278674</t>
  </si>
  <si>
    <t>-642.274009897878 57.0977753709496 -375.618230932334</t>
  </si>
  <si>
    <t>-653.607011571316 63.3859905698494 -458.50462080227</t>
  </si>
  <si>
    <t>-669.224285456722 74.9655841343263 -579.611840554136</t>
  </si>
  <si>
    <t>-661.07009848682 86.6680771930362 -656.662359052838</t>
  </si>
  <si>
    <t>-665.002119984075 100.95937790693 -523.160619027887</t>
  </si>
  <si>
    <t>-646.39273090502 250.900439091846 -484.333011734897</t>
  </si>
  <si>
    <t>-549.873590234584 234.385752358134 -219.77692557351</t>
  </si>
  <si>
    <t>-344.224552030245 131.082099001286 -251.167582299146</t>
  </si>
  <si>
    <t>-659.740996411582 38.8096805851717 -529.781482360163</t>
  </si>
  <si>
    <t>-601.46465150536 147.322550179544 -96.0642868927876</t>
  </si>
  <si>
    <t>-628.187763935376 150.43904477059 318.638950295917</t>
  </si>
  <si>
    <t>-670.59176095 180.422029382549 778.814614783232</t>
  </si>
  <si>
    <t>-520.41722237122 181.070844675389 836.529429045684</t>
  </si>
  <si>
    <t>-597.117306134405 -57.4215438494812 323.479881552406</t>
  </si>
  <si>
    <t>-653.413387130995 -101.200185006374 781.137834289962</t>
  </si>
  <si>
    <t>-499.58115654203 -118.784946929677 824.844230221679</t>
  </si>
  <si>
    <t>9763-20170724T115505.929617800.bin</t>
  </si>
  <si>
    <t>-595.339792947771 54.7388320626574 -92.1209639479913</t>
  </si>
  <si>
    <t>-615.560755970629 50.9132701356584 -200.905040080187</t>
  </si>
  <si>
    <t>-629.345557751617 53.1979808971296 -292.723226788411</t>
  </si>
  <si>
    <t>-641.462144578754 57.4118901934735 -375.630198065345</t>
  </si>
  <si>
    <t>-652.690460924342 63.8221137161268 -458.521513856032</t>
  </si>
  <si>
    <t>-668.142468200981 75.6055438000042 -579.630198763564</t>
  </si>
  <si>
    <t>-659.93948827269 87.4224062707078 -656.658090001406</t>
  </si>
  <si>
    <t>-663.973635255196 101.506664003805 -523.132454438349</t>
  </si>
  <si>
    <t>-645.394066617524 251.372138747052 -484.017522175526</t>
  </si>
  <si>
    <t>-548.359764666736 234.29679920062 -219.68543197788</t>
  </si>
  <si>
    <t>-342.682510851022 131.170959707883 -251.473250432136</t>
  </si>
  <si>
    <t>-658.750847443786 39.363561997942 -529.845119092302</t>
  </si>
  <si>
    <t>-600.745425868242 147.526023410556 -96.0303627215611</t>
  </si>
  <si>
    <t>-627.847377294531 150.492041372794 318.64934354306</t>
  </si>
  <si>
    <t>-670.574696389679 180.466130406808 778.803075773373</t>
  </si>
  <si>
    <t>-520.427266209812 181.00051259132 836.589672376942</t>
  </si>
  <si>
    <t>-596.91325307801 -57.5024333719327 323.489326773159</t>
  </si>
  <si>
    <t>-653.338135585501 -101.147771965305 781.155963723137</t>
  </si>
  <si>
    <t>-499.504635093855 -118.522065349364 824.94196718626</t>
  </si>
  <si>
    <t>9763-20170724T115505.961706300.bin</t>
  </si>
  <si>
    <t>-595.117934443756 54.7897615900079 -92.1027131374498</t>
  </si>
  <si>
    <t>-615.283812563959 50.9755932023336 -200.897422714014</t>
  </si>
  <si>
    <t>-629.011873563994 53.30200674809 -292.723130845521</t>
  </si>
  <si>
    <t>-641.073361036841 57.5670917353518 -375.635476002745</t>
  </si>
  <si>
    <t>-652.242876433082 64.0417431036044 -458.529808364291</t>
  </si>
  <si>
    <t>-667.605038117083 75.9338757257758 -579.639276940602</t>
  </si>
  <si>
    <t>-659.362304442156 87.8267966719811 -656.651109404854</t>
  </si>
  <si>
    <t>-663.466336461794 101.785407573164 -523.116665677902</t>
  </si>
  <si>
    <t>-644.89290855471 251.638604842132 -483.912393419971</t>
  </si>
  <si>
    <t>-547.745067867197 234.338448021786 -219.636696130989</t>
  </si>
  <si>
    <t>-342.042052602196 131.277367923652 -251.467681999671</t>
  </si>
  <si>
    <t>-658.262157327301 39.6460930185212 -529.878378109141</t>
  </si>
  <si>
    <t>-600.412260272154 147.654907442301 -96.019248290712</t>
  </si>
  <si>
    <t>-627.675183211285 150.553081458982 318.65045030374</t>
  </si>
  <si>
    <t>-670.547819538632 180.558875352498 778.786860227525</t>
  </si>
  <si>
    <t>-520.415217981008 180.822702798129 836.613927637789</t>
  </si>
  <si>
    <t>-596.887907879596 -57.5716600748663 323.497034361092</t>
  </si>
  <si>
    <t>-653.305632107723 -101.139337962501 781.172613254136</t>
  </si>
  <si>
    <t>-499.493488117841 -118.595122214987 825.001114669064</t>
  </si>
  <si>
    <t>9763-20170724T115506.026879800.bin</t>
  </si>
  <si>
    <t>-594.732492248188 54.7269769400114 -92.0622941043963</t>
  </si>
  <si>
    <t>-614.787343328296 50.9558204421928 -200.878977527586</t>
  </si>
  <si>
    <t>-628.413612743278 53.3302888549104 -292.71857922148</t>
  </si>
  <si>
    <t>-640.38008559422 57.6444974253691 -375.642285784906</t>
  </si>
  <si>
    <t>-651.451539958584 64.1733209288866 -458.5453990814</t>
  </si>
  <si>
    <t>-666.667049107421 76.1503215376142 -579.664996223171</t>
  </si>
  <si>
    <t>-658.300012071528 88.1079805535758 -656.653429075744</t>
  </si>
  <si>
    <t>-662.566824432915 101.965113736713 -523.122793859025</t>
  </si>
  <si>
    <t>-643.953382570028 251.780991825833 -483.817109657822</t>
  </si>
  <si>
    <t>-546.74739297877 234.095552091342 -219.588409245742</t>
  </si>
  <si>
    <t>-341.001399666709 131.130999243645 -251.45392078782</t>
  </si>
  <si>
    <t>-657.414356253876 39.8248504279229 -529.914809864976</t>
  </si>
  <si>
    <t>-599.917268329698 147.640807349545 -95.9820129772652</t>
  </si>
  <si>
    <t>-627.494008811487 150.466851344906 318.667423119642</t>
  </si>
  <si>
    <t>-670.588356456093 180.406065112481 778.77252686428</t>
  </si>
  <si>
    <t>-520.471472859613 180.943680078495 836.638382317693</t>
  </si>
  <si>
    <t>-596.748870258444 -57.8065459068318 323.506707166711</t>
  </si>
  <si>
    <t>-653.257179388288 -101.176005951097 781.188447252793</t>
  </si>
  <si>
    <t>-499.516094833888 -119.095752716343 825.079153201987</t>
  </si>
  <si>
    <t>9763-20170724T115506.064529800.bin</t>
  </si>
  <si>
    <t>-594.531327993224 54.7539751038125 -92.050922105808</t>
  </si>
  <si>
    <t>-614.532459288103 50.9979285994423 -200.878159818463</t>
  </si>
  <si>
    <t>-628.092527315053 53.3848810486036 -292.727221660641</t>
  </si>
  <si>
    <t>-639.990783416095 57.7106080935437 -375.660068679114</t>
  </si>
  <si>
    <t>-650.985368486866 64.2513194692067 -458.572511608624</t>
  </si>
  <si>
    <t>-666.079024386877 76.2457612313165 -579.70571160644</t>
  </si>
  <si>
    <t>-657.620421313772 88.2013213526659 -656.684341561732</t>
  </si>
  <si>
    <t>-662.014179818237 102.054371162109 -523.158090072688</t>
  </si>
  <si>
    <t>-643.328817281884 251.859193296594 -483.827402659335</t>
  </si>
  <si>
    <t>-546.123073004109 234.116387919132 -219.602547043376</t>
  </si>
  <si>
    <t>-340.328488317601 131.25041963306 -251.472651879663</t>
  </si>
  <si>
    <t>-656.897949038298 39.9109616531268 -529.948885229603</t>
  </si>
  <si>
    <t>-599.671621770085 147.660423150758 -95.9703045446381</t>
  </si>
  <si>
    <t>-627.365468813817 150.485726943767 318.671267862092</t>
  </si>
  <si>
    <t>-670.595568823383 180.389715215892 778.768481680999</t>
  </si>
  <si>
    <t>-520.483609335578 180.950230356032 836.646884172338</t>
  </si>
  <si>
    <t>-596.667680966645 -57.7992622467962 323.515177430431</t>
  </si>
  <si>
    <t>-653.231529101853 -101.144850072784 781.192448899458</t>
  </si>
  <si>
    <t>-499.492105005847 -119.025665257688 825.10469797876</t>
  </si>
  <si>
    <t>9763-20170724T115506.126695500.bin</t>
  </si>
  <si>
    <t>-594.186846405994 54.831963497691 -92.0304690184213</t>
  </si>
  <si>
    <t>-614.073033849889 51.0887597571425 -200.879080945881</t>
  </si>
  <si>
    <t>-627.487390987458 53.4609962794368 -292.749980401581</t>
  </si>
  <si>
    <t>-639.234026037652 57.7643711727524 -375.705662581447</t>
  </si>
  <si>
    <t>-650.056578880951 64.2730622629165 -458.643250586347</t>
  </si>
  <si>
    <t>-664.876136940649 76.2102249983877 -579.815786130001</t>
  </si>
  <si>
    <t>-656.226786130422 88.0944388558007 -656.784555643966</t>
  </si>
  <si>
    <t>-660.891262359356 102.050154085676 -523.276764577255</t>
  </si>
  <si>
    <t>-642.060696969824 251.84762546003 -483.99483449915</t>
  </si>
  <si>
    <t>-544.776527958418 234.175717674955 -219.793998989704</t>
  </si>
  <si>
    <t>-338.893467295679 131.467875714909 -251.602756340304</t>
  </si>
  <si>
    <t>-655.855593648493 39.8944900111514 -530.015817433645</t>
  </si>
  <si>
    <t>-599.269316030845 147.751880237322 -95.9544611283229</t>
  </si>
  <si>
    <t>-627.148014758123 150.531087691912 318.6750856915</t>
  </si>
  <si>
    <t>-670.610027938981 180.362957718934 778.758865276878</t>
  </si>
  <si>
    <t>-520.508560117828 180.863983893367 836.664910763277</t>
  </si>
  <si>
    <t>-596.51566398618 -57.8144079797937 323.538214806623</t>
  </si>
  <si>
    <t>-653.195809324385 -101.112458966058 781.200230334234</t>
  </si>
  <si>
    <t>-499.466428897562 -119.021063128723 825.136348994849</t>
  </si>
  <si>
    <t>9763-20170724T115506.157799500.bin</t>
  </si>
  <si>
    <t>-594.030292470055 54.9081788276201 -92.0222829779286</t>
  </si>
  <si>
    <t>-613.845474203146 51.1706931650501 -200.884023191415</t>
  </si>
  <si>
    <t>-627.196155325001 53.5278768267528 -292.76472194668</t>
  </si>
  <si>
    <t>-638.883389977509 57.8100933110109 -375.729660613203</t>
  </si>
  <si>
    <t>-649.64436993355 64.2896880953647 -458.677609046954</t>
  </si>
  <si>
    <t>-664.371301300748 76.1755164470242 -579.866667569139</t>
  </si>
  <si>
    <t>-655.645562710681 88.015102531378 -656.833473545429</t>
  </si>
  <si>
    <t>-660.401170478194 102.042076302066 -523.338777253006</t>
  </si>
  <si>
    <t>-641.488811533216 251.842179473014 -484.122204064559</t>
  </si>
  <si>
    <t>-544.053929747622 234.301698468672 -219.968085953158</t>
  </si>
  <si>
    <t>-338.145096868705 131.639742480659 -251.758337591914</t>
  </si>
  <si>
    <t>-655.417295538754 39.8782639345561 -530.041121939756</t>
  </si>
  <si>
    <t>-599.087816918266 147.836497319177 -95.954438346619</t>
  </si>
  <si>
    <t>-627.071034430695 150.58581676142 318.668249584192</t>
  </si>
  <si>
    <t>-670.608982361475 180.38498955183 778.753121105895</t>
  </si>
  <si>
    <t>-520.510048488151 180.909913389075 836.665739156471</t>
  </si>
  <si>
    <t>-596.478456625718 -57.7962765412367 323.544047292714</t>
  </si>
  <si>
    <t>-653.184595162916 -101.090493665009 781.201959702415</t>
  </si>
  <si>
    <t>-499.43202384369 -118.805077247077 825.135635710616</t>
  </si>
  <si>
    <t>9763-20170724T115506.228989700.bin</t>
  </si>
  <si>
    <t>-593.681261471257 55.039434761934 -92.0280920116494</t>
  </si>
  <si>
    <t>-613.382043530621 51.2988025107522 -200.910552727367</t>
  </si>
  <si>
    <t>-626.638923077008 53.6227191792939 -292.805568593839</t>
  </si>
  <si>
    <t>-638.24195419858 57.8636863104837 -375.784538487421</t>
  </si>
  <si>
    <t>-648.918811441943 64.2897986657017 -458.747438499466</t>
  </si>
  <si>
    <t>-663.522530302793 76.0838118266006 -579.960431388067</t>
  </si>
  <si>
    <t>-654.684564167103 87.8323019750489 -656.928446295541</t>
  </si>
  <si>
    <t>-659.555326264998 101.998112021363 -523.454130684497</t>
  </si>
  <si>
    <t>-640.415216238559 251.811887878968 -484.37670548478</t>
  </si>
  <si>
    <t>-542.806254591781 234.380678336312 -220.279721451334</t>
  </si>
  <si>
    <t>-336.87893236578 131.8042596263 -252.225678118262</t>
  </si>
  <si>
    <t>-654.673753002511 39.8193402960892 -530.092300194918</t>
  </si>
  <si>
    <t>-598.616162397285 147.970963985057 -95.9663821578688</t>
  </si>
  <si>
    <t>-626.854710308369 150.662848604769 318.639383361933</t>
  </si>
  <si>
    <t>-670.629397907999 180.334687184167 778.722623369703</t>
  </si>
  <si>
    <t>-520.538196262164 180.851631829633 836.655140833725</t>
  </si>
  <si>
    <t>-596.399050636609 -57.8094652234947 323.552896372733</t>
  </si>
  <si>
    <t>-653.152501066485 -101.08663882569 781.207945202093</t>
  </si>
  <si>
    <t>-499.440131425772 -119.098503465507 825.161317728674</t>
  </si>
  <si>
    <t>9763-20170724T115506.262583900.bin</t>
  </si>
  <si>
    <t>-593.453864040922 55.0956615526572 -92.0302628634425</t>
  </si>
  <si>
    <t>-613.108300906177 51.3483319709972 -200.920838371626</t>
  </si>
  <si>
    <t>-626.294683449524 53.6560503771595 -292.826352642712</t>
  </si>
  <si>
    <t>-637.821387802127 57.8786779473278 -375.816949822825</t>
  </si>
  <si>
    <t>-648.409109853835 64.2824896688953 -458.793049792494</t>
  </si>
  <si>
    <t>-662.868345379723 76.0399010102885 -580.026814393285</t>
  </si>
  <si>
    <t>-653.964493606489 87.744666755965 -656.993742657062</t>
  </si>
  <si>
    <t>-658.948465492521 101.97306601935 -523.526040562101</t>
  </si>
  <si>
    <t>-639.756290776071 251.796259638646 -484.534480815011</t>
  </si>
  <si>
    <t>-542.08358679863 234.4654863505 -220.454394082888</t>
  </si>
  <si>
    <t>-336.159728773389 131.927219006338 -252.544968285097</t>
  </si>
  <si>
    <t>-654.099070531298 39.7886312308292 -530.13496794969</t>
  </si>
  <si>
    <t>-598.335646504089 148.030637385561 -95.9790459208355</t>
  </si>
  <si>
    <t>-626.716762583543 150.648638774825 318.617499204776</t>
  </si>
  <si>
    <t>-670.658538101709 180.238340780772 778.700236312882</t>
  </si>
  <si>
    <t>-520.571304983886 180.928922178408 836.641324159064</t>
  </si>
  <si>
    <t>-596.341920503511 -57.8078489415977 323.556786433535</t>
  </si>
  <si>
    <t>-653.121928384593 -101.066250291443 781.215069322684</t>
  </si>
  <si>
    <t>-499.403441351349 -118.980973764381 825.186787822095</t>
  </si>
  <si>
    <t>9763-20170724T115506.327756400.bin</t>
  </si>
  <si>
    <t>-592.920925986451 55.3330644773116 -92.0263345395731</t>
  </si>
  <si>
    <t>-612.428067002703 51.5779125795746 -200.943125491341</t>
  </si>
  <si>
    <t>-625.459067229064 53.8328588923641 -292.872085545504</t>
  </si>
  <si>
    <t>-636.832524381358 57.990321738479 -375.88709536373</t>
  </si>
  <si>
    <t>-647.253600751543 64.311159453576 -458.890573731601</t>
  </si>
  <si>
    <t>-661.454491742992 75.9270132047709 -580.16851904379</t>
  </si>
  <si>
    <t>-652.422100559245 87.5243990665851 -657.136950869803</t>
  </si>
  <si>
    <t>-657.608760503086 101.930146357565 -523.694719656077</t>
  </si>
  <si>
    <t>-638.311166518092 251.801503933113 -484.914138922932</t>
  </si>
  <si>
    <t>-540.600189948693 234.685079038836 -220.834391007887</t>
  </si>
  <si>
    <t>-334.604426031524 132.280842320478 -252.891529611255</t>
  </si>
  <si>
    <t>-652.837816339459 39.7299260239643 -530.210961628958</t>
  </si>
  <si>
    <t>-597.70566373403 148.251963626892 -95.9985814566015</t>
  </si>
  <si>
    <t>-626.420033927454 150.702911309804 318.57605474587</t>
  </si>
  <si>
    <t>-670.673441511434 180.192871584734 778.632055818606</t>
  </si>
  <si>
    <t>-520.602648142079 180.884812785507 836.615642688149</t>
  </si>
  <si>
    <t>-596.209802389957 -57.7197246028049 323.575615542649</t>
  </si>
  <si>
    <t>-653.062779245953 -101.046451352492 781.227990358715</t>
  </si>
  <si>
    <t>-499.335058990923 -118.751442603814 825.252428250244</t>
  </si>
  <si>
    <t>9763-20170724T115506.358844500.bin</t>
  </si>
  <si>
    <t>-592.596467051749 55.3779546848787 -92.0106661410636</t>
  </si>
  <si>
    <t>-612.041665858552 51.6243881572132 -200.938579434084</t>
  </si>
  <si>
    <t>-625.027088377283 53.8467873981338 -292.874813141902</t>
  </si>
  <si>
    <t>-636.361607868057 57.9618146082439 -375.897234098257</t>
  </si>
  <si>
    <t>-646.745805394107 64.2262534508081 -458.909665689222</t>
  </si>
  <si>
    <t>-660.894518519129 75.745061839511 -580.202948684694</t>
  </si>
  <si>
    <t>-651.808665290828 87.271130707491 -657.175661761315</t>
  </si>
  <si>
    <t>-657.048191056077 101.795651653164 -523.750977268102</t>
  </si>
  <si>
    <t>-637.637219211374 251.688165900968 -485.095711885499</t>
  </si>
  <si>
    <t>-539.920897415582 234.680624488205 -221.010744875322</t>
  </si>
  <si>
    <t>-333.898304865649 132.276505240211 -252.895204378458</t>
  </si>
  <si>
    <t>-652.324139791532 39.5857852489498 -530.209997140051</t>
  </si>
  <si>
    <t>-597.332237347551 148.304201212582 -95.9970215837787</t>
  </si>
  <si>
    <t>-626.280479408188 150.717262959058 318.561542241709</t>
  </si>
  <si>
    <t>-670.6753537832 180.190740911196 778.598452652694</t>
  </si>
  <si>
    <t>-520.615195134819 180.823131238677 836.61035147824</t>
  </si>
  <si>
    <t>-596.093395388338 -57.7728376613964 323.588911422883</t>
  </si>
  <si>
    <t>-653.036882200419 -101.054787690966 781.233634744128</t>
  </si>
  <si>
    <t>-499.357398479868 -119.089962543939 825.292464880205</t>
  </si>
  <si>
    <t>9763-20170724T115506.426025500.bin</t>
  </si>
  <si>
    <t>-591.937758883415 55.4438457411504 -92.0010197674418</t>
  </si>
  <si>
    <t>-611.268022092811 51.6861002912892 -200.949158363019</t>
  </si>
  <si>
    <t>-624.182177023892 53.8243966506609 -292.897558591375</t>
  </si>
  <si>
    <t>-635.462184166129 57.8312074503958 -375.932804651669</t>
  </si>
  <si>
    <t>-645.801293600792 63.9550814479301 -458.961218683612</t>
  </si>
  <si>
    <t>-659.894165446194 75.2327858264159 -580.283678125228</t>
  </si>
  <si>
    <t>-650.728954360064 86.5738471621321 -657.274563249073</t>
  </si>
  <si>
    <t>-656.047919570674 101.397823697537 -523.88471424356</t>
  </si>
  <si>
    <t>-636.558040852348 251.344268581371 -485.495967757773</t>
  </si>
  <si>
    <t>-538.671754091564 234.795285840523 -221.444872991799</t>
  </si>
  <si>
    <t>-332.623691588706 132.362886969565 -253.072829495318</t>
  </si>
  <si>
    <t>-651.372766101085 39.1706583755329 -530.212213353359</t>
  </si>
  <si>
    <t>-596.610536488672 148.400660745024 -96.0093828355491</t>
  </si>
  <si>
    <t>-625.937963847662 150.702102226132 318.5231863325</t>
  </si>
  <si>
    <t>-670.663669054076 180.198595718029 778.516869406746</t>
  </si>
  <si>
    <t>-520.631555265914 180.783467579693 836.601637747194</t>
  </si>
  <si>
    <t>-595.877057265444 -57.8638188154584 323.599151181227</t>
  </si>
  <si>
    <t>-652.965948506033 -101.047422218427 781.241667189075</t>
  </si>
  <si>
    <t>-499.302195497501 -119.033463578924 825.375267676813</t>
  </si>
  <si>
    <t>9763-20170724T115506.464137700.bin</t>
  </si>
  <si>
    <t>-591.688740916504 55.4084037306286 -92.0096500320877</t>
  </si>
  <si>
    <t>-610.969626979998 51.6606007656856 -200.967026484423</t>
  </si>
  <si>
    <t>-623.859148266554 53.7642369814523 -292.919473321057</t>
  </si>
  <si>
    <t>-635.123622121239 57.7225069242893 -375.959086591057</t>
  </si>
  <si>
    <t>-645.453714882559 63.780726191738 -458.993665961852</t>
  </si>
  <si>
    <t>-659.54058073979 74.9434430574649 -580.327334639769</t>
  </si>
  <si>
    <t>-650.367417726273 86.1930944166652 -657.330683481302</t>
  </si>
  <si>
    <t>-655.691501214723 101.162417501267 -523.953611809514</t>
  </si>
  <si>
    <t>-636.206416479218 251.13349574398 -485.681004722212</t>
  </si>
  <si>
    <t>-538.205746427356 234.80330614087 -221.658674819097</t>
  </si>
  <si>
    <t>-332.111979663103 132.467102126488 -253.300228982891</t>
  </si>
  <si>
    <t>-651.027309885881 38.9282280222774 -530.220809813074</t>
  </si>
  <si>
    <t>-596.330567363434 148.392412195141 -96.0170704772011</t>
  </si>
  <si>
    <t>-625.789603475648 150.619164994354 318.506525916179</t>
  </si>
  <si>
    <t>-670.682542916915 180.120285502155 778.485023726136</t>
  </si>
  <si>
    <t>-520.66403929589 180.861746123793 836.60325203672</t>
  </si>
  <si>
    <t>-595.82410312448 -57.9869737882268 323.590288461784</t>
  </si>
  <si>
    <t>-652.929534317177 -101.040646154015 781.251134036853</t>
  </si>
  <si>
    <t>-499.291727358798 -119.141948220351 825.427888880927</t>
  </si>
  <si>
    <t>9763-20170724T115506.530814500.bin</t>
  </si>
  <si>
    <t>-591.331724859375 55.2908621671702 -92.0200497864498</t>
  </si>
  <si>
    <t>-610.504738146931 51.5569050747847 -200.996989505738</t>
  </si>
  <si>
    <t>-623.311821789664 53.6068663083629 -292.962247259839</t>
  </si>
  <si>
    <t>-634.504953535673 57.4911647207412 -376.015010069902</t>
  </si>
  <si>
    <t>-644.7666053911 63.4493185815395 -459.06505512546</t>
  </si>
  <si>
    <t>-658.756389342138 74.4368886434902 -580.4260642137</t>
  </si>
  <si>
    <t>-649.578860965995 85.5382064153564 -657.450380673621</t>
  </si>
  <si>
    <t>-654.918340104872 100.739919235494 -524.090784482644</t>
  </si>
  <si>
    <t>-635.34344903461 250.765671042033 -486.062369587279</t>
  </si>
  <si>
    <t>-537.206227261661 234.892691506979 -222.062936971729</t>
  </si>
  <si>
    <t>-330.949976924551 132.900832187747 -253.757550717228</t>
  </si>
  <si>
    <t>-650.31729366251 38.491189795194 -530.257065261957</t>
  </si>
  <si>
    <t>-595.863639302099 148.32227725948 -96.0240376296797</t>
  </si>
  <si>
    <t>-625.582836494614 150.480240160931 318.4813107243</t>
  </si>
  <si>
    <t>-670.704576927179 180.068673286806 778.425054315208</t>
  </si>
  <si>
    <t>-520.70721817148 180.869940771942 836.597042804748</t>
  </si>
  <si>
    <t>-595.793364745352 -58.2140395521826 323.576063845384</t>
  </si>
  <si>
    <t>-652.860309026322 -101.032045807314 781.261876380824</t>
  </si>
  <si>
    <t>-499.275715131165 -119.372389520352 825.52505663921</t>
  </si>
  <si>
    <t>9763-20170724T115506.563403000.bin</t>
  </si>
  <si>
    <t>-591.248691588681 55.2440363787141 -92.0322545429856</t>
  </si>
  <si>
    <t>-610.344153633277 51.5317809430671 -201.023491275032</t>
  </si>
  <si>
    <t>-623.094813929702 53.558564026438 -292.99711909695</t>
  </si>
  <si>
    <t>-634.240439297978 57.4061521906156 -376.057976588978</t>
  </si>
  <si>
    <t>-644.457857572276 63.3110697407842 -459.117431246632</t>
  </si>
  <si>
    <t>-658.386338303772 74.2033507069873 -580.494017573788</t>
  </si>
  <si>
    <t>-649.225337575653 85.2302806975674 -657.530968829498</t>
  </si>
  <si>
    <t>-654.54820205212 100.55309380432 -524.180652035519</t>
  </si>
  <si>
    <t>-634.867257089242 250.592563514528 -486.253289650401</t>
  </si>
  <si>
    <t>-536.605374642374 234.881972475927 -222.290401096692</t>
  </si>
  <si>
    <t>-330.274039276167 133.030705304803 -253.948307257899</t>
  </si>
  <si>
    <t>-650.001114788217 38.2946469941573 -530.289462060019</t>
  </si>
  <si>
    <t>-595.712746634351 148.302642680167 -96.0298083192445</t>
  </si>
  <si>
    <t>-625.513456513194 150.473499598949 318.469643018593</t>
  </si>
  <si>
    <t>-670.716225027381 180.04802206548 778.398803071648</t>
  </si>
  <si>
    <t>-520.725730588385 180.822906523427 836.58881902916</t>
  </si>
  <si>
    <t>-595.831848671931 -58.3204995214164 323.568094828757</t>
  </si>
  <si>
    <t>-652.828613281618 -101.021320030357 781.267982972765</t>
  </si>
  <si>
    <t>-499.233226788547 -119.213376774437 825.554897404029</t>
  </si>
  <si>
    <t>9763-20170724T115506.627573000.bin</t>
  </si>
  <si>
    <t>-591.127214559486 55.2378552675107 -92.0472224799557</t>
  </si>
  <si>
    <t>-610.061533142542 51.5830897134636 -201.068463476481</t>
  </si>
  <si>
    <t>-622.695150045703 53.5679955822004 -293.059209602671</t>
  </si>
  <si>
    <t>-633.742016678132 57.3429586883674 -376.136528952027</t>
  </si>
  <si>
    <t>-643.866894778822 63.1393073074967 -459.21489395944</t>
  </si>
  <si>
    <t>-657.6665312155 73.8330096685386 -580.624001415569</t>
  </si>
  <si>
    <t>-648.544906831361 84.68960274345 -657.689751370165</t>
  </si>
  <si>
    <t>-653.801004860584 100.282002948554 -524.358856356534</t>
  </si>
  <si>
    <t>-633.769020899339 250.340500559086 -486.685410264522</t>
  </si>
  <si>
    <t>-535.0971862085 234.958033106515 -222.856285895234</t>
  </si>
  <si>
    <t>-328.704548287689 133.196568232853 -254.403309558834</t>
  </si>
  <si>
    <t>-649.421738437797 37.9993536240952 -530.342573562969</t>
  </si>
  <si>
    <t>-595.386134908923 148.348851444665 -96.0458922536227</t>
  </si>
  <si>
    <t>-625.434959760117 150.54784535895 318.435517363134</t>
  </si>
  <si>
    <t>-670.731538989988 180.078251054928 778.365428038499</t>
  </si>
  <si>
    <t>-520.739371840489 180.640677569213 836.553571515706</t>
  </si>
  <si>
    <t>-596.048888032871 -58.4833611428994 323.521190848569</t>
  </si>
  <si>
    <t>-652.780330486248 -101.032036701918 781.277935590278</t>
  </si>
  <si>
    <t>-499.189202520154 -119.164297237264 825.604091757984</t>
  </si>
  <si>
    <t>9763-20170724T115506.659665000.bin</t>
  </si>
  <si>
    <t>-591.085978544637 55.1364167415538 -92.0583440556782</t>
  </si>
  <si>
    <t>-609.969586415098 51.5167690244134 -201.089606274105</t>
  </si>
  <si>
    <t>-622.56371952927 53.4814201135982 -293.086124844232</t>
  </si>
  <si>
    <t>-633.575765442625 57.2194031706283 -376.169745028023</t>
  </si>
  <si>
    <t>-643.666350412503 62.958994393967 -459.256353249163</t>
  </si>
  <si>
    <t>-657.416078955884 73.548192974265 -580.680170450175</t>
  </si>
  <si>
    <t>-648.316484353003 84.3020673447047 -657.763047293073</t>
  </si>
  <si>
    <t>-653.518453057299 100.049932751824 -524.442237462317</t>
  </si>
  <si>
    <t>-633.25938423818 250.108172731663 -486.900367321388</t>
  </si>
  <si>
    <t>-534.294803691578 234.898454182882 -223.170849667108</t>
  </si>
  <si>
    <t>-327.953762382808 133.032733335172 -254.718779088837</t>
  </si>
  <si>
    <t>-649.247204322277 37.753481631509 -530.358675671667</t>
  </si>
  <si>
    <t>-595.250598692583 148.23138260715 -96.0547859680987</t>
  </si>
  <si>
    <t>-625.352804720792 150.451973684123 318.422646804462</t>
  </si>
  <si>
    <t>-670.778365330247 179.923020409291 778.345302654374</t>
  </si>
  <si>
    <t>-520.785596617512 180.748960359837 836.528706521756</t>
  </si>
  <si>
    <t>-596.13852133943 -58.5917082067861 323.493673483339</t>
  </si>
  <si>
    <t>-652.760008614693 -101.02599697572 781.279819490453</t>
  </si>
  <si>
    <t>-499.175654947636 -119.181496820943 825.619952347953</t>
  </si>
  <si>
    <t>9763-20170724T115506.728848800.bin</t>
  </si>
  <si>
    <t>-590.951497196024 54.9912007358789 -92.0794747437437</t>
  </si>
  <si>
    <t>-609.81713209569 51.4316594900474 -201.115703571053</t>
  </si>
  <si>
    <t>-622.384004179376 53.3614919199097 -293.11684541175</t>
  </si>
  <si>
    <t>-633.365652917217 57.0361476127262 -376.207312657089</t>
  </si>
  <si>
    <t>-643.419338393879 62.6786355068716 -459.305057847433</t>
  </si>
  <si>
    <t>-657.107219224704 73.0888665821403 -580.751225582234</t>
  </si>
  <si>
    <t>-648.018363053056 83.6382083320921 -657.863555735715</t>
  </si>
  <si>
    <t>-653.123603746474 99.6823329517395 -524.562643930113</t>
  </si>
  <si>
    <t>-632.345788874379 249.740295093456 -487.300483140193</t>
  </si>
  <si>
    <t>-532.636165281576 234.687924785211 -223.842881229316</t>
  </si>
  <si>
    <t>-326.378451561175 132.698842846534 -255.536758642925</t>
  </si>
  <si>
    <t>-649.078593231524 37.3595810511902 -530.360693893582</t>
  </si>
  <si>
    <t>-594.870785553488 148.126006417147 -96.0675621947514</t>
  </si>
  <si>
    <t>-625.117066145134 150.388986900684 318.3990861609</t>
  </si>
  <si>
    <t>-670.782664229737 179.927398873997 778.288172834536</t>
  </si>
  <si>
    <t>-520.798323808858 180.676645078865 836.494361541352</t>
  </si>
  <si>
    <t>-596.214061765881 -58.6777046478251 323.463102060845</t>
  </si>
  <si>
    <t>-652.740613198015 -100.990080238027 781.276096244193</t>
  </si>
  <si>
    <t>-499.182604871927 -119.393379622437 825.605383466166</t>
  </si>
  <si>
    <t>9763-20170724T115506.760951500.bin</t>
  </si>
  <si>
    <t>-590.893588998855 54.937118943169 -92.1033923640018</t>
  </si>
  <si>
    <t>-609.768966807391 51.4003486098222 -201.138737007695</t>
  </si>
  <si>
    <t>-622.338836200443 53.3154098313009 -293.139657879523</t>
  </si>
  <si>
    <t>-633.320487861088 56.9643012293184 -376.231328776862</t>
  </si>
  <si>
    <t>-643.370992977295 62.5674183994647 -459.332011586611</t>
  </si>
  <si>
    <t>-657.050291152624 72.9052058737063 -580.785507756043</t>
  </si>
  <si>
    <t>-647.946461443905 83.3504986155488 -657.910238433017</t>
  </si>
  <si>
    <t>-653.004803372306 99.5370665484206 -524.619452169385</t>
  </si>
  <si>
    <t>-631.913938415272 249.570867508029 -487.461475427392</t>
  </si>
  <si>
    <t>-531.780140956982 234.515865933329 -224.164759633407</t>
  </si>
  <si>
    <t>-325.497362433952 132.657216438947 -256.114145842011</t>
  </si>
  <si>
    <t>-649.091014650166 37.2012067126029 -530.366045903128</t>
  </si>
  <si>
    <t>-594.716620705096 148.112070634409 -96.0867819077719</t>
  </si>
  <si>
    <t>-625.021655894751 150.315082014419 318.375991497059</t>
  </si>
  <si>
    <t>-670.782355821192 179.947253743898 778.253810266826</t>
  </si>
  <si>
    <t>-520.805126102025 180.60402207726 836.479495845375</t>
  </si>
  <si>
    <t>-596.22380405116 -58.7035333672461 323.450633088949</t>
  </si>
  <si>
    <t>-652.731088980953 -100.954879675309 781.274224488391</t>
  </si>
  <si>
    <t>-499.155471838459 -119.252551955798 825.58614862787</t>
  </si>
  <si>
    <t>9763-20170724T115506.826125700.bin</t>
  </si>
  <si>
    <t>-590.846477261403 54.8235827181402 -92.1489400979154</t>
  </si>
  <si>
    <t>-609.750339893264 51.3143294980998 -201.180295729957</t>
  </si>
  <si>
    <t>-622.352938894181 53.196650234001 -293.177318782195</t>
  </si>
  <si>
    <t>-633.366456020836 56.7952922545178 -376.266893885398</t>
  </si>
  <si>
    <t>-643.450225417327 62.3255445533794 -459.368545363665</t>
  </si>
  <si>
    <t>-657.178778125212 72.5318669847995 -580.827496504588</t>
  </si>
  <si>
    <t>-648.024450035444 82.7924925342168 -657.971109651834</t>
  </si>
  <si>
    <t>-652.992795333433 99.2327120643845 -524.704566389706</t>
  </si>
  <si>
    <t>-631.424271134242 249.259014327446 -487.781923641047</t>
  </si>
  <si>
    <t>-530.087221330057 234.417799112246 -224.933714387726</t>
  </si>
  <si>
    <t>-323.810714141576 132.765601533093 -257.573724251988</t>
  </si>
  <si>
    <t>-649.316827149778 36.8741628729299 -530.360190448582</t>
  </si>
  <si>
    <t>-594.48143056939 147.941672969281 -96.1167426567505</t>
  </si>
  <si>
    <t>-624.906993531873 150.162871645011 318.337091454566</t>
  </si>
  <si>
    <t>-670.834702731995 179.81216647192 778.198442229487</t>
  </si>
  <si>
    <t>-520.863793498006 180.720327915069 836.436932045689</t>
  </si>
  <si>
    <t>-596.288211946416 -58.7396343609853 323.418637882068</t>
  </si>
  <si>
    <t>-652.716319957472 -100.922841314607 781.266191058693</t>
  </si>
  <si>
    <t>-499.131486250098 -119.205405282 825.552430637995</t>
  </si>
  <si>
    <t>9763-20170724T115506.862789400.bin</t>
  </si>
  <si>
    <t>-590.839749543807 54.833511320239 -92.1615745854238</t>
  </si>
  <si>
    <t>-609.765115327915 51.3398838653827 -201.1896890462</t>
  </si>
  <si>
    <t>-622.393563787389 53.2029417654676 -293.183628069782</t>
  </si>
  <si>
    <t>-633.432833788389 56.7721983649203 -376.271097216181</t>
  </si>
  <si>
    <t>-643.544421841717 62.2599947167005 -459.372206372264</t>
  </si>
  <si>
    <t>-657.315546243793 72.3898116978153 -580.832689532313</t>
  </si>
  <si>
    <t>-648.120365213491 82.5715923930888 -657.981792282544</t>
  </si>
  <si>
    <t>-653.056733390468 99.1295863691703 -524.733781072117</t>
  </si>
  <si>
    <t>-631.270920376134 249.155464236078 -487.935403579364</t>
  </si>
  <si>
    <t>-529.329784516626 234.465904988409 -225.312504127967</t>
  </si>
  <si>
    <t>-323.074927133872 132.859814750041 -258.231578299768</t>
  </si>
  <si>
    <t>-649.489107920858 36.7601565689745 -530.33978017619</t>
  </si>
  <si>
    <t>-594.387395869453 147.977727106576 -96.1387470723589</t>
  </si>
  <si>
    <t>-624.824578845344 150.192392330199 318.314247483663</t>
  </si>
  <si>
    <t>-670.833250487174 179.845837687687 778.164618764523</t>
  </si>
  <si>
    <t>-520.867469373095 180.505860776612 836.419765136344</t>
  </si>
  <si>
    <t>-596.293760401353 -58.7051246973913 323.408153718545</t>
  </si>
  <si>
    <t>-652.709515790783 -100.898425337137 781.260683827067</t>
  </si>
  <si>
    <t>-499.114691890239 -119.14114336236 825.528763505981</t>
  </si>
  <si>
    <t>9763-20170724T115506.932479200.bin</t>
  </si>
  <si>
    <t>-590.836949335719 54.88809828064 -92.1903735993164</t>
  </si>
  <si>
    <t>-609.805407916203 51.4125239405982 -201.211436130575</t>
  </si>
  <si>
    <t>-622.452253853337 53.2181479308767 -293.204063299262</t>
  </si>
  <si>
    <t>-633.499904138353 56.7077886764912 -376.293816722086</t>
  </si>
  <si>
    <t>-643.61072808187 62.0871282442724 -459.401957220339</t>
  </si>
  <si>
    <t>-657.370101247679 72.0259389240327 -580.879691996631</t>
  </si>
  <si>
    <t>-648.069685411411 82.0409868337815 -658.037931727128</t>
  </si>
  <si>
    <t>-653.020978003082 98.8601436973051 -524.832917655011</t>
  </si>
  <si>
    <t>-630.863308837786 248.907794759404 -488.33690152894</t>
  </si>
  <si>
    <t>-527.700890068807 234.505210340798 -226.175310741224</t>
  </si>
  <si>
    <t>-321.39235688529 133.147936253505 -259.522515635023</t>
  </si>
  <si>
    <t>-649.644279228044 36.4694237950555 -530.319929808556</t>
  </si>
  <si>
    <t>-594.244503860813 148.060559590363 -96.1697707945096</t>
  </si>
  <si>
    <t>-624.7562589255 150.201032842639 318.278110554299</t>
  </si>
  <si>
    <t>-670.871636240257 179.827307139855 778.126275918672</t>
  </si>
  <si>
    <t>-520.905670520994 180.498075702012 836.380723976095</t>
  </si>
  <si>
    <t>-596.317019409789 -58.6666086753717 323.391898271913</t>
  </si>
  <si>
    <t>-652.697795354416 -100.874222674121 781.250466404426</t>
  </si>
  <si>
    <t>-499.096389312133 -119.139872240303 825.486177163825</t>
  </si>
  <si>
    <t>9763-20170724T115506.959052100.bin</t>
  </si>
  <si>
    <t>-590.862616310702 54.9040513201949 -92.1984188616179</t>
  </si>
  <si>
    <t>-609.846731434199 51.4312750340002 -201.216925541435</t>
  </si>
  <si>
    <t>-622.496973042377 53.2041486182241 -293.209734177756</t>
  </si>
  <si>
    <t>-633.543069842834 56.650345168312 -376.301535843534</t>
  </si>
  <si>
    <t>-643.647135950491 61.9718874211512 -459.414121850709</t>
  </si>
  <si>
    <t>-657.390443654975 71.8104864214138 -580.901823178349</t>
  </si>
  <si>
    <t>-648.036888249068 81.7319745157702 -658.065866974758</t>
  </si>
  <si>
    <t>-653.003894028082 98.6937317891516 -524.881379122309</t>
  </si>
  <si>
    <t>-630.675885351934 248.756332704593 -488.546483568048</t>
  </si>
  <si>
    <t>-526.931582041208 234.51554717266 -226.605764620302</t>
  </si>
  <si>
    <t>-320.587346836901 133.27941340197 -260.099637564758</t>
  </si>
  <si>
    <t>-649.716085756111 36.2930485607376 -530.30676158186</t>
  </si>
  <si>
    <t>-594.232181159868 148.073650004423 -96.1831666960372</t>
  </si>
  <si>
    <t>-624.722810655584 150.241428149199 318.266058976484</t>
  </si>
  <si>
    <t>-670.87892704215 179.854025376775 778.103977453531</t>
  </si>
  <si>
    <t>-520.911843412713 180.419726989676 836.356673114694</t>
  </si>
  <si>
    <t>-596.324836180156 -58.6540797991483 323.385573222053</t>
  </si>
  <si>
    <t>-652.688338244031 -100.838761214862 781.244535737226</t>
  </si>
  <si>
    <t>-499.091048346638 -119.169730287874 825.467494996319</t>
  </si>
  <si>
    <t>9763-20170724T115507.028239100.bin</t>
  </si>
  <si>
    <t>-590.909986335859 54.9652571927722 -92.228192189836</t>
  </si>
  <si>
    <t>-609.906765082769 51.4998514314461 -201.244725765815</t>
  </si>
  <si>
    <t>-622.576823554693 53.2010706972364 -293.236070161158</t>
  </si>
  <si>
    <t>-633.643483100962 56.5519304655736 -376.328980091965</t>
  </si>
  <si>
    <t>-643.770013703635 61.7465804905619 -459.447091364147</t>
  </si>
  <si>
    <t>-657.547695960772 71.3646092909557 -580.948489027132</t>
  </si>
  <si>
    <t>-648.16128432149 81.0732532637617 -658.135609124636</t>
  </si>
  <si>
    <t>-653.07566119475 98.3538284274846 -524.98579044192</t>
  </si>
  <si>
    <t>-630.466599337506 248.458869132011 -489.008623941219</t>
  </si>
  <si>
    <t>-525.750508594307 234.640488088999 -227.432288115638</t>
  </si>
  <si>
    <t>-319.307307287505 133.763866056106 -261.397552450536</t>
  </si>
  <si>
    <t>-649.928639117951 35.934804462385 -530.283624586229</t>
  </si>
  <si>
    <t>-594.21593402359 148.100172964147 -96.2127890146234</t>
  </si>
  <si>
    <t>-624.753610302166 150.269107422361 318.23304293338</t>
  </si>
  <si>
    <t>-670.929790919794 179.78020034863 778.076171709982</t>
  </si>
  <si>
    <t>-520.958554232744 180.571775730854 836.315518399505</t>
  </si>
  <si>
    <t>-596.404499518447 -58.5208783821643 323.36879393142</t>
  </si>
  <si>
    <t>-652.661236723347 -100.813868126095 781.23453527514</t>
  </si>
  <si>
    <t>-499.06100931151 -119.154604195531 825.44322058369</t>
  </si>
  <si>
    <t>9763-20170724T115507.063341800.bin</t>
  </si>
  <si>
    <t>-590.956290343498 55.0177262194077 -92.2364688694371</t>
  </si>
  <si>
    <t>-609.947133719635 51.5582930928222 -201.254272005855</t>
  </si>
  <si>
    <t>-622.608510727423 53.2259395285023 -293.247543789422</t>
  </si>
  <si>
    <t>-633.665571655965 56.5315843887984 -376.343472940025</t>
  </si>
  <si>
    <t>-643.780563621555 61.6656053773715 -459.466616370239</t>
  </si>
  <si>
    <t>-657.539042194937 71.1778918729642 -580.978566132873</t>
  </si>
  <si>
    <t>-648.140174425226 80.7784055479076 -658.177654793843</t>
  </si>
  <si>
    <t>-653.041743696512 98.2178264084876 -525.042302450426</t>
  </si>
  <si>
    <t>-630.351280380404 248.352790585399 -489.25002765619</t>
  </si>
  <si>
    <t>-525.219077310355 234.840636486406 -227.824608623996</t>
  </si>
  <si>
    <t>-318.74919903477 134.129546133197 -262.117404371208</t>
  </si>
  <si>
    <t>-649.962122705918 35.7901502689576 -530.278190171884</t>
  </si>
  <si>
    <t>-594.214745766845 148.116247542706 -96.2238527119969</t>
  </si>
  <si>
    <t>-624.747061489638 150.272538435727 318.222467125692</t>
  </si>
  <si>
    <t>-670.972141729641 179.674094925674 778.063892453247</t>
  </si>
  <si>
    <t>-521.00250507208 180.528526498455 836.306498931608</t>
  </si>
  <si>
    <t>-596.4469411491 -58.4551030635753 323.365799969336</t>
  </si>
  <si>
    <t>-652.639854173679 -100.760058467672 781.234895217659</t>
  </si>
  <si>
    <t>-498.998794949821 -118.781350613603 825.433053437916</t>
  </si>
  <si>
    <t>9763-20170724T115507.128511800.bin</t>
  </si>
  <si>
    <t>-591.05848980398 55.0492854212007 -92.2656796604239</t>
  </si>
  <si>
    <t>-609.991862402177 51.5910138756615 -201.293461100302</t>
  </si>
  <si>
    <t>-622.584862830461 53.1827207331407 -293.297409314591</t>
  </si>
  <si>
    <t>-633.571712722765 56.3901469830605 -376.406589645046</t>
  </si>
  <si>
    <t>-643.607654681306 61.3954344976421 -459.547191059576</t>
  </si>
  <si>
    <t>-657.240540698395 70.6862058554225 -581.090377490244</t>
  </si>
  <si>
    <t>-647.807162277388 80.1010465854461 -658.308131961438</t>
  </si>
  <si>
    <t>-652.748625487577 97.8310373871179 -525.204503664855</t>
  </si>
  <si>
    <t>-629.938206950441 248.03128735189 -489.74741457779</t>
  </si>
  <si>
    <t>-523.886949721807 235.055084453481 -228.666292802814</t>
  </si>
  <si>
    <t>-317.202300352873 134.933845381851 -263.389688731364</t>
  </si>
  <si>
    <t>-649.768481253369 35.3878909821133 -530.311912976567</t>
  </si>
  <si>
    <t>-594.253976358949 148.198718547673 -96.2651815229361</t>
  </si>
  <si>
    <t>-624.789917175129 150.297373945635 318.181144729548</t>
  </si>
  <si>
    <t>-670.98797321118 179.726550582006 778.031772164663</t>
  </si>
  <si>
    <t>-521.023907471568 180.483584786212 836.289972828085</t>
  </si>
  <si>
    <t>-596.527094820908 -58.4629814445134 323.345334283361</t>
  </si>
  <si>
    <t>-652.582704158557 -100.800361475048 781.234615226775</t>
  </si>
  <si>
    <t>-499.050922659638 -119.592047987835 825.491701983779</t>
  </si>
  <si>
    <t>9763-20170724T115507.163185700.bin</t>
  </si>
  <si>
    <t>-591.101259261379 54.9526399239846 -92.2694621823288</t>
  </si>
  <si>
    <t>-610.017487944769 51.4962088689101 -201.300270136098</t>
  </si>
  <si>
    <t>-622.58789047096 53.0518308963472 -293.307914682724</t>
  </si>
  <si>
    <t>-633.550687392991 56.2114897669956 -376.42214534748</t>
  </si>
  <si>
    <t>-643.558684628047 61.1535269790541 -459.56987655353</t>
  </si>
  <si>
    <t>-657.146143236009 70.3349202029979 -581.126519726883</t>
  </si>
  <si>
    <t>-647.694362436548 79.6805772228877 -658.350314803058</t>
  </si>
  <si>
    <t>-652.657108423527 97.5310622045538 -525.265378818637</t>
  </si>
  <si>
    <t>-629.786941933199 247.758492501489 -489.973786308639</t>
  </si>
  <si>
    <t>-523.18479186746 235.04230587714 -229.104465751198</t>
  </si>
  <si>
    <t>-316.418475116036 135.150450503482 -264.001992753876</t>
  </si>
  <si>
    <t>-649.711011748562 35.0814949054595 -530.311572908209</t>
  </si>
  <si>
    <t>-594.311980554968 148.112106976017 -96.2744802606268</t>
  </si>
  <si>
    <t>-624.833715263436 150.214503019613 318.172907723492</t>
  </si>
  <si>
    <t>-671.017819127032 179.651922172571 778.012728289902</t>
  </si>
  <si>
    <t>-521.058535706204 180.447713590453 836.282927386846</t>
  </si>
  <si>
    <t>-596.565695818029 -58.547214719232 323.334688584559</t>
  </si>
  <si>
    <t>-652.547810439908 -100.785109089932 781.240560659675</t>
  </si>
  <si>
    <t>-499.019959090598 -119.53662349557 825.528296249833</t>
  </si>
  <si>
    <t>9763-20170724T115507.228357800.bin</t>
  </si>
  <si>
    <t>-591.217288906767 54.8229758464834 -92.2916880922596</t>
  </si>
  <si>
    <t>-610.136530322663 51.3511674034535 -201.321526653103</t>
  </si>
  <si>
    <t>-622.716523834273 52.8292665581923 -293.329142823514</t>
  </si>
  <si>
    <t>-633.689991903189 55.8924164780199 -376.445531861995</t>
  </si>
  <si>
    <t>-643.710053740655 60.7113621637052 -459.599000152254</t>
  </si>
  <si>
    <t>-657.316172676998 69.683471938019 -581.169186840075</t>
  </si>
  <si>
    <t>-647.865974508116 78.8907117675656 -658.409951799893</t>
  </si>
  <si>
    <t>-652.793209044171 96.9771152328817 -525.358407094336</t>
  </si>
  <si>
    <t>-629.879801966554 247.248039019707 -490.284181767001</t>
  </si>
  <si>
    <t>-521.79687220645 234.781072608836 -230.012728058467</t>
  </si>
  <si>
    <t>-314.874245697166 135.330953067074 -265.243927308087</t>
  </si>
  <si>
    <t>-649.898616954335 34.516085007358 -530.292192064262</t>
  </si>
  <si>
    <t>-594.5300538211 148.019221084056 -96.309982991474</t>
  </si>
  <si>
    <t>-624.978210305218 150.167068160076 318.142521470692</t>
  </si>
  <si>
    <t>-671.041881336885 179.643515232107 777.987902454685</t>
  </si>
  <si>
    <t>-521.089602880869 180.316106361486 836.277556280313</t>
  </si>
  <si>
    <t>-596.628862567087 -58.64232209535 323.32290638335</t>
  </si>
  <si>
    <t>-652.494471757419 -100.725536548327 781.245673076804</t>
  </si>
  <si>
    <t>-498.927977925799 -119.078278328878 825.56644615472</t>
  </si>
  <si>
    <t>9763-20170724T115507.260988300.bin</t>
  </si>
  <si>
    <t>-591.333743110804 54.7658811623473 -92.3179921880073</t>
  </si>
  <si>
    <t>-610.271565847952 51.2846482380771 -201.344385594739</t>
  </si>
  <si>
    <t>-622.866140607537 52.7338721002002 -293.350298626012</t>
  </si>
  <si>
    <t>-633.85206794651 55.7623783092824 -376.46638402662</t>
  </si>
  <si>
    <t>-643.883754549863 60.5378533757678 -459.620950709414</t>
  </si>
  <si>
    <t>-657.505721818259 69.4367058368825 -581.194782121465</t>
  </si>
  <si>
    <t>-648.061632615327 78.5874251595205 -658.442873053261</t>
  </si>
  <si>
    <t>-652.968020335648 96.7644798617753 -525.401722834398</t>
  </si>
  <si>
    <t>-630.053098849116 247.050212212363 -490.394256303262</t>
  </si>
  <si>
    <t>-521.256063174548 234.857011583822 -230.407475631331</t>
  </si>
  <si>
    <t>-314.321715818356 135.472038630291 -265.753325836803</t>
  </si>
  <si>
    <t>-650.088988256094 34.2995809516476 -530.296749134303</t>
  </si>
  <si>
    <t>-594.683269340944 147.963401950794 -96.3368664121587</t>
  </si>
  <si>
    <t>-625.035860404215 150.161986264628 318.122422997339</t>
  </si>
  <si>
    <t>-671.038532839735 179.682157628423 777.973997809454</t>
  </si>
  <si>
    <t>-521.089408099797 180.312805498169 836.272166266832</t>
  </si>
  <si>
    <t>-596.683818139844 -58.6677323664976 323.308708169206</t>
  </si>
  <si>
    <t>-652.460953254794 -100.72436960277 781.245030821098</t>
  </si>
  <si>
    <t>-498.920947545151 -119.218413190717 825.598868611735</t>
  </si>
  <si>
    <t>9763-20170724T115507.327161500.bin</t>
  </si>
  <si>
    <t>-591.751275689444 54.3800350202823 -92.3817092820839</t>
  </si>
  <si>
    <t>-610.716796052869 50.8975939068469 -201.40319557348</t>
  </si>
  <si>
    <t>-623.355198995228 52.2989346380537 -293.403842402295</t>
  </si>
  <si>
    <t>-634.388596166734 55.2654353172532 -376.515900129503</t>
  </si>
  <si>
    <t>-644.475439350403 59.9599616340247 -459.668518265768</t>
  </si>
  <si>
    <t>-658.186286081866 68.7196198832953 -581.242321572915</t>
  </si>
  <si>
    <t>-648.802990286611 77.7726272613131 -658.509361650884</t>
  </si>
  <si>
    <t>-653.594809533517 96.1117705834854 -525.485457447088</t>
  </si>
  <si>
    <t>-630.529191224478 246.400749847229 -490.570939791574</t>
  </si>
  <si>
    <t>-520.688761916634 234.392594072012 -231.014648766003</t>
  </si>
  <si>
    <t>-313.604218215444 135.363946723442 -266.480987868313</t>
  </si>
  <si>
    <t>-650.745385426008 33.6400397558639 -530.30805077326</t>
  </si>
  <si>
    <t>-595.114690199564 147.58912477092 -96.3871239834579</t>
  </si>
  <si>
    <t>-625.337476329134 149.874264159501 318.081155908131</t>
  </si>
  <si>
    <t>-671.093623314659 179.564110880932 777.956987615385</t>
  </si>
  <si>
    <t>-521.147752729046 180.304207552907 836.26226356947</t>
  </si>
  <si>
    <t>-596.986179620227 -58.9946550951684 323.243376967642</t>
  </si>
  <si>
    <t>-652.398447976326 -100.70856683748 781.255732879839</t>
  </si>
  <si>
    <t>-498.873741901118 -119.185311064701 825.669715910875</t>
  </si>
  <si>
    <t>9763-20170724T115507.359771900.bin</t>
  </si>
  <si>
    <t>-592.011599440441 54.2122301379877 -92.4143343725914</t>
  </si>
  <si>
    <t>-611.003548496604 50.7358266314209 -201.431501317671</t>
  </si>
  <si>
    <t>-623.665245533507 52.1222417681277 -293.429137109046</t>
  </si>
  <si>
    <t>-634.71986921388 55.0670636062889 -376.539068633012</t>
  </si>
  <si>
    <t>-644.828005762915 59.7317369327043 -459.690824854798</t>
  </si>
  <si>
    <t>-658.569878548127 68.438518074209 -581.2650633546</t>
  </si>
  <si>
    <t>-649.217771723879 77.4519164937451 -658.540554250289</t>
  </si>
  <si>
    <t>-653.952507451352 95.8556440787359 -525.52242059124</t>
  </si>
  <si>
    <t>-630.784412010658 246.131954201484 -490.652105147182</t>
  </si>
  <si>
    <t>-520.562892705035 234.220724744978 -231.253104498744</t>
  </si>
  <si>
    <t>-313.408721338308 135.406834915429 -266.911001913037</t>
  </si>
  <si>
    <t>-651.127603160124 33.3804364266875 -530.316092771932</t>
  </si>
  <si>
    <t>-595.389166809967 147.459476884795 -96.4166427808061</t>
  </si>
  <si>
    <t>-625.510668272765 149.817233029074 318.058665535481</t>
  </si>
  <si>
    <t>-671.100919738382 179.59007642455 777.945971297177</t>
  </si>
  <si>
    <t>-521.155013481453 180.162768528907 836.25304755</t>
  </si>
  <si>
    <t>-597.157258743967 -59.1323807307638 323.210686763921</t>
  </si>
  <si>
    <t>-652.368621291051 -100.68861114178 781.262389636663</t>
  </si>
  <si>
    <t>-498.827459777366 -118.974223359038 825.698542299418</t>
  </si>
  <si>
    <t>9763-20170724T115507.430949400.bin</t>
  </si>
  <si>
    <t>-592.686494763122 53.9738352175718 -92.4648385900509</t>
  </si>
  <si>
    <t>-611.716520098995 50.4928618215936 -201.475065342346</t>
  </si>
  <si>
    <t>-624.42550374074 51.8408405405485 -293.466811613576</t>
  </si>
  <si>
    <t>-635.528292661146 54.7367431585301 -376.572155362446</t>
  </si>
  <si>
    <t>-645.689689900072 59.3379018432677 -459.72086653477</t>
  </si>
  <si>
    <t>-659.514646328957 67.9359297479537 -581.293334595792</t>
  </si>
  <si>
    <t>-650.251000975683 76.8816950580026 -658.587419956509</t>
  </si>
  <si>
    <t>-654.838370304133 95.4040300114082 -525.580874365603</t>
  </si>
  <si>
    <t>-631.439111766465 245.660551717579 -490.75749558719</t>
  </si>
  <si>
    <t>-520.462478608953 233.862665339724 -231.675261890294</t>
  </si>
  <si>
    <t>-313.212892696704 135.375313344483 -267.680463020925</t>
  </si>
  <si>
    <t>-652.058346306555 32.9224527032022 -530.31588640022</t>
  </si>
  <si>
    <t>-596.149619510022 147.2517627696 -96.4792626838066</t>
  </si>
  <si>
    <t>-625.88074020103 149.710250393315 318.02362544784</t>
  </si>
  <si>
    <t>-671.152990284396 179.516765709263 777.948396817323</t>
  </si>
  <si>
    <t>-521.195357705598 180.235412840304 836.223648662337</t>
  </si>
  <si>
    <t>-597.527013925316 -59.2304527149481 323.156235637751</t>
  </si>
  <si>
    <t>-652.339046472775 -100.675372975384 781.260483231185</t>
  </si>
  <si>
    <t>-498.816636861843 -119.091976290243 825.707300513059</t>
  </si>
  <si>
    <t>9763-20170724T115507.464044300.bin</t>
  </si>
  <si>
    <t>-593.062851582483 53.9632381761046 -92.4913212015321</t>
  </si>
  <si>
    <t>-612.132046812598 50.4813246185042 -201.494719247682</t>
  </si>
  <si>
    <t>-624.883732709781 51.8157373719457 -293.480854605242</t>
  </si>
  <si>
    <t>-636.028667827579 54.6940754032521 -376.580997979964</t>
  </si>
  <si>
    <t>-646.235623543731 59.2721481776271 -459.72547656853</t>
  </si>
  <si>
    <t>-660.130666601502 67.8302905712767 -581.292811399578</t>
  </si>
  <si>
    <t>-650.911126743765 76.744956892561 -658.595714895567</t>
  </si>
  <si>
    <t>-655.411723366493 95.3171924529697 -525.593175179538</t>
  </si>
  <si>
    <t>-631.908995594251 245.565149483229 -490.815721833225</t>
  </si>
  <si>
    <t>-520.446182387827 233.736727048079 -231.943754699721</t>
  </si>
  <si>
    <t>-313.132431697868 135.464337851307 -268.166352853675</t>
  </si>
  <si>
    <t>-652.655557367148 32.832947726441 -530.307006366637</t>
  </si>
  <si>
    <t>-596.583091142122 147.227075756496 -96.5056659463791</t>
  </si>
  <si>
    <t>-626.063751663031 149.75731395222 318.014637291489</t>
  </si>
  <si>
    <t>-671.174559167532 179.497590710284 777.957377095144</t>
  </si>
  <si>
    <t>-521.208325851538 180.197915608452 836.210796450157</t>
  </si>
  <si>
    <t>-597.697432840202 -59.1702556951632 323.137384353519</t>
  </si>
  <si>
    <t>-652.332437058308 -100.646811121534 781.255362683012</t>
  </si>
  <si>
    <t>-498.805550673157 -119.047858738494 825.693114014254</t>
  </si>
  <si>
    <t>9763-20170724T115507.526210300.bin</t>
  </si>
  <si>
    <t>-593.843643817875 54.0252060807136 -92.5369660468825</t>
  </si>
  <si>
    <t>-613.025052444894 50.5170070445001 -201.519856751175</t>
  </si>
  <si>
    <t>-625.925363249492 51.827597753434 -293.485555498513</t>
  </si>
  <si>
    <t>-637.225319673254 54.6832267838724 -376.565554653485</t>
  </si>
  <si>
    <t>-647.60754556764 59.2370606187476 -459.689632851994</t>
  </si>
  <si>
    <t>-661.78050671492 67.7576308750895 -581.227523419199</t>
  </si>
  <si>
    <t>-652.672784860903 76.6173798747227 -658.549981839422</t>
  </si>
  <si>
    <t>-656.898699976545 95.2636650435213 -525.551394839369</t>
  </si>
  <si>
    <t>-633.106515604191 245.489694531724 -490.867581161531</t>
  </si>
  <si>
    <t>-520.523924577775 233.735664557448 -232.477265363799</t>
  </si>
  <si>
    <t>-313.062918636969 135.917862812938 -269.085093563251</t>
  </si>
  <si>
    <t>-654.224318166017 32.7742334256563 -530.24403666814</t>
  </si>
  <si>
    <t>-597.442463719845 147.251806275253 -96.5604238842725</t>
  </si>
  <si>
    <t>-626.416613998843 149.857694546884 317.995193185953</t>
  </si>
  <si>
    <t>-671.213296059242 179.474072660467 777.981457756957</t>
  </si>
  <si>
    <t>-521.227108227453 180.088315651488 836.184453580581</t>
  </si>
  <si>
    <t>-597.979380240336 -58.9178583200533 323.114500315651</t>
  </si>
  <si>
    <t>-652.334482226908 -100.563697732547 781.240446325987</t>
  </si>
  <si>
    <t>-498.751218111668 -118.622503915702 825.623818867397</t>
  </si>
  <si>
    <t>9763-20170724T115507.562890300.bin</t>
  </si>
  <si>
    <t>-594.235324743693 54.0389450871364 -92.5612469412728</t>
  </si>
  <si>
    <t>-613.474597692267 50.5274192014913 -201.533848369421</t>
  </si>
  <si>
    <t>-626.456592821583 51.8297781707804 -293.488183590341</t>
  </si>
  <si>
    <t>-637.843097962761 54.6756847250208 -376.556735033954</t>
  </si>
  <si>
    <t>-648.324381506257 59.2172558611899 -459.669110777921</t>
  </si>
  <si>
    <t>-662.655671219448 67.7167535496928 -581.189836039431</t>
  </si>
  <si>
    <t>-653.60132703782 76.5465832625384 -658.521917031651</t>
  </si>
  <si>
    <t>-657.675213338817 95.2336863813491 -525.527806033851</t>
  </si>
  <si>
    <t>-633.73171428155 245.44928386606 -490.90754977293</t>
  </si>
  <si>
    <t>-520.549589616026 233.672104899058 -232.780147648517</t>
  </si>
  <si>
    <t>-313.025187828274 135.990773042462 -269.393278224537</t>
  </si>
  <si>
    <t>-655.059257200529 32.740809865998 -530.207325923025</t>
  </si>
  <si>
    <t>-597.845319050385 147.232758490044 -96.5860186331453</t>
  </si>
  <si>
    <t>-626.594677369384 149.877657605319 317.984922087202</t>
  </si>
  <si>
    <t>-671.238911791366 179.438186628529 777.991888480923</t>
  </si>
  <si>
    <t>-521.243419526113 180.092768140312 836.170413466399</t>
  </si>
  <si>
    <t>-598.12154042492 -58.7923252792982 323.104979268006</t>
  </si>
  <si>
    <t>-652.340450963049 -100.544451814787 781.234228721623</t>
  </si>
  <si>
    <t>-498.745233229262 -118.563472378016 825.592383175109</t>
  </si>
  <si>
    <t>9763-20170724T115507.627061000.bin</t>
  </si>
  <si>
    <t>-595.014916724082 54.1210551227434 -92.5960625925629</t>
  </si>
  <si>
    <t>-614.398115215088 50.614930997152 -201.543179249254</t>
  </si>
  <si>
    <t>-627.539292785881 51.895117119667 -293.475283040199</t>
  </si>
  <si>
    <t>-639.083994828391 54.7115060366223 -376.523046543585</t>
  </si>
  <si>
    <t>-649.737422014213 59.2127378015034 -459.615715548631</t>
  </si>
  <si>
    <t>-664.335217572627 67.6410243976884 -581.109628646288</t>
  </si>
  <si>
    <t>-655.386948581525 76.3957283505022 -658.462682434543</t>
  </si>
  <si>
    <t>-659.154214641239 95.1944320564169 -525.483964822664</t>
  </si>
  <si>
    <t>-634.723471223814 245.362623294156 -490.98233115055</t>
  </si>
  <si>
    <t>-520.63600490922 233.460395965996 -233.259584807429</t>
  </si>
  <si>
    <t>-313.012063135417 136.049877812311 -270.029422107617</t>
  </si>
  <si>
    <t>-656.705502429108 32.6909760719614 -530.114252577407</t>
  </si>
  <si>
    <t>-598.541861329872 147.250888267424 -96.6134994852728</t>
  </si>
  <si>
    <t>-626.931819570422 149.917945895512 317.982095945803</t>
  </si>
  <si>
    <t>-671.271925531076 179.432048394638 778.015016520126</t>
  </si>
  <si>
    <t>-521.261165825207 180.000311485929 836.155158189268</t>
  </si>
  <si>
    <t>-598.424868696926 -58.4653201933863 323.087007868811</t>
  </si>
  <si>
    <t>-652.358647285093 -100.473879535155 781.219663612127</t>
  </si>
  <si>
    <t>-498.714046947519 -118.258882711677 825.50118691703</t>
  </si>
  <si>
    <t>9763-20170724T115507.662748300.bin</t>
  </si>
  <si>
    <t>-595.362707626637 54.1313850806735 -92.6206331697097</t>
  </si>
  <si>
    <t>-614.825477976388 50.6410599695253 -201.554175501244</t>
  </si>
  <si>
    <t>-628.056118239847 51.9199439500267 -293.473469144335</t>
  </si>
  <si>
    <t>-639.690426264589 54.7303442316966 -376.508913991131</t>
  </si>
  <si>
    <t>-650.442311896257 59.2197890591933 -459.58942436903</t>
  </si>
  <si>
    <t>-665.193479160268 67.6248953799807 -581.066416093343</t>
  </si>
  <si>
    <t>-656.323968029928 76.3397108296474 -658.433093845048</t>
  </si>
  <si>
    <t>-659.902570791488 95.1908876555458 -525.457362334472</t>
  </si>
  <si>
    <t>-635.188918414278 245.315010540293 -490.957818432948</t>
  </si>
  <si>
    <t>-520.783359557777 233.329301680166 -233.380136692967</t>
  </si>
  <si>
    <t>-313.170542588902 135.967151409081 -270.34051337141</t>
  </si>
  <si>
    <t>-657.538992214509 32.6828758161798 -530.069413626897</t>
  </si>
  <si>
    <t>-598.812487126553 147.257334291372 -96.6296752827113</t>
  </si>
  <si>
    <t>-627.073549324379 149.955425409888 317.974526166869</t>
  </si>
  <si>
    <t>-671.273134570211 179.504579950606 778.021520067298</t>
  </si>
  <si>
    <t>-521.256806547274 179.939834320494 836.148506107492</t>
  </si>
  <si>
    <t>-598.599899588082 -58.3457515007683 323.077498105819</t>
  </si>
  <si>
    <t>-652.371707798253 -100.500062702089 781.216467554455</t>
  </si>
  <si>
    <t>-498.744557564505 -118.511484284527 825.467015454802</t>
  </si>
  <si>
    <t>9763-20170724T115507.727921500.bin</t>
  </si>
  <si>
    <t>-596.083534892476 54.0236987338549 -92.6894621145759</t>
  </si>
  <si>
    <t>-615.669639323428 50.5699834566956 -201.601994487628</t>
  </si>
  <si>
    <t>-629.05376218844 51.8199052305163 -293.499456667503</t>
  </si>
  <si>
    <t>-640.846430414862 54.5821156348641 -376.514140762032</t>
  </si>
  <si>
    <t>-651.77633330047 58.9999591213038 -459.575319981592</t>
  </si>
  <si>
    <t>-666.809259328011 67.2743827134143 -581.02681362479</t>
  </si>
  <si>
    <t>-658.084592108909 75.8736450124864 -658.4228745176</t>
  </si>
  <si>
    <t>-661.316793328282 94.9032995027378 -525.468613596076</t>
  </si>
  <si>
    <t>-635.920265977094 244.917876483629 -490.983903360728</t>
  </si>
  <si>
    <t>-521.588714517155 233.463957074895 -233.349173772471</t>
  </si>
  <si>
    <t>-314.164370018287 135.594451511877 -270.026545609845</t>
  </si>
  <si>
    <t>-659.109125273283 32.3839356507065 -530.001386803227</t>
  </si>
  <si>
    <t>-599.376748565611 147.139967145812 -96.6811351814357</t>
  </si>
  <si>
    <t>-627.477575980332 149.871249276403 317.933701273684</t>
  </si>
  <si>
    <t>-671.329885517584 179.423580362627 778.026793912038</t>
  </si>
  <si>
    <t>-521.300703424443 180.079594314231 836.118423366577</t>
  </si>
  <si>
    <t>-599.081158257532 -58.2703383916846 323.019348052211</t>
  </si>
  <si>
    <t>-652.364090763565 -100.474868327294 781.207278027334</t>
  </si>
  <si>
    <t>-498.747431486459 -118.640111658927 825.431287801248</t>
  </si>
  <si>
    <t>9763-20170724T115507.758006000.bin</t>
  </si>
  <si>
    <t>-596.406377899632 54.023615662504 -92.7175825758067</t>
  </si>
  <si>
    <t>-616.035285645932 50.5799813263916 -201.622817425603</t>
  </si>
  <si>
    <t>-629.491011252045 51.7922899899904 -293.510261626745</t>
  </si>
  <si>
    <t>-641.362480176282 54.5025664339055 -376.515426254995</t>
  </si>
  <si>
    <t>-652.38536459762 58.8497034438965 -459.568087114691</t>
  </si>
  <si>
    <t>-667.569456728932 67.0007449653058 -581.009087350383</t>
  </si>
  <si>
    <t>-658.931110044565 75.5129986388326 -658.424444149193</t>
  </si>
  <si>
    <t>-661.980323881133 94.6874238123785 -525.489152837609</t>
  </si>
  <si>
    <t>-636.393935670013 244.688149346754 -491.084658267919</t>
  </si>
  <si>
    <t>-522.291503726265 233.684506960046 -233.328656692546</t>
  </si>
  <si>
    <t>-315.124866556815 135.156389088138 -269.698096035496</t>
  </si>
  <si>
    <t>-659.83327978237 32.1609132581109 -529.954388487889</t>
  </si>
  <si>
    <t>-599.658900156731 147.128816534997 -96.7115680395274</t>
  </si>
  <si>
    <t>-627.689545323348 149.869862368023 317.907969680562</t>
  </si>
  <si>
    <t>-671.344744547183 179.443468099438 778.029530877976</t>
  </si>
  <si>
    <t>-521.311220865973 179.930157381168 836.111585833872</t>
  </si>
  <si>
    <t>-599.26802252342 -58.201038400787 322.994556856005</t>
  </si>
  <si>
    <t>-652.351099935112 -100.452518880977 781.205827953305</t>
  </si>
  <si>
    <t>-498.718103274537 -118.475835108797 825.431216257574</t>
  </si>
  <si>
    <t>9763-20170724T115507.827189500.bin</t>
  </si>
  <si>
    <t>-597.105151404296 54.1440646950339 -92.7328826535672</t>
  </si>
  <si>
    <t>-616.821005696106 50.6834798216387 -201.621836553954</t>
  </si>
  <si>
    <t>-630.388675702979 51.8147440351322 -293.493860536222</t>
  </si>
  <si>
    <t>-642.376197298777 54.4243637204524 -376.485548417073</t>
  </si>
  <si>
    <t>-653.529566304121 58.6436846498893 -459.527352839576</t>
  </si>
  <si>
    <t>-668.920089498101 66.577152548718 -580.956805859801</t>
  </si>
  <si>
    <t>-660.437898017719 74.9580100523503 -658.403818321057</t>
  </si>
  <si>
    <t>-663.213546801378 94.3641764382221 -525.499138190301</t>
  </si>
  <si>
    <t>-637.324690129553 244.327197252774 -491.224029698439</t>
  </si>
  <si>
    <t>-524.475287163179 233.865477556308 -232.894500643665</t>
  </si>
  <si>
    <t>-317.901212464722 133.769104101741 -268.340151565551</t>
  </si>
  <si>
    <t>-661.120192378918 31.8277997628111 -529.85021681375</t>
  </si>
  <si>
    <t>-600.422122691089 147.251580543753 -96.7530797416333</t>
  </si>
  <si>
    <t>-628.163306554832 149.977430210888 317.886037933407</t>
  </si>
  <si>
    <t>-671.371066212498 179.50876795251 778.043464793575</t>
  </si>
  <si>
    <t>-521.3285637984 179.908997472306 836.10297781508</t>
  </si>
  <si>
    <t>-599.525718948989 -57.961363085891 322.983720661915</t>
  </si>
  <si>
    <t>-652.323017096664 -100.396885855677 781.205611442152</t>
  </si>
  <si>
    <t>-498.695304208603 -118.445358424131 825.439106456844</t>
  </si>
  <si>
    <t>9763-20170724T115507.858795000.bin</t>
  </si>
  <si>
    <t>-597.419382708548 54.3197674251028 -92.7413423880571</t>
  </si>
  <si>
    <t>-617.187770510659 50.8325077241175 -201.619989851894</t>
  </si>
  <si>
    <t>-630.82628721657 51.9326869906927 -293.481937277956</t>
  </si>
  <si>
    <t>-642.888252560144 54.5102337756928 -376.463887519322</t>
  </si>
  <si>
    <t>-654.12653750657 58.6935667921275 -459.4959815285</t>
  </si>
  <si>
    <t>-669.652537265853 66.570188022203 -580.911859858624</t>
  </si>
  <si>
    <t>-661.27402079963 74.9110556509406 -658.374433308201</t>
  </si>
  <si>
    <t>-663.897462085848 94.3825180481676 -525.471900638962</t>
  </si>
  <si>
    <t>-637.921466136888 244.349985398794 -491.259814326975</t>
  </si>
  <si>
    <t>-525.894634055035 233.927342054922 -232.57089688203</t>
  </si>
  <si>
    <t>-319.484304914631 133.451493215579 -267.896730863051</t>
  </si>
  <si>
    <t>-661.782304838607 31.845365938043 -529.79940812643</t>
  </si>
  <si>
    <t>-600.805824380657 147.443033887273 -96.7735473492214</t>
  </si>
  <si>
    <t>-628.393771874605 150.117670596923 317.876127827692</t>
  </si>
  <si>
    <t>-671.378202780338 179.562691265557 778.057815510942</t>
  </si>
  <si>
    <t>-521.33004028303 179.849217018767 836.103476967092</t>
  </si>
  <si>
    <t>-599.611110072126 -57.8110350783386 322.989754564889</t>
  </si>
  <si>
    <t>-652.310252414901 -100.396912269529 781.206960593137</t>
  </si>
  <si>
    <t>-498.691566598651 -118.503070586799 825.44812414944</t>
  </si>
  <si>
    <t>9763-20170724T115507.928980900.bin</t>
  </si>
  <si>
    <t>-597.988854009673 54.6719968430243 -92.7723781182592</t>
  </si>
  <si>
    <t>-617.824547642854 51.109850723298 -201.636399117881</t>
  </si>
  <si>
    <t>-631.528555036954 52.13454063782 -293.489328029116</t>
  </si>
  <si>
    <t>-643.653132433759 54.6377096690599 -376.46446455856</t>
  </si>
  <si>
    <t>-654.957716107883 58.740940689682 -459.491553372607</t>
  </si>
  <si>
    <t>-670.584583609788 66.4946822540733 -580.902495725328</t>
  </si>
  <si>
    <t>-662.307639212454 74.7505960343881 -658.385104127743</t>
  </si>
  <si>
    <t>-664.833581148499 94.3610295847811 -525.489126557373</t>
  </si>
  <si>
    <t>-638.900885071106 244.344745707015 -491.294373263938</t>
  </si>
  <si>
    <t>-528.385168219833 234.338090208385 -231.939929341221</t>
  </si>
  <si>
    <t>-322.227421898208 133.327507780007 -267.215781760032</t>
  </si>
  <si>
    <t>-662.621710224077 31.8237827066314 -529.767717610828</t>
  </si>
  <si>
    <t>-601.519848548775 147.770361725024 -96.8209778407961</t>
  </si>
  <si>
    <t>-628.812345896635 150.340699293784 317.848899233418</t>
  </si>
  <si>
    <t>-671.428880641829 179.512660962446 778.082403190857</t>
  </si>
  <si>
    <t>-521.370479277763 179.921413382611 836.100714455419</t>
  </si>
  <si>
    <t>-599.735924385619 -57.4826792341714 323.005587890827</t>
  </si>
  <si>
    <t>-652.274544880793 -100.335569949069 781.204910287445</t>
  </si>
  <si>
    <t>-498.653266667618 -118.370478647665 825.466297597847</t>
  </si>
  <si>
    <t>9763-20170724T115507.961574700.bin</t>
  </si>
  <si>
    <t>-598.262868870646 54.8359901436374 -92.78366779815</t>
  </si>
  <si>
    <t>-618.089363258463 51.2366061945725 -201.648078633934</t>
  </si>
  <si>
    <t>-631.797097185875 52.1911982456634 -293.501365348292</t>
  </si>
  <si>
    <t>-643.930004092065 54.6142698387955 -376.477554360229</t>
  </si>
  <si>
    <t>-655.24789745704 58.6216160428005 -459.507579855343</t>
  </si>
  <si>
    <t>-670.899818186739 66.217991148993 -580.925167971709</t>
  </si>
  <si>
    <t>-662.645934238258 74.4065190921046 -658.417299301589</t>
  </si>
  <si>
    <t>-665.175223051644 94.154412346104 -525.544476006442</t>
  </si>
  <si>
    <t>-639.293999614846 244.168642894434 -491.407071649815</t>
  </si>
  <si>
    <t>-529.492019648056 234.546347492935 -231.73503924466</t>
  </si>
  <si>
    <t>-323.518018238792 133.119691869563 -266.890093368152</t>
  </si>
  <si>
    <t>-662.888562476893 31.6151413068626 -529.751955742511</t>
  </si>
  <si>
    <t>-601.860423089067 147.897342460625 -96.8391181478547</t>
  </si>
  <si>
    <t>-629.01586226579 150.461174064117 317.839812889034</t>
  </si>
  <si>
    <t>-671.436249950935 179.557103423776 778.093121873806</t>
  </si>
  <si>
    <t>-521.373055897161 179.875532118968 836.099740563496</t>
  </si>
  <si>
    <t>-599.831210719644 -57.3042867108763 323.009632994622</t>
  </si>
  <si>
    <t>-652.23443714982 -100.31896642087 781.213389621529</t>
  </si>
  <si>
    <t>-498.615353796196 -118.256982905166 825.52167764409</t>
  </si>
  <si>
    <t>9763-20170724T115508.026747900.bin</t>
  </si>
  <si>
    <t>-598.67854805152 54.9330930614847 -92.7784777600758</t>
  </si>
  <si>
    <t>-618.497722138339 51.2736288512058 -201.642288599439</t>
  </si>
  <si>
    <t>-632.24569024781 52.0929234342459 -293.490744341063</t>
  </si>
  <si>
    <t>-644.433628406739 54.3577687311581 -376.463347032716</t>
  </si>
  <si>
    <t>-655.825481868142 58.1722727339177 -459.492311714513</t>
  </si>
  <si>
    <t>-671.606412418999 65.4487746164191 -580.912855742147</t>
  </si>
  <si>
    <t>-663.376771577813 73.4915294171929 -658.422940466001</t>
  </si>
  <si>
    <t>-665.90669833818 93.5271519728708 -525.601470746877</t>
  </si>
  <si>
    <t>-640.194169963231 243.584606742307 -491.572000175072</t>
  </si>
  <si>
    <t>-531.92971755176 234.965492506424 -231.220117940878</t>
  </si>
  <si>
    <t>-326.66912834531 132.080816762303 -266.310862571974</t>
  </si>
  <si>
    <t>-663.457077321315 30.9845581513446 -529.667824036235</t>
  </si>
  <si>
    <t>-602.551249504165 147.966678464654 -96.8689651420549</t>
  </si>
  <si>
    <t>-629.439727852063 150.504943901793 317.827469607125</t>
  </si>
  <si>
    <t>-671.478898754753 179.495559980417 778.111081731824</t>
  </si>
  <si>
    <t>-521.413193533791 179.92823931417 836.110379225411</t>
  </si>
  <si>
    <t>-599.889654041347 -57.2461401456198 323.021374148661</t>
  </si>
  <si>
    <t>-652.157992602137 -100.306437566046 781.233581204915</t>
  </si>
  <si>
    <t>-498.580123026298 -118.356515652187 825.639108871309</t>
  </si>
  <si>
    <t>9763-20170724T115508.064377800.bin</t>
  </si>
  <si>
    <t>-598.770361788791 54.935812369486 -92.7871875173325</t>
  </si>
  <si>
    <t>-618.600465584949 51.2472062451852 -201.64795012864</t>
  </si>
  <si>
    <t>-632.382530880659 52.0099904106503 -293.491879987639</t>
  </si>
  <si>
    <t>-644.611112728494 54.2100588590429 -376.460259330786</t>
  </si>
  <si>
    <t>-656.053627813094 57.9464101912461 -459.485912434385</t>
  </si>
  <si>
    <t>-671.919776479337 65.0937119553641 -580.902890474449</t>
  </si>
  <si>
    <t>-663.703339028275 73.0582787448852 -658.422456669773</t>
  </si>
  <si>
    <t>-666.223824850223 93.2288818481732 -525.619884658133</t>
  </si>
  <si>
    <t>-640.627347862603 243.319803844008 -491.638369877711</t>
  </si>
  <si>
    <t>-533.183797643598 235.153605945244 -230.932006518407</t>
  </si>
  <si>
    <t>-328.230777380161 131.632330344275 -265.948323745567</t>
  </si>
  <si>
    <t>-663.691884101567 30.6861533942433 -529.632419058463</t>
  </si>
  <si>
    <t>-602.784924779119 147.945809256849 -96.8810612826099</t>
  </si>
  <si>
    <t>-629.608687521744 150.502689940422 317.81949984866</t>
  </si>
  <si>
    <t>-671.480761278725 179.511656082682 778.122391627061</t>
  </si>
  <si>
    <t>-521.41631106341 179.917829411952 836.125159665044</t>
  </si>
  <si>
    <t>-599.841046631184 -57.2127113556312 323.021853053226</t>
  </si>
  <si>
    <t>-652.124851220902 -100.256260273673 781.232916397127</t>
  </si>
  <si>
    <t>-498.516734323515 -117.958746244048 825.673826141952</t>
  </si>
  <si>
    <t>9763-20170724T115508.129550300.bin</t>
  </si>
  <si>
    <t>-598.938875129645 54.8147834989074 -92.797649285159</t>
  </si>
  <si>
    <t>-618.794805145682 51.0764601455248 -201.65201941659</t>
  </si>
  <si>
    <t>-632.644810604901 51.7796592113123 -293.486133797468</t>
  </si>
  <si>
    <t>-644.95334903703 53.91592972185 -376.444419296629</t>
  </si>
  <si>
    <t>-656.494543589819 57.5802669251264 -459.45961248158</t>
  </si>
  <si>
    <t>-672.525416002401 64.6136878570599 -580.861701163298</t>
  </si>
  <si>
    <t>-664.3048451965 72.4913000209779 -658.38955225146</t>
  </si>
  <si>
    <t>-666.845693030127 92.7961629711415 -525.601153529724</t>
  </si>
  <si>
    <t>-641.54626600181 242.931080896131 -491.607767321047</t>
  </si>
  <si>
    <t>-535.668531144422 235.413278384362 -230.24208332966</t>
  </si>
  <si>
    <t>-331.157494347508 130.961166434 -265.077647378885</t>
  </si>
  <si>
    <t>-664.136714309861 30.258848434461 -529.581763538338</t>
  </si>
  <si>
    <t>-603.241564642647 147.810885047398 -96.883070878528</t>
  </si>
  <si>
    <t>-629.848686804641 150.442226214542 317.8309504262</t>
  </si>
  <si>
    <t>-671.489572986365 179.509078000689 778.163975698798</t>
  </si>
  <si>
    <t>-521.427772070345 179.848667144341 836.17404392837</t>
  </si>
  <si>
    <t>-599.751989610788 -57.2863348549215 323.015223611844</t>
  </si>
  <si>
    <t>-652.029567510701 -100.235231378374 781.243567326479</t>
  </si>
  <si>
    <t>-498.450768808464 -117.861467147792 825.815947008604</t>
  </si>
  <si>
    <t>9763-20170724T115508.160135600.bin</t>
  </si>
  <si>
    <t>-599.02196015136 54.6702985338709 -92.7870647326114</t>
  </si>
  <si>
    <t>-618.890858479845 50.9265935854298 -201.638895443928</t>
  </si>
  <si>
    <t>-632.758547300042 51.6254208226344 -293.470452480999</t>
  </si>
  <si>
    <t>-645.085986455984 53.7567934488588 -376.42600307534</t>
  </si>
  <si>
    <t>-656.649147252989 57.4161265537323 -459.438229464513</t>
  </si>
  <si>
    <t>-672.715695805568 64.441883632853 -580.836074275302</t>
  </si>
  <si>
    <t>-664.46978506072 72.3067187937722 -658.362543990352</t>
  </si>
  <si>
    <t>-667.058190323944 92.625744170786 -525.574051041855</t>
  </si>
  <si>
    <t>-641.855298717606 242.76181335879 -491.531623997779</t>
  </si>
  <si>
    <t>-536.712731840941 235.595467138483 -229.859506254423</t>
  </si>
  <si>
    <t>-332.354789341365 130.783666218724 -264.51269655277</t>
  </si>
  <si>
    <t>-664.273525728909 30.0922193297431 -529.56155237669</t>
  </si>
  <si>
    <t>-603.424074324719 147.677369052997 -96.8659810674775</t>
  </si>
  <si>
    <t>-629.942781685508 150.323949108605 317.85362019592</t>
  </si>
  <si>
    <t>-671.508510766207 179.442844723595 778.182336427149</t>
  </si>
  <si>
    <t>-521.448500584547 179.933351039839 836.195964969666</t>
  </si>
  <si>
    <t>-599.745552946706 -57.3872209555677 323.017705913371</t>
  </si>
  <si>
    <t>-651.988049015115 -100.230541688981 781.250990033218</t>
  </si>
  <si>
    <t>-498.420859101451 -117.78605541981 825.891100319857</t>
  </si>
  <si>
    <t>9763-20170724T115508.226311200.bin</t>
  </si>
  <si>
    <t>-599.31485349981 54.2023902976316 -92.8090874057219</t>
  </si>
  <si>
    <t>-619.210064030352 50.4490575769507 -201.655670599529</t>
  </si>
  <si>
    <t>-633.113535731184 51.1685666673598 -293.48171711854</t>
  </si>
  <si>
    <t>-645.479361560444 53.3293186534243 -376.43077890674</t>
  </si>
  <si>
    <t>-657.087566400863 57.0295995502022 -459.43497792064</t>
  </si>
  <si>
    <t>-673.227611472331 64.1282100266408 -580.818837527884</t>
  </si>
  <si>
    <t>-664.948086127218 72.0215579925375 -658.338747380835</t>
  </si>
  <si>
    <t>-667.610339183336 92.2750830522293 -525.53361252208</t>
  </si>
  <si>
    <t>-642.638671817758 242.40269190291 -491.260774047703</t>
  </si>
  <si>
    <t>-538.635385155705 235.837527868825 -229.118172889517</t>
  </si>
  <si>
    <t>-334.610767631801 130.326765820305 -263.613996044424</t>
  </si>
  <si>
    <t>-664.680622495857 29.7518701415061 -529.579582877513</t>
  </si>
  <si>
    <t>-603.843975782409 147.288265955161 -96.871255464767</t>
  </si>
  <si>
    <t>-630.111879254365 150.064227980425 317.863425626265</t>
  </si>
  <si>
    <t>-671.513904432639 179.410399318464 778.203301214917</t>
  </si>
  <si>
    <t>-521.461245089131 179.877887118291 836.236033720746</t>
  </si>
  <si>
    <t>-599.911597816109 -57.8119787676828 322.991113801793</t>
  </si>
  <si>
    <t>-651.91388181494 -100.211617688279 781.274640690441</t>
  </si>
  <si>
    <t>-498.402985116648 -117.947092336637 826.037160436382</t>
  </si>
  <si>
    <t>9763-20170724T115508.260916400.bin</t>
  </si>
  <si>
    <t>-599.496886175099 53.9252226651793 -92.8211908692067</t>
  </si>
  <si>
    <t>-619.414608194236 50.1869320183412 -201.664239046468</t>
  </si>
  <si>
    <t>-633.343630918032 50.9381961579345 -293.486013800806</t>
  </si>
  <si>
    <t>-645.735567907769 53.1349574929893 -376.430399383944</t>
  </si>
  <si>
    <t>-657.373185640479 56.8791509147118 -459.428411400979</t>
  </si>
  <si>
    <t>-673.560157587866 64.0506766745768 -580.80178152895</t>
  </si>
  <si>
    <t>-665.271799794455 71.9740289797128 -658.317723054101</t>
  </si>
  <si>
    <t>-667.953943733819 92.1625036805747 -525.49759829536</t>
  </si>
  <si>
    <t>-643.087415927819 242.280962874285 -491.109066860541</t>
  </si>
  <si>
    <t>-539.569938528444 235.829496812529 -228.771193463743</t>
  </si>
  <si>
    <t>-335.734346178157 129.910064420341 -263.131919342252</t>
  </si>
  <si>
    <t>-664.960925561838 29.645339121568 -529.590646519274</t>
  </si>
  <si>
    <t>-604.06555376984 147.046963989123 -96.8759494415966</t>
  </si>
  <si>
    <t>-630.202996218124 149.898420992585 317.866503033558</t>
  </si>
  <si>
    <t>-671.523100888882 179.359692193717 778.20513534223</t>
  </si>
  <si>
    <t>-521.473556981437 179.913798332854 836.245117387223</t>
  </si>
  <si>
    <t>-600.049340749776 -58.0545218950629 322.962566651197</t>
  </si>
  <si>
    <t>-651.888963414478 -100.224571754773 781.285678154573</t>
  </si>
  <si>
    <t>-498.380803118586 -117.88723777059 826.086377701012</t>
  </si>
  <si>
    <t>9763-20170724T115508.327092000.bin</t>
  </si>
  <si>
    <t>-599.95103931226 53.5291455551669 -92.837927198622</t>
  </si>
  <si>
    <t>-619.917898302303 49.8374463065556 -201.673553662252</t>
  </si>
  <si>
    <t>-633.898918673582 50.6824156759506 -293.48663545434</t>
  </si>
  <si>
    <t>-646.342859305882 52.9856881058317 -376.420319043131</t>
  </si>
  <si>
    <t>-658.037972633469 56.858884862989 -459.404320813826</t>
  </si>
  <si>
    <t>-674.315546886604 64.2438034275285 -580.752732425581</t>
  </si>
  <si>
    <t>-665.997526457944 72.2419347792243 -658.257851668338</t>
  </si>
  <si>
    <t>-668.705307233969 92.2560847402331 -525.398609081484</t>
  </si>
  <si>
    <t>-643.884582814164 242.310737097768 -490.702688411541</t>
  </si>
  <si>
    <t>-541.380907698665 236.080445808463 -227.961770536799</t>
  </si>
  <si>
    <t>-338.098265538771 129.139896161624 -262.43537221197</t>
  </si>
  <si>
    <t>-665.640892317488 29.7505513706644 -529.613562657494</t>
  </si>
  <si>
    <t>-604.493030175998 146.685789477901 -96.8600759752566</t>
  </si>
  <si>
    <t>-630.421694957179 149.711134271826 317.894233998425</t>
  </si>
  <si>
    <t>-671.514875576061 179.380264009086 778.22935468201</t>
  </si>
  <si>
    <t>-521.4636725951 179.833163083755 836.265987837221</t>
  </si>
  <si>
    <t>-600.382348368717 -58.297823782299 322.906955783905</t>
  </si>
  <si>
    <t>-651.862780772242 -100.240058143376 781.289539846801</t>
  </si>
  <si>
    <t>-498.399275210451 -118.158884576272 826.141454219527</t>
  </si>
  <si>
    <t>9763-20170724T115508.358213000.bin</t>
  </si>
  <si>
    <t>-600.205205322306 53.3921978594856 -92.8464125196687</t>
  </si>
  <si>
    <t>-620.20570635946 49.7291966483197 -201.676860054581</t>
  </si>
  <si>
    <t>-634.219495840165 50.6217142986684 -293.484581600197</t>
  </si>
  <si>
    <t>-646.695166306179 52.9776136515234 -376.411843426647</t>
  </si>
  <si>
    <t>-658.424401663914 56.9130985650659 -459.388231704995</t>
  </si>
  <si>
    <t>-674.754690302791 64.399733967203 -580.723355825706</t>
  </si>
  <si>
    <t>-666.41226651047 72.4304789204646 -658.222426539376</t>
  </si>
  <si>
    <t>-669.125903628641 92.3654021914253 -525.347483110555</t>
  </si>
  <si>
    <t>-644.299066033727 242.382637475457 -490.510965189839</t>
  </si>
  <si>
    <t>-542.314771617516 236.367663141841 -227.563009366788</t>
  </si>
  <si>
    <t>-339.35782468887 128.814359797057 -262.049247564247</t>
  </si>
  <si>
    <t>-666.052314143293 29.8639103200646 -529.617470908658</t>
  </si>
  <si>
    <t>-604.721613381904 146.540365306411 -96.8549530978032</t>
  </si>
  <si>
    <t>-630.530172523074 149.640665415579 317.906281465537</t>
  </si>
  <si>
    <t>-671.524643098891 179.359625050155 778.252444433209</t>
  </si>
  <si>
    <t>-521.467771545667 179.783607047961 836.274606797624</t>
  </si>
  <si>
    <t>-600.524508574853 -58.3264490509403 322.888002516144</t>
  </si>
  <si>
    <t>-651.849706923453 -100.231183751641 781.293135074899</t>
  </si>
  <si>
    <t>-498.363474823664 -117.92105819121 826.158131088898</t>
  </si>
  <si>
    <t>9763-20170724T115508.425391800.bin</t>
  </si>
  <si>
    <t>-600.770125954478 53.1594039763659 -92.853673241041</t>
  </si>
  <si>
    <t>-620.860550272533 49.5489154512809 -201.669370471923</t>
  </si>
  <si>
    <t>-634.966937881277 50.5191943500865 -293.462070443278</t>
  </si>
  <si>
    <t>-647.533356614755 52.9598608933086 -376.373202371922</t>
  </si>
  <si>
    <t>-659.36083493018 56.9941304393731 -459.330853080597</t>
  </si>
  <si>
    <t>-675.843122478245 64.6405167707994 -580.635486739471</t>
  </si>
  <si>
    <t>-667.435652763189 72.7250953508892 -658.121894422256</t>
  </si>
  <si>
    <t>-670.130235215822 92.5339452820879 -525.23183224188</t>
  </si>
  <si>
    <t>-645.033166696312 242.451457828816 -490.131202415607</t>
  </si>
  <si>
    <t>-544.295024597089 236.805444152037 -226.69517362438</t>
  </si>
  <si>
    <t>-342.100217915354 127.854594361142 -261.27119075034</t>
  </si>
  <si>
    <t>-667.091445664895 30.0366744027856 -529.584279000486</t>
  </si>
  <si>
    <t>-605.194196929863 146.273753313709 -96.8424999412788</t>
  </si>
  <si>
    <t>-630.748898124479 149.514109787997 317.933447147818</t>
  </si>
  <si>
    <t>-671.546446766315 179.292493807728 778.297608534668</t>
  </si>
  <si>
    <t>-521.476379276595 179.714711709882 836.285741592643</t>
  </si>
  <si>
    <t>-600.782644438862 -58.3235240735185 322.865550459814</t>
  </si>
  <si>
    <t>-651.838112702384 -100.227253606326 781.292130003293</t>
  </si>
  <si>
    <t>-498.371256176212 -118.02094048525 826.182398673932</t>
  </si>
  <si>
    <t>9763-20170724T115508.462959600.bin</t>
  </si>
  <si>
    <t>-600.992644636095 53.1413096264466 -92.8524204900506</t>
  </si>
  <si>
    <t>-621.153366255491 49.5518672592118 -201.655667562508</t>
  </si>
  <si>
    <t>-635.316107747156 50.5482513574393 -293.4394604432</t>
  </si>
  <si>
    <t>-647.93240833002 53.016402706839 -376.342311652789</t>
  </si>
  <si>
    <t>-659.808797157024 57.0819537847387 -459.291441726329</t>
  </si>
  <si>
    <t>-676.361668918179 64.7780101125013 -580.583214341961</t>
  </si>
  <si>
    <t>-667.919526023454 72.867270837038 -658.065571922031</t>
  </si>
  <si>
    <t>-670.602035052152 92.649708072689 -525.173454107471</t>
  </si>
  <si>
    <t>-645.342371178889 242.524055609549 -490.01501744042</t>
  </si>
  <si>
    <t>-545.378516217295 237.078797775515 -226.280093706035</t>
  </si>
  <si>
    <t>-343.488531263171 127.546438306362 -260.800107476414</t>
  </si>
  <si>
    <t>-667.594779483289 30.1523906224377 -529.549478447818</t>
  </si>
  <si>
    <t>-605.360320966477 146.237007893445 -96.8295057894103</t>
  </si>
  <si>
    <t>-630.802390106993 149.50994441376 317.95307315366</t>
  </si>
  <si>
    <t>-671.556646290033 179.258871637781 778.320862330768</t>
  </si>
  <si>
    <t>-521.479326528125 179.674480689972 836.290310776941</t>
  </si>
  <si>
    <t>-600.846517736406 -58.2127294281445 322.865749605834</t>
  </si>
  <si>
    <t>-651.82823593932 -100.210600990873 781.290859087728</t>
  </si>
  <si>
    <t>-498.343385666472 -117.82320665122 826.190965430977</t>
  </si>
  <si>
    <t>9763-20170724T115508.529139900.bin</t>
  </si>
  <si>
    <t>-601.36429522439 53.3523158131875 -92.8381707131697</t>
  </si>
  <si>
    <t>-621.682033522179 49.7891743988853 -201.613053425015</t>
  </si>
  <si>
    <t>-635.960694484482 50.8119874208096 -293.378657060273</t>
  </si>
  <si>
    <t>-648.675332895159 53.306906572702 -376.265529998434</t>
  </si>
  <si>
    <t>-660.643756958854 57.4013931974171 -459.200054578544</t>
  </si>
  <si>
    <t>-677.324226964147 65.1426800706024 -580.471489591648</t>
  </si>
  <si>
    <t>-668.810218018091 73.1885708998855 -657.950412348469</t>
  </si>
  <si>
    <t>-671.473440629007 92.9956278770396 -525.061890913335</t>
  </si>
  <si>
    <t>-645.935915509747 242.803415290009 -489.800353672632</t>
  </si>
  <si>
    <t>-547.75578154994 237.643773206561 -225.390371979194</t>
  </si>
  <si>
    <t>-346.500563868518 127.029049854008 -260.164547430835</t>
  </si>
  <si>
    <t>-668.536505415004 30.496164730843 -529.455443415147</t>
  </si>
  <si>
    <t>-605.64347775695 146.386718639662 -96.8090322540352</t>
  </si>
  <si>
    <t>-630.915101279834 149.603630078406 317.984414509243</t>
  </si>
  <si>
    <t>-671.57861791122 179.202923305602 778.37493052469</t>
  </si>
  <si>
    <t>-521.488143401489 179.66502510875 836.309818316856</t>
  </si>
  <si>
    <t>-600.85098820142 -57.7579713220753 322.897873025241</t>
  </si>
  <si>
    <t>-651.828600694317 -100.179786457657 781.284018160836</t>
  </si>
  <si>
    <t>-498.340085546622 -117.764623905464 826.182470929183</t>
  </si>
  <si>
    <t>9763-20170724T115508.560778500.bin</t>
  </si>
  <si>
    <t>-601.470478365361 53.6173533041174 -92.8115459920508</t>
  </si>
  <si>
    <t>-621.86935644287 50.0557538547969 -201.571351915248</t>
  </si>
  <si>
    <t>-636.192786635886 51.0776280056161 -293.329992311753</t>
  </si>
  <si>
    <t>-648.938057785034 53.5715589033287 -376.212227487061</t>
  </si>
  <si>
    <t>-660.927276433891 57.6645159091368 -459.143788850613</t>
  </si>
  <si>
    <t>-677.6273383359 65.4026278424938 -580.412751230795</t>
  </si>
  <si>
    <t>-669.073116192383 73.4105657002622 -657.891175171367</t>
  </si>
  <si>
    <t>-671.745329262242 93.2581747921872 -525.007728075594</t>
  </si>
  <si>
    <t>-646.005346694966 243.026160690343 -489.736898730973</t>
  </si>
  <si>
    <t>-548.971790191494 238.149134999724 -224.898740382934</t>
  </si>
  <si>
    <t>-347.99533576339 127.047288584504 -259.732167334828</t>
  </si>
  <si>
    <t>-668.853700877663 30.7561548519316 -529.394136875397</t>
  </si>
  <si>
    <t>-605.721242311576 146.603092945879 -96.783495475249</t>
  </si>
  <si>
    <t>-630.966004221124 149.784254138157 318.011779227025</t>
  </si>
  <si>
    <t>-671.562287199916 179.290841875351 778.408829769069</t>
  </si>
  <si>
    <t>-521.466273940875 179.538831289987 836.330715894687</t>
  </si>
  <si>
    <t>-600.781330508988 -57.3714105190129 322.934447040715</t>
  </si>
  <si>
    <t>-651.827423739734 -100.154252714886 781.281223166198</t>
  </si>
  <si>
    <t>-498.309282566719 -117.516188807012 826.165146712157</t>
  </si>
  <si>
    <t>9763-20170724T115508.631965900.bin</t>
  </si>
  <si>
    <t>-601.516431670535 54.0575016064556 -92.7715073439535</t>
  </si>
  <si>
    <t>-622.078844710647 50.469484902804 -201.499601456457</t>
  </si>
  <si>
    <t>-636.494837092881 51.438167414095 -293.244178845111</t>
  </si>
  <si>
    <t>-649.305270428679 53.8718902640558 -376.118268759224</t>
  </si>
  <si>
    <t>-661.341133228137 57.8919986295512 -459.046666226939</t>
  </si>
  <si>
    <t>-678.088661564375 65.5102416739385 -580.316664081689</t>
  </si>
  <si>
    <t>-669.491080363491 73.3999472158321 -657.802391645873</t>
  </si>
  <si>
    <t>-672.171589437765 93.4213265951278 -524.943301036621</t>
  </si>
  <si>
    <t>-646.399270597831 243.215186626887 -489.800446383324</t>
  </si>
  <si>
    <t>-551.259010354162 239.202535537289 -224.261608764367</t>
  </si>
  <si>
    <t>-350.862571851896 127.03724578348 -259.028525453245</t>
  </si>
  <si>
    <t>-669.308396521268 30.9134977257181 -529.265528943935</t>
  </si>
  <si>
    <t>-605.784118798871 146.930462473017 -96.7428613867021</t>
  </si>
  <si>
    <t>-631.005053822732 149.994145006902 318.054876292332</t>
  </si>
  <si>
    <t>-671.578678019892 179.256136849911 778.472982119925</t>
  </si>
  <si>
    <t>-521.471058637409 179.537984811133 836.364702111344</t>
  </si>
  <si>
    <t>-600.586179031931 -56.8788452172687 322.990072775691</t>
  </si>
  <si>
    <t>-651.854812455304 -100.077931347218 781.262432755746</t>
  </si>
  <si>
    <t>-498.311570247792 -117.3441727447 826.097313701754</t>
  </si>
  <si>
    <t>9763-20170724T115508.662131600.bin</t>
  </si>
  <si>
    <t>-601.5402162275 54.1763158109566 -92.7424816644058</t>
  </si>
  <si>
    <t>-622.19783417992 50.5762763235552 -201.452232749069</t>
  </si>
  <si>
    <t>-636.694828395846 51.5123672727761 -293.184387057612</t>
  </si>
  <si>
    <t>-649.578719429091 53.9071260467279 -376.048116833848</t>
  </si>
  <si>
    <t>-661.688359403855 57.8792548844754 -458.968122174143</t>
  </si>
  <si>
    <t>-678.544177389995 65.4170978935024 -580.228097037487</t>
  </si>
  <si>
    <t>-669.973206360792 73.2414777661695 -657.723518148587</t>
  </si>
  <si>
    <t>-672.592801167179 93.3640413823316 -524.876479215837</t>
  </si>
  <si>
    <t>-646.905913670214 243.186508250704 -489.808067503524</t>
  </si>
  <si>
    <t>-552.536306432463 239.694883499945 -223.987077479516</t>
  </si>
  <si>
    <t>-352.36484817181 127.028048237478 -258.426847717009</t>
  </si>
  <si>
    <t>-669.703155800487 30.8550911164675 -529.163927163133</t>
  </si>
  <si>
    <t>-605.869203428388 147.024092368734 -96.7204257848799</t>
  </si>
  <si>
    <t>-631.018726734708 150.053363254877 318.081826804543</t>
  </si>
  <si>
    <t>-671.577184030295 179.259915926555 778.49916006406</t>
  </si>
  <si>
    <t>-521.464252270008 179.713505251788 836.376049626071</t>
  </si>
  <si>
    <t>-600.471372690552 -56.7468384345862 323.014361319996</t>
  </si>
  <si>
    <t>-651.826006115203 -100.078680389451 781.265590999705</t>
  </si>
  <si>
    <t>-498.298329014271 -117.374529159851 826.142413481808</t>
  </si>
  <si>
    <t>9763-20170724T115508.729310800.bin</t>
  </si>
  <si>
    <t>-601.502436664345 54.4527727707623 -92.6893379393784</t>
  </si>
  <si>
    <t>-622.363678423845 50.8054683029732 -201.358564235347</t>
  </si>
  <si>
    <t>-636.988821225253 51.68060082442 -293.07094611419</t>
  </si>
  <si>
    <t>-649.971250084172 54.0101572331912 -375.921210501162</t>
  </si>
  <si>
    <t>-662.162522597373 57.9083558659891 -458.832770983037</t>
  </si>
  <si>
    <t>-679.119314577984 65.3286393773931 -580.085858953609</t>
  </si>
  <si>
    <t>-670.587745105547 73.0582122411436 -657.595182915413</t>
  </si>
  <si>
    <t>-673.202557233013 93.3245359449788 -524.755486036856</t>
  </si>
  <si>
    <t>-647.828636629258 243.21414413466 -489.756340038776</t>
  </si>
  <si>
    <t>-554.95738654383 240.501710022158 -223.399239996234</t>
  </si>
  <si>
    <t>-355.168972062211 126.981598806016 -257.256201983675</t>
  </si>
  <si>
    <t>-670.155164585222 30.8206024980773 -529.0066603991</t>
  </si>
  <si>
    <t>-606.019079523758 147.334412763099 -96.6741362466802</t>
  </si>
  <si>
    <t>-630.990150825503 150.365907798842 318.138870762831</t>
  </si>
  <si>
    <t>-671.551405384111 179.367539287983 778.564702507107</t>
  </si>
  <si>
    <t>-521.43307998989 179.469169179512 836.429253547324</t>
  </si>
  <si>
    <t>-600.13290317355 -56.4766103322561 323.077676687872</t>
  </si>
  <si>
    <t>-651.802591599284 -100.052588632034 781.273452194535</t>
  </si>
  <si>
    <t>-498.284934430055 -117.355851492376 826.181679443761</t>
  </si>
  <si>
    <t>9763-20170724T115508.759956700.bin</t>
  </si>
  <si>
    <t>-601.441550937525 54.579761901688 -92.6736114535049</t>
  </si>
  <si>
    <t>-622.384647881857 50.8956927102849 -201.32582336278</t>
  </si>
  <si>
    <t>-637.038133065067 51.7272434085262 -293.034196061622</t>
  </si>
  <si>
    <t>-650.029960030854 54.0113171155404 -375.884243533992</t>
  </si>
  <si>
    <t>-662.21456722871 57.8586631661144 -458.799071835386</t>
  </si>
  <si>
    <t>-679.144133856435 65.1991694029916 -580.060938080755</t>
  </si>
  <si>
    <t>-670.625613706487 72.8840054336511 -657.575922630523</t>
  </si>
  <si>
    <t>-673.293746464348 93.2284454628716 -524.740301567044</t>
  </si>
  <si>
    <t>-648.196360200682 243.17376015622 -489.738473025874</t>
  </si>
  <si>
    <t>-556.087549562214 240.723834516721 -223.114089567349</t>
  </si>
  <si>
    <t>-356.43704041408 126.894867849606 -256.74695300965</t>
  </si>
  <si>
    <t>-670.137447039379 30.7279589974419 -528.96433153597</t>
  </si>
  <si>
    <t>-606.096978622688 147.422314910119 -96.6529115285534</t>
  </si>
  <si>
    <t>-630.969342019103 150.479389233345 318.165857518657</t>
  </si>
  <si>
    <t>-671.545166231296 179.391996799051 778.603267948657</t>
  </si>
  <si>
    <t>-521.424024164133 179.474460352556 836.460546410245</t>
  </si>
  <si>
    <t>-599.903351347207 -56.3162668761686 323.110703907426</t>
  </si>
  <si>
    <t>-651.774588987679 -100.034462560669 781.270595587911</t>
  </si>
  <si>
    <t>-498.271580707509 -117.357657512542 826.221133796291</t>
  </si>
  <si>
    <t>9763-20170724T115508.827138400.bin</t>
  </si>
  <si>
    <t>-601.261852471051 54.7715717927181 -92.5870725007657</t>
  </si>
  <si>
    <t>-622.342053249371 50.9848447939366 -201.209261863354</t>
  </si>
  <si>
    <t>-637.047755971337 51.71312473787 -292.910112175026</t>
  </si>
  <si>
    <t>-650.061685797387 53.8939708757459 -375.759555291582</t>
  </si>
  <si>
    <t>-662.243904930292 57.6306574771882 -458.679707372024</t>
  </si>
  <si>
    <t>-679.143439215833 64.8013550924247 -579.955827343477</t>
  </si>
  <si>
    <t>-670.668520764311 72.4631496602237 -657.478011617028</t>
  </si>
  <si>
    <t>-673.460574187585 92.8984446010586 -524.652129999635</t>
  </si>
  <si>
    <t>-649.04333462875 242.965040399275 -489.71807752687</t>
  </si>
  <si>
    <t>-558.601573179286 241.400753348141 -222.517022907823</t>
  </si>
  <si>
    <t>-359.100660518476 127.137028655709 -255.558205873992</t>
  </si>
  <si>
    <t>-669.99558885261 30.4112588843684 -528.829723593831</t>
  </si>
  <si>
    <t>-606.336944914794 147.480103539056 -96.5839303214633</t>
  </si>
  <si>
    <t>-630.998331540984 150.59671070142 318.247028506109</t>
  </si>
  <si>
    <t>-671.568427726998 179.267767218391 778.693327561249</t>
  </si>
  <si>
    <t>-521.443823160108 179.628376497489 836.540485719462</t>
  </si>
  <si>
    <t>-599.353697242179 -56.0198632542922 323.206504014579</t>
  </si>
  <si>
    <t>-651.717512539447 -100.013322889224 781.278844707703</t>
  </si>
  <si>
    <t>-498.234439270932 -117.252270509559 826.329826464149</t>
  </si>
  <si>
    <t>9763-20170724T115508.864007000.bin</t>
  </si>
  <si>
    <t>-601.144258986328 54.8650533183627 -92.5447133162609</t>
  </si>
  <si>
    <t>-622.283598182214 51.0279813447905 -201.153588349121</t>
  </si>
  <si>
    <t>-637.013211582518 51.6992548186433 -292.85098969721</t>
  </si>
  <si>
    <t>-650.038520147416 53.8201780363768 -375.700160716876</t>
  </si>
  <si>
    <t>-662.22196253151 57.4905214760863 -458.623293355047</t>
  </si>
  <si>
    <t>-679.112192380977 64.5576139277032 -579.906861527582</t>
  </si>
  <si>
    <t>-670.657932023316 72.2089660405647 -657.432223192199</t>
  </si>
  <si>
    <t>-673.518855851874 92.6963674752594 -524.615103780506</t>
  </si>
  <si>
    <t>-649.530539016596 242.842963844893 -489.723486921576</t>
  </si>
  <si>
    <t>-559.817586095201 241.686063324573 -222.274889109616</t>
  </si>
  <si>
    <t>-360.282941990658 127.368004369617 -254.921890079276</t>
  </si>
  <si>
    <t>-669.882961660292 30.2168680454033 -528.762080463981</t>
  </si>
  <si>
    <t>-606.454320669889 147.510209769276 -96.5455589791997</t>
  </si>
  <si>
    <t>-631.015887211042 150.66912715916 318.291020037512</t>
  </si>
  <si>
    <t>-671.560265355614 179.245985751352 778.736849120643</t>
  </si>
  <si>
    <t>-521.440284694729 179.54216992547 836.596367551143</t>
  </si>
  <si>
    <t>-599.076152814793 -55.8638764332475 323.257815047137</t>
  </si>
  <si>
    <t>-651.703560505898 -99.9732411256177 781.275469624232</t>
  </si>
  <si>
    <t>-498.193681260705 -116.932167273226 826.341328104097</t>
  </si>
  <si>
    <t>9763-20170724T115508.930182700.bin</t>
  </si>
  <si>
    <t>-600.952661551165 55.0826790327783 -92.4424204547962</t>
  </si>
  <si>
    <t>-622.199971304225 51.1476619368232 -201.026743408019</t>
  </si>
  <si>
    <t>-637.003236435221 51.7280997170003 -292.713000262286</t>
  </si>
  <si>
    <t>-650.088370053362 53.7594468181826 -375.554961748005</t>
  </si>
  <si>
    <t>-662.325623053522 57.3357788756284 -458.474163447079</t>
  </si>
  <si>
    <t>-679.288289406254 64.2605443975483 -579.755880153895</t>
  </si>
  <si>
    <t>-670.888076755894 71.9179795409523 -657.286588265115</t>
  </si>
  <si>
    <t>-673.848653234129 92.4511402354849 -524.475167783869</t>
  </si>
  <si>
    <t>-650.719868670292 242.74309984541 -489.645891077541</t>
  </si>
  <si>
    <t>-562.151911555166 242.374525052972 -221.813528821495</t>
  </si>
  <si>
    <t>-362.565295722575 127.994401212997 -253.921278673542</t>
  </si>
  <si>
    <t>-669.841771498946 29.9929055928017 -528.60178263063</t>
  </si>
  <si>
    <t>-606.75760520929 147.624903121753 -96.4540061991697</t>
  </si>
  <si>
    <t>-631.046883454103 150.876815248143 318.397790219351</t>
  </si>
  <si>
    <t>-671.506670788282 179.330990878655 778.849454420352</t>
  </si>
  <si>
    <t>-521.395772165812 179.340227584322 836.733255492407</t>
  </si>
  <si>
    <t>-598.518972657012 -55.6115673921504 323.350579914812</t>
  </si>
  <si>
    <t>-651.719200979429 -99.9382219792342 781.26358458173</t>
  </si>
  <si>
    <t>-498.197858586692 -116.792407120154 826.329692807283</t>
  </si>
  <si>
    <t>9763-20170724T115508.960267600.bin</t>
  </si>
  <si>
    <t>-600.848209221826 55.1211973822024 -92.3819491287042</t>
  </si>
  <si>
    <t>-622.156929700826 51.1438982004888 -200.952769732119</t>
  </si>
  <si>
    <t>-637.012238123268 51.6734982696107 -292.630957576683</t>
  </si>
  <si>
    <t>-650.14480133471 53.6505510761249 -375.466515238979</t>
  </si>
  <si>
    <t>-662.430211046185 57.1658570577358 -458.381322630563</t>
  </si>
  <si>
    <t>-679.464223371602 63.9944222156878 -579.658442231604</t>
  </si>
  <si>
    <t>-671.087457714966 71.6394158380556 -657.192914568161</t>
  </si>
  <si>
    <t>-674.081612834 92.2221333145962 -524.3911828679</t>
  </si>
  <si>
    <t>-651.48038630068 242.612463445783 -489.623702816468</t>
  </si>
  <si>
    <t>-563.144572703281 242.488749369242 -221.714431611532</t>
  </si>
  <si>
    <t>-363.431208620918 128.164472831197 -253.227208958795</t>
  </si>
  <si>
    <t>-669.898061832312 29.7740744854495 -528.494895912468</t>
  </si>
  <si>
    <t>-606.881578215393 147.581674450017 -96.394248352238</t>
  </si>
  <si>
    <t>-631.012620055194 150.909577420549 318.466230612546</t>
  </si>
  <si>
    <t>-671.498059174951 179.301379006176 778.916999674543</t>
  </si>
  <si>
    <t>-521.388401730799 179.422771546275 836.803953659093</t>
  </si>
  <si>
    <t>-598.223089361694 -55.5168782163626 323.40238000911</t>
  </si>
  <si>
    <t>-651.721573847293 -99.9530201837972 781.257331697646</t>
  </si>
  <si>
    <t>-498.206586411801 -116.864670249085 826.323499380582</t>
  </si>
  <si>
    <t>9763-20170724T115509.026445000.bin</t>
  </si>
  <si>
    <t>-600.631487125904 55.0805651022686 -92.3120446066519</t>
  </si>
  <si>
    <t>-622.069908112479 51.0001852194496 -200.853457573655</t>
  </si>
  <si>
    <t>-636.994038066694 51.4415870954933 -292.520856271881</t>
  </si>
  <si>
    <t>-650.172943504322 53.3345687428803 -375.351153904511</t>
  </si>
  <si>
    <t>-662.489445822925 56.7644704527479 -458.264867016452</t>
  </si>
  <si>
    <t>-679.552735325767 63.4667137302763 -579.544966311916</t>
  </si>
  <si>
    <t>-671.196722237248 71.1336190948016 -657.079492778591</t>
  </si>
  <si>
    <t>-674.332668263128 91.7382011718848 -524.284458801313</t>
  </si>
  <si>
    <t>-652.748120716029 242.282893998296 -489.555231604974</t>
  </si>
  <si>
    <t>-564.625762994583 242.407720836111 -221.575658981044</t>
  </si>
  <si>
    <t>-364.667911140243 128.294720170538 -252.294153042771</t>
  </si>
  <si>
    <t>-669.798334191024 29.313524279889 -528.372165126628</t>
  </si>
  <si>
    <t>-607.127806692443 147.400724599196 -96.3005875693754</t>
  </si>
  <si>
    <t>-630.929526517118 150.831766476196 318.578060955468</t>
  </si>
  <si>
    <t>-671.475612527308 179.261004586401 779.041535563542</t>
  </si>
  <si>
    <t>-521.366439780453 179.63048476683 836.928692811801</t>
  </si>
  <si>
    <t>-597.648524221025 -55.379083980223 323.451209573837</t>
  </si>
  <si>
    <t>-651.75075683669 -99.9423339022944 781.174083364815</t>
  </si>
  <si>
    <t>-498.208448864516 -116.627136024437 826.231773098118</t>
  </si>
  <si>
    <t>9763-20170724T115509.063561500.bin</t>
  </si>
  <si>
    <t>-600.486943519181 55.0134339846695 -92.3130128766004</t>
  </si>
  <si>
    <t>-621.963836274263 50.8871733624953 -200.844997168605</t>
  </si>
  <si>
    <t>-636.899404328148 51.2901090416788 -292.510812784275</t>
  </si>
  <si>
    <t>-650.079967553098 53.146628004718 -375.34175071024</t>
  </si>
  <si>
    <t>-662.389494480595 56.5392376975319 -458.257973889385</t>
  </si>
  <si>
    <t>-679.432930546553 63.186525253268 -579.543778743026</t>
  </si>
  <si>
    <t>-671.083038209601 70.8723386233073 -657.07720892884</t>
  </si>
  <si>
    <t>-674.280405251535 91.4781841269692 -524.287268280486</t>
  </si>
  <si>
    <t>-652.998955757954 242.077574495937 -489.575420867463</t>
  </si>
  <si>
    <t>-565.075342682312 242.270565838301 -221.530576710027</t>
  </si>
  <si>
    <t>-364.927669842496 128.394328341903 -251.889441869442</t>
  </si>
  <si>
    <t>-669.628359521888 29.0615072534652 -528.361933316293</t>
  </si>
  <si>
    <t>-607.19470182381 147.270091510108 -96.2926174227742</t>
  </si>
  <si>
    <t>-630.939347962525 150.768816457045 318.588737933339</t>
  </si>
  <si>
    <t>-671.463941903322 179.251217738042 779.06055675985</t>
  </si>
  <si>
    <t>-521.356552330067 179.575930631314 836.952557528552</t>
  </si>
  <si>
    <t>-597.357718877021 -55.3709608183374 323.445981418976</t>
  </si>
  <si>
    <t>-651.734273850578 -99.9463159166789 781.126114328981</t>
  </si>
  <si>
    <t>-498.17333157487 -116.375519604502 826.214369373635</t>
  </si>
  <si>
    <t>9763-20170724T115509.124711700.bin</t>
  </si>
  <si>
    <t>-600.148407665576 54.753379308502 -92.3158667550497</t>
  </si>
  <si>
    <t>-621.676630842262 50.5591666331168 -200.835173897971</t>
  </si>
  <si>
    <t>-636.62236732171 50.9011000992341 -292.499511548587</t>
  </si>
  <si>
    <t>-649.798253015076 52.6984823109785 -375.332468151873</t>
  </si>
  <si>
    <t>-662.089100203977 56.0294942340727 -458.253949367914</t>
  </si>
  <si>
    <t>-679.089628103188 62.5838926065135 -579.550837481819</t>
  </si>
  <si>
    <t>-670.74051423468 70.2763236221849 -657.083668930387</t>
  </si>
  <si>
    <t>-674.02955066728 90.9116457770624 -524.304440281621</t>
  </si>
  <si>
    <t>-653.028441278185 241.547371997797 -489.611663614424</t>
  </si>
  <si>
    <t>-565.725396593213 242.254558144559 -221.365008201336</t>
  </si>
  <si>
    <t>-365.469080104229 128.503168640885 -251.474014838948</t>
  </si>
  <si>
    <t>-669.230323816458 28.5041526572516 -528.349284212377</t>
  </si>
  <si>
    <t>-607.156968083175 146.91654389559 -96.2922693822788</t>
  </si>
  <si>
    <t>-630.835731658332 150.634918526433 318.590951871049</t>
  </si>
  <si>
    <t>-671.413191056078 179.321773109595 779.062918046595</t>
  </si>
  <si>
    <t>-521.314032157965 179.504000945161 836.97701769104</t>
  </si>
  <si>
    <t>-596.882451666789 -55.466782573636 323.437578321083</t>
  </si>
  <si>
    <t>-651.714068338893 -99.9342734067168 781.050499807619</t>
  </si>
  <si>
    <t>-498.155117398567 -116.201824448126 826.204070854443</t>
  </si>
  <si>
    <t>9763-20170724T115509.161327800.bin</t>
  </si>
  <si>
    <t>-599.977208540142 54.5750682983371 -92.3289809406227</t>
  </si>
  <si>
    <t>-621.524919868916 50.3621865809339 -200.843730294288</t>
  </si>
  <si>
    <t>-636.474346831732 50.675044936723 -292.507595746186</t>
  </si>
  <si>
    <t>-649.648440734946 52.4402830008623 -375.341540785755</t>
  </si>
  <si>
    <t>-661.93248089832 55.7334208062648 -458.265389794371</t>
  </si>
  <si>
    <t>-678.917522349112 62.2263862934883 -579.567917113531</t>
  </si>
  <si>
    <t>-670.564326437984 69.8976924106669 -657.102330391966</t>
  </si>
  <si>
    <t>-673.883088720646 90.5806759388515 -524.332634516815</t>
  </si>
  <si>
    <t>-652.953108629169 241.241695303484 -489.691871768235</t>
  </si>
  <si>
    <t>-566.058378437073 242.352916192378 -221.31411035235</t>
  </si>
  <si>
    <t>-365.823691902696 128.564139272878 -251.425724817048</t>
  </si>
  <si>
    <t>-669.046117605065 28.1741944189732 -528.350353811054</t>
  </si>
  <si>
    <t>-607.067450798641 146.729877558145 -96.3012257995547</t>
  </si>
  <si>
    <t>-630.75567206522 150.476229581418 318.581215305042</t>
  </si>
  <si>
    <t>-671.394722023431 179.298806383572 779.04985924945</t>
  </si>
  <si>
    <t>-521.301789454828 179.605788111411 836.979505840502</t>
  </si>
  <si>
    <t>-596.752603991417 -55.5450372892631 323.42780389397</t>
  </si>
  <si>
    <t>-651.721527929576 -99.9763444483317 781.018745143936</t>
  </si>
  <si>
    <t>-498.190276460996 -116.449619999139 826.191795831467</t>
  </si>
  <si>
    <t>9763-20170724T115509.227504100.bin</t>
  </si>
  <si>
    <t>-599.659373417506 54.2313262240359 -92.3543599901984</t>
  </si>
  <si>
    <t>-621.216838262346 49.9964634410826 -200.86621593644</t>
  </si>
  <si>
    <t>-636.168631935698 50.2445724411159 -292.52988418895</t>
  </si>
  <si>
    <t>-649.342719653178 51.9327082502409 -375.365490462195</t>
  </si>
  <si>
    <t>-661.624751258156 55.1306223135421 -458.293438453542</t>
  </si>
  <si>
    <t>-678.604916130943 61.464308844219 -579.605076843523</t>
  </si>
  <si>
    <t>-670.217850234775 69.0321855772743 -657.145846096809</t>
  </si>
  <si>
    <t>-673.596380551239 89.8889923967936 -524.403596688242</t>
  </si>
  <si>
    <t>-652.76101163318 240.606789379066 -489.943819252626</t>
  </si>
  <si>
    <t>-566.849820489987 242.295419763291 -221.252673784337</t>
  </si>
  <si>
    <t>-366.681119918631 128.435090958464 -251.5321446873</t>
  </si>
  <si>
    <t>-668.711958393422 27.4813267794561 -528.34560445943</t>
  </si>
  <si>
    <t>-606.800195768894 146.289685291522 -96.3104480493139</t>
  </si>
  <si>
    <t>-630.593739228554 150.161094863851 318.564739658351</t>
  </si>
  <si>
    <t>-671.380232628122 179.211786477976 779.021336737233</t>
  </si>
  <si>
    <t>-521.303155305386 179.69648730516 836.990788872253</t>
  </si>
  <si>
    <t>-596.66346804767 -55.7389850254642 323.407614618327</t>
  </si>
  <si>
    <t>-651.715837084785 -100.002409871041 780.972898855901</t>
  </si>
  <si>
    <t>-498.164845235297 -116.12827393067 826.204207412057</t>
  </si>
  <si>
    <t>9763-20170724T115509.264119900.bin</t>
  </si>
  <si>
    <t>-599.526179832751 54.0061205801837 -92.3539439717069</t>
  </si>
  <si>
    <t>-621.079006860734 49.76667650642 -200.866644312882</t>
  </si>
  <si>
    <t>-636.019451788611 49.985648263081 -292.532197075171</t>
  </si>
  <si>
    <t>-649.180374023614 51.6374631331953 -375.370431237747</t>
  </si>
  <si>
    <t>-661.446456659952 54.7888805358211 -458.302688685907</t>
  </si>
  <si>
    <t>-678.400174497741 61.0438217457815 -579.622003716167</t>
  </si>
  <si>
    <t>-669.938287545349 68.5215940411381 -657.163554297987</t>
  </si>
  <si>
    <t>-673.414441648575 89.5033279003185 -524.436582605312</t>
  </si>
  <si>
    <t>-652.573915878394 240.233993972716 -490.028126887872</t>
  </si>
  <si>
    <t>-567.216679465686 242.134808088253 -221.161892155273</t>
  </si>
  <si>
    <t>-367.098910216958 128.215935209104 -251.557769556267</t>
  </si>
  <si>
    <t>-668.50761611277 27.0951116889705 -528.339773069327</t>
  </si>
  <si>
    <t>-606.680454010791 146.055670178323 -96.3113018306387</t>
  </si>
  <si>
    <t>-630.507304294963 150.032571354118 318.561069333991</t>
  </si>
  <si>
    <t>-671.361507562293 179.202958120701 779.003212233953</t>
  </si>
  <si>
    <t>-521.291176398252 179.628127980472 836.990582472921</t>
  </si>
  <si>
    <t>-596.633621833574 -55.9163707080652 323.400944328903</t>
  </si>
  <si>
    <t>-651.712419577609 -100.039276941036 780.970731825754</t>
  </si>
  <si>
    <t>-498.157957231064 -116.053257319938 826.230057620199</t>
  </si>
  <si>
    <t>9763-20170724T115509.325280600.bin</t>
  </si>
  <si>
    <t>-599.2342243076 53.5188853403786 -92.3675237792962</t>
  </si>
  <si>
    <t>-620.821964612338 49.2969647218056 -200.873933798111</t>
  </si>
  <si>
    <t>-635.751588632771 49.4605965317069 -292.541323866232</t>
  </si>
  <si>
    <t>-648.886481375571 51.0342349671494 -375.385401249487</t>
  </si>
  <si>
    <t>-661.110228032394 54.0793395524001 -458.327783357965</t>
  </si>
  <si>
    <t>-677.984135478706 60.1481680890731 -579.667580711186</t>
  </si>
  <si>
    <t>-668.918880240333 67.2067116272281 -657.180271300732</t>
  </si>
  <si>
    <t>-673.046473835976 88.6911844142685 -524.521005605766</t>
  </si>
  <si>
    <t>-652.244335007841 239.486288693772 -490.379991826787</t>
  </si>
  <si>
    <t>-568.056963353893 241.846057506488 -221.148695935987</t>
  </si>
  <si>
    <t>-367.897409882747 127.899336611045 -251.162682159972</t>
  </si>
  <si>
    <t>-668.113604791476 26.2791165839178 -528.328488952432</t>
  </si>
  <si>
    <t>-606.441914268498 145.585921773122 -96.3155002752935</t>
  </si>
  <si>
    <t>-630.331031272339 149.764121866361 318.551322325646</t>
  </si>
  <si>
    <t>-671.308236898362 179.248817040731 778.9685405695</t>
  </si>
  <si>
    <t>-521.247382351231 179.706658228866 836.980130687114</t>
  </si>
  <si>
    <t>-596.475370047586 -56.2619549339011 323.363775672339</t>
  </si>
  <si>
    <t>-651.670528092835 -100.106601658928 780.953768034454</t>
  </si>
  <si>
    <t>-498.171232457154 -116.254572047573 826.352409212982</t>
  </si>
  <si>
    <t>9763-20170724T115509.358910100.bin</t>
  </si>
  <si>
    <t>-599.064244327457 53.2893685737752 -92.3693875550211</t>
  </si>
  <si>
    <t>-620.682119714131 49.0677564866912 -200.869925955564</t>
  </si>
  <si>
    <t>-635.623007033072 49.1881668803967 -292.535500782566</t>
  </si>
  <si>
    <t>-648.76220712837 50.7047428874598 -375.379867353921</t>
  </si>
  <si>
    <t>-660.984181658441 53.6752337427029 -458.325254964403</t>
  </si>
  <si>
    <t>-677.848736667302 59.6152163603731 -579.672863462764</t>
  </si>
  <si>
    <t>-668.188178127628 66.3028545259331 -657.146473444412</t>
  </si>
  <si>
    <t>-672.916343196512 88.2168281365894 -524.555880747415</t>
  </si>
  <si>
    <t>-652.153848134564 239.058774994124 -490.579936355687</t>
  </si>
  <si>
    <t>-568.375845753602 241.538502614828 -221.222047714379</t>
  </si>
  <si>
    <t>-367.998953105034 127.795454578953 -250.550335088078</t>
  </si>
  <si>
    <t>-667.981040107644 25.8008660893136 -528.297131891057</t>
  </si>
  <si>
    <t>-606.338092674625 145.323448896738 -96.314003419448</t>
  </si>
  <si>
    <t>-630.235385150055 149.569219981953 318.551638567536</t>
  </si>
  <si>
    <t>-671.302416397392 179.177506619002 778.95570647261</t>
  </si>
  <si>
    <t>-521.249174146912 179.728156776211 836.986262434365</t>
  </si>
  <si>
    <t>-596.323689060798 -56.3955480491388 323.357765977733</t>
  </si>
  <si>
    <t>-651.621730978513 -100.127493667534 780.942767924375</t>
  </si>
  <si>
    <t>-498.136568623733 -116.073473618495 826.46038634773</t>
  </si>
  <si>
    <t>9763-20170724T115509.430103500.bin</t>
  </si>
  <si>
    <t>-598.740946834424 52.8696886049254 -92.3642078177942</t>
  </si>
  <si>
    <t>-620.484053323007 48.6511275033251 -200.839796198779</t>
  </si>
  <si>
    <t>-635.544949487789 48.6602870576764 -292.485877081666</t>
  </si>
  <si>
    <t>-648.797053888548 50.0297579396636 -375.314765561005</t>
  </si>
  <si>
    <t>-661.135786763634 52.8058460666243 -458.249617010086</t>
  </si>
  <si>
    <t>-678.174482547646 58.4096135727407 -579.588797541604</t>
  </si>
  <si>
    <t>-667.161603991305 64.0608575462104 -656.964500550556</t>
  </si>
  <si>
    <t>-673.127201612676 87.1669440582853 -524.563446991034</t>
  </si>
  <si>
    <t>-652.214725178965 238.081966806418 -491.018984609816</t>
  </si>
  <si>
    <t>-569.22302077181 240.998355750729 -221.422033106885</t>
  </si>
  <si>
    <t>-368.360754146396 127.810151205595 -249.552294050066</t>
  </si>
  <si>
    <t>-668.268883994764 24.7345871891068 -528.129088041405</t>
  </si>
  <si>
    <t>-606.207649695481 144.883293259673 -96.2927879680158</t>
  </si>
  <si>
    <t>-630.01422689035 149.32207642497 318.576029746664</t>
  </si>
  <si>
    <t>-671.232932095177 179.233905561006 778.925930563785</t>
  </si>
  <si>
    <t>-521.195107210956 179.639247052312 836.997566715526</t>
  </si>
  <si>
    <t>-595.886693717047 -56.5947035409908 323.359881671232</t>
  </si>
  <si>
    <t>-651.544374710825 -100.227108953555 780.913333618157</t>
  </si>
  <si>
    <t>-498.148799780117 -116.438572764735 826.638687880106</t>
  </si>
  <si>
    <t>9763-20170724T115509.460749400.bin</t>
  </si>
  <si>
    <t>-598.685141465866 52.6180302921773 -92.3859166669398</t>
  </si>
  <si>
    <t>-620.492387279831 48.4063506654413 -200.848924273288</t>
  </si>
  <si>
    <t>-635.607583714441 48.3295874161959 -292.486000777572</t>
  </si>
  <si>
    <t>-648.908107015886 49.5842976793542 -375.308929646862</t>
  </si>
  <si>
    <t>-661.293998772474 52.2083115853486 -458.241841853129</t>
  </si>
  <si>
    <t>-678.399898587728 57.5478470909409 -579.583464290067</t>
  </si>
  <si>
    <t>-666.666001734989 62.5853976096996 -656.89546025299</t>
  </si>
  <si>
    <t>-673.276223936887 86.4287547965541 -524.629899924656</t>
  </si>
  <si>
    <t>-652.320696695168 237.413485370778 -491.444312920748</t>
  </si>
  <si>
    <t>-569.869090210569 240.805244357912 -221.687489621782</t>
  </si>
  <si>
    <t>-368.705418128955 127.992093551189 -249.162876128777</t>
  </si>
  <si>
    <t>-668.511681048235 23.981126770582 -528.049550400872</t>
  </si>
  <si>
    <t>-606.209778828123 144.610596216707 -96.2904549563735</t>
  </si>
  <si>
    <t>-629.937565153476 149.177269219936 318.581467852311</t>
  </si>
  <si>
    <t>-671.220460745658 179.172285305406 778.918614388231</t>
  </si>
  <si>
    <t>-521.187459090992 179.708697319476 837.001594732035</t>
  </si>
  <si>
    <t>-595.782398402941 -56.6848082096637 323.338154915833</t>
  </si>
  <si>
    <t>-651.549081470795 -100.186010068246 780.876054238936</t>
  </si>
  <si>
    <t>-498.09047086685 -115.751012174971 826.614519427388</t>
  </si>
  <si>
    <t>9763-20170724T115509.530935800.bin</t>
  </si>
  <si>
    <t>-598.950379803251 52.0648679241137 -92.4461056758863</t>
  </si>
  <si>
    <t>-620.759862574622 47.8471239357455 -200.908398348323</t>
  </si>
  <si>
    <t>-635.822533940486 47.5802456865483 -292.553665386547</t>
  </si>
  <si>
    <t>-649.052756216473 48.5904705159783 -375.391287311933</t>
  </si>
  <si>
    <t>-661.344547793566 50.8949299796841 -458.347543887211</t>
  </si>
  <si>
    <t>-678.285789742669 55.6852236201739 -579.735271382729</t>
  </si>
  <si>
    <t>-665.1504654778 59.5613001557829 -656.888642790248</t>
  </si>
  <si>
    <t>-673.109257806799 84.8248752320055 -524.923536679047</t>
  </si>
  <si>
    <t>-651.856956589172 235.989451053406 -492.772556245872</t>
  </si>
  <si>
    <t>-571.471769019773 240.635873179348 -222.411389826161</t>
  </si>
  <si>
    <t>-369.394479961755 128.989203987262 -247.873518133193</t>
  </si>
  <si>
    <t>-668.594932867441 22.3418520913765 -528.019329906577</t>
  </si>
  <si>
    <t>-606.359545335138 144.111202061319 -96.347805300172</t>
  </si>
  <si>
    <t>-629.893494233027 148.859637734904 318.533128102712</t>
  </si>
  <si>
    <t>-671.170497215984 179.189371641417 778.892717733446</t>
  </si>
  <si>
    <t>-521.146067121849 179.815896640505 836.996888062081</t>
  </si>
  <si>
    <t>-596.052195391849 -57.0488068907118 323.284931233066</t>
  </si>
  <si>
    <t>-651.593109350835 -100.252976833791 780.836128084766</t>
  </si>
  <si>
    <t>-498.151655771372 -115.965608797696 826.581717645874</t>
  </si>
  <si>
    <t>9763-20170724T115509.562524300.bin</t>
  </si>
  <si>
    <t>-599.340505200116 51.7165858298824 -92.4787085531354</t>
  </si>
  <si>
    <t>-621.079515324692 47.4869980631838 -200.954659610652</t>
  </si>
  <si>
    <t>-635.988130487413 47.0921751465116 -292.624789857229</t>
  </si>
  <si>
    <t>-649.040633756567 47.9411895164064 -375.492421345289</t>
  </si>
  <si>
    <t>-661.115466491123 50.0372057224909 -458.485992070779</t>
  </si>
  <si>
    <t>-677.69601414497 54.4708145822901 -579.936995699808</t>
  </si>
  <si>
    <t>-664.043856577345 57.8359150916544 -657.024720876164</t>
  </si>
  <si>
    <t>-672.593314527366 83.7782452535398 -525.207905258367</t>
  </si>
  <si>
    <t>-651.270579557009 235.058748137469 -493.612397748946</t>
  </si>
  <si>
    <t>-572.18405390909 240.302075138783 -222.87929483265</t>
  </si>
  <si>
    <t>-369.565542983487 129.402030384656 -247.281252533386</t>
  </si>
  <si>
    <t>-668.247887308459 21.2726215630146 -528.082939299039</t>
  </si>
  <si>
    <t>-606.626964690535 143.806772969744 -96.3926085239393</t>
  </si>
  <si>
    <t>-629.999872869968 148.704950594584 318.495719914175</t>
  </si>
  <si>
    <t>-671.147897638409 179.222295156229 778.87402658668</t>
  </si>
  <si>
    <t>-521.125274433051 179.834242792123 836.983113711982</t>
  </si>
  <si>
    <t>-596.484475215194 -57.3626289730705 323.266766561998</t>
  </si>
  <si>
    <t>-651.631784944677 -100.299594320684 780.859281430004</t>
  </si>
  <si>
    <t>-498.228465778876 -116.427002639749 826.588349622145</t>
  </si>
  <si>
    <t>9763-20170724T115509.630704900.bin</t>
  </si>
  <si>
    <t>-600.472885282157 50.8325201004322 -92.5339359472077</t>
  </si>
  <si>
    <t>-621.921830633237 46.5639123137619 -201.066170858627</t>
  </si>
  <si>
    <t>-636.343762558508 45.9114179057519 -292.812627976367</t>
  </si>
  <si>
    <t>-648.857953208847 46.4397053332298 -375.765892477241</t>
  </si>
  <si>
    <t>-660.294079202465 48.1237543446102 -458.859328061994</t>
  </si>
  <si>
    <t>-675.829667104793 51.8542766385042 -580.471900149228</t>
  </si>
  <si>
    <t>-661.488061609793 54.4856170732983 -657.462927107002</t>
  </si>
  <si>
    <t>-671.017683932934 81.490811261205 -525.893900681397</t>
  </si>
  <si>
    <t>-649.28856998092 232.949203524624 -495.484865430756</t>
  </si>
  <si>
    <t>-573.581919246406 239.552294169102 -223.816963998417</t>
  </si>
  <si>
    <t>-369.468066959116 130.568858543181 -244.03294586187</t>
  </si>
  <si>
    <t>-667.00789743698 18.9438993837705 -528.324776995714</t>
  </si>
  <si>
    <t>-607.568426277765 143.027237702125 -96.4837554855741</t>
  </si>
  <si>
    <t>-630.651487541719 148.293007608733 318.416260896974</t>
  </si>
  <si>
    <t>-671.162188100965 179.151502991433 778.862928741063</t>
  </si>
  <si>
    <t>-521.124684709871 179.900292317504 836.931911413025</t>
  </si>
  <si>
    <t>-597.716659377219 -58.2086696620984 323.242199961225</t>
  </si>
  <si>
    <t>-651.719101123314 -100.34055246204 781.0135235418</t>
  </si>
  <si>
    <t>-498.280589546887 -116.399086234185 826.648690044386</t>
  </si>
  <si>
    <t>9763-20170724T115509.659422800.bin</t>
  </si>
  <si>
    <t>-601.089053469363 50.4288570038484 -92.5578381721185</t>
  </si>
  <si>
    <t>-622.359883640009 46.1394976783952 -201.124075216722</t>
  </si>
  <si>
    <t>-636.521326831514 45.3538827709322 -292.91022887229</t>
  </si>
  <si>
    <t>-648.755124017202 45.7156918073683 -375.906247802041</t>
  </si>
  <si>
    <t>-659.864947212338 47.1859087335852 -459.047895420958</t>
  </si>
  <si>
    <t>-674.872611442643 50.5513118630877 -580.737567286211</t>
  </si>
  <si>
    <t>-660.292653500145 52.8889252145775 -657.693097995525</t>
  </si>
  <si>
    <t>-670.222587139167 80.3565787854357 -526.23744545508</t>
  </si>
  <si>
    <t>-648.525505824499 231.966899061116 -496.555167531542</t>
  </si>
  <si>
    <t>-574.447152879834 239.110217949575 -224.452333431925</t>
  </si>
  <si>
    <t>-369.713093588057 130.837929266651 -242.047952424621</t>
  </si>
  <si>
    <t>-666.352147670231 17.792700774678 -528.444945089593</t>
  </si>
  <si>
    <t>-608.123354419025 142.658565774749 -96.5235419132965</t>
  </si>
  <si>
    <t>-631.076424630674 148.154953256817 318.380780843547</t>
  </si>
  <si>
    <t>-671.147785454872 179.235240719615 778.8627256053</t>
  </si>
  <si>
    <t>-521.098820529109 179.823687043007 836.903897914519</t>
  </si>
  <si>
    <t>-598.383994423618 -58.5631262749885 323.243442807313</t>
  </si>
  <si>
    <t>-651.749767944842 -100.34325816747 781.11510935405</t>
  </si>
  <si>
    <t>-498.257596379512 -115.983327042406 826.715222771139</t>
  </si>
  <si>
    <t>9763-20170724T115509.728606900.bin</t>
  </si>
  <si>
    <t>-602.179856454429 49.8520623568529 -92.5607456865125</t>
  </si>
  <si>
    <t>-623.132743126424 45.5026074039042 -201.186597491927</t>
  </si>
  <si>
    <t>-636.73548988482 44.4867778913458 -293.054708244463</t>
  </si>
  <si>
    <t>-648.346197020795 44.5669933450995 -376.141010939079</t>
  </si>
  <si>
    <t>-658.71260207476 45.6802456591802 -459.38422613607</t>
  </si>
  <si>
    <t>-672.500265420666 48.4397320316687 -581.233203017742</t>
  </si>
  <si>
    <t>-657.413549037126 50.2867952627239 -658.104540379351</t>
  </si>
  <si>
    <t>-668.276693769182 78.5234697098799 -526.851557640252</t>
  </si>
  <si>
    <t>-647.33202484458 230.509802228618 -498.653041207966</t>
  </si>
  <si>
    <t>-576.400120444594 238.986918842914 -225.751343600718</t>
  </si>
  <si>
    <t>-370.454133199744 132.331719207844 -238.378795407661</t>
  </si>
  <si>
    <t>-664.624033929174 15.9342894387855 -528.682331455628</t>
  </si>
  <si>
    <t>-609.300262538082 142.046541766051 -96.5930181126829</t>
  </si>
  <si>
    <t>-631.910172563971 147.9862584597 318.323984759977</t>
  </si>
  <si>
    <t>-671.144995971329 179.246800148596 778.870929169095</t>
  </si>
  <si>
    <t>-521.072557850285 179.834494673644 836.851524396841</t>
  </si>
  <si>
    <t>-599.466248606148 -59.1044597058024 323.278224498628</t>
  </si>
  <si>
    <t>-651.757233764576 -100.412681435084 781.340793978001</t>
  </si>
  <si>
    <t>-498.273234308049 -116.025375013301 826.977721184029</t>
  </si>
  <si>
    <t>9763-20170724T115509.759251500.bin</t>
  </si>
  <si>
    <t>-602.530990543621 49.6534321297122 -92.5510802402537</t>
  </si>
  <si>
    <t>-623.376008354939 45.2554554822791 -201.195644642337</t>
  </si>
  <si>
    <t>-636.724542782651 44.1711158419407 -293.100411379562</t>
  </si>
  <si>
    <t>-648.039040197603 44.1770354197497 -376.227506475524</t>
  </si>
  <si>
    <t>-658.041719735169 45.2029068217184 -459.516363975101</t>
  </si>
  <si>
    <t>-671.223025835772 47.8195022737802 -581.435700278297</t>
  </si>
  <si>
    <t>-655.88984850797 49.4522419632694 -658.263011195988</t>
  </si>
  <si>
    <t>-667.226485964271 77.969672741895 -527.073646024502</t>
  </si>
  <si>
    <t>-646.697500148753 230.12312500167 -499.413399940649</t>
  </si>
  <si>
    <t>-577.488001512593 239.203469697222 -226.08894791742</t>
  </si>
  <si>
    <t>-370.715112985679 133.882552751652 -236.139119997412</t>
  </si>
  <si>
    <t>-663.651875137939 15.3730277815907 -528.803398913812</t>
  </si>
  <si>
    <t>-609.770277021057 141.820267098781 -96.6182937964032</t>
  </si>
  <si>
    <t>-632.207103322469 147.928187450528 318.305660242098</t>
  </si>
  <si>
    <t>-671.140592518567 179.260681462469 778.882700361889</t>
  </si>
  <si>
    <t>-521.05935299864 179.829580660197 836.840545551362</t>
  </si>
  <si>
    <t>-599.757431490056 -59.2721141376139 323.317783464355</t>
  </si>
  <si>
    <t>-651.748849241217 -100.454213512922 781.448194315984</t>
  </si>
  <si>
    <t>-498.299602834568 -116.266370230513 827.133304260361</t>
  </si>
  <si>
    <t>9763-20170724T115509.826430000.bin</t>
  </si>
  <si>
    <t>-603.052232995445 49.0437394741944 -92.5748581247323</t>
  </si>
  <si>
    <t>-623.778879134428 44.5671222086635 -201.238805388251</t>
  </si>
  <si>
    <t>-636.660500644002 43.4149371516178 -293.209424869046</t>
  </si>
  <si>
    <t>-647.404079553847 43.3557298688445 -376.412182345377</t>
  </si>
  <si>
    <t>-656.685345775083 44.3122683256088 -459.785279279552</t>
  </si>
  <si>
    <t>-668.645946540681 46.8219929173442 -581.832631532715</t>
  </si>
  <si>
    <t>-652.841326060847 48.02310867092 -658.572410363507</t>
  </si>
  <si>
    <t>-665.192590370265 77.0197213795457 -527.459844597304</t>
  </si>
  <si>
    <t>-645.593633461301 229.426549150778 -500.548281545256</t>
  </si>
  <si>
    <t>-580.048584763626 239.030199221501 -226.339917929261</t>
  </si>
  <si>
    <t>-371.266464220783 137.350604358653 -230.790425692344</t>
  </si>
  <si>
    <t>-661.602914695084 14.4216519334971 -529.098941970356</t>
  </si>
  <si>
    <t>-610.631739837122 141.15270710893 -96.6886396370314</t>
  </si>
  <si>
    <t>-632.698328440028 147.584241313865 318.250337421284</t>
  </si>
  <si>
    <t>-671.146740714555 179.223702487276 778.818031015661</t>
  </si>
  <si>
    <t>-521.048514145037 180.002972409965 836.729496968816</t>
  </si>
  <si>
    <t>-599.859306914405 -59.7294355465035 323.346069576853</t>
  </si>
  <si>
    <t>-651.673813237034 -100.532812992269 781.55686620492</t>
  </si>
  <si>
    <t>-498.255728342294 -116.108776179876 827.427466342346</t>
  </si>
  <si>
    <t>9763-20170724T115509.862547200.bin</t>
  </si>
  <si>
    <t>-603.263484964323 48.7080687310056 -92.6057108348286</t>
  </si>
  <si>
    <t>-623.933541608176 44.1999071967759 -201.279173729162</t>
  </si>
  <si>
    <t>-636.58416002298 43.0283836975323 -293.281462624728</t>
  </si>
  <si>
    <t>-647.044285624249 42.9522905014605 -376.520347932231</t>
  </si>
  <si>
    <t>-655.966422102921 43.8922958647136 -459.932836538587</t>
  </si>
  <si>
    <t>-667.31837495404 46.3771576977597 -582.038970024732</t>
  </si>
  <si>
    <t>-651.277094719869 47.321695282501 -658.732981861634</t>
  </si>
  <si>
    <t>-664.121796722763 76.5869130416374 -527.657015509983</t>
  </si>
  <si>
    <t>-644.746867819316 229.07461975962 -500.939609354978</t>
  </si>
  <si>
    <t>-581.108842554112 238.519773976928 -226.27696936175</t>
  </si>
  <si>
    <t>-371.243862107188 139.002121415217 -227.484624152974</t>
  </si>
  <si>
    <t>-660.552649084819 13.9867637046575 -529.262722438394</t>
  </si>
  <si>
    <t>-611.05726588211 140.808597582091 -96.7295153387334</t>
  </si>
  <si>
    <t>-632.922334299736 147.418439117938 318.217249671793</t>
  </si>
  <si>
    <t>-671.128827873328 179.260713192426 778.781870861439</t>
  </si>
  <si>
    <t>-521.023980862746 179.886592991335 836.677932991423</t>
  </si>
  <si>
    <t>-599.780609626398 -59.9195705293967 323.343318428819</t>
  </si>
  <si>
    <t>-651.592939191319 -100.571927875395 781.579683376366</t>
  </si>
  <si>
    <t>-498.215264528116 -116.027105027328 827.625875210909</t>
  </si>
  <si>
    <t>9763-20170724T115509.926718200.bin</t>
  </si>
  <si>
    <t>-603.715267204544 47.7714802197618 -92.6042033252954</t>
  </si>
  <si>
    <t>-624.317014702611 43.2587654879919 -201.290449536505</t>
  </si>
  <si>
    <t>-636.486613225298 41.956497260903 -293.355838061144</t>
  </si>
  <si>
    <t>-646.339988798647 41.7067204675877 -376.668376776066</t>
  </si>
  <si>
    <t>-654.481290401162 42.4152680489974 -460.163101147595</t>
  </si>
  <si>
    <t>-664.4995653816 44.4960797009205 -582.393332415631</t>
  </si>
  <si>
    <t>-647.988266078416 44.6826231734506 -658.99326116281</t>
  </si>
  <si>
    <t>-661.809626056263 74.890517940207 -528.086886720364</t>
  </si>
  <si>
    <t>-642.269793919415 227.458761675678 -501.947061704376</t>
  </si>
  <si>
    <t>-583.585350953191 237.075422955301 -226.189507134317</t>
  </si>
  <si>
    <t>-371.801502680501 141.891713283294 -220.174143112723</t>
  </si>
  <si>
    <t>-658.397664350652 12.2754801993044 -529.43260091349</t>
  </si>
  <si>
    <t>-611.928656930314 139.723166334605 -96.6915070856813</t>
  </si>
  <si>
    <t>-633.504557732431 146.873542584244 318.26146479738</t>
  </si>
  <si>
    <t>-671.124102938631 179.24719456879 778.795765887665</t>
  </si>
  <si>
    <t>-520.994097853137 179.978590274426 836.625386759691</t>
  </si>
  <si>
    <t>-599.675096814375 -60.4538315283544 323.358111100496</t>
  </si>
  <si>
    <t>-651.254221853716 -100.652167081272 781.651912308128</t>
  </si>
  <si>
    <t>-498.004531589065 -115.423037004885 828.344251597353</t>
  </si>
  <si>
    <t>9763-20170724T115509.962852600.bin</t>
  </si>
  <si>
    <t>-604.034858221376 47.1227143623926 -92.6118976671683</t>
  </si>
  <si>
    <t>-624.558447983568 42.6382122567488 -201.31414829511</t>
  </si>
  <si>
    <t>-636.483394288246 41.2143182527209 -293.409797015084</t>
  </si>
  <si>
    <t>-646.043138349251 40.7948610149256 -376.755822248329</t>
  </si>
  <si>
    <t>-653.817510258524 41.2718797433479 -460.287161581886</t>
  </si>
  <si>
    <t>-663.218548446484 42.9447884613001 -582.572621496341</t>
  </si>
  <si>
    <t>-646.524544773921 42.6590889371521 -659.132584263592</t>
  </si>
  <si>
    <t>-660.725262878316 73.5246166807856 -528.360841850001</t>
  </si>
  <si>
    <t>-640.944849375763 226.155490910011 -502.77392536178</t>
  </si>
  <si>
    <t>-585.083854773134 236.489792437078 -226.456525910654</t>
  </si>
  <si>
    <t>-372.916422978661 142.419716056947 -217.272907715196</t>
  </si>
  <si>
    <t>-657.461643604493 10.8967893774407 -529.468671805303</t>
  </si>
  <si>
    <t>-612.402077662791 138.985426215861 -96.6629416058664</t>
  </si>
  <si>
    <t>-633.802339614175 146.51015595078 318.292470494487</t>
  </si>
  <si>
    <t>-671.114818035953 179.252662607119 778.823096540621</t>
  </si>
  <si>
    <t>-520.972182037405 179.916569888461 836.620785777319</t>
  </si>
  <si>
    <t>-599.778548027983 -60.8519942229825 323.353057707237</t>
  </si>
  <si>
    <t>-651.115157195867 -100.735032464733 781.69769643611</t>
  </si>
  <si>
    <t>-497.970374898953 -115.660975991953 828.6840707029</t>
  </si>
  <si>
    <t>9763-20170724T115510.027023700.bin</t>
  </si>
  <si>
    <t>-605.009420194732 45.5530840299841 -92.6045262958241</t>
  </si>
  <si>
    <t>-625.269575485143 41.177329565224 -201.360544884162</t>
  </si>
  <si>
    <t>-636.723049264061 39.4034908874128 -293.509943035727</t>
  </si>
  <si>
    <t>-645.756561986341 38.4883879060251 -376.910762210231</t>
  </si>
  <si>
    <t>-652.903500636015 38.2847207968705 -460.49909120428</t>
  </si>
  <si>
    <t>-661.27611876798 38.7565179866929 -582.869849548738</t>
  </si>
  <si>
    <t>-644.187726540916 37.365380733394 -659.330713701745</t>
  </si>
  <si>
    <t>-659.003394755093 69.8787360023207 -528.957938278094</t>
  </si>
  <si>
    <t>-638.245838895787 222.610297837665 -504.872209123495</t>
  </si>
  <si>
    <t>-589.031451508027 234.68481801792 -227.364257450335</t>
  </si>
  <si>
    <t>-376.512761517645 142.813788404297 -208.81567737196</t>
  </si>
  <si>
    <t>-656.201142210901 7.22032932743741 -529.391321429475</t>
  </si>
  <si>
    <t>-613.466362092601 137.294050163696 -96.5966196768488</t>
  </si>
  <si>
    <t>-634.449229889293 145.631799768538 318.364496540315</t>
  </si>
  <si>
    <t>-671.095091437675 179.176659242707 778.892294650693</t>
  </si>
  <si>
    <t>-520.929755716424 179.901068319634 836.630210303581</t>
  </si>
  <si>
    <t>-600.366413831851 -61.8779075448438 323.296806005614</t>
  </si>
  <si>
    <t>-650.932900617524 -100.898041815505 781.764461893381</t>
  </si>
  <si>
    <t>-497.901463217821 -115.580936614345 829.194580224045</t>
  </si>
  <si>
    <t>9763-20170724T115510.061755700.bin</t>
  </si>
  <si>
    <t>-605.583581996947 44.8161152475366 -92.6102745721386</t>
  </si>
  <si>
    <t>-625.698907878001 40.4837408023773 -201.394833103488</t>
  </si>
  <si>
    <t>-636.922075847977 38.4708773373366 -293.56770311012</t>
  </si>
  <si>
    <t>-645.70459613521 37.2289239057927 -376.991061688185</t>
  </si>
  <si>
    <t>-652.557609188014 36.5843799712338 -460.601746271993</t>
  </si>
  <si>
    <t>-660.453807822945 36.2849033538669 -583.004778486396</t>
  </si>
  <si>
    <t>-643.142812778055 34.2968458453779 -659.402278917</t>
  </si>
  <si>
    <t>-658.262784765383 67.7516590106334 -529.289881181616</t>
  </si>
  <si>
    <t>-636.911742211442 220.548447288747 -506.200632624075</t>
  </si>
  <si>
    <t>-591.132535772513 233.409025734288 -228.140499431943</t>
  </si>
  <si>
    <t>-378.271503264272 143.938180932458 -202.96719230652</t>
  </si>
  <si>
    <t>-655.715274966992 5.08094770504977 -529.300968108767</t>
  </si>
  <si>
    <t>-614.041290612255 136.511463060998 -96.5913919350633</t>
  </si>
  <si>
    <t>-634.845400118587 145.250604905459 318.370540154709</t>
  </si>
  <si>
    <t>-671.059271913198 179.226090037679 778.91122565218</t>
  </si>
  <si>
    <t>-520.885768249467 179.944423763636 836.6279298688</t>
  </si>
  <si>
    <t>-600.781142191975 -62.3274876646019 323.273461511262</t>
  </si>
  <si>
    <t>-650.920249911781 -100.936532259675 781.794000417216</t>
  </si>
  <si>
    <t>-497.888221157549 -115.343707788329 829.306761777628</t>
  </si>
  <si>
    <t>9763-20170724T115510.127931400.bin</t>
  </si>
  <si>
    <t>-606.941516797828 43.1961861866489 -92.6991587031733</t>
  </si>
  <si>
    <t>-626.929132909488 38.8865280613461 -201.508344361761</t>
  </si>
  <si>
    <t>-637.748818157265 36.3133328743913 -293.715356121247</t>
  </si>
  <si>
    <t>-646.049674516082 34.3309347000632 -377.173757145516</t>
  </si>
  <si>
    <t>-652.304397060909 32.704525434815 -460.818032331706</t>
  </si>
  <si>
    <t>-659.198899703224 30.7017049918718 -583.265433450099</t>
  </si>
  <si>
    <t>-641.536371193326 27.6453709441012 -659.547239258226</t>
  </si>
  <si>
    <t>-657.177725720615 62.9223293348446 -529.992715930902</t>
  </si>
  <si>
    <t>-634.656989026496 215.8682962888 -509.160437591151</t>
  </si>
  <si>
    <t>-595.678114217157 229.703242343824 -230.112330601979</t>
  </si>
  <si>
    <t>-381.513574467912 149.143357387545 -190.210234866933</t>
  </si>
  <si>
    <t>-655.169564133432 0.238680073241767 -529.080500275085</t>
  </si>
  <si>
    <t>-615.338360420466 134.928614446006 -96.6831858740441</t>
  </si>
  <si>
    <t>-635.545922521237 144.368995489425 318.292892840332</t>
  </si>
  <si>
    <t>-671.047117079886 179.068804415597 778.89300691963</t>
  </si>
  <si>
    <t>-520.857359817272 180.207873311118 836.560570237658</t>
  </si>
  <si>
    <t>-601.756451011246 -63.3522550351031 323.181664318044</t>
  </si>
  <si>
    <t>-651.051335611084 -100.981095616368 781.813559236656</t>
  </si>
  <si>
    <t>-497.961211611167 -115.104869204731 829.223991370022</t>
  </si>
  <si>
    <t>9763-20170724T115510.158566400.bin</t>
  </si>
  <si>
    <t>-607.63195250003 42.4284610269435 -92.7779837391571</t>
  </si>
  <si>
    <t>-627.612864026096 38.0898273737628 -201.587185040678</t>
  </si>
  <si>
    <t>-638.270580414265 35.2233520993675 -293.804426170982</t>
  </si>
  <si>
    <t>-646.363183537656 32.8663813567855 -377.273544596219</t>
  </si>
  <si>
    <t>-652.348041625154 30.7513958793297 -460.926685140175</t>
  </si>
  <si>
    <t>-658.78106151118 27.9067639675959 -583.382612337935</t>
  </si>
  <si>
    <t>-640.992301398856 24.358166246732 -659.613681800066</t>
  </si>
  <si>
    <t>-656.791546198839 60.497595424755 -530.334331172058</t>
  </si>
  <si>
    <t>-633.790653060565 213.547199247835 -510.857778209066</t>
  </si>
  <si>
    <t>-597.40746639986 227.886261513363 -231.484716454401</t>
  </si>
  <si>
    <t>-382.711472416788 152.907794429161 -184.236500056754</t>
  </si>
  <si>
    <t>-615.946796634943 134.249383441385 -96.7806597119987</t>
  </si>
  <si>
    <t>-635.838794828541 144.003795311933 318.203361725225</t>
  </si>
  <si>
    <t>-671.012658276047 179.111815303327 778.829173548923</t>
  </si>
  <si>
    <t>-520.815910076536 180.118771034422 836.481119496699</t>
  </si>
  <si>
    <t>-602.286451629105 -63.8402195230362 323.116122841712</t>
  </si>
  <si>
    <t>-651.183386704169 -100.998502952969 781.807495167684</t>
  </si>
  <si>
    <t>-498.05788812185 -115.23798152688 829.06886265223</t>
  </si>
  <si>
    <t>9763-20170724T115510.226748500.bin</t>
  </si>
  <si>
    <t>-608.854206773964 40.9180320388873 -92.9943250108837</t>
  </si>
  <si>
    <t>-628.825542746608 36.5092478289318 -201.802392738491</t>
  </si>
  <si>
    <t>-639.329247101462 33.0865955298325 -294.018524430346</t>
  </si>
  <si>
    <t>-647.227071353861 30.0255266390575 -377.483369381346</t>
  </si>
  <si>
    <t>-652.962807146116 26.9984684812953 -461.125881517847</t>
  </si>
  <si>
    <t>-658.974132463008 22.5879867786093 -583.556973929382</t>
  </si>
  <si>
    <t>-641.052112307328 18.1672398248372 -659.711173430135</t>
  </si>
  <si>
    <t>-656.883373732197 55.8603029755745 -530.937318619074</t>
  </si>
  <si>
    <t>-632.712087092505 209.030656319335 -513.866738212607</t>
  </si>
  <si>
    <t>-600.469986260232 223.112839017554 -233.972741112852</t>
  </si>
  <si>
    <t>-384.125416243655 165.14629207784 -172.462991671869</t>
  </si>
  <si>
    <t>-616.950344751573 132.857502261575 -97.0312402770085</t>
  </si>
  <si>
    <t>-636.24819033531 143.310569003777 317.963836753331</t>
  </si>
  <si>
    <t>-670.976843606259 179.06236338605 778.6151595714</t>
  </si>
  <si>
    <t>-520.771934677113 180.170528307925 836.243933915495</t>
  </si>
  <si>
    <t>-603.198136535606 -64.7266116071742 322.9804817227</t>
  </si>
  <si>
    <t>-651.492232244405 -101.061549568788 781.790349898415</t>
  </si>
  <si>
    <t>-498.28089957112 -115.664383883638 828.661202217226</t>
  </si>
  <si>
    <t>9763-20170724T115510.263360400.bin</t>
  </si>
  <si>
    <t>-609.38452878205 40.14844478442 -93.0865189523819</t>
  </si>
  <si>
    <t>-629.42844248272 35.7236097672924 -201.880662494445</t>
  </si>
  <si>
    <t>-639.915623341718 32.0326547696347 -294.088133712131</t>
  </si>
  <si>
    <t>-647.768993196686 28.6271817969375 -377.543925085911</t>
  </si>
  <si>
    <t>-653.431954467969 25.1503193229128 -461.173967450934</t>
  </si>
  <si>
    <t>-659.306651429102 19.9660929615115 -583.581170689577</t>
  </si>
  <si>
    <t>-641.345726177071 15.1401454154864 -659.70166847201</t>
  </si>
  <si>
    <t>-657.169343076434 53.5718893945771 -531.175692005269</t>
  </si>
  <si>
    <t>-632.58999931573 206.799763765005 -515.351505154682</t>
  </si>
  <si>
    <t>-601.476951600917 221.792696851755 -235.376999726699</t>
  </si>
  <si>
    <t>-384.541008967824 171.262720545632 -169.543378547605</t>
  </si>
  <si>
    <t>-617.363114598907 132.175120707746 -97.163148303273</t>
  </si>
  <si>
    <t>-636.322730600755 142.936157854981 317.839593946826</t>
  </si>
  <si>
    <t>-670.955099879168 179.020432137849 778.472502015279</t>
  </si>
  <si>
    <t>-520.749270740301 180.185761678692 836.097731520159</t>
  </si>
  <si>
    <t>-603.614401269382 -65.2233347379233 322.906659147683</t>
  </si>
  <si>
    <t>-651.677899698829 -101.101554556955 781.767116173098</t>
  </si>
  <si>
    <t>-498.401968024438 -115.787483360749 828.400131771804</t>
  </si>
  <si>
    <t>9763-20170724T115510.328533500.bin</t>
  </si>
  <si>
    <t>-610.502981782813 38.4944601400769 -93.3608355663822</t>
  </si>
  <si>
    <t>-630.736055752693 33.9557906419423 -202.115350592406</t>
  </si>
  <si>
    <t>-641.316272753653 29.6398179611174 -294.285008213679</t>
  </si>
  <si>
    <t>-649.231479827354 25.4554549103427 -377.699464526117</t>
  </si>
  <si>
    <t>-654.936713051487 20.9799259895956 -461.279091741117</t>
  </si>
  <si>
    <t>-660.854554537985 14.0916428290493 -583.600302031959</t>
  </si>
  <si>
    <t>-642.92598458711 8.38213390945134 -659.667187725158</t>
  </si>
  <si>
    <t>-658.458393271253 48.4256997123557 -531.680314824067</t>
  </si>
  <si>
    <t>-632.7908415872 201.744151060168 -518.410119002192</t>
  </si>
  <si>
    <t>-602.388659567913 218.766642437397 -238.473637905465</t>
  </si>
  <si>
    <t>-384.899016688396 178.279155099084 -167.709441899912</t>
  </si>
  <si>
    <t>-618.404355504765 130.599902638201 -97.512889746571</t>
  </si>
  <si>
    <t>-636.426382261992 142.053302148523 317.513069781442</t>
  </si>
  <si>
    <t>-670.911997248382 178.953552966848 778.141250358624</t>
  </si>
  <si>
    <t>-520.700490158175 180.24407436157 835.749096146997</t>
  </si>
  <si>
    <t>-604.41588701786 -66.1323655935073 322.773034939801</t>
  </si>
  <si>
    <t>-651.92649262319 -101.114612506635 781.735862707287</t>
  </si>
  <si>
    <t>-498.543475222427 -115.610953351551 828.075135017726</t>
  </si>
  <si>
    <t>9763-20170724T115510.365680000.bin</t>
  </si>
  <si>
    <t>-611.058792231327 37.4908603253311 -93.5142977497455</t>
  </si>
  <si>
    <t>-631.337796444821 32.8594664327502 -202.256208299441</t>
  </si>
  <si>
    <t>-642.001533921077 28.2190737535582 -294.400610324017</t>
  </si>
  <si>
    <t>-650.013038295301 23.6406154361514 -377.785220035698</t>
  </si>
  <si>
    <t>-655.837288074247 18.665986597035 -461.328466677656</t>
  </si>
  <si>
    <t>-661.955749869245 10.931171827074 -583.589012181505</t>
  </si>
  <si>
    <t>-644.137222582214 4.73524743679263 -659.643721490664</t>
  </si>
  <si>
    <t>-659.307814943478 45.6239676900016 -531.920434916886</t>
  </si>
  <si>
    <t>-632.870897916091 198.907233627625 -519.859466015991</t>
  </si>
  <si>
    <t>-602.905780314874 217.120275734242 -239.950583245362</t>
  </si>
  <si>
    <t>-385.303999102251 178.771993822701 -168.344557925464</t>
  </si>
  <si>
    <t>-619.048958201551 129.506859802579 -97.6850744051245</t>
  </si>
  <si>
    <t>-636.598641761759 141.598276776169 317.343137773642</t>
  </si>
  <si>
    <t>-670.904971040887 178.885205298197 777.959928530693</t>
  </si>
  <si>
    <t>-520.689079682811 180.255725533617 835.554467597832</t>
  </si>
  <si>
    <t>-604.801560680805 -66.6683392890957 322.705271778347</t>
  </si>
  <si>
    <t>-651.988006880592 -101.115667184158 781.747568045254</t>
  </si>
  <si>
    <t>-498.562089970879 -115.34555632843 828.027367853743</t>
  </si>
  <si>
    <t>9763-20170724T115510.430853200.bin</t>
  </si>
  <si>
    <t>-611.997403055446 35.2097390323011 -93.726562083401</t>
  </si>
  <si>
    <t>-632.266441133915 30.4635740804272 -202.465469244672</t>
  </si>
  <si>
    <t>-643.053957371638 25.2853567117304 -294.566636421375</t>
  </si>
  <si>
    <t>-651.23618332602 20.0403508875161 -377.895531165935</t>
  </si>
  <si>
    <t>-657.293829593384 14.214222135719 -461.366949778853</t>
  </si>
  <si>
    <t>-663.825973509013 5.02892431095142 -583.505788192885</t>
  </si>
  <si>
    <t>-660.795174505847 40.3312038761512 -532.272819972883</t>
  </si>
  <si>
    <t>-633.555079358995 193.615174184965 -522.318967901147</t>
  </si>
  <si>
    <t>-603.45500285872 214.428046200946 -242.605947821379</t>
  </si>
  <si>
    <t>-386.095311773072 172.749549258226 -172.134542773295</t>
  </si>
  <si>
    <t>-620.232097720857 127.050385315153 -97.9617931251529</t>
  </si>
  <si>
    <t>-636.790543375878 140.549532197511 317.06370023244</t>
  </si>
  <si>
    <t>-670.887324361626 178.803470280835 777.618993818303</t>
  </si>
  <si>
    <t>-520.643627800699 180.260991612567 835.138804891553</t>
  </si>
  <si>
    <t>-605.492354028982 -68.0476906876249 322.56484388863</t>
  </si>
  <si>
    <t>-652.044656459117 -101.221353185433 781.754227538915</t>
  </si>
  <si>
    <t>-498.635984046011 -115.396211466677 828.108076630028</t>
  </si>
  <si>
    <t>9763-20170724T115510.459435900.bin</t>
  </si>
  <si>
    <t>-612.386117252303 33.9946761343665 -93.7715318781038</t>
  </si>
  <si>
    <t>-632.700374362655 29.2132966869499 -202.500546260173</t>
  </si>
  <si>
    <t>-643.568834407203 23.8275555553303 -294.580379019529</t>
  </si>
  <si>
    <t>-651.843817172821 18.3213769785145 -377.883040170816</t>
  </si>
  <si>
    <t>-658.015503128256 12.1598310598351 -461.322125790521</t>
  </si>
  <si>
    <t>-664.739361139597 2.40138154380725 -583.406062617795</t>
  </si>
  <si>
    <t>-661.589910155361 37.9433027893667 -532.346324602223</t>
  </si>
  <si>
    <t>-634.216981093715 191.251710852353 -523.0684852186</t>
  </si>
  <si>
    <t>-603.816528785323 213.120288842991 -243.468462892587</t>
  </si>
  <si>
    <t>-386.775783675978 167.118070959913 -174.72529701853</t>
  </si>
  <si>
    <t>-620.946730598803 125.735574438563 -98.0377188402347</t>
  </si>
  <si>
    <t>-636.851823029407 139.885099382361 316.991708798618</t>
  </si>
  <si>
    <t>-670.891083434809 178.69885051979 777.474985414774</t>
  </si>
  <si>
    <t>-520.627607482424 180.323807025399 834.938537617559</t>
  </si>
  <si>
    <t>-605.674928649534 -68.8034205558979 322.511293317463</t>
  </si>
  <si>
    <t>-651.943289521919 -101.308415321404 781.787907443615</t>
  </si>
  <si>
    <t>-498.609787711663 -115.512259810585 828.380915708483</t>
  </si>
  <si>
    <t>9763-20170724T115510.525613700.bin</t>
  </si>
  <si>
    <t>-612.757633501662 31.7574062299432 -93.814018711864</t>
  </si>
  <si>
    <t>-633.240514174838 26.938818476079 -202.509597139391</t>
  </si>
  <si>
    <t>-644.283672182768 21.319811709302 -294.554783113769</t>
  </si>
  <si>
    <t>-652.7330009707 15.5159330025203 -377.81977061575</t>
  </si>
  <si>
    <t>-659.098140914494 8.96793006603411 -461.214804901495</t>
  </si>
  <si>
    <t>-662.800551339197 34.3640656099885 -532.371936979894</t>
  </si>
  <si>
    <t>-634.811384302164 187.587550445757 -523.904924681119</t>
  </si>
  <si>
    <t>-604.763678432483 211.81029268965 -244.460987353886</t>
  </si>
  <si>
    <t>-388.756475908117 158.340370695445 -177.899774863734</t>
  </si>
  <si>
    <t>-622.011811828618 123.253658646387 -98.0402850473796</t>
  </si>
  <si>
    <t>-637.138260665322 138.651625493431 316.973854497195</t>
  </si>
  <si>
    <t>-670.87310609751 178.687943310758 777.342958039698</t>
  </si>
  <si>
    <t>-520.533389635966 180.287064824025 834.607620143323</t>
  </si>
  <si>
    <t>-605.610832776283 -70.0889097795346 322.474029815784</t>
  </si>
  <si>
    <t>-651.71843879438 -101.382723588205 781.862886011768</t>
  </si>
  <si>
    <t>-498.449863798797 -114.473105107064 828.992636226927</t>
  </si>
  <si>
    <t>9763-20170724T115510.561709700.bin</t>
  </si>
  <si>
    <t>-612.71761310722 30.8126412740535 -93.7968129398535</t>
  </si>
  <si>
    <t>-633.306539529088 25.9855535701788 -202.472044997774</t>
  </si>
  <si>
    <t>-644.484757539217 20.3200906054669 -294.497937615316</t>
  </si>
  <si>
    <t>-653.075396659535 14.4555318093619 -377.744287933472</t>
  </si>
  <si>
    <t>-659.602008757636 7.82847679228848 -461.120631660988</t>
  </si>
  <si>
    <t>-663.46144519265 33.1449446961662 -532.297700578343</t>
  </si>
  <si>
    <t>-635.32468223838 186.360003715186 -523.996430358998</t>
  </si>
  <si>
    <t>-605.19933714091 211.250768219866 -244.619531030776</t>
  </si>
  <si>
    <t>-389.653389127204 153.911510727893 -179.806850667005</t>
  </si>
  <si>
    <t>-622.231903249802 122.153616997151 -97.9974928370152</t>
  </si>
  <si>
    <t>-637.076883937249 138.121157785787 317.005247254102</t>
  </si>
  <si>
    <t>-670.841271846156 178.684003056799 777.287273430069</t>
  </si>
  <si>
    <t>-520.47464112939 180.264846954547 834.481626201988</t>
  </si>
  <si>
    <t>-605.336995950998 -70.5874074194101 322.477241611144</t>
  </si>
  <si>
    <t>-651.642243817152 -101.428590800357 781.893530389333</t>
  </si>
  <si>
    <t>-498.423664955276 -114.37328928101 829.225647320102</t>
  </si>
  <si>
    <t>9763-20170724T115510.629891800.bin</t>
  </si>
  <si>
    <t>-612.35393001285 29.3207001114197 -93.7757262492383</t>
  </si>
  <si>
    <t>-633.124145719188 24.463026669576 -202.415103282141</t>
  </si>
  <si>
    <t>-644.621242142538 18.8019528756445 -294.40198116179</t>
  </si>
  <si>
    <t>-653.566876831027 12.9498109720932 -377.611671766015</t>
  </si>
  <si>
    <t>-660.515889153578 6.34649900837007 -460.955874773048</t>
  </si>
  <si>
    <t>-664.873780145217 31.691685593084 -532.093990568592</t>
  </si>
  <si>
    <t>-637.082830257468 184.934599668401 -523.530478867955</t>
  </si>
  <si>
    <t>-605.504041483027 209.330459073915 -244.270236317488</t>
  </si>
  <si>
    <t>-389.985405074524 147.241738004064 -183.894470713273</t>
  </si>
  <si>
    <t>-622.431645986579 120.360547525581 -97.9218766850183</t>
  </si>
  <si>
    <t>-636.733925763982 137.249141026663 317.063423761499</t>
  </si>
  <si>
    <t>-670.750389828461 178.594094039414 777.208547265891</t>
  </si>
  <si>
    <t>-520.37148015711 180.351095030746 834.365393592618</t>
  </si>
  <si>
    <t>-604.933779374838 -71.3433597878832 322.476902714721</t>
  </si>
  <si>
    <t>-651.697217130449 -101.478983309358 781.867518370007</t>
  </si>
  <si>
    <t>-498.461808512235 -113.855791776878 829.296864995398</t>
  </si>
  <si>
    <t>9763-20170724T115510.660545500.bin</t>
  </si>
  <si>
    <t>-612.011466228803 28.8483139011346 -93.7613157824167</t>
  </si>
  <si>
    <t>-632.856025813742 23.9801064309752 -202.385925234143</t>
  </si>
  <si>
    <t>-644.503659641532 18.4054368642267 -294.359144701962</t>
  </si>
  <si>
    <t>-653.619155887233 12.6699843809463 -377.558662061381</t>
  </si>
  <si>
    <t>-660.77117429028 6.2242864562113 -460.897908703028</t>
  </si>
  <si>
    <t>-665.404497101373 31.7310255214834 -531.960945182417</t>
  </si>
  <si>
    <t>-637.941005008222 185.018509864611 -522.978261195841</t>
  </si>
  <si>
    <t>-605.500223438104 209.152937211312 -243.794172393487</t>
  </si>
  <si>
    <t>-389.767007970262 145.479973046177 -185.884979277654</t>
  </si>
  <si>
    <t>-622.209142343031 119.741195857633 -97.885574838886</t>
  </si>
  <si>
    <t>-636.496292467757 136.981150514878 317.085854374208</t>
  </si>
  <si>
    <t>-670.690743894724 178.547999732417 777.176378703083</t>
  </si>
  <si>
    <t>-520.318146904968 180.395467717872 834.347130207778</t>
  </si>
  <si>
    <t>-604.761714853318 -71.5908444079998 322.481391611671</t>
  </si>
  <si>
    <t>-651.746195598982 -101.517295756826 781.855266625316</t>
  </si>
  <si>
    <t>-498.496658038682 -113.681594004711 829.293902717486</t>
  </si>
  <si>
    <t>9763-20170724T115510.728729700.bin</t>
  </si>
  <si>
    <t>-611.185158355386 27.8814213883375 -93.7476469686892</t>
  </si>
  <si>
    <t>-632.077283425131 23.0187731952096 -202.363277028041</t>
  </si>
  <si>
    <t>-643.949342523809 17.688449457426 -294.322523606647</t>
  </si>
  <si>
    <t>-653.337952186233 12.2731717751522 -377.512983010032</t>
  </si>
  <si>
    <t>-660.831376450176 6.2522341410513 -460.853968311711</t>
  </si>
  <si>
    <t>-665.998421572414 32.1900647133523 -531.7238968309</t>
  </si>
  <si>
    <t>-639.334348729174 185.56717983211 -521.68266990347</t>
  </si>
  <si>
    <t>-605.215648037268 208.965798096315 -242.636016508071</t>
  </si>
  <si>
    <t>-389.27590206411 141.808927493678 -189.640701488846</t>
  </si>
  <si>
    <t>-621.407680088159 118.584994055401 -97.8578637193257</t>
  </si>
  <si>
    <t>-635.717695760302 136.43387021804 317.086975787065</t>
  </si>
  <si>
    <t>-670.547146298641 178.504115705633 777.081384480786</t>
  </si>
  <si>
    <t>-520.207325488884 180.557945348023 834.331252257217</t>
  </si>
  <si>
    <t>-604.510902851912 -72.3162702380691 322.46125774737</t>
  </si>
  <si>
    <t>-651.905856748596 -101.589674385933 781.817481837843</t>
  </si>
  <si>
    <t>-498.614138576619 -113.584495621826 829.162952472464</t>
  </si>
  <si>
    <t>9763-20170724T115510.763386300.bin</t>
  </si>
  <si>
    <t>-610.726066052635 27.2214370560537 -93.747699299382</t>
  </si>
  <si>
    <t>-631.611557444185 22.3801814478209 -202.365671751127</t>
  </si>
  <si>
    <t>-643.562990028312 17.200045841269 -294.323123261483</t>
  </si>
  <si>
    <t>-653.055557428083 11.9753699442865 -377.513992228068</t>
  </si>
  <si>
    <t>-660.684053109129 6.20281002209435 -460.860475406866</t>
  </si>
  <si>
    <t>-666.085948392305 32.3886854250177 -531.621466667968</t>
  </si>
  <si>
    <t>-639.812968253985 185.804299368386 -520.959784749106</t>
  </si>
  <si>
    <t>-605.134533738449 208.668628607746 -241.937973840826</t>
  </si>
  <si>
    <t>-389.009659197819 140.434688827673 -191.117696377635</t>
  </si>
  <si>
    <t>-620.919282589067 117.916307186854 -97.8448600365468</t>
  </si>
  <si>
    <t>-635.334954252313 136.010819115437 317.085762178214</t>
  </si>
  <si>
    <t>-670.49170990516 178.382885594283 777.024355567072</t>
  </si>
  <si>
    <t>-520.177568200713 180.708217271734 834.331249878488</t>
  </si>
  <si>
    <t>-604.399736450541 -72.9271880930137 322.436182637495</t>
  </si>
  <si>
    <t>-651.988792036962 -101.678418321407 781.813649921842</t>
  </si>
  <si>
    <t>-498.689744889494 -113.774667891439 829.109558650795</t>
  </si>
  <si>
    <t>9763-20170724T115510.831570100.bin</t>
  </si>
  <si>
    <t>-609.626733031574 25.9418860290382 -93.7547538754228</t>
  </si>
  <si>
    <t>-630.489231999619 21.1669425007638 -202.380035809879</t>
  </si>
  <si>
    <t>-642.547164393604 16.2860780925344 -294.339850011348</t>
  </si>
  <si>
    <t>-652.183223194264 11.4327134405717 -377.536724457742</t>
  </si>
  <si>
    <t>-660.000620067251 6.1372839977023 -460.897418354987</t>
  </si>
  <si>
    <t>-665.785883281742 32.7949194946466 -531.45163269144</t>
  </si>
  <si>
    <t>-640.250047919704 186.238103427359 -519.6326133521</t>
  </si>
  <si>
    <t>-604.852983705482 208.268037043754 -240.633870882625</t>
  </si>
  <si>
    <t>-388.35239816739 137.809566950228 -194.68128842433</t>
  </si>
  <si>
    <t>-619.708073009244 116.695152392798 -97.8013515573599</t>
  </si>
  <si>
    <t>-634.590191008429 135.23853082658 317.093008942194</t>
  </si>
  <si>
    <t>-670.325756900342 178.355057571796 776.895917130329</t>
  </si>
  <si>
    <t>-520.067165017236 180.725960901928 834.346422033374</t>
  </si>
  <si>
    <t>-604.13242510678 -74.1438167875549 322.386410721055</t>
  </si>
  <si>
    <t>-652.250374143485 -101.764416792885 781.779163362369</t>
  </si>
  <si>
    <t>-498.845683542642 -113.588096177953 828.80076566861</t>
  </si>
  <si>
    <t>9763-20170724T115510.865227400.bin</t>
  </si>
  <si>
    <t>-609.081543160401 25.3175591968827 -93.7786617661769</t>
  </si>
  <si>
    <t>-629.886862327477 20.5691302693542 -202.416058024245</t>
  </si>
  <si>
    <t>-641.968087104638 15.8225955937091 -294.379925972209</t>
  </si>
  <si>
    <t>-651.652571251323 11.1373380938053 -377.580800538404</t>
  </si>
  <si>
    <t>-659.544976322152 6.05890967024652 -460.947836371569</t>
  </si>
  <si>
    <t>-665.508543012452 32.9309039470197 -531.405996371687</t>
  </si>
  <si>
    <t>-640.29601225065 186.393857907198 -519.036244057218</t>
  </si>
  <si>
    <t>-604.677796582888 207.951852774048 -240.028820855477</t>
  </si>
  <si>
    <t>-387.919360485413 136.913572236768 -196.235288751188</t>
  </si>
  <si>
    <t>-619.062299794114 116.104213186219 -97.8134001413756</t>
  </si>
  <si>
    <t>-634.225028993472 134.877772533084 317.060404700388</t>
  </si>
  <si>
    <t>-670.246975726025 178.328211804066 776.817868822376</t>
  </si>
  <si>
    <t>-520.020779567593 180.795518575908 834.348969759328</t>
  </si>
  <si>
    <t>-604.07214628893 -74.8426342287196 322.349742564991</t>
  </si>
  <si>
    <t>-652.466682869452 -101.847332353387 781.745066112563</t>
  </si>
  <si>
    <t>-499.036613331712 -114.377575461405 828.50007792124</t>
  </si>
  <si>
    <t>9763-20170724T115510.929398800.bin</t>
  </si>
  <si>
    <t>-608.323653100046 24.5789410777506 -93.8894397461444</t>
  </si>
  <si>
    <t>-628.929749390991 19.8853207592783 -202.56720789835</t>
  </si>
  <si>
    <t>-641.010295561337 15.39753086211 -294.544136052908</t>
  </si>
  <si>
    <t>-650.758962863784 11.036103343175 -377.75507182631</t>
  </si>
  <si>
    <t>-658.779037590707 6.37630823148743 -461.134464110299</t>
  </si>
  <si>
    <t>-665.07290669004 33.659538341303 -531.405406337864</t>
  </si>
  <si>
    <t>-640.549542714627 187.12742963131 -517.924403226114</t>
  </si>
  <si>
    <t>-604.688365259385 208.02975646732 -238.898222742018</t>
  </si>
  <si>
    <t>-387.429165763056 135.867479620602 -199.660659232276</t>
  </si>
  <si>
    <t>-617.96125907468 115.492146715407 -97.9063913286525</t>
  </si>
  <si>
    <t>-633.758756864142 134.406995649945 316.937272246408</t>
  </si>
  <si>
    <t>-670.111229489985 178.306608706539 776.645035256156</t>
  </si>
  <si>
    <t>-519.943342563829 180.944364751644 834.320639555627</t>
  </si>
  <si>
    <t>-604.41579425289 -75.8530533067301 322.200029676306</t>
  </si>
  <si>
    <t>-653.13766672421 -101.869570867811 781.612013871267</t>
  </si>
  <si>
    <t>-499.447184662434 -114.820639866485 827.386741168431</t>
  </si>
  <si>
    <t>9763-20170724T115510.962021900.bin</t>
  </si>
  <si>
    <t>-608.063814772307 24.4621538833596 -93.9777127563694</t>
  </si>
  <si>
    <t>-628.520966316801 19.7967928108528 -202.684772969502</t>
  </si>
  <si>
    <t>-640.561164164911 15.4294056141518 -294.672770253591</t>
  </si>
  <si>
    <t>-650.306836750938 11.2177131369779 -377.891864554105</t>
  </si>
  <si>
    <t>-658.356708579057 6.75083974607219 -461.278835095288</t>
  </si>
  <si>
    <t>-664.771951112426 34.2226958108022 -531.465347285578</t>
  </si>
  <si>
    <t>-640.547216835983 187.701162561394 -517.488741738116</t>
  </si>
  <si>
    <t>-604.783939378184 208.37413803118 -238.43277061589</t>
  </si>
  <si>
    <t>-387.314479793491 135.641339586669 -201.480134060007</t>
  </si>
  <si>
    <t>-617.440011083657 115.423532634167 -97.9874416558218</t>
  </si>
  <si>
    <t>-633.642807536905 134.340645666966 316.840516584339</t>
  </si>
  <si>
    <t>-670.050843126971 178.35443711563 776.54050761093</t>
  </si>
  <si>
    <t>-519.90465307003 180.967868785614 834.273747378903</t>
  </si>
  <si>
    <t>-604.720267242327 -76.2058850681672 322.089403546389</t>
  </si>
  <si>
    <t>-653.486451762354 -101.862723191746 781.522715391757</t>
  </si>
  <si>
    <t>-499.655796926967 -114.993208901906 826.772454401461</t>
  </si>
  <si>
    <t>9763-20170724T115511.029193000.bin</t>
  </si>
  <si>
    <t>-607.513787664301 24.6362471921366 -94.1628888317518</t>
  </si>
  <si>
    <t>-627.670637201467 20.0214844178333 -202.928167488088</t>
  </si>
  <si>
    <t>-639.629872021455 15.8497017804802 -294.935864894372</t>
  </si>
  <si>
    <t>-649.37048509118 11.879820024538 -378.167392540152</t>
  </si>
  <si>
    <t>-657.482585417433 7.72321150986045 -461.56440579732</t>
  </si>
  <si>
    <t>-667.556250909639 1.42521206235278 -583.645459290556</t>
  </si>
  <si>
    <t>-664.106052018508 35.4972786611613 -531.612466327629</t>
  </si>
  <si>
    <t>-640.294863431904 188.964903637448 -516.844806713654</t>
  </si>
  <si>
    <t>-604.885067912737 209.41956822072 -237.72778029508</t>
  </si>
  <si>
    <t>-387.254332865925 135.060702453465 -205.229285906367</t>
  </si>
  <si>
    <t>-616.462354152326 115.708024736538 -98.1845738308813</t>
  </si>
  <si>
    <t>-633.403669142252 134.485034147097 316.620194597965</t>
  </si>
  <si>
    <t>-669.966724922491 178.435473505912 776.328744969702</t>
  </si>
  <si>
    <t>-519.852374855196 181.105776010161 834.142018257272</t>
  </si>
  <si>
    <t>-605.047889641208 -76.5857791572571 321.882868581623</t>
  </si>
  <si>
    <t>-653.942441502372 -101.847662176781 781.397138982944</t>
  </si>
  <si>
    <t>-499.960838663331 -115.505815855156 825.972343805682</t>
  </si>
  <si>
    <t>9763-20170724T115511.061307900.bin</t>
  </si>
  <si>
    <t>-607.219049814639 24.8782768869473 -94.2160559816562</t>
  </si>
  <si>
    <t>-627.278019711851 20.2813486759392 -203.000279549275</t>
  </si>
  <si>
    <t>-639.242693045577 16.1775631834057 -295.010302148785</t>
  </si>
  <si>
    <t>-649.023260557895 12.2915703697324 -378.241137608678</t>
  </si>
  <si>
    <t>-657.210307846393 8.24221246721709 -461.636073177551</t>
  </si>
  <si>
    <t>-667.43155676186 2.12818937157408 -583.714261747923</t>
  </si>
  <si>
    <t>-663.960755943079 36.1208095262957 -531.630443653964</t>
  </si>
  <si>
    <t>-640.377720841331 189.601228372949 -516.569953293579</t>
  </si>
  <si>
    <t>-605.063126421107 209.988557687231 -237.435860575587</t>
  </si>
  <si>
    <t>-387.3652009817 135.06080449139 -206.744248377368</t>
  </si>
  <si>
    <t>-616.071250123735 115.993453263531 -98.2557909142628</t>
  </si>
  <si>
    <t>-633.33776719455 134.578833138824 316.544187092991</t>
  </si>
  <si>
    <t>-669.943606375495 178.42180830389 776.241659579068</t>
  </si>
  <si>
    <t>-519.844947923835 181.230363568144 834.089085007192</t>
  </si>
  <si>
    <t>-605.055768321713 -76.5739436365775 321.834043578087</t>
  </si>
  <si>
    <t>-654.06448684478 -101.871673771391 781.36658009845</t>
  </si>
  <si>
    <t>-500.034571050169 -115.508530615911 825.781069699389</t>
  </si>
  <si>
    <t>9763-20170724T115511.125479000.bin</t>
  </si>
  <si>
    <t>-606.530157533341 25.7040240974936 -94.2250366308829</t>
  </si>
  <si>
    <t>-626.544517510676 21.1391931596156 -203.01875014265</t>
  </si>
  <si>
    <t>-638.607113115575 17.1687056548676 -295.021885229486</t>
  </si>
  <si>
    <t>-648.529950366563 13.4471377736529 -378.243332907451</t>
  </si>
  <si>
    <t>-656.912792634469 9.60843278804145 -461.628872003865</t>
  </si>
  <si>
    <t>-667.478715439352 3.85375834190654 -583.69499226411</t>
  </si>
  <si>
    <t>-655.005038502069 0.0778599731827399 -660.963200012885</t>
  </si>
  <si>
    <t>-663.927992929581 37.6908731378542 -531.515724567457</t>
  </si>
  <si>
    <t>-640.549038460252 191.128765720152 -515.86035103904</t>
  </si>
  <si>
    <t>-605.427863567992 211.819516353449 -236.724218961542</t>
  </si>
  <si>
    <t>-387.714562038199 135.653050893247 -209.37266070729</t>
  </si>
  <si>
    <t>-615.284213400023 116.934722506893 -98.2957017151622</t>
  </si>
  <si>
    <t>-633.019613082222 135.043043952892 316.505670767935</t>
  </si>
  <si>
    <t>-669.888882466454 178.502832119491 776.1721810467</t>
  </si>
  <si>
    <t>-519.794668484844 181.304453138727 834.031522993285</t>
  </si>
  <si>
    <t>-604.613879893711 -76.0620692399448 321.839462375093</t>
  </si>
  <si>
    <t>-654.155065482853 -101.899213362636 781.336764169681</t>
  </si>
  <si>
    <t>-500.117030396804 -115.708881932214 825.669684875482</t>
  </si>
  <si>
    <t>9763-20170724T115511.162656800.bin</t>
  </si>
  <si>
    <t>-606.189658861025 26.2790557749242 -94.208453246186</t>
  </si>
  <si>
    <t>-626.217833247866 21.7312242027724 -203.000388504038</t>
  </si>
  <si>
    <t>-638.286843580855 17.8245822867659 -295.005346780635</t>
  </si>
  <si>
    <t>-648.21308168192 14.180443029323 -378.22990982068</t>
  </si>
  <si>
    <t>-656.596691451377 10.4396185436337 -461.61964429493</t>
  </si>
  <si>
    <t>-667.160605429421 4.85101960727047 -583.693798815085</t>
  </si>
  <si>
    <t>-654.744772127661 1.21413983119214 -660.977918672252</t>
  </si>
  <si>
    <t>-663.643284015393 38.61615304263 -531.465544480721</t>
  </si>
  <si>
    <t>-640.352411594144 192.047091891717 -515.541301551823</t>
  </si>
  <si>
    <t>-605.491746371684 212.829104780335 -236.379234273122</t>
  </si>
  <si>
    <t>-387.752179443826 136.179124455183 -210.634346495921</t>
  </si>
  <si>
    <t>-614.910798205826 117.599775869144 -98.2820995996696</t>
  </si>
  <si>
    <t>-632.833975019641 135.378626779449 316.525385793464</t>
  </si>
  <si>
    <t>-669.84907870351 178.626252060549 776.181033907408</t>
  </si>
  <si>
    <t>-519.748126687988 181.251992489991 834.031059024716</t>
  </si>
  <si>
    <t>-604.371805601817 -75.64084618062 321.860185230093</t>
  </si>
  <si>
    <t>-654.169696970611 -101.905086659963 781.329347217443</t>
  </si>
  <si>
    <t>-500.157869656828 -115.950809260044 825.679125504997</t>
  </si>
  <si>
    <t>9763-20170724T115511.229835300.bin</t>
  </si>
  <si>
    <t>-605.718061036881 27.3618389947831 -94.1661438105166</t>
  </si>
  <si>
    <t>-625.684966205477 22.8736396680908 -202.971877848048</t>
  </si>
  <si>
    <t>-637.68785344763 19.0588660297976 -294.989208930697</t>
  </si>
  <si>
    <t>-647.548216656903 15.51520601727 -378.225979773327</t>
  </si>
  <si>
    <t>-655.8596325345 11.8924700287903 -461.628206188886</t>
  </si>
  <si>
    <t>-666.310808446384 6.49638916987783 -583.720652158784</t>
  </si>
  <si>
    <t>-654.034878479938 3.03992792391136 -661.035444056503</t>
  </si>
  <si>
    <t>-662.859324585422 40.1784075335822 -531.434552927388</t>
  </si>
  <si>
    <t>-639.790897422408 193.592420850192 -515.016331732531</t>
  </si>
  <si>
    <t>-605.624817231412 214.764580977024 -235.797732329991</t>
  </si>
  <si>
    <t>-387.86570621186 137.206110410592 -213.122165999023</t>
  </si>
  <si>
    <t>-614.353736624991 118.757169548189 -98.2034228346964</t>
  </si>
  <si>
    <t>-632.640255779447 135.964518526438 316.612383088711</t>
  </si>
  <si>
    <t>-669.822922939114 178.686002080053 776.268342301109</t>
  </si>
  <si>
    <t>-519.704930687029 181.461318853315 834.067286936437</t>
  </si>
  <si>
    <t>-604.096364317143 -74.8056452542774 321.899936974433</t>
  </si>
  <si>
    <t>-654.161250311721 -101.899682644275 781.311035879174</t>
  </si>
  <si>
    <t>-500.185770723137 -116.033662828369 825.758795571094</t>
  </si>
  <si>
    <t>9763-20170724T115511.259469900.bin</t>
  </si>
  <si>
    <t>-605.539972565804 27.8511553896151 -94.1216941112694</t>
  </si>
  <si>
    <t>-625.452338394012 23.4092357997602 -202.939199631785</t>
  </si>
  <si>
    <t>-637.417784794703 19.6423869053394 -294.963529641767</t>
  </si>
  <si>
    <t>-647.247726746727 16.1463544318094 -378.205825063049</t>
  </si>
  <si>
    <t>-655.532018966522 12.5755471910297 -461.61307710832</t>
  </si>
  <si>
    <t>-665.947229541603 7.25980211194815 -583.712162042196</t>
  </si>
  <si>
    <t>-653.760579928612 3.86717230909426 -661.043841884449</t>
  </si>
  <si>
    <t>-662.506158536607 40.9076138852543 -531.403115655216</t>
  </si>
  <si>
    <t>-639.484612709818 194.30524333236 -514.743869997056</t>
  </si>
  <si>
    <t>-605.818263071823 215.806402414654 -235.489693592853</t>
  </si>
  <si>
    <t>-388.118055411281 137.833653988335 -213.685936281294</t>
  </si>
  <si>
    <t>-614.113457943307 119.278213752999 -98.1470757504951</t>
  </si>
  <si>
    <t>-632.662417625257 136.272169811469 316.665821252961</t>
  </si>
  <si>
    <t>-669.784941845002 178.829440561067 776.328460420226</t>
  </si>
  <si>
    <t>-519.65645794514 181.469384714729 834.106342234158</t>
  </si>
  <si>
    <t>-604.060027853699 -74.4752876343066 321.919803827318</t>
  </si>
  <si>
    <t>-654.137034289127 -101.946371400549 781.316430550234</t>
  </si>
  <si>
    <t>-500.18994737714 -116.127917261853 825.847414552811</t>
  </si>
  <si>
    <t>9763-20170724T115511.331662700.bin</t>
  </si>
  <si>
    <t>-605.257606431655 28.8181123815057 -94.0170404360244</t>
  </si>
  <si>
    <t>-625.069413833556 24.4622851486547 -202.856350424957</t>
  </si>
  <si>
    <t>-636.927806327137 20.7837091255265 -294.898183309253</t>
  </si>
  <si>
    <t>-646.65188613292 17.3746948636319 -378.156565340013</t>
  </si>
  <si>
    <t>-654.82106894031 13.897757822715 -461.579050396548</t>
  </si>
  <si>
    <t>-665.057729148525 8.72686270357804 -583.699517639689</t>
  </si>
  <si>
    <t>-653.015371664726 5.44945724726585 -661.058658459462</t>
  </si>
  <si>
    <t>-661.672802396405 42.313149253288 -531.347298590364</t>
  </si>
  <si>
    <t>-638.499193961665 195.628302406724 -514.183201508276</t>
  </si>
  <si>
    <t>-605.926342709917 217.811054348969 -234.85271758674</t>
  </si>
  <si>
    <t>-388.518148375939 138.533581276792 -214.920506711341</t>
  </si>
  <si>
    <t>-613.706153898585 120.244241522202 -98.0270938644379</t>
  </si>
  <si>
    <t>-632.691864322219 136.896831097132 316.779891050851</t>
  </si>
  <si>
    <t>-669.742112491697 178.926853757155 776.479557313025</t>
  </si>
  <si>
    <t>-519.595875916176 181.414260916514 834.21816861572</t>
  </si>
  <si>
    <t>-603.97981768506 -73.8741295131413 321.962377529443</t>
  </si>
  <si>
    <t>-654.016605502243 -102.001959040806 781.332975745902</t>
  </si>
  <si>
    <t>-500.135283960644 -116.00117255447 826.147973983791</t>
  </si>
  <si>
    <t>9763-20170724T115511.360254600.bin</t>
  </si>
  <si>
    <t>-605.1093438931 29.2766108497688 -93.9619991678028</t>
  </si>
  <si>
    <t>-624.888993284285 24.9563759176092 -202.808616604272</t>
  </si>
  <si>
    <t>-636.682948915192 21.3224963780124 -294.860389994517</t>
  </si>
  <si>
    <t>-646.333723671441 17.9600025131833 -378.129189114559</t>
  </si>
  <si>
    <t>-654.414403989294 14.5351473266805 -461.562513701703</t>
  </si>
  <si>
    <t>-664.504844612999 9.44676736809015 -583.698535096416</t>
  </si>
  <si>
    <t>-652.507780907723 6.2452761975876 -661.067965329506</t>
  </si>
  <si>
    <t>-661.171247149685 42.9981506891083 -531.3207003519</t>
  </si>
  <si>
    <t>-637.974706862089 196.282566339742 -513.970450109127</t>
  </si>
  <si>
    <t>-605.929722289308 218.766248032937 -234.602965171109</t>
  </si>
  <si>
    <t>-388.69384587006 138.809498109976 -215.523334076328</t>
  </si>
  <si>
    <t>-613.544752109214 120.714820610724 -97.963581951277</t>
  </si>
  <si>
    <t>-632.651653347873 137.173388749758 316.845593108163</t>
  </si>
  <si>
    <t>-669.707293173992 178.994239825866 776.567002746347</t>
  </si>
  <si>
    <t>-519.554411397031 181.378764550756 834.292716245513</t>
  </si>
  <si>
    <t>-603.811320495573 -73.5743262719084 321.997921244304</t>
  </si>
  <si>
    <t>-653.815822607745 -102.069932938651 781.345526462948</t>
  </si>
  <si>
    <t>-500.054508192881 -116.056037929151 826.574537280794</t>
  </si>
  <si>
    <t>9763-20170724T115511.426433500.bin</t>
  </si>
  <si>
    <t>-604.630501826152 30.2630011511174 -93.7626029001052</t>
  </si>
  <si>
    <t>-624.386484208958 25.9718827439904 -202.614790097317</t>
  </si>
  <si>
    <t>-636.08854664534 22.4202668636626 -294.681557193513</t>
  </si>
  <si>
    <t>-645.626987639919 19.1555906094454 -377.967177056773</t>
  </si>
  <si>
    <t>-653.565557627225 15.8518021611721 -461.418930416706</t>
  </si>
  <si>
    <t>-663.415416273653 10.9653862272055 -583.582828286931</t>
  </si>
  <si>
    <t>-651.460606617525 7.95186079144446 -660.966367021259</t>
  </si>
  <si>
    <t>-660.170894561578 44.430549479704 -531.144305946798</t>
  </si>
  <si>
    <t>-636.887101328162 197.654614369539 -513.386079998232</t>
  </si>
  <si>
    <t>-605.811686550964 220.246910713685 -233.917846333001</t>
  </si>
  <si>
    <t>-388.986680485484 138.612309803221 -217.448646892899</t>
  </si>
  <si>
    <t>-613.115250948995 121.709819469017 -97.7668259033105</t>
  </si>
  <si>
    <t>-632.381875323091 137.72596784096 317.052255118977</t>
  </si>
  <si>
    <t>-669.627224463643 179.129185092938 776.787831593088</t>
  </si>
  <si>
    <t>-519.471327649007 181.529587993378 834.505012979645</t>
  </si>
  <si>
    <t>-603.079944668647 -72.8994558066154 322.222306101511</t>
  </si>
  <si>
    <t>-653.014602410514 -102.309344412815 781.585200993419</t>
  </si>
  <si>
    <t>-499.656110750184 -115.977668278174 828.256062861736</t>
  </si>
  <si>
    <t>9763-20170724T115511.458620700.bin</t>
  </si>
  <si>
    <t>-604.387976269381 30.7938969715951 -93.6344879431803</t>
  </si>
  <si>
    <t>-624.139465153888 26.5166870270668 -202.488026958713</t>
  </si>
  <si>
    <t>-635.795630559316 23.0061582696167 -294.562165903365</t>
  </si>
  <si>
    <t>-645.275518833619 19.7902571430486 -377.856276242009</t>
  </si>
  <si>
    <t>-653.13825851049 16.5466615871933 -461.31764689427</t>
  </si>
  <si>
    <t>-662.858022103209 11.7610547485817 -583.496004631031</t>
  </si>
  <si>
    <t>-650.893935742485 8.84188096435082 -660.881682123653</t>
  </si>
  <si>
    <t>-659.663352303895 45.1831541601819 -531.026953935147</t>
  </si>
  <si>
    <t>-636.33674284658 198.378966416542 -513.021750992125</t>
  </si>
  <si>
    <t>-605.656954721208 220.991652295253 -233.511478332599</t>
  </si>
  <si>
    <t>-389.079378144244 138.385066043563 -218.718608295104</t>
  </si>
  <si>
    <t>-612.898170041314 122.235947684504 -97.6328182131938</t>
  </si>
  <si>
    <t>-632.252151211809 138.012918945004 317.191366496819</t>
  </si>
  <si>
    <t>-669.581083963564 179.194635031418 776.923052805431</t>
  </si>
  <si>
    <t>-519.426023235399 181.523643598199 834.645436917904</t>
  </si>
  <si>
    <t>-602.755533846176 -72.5302709868165 322.368185234708</t>
  </si>
  <si>
    <t>-652.709176937958 -102.362922987801 781.691259655413</t>
  </si>
  <si>
    <t>-499.509632055033 -115.816463288168 828.942964499655</t>
  </si>
  <si>
    <t>9763-20170724T115511.530782000.bin</t>
  </si>
  <si>
    <t>-604.080823690004 31.7684963495267 -93.4035130770541</t>
  </si>
  <si>
    <t>-623.756462594213 27.4772358865887 -202.270233597835</t>
  </si>
  <si>
    <t>-635.33955944228 24.029808479024 -294.356041413882</t>
  </si>
  <si>
    <t>-644.749283520736 20.900168557826 -377.66130707221</t>
  </si>
  <si>
    <t>-652.537384813777 17.7716858091023 -461.134082808798</t>
  </si>
  <si>
    <t>-662.142919631721 13.1854717872529 -583.329119194518</t>
  </si>
  <si>
    <t>-650.125899210628 10.424962609738 -660.712577911984</t>
  </si>
  <si>
    <t>-658.974669112127 46.5224238281239 -530.804528810108</t>
  </si>
  <si>
    <t>-635.515394728388 199.656560520668 -512.425038271848</t>
  </si>
  <si>
    <t>-605.544517448455 222.142956406848 -232.827653631626</t>
  </si>
  <si>
    <t>-389.582914420384 137.481026302662 -220.933430630898</t>
  </si>
  <si>
    <t>-612.638519334978 123.189983463888 -97.4148319748476</t>
  </si>
  <si>
    <t>-632.197432214081 138.542080061506 317.415706108267</t>
  </si>
  <si>
    <t>-669.49321085623 179.345130571169 777.181273489118</t>
  </si>
  <si>
    <t>-519.344087161509 181.571380268406 834.923099082078</t>
  </si>
  <si>
    <t>-602.39080616533 -71.9489726129543 322.569423284933</t>
  </si>
  <si>
    <t>-652.378353005455 -102.398832068899 781.828866212729</t>
  </si>
  <si>
    <t>-499.34816613633 -115.50800585417 829.721797353524</t>
  </si>
  <si>
    <t>9763-20170724T115511.562419900.bin</t>
  </si>
  <si>
    <t>-603.937386439922 32.1836036684538 -93.3078405038966</t>
  </si>
  <si>
    <t>-623.575469760824 27.8821891472369 -202.180879216688</t>
  </si>
  <si>
    <t>-635.14725332368 24.4658470730299 -294.269185201239</t>
  </si>
  <si>
    <t>-644.554698999915 21.3796495378149 -377.576568446301</t>
  </si>
  <si>
    <t>-652.348372694164 18.3099323272077 -461.050950609241</t>
  </si>
  <si>
    <t>-661.970486870996 13.8265804055056 -583.248407486425</t>
  </si>
  <si>
    <t>-649.926397233181 11.1266679630121 -660.629770666446</t>
  </si>
  <si>
    <t>-658.792678649005 47.1195165799331 -530.696318873643</t>
  </si>
  <si>
    <t>-635.287303756428 200.224086408814 -512.145808518421</t>
  </si>
  <si>
    <t>-605.654831507388 222.6496414372 -232.507500966533</t>
  </si>
  <si>
    <t>-389.945403046184 137.155393285147 -222.081355564143</t>
  </si>
  <si>
    <t>-612.501859543429 123.623020654077 -97.3261413425156</t>
  </si>
  <si>
    <t>-632.159723925791 138.800878016368 317.506121038487</t>
  </si>
  <si>
    <t>-669.433116675867 179.441561277394 777.285744066555</t>
  </si>
  <si>
    <t>-519.290731144251 181.547803201864 835.049548751408</t>
  </si>
  <si>
    <t>-602.262033828094 -71.7337303287541 322.637681791564</t>
  </si>
  <si>
    <t>-652.342142537809 -102.396394201078 781.858361612882</t>
  </si>
  <si>
    <t>-499.328818655839 -115.333466968328 829.851786606581</t>
  </si>
  <si>
    <t>9763-20170724T115511.630601200.bin</t>
  </si>
  <si>
    <t>-603.650242675568 32.760056203869 -93.2086046161625</t>
  </si>
  <si>
    <t>-623.246759531802 28.4571971743408 -202.089108467951</t>
  </si>
  <si>
    <t>-634.850152733552 25.1090710544347 -294.17577597442</t>
  </si>
  <si>
    <t>-644.312596958773 22.1130605796197 -377.480262388813</t>
  </si>
  <si>
    <t>-652.1875101959 19.1629366023067 -460.951304302952</t>
  </si>
  <si>
    <t>-661.957081413309 14.8868755452295 -583.144514933525</t>
  </si>
  <si>
    <t>-649.903314622667 12.3112280420219 -660.528638932655</t>
  </si>
  <si>
    <t>-658.737418634054 48.0898838707221 -530.538178137954</t>
  </si>
  <si>
    <t>-635.374952096062 201.182345246244 -511.720666574259</t>
  </si>
  <si>
    <t>-605.96841177008 223.796606796591 -232.073572991395</t>
  </si>
  <si>
    <t>-390.691756373359 136.944299904135 -224.252316083318</t>
  </si>
  <si>
    <t>-612.128241390775 124.349063852726 -97.2156793823602</t>
  </si>
  <si>
    <t>-632.01776949775 139.088738844557 317.621324067871</t>
  </si>
  <si>
    <t>-669.368306843904 179.420491030311 777.446021311035</t>
  </si>
  <si>
    <t>-519.245151572602 181.655714119224 835.254955977295</t>
  </si>
  <si>
    <t>-602.196918151066 -71.5944395379192 322.706231147144</t>
  </si>
  <si>
    <t>-652.46940329168 -102.41168439679 781.873292177232</t>
  </si>
  <si>
    <t>-499.448839900258 -115.728674354115 829.73969773682</t>
  </si>
  <si>
    <t>9763-20170724T115511.657176600.bin</t>
  </si>
  <si>
    <t>-603.511370659383 32.9695277159774 -93.1950509369485</t>
  </si>
  <si>
    <t>-623.099302487632 28.6704446831097 -202.07722985346</t>
  </si>
  <si>
    <t>-634.738649539921 25.3553250521377 -294.160636637838</t>
  </si>
  <si>
    <t>-644.250884275085 22.40216791797 -377.460886139388</t>
  </si>
  <si>
    <t>-652.192818491867 19.5086412493579 -460.927668948269</t>
  </si>
  <si>
    <t>-662.079358232986 15.3304572460802 -583.11502764414</t>
  </si>
  <si>
    <t>-650.035171435868 12.8257674871547 -660.502748390441</t>
  </si>
  <si>
    <t>-658.829241398688 48.4905971644607 -530.483294795295</t>
  </si>
  <si>
    <t>-635.533247547036 201.575491257411 -511.517024929944</t>
  </si>
  <si>
    <t>-606.277408784728 224.400481053235 -231.871275976151</t>
  </si>
  <si>
    <t>-391.10809614364 137.20092513019 -225.020372011748</t>
  </si>
  <si>
    <t>-611.848226059871 124.648630292158 -97.1928847408341</t>
  </si>
  <si>
    <t>-631.88429317741 139.2098116116 317.643394442905</t>
  </si>
  <si>
    <t>-669.339497798596 179.43400871599 777.493335665317</t>
  </si>
  <si>
    <t>-519.222849378687 181.764942996263 835.315191367464</t>
  </si>
  <si>
    <t>-602.293319099966 -71.5807881198286 322.709327464508</t>
  </si>
  <si>
    <t>-652.672660359537 -102.442805145186 781.857435791408</t>
  </si>
  <si>
    <t>-499.581921960692 -116.056481916252 829.414947188855</t>
  </si>
  <si>
    <t>9763-20170724T115511.728366500.bin</t>
  </si>
  <si>
    <t>-603.416618676161 33.4489133295876 -93.2645574629018</t>
  </si>
  <si>
    <t>-622.998317864458 29.1655057142759 -202.148436465238</t>
  </si>
  <si>
    <t>-634.679306643948 25.9185434378826 -294.229119708009</t>
  </si>
  <si>
    <t>-644.247877714622 23.0512743667366 -377.525954141831</t>
  </si>
  <si>
    <t>-652.264763673543 20.268994892157 -460.989290486865</t>
  </si>
  <si>
    <t>-662.281106343375 16.2827097945517 -583.172277519396</t>
  </si>
  <si>
    <t>-650.277994589258 13.9588253941163 -660.572262627532</t>
  </si>
  <si>
    <t>-659.016791773706 49.3589541661606 -530.48889842413</t>
  </si>
  <si>
    <t>-635.910776393033 202.433139242896 -511.193537093491</t>
  </si>
  <si>
    <t>-607.212228945914 225.919804642001 -231.544956685654</t>
  </si>
  <si>
    <t>-392.099770030584 138.491071734076 -225.942493709432</t>
  </si>
  <si>
    <t>-611.360793426805 125.332064941597 -97.2507317705846</t>
  </si>
  <si>
    <t>-631.725751931807 139.497639103604 317.583177463164</t>
  </si>
  <si>
    <t>-669.268159815886 179.576188125183 777.481568421475</t>
  </si>
  <si>
    <t>-519.160939287335 181.757767316566 835.333874774472</t>
  </si>
  <si>
    <t>-602.788219628863 -71.4086705128395 322.613738603965</t>
  </si>
  <si>
    <t>-653.368611708941 -102.385915833095 781.715306152937</t>
  </si>
  <si>
    <t>-500.019403441025 -116.832717596461 828.1817868844</t>
  </si>
  <si>
    <t>9763-20170724T115511.766502700.bin</t>
  </si>
  <si>
    <t>-603.438485056244 33.684795207296 -93.3391339642382</t>
  </si>
  <si>
    <t>-623.011732329307 29.4123239428902 -202.224980361204</t>
  </si>
  <si>
    <t>-634.69181672611 26.2024842507142 -294.307090174131</t>
  </si>
  <si>
    <t>-644.261994938045 23.3808468119862 -377.60534896271</t>
  </si>
  <si>
    <t>-652.282879968114 20.6566169183459 -461.070207050894</t>
  </si>
  <si>
    <t>-662.307557489044 16.7694853294611 -583.255689942363</t>
  </si>
  <si>
    <t>-650.336627490271 14.5350608535769 -660.663210055697</t>
  </si>
  <si>
    <t>-659.060283460983 49.8023348136423 -530.543898369645</t>
  </si>
  <si>
    <t>-636.021598678074 202.861664814832 -511.052897645989</t>
  </si>
  <si>
    <t>-607.74609361005 226.716664733188 -231.392295708057</t>
  </si>
  <si>
    <t>-392.68991947734 139.131359029996 -226.083021010763</t>
  </si>
  <si>
    <t>-611.18676955789 125.609354606407 -97.3031685434545</t>
  </si>
  <si>
    <t>-631.692197547139 139.620844723893 317.529086265508</t>
  </si>
  <si>
    <t>-669.25432224748 179.592668355401 777.442974423611</t>
  </si>
  <si>
    <t>-519.149559149161 181.772012252325 835.3017097253</t>
  </si>
  <si>
    <t>-603.036887858705 -71.2545897975247 322.528679814428</t>
  </si>
  <si>
    <t>-653.715416051544 -102.352196084787 781.617241408951</t>
  </si>
  <si>
    <t>-500.188621751794 -116.738792284729 827.512475043828</t>
  </si>
  <si>
    <t>9763-20170724T115511.830673400.bin</t>
  </si>
  <si>
    <t>-603.391787825926 34.1086922196102 -93.4602828075572</t>
  </si>
  <si>
    <t>-622.972464295406 29.8608368555872 -202.345798542033</t>
  </si>
  <si>
    <t>-634.660730135443 26.7494733226313 -294.430270857594</t>
  </si>
  <si>
    <t>-644.23872563949 24.0491066464617 -377.731461339687</t>
  </si>
  <si>
    <t>-652.26765985043 21.4790302092781 -461.200412301167</t>
  </si>
  <si>
    <t>-662.304244403998 17.853287291294 -583.393082016898</t>
  </si>
  <si>
    <t>-650.434367914261 15.7919968344538 -660.820968820052</t>
  </si>
  <si>
    <t>-659.076418929027 50.7722613374576 -530.609042920499</t>
  </si>
  <si>
    <t>-636.034985321931 203.781169192377 -510.720429471048</t>
  </si>
  <si>
    <t>-608.80408070281 228.181667800566 -231.003410156022</t>
  </si>
  <si>
    <t>-393.867083777839 140.287388949929 -225.981772235288</t>
  </si>
  <si>
    <t>-610.928081804876 126.032259434007 -97.4045764221804</t>
  </si>
  <si>
    <t>-631.558029506474 139.910045610234 317.426007654034</t>
  </si>
  <si>
    <t>-669.218118613536 179.666835320287 777.341382604056</t>
  </si>
  <si>
    <t>-519.115018832809 181.715314821084 835.209273591927</t>
  </si>
  <si>
    <t>-603.202536446549 -70.9387594243276 322.39791783851</t>
  </si>
  <si>
    <t>-654.077579260458 -102.332636101829 781.50164783952</t>
  </si>
  <si>
    <t>-500.415882112593 -117.156741884191 826.802365993838</t>
  </si>
  <si>
    <t>9763-20170724T115511.862303900.bin</t>
  </si>
  <si>
    <t>-603.322432848038 34.235917245584 -93.4941581146479</t>
  </si>
  <si>
    <t>-622.915827538639 30.0165611894643 -202.378459000014</t>
  </si>
  <si>
    <t>-634.624208316117 26.954335635387 -294.461961842343</t>
  </si>
  <si>
    <t>-644.224125210988 24.308854088531 -377.762382211022</t>
  </si>
  <si>
    <t>-652.278600186646 21.8046500537346 -461.230949175081</t>
  </si>
  <si>
    <t>-662.356482517772 18.2874999477378 -583.423360660253</t>
  </si>
  <si>
    <t>-650.550031373999 16.2855386090971 -660.86245333286</t>
  </si>
  <si>
    <t>-659.122635367012 51.1592296915662 -530.610154790805</t>
  </si>
  <si>
    <t>-636.137817921133 204.15608318152 -510.563243418816</t>
  </si>
  <si>
    <t>-609.20818449489 228.524204739948 -230.814257930813</t>
  </si>
  <si>
    <t>-394.313452547841 140.521306317853 -225.887580443649</t>
  </si>
  <si>
    <t>-610.800758070001 126.19911860453 -97.4364354306247</t>
  </si>
  <si>
    <t>-631.528770618527 139.940917302799 317.393808521324</t>
  </si>
  <si>
    <t>-669.217385147444 179.631273603396 777.309992197876</t>
  </si>
  <si>
    <t>-519.114895317064 181.708471307656 835.178266782143</t>
  </si>
  <si>
    <t>-603.195418812422 -70.8335807637091 322.366511096493</t>
  </si>
  <si>
    <t>-654.180368125142 -102.323943862256 781.480010748102</t>
  </si>
  <si>
    <t>-500.491139627912 -117.381000058511 826.610116122793</t>
  </si>
  <si>
    <t>9763-20170724T115511.926472800.bin</t>
  </si>
  <si>
    <t>-603.21620629697 34.5385158578561 -93.5515026016353</t>
  </si>
  <si>
    <t>-622.819007849451 30.330127690276 -202.434581817277</t>
  </si>
  <si>
    <t>-634.567863854353 27.3936021227992 -294.516928802097</t>
  </si>
  <si>
    <t>-644.216949028091 24.9088346347241 -377.816866508389</t>
  </si>
  <si>
    <t>-652.333010077279 22.6131839247448 -461.285318220054</t>
  </si>
  <si>
    <t>-662.514136849882 19.454231104683 -583.479078858384</t>
  </si>
  <si>
    <t>-650.843217947072 17.6294348561755 -660.943052189136</t>
  </si>
  <si>
    <t>-659.267943290007 52.1697913362361 -530.56963428008</t>
  </si>
  <si>
    <t>-636.40491633912 205.119649529752 -510.079789257476</t>
  </si>
  <si>
    <t>-609.981677493867 229.171189662991 -230.255041999911</t>
  </si>
  <si>
    <t>-395.202266965698 140.861242833323 -225.817537557189</t>
  </si>
  <si>
    <t>-610.621540698941 126.53186609141 -97.490590796803</t>
  </si>
  <si>
    <t>-631.566315222437 140.122205373056 317.333758361158</t>
  </si>
  <si>
    <t>-669.172988031884 179.762649697473 777.260607004178</t>
  </si>
  <si>
    <t>-519.071604665259 181.70685844054 835.136593962783</t>
  </si>
  <si>
    <t>-603.167342565316 -70.6601032352423 322.327389802214</t>
  </si>
  <si>
    <t>-654.341588107971 -102.288359408886 781.435620471269</t>
  </si>
  <si>
    <t>-500.5712357695 -117.316494998545 826.298247131741</t>
  </si>
  <si>
    <t>9763-20170724T115511.962099100.bin</t>
  </si>
  <si>
    <t>-603.222295829839 34.5951719300222 -93.5595761534131</t>
  </si>
  <si>
    <t>-622.832384042535 30.3905035587743 -202.441453023674</t>
  </si>
  <si>
    <t>-634.578864076208 27.5087239359407 -294.525952587009</t>
  </si>
  <si>
    <t>-644.222011506172 25.0943201584189 -377.82842641192</t>
  </si>
  <si>
    <t>-652.328339354643 22.8899086888771 -461.300423026074</t>
  </si>
  <si>
    <t>-662.490857532347 19.8875158994395 -583.499511138536</t>
  </si>
  <si>
    <t>-650.863548199335 18.1591970743457 -660.972379826024</t>
  </si>
  <si>
    <t>-659.26842938625 52.5346849490033 -530.546513688815</t>
  </si>
  <si>
    <t>-636.505473656131 205.475650844908 -509.817145212479</t>
  </si>
  <si>
    <t>-610.294048148778 229.314424868031 -229.954144538749</t>
  </si>
  <si>
    <t>-395.595578660342 140.798416648838 -225.709891590214</t>
  </si>
  <si>
    <t>-610.592954308913 126.593699793985 -97.4986584158706</t>
  </si>
  <si>
    <t>-631.613117001045 140.179285658862 317.322026522032</t>
  </si>
  <si>
    <t>-669.166360460491 179.800876029021 777.244245949717</t>
  </si>
  <si>
    <t>-519.06228714409 181.732853819294 835.113578172717</t>
  </si>
  <si>
    <t>-603.199347771303 -70.64403396127 322.312843212128</t>
  </si>
  <si>
    <t>-654.409715494035 -102.304882971908 781.41873322096</t>
  </si>
  <si>
    <t>-500.635432631976 -117.626788147781 826.168393113767</t>
  </si>
  <si>
    <t>9763-20170724T115512.026270100.bin</t>
  </si>
  <si>
    <t>-603.192677109938 34.9045596910612 -93.6029244821241</t>
  </si>
  <si>
    <t>-622.775398977214 30.6928021461533 -202.489433244442</t>
  </si>
  <si>
    <t>-634.512073321791 27.8905219206492 -294.577560191205</t>
  </si>
  <si>
    <t>-644.151298398791 25.5819324932922 -377.883609502599</t>
  </si>
  <si>
    <t>-652.258401063314 23.5179597008355 -461.359129641734</t>
  </si>
  <si>
    <t>-662.427020751096 20.759010271094 -583.563458816953</t>
  </si>
  <si>
    <t>-650.870118509681 19.2476920680083 -661.051260704681</t>
  </si>
  <si>
    <t>-659.222129945233 53.2996862308335 -530.544081178774</t>
  </si>
  <si>
    <t>-636.639998898903 206.214301430131 -509.451226339582</t>
  </si>
  <si>
    <t>-610.839698299502 229.715329290941 -229.52150741591</t>
  </si>
  <si>
    <t>-396.355660895298 140.666423833524 -225.59470556789</t>
  </si>
  <si>
    <t>-610.555580803174 126.888261354654 -97.5363565330341</t>
  </si>
  <si>
    <t>-631.716039457189 140.299089056469 317.28286716471</t>
  </si>
  <si>
    <t>-669.178908764499 179.757614122416 777.215638154063</t>
  </si>
  <si>
    <t>-519.07672871299 181.851213980375 835.084223782612</t>
  </si>
  <si>
    <t>-603.372286539745 -70.4622825427175 322.267226150315</t>
  </si>
  <si>
    <t>-654.539881912915 -102.222022691426 781.378732076337</t>
  </si>
  <si>
    <t>-500.660987954641 -117.181014236198 825.890964471559</t>
  </si>
  <si>
    <t>9763-20170724T115512.065889100.bin</t>
  </si>
  <si>
    <t>-603.178193388015 35.0578346502521 -93.6168857611583</t>
  </si>
  <si>
    <t>-622.758300364611 30.8459244077717 -202.503909800607</t>
  </si>
  <si>
    <t>-634.505152573342 28.0796363907114 -294.591826669807</t>
  </si>
  <si>
    <t>-644.158552745885 25.8181552504113 -377.897553236144</t>
  </si>
  <si>
    <t>-652.284654575976 23.8166001183447 -461.372589257351</t>
  </si>
  <si>
    <t>-662.486377498876 21.1654803556278 -583.576683547259</t>
  </si>
  <si>
    <t>-650.962636204832 19.7629039349913 -661.071479488192</t>
  </si>
  <si>
    <t>-659.280655942913 53.6589132863451 -530.528202145628</t>
  </si>
  <si>
    <t>-636.757515415081 206.551310351658 -509.241530124183</t>
  </si>
  <si>
    <t>-611.150615944508 229.91774118824 -229.282707214904</t>
  </si>
  <si>
    <t>-396.756945344901 140.649046624902 -225.412138204293</t>
  </si>
  <si>
    <t>-610.463871703437 127.053933764508 -97.5602832332783</t>
  </si>
  <si>
    <t>-631.714211678952 140.394036631509 317.256599001345</t>
  </si>
  <si>
    <t>-669.162170698822 179.821279648678 777.188986473669</t>
  </si>
  <si>
    <t>-519.064405055899 181.824873215448 835.072139811462</t>
  </si>
  <si>
    <t>-603.477016815209 -70.4188837198326 322.249421971112</t>
  </si>
  <si>
    <t>-654.614027547874 -102.234932881462 781.363425445738</t>
  </si>
  <si>
    <t>-500.731974393785 -117.502465767538 825.759806472353</t>
  </si>
  <si>
    <t>9763-20170724T115512.128049500.bin</t>
  </si>
  <si>
    <t>-603.175863450362 35.2733357409993 -93.6547282200955</t>
  </si>
  <si>
    <t>-622.792098634172 31.0476227006552 -202.534776922743</t>
  </si>
  <si>
    <t>-634.579850601217 28.3380968730439 -294.619107089663</t>
  </si>
  <si>
    <t>-644.27413556517 26.1562631719835 -377.922172699594</t>
  </si>
  <si>
    <t>-652.445095162487 24.2631289234596 -461.395477905482</t>
  </si>
  <si>
    <t>-662.716546362107 21.8030390855999 -583.597522837816</t>
  </si>
  <si>
    <t>-651.271194043825 20.5756371419609 -661.107051634172</t>
  </si>
  <si>
    <t>-659.515071149921 54.212162113334 -530.497351498385</t>
  </si>
  <si>
    <t>-637.120849976183 207.084190852838 -508.904989647404</t>
  </si>
  <si>
    <t>-611.942485603681 230.452332446427 -228.907531278546</t>
  </si>
  <si>
    <t>-397.640109796766 140.952397062743 -225.331869464409</t>
  </si>
  <si>
    <t>-610.356246173759 127.372599755399 -97.6307756847189</t>
  </si>
  <si>
    <t>-631.63427998979 140.558634759888 317.189674656586</t>
  </si>
  <si>
    <t>-669.132029117747 179.945536515235 777.125168553937</t>
  </si>
  <si>
    <t>-519.041174540291 181.799666833848 835.031371641963</t>
  </si>
  <si>
    <t>-603.593926877342 -70.3865111851399 322.210319951236</t>
  </si>
  <si>
    <t>-654.725039444431 -102.18780024044 781.330095150216</t>
  </si>
  <si>
    <t>-500.760485462888 -117.216958894477 825.521287758453</t>
  </si>
  <si>
    <t>9763-20170724T115512.159144000.bin</t>
  </si>
  <si>
    <t>-603.164657152422 35.3377760989422 -93.6767306372229</t>
  </si>
  <si>
    <t>-622.818927955033 31.1068534329381 -202.549580588188</t>
  </si>
  <si>
    <t>-634.641011086603 28.414208027242 -294.63019087967</t>
  </si>
  <si>
    <t>-644.367168114828 26.2565341856559 -377.930044610659</t>
  </si>
  <si>
    <t>-652.570852302472 24.3965744515976 -461.400816940476</t>
  </si>
  <si>
    <t>-662.891049047935 21.9948949252835 -583.600140884001</t>
  </si>
  <si>
    <t>-651.485976285082 20.816713332815 -661.116305935107</t>
  </si>
  <si>
    <t>-659.674699660165 54.3784978667104 -530.485082363302</t>
  </si>
  <si>
    <t>-637.320107387355 207.243280028702 -508.781684556993</t>
  </si>
  <si>
    <t>-612.393719779263 230.686208967689 -228.767839270461</t>
  </si>
  <si>
    <t>-398.114415308034 141.122894345147 -225.401808370449</t>
  </si>
  <si>
    <t>-610.305232736939 127.493510138497 -97.6576246994564</t>
  </si>
  <si>
    <t>-631.582755491281 140.595948544656 317.165459467201</t>
  </si>
  <si>
    <t>-669.131743767039 179.939093690566 777.099741822806</t>
  </si>
  <si>
    <t>-519.043697202448 181.861463213981 835.010938670333</t>
  </si>
  <si>
    <t>-603.567781119124 -70.3812872428978 322.197854887353</t>
  </si>
  <si>
    <t>-654.739151280421 -102.196410557862 781.32528502477</t>
  </si>
  <si>
    <t>-500.799795850877 -117.557269810128 825.49022932056</t>
  </si>
  <si>
    <t>9763-20170724T115512.226321800.bin</t>
  </si>
  <si>
    <t>-603.201035786751 35.5201138026548 -93.7076458661372</t>
  </si>
  <si>
    <t>-622.93446353106 31.2860470681808 -202.56616809485</t>
  </si>
  <si>
    <t>-634.835576386889 28.6287554206294 -294.637549085621</t>
  </si>
  <si>
    <t>-644.637928719841 26.5184089545892 -377.929664490378</t>
  </si>
  <si>
    <t>-652.922624734707 24.7212915797577 -461.393886396971</t>
  </si>
  <si>
    <t>-663.366503243371 22.4286032841924 -583.584707164646</t>
  </si>
  <si>
    <t>-652.021243026521 21.3115399017734 -661.11053746484</t>
  </si>
  <si>
    <t>-660.104653047097 54.7644214804141 -530.443314350116</t>
  </si>
  <si>
    <t>-637.666855875057 207.585777369458 -508.54273069015</t>
  </si>
  <si>
    <t>-613.154422331847 231.281768320242 -228.513756479829</t>
  </si>
  <si>
    <t>-398.983829160168 141.447039336475 -225.478675272614</t>
  </si>
  <si>
    <t>-610.318825376059 127.720582364392 -97.6882289349777</t>
  </si>
  <si>
    <t>-631.576272049816 140.667164800637 317.14076867827</t>
  </si>
  <si>
    <t>-669.144106125051 179.928018197673 777.071807962306</t>
  </si>
  <si>
    <t>-519.055906739245 181.899932883568 834.980883149915</t>
  </si>
  <si>
    <t>-603.550640865459 -70.2423281484794 322.190259322294</t>
  </si>
  <si>
    <t>-654.765792142582 -102.200447107411 781.316394880737</t>
  </si>
  <si>
    <t>-500.821285970041 -117.676269604252 825.423218758175</t>
  </si>
  <si>
    <t>9763-20170724T115512.263952400.bin</t>
  </si>
  <si>
    <t>-603.280230601096 35.6810981202259 -93.7124740200815</t>
  </si>
  <si>
    <t>-623.055303399893 31.4340049034308 -202.562869641982</t>
  </si>
  <si>
    <t>-635.004172470442 28.7804459631004 -294.628152333021</t>
  </si>
  <si>
    <t>-644.854763181305 26.6791661547779 -377.915015890518</t>
  </si>
  <si>
    <t>-653.192640472638 24.8972820719723 -461.374085955029</t>
  </si>
  <si>
    <t>-663.719740906073 22.6334526141704 -583.558304728605</t>
  </si>
  <si>
    <t>-652.413054753081 21.5289698443462 -661.089936420832</t>
  </si>
  <si>
    <t>-660.420518585634 54.9567703216392 -530.411681385087</t>
  </si>
  <si>
    <t>-637.916470971568 207.754314694728 -508.421195518897</t>
  </si>
  <si>
    <t>-613.521820705318 231.597808363721 -228.394394521185</t>
  </si>
  <si>
    <t>-399.412753069203 141.610218966689 -225.5534423567</t>
  </si>
  <si>
    <t>-610.388635286432 127.871120665726 -97.6977728944661</t>
  </si>
  <si>
    <t>-631.629974914714 140.757905814607 317.133954399744</t>
  </si>
  <si>
    <t>-669.142754465844 179.972345198232 777.065287368509</t>
  </si>
  <si>
    <t>-519.049957201703 181.817459338518 834.966719160156</t>
  </si>
  <si>
    <t>-603.564665064824 -70.1274077915357 322.193747508271</t>
  </si>
  <si>
    <t>-654.77699116858 -102.20481399814 781.308179763989</t>
  </si>
  <si>
    <t>-500.825456526157 -117.663230932715 825.396544328008</t>
  </si>
  <si>
    <t>9763-20170724T115512.328123800.bin</t>
  </si>
  <si>
    <t>-603.561383388811 36.0035491117333 -93.7208458928029</t>
  </si>
  <si>
    <t>-623.425615359171 31.745010108049 -202.554589999698</t>
  </si>
  <si>
    <t>-635.448963030966 29.0917360820883 -294.610068490887</t>
  </si>
  <si>
    <t>-645.366456620947 26.9950598257635 -377.889086345569</t>
  </si>
  <si>
    <t>-653.771056418841 25.2217508130746 -461.341757956194</t>
  </si>
  <si>
    <t>-664.395257118279 22.9755182840736 -583.517881777056</t>
  </si>
  <si>
    <t>-653.154475179696 21.8807173741902 -661.059298540711</t>
  </si>
  <si>
    <t>-661.062710359244 55.290752776669 -530.368560108121</t>
  </si>
  <si>
    <t>-638.592837986753 208.081939195142 -508.301461268719</t>
  </si>
  <si>
    <t>-614.251432794599 232.105043898868 -228.285370595294</t>
  </si>
  <si>
    <t>-400.300285743982 141.720784363003 -226.254428248846</t>
  </si>
  <si>
    <t>-610.642480604238 128.20725018951 -97.725637873664</t>
  </si>
  <si>
    <t>-631.794053955417 140.94803573945 317.115191798878</t>
  </si>
  <si>
    <t>-669.172307612269 179.956882701212 777.069332033559</t>
  </si>
  <si>
    <t>-519.066131094642 181.826105190866 834.935250787066</t>
  </si>
  <si>
    <t>-603.677281041774 -69.8818877219014 322.190406001021</t>
  </si>
  <si>
    <t>-654.784563188654 -102.205168163926 781.306986821192</t>
  </si>
  <si>
    <t>-500.808610538837 -117.516609569792 825.361399594711</t>
  </si>
  <si>
    <t>9763-20170724T115512.362721200.bin</t>
  </si>
  <si>
    <t>-603.754883570776 36.2228496612072 -93.7399645617484</t>
  </si>
  <si>
    <t>-623.67026196945 31.9551654473501 -202.563878636794</t>
  </si>
  <si>
    <t>-635.737227107693 29.2987836899465 -294.613725180813</t>
  </si>
  <si>
    <t>-645.694395610312 27.2009923526857 -377.887908401711</t>
  </si>
  <si>
    <t>-654.138880059964 25.4285134447691 -461.336518622974</t>
  </si>
  <si>
    <t>-664.821674188318 23.1854808746548 -583.507618633334</t>
  </si>
  <si>
    <t>-653.624418859439 22.1020249736212 -661.055488839099</t>
  </si>
  <si>
    <t>-661.463947233565 55.4993732667726 -530.359021878034</t>
  </si>
  <si>
    <t>-638.969684739444 208.286694662323 -508.291336943432</t>
  </si>
  <si>
    <t>-614.704976212864 232.513893906717 -228.286223558591</t>
  </si>
  <si>
    <t>-400.781008807696 142.059350877168 -226.540963247993</t>
  </si>
  <si>
    <t>-610.80962014469 128.49168980385 -97.7535601666459</t>
  </si>
  <si>
    <t>-631.899942818184 141.093937056907 317.094620338749</t>
  </si>
  <si>
    <t>-669.160147913775 180.07249635648 777.065893851219</t>
  </si>
  <si>
    <t>-519.048367213867 181.738574177154 834.923500696987</t>
  </si>
  <si>
    <t>-603.764437268099 -69.7230338111121 322.181265162425</t>
  </si>
  <si>
    <t>-654.790864923262 -102.170962164013 781.307028699251</t>
  </si>
  <si>
    <t>-500.802964541372 -117.421959615632 825.340667611972</t>
  </si>
  <si>
    <t>9763-20170724T115512.636085100.bin</t>
  </si>
  <si>
    <t>-603.973697186915 36.4076449719971 -93.7576618205125</t>
  </si>
  <si>
    <t>-623.926008799165 32.1272932588965 -202.574416873244</t>
  </si>
  <si>
    <t>-636.041310846726 29.4641367939153 -294.617643955137</t>
  </si>
  <si>
    <t>-646.04916342682 27.3619026463296 -377.885671349429</t>
  </si>
  <si>
    <t>-654.551295369667 25.5871482256998 -461.328546239397</t>
  </si>
  <si>
    <t>-665.326153979746 23.3425277137462 -583.49150327714</t>
  </si>
  <si>
    <t>-654.171107072302 22.2634230902145 -661.045335709897</t>
  </si>
  <si>
    <t>-661.926821143611 55.6571586524972 -530.345844537881</t>
  </si>
  <si>
    <t>-639.355767286014 208.435553887613 -508.278792259138</t>
  </si>
  <si>
    <t>-615.16800727581 232.827818454013 -228.281250950113</t>
  </si>
  <si>
    <t>-401.299372746448 142.237346824002 -226.828005614522</t>
  </si>
  <si>
    <t>-610.985940418973 128.677751999609 -97.7771106066571</t>
  </si>
  <si>
    <t>-632.0558534389 141.195402482983 317.074621189442</t>
  </si>
  <si>
    <t>-669.171978238008 180.094884240192 777.067349049512</t>
  </si>
  <si>
    <t>-519.054332078474 181.848005841351 834.907080367557</t>
  </si>
  <si>
    <t>-603.890017814895 -69.5899416543475 322.174584590653</t>
  </si>
  <si>
    <t>-654.799840957496 -102.159807389711 781.306291126598</t>
  </si>
  <si>
    <t>-500.807567243109 -117.421545863303 825.320807358231</t>
  </si>
  <si>
    <t>9763-20170724T115512.674001000.bin</t>
  </si>
  <si>
    <t>-605.811617773748 37.9917581621494 -93.8702378180068</t>
  </si>
  <si>
    <t>-626.42529695529 33.6967827735964 -202.563032049824</t>
  </si>
  <si>
    <t>-639.157614943859 30.8699469111275 -294.518024356388</t>
  </si>
  <si>
    <t>-649.747713163945 28.5606768652019 -377.708481087687</t>
  </si>
  <si>
    <t>-658.858067295569 26.5208462311259 -461.080990867995</t>
  </si>
  <si>
    <t>-670.551023664458 23.8264104438717 -583.150425493817</t>
  </si>
  <si>
    <t>-659.964523262059 22.518786574158 -660.780589749654</t>
  </si>
  <si>
    <t>-666.826191349149 56.3334276022397 -530.14436223641</t>
  </si>
  <si>
    <t>-644.408352165151 209.215079894891 -508.657281117949</t>
  </si>
  <si>
    <t>-621.073568583793 236.330799439963 -228.838028204334</t>
  </si>
  <si>
    <t>-407.134581644795 145.937015654531 -226.080794542621</t>
  </si>
  <si>
    <t>-612.695624233883 130.481144221341 -97.9114332624215</t>
  </si>
  <si>
    <t>-632.909608970247 142.156694317773 317.007494302327</t>
  </si>
  <si>
    <t>-669.252847534314 180.218226728604 777.115799498523</t>
  </si>
  <si>
    <t>-519.085960704552 181.717929272007 834.834663692592</t>
  </si>
  <si>
    <t>-604.771106532289 -68.153807906782 322.090956158899</t>
  </si>
  <si>
    <t>-654.804210473647 -102.084287691653 781.265639688892</t>
  </si>
  <si>
    <t>-500.823968208507 -117.766250722827 825.174499383228</t>
  </si>
  <si>
    <t>9763-20170724T115512.735164200.bin</t>
  </si>
  <si>
    <t>-606.470678019643 38.2236133932468 -93.8860409022266</t>
  </si>
  <si>
    <t>-627.37301726202 33.9404464519782 -202.524135330644</t>
  </si>
  <si>
    <t>-640.29293184601 31.0914468224514 -294.452360314341</t>
  </si>
  <si>
    <t>-651.030203208071 28.7501381913658 -377.622963666776</t>
  </si>
  <si>
    <t>-660.265541801127 26.6659414149362 -460.980737336876</t>
  </si>
  <si>
    <t>-672.116993353823 23.8930440498377 -583.033188197734</t>
  </si>
  <si>
    <t>-661.677985426736 22.5115230988108 -660.681808391385</t>
  </si>
  <si>
    <t>-668.319711282652 56.4343278398012 -530.052974371593</t>
  </si>
  <si>
    <t>-645.908196896551 209.330701282114 -508.687113153253</t>
  </si>
  <si>
    <t>-622.926452744174 237.234400987388 -228.916057732424</t>
  </si>
  <si>
    <t>-409.063394270851 146.659864830562 -226.200386479252</t>
  </si>
  <si>
    <t>-613.292911569738 130.834553744321 -97.9064598478044</t>
  </si>
  <si>
    <t>-633.167509351673 142.319413635886 317.034098617801</t>
  </si>
  <si>
    <t>-669.264224576708 180.325839489512 777.17337765306</t>
  </si>
  <si>
    <t>-519.073477037668 181.652350128693 834.834463421215</t>
  </si>
  <si>
    <t>-604.937561646181 -67.806842013234 322.079871810413</t>
  </si>
  <si>
    <t>-654.798137464428 -102.054673685137 781.256923127137</t>
  </si>
  <si>
    <t>-500.786112250465 -117.497478050724 825.139013781177</t>
  </si>
  <si>
    <t>9763-20170724T115512.758781500.bin</t>
  </si>
  <si>
    <t>-606.875418501114 38.281055554374 -93.9069003755245</t>
  </si>
  <si>
    <t>-627.903516872119 33.9931818650227 -202.520570037391</t>
  </si>
  <si>
    <t>-640.892573876155 31.1255962585742 -294.438350057081</t>
  </si>
  <si>
    <t>-651.677540634298 28.7620420434937 -377.602345228718</t>
  </si>
  <si>
    <t>-660.945822856256 26.64964681076 -460.955591394801</t>
  </si>
  <si>
    <t>-672.82915719236 23.8292534385942 -583.003813811393</t>
  </si>
  <si>
    <t>-662.438864116511 22.4215222981236 -660.658644620042</t>
  </si>
  <si>
    <t>-669.003908709742 56.3916844375426 -530.038777740767</t>
  </si>
  <si>
    <t>-646.517614864538 209.291493001688 -508.708724454978</t>
  </si>
  <si>
    <t>-623.70589654651 237.489318719676 -228.953203370425</t>
  </si>
  <si>
    <t>-409.907931260423 146.757120134004 -226.380225364013</t>
  </si>
  <si>
    <t>-613.64202228416 130.92183802369 -97.9154521169993</t>
  </si>
  <si>
    <t>-633.302846269289 142.34302348069 317.037151626215</t>
  </si>
  <si>
    <t>-669.285797335681 180.317810946021 777.195273885595</t>
  </si>
  <si>
    <t>-519.07932869257 181.627707805509 834.815873207007</t>
  </si>
  <si>
    <t>-605.06610419765 -67.6853358635246 322.077426284912</t>
  </si>
  <si>
    <t>-654.792608154187 -102.019283032903 781.255919409727</t>
  </si>
  <si>
    <t>-500.789037166304 -117.525558830105 825.145288196403</t>
  </si>
  <si>
    <t>9763-20170724T115512.830975200.bin</t>
  </si>
  <si>
    <t>-607.619429415084 38.4413490844699 -93.885243543392</t>
  </si>
  <si>
    <t>-628.884643612422 34.1700064827558 -202.453338463565</t>
  </si>
  <si>
    <t>-642.031097585324 31.2812717669726 -294.348241346853</t>
  </si>
  <si>
    <t>-652.941226018644 28.8854657380518 -377.494857605656</t>
  </si>
  <si>
    <t>-662.317754578917 26.7271511236577 -460.834892064299</t>
  </si>
  <si>
    <t>-674.340849003499 23.8243789862647 -582.867422826349</t>
  </si>
  <si>
    <t>-664.038489353037 22.4052617755438 -660.53380916555</t>
  </si>
  <si>
    <t>-670.432600577044 56.4234714593147 -529.930984742103</t>
  </si>
  <si>
    <t>-647.82954894683 209.315999802999 -508.716995840273</t>
  </si>
  <si>
    <t>-625.049194168724 237.97754039199 -229.00627640653</t>
  </si>
  <si>
    <t>-411.483430394211 146.693401176424 -226.680020441036</t>
  </si>
  <si>
    <t>-614.263551757912 131.122008958899 -97.894039157741</t>
  </si>
  <si>
    <t>-633.6627221387 142.263824887457 317.07841766687</t>
  </si>
  <si>
    <t>-669.328178207466 180.37505679366 777.244214471805</t>
  </si>
  <si>
    <t>-519.079782287485 181.587227277011 834.757428505566</t>
  </si>
  <si>
    <t>-605.261908626848 -67.3861326937474 322.0844170183</t>
  </si>
  <si>
    <t>-654.745294314007 -102.028254887249 781.274881786892</t>
  </si>
  <si>
    <t>-500.774159056757 -117.681492566561 825.225820224352</t>
  </si>
  <si>
    <t>9763-20170724T115512.863110300.bin</t>
  </si>
  <si>
    <t>-607.92162891925 38.5907677900232 -93.877293044227</t>
  </si>
  <si>
    <t>-629.334291060093 34.3299156543396 -202.416971990241</t>
  </si>
  <si>
    <t>-642.579581110483 31.4374791635555 -294.297456804462</t>
  </si>
  <si>
    <t>-653.568778903066 29.0337912592602 -377.433420356972</t>
  </si>
  <si>
    <t>-663.014210707471 26.8628551154593 -460.765240894027</t>
  </si>
  <si>
    <t>-675.126753034376 23.9366248304818 -582.788453126321</t>
  </si>
  <si>
    <t>-664.865859109064 22.5180891714285 -660.460369073364</t>
  </si>
  <si>
    <t>-671.170108924225 56.5463002290012 -529.862150597369</t>
  </si>
  <si>
    <t>-648.489139299243 209.428877706029 -508.654062493182</t>
  </si>
  <si>
    <t>-625.584031262665 238.235356377874 -228.968223686713</t>
  </si>
  <si>
    <t>-412.13988523348 146.660321414193 -226.932159789394</t>
  </si>
  <si>
    <t>-614.5291062509 131.219241316993 -97.8783977292209</t>
  </si>
  <si>
    <t>-633.806798974508 142.253943824955 317.10257027607</t>
  </si>
  <si>
    <t>-669.350230225121 180.374973005122 777.270797839227</t>
  </si>
  <si>
    <t>-519.081747501901 181.59900001119 834.731372279671</t>
  </si>
  <si>
    <t>-605.322690631443 -67.1338364919525 322.093210807156</t>
  </si>
  <si>
    <t>-654.733754604711 -102.026919017574 781.272048144089</t>
  </si>
  <si>
    <t>-500.753077352455 -117.574846812878 825.226962640606</t>
  </si>
  <si>
    <t>9763-20170724T115512.927295800.bin</t>
  </si>
  <si>
    <t>-608.476981782049 39.0905260172453 -93.8488283179992</t>
  </si>
  <si>
    <t>-630.240407456334 34.8297721377285 -202.31858360871</t>
  </si>
  <si>
    <t>-643.704683044394 31.9374667747434 -294.167350038479</t>
  </si>
  <si>
    <t>-654.860649073575 29.5345993814876 -377.281134050791</t>
  </si>
  <si>
    <t>-664.441960266337 27.3641747734528 -460.597589352241</t>
  </si>
  <si>
    <t>-676.71896749662 24.4389060852729 -582.604326306033</t>
  </si>
  <si>
    <t>-666.532319964745 23.0302187168948 -660.286106434518</t>
  </si>
  <si>
    <t>-672.676784602117 57.0488396142539 -529.684562269287</t>
  </si>
  <si>
    <t>-649.867209923807 209.906469776391 -508.435884983481</t>
  </si>
  <si>
    <t>-626.667479124619 238.814172779894 -228.784804744089</t>
  </si>
  <si>
    <t>-413.432082309713 146.737457916128 -227.747212935527</t>
  </si>
  <si>
    <t>-615.150605234089 131.659946210448 -97.8609029012026</t>
  </si>
  <si>
    <t>-634.134060616048 142.426065870795 317.140654472587</t>
  </si>
  <si>
    <t>-669.376050889239 180.406576329656 777.349093966787</t>
  </si>
  <si>
    <t>-519.076894188039 181.464796635434 834.732747357107</t>
  </si>
  <si>
    <t>-605.271022756164 -66.4398595548942 322.13121704445</t>
  </si>
  <si>
    <t>-654.667401277609 -101.966542384909 781.275212357423</t>
  </si>
  <si>
    <t>-500.664192732835 -117.064433105369 825.30805321876</t>
  </si>
  <si>
    <t>9763-20170724T115512.961909700.bin</t>
  </si>
  <si>
    <t>-608.727527116527 39.3674357548193 -93.8304613453051</t>
  </si>
  <si>
    <t>-630.679282807079 35.104863640601 -202.262190973663</t>
  </si>
  <si>
    <t>-644.257182590823 32.2176277946203 -294.094281828912</t>
  </si>
  <si>
    <t>-655.497630309204 29.8217343313065 -377.196975771888</t>
  </si>
  <si>
    <t>-665.145007778158 27.6608738100281 -460.505980063413</t>
  </si>
  <si>
    <t>-677.498535688489 24.7518137183097 -582.505429455118</t>
  </si>
  <si>
    <t>-667.349173615984 23.3474581105336 -660.192243724206</t>
  </si>
  <si>
    <t>-673.411146980791 57.3551770791969 -529.585129730655</t>
  </si>
  <si>
    <t>-650.485516728407 210.188104878181 -508.267084704271</t>
  </si>
  <si>
    <t>-627.176766981198 239.153658068802 -228.631122781554</t>
  </si>
  <si>
    <t>-414.085727519755 146.738033651637 -228.322830323792</t>
  </si>
  <si>
    <t>-615.405476594451 131.964276940682 -97.837739292934</t>
  </si>
  <si>
    <t>-634.185216424996 142.552218742082 317.177788287992</t>
  </si>
  <si>
    <t>-669.380169466192 180.427480813562 777.395362576618</t>
  </si>
  <si>
    <t>-519.069771422334 181.471943590014 834.749715721444</t>
  </si>
  <si>
    <t>-605.15895655807 -66.0665710205192 322.16425067441</t>
  </si>
  <si>
    <t>-654.665310285416 -101.934349941336 781.273910497733</t>
  </si>
  <si>
    <t>-500.657534424651 -117.010196525579 825.298279843517</t>
  </si>
  <si>
    <t>9763-20170724T115513.029083300.bin</t>
  </si>
  <si>
    <t>-609.17734726116 39.822565174713 -93.7834573656243</t>
  </si>
  <si>
    <t>-631.494985519481 35.574122044558 -202.141045584925</t>
  </si>
  <si>
    <t>-645.28950826176 32.7161080447204 -293.941722054043</t>
  </si>
  <si>
    <t>-656.688386409101 30.3539215236531 -377.023819355424</t>
  </si>
  <si>
    <t>-666.457010929939 28.2334894832497 -460.319799430205</t>
  </si>
  <si>
    <t>-678.946612666589 25.3913645678463 -582.306964513617</t>
  </si>
  <si>
    <t>-668.87891796801 24.0317238128127 -660.005090094485</t>
  </si>
  <si>
    <t>-674.797780658928 57.9658476501336 -529.373567181089</t>
  </si>
  <si>
    <t>-651.718078621979 210.752579905929 -507.900698200584</t>
  </si>
  <si>
    <t>-627.928494343623 239.663431946908 -228.299507075153</t>
  </si>
  <si>
    <t>-415.080376227146 146.693158829703 -229.162529525085</t>
  </si>
  <si>
    <t>-615.855875048103 132.449173959261 -97.7561925340813</t>
  </si>
  <si>
    <t>-634.248104313775 142.776907100646 317.283119658598</t>
  </si>
  <si>
    <t>-669.432248249477 180.324002230733 777.511771510455</t>
  </si>
  <si>
    <t>-519.096547385224 181.515227359682 834.796876887086</t>
  </si>
  <si>
    <t>-604.99851570156 -65.4561488145671 322.205505297</t>
  </si>
  <si>
    <t>-654.683912189927 -101.910327661832 781.25022509478</t>
  </si>
  <si>
    <t>-500.702685671363 -117.361408524066 825.237379237273</t>
  </si>
  <si>
    <t>9763-20170724T115513.061706400.bin</t>
  </si>
  <si>
    <t>-609.397596624024 40.0637427489312 -93.7555633061997</t>
  </si>
  <si>
    <t>-631.862161067383 35.8296308049009 -202.083381369416</t>
  </si>
  <si>
    <t>-645.754925734349 32.9959939201758 -293.870101635949</t>
  </si>
  <si>
    <t>-657.23211642975 30.6609584582445 -376.942061363607</t>
  </si>
  <si>
    <t>-667.068616223956 28.5727734506731 -460.230836596039</t>
  </si>
  <si>
    <t>-679.645941159031 25.7832883634123 -582.210234591052</t>
  </si>
  <si>
    <t>-669.633277988567 24.4682646541471 -659.916201296742</t>
  </si>
  <si>
    <t>-675.45728935663 58.3349400253551 -529.265941904234</t>
  </si>
  <si>
    <t>-652.25888587405 211.084645268066 -507.663750177856</t>
  </si>
  <si>
    <t>-628.211299032749 239.858603748954 -228.070676050709</t>
  </si>
  <si>
    <t>-415.433338099095 146.734282614195 -229.459096605534</t>
  </si>
  <si>
    <t>-616.059602631915 132.735582992557 -97.7192280442307</t>
  </si>
  <si>
    <t>-634.302153965196 142.886461786312 317.331084098274</t>
  </si>
  <si>
    <t>-669.435739579056 180.360815289688 777.57043595203</t>
  </si>
  <si>
    <t>-519.087054109438 181.437334980106 834.823736284087</t>
  </si>
  <si>
    <t>-604.99860016502 -65.1727939474815 322.216246108644</t>
  </si>
  <si>
    <t>-654.69336048413 -101.908722574118 781.234502689716</t>
  </si>
  <si>
    <t>-500.715203464974 -117.442691482082 825.203268769733</t>
  </si>
  <si>
    <t>9763-20170724T115513.126879900.bin</t>
  </si>
  <si>
    <t>-609.904824256378 40.4819535753427 -93.7009481277589</t>
  </si>
  <si>
    <t>-632.598753109011 36.3015678477532 -201.98302632537</t>
  </si>
  <si>
    <t>-646.64059396968 33.5284299697455 -293.748909052254</t>
  </si>
  <si>
    <t>-658.234673459669 31.2547481726906 -376.806308420504</t>
  </si>
  <si>
    <t>-668.170119627979 29.2354522772905 -460.085121818968</t>
  </si>
  <si>
    <t>-680.87244047017 26.5547833049561 -582.053889364021</t>
  </si>
  <si>
    <t>-670.964364335859 25.3641904150259 -659.775244902061</t>
  </si>
  <si>
    <t>-676.638312416952 59.0587550551552 -529.084119352594</t>
  </si>
  <si>
    <t>-653.336461348174 211.766498118383 -507.29428188739</t>
  </si>
  <si>
    <t>-628.672191388906 239.879275860902 -227.687555055615</t>
  </si>
  <si>
    <t>-416.006664023481 146.519841105623 -230.120486300292</t>
  </si>
  <si>
    <t>-616.509218389723 133.18475779786 -97.6219304753163</t>
  </si>
  <si>
    <t>-634.585820073472 143.091149411423 317.441563739923</t>
  </si>
  <si>
    <t>-669.440444307644 180.491644735109 777.711542097552</t>
  </si>
  <si>
    <t>-519.061810863403 181.305498540075 834.890502202215</t>
  </si>
  <si>
    <t>-605.036298392243 -64.6619284546764 322.235942767453</t>
  </si>
  <si>
    <t>-654.674845119962 -101.841481772334 781.226899340346</t>
  </si>
  <si>
    <t>-500.665180279529 -117.026387363065 825.207111667257</t>
  </si>
  <si>
    <t>9763-20170724T115513.163227700.bin</t>
  </si>
  <si>
    <t>-610.225133810582 40.6735989415699 -93.6613231102638</t>
  </si>
  <si>
    <t>-633.018735866488 36.5267422472998 -201.923753815748</t>
  </si>
  <si>
    <t>-647.125557687591 33.7937102483379 -293.68089196913</t>
  </si>
  <si>
    <t>-658.77061500472 31.5618887655216 -376.732400339703</t>
  </si>
  <si>
    <t>-668.749437559074 29.5897948094857 -460.006940566112</t>
  </si>
  <si>
    <t>-681.506641032322 26.9845446949057 -581.971721719608</t>
  </si>
  <si>
    <t>-671.657531531027 25.8782818184632 -659.701872542434</t>
  </si>
  <si>
    <t>-677.255466920287 59.4554911412979 -528.983047401898</t>
  </si>
  <si>
    <t>-653.895340268623 212.131090309771 -507.051631751798</t>
  </si>
  <si>
    <t>-628.921617799215 239.997742979683 -227.447754603109</t>
  </si>
  <si>
    <t>-416.394841399659 146.340330746553 -230.480079958356</t>
  </si>
  <si>
    <t>-616.81908381047 133.391325745904 -97.5699002202668</t>
  </si>
  <si>
    <t>-634.731474418947 143.208961575643 317.502729618085</t>
  </si>
  <si>
    <t>-669.442032482883 180.566089037913 777.79191652682</t>
  </si>
  <si>
    <t>-519.043720838786 181.255366385568 834.920711404938</t>
  </si>
  <si>
    <t>-605.116430469604 -64.4447215698199 322.247002390356</t>
  </si>
  <si>
    <t>-654.664941711569 -101.844734076153 781.228389040788</t>
  </si>
  <si>
    <t>-500.694241870111 -117.362797962862 825.228771608781</t>
  </si>
  <si>
    <t>9763-20170724T115513.190302300.bin</t>
  </si>
  <si>
    <t>-610.597232540328 40.8474935124384 -93.6304514189022</t>
  </si>
  <si>
    <t>-633.481186318041 36.7351727800458 -201.875051103171</t>
  </si>
  <si>
    <t>-647.647050720066 34.0502605309935 -293.624580907959</t>
  </si>
  <si>
    <t>-659.338559017658 31.8702748457595 -376.670844345958</t>
  </si>
  <si>
    <t>-669.356892518398 29.9585950335068 -459.942179913196</t>
  </si>
  <si>
    <t>-682.164379877657 27.4511955373328 -581.903682975424</t>
  </si>
  <si>
    <t>-672.38122009504 26.4403338045083 -659.643510615536</t>
  </si>
  <si>
    <t>-677.899187607619 59.8792741807401 -528.889893576335</t>
  </si>
  <si>
    <t>-654.481096934643 212.525981158453 -506.806582837363</t>
  </si>
  <si>
    <t>-629.264759514843 240.17662923837 -227.203099941112</t>
  </si>
  <si>
    <t>-416.862503100351 146.256651401047 -230.786942147537</t>
  </si>
  <si>
    <t>-617.147663700857 133.575676911604 -97.5135580550756</t>
  </si>
  <si>
    <t>-634.934259719104 143.272566892577 317.567398373777</t>
  </si>
  <si>
    <t>-669.47829596437 180.538826264163 777.883201815934</t>
  </si>
  <si>
    <t>-519.056211863824 181.216499013005 834.949471017422</t>
  </si>
  <si>
    <t>-605.243866969165 -64.2408145825043 322.257901456524</t>
  </si>
  <si>
    <t>-654.648729206271 -101.845131399029 781.230016223427</t>
  </si>
  <si>
    <t>-500.700428881079 -117.477002486502 825.268533220583</t>
  </si>
  <si>
    <t>9763-20170724T115513.264082500.bin</t>
  </si>
  <si>
    <t>-611.399665430395 41.2126631230365 -93.5666698074637</t>
  </si>
  <si>
    <t>-634.412281684401 37.1788779230678 -201.787003775856</t>
  </si>
  <si>
    <t>-648.654901031654 34.5834082157239 -293.527238018931</t>
  </si>
  <si>
    <t>-660.403052055752 32.4952116636807 -376.567776118098</t>
  </si>
  <si>
    <t>-670.465416055776 30.6867838166681 -459.836183961683</t>
  </si>
  <si>
    <t>-683.323323088764 28.3435775644029 -581.795657214202</t>
  </si>
  <si>
    <t>-673.656654872096 27.5278466612242 -659.552305837222</t>
  </si>
  <si>
    <t>-679.051925769365 60.6996439704694 -528.738296338719</t>
  </si>
  <si>
    <t>-655.555517476382 213.291904649004 -506.361936464175</t>
  </si>
  <si>
    <t>-629.662510295147 240.362990693836 -226.763428995699</t>
  </si>
  <si>
    <t>-417.410930453481 146.143283428207 -231.285502911821</t>
  </si>
  <si>
    <t>-617.848758404353 134.026626224605 -97.4079441424184</t>
  </si>
  <si>
    <t>-635.436719055633 143.50212736586 317.68662652807</t>
  </si>
  <si>
    <t>-669.483502520525 180.71371491928 778.045670156747</t>
  </si>
  <si>
    <t>-519.015983924992 181.124187858231 834.994607633461</t>
  </si>
  <si>
    <t>-605.523234472993 -63.8647624272535 322.279070512157</t>
  </si>
  <si>
    <t>-654.549665417886 -101.848986247384 781.260294431203</t>
  </si>
  <si>
    <t>-500.664424699865 -117.609266468284 825.473107089398</t>
  </si>
  <si>
    <t>9763-20170724T115513.328253200.bin</t>
  </si>
  <si>
    <t>-612.137631215852 41.6280588527898 -93.4926826769199</t>
  </si>
  <si>
    <t>-635.246035438832 37.6817095669555 -201.695859438589</t>
  </si>
  <si>
    <t>-649.566094711225 35.2004500997655 -293.427134456876</t>
  </si>
  <si>
    <t>-661.382865695251 33.2334592896905 -376.461025015704</t>
  </si>
  <si>
    <t>-671.512592216898 31.564797629793 -459.724015445309</t>
  </si>
  <si>
    <t>-684.467726370286 29.4468529857395 -581.677404336319</t>
  </si>
  <si>
    <t>-674.927960616015 28.8510707473033 -659.45172692361</t>
  </si>
  <si>
    <t>-680.183134452364 61.7036706704625 -528.560656487941</t>
  </si>
  <si>
    <t>-656.750412842366 214.254996729733 -505.817582990746</t>
  </si>
  <si>
    <t>-630.150071968388 240.537509971446 -226.210367698448</t>
  </si>
  <si>
    <t>-417.980372098603 146.169403817565 -231.425811459722</t>
  </si>
  <si>
    <t>-618.484327905578 134.505728834332 -97.2806876232127</t>
  </si>
  <si>
    <t>-635.902513435701 143.804818063265 317.825025218822</t>
  </si>
  <si>
    <t>-669.509601851236 180.788695931439 778.237622275864</t>
  </si>
  <si>
    <t>-518.992026886044 181.043830043564 835.055030179405</t>
  </si>
  <si>
    <t>-605.706860940474 -63.4654166884122 322.30664979895</t>
  </si>
  <si>
    <t>-654.438050147856 -101.799234602277 781.294392285443</t>
  </si>
  <si>
    <t>-500.56064390424 -117.129898894046 825.685184175536</t>
  </si>
  <si>
    <t>9763-20170724T115513.359946800.bin</t>
  </si>
  <si>
    <t>-612.445526201833 41.7822821947166 -93.4497677344029</t>
  </si>
  <si>
    <t>-635.587999293714 37.8724232137922 -201.647024520885</t>
  </si>
  <si>
    <t>-649.931121774806 35.4576302216774 -293.376428261255</t>
  </si>
  <si>
    <t>-661.766506196874 33.5654416459354 -376.409295247078</t>
  </si>
  <si>
    <t>-671.912633778197 31.9869420518401 -459.672203101657</t>
  </si>
  <si>
    <t>-684.889275450498 30.0179651880783 -581.625666932045</t>
  </si>
  <si>
    <t>-675.400569516982 29.5429537839625 -659.407018340718</t>
  </si>
  <si>
    <t>-680.621112380796 62.2087368755663 -528.467512538545</t>
  </si>
  <si>
    <t>-657.269953659276 214.73340527446 -505.487205702624</t>
  </si>
  <si>
    <t>-630.372291550981 240.649261836555 -225.87409778325</t>
  </si>
  <si>
    <t>-418.242918352719 146.211050049433 -231.448810314988</t>
  </si>
  <si>
    <t>-618.753356893435 134.660973095469 -97.2081827540674</t>
  </si>
  <si>
    <t>-636.08550406515 143.887612073072 317.902706875802</t>
  </si>
  <si>
    <t>-669.53392054651 180.770398277073 778.340191625535</t>
  </si>
  <si>
    <t>-518.994088373345 181.047095586071 835.098553349816</t>
  </si>
  <si>
    <t>-605.783729844715 -63.3137583380553 322.317057412499</t>
  </si>
  <si>
    <t>-654.392715846544 -101.742440322506 781.309176168672</t>
  </si>
  <si>
    <t>-500.507525404367 -116.771080574574 825.776123989105</t>
  </si>
  <si>
    <t>9763-20170724T115513.427127400.bin</t>
  </si>
  <si>
    <t>-612.953546548567 42.0383023490465 -93.3565881565971</t>
  </si>
  <si>
    <t>-636.151085835449 38.176749548408 -201.543753195521</t>
  </si>
  <si>
    <t>-650.522436734941 35.8818895278564 -293.271677320884</t>
  </si>
  <si>
    <t>-662.375815829059 34.1294603799115 -376.305250284421</t>
  </si>
  <si>
    <t>-672.532330351694 32.7234580049897 -459.569929151359</t>
  </si>
  <si>
    <t>-685.515722938654 31.0427424233872 -581.527017471526</t>
  </si>
  <si>
    <t>-676.103822656047 30.819117308969 -659.318908501385</t>
  </si>
  <si>
    <t>-681.289862965025 63.1056558819641 -528.288389102007</t>
  </si>
  <si>
    <t>-658.185734333005 215.598809178576 -504.841723535144</t>
  </si>
  <si>
    <t>-630.854730814292 240.713353056193 -225.197438154771</t>
  </si>
  <si>
    <t>-418.684022563747 146.422556306921 -231.628918620736</t>
  </si>
  <si>
    <t>-678.347606602936 0.454738651971184 -527.738157229453</t>
  </si>
  <si>
    <t>-619.332795081183 134.924270548011 -97.0648513911223</t>
  </si>
  <si>
    <t>-636.442213297267 144.037975780197 318.057812408318</t>
  </si>
  <si>
    <t>-669.551165007828 180.810029561495 778.513522492757</t>
  </si>
  <si>
    <t>-518.977730410274 180.944348232909 835.183082605893</t>
  </si>
  <si>
    <t>-605.785355754403 -63.0494042016273 322.357944866872</t>
  </si>
  <si>
    <t>-654.256726640819 -101.779794595051 781.344922964551</t>
  </si>
  <si>
    <t>-500.470617912545 -117.096866745705 826.055534037134</t>
  </si>
  <si>
    <t>9763-20170724T115513.468741900.bin</t>
  </si>
  <si>
    <t>-613.131729280297 42.1000456293302 -93.3125269669287</t>
  </si>
  <si>
    <t>-636.361717999908 38.2589767865543 -201.493560048706</t>
  </si>
  <si>
    <t>-650.745505656952 36.0310851247186 -293.221218274359</t>
  </si>
  <si>
    <t>-662.603937970157 34.3589444983643 -376.255597236501</t>
  </si>
  <si>
    <t>-672.75929269254 33.0533947857459 -459.522035813793</t>
  </si>
  <si>
    <t>-685.734178112671 31.5419713406413 -581.482332378248</t>
  </si>
  <si>
    <t>-676.353580324004 31.4597547641117 -659.278170070734</t>
  </si>
  <si>
    <t>-681.537779165285 63.5297819704053 -528.196122837634</t>
  </si>
  <si>
    <t>-658.542163397391 215.99725264608 -504.496766478073</t>
  </si>
  <si>
    <t>-631.117774164353 240.792783546903 -224.833294676587</t>
  </si>
  <si>
    <t>-418.867783187927 146.704244720223 -231.602249987317</t>
  </si>
  <si>
    <t>-678.544023523485 0.880582605460177 -527.738268653155</t>
  </si>
  <si>
    <t>-619.560099628328 134.988772156425 -97.0030131874086</t>
  </si>
  <si>
    <t>-636.600422420285 144.05675522195 318.12348403431</t>
  </si>
  <si>
    <t>-669.565379868817 180.77603461863 778.594610474559</t>
  </si>
  <si>
    <t>-518.977821792647 180.958363437994 835.226530329788</t>
  </si>
  <si>
    <t>-605.733574115627 -62.9462467477965 322.380130498663</t>
  </si>
  <si>
    <t>-654.207642543865 -101.773357413211 781.364272038826</t>
  </si>
  <si>
    <t>-500.458095778116 -117.22305281275 826.154929168134</t>
  </si>
  <si>
    <t>9763-20170724T115513.526896500.bin</t>
  </si>
  <si>
    <t>-613.401775613455 42.2252835468016 -93.2399871151501</t>
  </si>
  <si>
    <t>-636.714372111614 38.4301637725553 -201.40477692723</t>
  </si>
  <si>
    <t>-651.126928084369 36.349470306455 -293.131480095617</t>
  </si>
  <si>
    <t>-662.994637433934 34.8534384167167 -376.167879199211</t>
  </si>
  <si>
    <t>-673.142433347394 33.7684914936642 -459.438501126693</t>
  </si>
  <si>
    <t>-686.087703030948 32.6283327098622 -581.405841398517</t>
  </si>
  <si>
    <t>-676.771539553998 32.8392888026715 -659.209272573389</t>
  </si>
  <si>
    <t>-681.956534240595 64.4514126232339 -528.015952730862</t>
  </si>
  <si>
    <t>-659.215711270646 216.876322338448 -503.801557361716</t>
  </si>
  <si>
    <t>-631.72978060805 241.036398962749 -224.088557506965</t>
  </si>
  <si>
    <t>-419.356185810073 147.286462119699 -231.633730105934</t>
  </si>
  <si>
    <t>-678.858309211767 1.80591796451972 -527.75928415849</t>
  </si>
  <si>
    <t>-619.85736470501 135.146351175656 -96.8794844007915</t>
  </si>
  <si>
    <t>-636.749735092786 144.115318086098 318.255256504356</t>
  </si>
  <si>
    <t>-669.572599392354 180.763540348476 778.745557489288</t>
  </si>
  <si>
    <t>-518.962502009626 180.882514090635 835.317730001651</t>
  </si>
  <si>
    <t>-605.632252959884 -62.7740495674075 322.398410960376</t>
  </si>
  <si>
    <t>-654.170115665018 -101.746364913221 781.363958892217</t>
  </si>
  <si>
    <t>-500.429610672425 -117.055402364136 826.233859748369</t>
  </si>
  <si>
    <t>9763-20170724T115513.565503500.bin</t>
  </si>
  <si>
    <t>-613.540411437815 42.2862629329049 -93.2082854483718</t>
  </si>
  <si>
    <t>-636.887813728879 38.5235383101651 -201.366663020111</t>
  </si>
  <si>
    <t>-651.280393308761 36.5243933390475 -293.098254252621</t>
  </si>
  <si>
    <t>-663.110200600292 35.1238969037452 -376.141853232767</t>
  </si>
  <si>
    <t>-673.200085410913 34.1568088028966 -459.420919165039</t>
  </si>
  <si>
    <t>-686.038547278375 33.2142866787626 -581.401214835021</t>
  </si>
  <si>
    <t>-676.721086141001 33.5806245438071 -659.203963862205</t>
  </si>
  <si>
    <t>-681.975578595262 64.9497087756706 -527.954020905372</t>
  </si>
  <si>
    <t>-659.316321288072 217.346858703145 -503.490147079308</t>
  </si>
  <si>
    <t>-631.982455796227 241.183355024154 -223.734366541471</t>
  </si>
  <si>
    <t>-419.527969474845 147.637153307266 -231.527791835194</t>
  </si>
  <si>
    <t>-678.834677945789 2.30612239526545 -527.800544834437</t>
  </si>
  <si>
    <t>-619.981378466965 135.219472427568 -96.8249480205697</t>
  </si>
  <si>
    <t>-636.798281427516 144.124937135651 318.314143156059</t>
  </si>
  <si>
    <t>-669.582856223221 180.726784576374 778.817441524011</t>
  </si>
  <si>
    <t>-518.961691447824 180.92066888122 835.359904003298</t>
  </si>
  <si>
    <t>-605.591343433543 -62.6650419413081 322.408676649793</t>
  </si>
  <si>
    <t>-654.138782248348 -101.683315772193 781.370228808388</t>
  </si>
  <si>
    <t>-500.368443737064 -116.571143115206 826.27971971968</t>
  </si>
  <si>
    <t>9763-20170724T115513.626668900.bin</t>
  </si>
  <si>
    <t>-613.865846708067 42.2818244027685 -93.1564857969497</t>
  </si>
  <si>
    <t>-637.212376231274 38.5800162903292 -201.317114058669</t>
  </si>
  <si>
    <t>-651.523985175568 36.7271994917476 -293.06451474843</t>
  </si>
  <si>
    <t>-663.248009816457 35.4982461508816 -376.125772274436</t>
  </si>
  <si>
    <t>-673.199303673989 34.7420090785199 -459.423625300028</t>
  </si>
  <si>
    <t>-685.799055246641 34.1510189544147 -581.431106987857</t>
  </si>
  <si>
    <t>-676.468307495632 34.8046657455591 -659.230337822422</t>
  </si>
  <si>
    <t>-681.842930204875 65.7320563912033 -527.884530575122</t>
  </si>
  <si>
    <t>-659.234554956987 218.064779183731 -502.957904837806</t>
  </si>
  <si>
    <t>-632.271075942976 241.235675547416 -223.110376562566</t>
  </si>
  <si>
    <t>-419.792291181328 147.80661696206 -231.614572992913</t>
  </si>
  <si>
    <t>-678.697872023753 3.08855753857779 -527.905920972663</t>
  </si>
  <si>
    <t>-620.23877180032 135.245419059604 -96.7281894057851</t>
  </si>
  <si>
    <t>-636.970365075493 144.051030623552 318.416528623046</t>
  </si>
  <si>
    <t>-669.583635723196 180.69943752954 778.940096068975</t>
  </si>
  <si>
    <t>-518.945392284646 180.925283079315 835.436917589999</t>
  </si>
  <si>
    <t>-605.664494057755 -62.6184186529415 322.418341764788</t>
  </si>
  <si>
    <t>-654.122490780946 -101.68878152745 781.380590735212</t>
  </si>
  <si>
    <t>-500.386720598594 -116.801770370077 826.333219132646</t>
  </si>
  <si>
    <t>9763-20170724T115513.657751700.bin</t>
  </si>
  <si>
    <t>-614.018150235283 42.2649080074464 -93.1334623338458</t>
  </si>
  <si>
    <t>-637.359776330513 38.5973570990213 -201.296381129554</t>
  </si>
  <si>
    <t>-651.642660465655 36.8116323424294 -293.049600110151</t>
  </si>
  <si>
    <t>-663.330858036783 35.6586194214724 -376.116895743678</t>
  </si>
  <si>
    <t>-673.236177194684 34.9939122902285 -459.421033310076</t>
  </si>
  <si>
    <t>-685.757572198408 34.553578107362 -581.437252256351</t>
  </si>
  <si>
    <t>-676.412175139827 35.3316210716202 -659.23355615751</t>
  </si>
  <si>
    <t>-681.823351722233 66.0691216763994 -527.850557615967</t>
  </si>
  <si>
    <t>-659.117579785192 218.360931209431 -502.735489407145</t>
  </si>
  <si>
    <t>-632.38221529291 241.132532826807 -222.833343870007</t>
  </si>
  <si>
    <t>-419.941463924812 147.626844671131 -231.443448397474</t>
  </si>
  <si>
    <t>-678.703250714293 3.42447863652001 -527.944601073584</t>
  </si>
  <si>
    <t>-620.368747941016 135.255722797229 -96.6813802110402</t>
  </si>
  <si>
    <t>-637.128788376746 144.016235605616 318.463111350123</t>
  </si>
  <si>
    <t>-669.563567694985 180.768019337743 778.9879752471</t>
  </si>
  <si>
    <t>-518.920608985783 180.77123992263 835.472692228612</t>
  </si>
  <si>
    <t>-605.760905246051 -62.6401312997803 322.415093066377</t>
  </si>
  <si>
    <t>-654.13386567922 -101.711982802781 781.382241865656</t>
  </si>
  <si>
    <t>-500.452359587804 -117.359890260433 826.337335722579</t>
  </si>
  <si>
    <t>9763-20170724T115513.728941600.bin</t>
  </si>
  <si>
    <t>-614.327128931455 42.174803926139 -93.0984736047147</t>
  </si>
  <si>
    <t>-637.627800068681 38.5807340782571 -201.272681259353</t>
  </si>
  <si>
    <t>-651.850730128908 36.9293384659215 -293.037750055944</t>
  </si>
  <si>
    <t>-663.474345910265 35.9273989018916 -376.116121979695</t>
  </si>
  <si>
    <t>-673.304506144027 35.4428968167053 -459.430339516674</t>
  </si>
  <si>
    <t>-685.704203905157 35.298436936976 -581.459744346583</t>
  </si>
  <si>
    <t>-676.31092743367 36.2907072261924 -659.247922751945</t>
  </si>
  <si>
    <t>-681.799868478023 66.6850377932174 -527.795304614888</t>
  </si>
  <si>
    <t>-658.963163034188 218.88942749765 -502.324931003047</t>
  </si>
  <si>
    <t>-632.203602236806 241.001364013335 -222.371972347628</t>
  </si>
  <si>
    <t>-419.85114551175 147.288469353658 -230.907711085648</t>
  </si>
  <si>
    <t>-678.726837779161 4.03845625550071 -528.033418118881</t>
  </si>
  <si>
    <t>-620.612891338951 135.097268097973 -96.5896243444347</t>
  </si>
  <si>
    <t>-637.427787660876 143.865479373146 318.552503011931</t>
  </si>
  <si>
    <t>-669.602710610003 180.601355925323 779.092630356347</t>
  </si>
  <si>
    <t>-518.941017121689 180.845230031491 835.526763870977</t>
  </si>
  <si>
    <t>-605.932029640086 -62.6715682406082 322.395448891419</t>
  </si>
  <si>
    <t>-654.133198729031 -101.656211692902 781.380421794602</t>
  </si>
  <si>
    <t>-500.395955879776 -116.746498741991 826.335560152115</t>
  </si>
  <si>
    <t>9763-20170724T115513.760582600.bin</t>
  </si>
  <si>
    <t>-614.42792874724 42.1676393843425 -93.0794427716909</t>
  </si>
  <si>
    <t>-637.724511656927 38.6204141355333 -201.256097580107</t>
  </si>
  <si>
    <t>-651.921275179006 37.0416009921109 -293.026296221683</t>
  </si>
  <si>
    <t>-663.512115234592 36.1190667488579 -376.110195492671</t>
  </si>
  <si>
    <t>-673.300256556895 35.7276684668279 -459.429986861065</t>
  </si>
  <si>
    <t>-685.628351494369 35.7345107549615 -581.466564739895</t>
  </si>
  <si>
    <t>-676.206855459486 36.8290291560909 -659.249916989812</t>
  </si>
  <si>
    <t>-681.747288517886 67.0551320053576 -527.76194712532</t>
  </si>
  <si>
    <t>-658.839653475513 219.216921560548 -502.101554129757</t>
  </si>
  <si>
    <t>-632.04109657586 241.031887009054 -222.129146267473</t>
  </si>
  <si>
    <t>-419.740832693363 147.205252381996 -230.712944694324</t>
  </si>
  <si>
    <t>-678.690481770655 4.40795964092968 -528.074254170129</t>
  </si>
  <si>
    <t>-620.657862740452 135.135250364909 -96.5490269241684</t>
  </si>
  <si>
    <t>-637.484167606726 143.881105339185 318.593128482918</t>
  </si>
  <si>
    <t>-669.572122937278 180.689527494237 779.133936480944</t>
  </si>
  <si>
    <t>-518.906791108559 180.721003228146 835.558943506691</t>
  </si>
  <si>
    <t>-605.979105356153 -62.6840323285021 322.388295613109</t>
  </si>
  <si>
    <t>-654.120659377415 -101.666486034451 781.385450066145</t>
  </si>
  <si>
    <t>-500.399810500595 -116.846546320625 826.36642979876</t>
  </si>
  <si>
    <t>9763-20170724T115513.825756500.bin</t>
  </si>
  <si>
    <t>-614.588643403562 42.2017848976031 -93.0546228606147</t>
  </si>
  <si>
    <t>-637.864297728609 38.7326963325208 -201.238314976118</t>
  </si>
  <si>
    <t>-652.017565662505 37.2842498178327 -293.017614519938</t>
  </si>
  <si>
    <t>-663.55872628082 36.5070934259131 -376.109853236477</t>
  </si>
  <si>
    <t>-673.286706813038 36.2888249684013 -459.437195064342</t>
  </si>
  <si>
    <t>-685.51547573607 36.5791589223761 -581.483553391164</t>
  </si>
  <si>
    <t>-676.038887392229 37.8602333495098 -659.257257033882</t>
  </si>
  <si>
    <t>-681.663685765194 67.7756355008619 -527.704505912483</t>
  </si>
  <si>
    <t>-658.579973017598 219.84660846509 -501.674418490926</t>
  </si>
  <si>
    <t>-631.77251861709 241.232454672057 -221.669608811424</t>
  </si>
  <si>
    <t>-419.573720869536 147.169592369578 -230.1768952842</t>
  </si>
  <si>
    <t>-678.635484328164 5.12796756953662 -528.156798376406</t>
  </si>
  <si>
    <t>-620.670243979336 135.165109675885 -96.4801075980992</t>
  </si>
  <si>
    <t>-637.607442641179 143.830122749936 318.659221379744</t>
  </si>
  <si>
    <t>-669.591204816738 180.582624368147 779.223060526946</t>
  </si>
  <si>
    <t>-518.917894141248 180.714531958989 835.62663563527</t>
  </si>
  <si>
    <t>-606.075571355281 -62.6776797091984 322.386013140531</t>
  </si>
  <si>
    <t>-654.123722353857 -101.643331826261 781.391788175813</t>
  </si>
  <si>
    <t>-500.395363846746 -116.729900562895 826.378520032763</t>
  </si>
  <si>
    <t>9763-20170724T115513.865411100.bin</t>
  </si>
  <si>
    <t>-614.643414491686 42.2617498047412 -93.0509961885815</t>
  </si>
  <si>
    <t>-637.890264093281 38.8193196630614 -201.241721574388</t>
  </si>
  <si>
    <t>-652.021407999507 37.4293967016786 -293.025299955251</t>
  </si>
  <si>
    <t>-663.54349412991 36.7204839650228 -376.120848609052</t>
  </si>
  <si>
    <t>-673.253301310039 36.5856590942628 -459.450495957359</t>
  </si>
  <si>
    <t>-685.456569593859 37.0147144771404 -581.498932574836</t>
  </si>
  <si>
    <t>-675.956823541901 38.3848651514104 -659.268411264507</t>
  </si>
  <si>
    <t>-681.606572897133 68.1504191412469 -527.684616858398</t>
  </si>
  <si>
    <t>-658.388090099132 220.170819704976 -501.467034901084</t>
  </si>
  <si>
    <t>-631.608160831294 241.384245050601 -221.446668853277</t>
  </si>
  <si>
    <t>-419.440587421948 147.251077962398 -229.955546497172</t>
  </si>
  <si>
    <t>-678.597237382573 5.50236129305517 -528.205761660948</t>
  </si>
  <si>
    <t>-620.65015020519 135.224520037815 -96.4614281747073</t>
  </si>
  <si>
    <t>-637.631226876254 143.857997649742 318.676782787218</t>
  </si>
  <si>
    <t>-669.584316391406 180.593759667945 779.253879822016</t>
  </si>
  <si>
    <t>-518.91003871794 180.650164155621 835.655001361292</t>
  </si>
  <si>
    <t>-606.153594402429 -62.6585365706085 322.380696901031</t>
  </si>
  <si>
    <t>-654.129020752764 -101.650225887257 781.390270715235</t>
  </si>
  <si>
    <t>-500.417405658735 -116.894585469005 826.381069289388</t>
  </si>
  <si>
    <t>9763-20170724T115513.926572200.bin</t>
  </si>
  <si>
    <t>-614.658158685082 42.5394219782036 -93.0277528301517</t>
  </si>
  <si>
    <t>-637.865145134992 39.1213247747614 -201.227857114045</t>
  </si>
  <si>
    <t>-651.994696699309 37.7999133152546 -293.012552746333</t>
  </si>
  <si>
    <t>-663.528205752772 37.173225475583 -376.107265922786</t>
  </si>
  <si>
    <t>-673.262369253816 37.1404262077663 -459.434154349136</t>
  </si>
  <si>
    <t>-685.515386428176 37.7406056311713 -581.476966175833</t>
  </si>
  <si>
    <t>-675.990933939402 39.2568633062726 -659.240611746368</t>
  </si>
  <si>
    <t>-681.620140514852 68.8019439268819 -527.62282943659</t>
  </si>
  <si>
    <t>-658.182217874627 220.758868090039 -501.210988551493</t>
  </si>
  <si>
    <t>-631.426119690552 241.713556642052 -221.168689530621</t>
  </si>
  <si>
    <t>-419.350912717166 147.38656504913 -229.831864557853</t>
  </si>
  <si>
    <t>-678.657643323074 6.15242060755304 -528.228439533757</t>
  </si>
  <si>
    <t>-620.561108271324 135.514664272316 -96.4256824653503</t>
  </si>
  <si>
    <t>-637.625518559316 144.04114008999 318.711271475071</t>
  </si>
  <si>
    <t>-669.584724348589 180.586844422287 779.315313835685</t>
  </si>
  <si>
    <t>-518.903642882291 180.693327319325 835.698167563496</t>
  </si>
  <si>
    <t>-606.209998122798 -62.4611789252588 322.392145047013</t>
  </si>
  <si>
    <t>-654.088646107011 -101.602590341557 781.407207840173</t>
  </si>
  <si>
    <t>-500.390967711056 -116.775011512958 826.469984826626</t>
  </si>
  <si>
    <t>9763-20170724T115513.962612900.bin</t>
  </si>
  <si>
    <t>-614.60099483465 42.7125157720002 -92.9994597005488</t>
  </si>
  <si>
    <t>-637.79763825984 39.3007066357236 -201.201972708903</t>
  </si>
  <si>
    <t>-651.939542109306 38.0001835047547 -292.98515829684</t>
  </si>
  <si>
    <t>-663.492817406381 37.3986482945415 -376.077229018583</t>
  </si>
  <si>
    <t>-673.255313019744 37.3974985145123 -459.400845555551</t>
  </si>
  <si>
    <t>-685.559085135226 38.0513009412628 -581.438183507101</t>
  </si>
  <si>
    <t>-676.042852899635 39.6281851781428 -659.201677876946</t>
  </si>
  <si>
    <t>-681.635855511512 69.0892441435524 -527.572601889793</t>
  </si>
  <si>
    <t>-658.133024199449 221.02633036516 -501.125523895455</t>
  </si>
  <si>
    <t>-631.326608590662 241.940380379771 -221.085212825345</t>
  </si>
  <si>
    <t>-419.324717279089 147.439473116859 -229.647867407761</t>
  </si>
  <si>
    <t>-678.68475106137 6.4395778236767 -528.205789890777</t>
  </si>
  <si>
    <t>-620.467327434289 135.717369367292 -96.4033625888128</t>
  </si>
  <si>
    <t>-637.548615452883 144.154504562613 318.73477374788</t>
  </si>
  <si>
    <t>-669.577261427199 180.605356973639 779.339762812935</t>
  </si>
  <si>
    <t>-518.893660502354 180.721685240309 835.715835464981</t>
  </si>
  <si>
    <t>-606.164764976037 -62.3530293128863 322.410772194974</t>
  </si>
  <si>
    <t>-654.081733207269 -101.582013308261 781.416757718207</t>
  </si>
  <si>
    <t>-500.417549531064 -117.021345240904 826.503012888246</t>
  </si>
  <si>
    <t>9763-20170724T115514.031795300.bin</t>
  </si>
  <si>
    <t>-614.464389759866 43.0537717413235 -92.9542834182923</t>
  </si>
  <si>
    <t>-637.643184559796 39.6546321934322 -201.16102828572</t>
  </si>
  <si>
    <t>-651.822481350946 38.3748858067634 -292.938649412576</t>
  </si>
  <si>
    <t>-663.430541260003 37.7963956965727 -376.023259348004</t>
  </si>
  <si>
    <t>-673.269085016119 37.8221974772341 -459.337912195414</t>
  </si>
  <si>
    <t>-685.707457930946 38.5193760889968 -581.36146473368</t>
  </si>
  <si>
    <t>-676.227288028125 40.1904780980622 -659.127465233771</t>
  </si>
  <si>
    <t>-681.720236083907 69.5383978623602 -527.489715474069</t>
  </si>
  <si>
    <t>-658.167927170814 221.476462793351 -501.052454198644</t>
  </si>
  <si>
    <t>-631.291834957153 242.259273303569 -221.009052514002</t>
  </si>
  <si>
    <t>-419.384997746998 147.548323322867 -229.603455665944</t>
  </si>
  <si>
    <t>-678.778992822771 6.88849138543924 -528.147600175495</t>
  </si>
  <si>
    <t>-620.344602307606 136.056117578268 -96.3503092173322</t>
  </si>
  <si>
    <t>-637.496375182587 144.348501134044 318.787775774255</t>
  </si>
  <si>
    <t>-669.582864050667 180.576956740696 779.39843594665</t>
  </si>
  <si>
    <t>-518.892731001565 180.731624837567 835.756937751536</t>
  </si>
  <si>
    <t>-606.027511946936 -62.1100339285208 322.451848992249</t>
  </si>
  <si>
    <t>-654.079780419576 -101.563368796351 781.420189944335</t>
  </si>
  <si>
    <t>-500.402981978126 -116.881812847757 826.504736992544</t>
  </si>
  <si>
    <t>9763-20170724T115514.057419300.bin</t>
  </si>
  <si>
    <t>-614.419732261677 43.2102759440775 -92.9415816631297</t>
  </si>
  <si>
    <t>-637.584692871743 39.8056884151329 -201.150998376215</t>
  </si>
  <si>
    <t>-651.773394553732 38.5208712978254 -292.927189635895</t>
  </si>
  <si>
    <t>-663.398495834912 37.9369201962115 -376.009482433648</t>
  </si>
  <si>
    <t>-673.262405051619 37.9568155549264 -459.321027680531</t>
  </si>
  <si>
    <t>-685.747122675305 38.6443989189099 -581.339916412028</t>
  </si>
  <si>
    <t>-676.292464119789 40.3526221797911 -659.108130954916</t>
  </si>
  <si>
    <t>-681.734728007617 69.6679379205304 -527.472578101094</t>
  </si>
  <si>
    <t>-658.147794568213 221.606247236908 -501.08613820892</t>
  </si>
  <si>
    <t>-631.338844030061 242.418568420174 -221.038422862892</t>
  </si>
  <si>
    <t>-419.490788507132 147.581943510628 -229.695514578086</t>
  </si>
  <si>
    <t>-678.803142550147 7.01748451105846 -528.125591280221</t>
  </si>
  <si>
    <t>-620.323396131884 136.199248288265 -96.3315742920499</t>
  </si>
  <si>
    <t>-637.474046741522 144.43060405028 318.807839126676</t>
  </si>
  <si>
    <t>-669.580337686051 180.577219998996 779.420150579364</t>
  </si>
  <si>
    <t>-518.890806928932 180.648209685744 835.780471842033</t>
  </si>
  <si>
    <t>-605.966085183885 -61.9934007489255 322.46732065995</t>
  </si>
  <si>
    <t>-654.078869846743 -101.533715732426 781.420075681065</t>
  </si>
  <si>
    <t>-500.378749054347 -116.634751737543 826.498370561208</t>
  </si>
  <si>
    <t>9763-20170724T115514.126603100.bin</t>
  </si>
  <si>
    <t>-614.364517567087 43.4531480799078 -92.919016937227</t>
  </si>
  <si>
    <t>-637.454741941703 40.0225445663461 -201.143605577159</t>
  </si>
  <si>
    <t>-651.628348035656 38.7085032176446 -292.921687965852</t>
  </si>
  <si>
    <t>-663.258970413514 38.0945090182458 -376.002932243378</t>
  </si>
  <si>
    <t>-673.14779711024 38.0800851480433 -459.31166937328</t>
  </si>
  <si>
    <t>-685.689923148448 38.7134949781034 -581.324785993924</t>
  </si>
  <si>
    <t>-676.289311274702 40.4766975608547 -659.098441055121</t>
  </si>
  <si>
    <t>-681.652946676401 69.7609431772946 -527.473185503975</t>
  </si>
  <si>
    <t>-658.06750745186 221.724894489503 -501.23014915269</t>
  </si>
  <si>
    <t>-631.285455834036 242.766729276455 -221.19711567998</t>
  </si>
  <si>
    <t>-419.545625978236 147.671293394492 -229.660347112593</t>
  </si>
  <si>
    <t>-678.72012133415 7.11027490974584 -528.099845632259</t>
  </si>
  <si>
    <t>-620.299723397289 136.426029340522 -96.3142956473995</t>
  </si>
  <si>
    <t>-637.498545176944 144.594910803207 318.824355239114</t>
  </si>
  <si>
    <t>-669.563671847774 180.62013350762 779.451708077595</t>
  </si>
  <si>
    <t>-518.875497410067 180.559720123925 835.815614843101</t>
  </si>
  <si>
    <t>-605.939636573818 -61.8291612938299 322.489389068813</t>
  </si>
  <si>
    <t>-654.094106194359 -101.484404445303 781.423482075716</t>
  </si>
  <si>
    <t>-500.393372322969 -116.670604683174 826.471132029273</t>
  </si>
  <si>
    <t>9763-20170724T115514.159195500.bin</t>
  </si>
  <si>
    <t>-614.378660268015 43.4925701134457 -92.912398627773</t>
  </si>
  <si>
    <t>-637.423256480267 40.056959600028 -201.146523353331</t>
  </si>
  <si>
    <t>-651.584205235835 38.7352993546097 -292.926450381783</t>
  </si>
  <si>
    <t>-663.213940958961 38.1126366716533 -376.007758386741</t>
  </si>
  <si>
    <t>-673.112301027926 38.088709903993 -459.315441685676</t>
  </si>
  <si>
    <t>-685.680126019244 38.7064852222238 -581.326056836723</t>
  </si>
  <si>
    <t>-676.313571007918 40.5043298209987 -659.102910808381</t>
  </si>
  <si>
    <t>-681.64608109111 69.7600348784406 -527.47767957152</t>
  </si>
  <si>
    <t>-658.073834411351 221.723765208771 -501.26142324382</t>
  </si>
  <si>
    <t>-631.279171888153 242.880098642867 -221.238101193293</t>
  </si>
  <si>
    <t>-419.545875313148 147.751437348186 -229.488797645179</t>
  </si>
  <si>
    <t>-678.684897843796 7.11070149665011 -528.09998721178</t>
  </si>
  <si>
    <t>-620.349593634966 136.430911602188 -96.3077239075701</t>
  </si>
  <si>
    <t>-637.55059856422 144.606796841806 318.830710104801</t>
  </si>
  <si>
    <t>-669.572842397434 180.588233124494 779.467278109035</t>
  </si>
  <si>
    <t>-518.882619903452 180.6404899487 835.825756887105</t>
  </si>
  <si>
    <t>-605.971636572705 -61.828287935665 322.492013171948</t>
  </si>
  <si>
    <t>-654.113622738663 -101.460577011914 781.419420556209</t>
  </si>
  <si>
    <t>-500.41312045999 -116.755179543748 826.431142422148</t>
  </si>
  <si>
    <t>9763-20170724T115514.225372900.bin</t>
  </si>
  <si>
    <t>-614.532653030827 43.564669922509 -92.918307984833</t>
  </si>
  <si>
    <t>-637.458211277921 40.1096342696001 -201.177133140674</t>
  </si>
  <si>
    <t>-651.554537125232 38.7840963088845 -292.967043184246</t>
  </si>
  <si>
    <t>-663.140415128157 38.162544751174 -376.05443151451</t>
  </si>
  <si>
    <t>-673.009553214755 38.1447781801055 -459.365485546757</t>
  </si>
  <si>
    <t>-685.550664963238 38.7777562937235 -581.378749251205</t>
  </si>
  <si>
    <t>-676.213180221614 40.6823258391091 -659.156581921124</t>
  </si>
  <si>
    <t>-681.551149161747 69.8236545301652 -527.523358331424</t>
  </si>
  <si>
    <t>-657.998848238457 221.798561241829 -501.327082143232</t>
  </si>
  <si>
    <t>-631.364239715855 242.962642800684 -221.289070790095</t>
  </si>
  <si>
    <t>-419.632348879089 147.797321897277 -229.144178036758</t>
  </si>
  <si>
    <t>-678.544299759583 7.17648326860717 -528.157455478595</t>
  </si>
  <si>
    <t>-620.496192193193 136.49332436181 -96.3207416614373</t>
  </si>
  <si>
    <t>-637.655863812638 144.691819947304 318.818872804405</t>
  </si>
  <si>
    <t>-669.559183035018 180.629409725 779.470942486764</t>
  </si>
  <si>
    <t>-518.869576947174 180.544882444882 835.831019923825</t>
  </si>
  <si>
    <t>-606.172963766792 -61.8209987919322 322.480176381543</t>
  </si>
  <si>
    <t>-654.167500708307 -101.431953860964 781.415526277305</t>
  </si>
  <si>
    <t>-500.441523552404 -116.721243625632 826.341957655341</t>
  </si>
  <si>
    <t>9763-20170724T115514.258311600.bin</t>
  </si>
  <si>
    <t>-614.607297247753 43.5695699378048 -92.9310309054159</t>
  </si>
  <si>
    <t>-637.458508355247 40.1007229727209 -201.20525124452</t>
  </si>
  <si>
    <t>-651.494470166157 38.7697942255872 -293.004225463319</t>
  </si>
  <si>
    <t>-663.026814027694 38.1460738376156 -376.098929615346</t>
  </si>
  <si>
    <t>-672.84357179318 38.1288083698153 -459.416224700552</t>
  </si>
  <si>
    <t>-685.309387876221 38.7657892498776 -581.437226565981</t>
  </si>
  <si>
    <t>-675.951631241239 40.7270341772532 -659.211286461512</t>
  </si>
  <si>
    <t>-681.364095874738 69.8087802252815 -527.576204524858</t>
  </si>
  <si>
    <t>-657.898932549766 221.795637704417 -501.38743849502</t>
  </si>
  <si>
    <t>-631.259641752498 242.794479170589 -221.337492920607</t>
  </si>
  <si>
    <t>-419.552768101558 147.559226493416 -229.017010294948</t>
  </si>
  <si>
    <t>-678.314921125995 7.16373773651253 -528.214764940359</t>
  </si>
  <si>
    <t>-620.547578213959 136.459950711174 -96.335908740768</t>
  </si>
  <si>
    <t>-637.706342227327 144.697122305216 318.803035297307</t>
  </si>
  <si>
    <t>-669.580711087525 180.542936065972 779.463832705876</t>
  </si>
  <si>
    <t>-518.888905411345 180.647297632848 835.818040369665</t>
  </si>
  <si>
    <t>-606.306477008799 -61.8613300068243 322.472630673754</t>
  </si>
  <si>
    <t>-654.188653096995 -101.412139033298 781.417698387465</t>
  </si>
  <si>
    <t>-500.436822503851 -116.564324985224 826.302129215975</t>
  </si>
  <si>
    <t>9763-20170724T115514.330514900.bin</t>
  </si>
  <si>
    <t>-614.641522454774 43.6204086322728 -92.9679747865271</t>
  </si>
  <si>
    <t>-637.285448017458 40.129285843497 -201.284937836057</t>
  </si>
  <si>
    <t>-651.19795662508 38.8176828481835 -293.102992795472</t>
  </si>
  <si>
    <t>-662.639620443281 38.2266070939818 -376.210703866151</t>
  </si>
  <si>
    <t>-672.386756859554 38.2583053356161 -459.536025527645</t>
  </si>
  <si>
    <t>-684.774142093853 38.9850931053377 -581.56452614982</t>
  </si>
  <si>
    <t>-675.372827615611 41.0724616669147 -659.329991455202</t>
  </si>
  <si>
    <t>-680.921595158819 69.9854728534724 -527.67234327729</t>
  </si>
  <si>
    <t>-657.699452608928 222.00185870809 -501.418259026351</t>
  </si>
  <si>
    <t>-630.81445886295 242.547674659574 -221.358142156861</t>
  </si>
  <si>
    <t>-419.156958211802 147.160818694705 -228.498179499983</t>
  </si>
  <si>
    <t>-677.755760212529 7.34685989924787 -528.366697497327</t>
  </si>
  <si>
    <t>-620.581852857862 136.467232479224 -96.3844333237523</t>
  </si>
  <si>
    <t>-637.72967175385 144.850080627717 318.752038152757</t>
  </si>
  <si>
    <t>-669.584230185676 180.546127976759 779.42683395018</t>
  </si>
  <si>
    <t>-518.8932807897 180.586769831994 835.783384978203</t>
  </si>
  <si>
    <t>-606.487305037522 -61.9646898298581 322.448300309679</t>
  </si>
  <si>
    <t>-654.167108653236 -101.415590708252 781.424345431108</t>
  </si>
  <si>
    <t>-500.412390671922 -116.468612152249 826.332275311489</t>
  </si>
  <si>
    <t>9763-20170724T115514.360279300.bin</t>
  </si>
  <si>
    <t>-614.607118467655 43.6007117831457 -92.9751717049779</t>
  </si>
  <si>
    <t>-637.160760360833 40.1123489501233 -201.310996054564</t>
  </si>
  <si>
    <t>-651.046475514192 38.8233767991501 -293.133472060289</t>
  </si>
  <si>
    <t>-662.484059582755 38.260616272476 -376.241894743517</t>
  </si>
  <si>
    <t>-672.247263294652 38.3293375182125 -459.565359526207</t>
  </si>
  <si>
    <t>-684.680457376588 39.1199898566206 -581.588809121191</t>
  </si>
  <si>
    <t>-675.263465511828 41.2639772842278 -659.350828453689</t>
  </si>
  <si>
    <t>-680.836692848772 70.0905960131736 -527.67885371179</t>
  </si>
  <si>
    <t>-657.69830963839 222.107158913951 -501.375906908329</t>
  </si>
  <si>
    <t>-630.679936383855 242.26155071725 -221.300143180693</t>
  </si>
  <si>
    <t>-419.03302793413 146.83328025521 -228.197247235637</t>
  </si>
  <si>
    <t>-677.613090504339 7.4553306987857 -528.413062169227</t>
  </si>
  <si>
    <t>-620.57566094349 136.407872468323 -96.3983510395177</t>
  </si>
  <si>
    <t>-637.76961027486 144.863809691526 318.734710282492</t>
  </si>
  <si>
    <t>-669.594145834337 180.508547678704 779.411855387647</t>
  </si>
  <si>
    <t>-518.901518247047 180.633855868743 835.763839169464</t>
  </si>
  <si>
    <t>-606.543356788581 -62.0597064178039 322.437244725743</t>
  </si>
  <si>
    <t>-654.152924422979 -101.46845525977 781.430691945652</t>
  </si>
  <si>
    <t>-500.44607002938 -116.912633326107 826.369552642342</t>
  </si>
  <si>
    <t>9763-20170724T115514.426455700.bin</t>
  </si>
  <si>
    <t>-614.401065910958 43.5380719127033 -92.9696018478421</t>
  </si>
  <si>
    <t>-636.804890959863 40.0492497545301 -201.336552361719</t>
  </si>
  <si>
    <t>-650.601996007104 38.7992351304417 -293.172850155956</t>
  </si>
  <si>
    <t>-661.974811112179 38.2873369941301 -376.29052020483</t>
  </si>
  <si>
    <t>-671.688812548452 38.4234801503264 -459.619671596477</t>
  </si>
  <si>
    <t>-684.067293948612 39.3308980030383 -581.647883491828</t>
  </si>
  <si>
    <t>-674.554450214551 41.5824798369888 -659.395230127005</t>
  </si>
  <si>
    <t>-680.294148773486 70.2475677715811 -527.701887935137</t>
  </si>
  <si>
    <t>-657.274210561346 222.277055720253 -501.325352457141</t>
  </si>
  <si>
    <t>-630.175520074135 241.507637409995 -221.192333354684</t>
  </si>
  <si>
    <t>-418.459552608869 146.206417099202 -227.716434846738</t>
  </si>
  <si>
    <t>-676.977245160035 7.61807201888632 -528.504009069725</t>
  </si>
  <si>
    <t>-620.406812223287 136.279575704489 -96.4066782679489</t>
  </si>
  <si>
    <t>-637.740888858079 144.834144603851 318.718547324577</t>
  </si>
  <si>
    <t>-669.593017575537 180.477089402048 779.377304119755</t>
  </si>
  <si>
    <t>-518.903514760807 180.571768137999 835.737479509085</t>
  </si>
  <si>
    <t>-606.537798945932 -62.2429800822576 322.428695613583</t>
  </si>
  <si>
    <t>-654.095772321214 -101.451858059402 781.440790395173</t>
  </si>
  <si>
    <t>-500.369012495796 -116.463286825931 826.458159970376</t>
  </si>
  <si>
    <t>9763-20170724T115514.460255800.bin</t>
  </si>
  <si>
    <t>-614.182638457494 43.4530912360349 -92.9888439683346</t>
  </si>
  <si>
    <t>-636.506216255441 39.9673915713115 -201.372481217897</t>
  </si>
  <si>
    <t>-650.235369342869 38.7218062249888 -293.218958963424</t>
  </si>
  <si>
    <t>-661.54675831928 38.2149246052643 -376.345006915606</t>
  </si>
  <si>
    <t>-671.19940137049 38.3569143707605 -459.681210115078</t>
  </si>
  <si>
    <t>-683.488157946679 39.2747261354032 -581.71855347087</t>
  </si>
  <si>
    <t>-673.907672234461 41.5636044753721 -659.456345152632</t>
  </si>
  <si>
    <t>-679.769978505885 70.1859557092828 -527.765495040568</t>
  </si>
  <si>
    <t>-656.814770258065 222.221893390735 -501.371826906892</t>
  </si>
  <si>
    <t>-629.585111478763 240.973268091492 -221.219223183457</t>
  </si>
  <si>
    <t>-417.85139395935 145.706888325783 -227.674663455692</t>
  </si>
  <si>
    <t>-676.421910953709 7.55813499120472 -528.573633258036</t>
  </si>
  <si>
    <t>-620.206970969208 136.162763483932 -96.4113593878151</t>
  </si>
  <si>
    <t>-637.622425422635 144.766406145986 318.709524871765</t>
  </si>
  <si>
    <t>-669.590023754843 180.454078276076 779.363496610268</t>
  </si>
  <si>
    <t>-518.905091720679 180.523922860021 835.736113907413</t>
  </si>
  <si>
    <t>-606.47474384537 -62.3662432242663 322.421865114833</t>
  </si>
  <si>
    <t>-654.026357505128 -101.502281404541 781.44030599255</t>
  </si>
  <si>
    <t>-500.345080667928 -116.549954247197 826.60071144091</t>
  </si>
  <si>
    <t>9763-20170724T115514.532446400.bin</t>
  </si>
  <si>
    <t>-613.439187917422 43.2301753166819 -92.9190271360183</t>
  </si>
  <si>
    <t>-635.602967686101 39.7539910530711 -201.335787905597</t>
  </si>
  <si>
    <t>-649.239911391759 38.5396646011541 -293.196513991286</t>
  </si>
  <si>
    <t>-660.485213328837 38.069378054269 -376.331751431583</t>
  </si>
  <si>
    <t>-670.088845660947 38.2573266725649 -459.673599310618</t>
  </si>
  <si>
    <t>-682.324962958669 39.2519041354637 -581.715389120161</t>
  </si>
  <si>
    <t>-672.640321057837 41.6457150962619 -659.437267124132</t>
  </si>
  <si>
    <t>-678.653540117871 70.1278184952791 -527.739063979134</t>
  </si>
  <si>
    <t>-655.828723185222 222.171400512201 -501.294353062212</t>
  </si>
  <si>
    <t>-628.12532409621 240.383022865045 -221.152457323388</t>
  </si>
  <si>
    <t>-416.523064164903 144.831031182109 -227.697497724626</t>
  </si>
  <si>
    <t>-675.258224833756 7.50303679555554 -528.589980207961</t>
  </si>
  <si>
    <t>-619.630474236328 135.850640896798 -96.3501476819462</t>
  </si>
  <si>
    <t>-637.295060518388 144.60053939896 318.757116625505</t>
  </si>
  <si>
    <t>-669.563420758312 180.432581314613 779.362862734219</t>
  </si>
  <si>
    <t>-518.896238402083 180.560372409411 835.782849841638</t>
  </si>
  <si>
    <t>-605.922572991635 -62.6383491718707 322.497306218946</t>
  </si>
  <si>
    <t>-653.479929479644 -101.629261356811 781.549990898738</t>
  </si>
  <si>
    <t>-500.00987052947 -115.980701866982 827.645530795573</t>
  </si>
  <si>
    <t>9763-20170724T115514.558531600.bin</t>
  </si>
  <si>
    <t>-612.88801338125 43.0725663376834 -92.8296075228292</t>
  </si>
  <si>
    <t>-634.989515302932 39.6041705252471 -201.259364328783</t>
  </si>
  <si>
    <t>-648.587681882721 38.4180504143378 -293.126165940558</t>
  </si>
  <si>
    <t>-659.803371619921 37.9819276083972 -376.265471377607</t>
  </si>
  <si>
    <t>-669.383003572705 38.2124912449353 -459.610053484047</t>
  </si>
  <si>
    <t>-681.590033303416 39.2791427183395 -581.654130446155</t>
  </si>
  <si>
    <t>-671.860036547808 41.7311445242535 -659.368506248315</t>
  </si>
  <si>
    <t>-677.944417362007 70.1224979222955 -527.657537171167</t>
  </si>
  <si>
    <t>-655.114288726625 222.153021563595 -501.166019871841</t>
  </si>
  <si>
    <t>-627.043800767261 240.161411509478 -221.047628964777</t>
  </si>
  <si>
    <t>-415.495715196824 144.50142610881 -227.763469977882</t>
  </si>
  <si>
    <t>-674.522956147165 7.49974065611082 -528.547048221434</t>
  </si>
  <si>
    <t>-619.184424419271 135.606962165547 -96.266072083608</t>
  </si>
  <si>
    <t>-637.069696174814 144.413576991236 318.83041358829</t>
  </si>
  <si>
    <t>-669.578311944271 180.285141201735 779.402040763746</t>
  </si>
  <si>
    <t>-518.917947673317 180.670476741857 835.839057759562</t>
  </si>
  <si>
    <t>-605.510863482204 -62.7998814222367 322.583264361458</t>
  </si>
  <si>
    <t>-653.197138667437 -101.661223687695 781.649829533912</t>
  </si>
  <si>
    <t>-499.852272503939 -115.807860005106 828.222938401998</t>
  </si>
  <si>
    <t>9763-20170724T115514.626712200.bin</t>
  </si>
  <si>
    <t>-611.66016476355 42.9227492633481 -92.6484394198533</t>
  </si>
  <si>
    <t>-633.717304599712 39.4759487008064 -201.087848766517</t>
  </si>
  <si>
    <t>-647.308805161047 38.3409041081738 -292.956374533849</t>
  </si>
  <si>
    <t>-658.53087989557 37.9632274990413 -376.095050946442</t>
  </si>
  <si>
    <t>-668.129238481999 38.2656156121081 -459.437311019319</t>
  </si>
  <si>
    <t>-680.377447618528 39.4514404394636 -581.476138391599</t>
  </si>
  <si>
    <t>-670.608024421884 41.9996924888487 -659.18251214074</t>
  </si>
  <si>
    <t>-676.742589629752 70.2403672859205 -527.447783925757</t>
  </si>
  <si>
    <t>-654.16261630618 222.299655660586 -500.889214290844</t>
  </si>
  <si>
    <t>-624.7440234417 239.661891525576 -220.868377651404</t>
  </si>
  <si>
    <t>-413.222218657087 144.006720638229 -228.428056233325</t>
  </si>
  <si>
    <t>-673.263496431648 7.62179988370144 -528.405388889955</t>
  </si>
  <si>
    <t>-618.159599170831 135.346537118449 -96.0848230586819</t>
  </si>
  <si>
    <t>-636.31159959111 144.255187811993 318.997965418375</t>
  </si>
  <si>
    <t>-669.502786635905 180.310778791799 779.494886606378</t>
  </si>
  <si>
    <t>-518.870072864321 180.590587093987 836.006179277366</t>
  </si>
  <si>
    <t>-604.461347475338 -62.8608448444827 322.762813310222</t>
  </si>
  <si>
    <t>-652.896849848521 -101.71561806313 781.740089503302</t>
  </si>
  <si>
    <t>-499.736630739635 -116.047390888271 828.860915636756</t>
  </si>
  <si>
    <t>9763-20170724T115514.658801800.bin</t>
  </si>
  <si>
    <t>-611.020279890533 42.7950890175007 -92.5453787745232</t>
  </si>
  <si>
    <t>-633.078933223881 39.3408605816749 -200.984187361601</t>
  </si>
  <si>
    <t>-646.685687572209 38.2312699831714 -292.85072443225</t>
  </si>
  <si>
    <t>-657.927268767007 37.8884662407474 -375.987004760033</t>
  </si>
  <si>
    <t>-667.550759083279 38.2382328221579 -459.326244389606</t>
  </si>
  <si>
    <t>-679.841743112544 39.5074072490099 -581.359869334215</t>
  </si>
  <si>
    <t>-670.066029642974 42.1159136030456 -659.06353529981</t>
  </si>
  <si>
    <t>-676.200904645489 70.2587508393165 -527.310524278555</t>
  </si>
  <si>
    <t>-653.713190069874 222.321287901759 -500.708856963063</t>
  </si>
  <si>
    <t>-623.443524306803 239.177053472789 -220.747791724743</t>
  </si>
  <si>
    <t>-411.847414505551 143.720483749424 -228.726543324878</t>
  </si>
  <si>
    <t>-672.69624439275 7.6422309399527 -528.314646175331</t>
  </si>
  <si>
    <t>-617.576485806466 135.199765552824 -95.9840161013356</t>
  </si>
  <si>
    <t>-635.866078012729 144.134776171392 319.092184727744</t>
  </si>
  <si>
    <t>-669.469745366632 180.292813362259 779.540645296647</t>
  </si>
  <si>
    <t>-518.854934641784 180.536269122662 836.099801558248</t>
  </si>
  <si>
    <t>-603.977624028072 -62.9529137712211 322.849996415975</t>
  </si>
  <si>
    <t>-652.844887379544 -101.722328857546 781.757314620236</t>
  </si>
  <si>
    <t>-499.716752477883 -116.062629518877 828.979712043254</t>
  </si>
  <si>
    <t>9763-20170724T115514.729991000.bin</t>
  </si>
  <si>
    <t>-609.692199036887 42.4626770494981 -92.4435896021839</t>
  </si>
  <si>
    <t>-631.735738270448 38.9898918518886 -200.884978015637</t>
  </si>
  <si>
    <t>-645.368445051777 37.9311162646113 -292.748183315692</t>
  </si>
  <si>
    <t>-656.649063279735 37.6601096393672 -375.879476347786</t>
  </si>
  <si>
    <t>-666.327356826435 38.108678602674 -459.211759950038</t>
  </si>
  <si>
    <t>-678.716028122975 39.5519960474578 -581.233760196382</t>
  </si>
  <si>
    <t>-668.970510878341 42.2934742339971 -658.936562637761</t>
  </si>
  <si>
    <t>-675.088049450157 70.2229282188896 -527.137651006892</t>
  </si>
  <si>
    <t>-652.991922517316 222.320811873205 -500.391940972498</t>
  </si>
  <si>
    <t>-620.514186931905 238.269888873226 -220.625305599466</t>
  </si>
  <si>
    <t>-408.788564015381 143.184469338331 -229.544265212678</t>
  </si>
  <si>
    <t>-671.47189345719 7.61460928950783 -528.245446689375</t>
  </si>
  <si>
    <t>-616.365740090414 134.788548936344 -95.8371051824557</t>
  </si>
  <si>
    <t>-635.145391761493 143.791315585858 319.215711855856</t>
  </si>
  <si>
    <t>-669.422930194526 180.188081150488 779.599434254194</t>
  </si>
  <si>
    <t>-518.838472137519 180.675388730143 836.237770244372</t>
  </si>
  <si>
    <t>-603.306191077566 -63.2851314196105 322.915467887158</t>
  </si>
  <si>
    <t>-652.910354434938 -101.710613398666 781.707121937338</t>
  </si>
  <si>
    <t>-499.751887972414 -116.061484342654 828.827822634229</t>
  </si>
  <si>
    <t>9763-20170724T115514.763084400.bin</t>
  </si>
  <si>
    <t>-609.094839484026 42.291073991609 -92.4417631703685</t>
  </si>
  <si>
    <t>-631.08098090417 38.8037690177539 -200.894271785694</t>
  </si>
  <si>
    <t>-644.720199411923 37.7693483454998 -292.756866657808</t>
  </si>
  <si>
    <t>-656.02881411822 37.5351254683897 -375.884536142385</t>
  </si>
  <si>
    <t>-665.757618341495 38.0354892649211 -459.210576688079</t>
  </si>
  <si>
    <t>-678.244775103854 39.5716704854176 -581.221383762757</t>
  </si>
  <si>
    <t>-668.540795388018 42.3841465679307 -658.926789437194</t>
  </si>
  <si>
    <t>-674.608496680141 70.1993451769592 -527.101294156451</t>
  </si>
  <si>
    <t>-652.736198566376 222.311341732961 -500.24474225514</t>
  </si>
  <si>
    <t>-618.942856520458 237.732756324444 -220.60429807155</t>
  </si>
  <si>
    <t>-407.118804513456 142.904823193945 -229.919197495407</t>
  </si>
  <si>
    <t>-670.922444188386 7.59615745059023 -528.266883343601</t>
  </si>
  <si>
    <t>-615.790114108652 134.589644763967 -95.8270107005058</t>
  </si>
  <si>
    <t>-634.840971243951 143.643694985275 319.212404918471</t>
  </si>
  <si>
    <t>-669.399716079233 180.144910560881 779.583946160572</t>
  </si>
  <si>
    <t>-518.830914202436 180.738468248389 836.262933913918</t>
  </si>
  <si>
    <t>-603.128814193875 -63.5197089287144 322.90772667471</t>
  </si>
  <si>
    <t>-653.036783537015 -101.716924006088 781.661324556489</t>
  </si>
  <si>
    <t>-499.833458614915 -116.219520848466 828.589351529841</t>
  </si>
  <si>
    <t>9763-20170724T115514.828255800.bin</t>
  </si>
  <si>
    <t>-608.030509987095 42.0367869138004 -92.4595502065442</t>
  </si>
  <si>
    <t>-629.879683952839 38.5168057456342 -200.938650620526</t>
  </si>
  <si>
    <t>-643.485728435268 37.5288202916288 -292.806714971492</t>
  </si>
  <si>
    <t>-654.797841055042 37.3666980892042 -375.934067468234</t>
  </si>
  <si>
    <t>-664.564012382399 37.9702032390376 -459.255088983513</t>
  </si>
  <si>
    <t>-677.143321115579 39.6917694228173 -581.253883949465</t>
  </si>
  <si>
    <t>-667.539303477989 42.6614910356279 -658.965866650487</t>
  </si>
  <si>
    <t>-673.517177148142 70.2338447776826 -527.084921711173</t>
  </si>
  <si>
    <t>-651.988725896637 222.346823456663 -499.975193316608</t>
  </si>
  <si>
    <t>-616.051043114545 236.993107177277 -220.560586868294</t>
  </si>
  <si>
    <t>-403.978225197626 142.781952727375 -230.45564871495</t>
  </si>
  <si>
    <t>-669.730085780412 7.63885741215859 -528.35870652677</t>
  </si>
  <si>
    <t>-614.587539973302 134.348184087752 -95.8483531125557</t>
  </si>
  <si>
    <t>-634.286505250562 143.448222562548 319.159865165938</t>
  </si>
  <si>
    <t>-669.341580101962 180.174731376546 779.510138409691</t>
  </si>
  <si>
    <t>-518.805167521853 180.657981139055 836.276159972418</t>
  </si>
  <si>
    <t>-603.039000888227 -63.9733430543827 322.873998809488</t>
  </si>
  <si>
    <t>-653.536826395087 -101.627471430813 781.580166805931</t>
  </si>
  <si>
    <t>-500.07297670031 -116.111640136642 827.654903261123</t>
  </si>
  <si>
    <t>9763-20170724T115514.862175100.bin</t>
  </si>
  <si>
    <t>-607.527951796836 41.9221693834891 -92.4766342102281</t>
  </si>
  <si>
    <t>-629.299532525042 38.3899713262438 -200.970976704664</t>
  </si>
  <si>
    <t>-642.872609314286 37.425957238635 -292.844077113722</t>
  </si>
  <si>
    <t>-654.168317155883 37.2994102508758 -375.973726571615</t>
  </si>
  <si>
    <t>-663.931513226866 37.9529755295735 -459.294730135118</t>
  </si>
  <si>
    <t>-676.52146576051 39.7637205134731 -581.291176072082</t>
  </si>
  <si>
    <t>-666.973968098094 42.8139093264142 -659.007058004027</t>
  </si>
  <si>
    <t>-672.911439509478 70.2649058734814 -527.098171092652</t>
  </si>
  <si>
    <t>-651.507433685932 222.378216301787 -499.895765387324</t>
  </si>
  <si>
    <t>-614.723503718278 236.794966171579 -220.579289448384</t>
  </si>
  <si>
    <t>-402.542620892669 142.829485257612 -230.494143638525</t>
  </si>
  <si>
    <t>-669.08275894179 7.67347482898299 -528.422246237993</t>
  </si>
  <si>
    <t>-613.966111289719 134.268257256064 -95.8733699700697</t>
  </si>
  <si>
    <t>-633.984335290782 143.390248903889 319.119015852978</t>
  </si>
  <si>
    <t>-669.310043343548 180.205289930221 779.458936883642</t>
  </si>
  <si>
    <t>-518.789865976446 180.665671285713 836.268246058419</t>
  </si>
  <si>
    <t>-603.084743660484 -64.1970475153657 322.849474464927</t>
  </si>
  <si>
    <t>-653.881118063667 -101.5913235345 781.53304198352</t>
  </si>
  <si>
    <t>-500.275525045952 -116.390988764834 827.031568301975</t>
  </si>
  <si>
    <t>9763-20170724T115514.927347600.bin</t>
  </si>
  <si>
    <t>-606.461320814728 41.5716646829001 -92.5209875351468</t>
  </si>
  <si>
    <t>-628.050866986354 38.0355608875866 -201.05165198543</t>
  </si>
  <si>
    <t>-641.507945069064 37.1180851592865 -292.942282077735</t>
  </si>
  <si>
    <t>-652.714551235642 37.0543552443944 -376.083909341732</t>
  </si>
  <si>
    <t>-662.404486718677 37.7926161924433 -459.412839311052</t>
  </si>
  <si>
    <t>-674.905122988491 39.7512309188642 -581.41613818724</t>
  </si>
  <si>
    <t>-665.423292466735 42.9328889319086 -659.134767717075</t>
  </si>
  <si>
    <t>-671.363741528092 70.1847518428194 -527.180595685579</t>
  </si>
  <si>
    <t>-650.14081743942 222.302443187895 -499.843068360937</t>
  </si>
  <si>
    <t>-612.196046429304 236.083468782556 -220.649747123321</t>
  </si>
  <si>
    <t>-399.675689476829 142.821419494243 -229.913819729512</t>
  </si>
  <si>
    <t>-667.476208046519 7.59868053369041 -528.583710089479</t>
  </si>
  <si>
    <t>-612.597987744563 133.996375115295 -95.9215637705076</t>
  </si>
  <si>
    <t>-633.266066791461 143.130200473941 319.03868682353</t>
  </si>
  <si>
    <t>-669.305801078763 180.066511240195 779.334352141059</t>
  </si>
  <si>
    <t>-518.819344961396 180.87216601463 836.228844599162</t>
  </si>
  <si>
    <t>-603.034132740552 -64.8365039158975 322.797216527927</t>
  </si>
  <si>
    <t>-654.388128548024 -101.534200801903 781.495810164951</t>
  </si>
  <si>
    <t>-500.593708366718 -117.038037966136 826.113384322019</t>
  </si>
  <si>
    <t>9763-20170724T115514.958980900.bin</t>
  </si>
  <si>
    <t>-605.855315040542 41.4962974397511 -92.5750835374871</t>
  </si>
  <si>
    <t>-627.360171871375 37.9537330346659 -201.122294905818</t>
  </si>
  <si>
    <t>-640.758599164852 37.049084834201 -293.021640970524</t>
  </si>
  <si>
    <t>-651.91751301886 37.0050567053379 -376.169814207855</t>
  </si>
  <si>
    <t>-661.565240240103 37.771199618122 -459.503343321846</t>
  </si>
  <si>
    <t>-674.010343614406 39.7799880083332 -581.511518041001</t>
  </si>
  <si>
    <t>-664.549911457929 43.0148071145329 -659.230575457295</t>
  </si>
  <si>
    <t>-670.509135076765 70.1903808746906 -527.260200720034</t>
  </si>
  <si>
    <t>-649.385532210077 222.31646542757 -499.894116262624</t>
  </si>
  <si>
    <t>-610.841373904839 235.824652220585 -220.769693483393</t>
  </si>
  <si>
    <t>-398.164718876246 142.88058278546 -229.633406898085</t>
  </si>
  <si>
    <t>-666.589916370483 7.60687828199639 -528.690509579076</t>
  </si>
  <si>
    <t>-611.878982587467 133.999023436874 -95.9849949462739</t>
  </si>
  <si>
    <t>-632.892046223631 143.085463024516 318.959021395939</t>
  </si>
  <si>
    <t>-669.285179444456 180.112958149437 779.226222999276</t>
  </si>
  <si>
    <t>-518.816700482834 180.761112893191 836.170351666774</t>
  </si>
  <si>
    <t>-602.888920220063 -65.058476335136 322.754492420414</t>
  </si>
  <si>
    <t>-654.537648314347 -101.503331663157 781.462718102247</t>
  </si>
  <si>
    <t>-500.695149841352 -117.335105792869 825.798545321729</t>
  </si>
  <si>
    <t>9763-20170724T115515.030170100.bin</t>
  </si>
  <si>
    <t>-604.622137487302 41.5718673072788 -92.6973593173348</t>
  </si>
  <si>
    <t>-625.96335098108 38.0221848619562 -201.276628333746</t>
  </si>
  <si>
    <t>-639.213050877878 37.1280450068234 -293.197555747053</t>
  </si>
  <si>
    <t>-650.233579064351 37.1004874137102 -376.364162169747</t>
  </si>
  <si>
    <t>-659.739081499131 37.8902007636684 -459.713743956183</t>
  </si>
  <si>
    <t>-671.972008849682 39.9423777261588 -581.742732139097</t>
  </si>
  <si>
    <t>-662.490479165195 43.2469323714201 -659.456287378257</t>
  </si>
  <si>
    <t>-668.593163177086 70.3316079771812 -527.471960791268</t>
  </si>
  <si>
    <t>-647.745746936267 222.498910373841 -500.121423776782</t>
  </si>
  <si>
    <t>-607.878016459888 235.375827645119 -221.153074895342</t>
  </si>
  <si>
    <t>-394.992279798874 142.864515029653 -229.511478966079</t>
  </si>
  <si>
    <t>-664.6154724691 7.75216017359526 -528.923105510585</t>
  </si>
  <si>
    <t>-610.534287474098 134.122742496757 -96.1348241871884</t>
  </si>
  <si>
    <t>-632.238874393614 143.011504455656 318.777823946256</t>
  </si>
  <si>
    <t>-669.284262449593 180.029351665697 778.986298008516</t>
  </si>
  <si>
    <t>-518.851750982862 180.786113307895 836.024062350023</t>
  </si>
  <si>
    <t>-602.408689874574 -65.2316555428006 322.680177092816</t>
  </si>
  <si>
    <t>-654.709641424445 -101.407347567988 781.390250649561</t>
  </si>
  <si>
    <t>-500.755090404477 -117.160736332689 825.363598294715</t>
  </si>
  <si>
    <t>9763-20170724T115515.058752900.bin</t>
  </si>
  <si>
    <t>-604.021638106635 41.6902638722138 -92.7410870131126</t>
  </si>
  <si>
    <t>-625.276412302814 38.1257142053223 -201.336758871466</t>
  </si>
  <si>
    <t>-638.440709877558 37.2218637999454 -293.270085709114</t>
  </si>
  <si>
    <t>-649.379054192612 37.1863668745611 -376.447433979781</t>
  </si>
  <si>
    <t>-658.797229889174 37.969578868521 -459.806994973598</t>
  </si>
  <si>
    <t>-670.897039408123 40.0130831307727 -581.849464309394</t>
  </si>
  <si>
    <t>-661.381654002865 43.3377495536508 -659.557973560423</t>
  </si>
  <si>
    <t>-667.587933331259 70.4054071261339 -527.576087250101</t>
  </si>
  <si>
    <t>-646.866391419159 222.594740032457 -500.23525179666</t>
  </si>
  <si>
    <t>-606.201408963232 235.121816450279 -221.366004784768</t>
  </si>
  <si>
    <t>-393.285437537086 142.675743999025 -229.675375359164</t>
  </si>
  <si>
    <t>-663.587600627798 7.82728118775367 -529.020480174631</t>
  </si>
  <si>
    <t>-609.888056429464 134.259385888126 -96.2069864362159</t>
  </si>
  <si>
    <t>-631.874788581915 143.107894157218 318.691639366228</t>
  </si>
  <si>
    <t>-669.271320245892 180.049856703626 778.868967648774</t>
  </si>
  <si>
    <t>-518.857476770997 180.80810440915 835.955937937728</t>
  </si>
  <si>
    <t>-602.13529273799 -65.2639675214668 322.660782965304</t>
  </si>
  <si>
    <t>-654.757470046201 -101.411263397224 781.358830036841</t>
  </si>
  <si>
    <t>-500.833233430572 -117.701815738544 825.242446668709</t>
  </si>
  <si>
    <t>9763-20170724T115515.128940600.bin</t>
  </si>
  <si>
    <t>-602.853618651642 42.0513813328314 -92.7886391007224</t>
  </si>
  <si>
    <t>-623.952965127611 38.4631237997251 -201.413843821527</t>
  </si>
  <si>
    <t>-636.935103766301 37.5275636035597 -293.372677166715</t>
  </si>
  <si>
    <t>-647.688306010339 37.458375349798 -376.574243816598</t>
  </si>
  <si>
    <t>-656.900642263671 38.203092561515 -459.957162970289</t>
  </si>
  <si>
    <t>-668.676825575854 40.1852553508315 -582.032168822521</t>
  </si>
  <si>
    <t>-659.037325367579 43.5480048182417 -659.72370767246</t>
  </si>
  <si>
    <t>-665.532234305059 70.6035409395365 -527.76357366191</t>
  </si>
  <si>
    <t>-645.150947779124 222.854526906032 -500.570211986736</t>
  </si>
  <si>
    <t>-602.800444039632 234.76584859065 -221.925046543139</t>
  </si>
  <si>
    <t>-389.943139487518 142.209615268084 -230.505807300981</t>
  </si>
  <si>
    <t>-661.486828240003 8.02757348400519 -529.169885378044</t>
  </si>
  <si>
    <t>-608.660128520559 134.606084919754 -96.2927509639319</t>
  </si>
  <si>
    <t>-631.160825846808 143.265159656287 318.582335157911</t>
  </si>
  <si>
    <t>-669.283322533358 179.98576178716 778.685106557635</t>
  </si>
  <si>
    <t>-518.899529123896 180.895625663634 835.849036155688</t>
  </si>
  <si>
    <t>-601.548699699461 -65.1638484693137 322.643645429346</t>
  </si>
  <si>
    <t>-654.801492254776 -101.360753221688 781.306192593677</t>
  </si>
  <si>
    <t>-500.848056507778 -117.748663727863 825.050886419956</t>
  </si>
  <si>
    <t>9763-20170724T115515.161833800.bin</t>
  </si>
  <si>
    <t>-602.325428004757 42.2520933545202 -92.7961727536047</t>
  </si>
  <si>
    <t>-623.321965472109 38.6781288363311 -201.441752165788</t>
  </si>
  <si>
    <t>-636.211664665854 37.7438802759575 -293.413499905695</t>
  </si>
  <si>
    <t>-646.879108791516 37.6719249717332 -376.62618174456</t>
  </si>
  <si>
    <t>-656.003628317156 38.4096225555411 -460.018840212601</t>
  </si>
  <si>
    <t>-667.649055922606 40.3775942762263 -582.106621239041</t>
  </si>
  <si>
    <t>-657.951843384547 43.7686830601192 -659.789872221682</t>
  </si>
  <si>
    <t>-664.575550125335 70.8013526699681 -527.837019771847</t>
  </si>
  <si>
    <t>-644.300664609022 223.082376781737 -500.697365536883</t>
  </si>
  <si>
    <t>-601.134353333909 234.685175119547 -222.164321839172</t>
  </si>
  <si>
    <t>-388.247856595372 142.210394750417 -230.898129553726</t>
  </si>
  <si>
    <t>-660.502712829462 8.22690524836116 -529.23418607434</t>
  </si>
  <si>
    <t>-608.097687716548 134.823560496067 -96.3112985867396</t>
  </si>
  <si>
    <t>-630.867982039305 143.387531142586 318.551032300338</t>
  </si>
  <si>
    <t>-669.290141624919 179.967248218326 778.618421517804</t>
  </si>
  <si>
    <t>-518.920907921265 180.946367444488 835.819440531193</t>
  </si>
  <si>
    <t>-601.3060254753 -65.0992717406282 322.637682399152</t>
  </si>
  <si>
    <t>-654.799863282527 -101.331916501581 781.285004542911</t>
  </si>
  <si>
    <t>-500.828495786809 -117.638899881599 824.996875433813</t>
  </si>
  <si>
    <t>9763-20170724T115515.227005900.bin</t>
  </si>
  <si>
    <t>-601.454952425365 42.7045529503191 -92.8257832912246</t>
  </si>
  <si>
    <t>-622.23469806394 39.1301186726184 -201.513137203681</t>
  </si>
  <si>
    <t>-634.901025313386 38.2000685896355 -293.516007027054</t>
  </si>
  <si>
    <t>-645.350824517584 38.1338712461243 -376.756227830994</t>
  </si>
  <si>
    <t>-654.241756735156 38.8807294580427 -460.17401086824</t>
  </si>
  <si>
    <t>-665.528692215428 40.8655439644251 -582.295256102003</t>
  </si>
  <si>
    <t>-655.694289004315 44.3142606811184 -659.958683104748</t>
  </si>
  <si>
    <t>-662.661323642315 71.2785222823006 -528.008291850157</t>
  </si>
  <si>
    <t>-642.819731083916 223.644011234382 -501.036020830449</t>
  </si>
  <si>
    <t>-597.678173318807 234.502122659605 -222.786450615941</t>
  </si>
  <si>
    <t>-384.689263353691 142.310438357401 -232.002978080955</t>
  </si>
  <si>
    <t>-658.490864498454 8.71061697493565 -529.410739545556</t>
  </si>
  <si>
    <t>-607.168654688336 135.313527369325 -96.362136985325</t>
  </si>
  <si>
    <t>-630.432646938737 143.688070634145 318.476678970153</t>
  </si>
  <si>
    <t>-669.291515954632 179.941866802205 778.510233380344</t>
  </si>
  <si>
    <t>-518.955719489014 180.929692962841 835.798909114031</t>
  </si>
  <si>
    <t>-600.944987173525 -64.9994303858807 322.628677446072</t>
  </si>
  <si>
    <t>-654.774278351483 -101.299887333126 781.254921519942</t>
  </si>
  <si>
    <t>-500.784242326795 -117.499174382513 824.941010557206</t>
  </si>
  <si>
    <t>9763-20170724T115515.259935700.bin</t>
  </si>
  <si>
    <t>-601.098978797105 42.963939192801 -92.8416217341688</t>
  </si>
  <si>
    <t>-621.718897146168 39.3867567027739 -201.559296093461</t>
  </si>
  <si>
    <t>-634.222545472467 38.4619273069952 -293.584472226417</t>
  </si>
  <si>
    <t>-644.514282090098 38.4038099866355 -376.844219850903</t>
  </si>
  <si>
    <t>-653.236171913189 39.1621863717849 -460.279920223511</t>
  </si>
  <si>
    <t>-664.263936638238 41.168415971513 -582.424428605059</t>
  </si>
  <si>
    <t>-654.341783764493 44.6452876362755 -660.075359028665</t>
  </si>
  <si>
    <t>-661.535711412076 71.5703181385857 -528.124145809003</t>
  </si>
  <si>
    <t>-641.879060753842 223.971836530044 -501.183312910304</t>
  </si>
  <si>
    <t>-595.659955838315 234.317962909991 -223.090974011821</t>
  </si>
  <si>
    <t>-382.516897930976 142.496283044872 -232.436892882695</t>
  </si>
  <si>
    <t>-657.314375348349 9.00590367031464 -529.53285501084</t>
  </si>
  <si>
    <t>-606.794756393927 135.576802705239 -96.3850501221277</t>
  </si>
  <si>
    <t>-630.2404600469 143.899075788954 318.444652491596</t>
  </si>
  <si>
    <t>-669.282778657001 179.987906346083 778.472760708835</t>
  </si>
  <si>
    <t>-518.963536425161 180.899650553014 835.806141170488</t>
  </si>
  <si>
    <t>-600.810109113574 -64.8969222200865 322.6267769025</t>
  </si>
  <si>
    <t>-654.753506259545 -101.2725507095 781.243173491095</t>
  </si>
  <si>
    <t>-500.752797051785 -117.376891134977 824.926785541452</t>
  </si>
  <si>
    <t>9763-20170724T115515.327113900.bin</t>
  </si>
  <si>
    <t>-600.459573377762 43.3246290892471 -92.8126562493617</t>
  </si>
  <si>
    <t>-620.710518714713 39.7533244658166 -201.599814627005</t>
  </si>
  <si>
    <t>-632.876506794041 38.8224228007798 -293.670241026826</t>
  </si>
  <si>
    <t>-642.852708627747 38.7537893522162 -376.968492619652</t>
  </si>
  <si>
    <t>-651.248305093904 39.4975063267848 -460.437595774145</t>
  </si>
  <si>
    <t>-661.787472442116 41.4777613011781 -582.62578925918</t>
  </si>
  <si>
    <t>-651.678128634562 44.9811442473886 -660.251407608382</t>
  </si>
  <si>
    <t>-659.304821767361 71.8891841225006 -528.318990617394</t>
  </si>
  <si>
    <t>-639.956399059126 224.32969492794 -501.38532254234</t>
  </si>
  <si>
    <t>-591.366204592905 233.584042685396 -223.658911901582</t>
  </si>
  <si>
    <t>-378.065203698072 142.138351174238 -233.087338939861</t>
  </si>
  <si>
    <t>-655.021148540669 9.32852339230431 -529.702356729262</t>
  </si>
  <si>
    <t>-606.219483904949 135.933509283194 -96.3886291531196</t>
  </si>
  <si>
    <t>-630.077874697851 144.161963347469 318.419358126456</t>
  </si>
  <si>
    <t>-669.29572018981 180.02559820254 778.436088972062</t>
  </si>
  <si>
    <t>-518.993964866092 180.834249977312 835.816857308053</t>
  </si>
  <si>
    <t>-600.689569398362 -64.9220556847222 322.626477400781</t>
  </si>
  <si>
    <t>-654.7036529117 -101.26448696401 781.231551780946</t>
  </si>
  <si>
    <t>-500.73645253131 -117.605319659907 824.945379703225</t>
  </si>
  <si>
    <t>9763-20170724T115515.358198500.bin</t>
  </si>
  <si>
    <t>-600.181542847564 43.4170161896018 -92.7991519261785</t>
  </si>
  <si>
    <t>-620.277476215554 39.8466047362945 -201.615024121116</t>
  </si>
  <si>
    <t>-632.289984287046 38.9125051265078 -293.70564152519</t>
  </si>
  <si>
    <t>-642.118246841367 38.8393449790838 -377.021414454493</t>
  </si>
  <si>
    <t>-650.356555074364 39.5769850295289 -460.506250696951</t>
  </si>
  <si>
    <t>-660.655562904626 41.5464046145592 -582.715156094202</t>
  </si>
  <si>
    <t>-650.449817349586 45.0602615513026 -660.327537652587</t>
  </si>
  <si>
    <t>-658.287619027521 71.9620980178408 -528.405553197453</t>
  </si>
  <si>
    <t>-639.040569546034 224.413450739554 -501.47459444256</t>
  </si>
  <si>
    <t>-589.364508500804 233.445165898631 -223.932929441832</t>
  </si>
  <si>
    <t>-376.111465476695 141.89998372975 -233.48016617281</t>
  </si>
  <si>
    <t>-653.985272636146 9.40235190024509 -529.776276377349</t>
  </si>
  <si>
    <t>-605.96192241776 136.016125495216 -96.3866946307169</t>
  </si>
  <si>
    <t>-630.042447121552 144.205152938377 318.409246251831</t>
  </si>
  <si>
    <t>-669.322662342063 179.946644080868 778.419828854147</t>
  </si>
  <si>
    <t>-519.026837024752 180.954219634604 835.81294095762</t>
  </si>
  <si>
    <t>-600.69633902264 -64.992508228547 322.630388748732</t>
  </si>
  <si>
    <t>-654.691223114527 -101.275514928397 781.228614684923</t>
  </si>
  <si>
    <t>-500.759403266852 -117.92306440175 824.951407067769</t>
  </si>
  <si>
    <t>9763-20170724T115515.428392900.bin</t>
  </si>
  <si>
    <t>-599.645049658567 43.6357811281189 -92.8176796193152</t>
  </si>
  <si>
    <t>-619.43952936236 40.0735714489638 -201.689064970327</t>
  </si>
  <si>
    <t>-631.179295019883 39.1336789947666 -293.814729297381</t>
  </si>
  <si>
    <t>-640.753715159213 39.0497939216496 -377.160125449851</t>
  </si>
  <si>
    <t>-648.730450626975 39.7712567629901 -460.670567771403</t>
  </si>
  <si>
    <t>-658.638553184789 41.7109285772865 -582.912077325311</t>
  </si>
  <si>
    <t>-648.260777529583 45.2372294649069 -660.501328166612</t>
  </si>
  <si>
    <t>-656.437587065612 72.1403345408253 -528.603205804926</t>
  </si>
  <si>
    <t>-637.314244537022 224.627672161257 -501.786096805903</t>
  </si>
  <si>
    <t>-585.967763361816 233.097365286216 -224.530998920689</t>
  </si>
  <si>
    <t>-372.749947554524 141.526180896322 -234.601993299599</t>
  </si>
  <si>
    <t>-652.144307344635 9.5794673410312 -529.943894783184</t>
  </si>
  <si>
    <t>-605.444099643143 136.221005387695 -96.4136389179592</t>
  </si>
  <si>
    <t>-629.837871698807 144.395117180745 318.364288248957</t>
  </si>
  <si>
    <t>-669.339360628575 179.898967098517 778.382837170227</t>
  </si>
  <si>
    <t>-519.063671796973 180.931492371461 835.828281987421</t>
  </si>
  <si>
    <t>-600.586473484719 -64.9986260217445 322.613931192341</t>
  </si>
  <si>
    <t>-654.646089348467 -101.264146920721 781.217039042715</t>
  </si>
  <si>
    <t>-500.688111010116 -117.658363252027 824.943419995661</t>
  </si>
  <si>
    <t>9763-20170724T115515.460492400.bin</t>
  </si>
  <si>
    <t>-599.387962584582 43.7464637447638 -92.8109766209983</t>
  </si>
  <si>
    <t>-619.02435646456 40.2037043742453 -201.711636218083</t>
  </si>
  <si>
    <t>-630.639151867643 39.2595019950138 -293.853047129629</t>
  </si>
  <si>
    <t>-640.104087423299 39.164019818196 -377.210905058445</t>
  </si>
  <si>
    <t>-647.974789312684 39.8656824830246 -460.731655597186</t>
  </si>
  <si>
    <t>-657.731642287382 41.7676740004697 -582.985838645942</t>
  </si>
  <si>
    <t>-647.266669359682 45.2839191559747 -660.563840060116</t>
  </si>
  <si>
    <t>-655.586565980483 72.2145784769639 -528.684604961249</t>
  </si>
  <si>
    <t>-636.512924712828 224.721905792402 -501.941510863466</t>
  </si>
  <si>
    <t>-584.3490680051 232.93025326863 -224.831141783331</t>
  </si>
  <si>
    <t>-371.120888105271 141.42565288048 -235.280319559986</t>
  </si>
  <si>
    <t>-651.31426095939 9.65164499021239 -529.998974726686</t>
  </si>
  <si>
    <t>-605.160181414431 136.346011801998 -96.4045577073884</t>
  </si>
  <si>
    <t>-629.724877175171 144.474346979796 318.364209371267</t>
  </si>
  <si>
    <t>-669.34581187954 179.922594285609 778.381340352813</t>
  </si>
  <si>
    <t>-519.076448791298 181.007316233398 835.842308518134</t>
  </si>
  <si>
    <t>-600.529476612403 -65.0092738466708 322.611894064393</t>
  </si>
  <si>
    <t>-654.616319176118 -101.275108675595 781.212990417419</t>
  </si>
  <si>
    <t>-500.687328501503 -117.871909426723 824.964989515706</t>
  </si>
  <si>
    <t>9763-20170724T115515.525667000.bin</t>
  </si>
  <si>
    <t>-598.770934151096 43.9736679354712 -92.7823079795533</t>
  </si>
  <si>
    <t>-618.199533432071 40.4661938593413 -201.721329663461</t>
  </si>
  <si>
    <t>-629.623696433871 39.525150944288 -293.886584235171</t>
  </si>
  <si>
    <t>-638.910429572572 39.4235083678241 -377.2645694423</t>
  </si>
  <si>
    <t>-646.596800726071 40.1095369388474 -460.80249777642</t>
  </si>
  <si>
    <t>-656.077722070571 41.9781100348541 -583.079068851281</t>
  </si>
  <si>
    <t>-645.441864789534 45.480380684666 -660.634354210782</t>
  </si>
  <si>
    <t>-654.021087474064 72.4421098920766 -528.783959173484</t>
  </si>
  <si>
    <t>-634.931407647763 224.96684339146 -502.147781490808</t>
  </si>
  <si>
    <t>-581.22831137436 232.81153197657 -225.321183705043</t>
  </si>
  <si>
    <t>-368.057121789796 141.288660932424 -236.729489792674</t>
  </si>
  <si>
    <t>-649.814125821948 9.87409751653217 -530.066353852372</t>
  </si>
  <si>
    <t>-604.431503751723 136.591794559952 -96.3884300480889</t>
  </si>
  <si>
    <t>-629.442368127179 144.605530399038 318.355839303223</t>
  </si>
  <si>
    <t>-669.358252184491 179.906945081953 778.360385924206</t>
  </si>
  <si>
    <t>-519.105183172022 180.973898977637 835.864332157576</t>
  </si>
  <si>
    <t>-600.415530427255 -65.0723546639931 322.621609469539</t>
  </si>
  <si>
    <t>-654.567453140399 -101.27249021817 781.215861878776</t>
  </si>
  <si>
    <t>-500.669039120024 -118.069817871706 824.998890933416</t>
  </si>
  <si>
    <t>9763-20170724T115515.562771800.bin</t>
  </si>
  <si>
    <t>-598.437846824938 44.0351913116024 -92.7754110872346</t>
  </si>
  <si>
    <t>-617.784378229733 40.5341856881967 -201.729309907686</t>
  </si>
  <si>
    <t>-629.129300699918 39.5863588478687 -293.904376417703</t>
  </si>
  <si>
    <t>-638.340305536881 39.4743109207279 -377.290618437398</t>
  </si>
  <si>
    <t>-645.94678196662 40.1447861991771 -460.835968228464</t>
  </si>
  <si>
    <t>-655.306128311136 41.9852985092566 -583.122333648486</t>
  </si>
  <si>
    <t>-644.588417331209 45.4850710213236 -660.666489541864</t>
  </si>
  <si>
    <t>-653.27285056832 72.4639568369516 -528.834585264113</t>
  </si>
  <si>
    <t>-634.115772568505 224.98807586744 -502.23385873414</t>
  </si>
  <si>
    <t>-579.613531546533 232.57308743081 -225.556158524756</t>
  </si>
  <si>
    <t>-366.452492635464 141.076394178335 -237.356706138185</t>
  </si>
  <si>
    <t>-649.125794093807 9.89150379787975 -530.093763141943</t>
  </si>
  <si>
    <t>-604.015916413067 136.684827649706 -96.3903778314674</t>
  </si>
  <si>
    <t>-629.243605531749 144.620401915799 318.342299760044</t>
  </si>
  <si>
    <t>-669.354396258781 179.921203852665 778.338032673122</t>
  </si>
  <si>
    <t>-519.112629889887 181.001930641797 835.871200737533</t>
  </si>
  <si>
    <t>-600.352790156333 -65.1296868334216 322.625826201228</t>
  </si>
  <si>
    <t>-654.541937148864 -101.245741472527 781.220159077603</t>
  </si>
  <si>
    <t>-500.625359800769 -117.847360452014 825.013976238285</t>
  </si>
  <si>
    <t>9763-20170724T115515.626947400.bin</t>
  </si>
  <si>
    <t>-597.742525225959 44.2246748676039 -92.7607143844126</t>
  </si>
  <si>
    <t>-616.995646772722 40.7388126038009 -201.731686787029</t>
  </si>
  <si>
    <t>-628.24000528556 39.7904310581137 -293.919050752743</t>
  </si>
  <si>
    <t>-637.351399015669 39.6731906828538 -377.316221904059</t>
  </si>
  <si>
    <t>-644.849264301445 40.3331798339739 -460.87146426837</t>
  </si>
  <si>
    <t>-654.039828083694 42.1524731066095 -583.170906778821</t>
  </si>
  <si>
    <t>-643.18807369926 45.6595801977919 -660.696100208127</t>
  </si>
  <si>
    <t>-652.035424057616 72.6436440464354 -528.889174899442</t>
  </si>
  <si>
    <t>-632.745282890901 225.159298602399 -502.362412369152</t>
  </si>
  <si>
    <t>-576.551520444908 232.096274409482 -226.006326807496</t>
  </si>
  <si>
    <t>-363.388038115651 140.668303951514 -238.286121444086</t>
  </si>
  <si>
    <t>-647.978774055321 10.0646799358935 -530.124874910298</t>
  </si>
  <si>
    <t>-603.252655391226 136.898338539315 -96.3900045083934</t>
  </si>
  <si>
    <t>-628.78757648835 144.687529609818 318.326681138872</t>
  </si>
  <si>
    <t>-669.339738254991 179.930830563321 778.285068304116</t>
  </si>
  <si>
    <t>-519.128654594007 180.913682879612 835.90010377067</t>
  </si>
  <si>
    <t>-600.065453995658 -65.06994625879 322.6437121334</t>
  </si>
  <si>
    <t>-654.480488424595 -101.213723680056 781.219437179188</t>
  </si>
  <si>
    <t>-500.572845180655 -117.783568739711 825.056581339144</t>
  </si>
  <si>
    <t>9763-20170724T115515.659546900.bin</t>
  </si>
  <si>
    <t>-597.382336966601 44.2865966069705 -92.7394404553264</t>
  </si>
  <si>
    <t>-616.597710833333 40.8118926338248 -201.717441315464</t>
  </si>
  <si>
    <t>-627.814096650761 39.8758939235672 -293.908284269644</t>
  </si>
  <si>
    <t>-636.901734868904 39.7719284475252 -377.308075740879</t>
  </si>
  <si>
    <t>-644.377356684097 40.4464246876607 -460.865304765312</t>
  </si>
  <si>
    <t>-653.537051386217 42.2883807426326 -583.166623528719</t>
  </si>
  <si>
    <t>-642.646916300652 45.8010403826393 -660.686207117561</t>
  </si>
  <si>
    <t>-651.52300064687 72.7711273733705 -528.88050237056</t>
  </si>
  <si>
    <t>-632.162220640867 225.275732400739 -502.339443936518</t>
  </si>
  <si>
    <t>-575.083133064291 231.890580481893 -226.156957168103</t>
  </si>
  <si>
    <t>-361.900968804048 140.541238551977 -238.69443835327</t>
  </si>
  <si>
    <t>-647.512687889284 10.1892883116388 -530.123310102822</t>
  </si>
  <si>
    <t>-602.843856030888 136.956539582721 -96.3745535912074</t>
  </si>
  <si>
    <t>-628.553889877393 144.669215538805 318.332646926347</t>
  </si>
  <si>
    <t>-669.348704649782 179.889519681373 778.266069847901</t>
  </si>
  <si>
    <t>-519.152062061353 181.015632781798 835.916080404778</t>
  </si>
  <si>
    <t>-599.914652228868 -65.0423649595646 322.665687820508</t>
  </si>
  <si>
    <t>-654.45121822218 -101.214413843322 781.220897786346</t>
  </si>
  <si>
    <t>-500.556715548625 -117.850837582726 825.079041613455</t>
  </si>
  <si>
    <t>9763-20170724T115515.725788800.bin</t>
  </si>
  <si>
    <t>-596.634910501286 44.4506746030886 -92.7129319264636</t>
  </si>
  <si>
    <t>-615.738792225775 41.0041236707016 -201.711460517343</t>
  </si>
  <si>
    <t>-626.908453041871 40.0871206307766 -293.908065319812</t>
  </si>
  <si>
    <t>-635.973127563277 39.9993406259541 -377.310398315301</t>
  </si>
  <si>
    <t>-643.444892016872 40.6889896662055 -460.867887676455</t>
  </si>
  <si>
    <t>-652.6202285413 42.5512724888372 -583.167812104311</t>
  </si>
  <si>
    <t>-641.677992384468 46.0717510751942 -660.679632618682</t>
  </si>
  <si>
    <t>-650.565134682303 73.0270864404613 -528.879290417691</t>
  </si>
  <si>
    <t>-631.096152962668 225.508830866755 -502.289894292856</t>
  </si>
  <si>
    <t>-572.161452204411 231.425276954858 -226.481543589298</t>
  </si>
  <si>
    <t>-358.897382763724 140.367451542619 -239.7269020853</t>
  </si>
  <si>
    <t>-646.623232653304 10.4410347998139 -530.127913190063</t>
  </si>
  <si>
    <t>-601.980187482173 137.145688962323 -96.3509472697045</t>
  </si>
  <si>
    <t>-628.101124539783 144.761144473861 318.332420444815</t>
  </si>
  <si>
    <t>-669.344609005715 179.861727399996 778.233952292104</t>
  </si>
  <si>
    <t>-519.176014312573 180.957667101875 835.957565941441</t>
  </si>
  <si>
    <t>-599.761618582256 -65.0982936603541 322.685408933486</t>
  </si>
  <si>
    <t>-654.394417671786 -101.231001783937 781.225824129307</t>
  </si>
  <si>
    <t>-500.534157805888 -118.034278982374 825.140435469607</t>
  </si>
  <si>
    <t>9763-20170724T115515.763480100.bin</t>
  </si>
  <si>
    <t>-596.283172480132 44.4662606083739 -92.6969515314063</t>
  </si>
  <si>
    <t>-615.340012839453 41.0405436172719 -201.704291339752</t>
  </si>
  <si>
    <t>-626.504936177031 40.1431236118465 -293.901784108833</t>
  </si>
  <si>
    <t>-635.579472007536 40.0745869724076 -377.303142668306</t>
  </si>
  <si>
    <t>-643.075349280091 40.7845552593531 -460.858086244582</t>
  </si>
  <si>
    <t>-652.301550944228 42.6780409081898 -583.153696156938</t>
  </si>
  <si>
    <t>-641.356140727663 46.2213178031229 -660.664107058107</t>
  </si>
  <si>
    <t>-650.203727875357 73.1414311478914 -528.85988864315</t>
  </si>
  <si>
    <t>-630.684112828528 225.616203114124 -502.26109525479</t>
  </si>
  <si>
    <t>-570.769404300024 231.252414967617 -226.658043082608</t>
  </si>
  <si>
    <t>-357.448567993113 140.397157507492 -240.371930702444</t>
  </si>
  <si>
    <t>-646.302579901539 10.553142247883 -530.123160664403</t>
  </si>
  <si>
    <t>-601.533587218047 137.172296092713 -96.3337244906453</t>
  </si>
  <si>
    <t>-627.856676415239 144.729323949441 318.337912286599</t>
  </si>
  <si>
    <t>-669.36301825135 179.766958629971 778.223492052912</t>
  </si>
  <si>
    <t>-519.206656015838 181.045631171394 835.975049323224</t>
  </si>
  <si>
    <t>-599.649778969226 -65.1970405143295 322.691609021788</t>
  </si>
  <si>
    <t>-654.362855053596 -101.229219457635 781.233619876279</t>
  </si>
  <si>
    <t>-500.522891347768 -118.126657936942 825.183242926536</t>
  </si>
  <si>
    <t>9763-20170724T115515.830653600.bin</t>
  </si>
  <si>
    <t>-595.553670764997 44.5638495799546 -92.6581746686117</t>
  </si>
  <si>
    <t>-614.597825034273 41.1647167047993 -201.668622726394</t>
  </si>
  <si>
    <t>-625.796064122498 40.291141688296 -293.862234578075</t>
  </si>
  <si>
    <t>-634.91855143691 40.245977114374 -377.25833399815</t>
  </si>
  <si>
    <t>-642.480320620384 40.9804335180911 -460.80729661617</t>
  </si>
  <si>
    <t>-651.822574821084 42.9110372601556 -583.093404079605</t>
  </si>
  <si>
    <t>-640.895393904652 46.5020881613279 -660.604099910392</t>
  </si>
  <si>
    <t>-649.637591959952 73.3600781923731 -528.794960977137</t>
  </si>
  <si>
    <t>-630.096376676607 225.834992008464 -502.202912694215</t>
  </si>
  <si>
    <t>-567.890977068287 230.923878602047 -227.097107931425</t>
  </si>
  <si>
    <t>-354.458160522241 140.463081876897 -241.65060489025</t>
  </si>
  <si>
    <t>-645.808946708285 10.7677448930265 -530.075638550997</t>
  </si>
  <si>
    <t>-600.675834786247 137.367675174959 -96.2983341348817</t>
  </si>
  <si>
    <t>-627.328173510815 144.723643436522 318.35593265429</t>
  </si>
  <si>
    <t>-669.344706971741 179.78917135466 778.186297053242</t>
  </si>
  <si>
    <t>-519.216809389594 181.021668330297 836.012824803394</t>
  </si>
  <si>
    <t>-599.240385744125 -65.1852697987658 322.717214060323</t>
  </si>
  <si>
    <t>-654.313762678042 -101.210850524679 781.23725964593</t>
  </si>
  <si>
    <t>-500.485453435255 -118.136540971113 825.216738015106</t>
  </si>
  <si>
    <t>9763-20170724T115515.862553200.bin</t>
  </si>
  <si>
    <t>-595.215015777305 44.6099026691352 -92.6424197980767</t>
  </si>
  <si>
    <t>-614.275391953087 41.226462994711 -201.65048486703</t>
  </si>
  <si>
    <t>-625.494825794355 40.3729753807083 -293.841769419618</t>
  </si>
  <si>
    <t>-634.639533378212 40.3492196589375 -377.235537966015</t>
  </si>
  <si>
    <t>-642.226457348698 41.1082565237766 -460.781778053537</t>
  </si>
  <si>
    <t>-651.608889383164 43.0775788266428 -583.064372280394</t>
  </si>
  <si>
    <t>-640.696178380217 46.6988563317038 -660.575666938087</t>
  </si>
  <si>
    <t>-649.387913528948 73.5105322705801 -528.75836363125</t>
  </si>
  <si>
    <t>-629.767244548213 225.964461973795 -502.113842229702</t>
  </si>
  <si>
    <t>-566.363437714267 230.734125703951 -227.27621895108</t>
  </si>
  <si>
    <t>-352.889021697699 140.446168566783 -242.285748645804</t>
  </si>
  <si>
    <t>-645.596030206484 10.9163068925172 -530.057503810153</t>
  </si>
  <si>
    <t>-600.309343246569 137.41177780633 -96.2745851028644</t>
  </si>
  <si>
    <t>-627.081043795807 144.688899818194 318.373375907403</t>
  </si>
  <si>
    <t>-669.358320593856 179.705640272114 778.177151260508</t>
  </si>
  <si>
    <t>-519.244406608566 181.102195213376 836.036364511021</t>
  </si>
  <si>
    <t>-598.99007201633 -65.1411666705528 322.74031864619</t>
  </si>
  <si>
    <t>-654.296317150294 -101.173809432752 781.231011281317</t>
  </si>
  <si>
    <t>-500.452971683053 -117.972138081054 825.206759611164</t>
  </si>
  <si>
    <t>9763-20170724T115515.927728100.bin</t>
  </si>
  <si>
    <t>-594.622864236236 44.7924904432373 -92.5954204359556</t>
  </si>
  <si>
    <t>-613.685092628182 41.4201659550549 -201.603508858356</t>
  </si>
  <si>
    <t>-624.939138222566 40.5995716953046 -293.790721555083</t>
  </si>
  <si>
    <t>-634.128323274176 40.6148317819227 -377.179612069917</t>
  </si>
  <si>
    <t>-641.773016492127 41.4217981250565 -460.720238555864</t>
  </si>
  <si>
    <t>-651.254287546048 43.4712762918568 -582.993882833201</t>
  </si>
  <si>
    <t>-640.406118905618 47.1610563271306 -660.511070120086</t>
  </si>
  <si>
    <t>-648.972933992888 73.8696805069301 -528.671057696064</t>
  </si>
  <si>
    <t>-629.289260194684 226.288221380738 -501.879545992632</t>
  </si>
  <si>
    <t>-563.292647830432 230.304936450247 -227.640863602253</t>
  </si>
  <si>
    <t>-349.70803184206 140.471128489251 -243.76654952541</t>
  </si>
  <si>
    <t>-645.215048216186 11.2742423470143 -530.011621534272</t>
  </si>
  <si>
    <t>-599.705223386893 137.58975589321 -96.214634755074</t>
  </si>
  <si>
    <t>-626.763123256326 144.703600075624 318.417561628241</t>
  </si>
  <si>
    <t>-669.364868164992 179.701541982456 778.186857501103</t>
  </si>
  <si>
    <t>-519.266975488663 180.995979326817 836.089977816603</t>
  </si>
  <si>
    <t>-598.592576091473 -65.067055650431 322.780517820485</t>
  </si>
  <si>
    <t>-654.278131294265 -101.151894829363 781.217172179735</t>
  </si>
  <si>
    <t>-500.43931682094 -118.035944109506 825.175889749253</t>
  </si>
  <si>
    <t>9763-20170724T115515.961829300.bin</t>
  </si>
  <si>
    <t>-594.4006336566 44.9145001252732 -92.5733586072547</t>
  </si>
  <si>
    <t>-613.445901323259 41.5402575265809 -201.584253205553</t>
  </si>
  <si>
    <t>-624.718246951848 40.736336370197 -293.76952294474</t>
  </si>
  <si>
    <t>-633.93703735921 40.7738214651213 -377.154989188743</t>
  </si>
  <si>
    <t>-641.62444253119 41.6100861342202 -460.691539558646</t>
  </si>
  <si>
    <t>-651.182533930072 43.710232151831 -582.958238304617</t>
  </si>
  <si>
    <t>-640.387789667268 47.4532931892611 -660.480479851454</t>
  </si>
  <si>
    <t>-648.865873071341 74.0862500496285 -528.624371001587</t>
  </si>
  <si>
    <t>-629.170382473394 226.492906878298 -501.766637721366</t>
  </si>
  <si>
    <t>-561.807001015614 230.137271832288 -227.855215639465</t>
  </si>
  <si>
    <t>-348.180381820792 140.500678268946 -244.512684861656</t>
  </si>
  <si>
    <t>-645.111159159893 11.4912805848182 -529.993059296558</t>
  </si>
  <si>
    <t>-599.491289483464 137.685103629297 -96.1910823278369</t>
  </si>
  <si>
    <t>-626.671224038895 144.738824494602 318.43420024258</t>
  </si>
  <si>
    <t>-669.36200148594 179.728922262948 778.196588862552</t>
  </si>
  <si>
    <t>-519.269285927559 180.976233127076 836.11412537918</t>
  </si>
  <si>
    <t>-598.469342418594 -65.0073044197175 322.797906400929</t>
  </si>
  <si>
    <t>-654.265447026193 -101.13387813757 781.213028423124</t>
  </si>
  <si>
    <t>-500.441735526521 -118.159855435312 825.1698279903</t>
  </si>
  <si>
    <t>9763-20170724T115516.027010300.bin</t>
  </si>
  <si>
    <t>-594.090954265837 45.2159558937244 -92.5228118706576</t>
  </si>
  <si>
    <t>-613.128157291621 41.8478105755171 -201.535297836563</t>
  </si>
  <si>
    <t>-624.42872682128 41.0980360425315 -293.717604309911</t>
  </si>
  <si>
    <t>-633.687078509153 41.2038854105608 -377.098714223383</t>
  </si>
  <si>
    <t>-641.428187595952 42.1280241134423 -460.629302005288</t>
  </si>
  <si>
    <t>-651.080201099609 44.377969688152 -582.88599041924</t>
  </si>
  <si>
    <t>-640.394009244835 48.2565595708072 -660.416422296259</t>
  </si>
  <si>
    <t>-648.720869584264 74.6873570967532 -528.516799363723</t>
  </si>
  <si>
    <t>-629.015792376692 227.051873232175 -501.44895380973</t>
  </si>
  <si>
    <t>-558.874574150273 229.895513398493 -228.226198926189</t>
  </si>
  <si>
    <t>-345.170931471925 140.688051345016 -246.151391726167</t>
  </si>
  <si>
    <t>-644.969085187965 12.0940621931406 -529.964843927215</t>
  </si>
  <si>
    <t>-599.154358598049 137.99087269121 -96.1441589273264</t>
  </si>
  <si>
    <t>-626.510195724205 144.919538640706 318.471629263701</t>
  </si>
  <si>
    <t>-669.369458771761 179.762585981923 778.226206379233</t>
  </si>
  <si>
    <t>-519.282358980833 180.891676128146 836.160711805469</t>
  </si>
  <si>
    <t>-598.244156329412 -64.8619250571921 322.828641310024</t>
  </si>
  <si>
    <t>-654.247444970144 -101.137199543939 781.211663383036</t>
  </si>
  <si>
    <t>-500.429155449257 -118.265316879766 825.147755815549</t>
  </si>
  <si>
    <t>9763-20170724T115516.058606500.bin</t>
  </si>
  <si>
    <t>-594.023942126477 45.3754490969795 -92.5091314927548</t>
  </si>
  <si>
    <t>-613.059278937693 42.0136093591202 -201.522203145419</t>
  </si>
  <si>
    <t>-624.351036410264 41.3038460156181 -293.705916476407</t>
  </si>
  <si>
    <t>-633.598634361392 41.4600995010562 -377.088021721951</t>
  </si>
  <si>
    <t>-641.326313960872 42.4490209668018 -460.619194079616</t>
  </si>
  <si>
    <t>-650.955889569488 44.8098986917619 -582.875464830554</t>
  </si>
  <si>
    <t>-640.312558147577 48.7755746636387 -660.407502470613</t>
  </si>
  <si>
    <t>-648.621164762667 75.069101406317 -528.477308981655</t>
  </si>
  <si>
    <t>-628.968844235078 227.419008849118 -501.273597160274</t>
  </si>
  <si>
    <t>-557.310678990713 229.719700037379 -228.439420790881</t>
  </si>
  <si>
    <t>-343.561840029264 140.734391615163 -246.921186973903</t>
  </si>
  <si>
    <t>-644.839811619836 12.4789344794835 -529.983766074763</t>
  </si>
  <si>
    <t>-599.086530412326 138.153604201441 -96.1293032161515</t>
  </si>
  <si>
    <t>-626.470192398022 144.982104163421 318.486298172871</t>
  </si>
  <si>
    <t>-669.383266241747 179.738073296062 778.239100645969</t>
  </si>
  <si>
    <t>-519.299706146616 180.942462593793 836.18133194321</t>
  </si>
  <si>
    <t>-598.204184656643 -64.7352742476096 322.836615253388</t>
  </si>
  <si>
    <t>-654.238952054367 -101.100179063518 781.209431964419</t>
  </si>
  <si>
    <t>-500.420987003892 -118.260690366811 825.134028245638</t>
  </si>
  <si>
    <t>9763-20170724T115516.129070700.bin</t>
  </si>
  <si>
    <t>-593.981184095361 45.7116736526673 -92.4931144132232</t>
  </si>
  <si>
    <t>-612.956216654241 42.3351323626657 -201.516181576798</t>
  </si>
  <si>
    <t>-624.183649389493 41.6844211324533 -293.708104868675</t>
  </si>
  <si>
    <t>-633.367738938048 41.922552647801 -377.09711606393</t>
  </si>
  <si>
    <t>-641.02639391839 43.0219715900639 -460.63327561873</t>
  </si>
  <si>
    <t>-650.548960574313 45.5757524868318 -582.894084922353</t>
  </si>
  <si>
    <t>-639.947171397883 49.7261209995536 -660.422093218431</t>
  </si>
  <si>
    <t>-648.255382552729 75.7494767365231 -528.446708831557</t>
  </si>
  <si>
    <t>-628.544708620643 228.037224057469 -500.908986543897</t>
  </si>
  <si>
    <t>-554.446017837432 229.394315174906 -228.721323127039</t>
  </si>
  <si>
    <t>-340.67228839047 140.747002567958 -248.494501531521</t>
  </si>
  <si>
    <t>-644.485688369227 13.1608713026096 -530.047609230556</t>
  </si>
  <si>
    <t>-599.010650954752 138.432516737872 -96.1107840171046</t>
  </si>
  <si>
    <t>-626.524336692974 145.120118334615 318.498566258789</t>
  </si>
  <si>
    <t>-669.420028575409 179.706816999584 778.273480437301</t>
  </si>
  <si>
    <t>-519.338105261138 180.915657353667 836.219969062552</t>
  </si>
  <si>
    <t>-598.184039832425 -64.4938517157846 322.856836451296</t>
  </si>
  <si>
    <t>-654.203923251501 -101.049569343964 781.207919380376</t>
  </si>
  <si>
    <t>-500.372045498827 -118.089189303794 825.130933919366</t>
  </si>
  <si>
    <t>9763-20170724T115516.161163500.bin</t>
  </si>
  <si>
    <t>-593.943784551045 45.8592845030503 -92.4864786328285</t>
  </si>
  <si>
    <t>-612.881502654234 42.486654321074 -201.516260015123</t>
  </si>
  <si>
    <t>-624.084432524923 41.858403716717 -293.711298347434</t>
  </si>
  <si>
    <t>-633.249189410186 42.1245045123937 -377.10240095261</t>
  </si>
  <si>
    <t>-640.891186776337 43.2598521599516 -460.639530940016</t>
  </si>
  <si>
    <t>-650.392521436408 45.8742103652028 -582.900728250487</t>
  </si>
  <si>
    <t>-639.810542663514 50.0975766633035 -660.427504916884</t>
  </si>
  <si>
    <t>-648.102735097034 76.0213024083407 -528.43839650359</t>
  </si>
  <si>
    <t>-628.374438361032 228.288189649959 -500.797904224002</t>
  </si>
  <si>
    <t>-553.138658800532 229.321918127097 -228.920896915887</t>
  </si>
  <si>
    <t>-339.373394238117 140.833622146702 -249.482186704367</t>
  </si>
  <si>
    <t>-644.34405659118 13.4328834800313 -530.06885092447</t>
  </si>
  <si>
    <t>-598.945405555508 138.577224529371 -96.1051725509635</t>
  </si>
  <si>
    <t>-626.587872521806 145.222067815548 318.496281557289</t>
  </si>
  <si>
    <t>-669.430112227951 179.743918083072 778.280754296332</t>
  </si>
  <si>
    <t>-519.347992357423 180.906869763488 836.227615573867</t>
  </si>
  <si>
    <t>-598.200393805804 -64.4247016903478 322.857308150095</t>
  </si>
  <si>
    <t>-654.181723786097 -101.024211304309 781.213664591857</t>
  </si>
  <si>
    <t>-500.324383681072 -117.834000049528 825.135982331425</t>
  </si>
  <si>
    <t>9763-20170724T115516.226335200.bin</t>
  </si>
  <si>
    <t>-593.873886685335 46.0906473352304 -92.4872382448596</t>
  </si>
  <si>
    <t>-612.761498817549 42.7235557213153 -201.525869988646</t>
  </si>
  <si>
    <t>-623.941877713666 42.1355330397726 -293.72402235294</t>
  </si>
  <si>
    <t>-633.094063830657 42.452386499343 -377.116314471721</t>
  </si>
  <si>
    <t>-640.731478904379 43.6523662769928 -460.652860946585</t>
  </si>
  <si>
    <t>-650.234769027668 46.3769039130091 -582.911548042533</t>
  </si>
  <si>
    <t>-639.672362631429 50.7126277653272 -660.434763363964</t>
  </si>
  <si>
    <t>-647.947110826773 76.4747660307535 -528.421793354149</t>
  </si>
  <si>
    <t>-628.308676211346 228.709755221684 -500.578471440915</t>
  </si>
  <si>
    <t>-550.825675324606 229.253387190147 -229.331889325717</t>
  </si>
  <si>
    <t>-337.0643255113 141.029777267013 -251.039454106371</t>
  </si>
  <si>
    <t>-644.182475000715 13.8880879978497 -530.109190495398</t>
  </si>
  <si>
    <t>-598.901548649307 138.845316174497 -96.1092788405406</t>
  </si>
  <si>
    <t>-626.619646253895 145.366052467547 318.489172852712</t>
  </si>
  <si>
    <t>-669.441906555933 179.799648892378 778.289244401944</t>
  </si>
  <si>
    <t>-519.367243895008 180.885293838085 836.256823107814</t>
  </si>
  <si>
    <t>-598.116187633711 -64.3270150028695 322.847093783981</t>
  </si>
  <si>
    <t>-654.126078743057 -101.027304711838 781.215995710421</t>
  </si>
  <si>
    <t>-500.312579059946 -118.13080809641 825.178458122644</t>
  </si>
  <si>
    <t>9763-20170724T115516.259938600.bin</t>
  </si>
  <si>
    <t>-593.800157126353 46.1918908244538 -92.4803734521753</t>
  </si>
  <si>
    <t>-612.683217442197 42.8243233916357 -201.519702447131</t>
  </si>
  <si>
    <t>-623.86682144577 42.2626006855985 -293.717651071626</t>
  </si>
  <si>
    <t>-633.024724080147 42.6138967021639 -377.109118085991</t>
  </si>
  <si>
    <t>-640.670656418349 43.858970661058 -460.64426853408</t>
  </si>
  <si>
    <t>-650.189477433348 46.661028475572 -582.900151221299</t>
  </si>
  <si>
    <t>-639.620866822184 51.0373105986509 -660.420174928482</t>
  </si>
  <si>
    <t>-647.892377448477 76.7244052231515 -528.391801776782</t>
  </si>
  <si>
    <t>-628.254082841095 228.938851135141 -500.433489718658</t>
  </si>
  <si>
    <t>-549.839272145453 229.297587510819 -229.454550890404</t>
  </si>
  <si>
    <t>-336.031307096279 141.329157399066 -251.731029906655</t>
  </si>
  <si>
    <t>-644.133038939214 14.1385495965076 -530.11886495122</t>
  </si>
  <si>
    <t>-598.834201799692 138.988519812046 -96.1071251570173</t>
  </si>
  <si>
    <t>-626.558293629382 145.426115620241 318.492160548568</t>
  </si>
  <si>
    <t>-669.445982394683 179.796738286324 778.288144428703</t>
  </si>
  <si>
    <t>-519.382535865867 180.921057754019 836.28401904072</t>
  </si>
  <si>
    <t>-598.029658263234 -64.2659752099528 322.853759693472</t>
  </si>
  <si>
    <t>-654.092008964732 -101.00589955242 781.216100125545</t>
  </si>
  <si>
    <t>-500.267062942452 -117.958437038331 825.19698522418</t>
  </si>
  <si>
    <t>9763-20170724T115516.328208800.bin</t>
  </si>
  <si>
    <t>-593.681410605878 46.4863031086827 -92.4580490936517</t>
  </si>
  <si>
    <t>-612.572265699097 43.1298540678558 -201.496460785548</t>
  </si>
  <si>
    <t>-623.788590438335 42.6191728144413 -293.690724484961</t>
  </si>
  <si>
    <t>-632.986619528032 43.0332832811757 -377.077435574451</t>
  </si>
  <si>
    <t>-640.683269937978 44.3578320537013 -460.606767086129</t>
  </si>
  <si>
    <t>-650.28775947494 47.2946499460722 -582.852560695108</t>
  </si>
  <si>
    <t>-639.680012099148 51.7391617232129 -660.363521639402</t>
  </si>
  <si>
    <t>-647.941487808204 77.2987388941337 -528.313570251844</t>
  </si>
  <si>
    <t>-628.218935311523 229.450385926982 -500.1055870324</t>
  </si>
  <si>
    <t>-548.220491720918 229.268484832196 -229.589822381991</t>
  </si>
  <si>
    <t>-334.320778905531 141.782625404095 -252.863502243768</t>
  </si>
  <si>
    <t>-644.205255700039 14.7134474863719 -530.110704877385</t>
  </si>
  <si>
    <t>-598.72466530611 139.363477778732 -96.0878503583974</t>
  </si>
  <si>
    <t>-626.501285835342 145.632527881796 318.510482166973</t>
  </si>
  <si>
    <t>-669.443440703463 179.821156201321 778.305152879638</t>
  </si>
  <si>
    <t>-519.40559603983 180.75551466668 836.370559469557</t>
  </si>
  <si>
    <t>-597.836683116012 -64.0927220713074 322.88176296221</t>
  </si>
  <si>
    <t>-654.029681797961 -101.029447125017 781.217918180538</t>
  </si>
  <si>
    <t>-500.259727512104 -118.328091881616 825.256313086819</t>
  </si>
  <si>
    <t>9763-20170724T115516.358290200.bin</t>
  </si>
  <si>
    <t>-593.683315596118 46.6111990802415 -92.4420323444559</t>
  </si>
  <si>
    <t>-612.578357138396 43.2626203629934 -201.480062249348</t>
  </si>
  <si>
    <t>-623.806891403747 42.7796601374328 -293.672865512865</t>
  </si>
  <si>
    <t>-633.019553620781 43.2273111853212 -377.057807004481</t>
  </si>
  <si>
    <t>-640.734351198758 44.5942275382747 -460.58472852856</t>
  </si>
  <si>
    <t>-650.36943396835 47.6023576545867 -582.826428957643</t>
  </si>
  <si>
    <t>-639.734550034115 52.0915459573539 -660.331120454232</t>
  </si>
  <si>
    <t>-648.006968812603 77.5747382529353 -528.270858008968</t>
  </si>
  <si>
    <t>-628.282229906727 229.708940320519 -499.92690423159</t>
  </si>
  <si>
    <t>-547.567898107008 229.339238270795 -229.624127359959</t>
  </si>
  <si>
    <t>-333.60998509273 142.102687302149 -253.295318403696</t>
  </si>
  <si>
    <t>-644.276287212812 14.9901829812829 -530.104959729015</t>
  </si>
  <si>
    <t>-598.728914996522 139.472056325113 -96.0665882700366</t>
  </si>
  <si>
    <t>-626.501260080748 145.695437761582 318.532770824136</t>
  </si>
  <si>
    <t>-669.469912250581 179.7527342559 778.335826949247</t>
  </si>
  <si>
    <t>-519.436123753755 180.860589898576 836.408706942381</t>
  </si>
  <si>
    <t>-597.784652631118 -63.9711381165118 322.897625371549</t>
  </si>
  <si>
    <t>-654.005918855422 -100.985048417721 781.216859242205</t>
  </si>
  <si>
    <t>-500.185960623944 -117.832099835677 825.255700971575</t>
  </si>
  <si>
    <t>9763-20170724T115516.426006800.bin</t>
  </si>
  <si>
    <t>-593.795313667346 46.9279060343085 -92.4033924168017</t>
  </si>
  <si>
    <t>-612.711245158716 43.5866284923177 -201.437999355669</t>
  </si>
  <si>
    <t>-623.956852074755 43.150412775452 -293.628903571834</t>
  </si>
  <si>
    <t>-633.184527922646 43.6564304036426 -377.011812959114</t>
  </si>
  <si>
    <t>-640.913869529153 45.0975084423546 -460.536249113172</t>
  </si>
  <si>
    <t>-650.569510001898 48.231443907111 -582.773215883945</t>
  </si>
  <si>
    <t>-639.877385652449 52.8439651305923 -660.26275843982</t>
  </si>
  <si>
    <t>-648.182322186932 78.1486482026853 -528.188327077499</t>
  </si>
  <si>
    <t>-628.35646004345 230.228776202501 -499.654884490985</t>
  </si>
  <si>
    <t>-546.336334500353 229.510042378234 -229.745983636832</t>
  </si>
  <si>
    <t>-332.279798664545 142.642167940712 -253.876926236324</t>
  </si>
  <si>
    <t>-644.483046910708 15.5640517533907 -530.085108942513</t>
  </si>
  <si>
    <t>-598.870726438852 139.757657563937 -96.0218708896595</t>
  </si>
  <si>
    <t>-626.533923380852 145.852115443018 318.586596099054</t>
  </si>
  <si>
    <t>-669.50968814946 179.707098183343 778.403567997425</t>
  </si>
  <si>
    <t>-519.47545417555 181.03695997242 836.470573676325</t>
  </si>
  <si>
    <t>-597.687742807294 -63.649204675185 322.932869927909</t>
  </si>
  <si>
    <t>-653.964980412669 -100.953729235411 781.212442011447</t>
  </si>
  <si>
    <t>-500.180160297614 -118.059323101465 825.274420333554</t>
  </si>
  <si>
    <t>9763-20170724T115516.461133800.bin</t>
  </si>
  <si>
    <t>-593.892317908964 47.114519340048 -92.3825658819756</t>
  </si>
  <si>
    <t>-612.826540112314 43.7773497340779 -201.413945996328</t>
  </si>
  <si>
    <t>-624.085049696921 43.3603954908899 -293.603525583586</t>
  </si>
  <si>
    <t>-633.323202278399 43.8905548500131 -376.985314247981</t>
  </si>
  <si>
    <t>-641.061912324473 45.3618337605917 -460.50808323573</t>
  </si>
  <si>
    <t>-650.729969851271 48.5464964682992 -582.742922139923</t>
  </si>
  <si>
    <t>-640.018362289843 53.210141518869 -660.226573938688</t>
  </si>
  <si>
    <t>-648.325268431665 78.4417339323477 -528.146746195635</t>
  </si>
  <si>
    <t>-628.427570848748 230.504549462555 -499.56016519796</t>
  </si>
  <si>
    <t>-545.675439751943 229.68074803583 -229.875143324931</t>
  </si>
  <si>
    <t>-331.621318314423 142.869253964906 -254.229258913069</t>
  </si>
  <si>
    <t>-644.650127243031 15.8565290824017 -530.068083584488</t>
  </si>
  <si>
    <t>-598.951426348303 139.969964089918 -95.9990645866311</t>
  </si>
  <si>
    <t>-626.553454934372 145.988995672409 318.614604502559</t>
  </si>
  <si>
    <t>-669.513862259003 179.75193324475 778.438074773489</t>
  </si>
  <si>
    <t>-519.477065562299 180.911059508145 836.50210488236</t>
  </si>
  <si>
    <t>-597.678372919346 -63.4899038773806 322.946308814496</t>
  </si>
  <si>
    <t>-653.949790775711 -100.937640683457 781.210731949653</t>
  </si>
  <si>
    <t>-500.172581955984 -118.108313352428 825.273866222871</t>
  </si>
  <si>
    <t>9763-20170724T115516.527355700.bin</t>
  </si>
  <si>
    <t>-594.113152345909 47.3734310876164 -92.3733503921538</t>
  </si>
  <si>
    <t>-613.106333240201 44.0372028805198 -201.394507187739</t>
  </si>
  <si>
    <t>-624.428287481701 43.6580760665036 -293.576562073351</t>
  </si>
  <si>
    <t>-633.729348369095 44.2372365286453 -376.950873189232</t>
  </si>
  <si>
    <t>-641.536414802835 45.7726204464905 -460.466220797447</t>
  </si>
  <si>
    <t>-651.310376450369 49.0674966873726 -582.689664306153</t>
  </si>
  <si>
    <t>-640.578495034173 53.8024527925884 -660.166113072186</t>
  </si>
  <si>
    <t>-648.840468117205 78.9146339856145 -528.070156390078</t>
  </si>
  <si>
    <t>-628.795191207731 230.922711751241 -499.274189787844</t>
  </si>
  <si>
    <t>-544.280243476756 229.723251853145 -230.137772130403</t>
  </si>
  <si>
    <t>-330.275184488526 142.923690289858 -254.961228659196</t>
  </si>
  <si>
    <t>-645.202786463105 16.3289657684688 -530.048087407501</t>
  </si>
  <si>
    <t>-599.152741727412 140.243773552518 -95.9817312402097</t>
  </si>
  <si>
    <t>-626.637576744045 146.15927340956 318.641183285598</t>
  </si>
  <si>
    <t>-669.535706772518 179.779834906933 778.49489480949</t>
  </si>
  <si>
    <t>-519.491756906827 180.951103096054 836.540299564368</t>
  </si>
  <si>
    <t>-597.734463490634 -63.2914768530379 322.958208637009</t>
  </si>
  <si>
    <t>-653.921205325952 -100.906684548885 781.211917379837</t>
  </si>
  <si>
    <t>-500.157006937276 -118.220456766383 825.26450972349</t>
  </si>
  <si>
    <t>9763-20170724T115516.559899700.bin</t>
  </si>
  <si>
    <t>-594.245479941527 47.468428326335 -92.3682354635359</t>
  </si>
  <si>
    <t>-613.267812711847 44.1340943519931 -201.384510065657</t>
  </si>
  <si>
    <t>-624.623904444848 43.76416921448 -293.562297844658</t>
  </si>
  <si>
    <t>-633.959596196834 44.3550863952064 -376.932631350782</t>
  </si>
  <si>
    <t>-641.805153251009 45.9050151508466 -460.444178906261</t>
  </si>
  <si>
    <t>-651.639491257243 49.2243924221975 -582.662078861342</t>
  </si>
  <si>
    <t>-640.914192534986 53.9699406239947 -660.138800550493</t>
  </si>
  <si>
    <t>-649.129527678331 79.0612420212833 -528.038832183017</t>
  </si>
  <si>
    <t>-629.025662954669 231.056395763369 -499.212585816616</t>
  </si>
  <si>
    <t>-543.640494452019 229.696679998468 -230.351913194166</t>
  </si>
  <si>
    <t>-329.686410927316 142.86497168521 -255.500127065682</t>
  </si>
  <si>
    <t>-645.519006402217 16.4745038026908 -530.028983593608</t>
  </si>
  <si>
    <t>-599.260316013644 140.392423169678 -95.9741481423896</t>
  </si>
  <si>
    <t>-626.683350949246 146.249874593957 318.653705449614</t>
  </si>
  <si>
    <t>-669.535233668868 179.853075086435 778.517763281561</t>
  </si>
  <si>
    <t>-519.486042842696 180.835890260137 836.553127990547</t>
  </si>
  <si>
    <t>-597.811705145488 -63.2271080916346 322.956403920577</t>
  </si>
  <si>
    <t>-653.903424256003 -100.917142895664 781.212177554946</t>
  </si>
  <si>
    <t>-500.152113378266 -118.323083942587 825.273418959722</t>
  </si>
  <si>
    <t>9763-20170724T115516.627482300.bin</t>
  </si>
  <si>
    <t>-594.52635562019 47.6040746494352 -92.3593498646916</t>
  </si>
  <si>
    <t>-613.638560578933 44.2742619624826 -201.359948734521</t>
  </si>
  <si>
    <t>-625.088335321891 43.9123888736476 -293.526106884179</t>
  </si>
  <si>
    <t>-634.515684637225 44.5123659815631 -376.886250132366</t>
  </si>
  <si>
    <t>-642.459585139422 46.0729223897295 -460.38826734828</t>
  </si>
  <si>
    <t>-652.445056955817 49.4086846368489 -582.593344531635</t>
  </si>
  <si>
    <t>-641.758774938623 54.1545983926474 -660.075676130478</t>
  </si>
  <si>
    <t>-649.825189897929 79.2407769618344 -527.972722387188</t>
  </si>
  <si>
    <t>-629.506784588874 231.20170476978 -499.130655736628</t>
  </si>
  <si>
    <t>-542.445724900582 229.597234232814 -230.809215456806</t>
  </si>
  <si>
    <t>-328.649139291554 142.611355683361 -256.751747807765</t>
  </si>
  <si>
    <t>-646.301843543738 16.64923513963 -529.969118372695</t>
  </si>
  <si>
    <t>-599.529802438449 140.549729625149 -95.9671667331633</t>
  </si>
  <si>
    <t>-626.759537357987 146.32337777707 318.67454983619</t>
  </si>
  <si>
    <t>-669.578510679722 179.795260422519 778.55708922003</t>
  </si>
  <si>
    <t>-519.521474774673 180.795544774629 836.571763358304</t>
  </si>
  <si>
    <t>-597.878536665737 -63.083245138406 322.959625689256</t>
  </si>
  <si>
    <t>-653.853821512764 -100.922178554105 781.224587531712</t>
  </si>
  <si>
    <t>-500.154379385588 -118.675164933382 825.328189873426</t>
  </si>
  <si>
    <t>9763-20170724T115516.659578300.bin</t>
  </si>
  <si>
    <t>-594.662369592183 47.7019487089804 -92.357719608099</t>
  </si>
  <si>
    <t>-613.830369284697 44.3714919569798 -201.348533554469</t>
  </si>
  <si>
    <t>-625.336279451489 44.0108866926464 -293.507751716209</t>
  </si>
  <si>
    <t>-634.817776952194 44.6130490107876 -376.861657716717</t>
  </si>
  <si>
    <t>-642.819342941494 46.1762931797894 -460.358182318195</t>
  </si>
  <si>
    <t>-652.892876607735 49.5162636565992 -582.555886612774</t>
  </si>
  <si>
    <t>-642.23052706597 54.2556136765515 -660.041864600401</t>
  </si>
  <si>
    <t>-650.212025876225 79.3477226226491 -527.937746470768</t>
  </si>
  <si>
    <t>-629.750754939035 231.287468484258 -499.082194170845</t>
  </si>
  <si>
    <t>-541.818512210563 229.60670002292 -231.045546474645</t>
  </si>
  <si>
    <t>-328.099202463864 142.556874632109 -257.406930885474</t>
  </si>
  <si>
    <t>-646.733332591123 16.7537741873186 -529.935455764487</t>
  </si>
  <si>
    <t>-599.649112049748 140.665709743987 -95.9622858365951</t>
  </si>
  <si>
    <t>-626.804315198216 146.398456101522 318.684911418231</t>
  </si>
  <si>
    <t>-669.575314527816 179.866098984308 778.570604857464</t>
  </si>
  <si>
    <t>-519.516077852157 180.676918464017 836.58261102602</t>
  </si>
  <si>
    <t>-597.895020026919 -62.9808442432445 322.966743232823</t>
  </si>
  <si>
    <t>-653.825673371347 -100.860022139615 781.229425096617</t>
  </si>
  <si>
    <t>-500.092030391694 -118.291562372858 825.342155795731</t>
  </si>
  <si>
    <t>9763-20170724T115516.726399900.bin</t>
  </si>
  <si>
    <t>-594.986421644351 47.8960725415038 -92.3555339390728</t>
  </si>
  <si>
    <t>-614.253562910619 44.5661861905207 -201.328846724685</t>
  </si>
  <si>
    <t>-625.82457451447 44.2125903630367 -293.479974319937</t>
  </si>
  <si>
    <t>-635.357235391558 44.8241974258597 -376.827924590633</t>
  </si>
  <si>
    <t>-643.402319635821 46.3990341463557 -460.320034846073</t>
  </si>
  <si>
    <t>-653.530835260635 49.7587110018965 -582.512755757345</t>
  </si>
  <si>
    <t>-642.888246033553 54.4858217481135 -660.002020823518</t>
  </si>
  <si>
    <t>-650.797393301543 79.5829786025731 -527.893223197075</t>
  </si>
  <si>
    <t>-630.227433854046 231.500962882356 -499.012224922444</t>
  </si>
  <si>
    <t>-540.13907197757 229.87749827581 -231.692056833076</t>
  </si>
  <si>
    <t>-326.447304362613 142.939954058453 -258.640589817084</t>
  </si>
  <si>
    <t>-647.375654141307 16.9861043373071 -529.898034533516</t>
  </si>
  <si>
    <t>-599.970277758679 140.870600077473 -95.9629074807634</t>
  </si>
  <si>
    <t>-626.927572115794 146.500374411457 318.698704023192</t>
  </si>
  <si>
    <t>-669.597488607941 179.867440779368 778.600532942927</t>
  </si>
  <si>
    <t>-519.531361236599 180.6672108114 836.594922442826</t>
  </si>
  <si>
    <t>-597.976365294566 -62.7611365012276 322.980838725135</t>
  </si>
  <si>
    <t>-653.762133863537 -100.797429295933 781.239498583039</t>
  </si>
  <si>
    <t>-499.991061135102 -117.774993599566 825.39879888591</t>
  </si>
  <si>
    <t>9763-20170724T115516.762930700.bin</t>
  </si>
  <si>
    <t>-595.169871602905 47.994512006002 -92.3592853709993</t>
  </si>
  <si>
    <t>-614.495990056092 44.6578217581671 -201.321879658902</t>
  </si>
  <si>
    <t>-626.111044894231 44.3102821935597 -293.467461961752</t>
  </si>
  <si>
    <t>-635.681241965443 44.9317110449206 -376.811163686208</t>
  </si>
  <si>
    <t>-643.76141166039 46.5209795189728 -460.299467932187</t>
  </si>
  <si>
    <t>-653.938502947163 49.9064864888824 -582.487456624762</t>
  </si>
  <si>
    <t>-643.311351678826 54.64152612061 -659.978575072848</t>
  </si>
  <si>
    <t>-651.171200742791 79.7198869496779 -527.863832506991</t>
  </si>
  <si>
    <t>-630.551932373217 231.631982307809 -498.982825091639</t>
  </si>
  <si>
    <t>-539.276317458665 230.023839866938 -232.065561937548</t>
  </si>
  <si>
    <t>-325.540483859161 143.260423335434 -259.225027702898</t>
  </si>
  <si>
    <t>-647.774551194701 17.1220846466838 -529.881184422255</t>
  </si>
  <si>
    <t>-600.161901570892 140.955357412745 -95.9643898413979</t>
  </si>
  <si>
    <t>-627.004650034439 146.55593438309 318.704989312148</t>
  </si>
  <si>
    <t>-669.604523789715 179.885950415359 778.615393372737</t>
  </si>
  <si>
    <t>-519.534675358298 180.753397108926 836.599043306808</t>
  </si>
  <si>
    <t>-597.968888299023 -62.6453030463022 322.991617271844</t>
  </si>
  <si>
    <t>-653.72949139498 -100.823009432328 781.245939131588</t>
  </si>
  <si>
    <t>-500.02416904194 -118.254484505276 825.457303487813</t>
  </si>
  <si>
    <t>9763-20170724T115516.830111000.bin</t>
  </si>
  <si>
    <t>-595.682563553289 48.103329095723 -92.3569783119486</t>
  </si>
  <si>
    <t>-615.125974594326 44.7598246343937 -201.298568937466</t>
  </si>
  <si>
    <t>-626.84862332275 44.4154720509512 -293.430450589413</t>
  </si>
  <si>
    <t>-636.519348964706 45.043281012355 -376.762487030279</t>
  </si>
  <si>
    <t>-644.703351807153 46.6422701625343 -460.240680428219</t>
  </si>
  <si>
    <t>-655.035777255904 50.0455538930005 -582.41512264911</t>
  </si>
  <si>
    <t>-644.431975218984 54.7881583869348 -659.908786602299</t>
  </si>
  <si>
    <t>-652.192187178439 79.8513562627068 -527.791168565826</t>
  </si>
  <si>
    <t>-631.523151460942 231.7491007194 -498.86756459055</t>
  </si>
  <si>
    <t>-537.72538866314 229.932127175802 -232.827511037875</t>
  </si>
  <si>
    <t>-323.971917406357 143.357070510221 -260.445361304867</t>
  </si>
  <si>
    <t>-648.811840643999 17.2529725929069 -529.820765642642</t>
  </si>
  <si>
    <t>-600.729795843435 141.039505024126 -95.9643777958457</t>
  </si>
  <si>
    <t>-627.313324399547 146.535066916902 318.723126725028</t>
  </si>
  <si>
    <t>-669.650740158474 179.806131522623 778.656168641583</t>
  </si>
  <si>
    <t>-519.568701144933 180.626761021666 836.609010869389</t>
  </si>
  <si>
    <t>-598.125779111743 -62.4285907780479 322.999995138832</t>
  </si>
  <si>
    <t>-653.672177932686 -100.77613998277 781.25271948975</t>
  </si>
  <si>
    <t>-499.940664384126 -117.861587428192 825.507961803237</t>
  </si>
  <si>
    <t>9763-20170724T115516.862701300.bin</t>
  </si>
  <si>
    <t>-595.956697652421 48.1377048252866 -92.3724304441453</t>
  </si>
  <si>
    <t>-615.450993561177 44.7896642496048 -201.304923601377</t>
  </si>
  <si>
    <t>-627.216861308919 44.4560903760457 -293.431281865222</t>
  </si>
  <si>
    <t>-636.926503851895 45.0994949184778 -376.758551559741</t>
  </si>
  <si>
    <t>-645.149345524391 46.719510712667 -460.232602248188</t>
  </si>
  <si>
    <t>-655.538297100674 50.1594136866574 -582.401198197422</t>
  </si>
  <si>
    <t>-644.940756118025 54.914432078509 -659.894946424487</t>
  </si>
  <si>
    <t>-652.662863469966 79.9491905391594 -527.770145994399</t>
  </si>
  <si>
    <t>-631.973554408102 231.838311963785 -498.805253956422</t>
  </si>
  <si>
    <t>-536.981645874646 230.070191470241 -233.189080278695</t>
  </si>
  <si>
    <t>-323.274531674197 143.516321390771 -261.228819098794</t>
  </si>
  <si>
    <t>-649.296591551522 17.3507238501973 -529.819042590326</t>
  </si>
  <si>
    <t>-601.010480922453 141.097557981442 -95.9733979795977</t>
  </si>
  <si>
    <t>-627.479754494372 146.554970661454 318.721980709179</t>
  </si>
  <si>
    <t>-669.645451774256 179.871857968563 778.672263591983</t>
  </si>
  <si>
    <t>-519.55630074746 180.513456972738 836.608934310751</t>
  </si>
  <si>
    <t>-598.261248555576 -62.3996801788039 322.985879103264</t>
  </si>
  <si>
    <t>-653.639299006605 -100.779229612843 781.256082746627</t>
  </si>
  <si>
    <t>-499.944834485124 -118.076510644313 825.557812935777</t>
  </si>
  <si>
    <t>9763-20170724T115516.929881500.bin</t>
  </si>
  <si>
    <t>-596.446375803617 48.4077605019386 -92.3939850851161</t>
  </si>
  <si>
    <t>-615.990109963844 45.0429290491577 -201.316948884895</t>
  </si>
  <si>
    <t>-627.755657770312 44.7308989877863 -293.443599897929</t>
  </si>
  <si>
    <t>-637.44799754128 45.4075941142946 -376.772653434223</t>
  </si>
  <si>
    <t>-645.63636591274 47.0751745631951 -460.248947682178</t>
  </si>
  <si>
    <t>-655.956147613367 50.6001145802175 -582.421059090727</t>
  </si>
  <si>
    <t>-645.331015352408 55.3952174125245 -659.908563837359</t>
  </si>
  <si>
    <t>-653.124504574847 80.3511535334505 -527.766760261346</t>
  </si>
  <si>
    <t>-632.604692302917 232.251003903708 -498.737560546507</t>
  </si>
  <si>
    <t>-535.175921379295 230.611126719892 -234.004578200465</t>
  </si>
  <si>
    <t>-321.46597313128 144.345399020639 -262.897799128071</t>
  </si>
  <si>
    <t>-649.73136040523 17.7555948437619 -529.859308055452</t>
  </si>
  <si>
    <t>-601.551739892687 141.317707943559 -95.9927872185152</t>
  </si>
  <si>
    <t>-627.786012582119 146.738534380706 318.717937713025</t>
  </si>
  <si>
    <t>-669.649069077591 179.972969102689 778.718557381339</t>
  </si>
  <si>
    <t>-519.543506201284 180.606597996195 836.612824605969</t>
  </si>
  <si>
    <t>-598.483048972385 -62.0453947230212 322.972029267253</t>
  </si>
  <si>
    <t>-653.595494115987 -100.771430317139 781.25879840054</t>
  </si>
  <si>
    <t>-499.916229101329 -118.110204599895 825.597004996858</t>
  </si>
  <si>
    <t>9763-20170724T115516.961833200.bin</t>
  </si>
  <si>
    <t>-596.707070894304 48.5406798587399 -92.3911751363279</t>
  </si>
  <si>
    <t>-616.23722293872 45.1637442748172 -201.316272938894</t>
  </si>
  <si>
    <t>-627.985286907377 44.8504279817487 -293.445091835854</t>
  </si>
  <si>
    <t>-637.659318127585 45.5291595852611 -376.776301007076</t>
  </si>
  <si>
    <t>-645.826870873589 47.2021186399763 -460.254553538618</t>
  </si>
  <si>
    <t>-656.113467794819 50.7384499819391 -582.429080042216</t>
  </si>
  <si>
    <t>-645.479343703973 55.559264575335 -659.913861231684</t>
  </si>
  <si>
    <t>-653.307607112157 80.4837567846507 -527.770197125397</t>
  </si>
  <si>
    <t>-632.958459628129 232.407466254504 -498.752233050868</t>
  </si>
  <si>
    <t>-534.275345717007 230.814965046866 -234.483929389653</t>
  </si>
  <si>
    <t>-320.508206662094 144.779472455752 -263.639394787692</t>
  </si>
  <si>
    <t>-649.892024244962 17.8896185765557 -529.869550537067</t>
  </si>
  <si>
    <t>-601.862569323962 141.41674713531 -95.9907583439765</t>
  </si>
  <si>
    <t>-627.972910007286 146.800022754737 318.728282185736</t>
  </si>
  <si>
    <t>-669.685050874171 179.901213577272 778.766788686529</t>
  </si>
  <si>
    <t>-519.571867389651 180.581423429721 836.640689586612</t>
  </si>
  <si>
    <t>-598.61226019713 -61.9412575472363 322.966121324725</t>
  </si>
  <si>
    <t>-653.573983109847 -100.775176154325 781.253021860805</t>
  </si>
  <si>
    <t>-499.893587446927 -118.085248807581 825.598590417501</t>
  </si>
  <si>
    <t>9763-20170724T115517.029012100.bin</t>
  </si>
  <si>
    <t>-597.117554820064 48.7824321184351 -92.3862156797377</t>
  </si>
  <si>
    <t>-616.69460539074 45.3995153464575 -201.302625482127</t>
  </si>
  <si>
    <t>-628.448614094618 45.0915425564128 -293.430756196207</t>
  </si>
  <si>
    <t>-638.114361127316 45.7782382982534 -376.762937984282</t>
  </si>
  <si>
    <t>-646.259860739463 47.4625798955717 -460.243094248041</t>
  </si>
  <si>
    <t>-656.498876823941 51.0193924076868 -582.421005146084</t>
  </si>
  <si>
    <t>-645.822558830842 55.8879162386634 -659.896940353802</t>
  </si>
  <si>
    <t>-653.724286225049 80.7550609511231 -527.755296131744</t>
  </si>
  <si>
    <t>-633.484514327411 232.702105666056 -498.781974882325</t>
  </si>
  <si>
    <t>-532.511172390404 231.132955891461 -235.380136737007</t>
  </si>
  <si>
    <t>-318.563860748656 145.648640013229 -264.833681930752</t>
  </si>
  <si>
    <t>-650.287902606161 18.1623022514998 -529.865551086253</t>
  </si>
  <si>
    <t>-602.361314051571 141.634100155725 -95.9678240014549</t>
  </si>
  <si>
    <t>-628.237606684042 146.999773086497 318.766071544317</t>
  </si>
  <si>
    <t>-669.70927882781 179.923457713749 778.834795877526</t>
  </si>
  <si>
    <t>-519.589002077766 180.53946013855 836.691194740524</t>
  </si>
  <si>
    <t>-598.765024459763 -61.7581222580548 322.948417014129</t>
  </si>
  <si>
    <t>-653.538159797397 -100.746691261828 781.229868659069</t>
  </si>
  <si>
    <t>-499.86546855788 -118.075210613695 825.594842832995</t>
  </si>
  <si>
    <t>9763-20170724T115517.060605500.bin</t>
  </si>
  <si>
    <t>-597.27217184077 48.856771702892 -92.3989389558577</t>
  </si>
  <si>
    <t>-616.889296187793 45.474721872188 -201.30816604011</t>
  </si>
  <si>
    <t>-628.677135433669 45.1726790094458 -293.431960502544</t>
  </si>
  <si>
    <t>-638.373323359409 45.8668248179938 -376.760572497454</t>
  </si>
  <si>
    <t>-646.549104520135 47.5605923663595 -460.23757931511</t>
  </si>
  <si>
    <t>-656.832234931003 51.133241172759 -582.411280819182</t>
  </si>
  <si>
    <t>-646.14784091827 56.0078355305061 -659.885813700598</t>
  </si>
  <si>
    <t>-654.038700945837 80.8617626279024 -527.742760366217</t>
  </si>
  <si>
    <t>-633.78649913203 232.806722799507 -498.778863966327</t>
  </si>
  <si>
    <t>-531.797689593799 231.292014528367 -235.768285354217</t>
  </si>
  <si>
    <t>-317.749261944145 146.10588440366 -265.350670163168</t>
  </si>
  <si>
    <t>-650.601427922858 18.2695593877038 -529.862467907935</t>
  </si>
  <si>
    <t>-602.551256873885 141.707477200821 -95.9783730501404</t>
  </si>
  <si>
    <t>-628.306178444246 147.054420591884 318.76334592947</t>
  </si>
  <si>
    <t>-669.722041866106 179.892114795264 778.846896395257</t>
  </si>
  <si>
    <t>-519.60208426324 180.584867621969 836.703166208673</t>
  </si>
  <si>
    <t>-598.787210710775 -61.6680775319853 322.936303214965</t>
  </si>
  <si>
    <t>-653.512509324184 -100.717766841601 781.220950662206</t>
  </si>
  <si>
    <t>-499.819626955598 -117.81237062151 825.606720948084</t>
  </si>
  <si>
    <t>9763-20170724T115517.128999800.bin</t>
  </si>
  <si>
    <t>-597.570481889783 49.0155638908998 -92.4070534701932</t>
  </si>
  <si>
    <t>-617.300287289323 45.6370277290002 -201.296056700391</t>
  </si>
  <si>
    <t>-629.19714071746 45.3498059534652 -293.40589617295</t>
  </si>
  <si>
    <t>-638.997626996635 46.0620422334339 -376.722019585196</t>
  </si>
  <si>
    <t>-647.283847997981 47.7788567089374 -460.187666031015</t>
  </si>
  <si>
    <t>-657.735132343774 51.3910851160726 -582.345950465639</t>
  </si>
  <si>
    <t>-647.053514564198 56.2685285637112 -659.820700253475</t>
  </si>
  <si>
    <t>-654.891598969181 81.1004163357784 -527.669545052336</t>
  </si>
  <si>
    <t>-634.771988625862 233.076394482311 -498.773981860049</t>
  </si>
  <si>
    <t>-530.270589786162 232.017650476673 -236.749365650616</t>
  </si>
  <si>
    <t>-316.108505162066 147.295415269278 -266.837115242291</t>
  </si>
  <si>
    <t>-651.406775419545 18.511760222955 -529.818491481232</t>
  </si>
  <si>
    <t>-602.912548507655 141.915497980579 -95.9840835270167</t>
  </si>
  <si>
    <t>-628.348858614948 147.17475899943 318.778394010929</t>
  </si>
  <si>
    <t>-669.745718963084 179.879035607953 778.877824680985</t>
  </si>
  <si>
    <t>-519.620642041595 180.496242196095 836.7216727572</t>
  </si>
  <si>
    <t>-598.74891128542 -61.5048431623413 322.927436773599</t>
  </si>
  <si>
    <t>-653.472224895504 -100.721165852061 781.201314100602</t>
  </si>
  <si>
    <t>-499.817585246642 -118.041443484646 825.631920582386</t>
  </si>
  <si>
    <t>9763-20170724T115517.160082700.bin</t>
  </si>
  <si>
    <t>-597.734303331556 49.1091726659918 -92.4051416042422</t>
  </si>
  <si>
    <t>-617.524452062944 45.7245041902065 -201.283028451586</t>
  </si>
  <si>
    <t>-629.483903221287 45.4525929243853 -293.384823128555</t>
  </si>
  <si>
    <t>-639.345730219658 46.186494151784 -376.693589518765</t>
  </si>
  <si>
    <t>-647.697993658723 47.933359056447 -460.152041542112</t>
  </si>
  <si>
    <t>-658.251187676306 51.5982999473783 -582.299987871791</t>
  </si>
  <si>
    <t>-647.56516854254 56.4989672553547 -659.772648232839</t>
  </si>
  <si>
    <t>-655.372197999398 81.2835593993198 -527.61213780987</t>
  </si>
  <si>
    <t>-635.237295329311 233.252504052386 -498.704841331549</t>
  </si>
  <si>
    <t>-529.329556555748 232.369571152395 -237.244864029635</t>
  </si>
  <si>
    <t>-315.024781010827 148.081700259475 -267.53587364656</t>
  </si>
  <si>
    <t>-651.868855675035 18.6968696345359 -529.792813347899</t>
  </si>
  <si>
    <t>-603.115096740096 142.006831039444 -95.9807018052161</t>
  </si>
  <si>
    <t>-628.410854164136 147.232451434798 318.790881280705</t>
  </si>
  <si>
    <t>-669.758833604765 179.873846070865 778.89198700839</t>
  </si>
  <si>
    <t>-519.628129589393 180.505050410223 836.721014911996</t>
  </si>
  <si>
    <t>-598.753815396303 -61.3797059004014 322.928585237101</t>
  </si>
  <si>
    <t>-653.441681983453 -100.705565740811 781.191305705013</t>
  </si>
  <si>
    <t>-499.786299178215 -117.926111726042 825.658194431488</t>
  </si>
  <si>
    <t>9763-20170724T115517.226200500.bin</t>
  </si>
  <si>
    <t>-598.072578640396 49.3347374244286 -92.4104962606815</t>
  </si>
  <si>
    <t>-617.948787161821 45.9429096476742 -201.272311079141</t>
  </si>
  <si>
    <t>-630.028192526339 45.7057808089057 -293.358667439954</t>
  </si>
  <si>
    <t>-640.017005522964 46.4873694576925 -376.651820482823</t>
  </si>
  <si>
    <t>-648.515032858986 48.297663352419 -460.094265117771</t>
  </si>
  <si>
    <t>-659.301604506382 52.0729108205071 -582.218422307796</t>
  </si>
  <si>
    <t>-648.611491840262 57.0185909694451 -659.687559504522</t>
  </si>
  <si>
    <t>-656.308409404266 81.7091292867112 -527.510395609905</t>
  </si>
  <si>
    <t>-636.040747064086 233.641398396211 -498.487227397899</t>
  </si>
  <si>
    <t>-527.412701319276 232.902533145457 -238.145178779601</t>
  </si>
  <si>
    <t>-312.834284172379 149.470296277533 -268.864826422523</t>
  </si>
  <si>
    <t>-652.82874421194 19.1234778761786 -529.752337187531</t>
  </si>
  <si>
    <t>-603.501027935165 142.231219421278 -95.9847901630238</t>
  </si>
  <si>
    <t>-628.546080878915 147.423268920939 318.802372099883</t>
  </si>
  <si>
    <t>-669.762051288836 179.938396660721 778.919297282921</t>
  </si>
  <si>
    <t>-519.619715545269 180.457049239337 836.719372732481</t>
  </si>
  <si>
    <t>-598.760498129952 -61.1303732976883 322.91931091724</t>
  </si>
  <si>
    <t>-653.354424054013 -100.680305978288 781.167587067544</t>
  </si>
  <si>
    <t>-499.70199689637 -117.610384083938 825.755992144071</t>
  </si>
  <si>
    <t>9763-20170724T115517.259291900.bin</t>
  </si>
  <si>
    <t>-598.246852981465 49.3686583782699 -92.4193466925547</t>
  </si>
  <si>
    <t>-618.164245682168 45.9754857636515 -201.273763817083</t>
  </si>
  <si>
    <t>-630.285776328371 45.7481841749657 -293.354367418147</t>
  </si>
  <si>
    <t>-640.315750679059 46.5423429597022 -376.642601430133</t>
  </si>
  <si>
    <t>-648.857781719198 48.3693607233743 -460.080006936068</t>
  </si>
  <si>
    <t>-659.711851162444 52.173286932976 -582.197496269678</t>
  </si>
  <si>
    <t>-649.000084673297 57.1357649469855 -659.662668568887</t>
  </si>
  <si>
    <t>-656.681652008016 81.7970969090704 -527.484717151981</t>
  </si>
  <si>
    <t>-636.343016405099 233.725275371394 -498.475047545367</t>
  </si>
  <si>
    <t>-526.557803998762 233.168322786975 -238.618459345772</t>
  </si>
  <si>
    <t>-311.888859057171 149.995709723227 -269.409554091324</t>
  </si>
  <si>
    <t>-653.216725597706 19.2111815406049 -529.74214300807</t>
  </si>
  <si>
    <t>-603.711777674197 142.260079722256 -95.9908985196731</t>
  </si>
  <si>
    <t>-628.639223722421 147.422273877275 318.80375722486</t>
  </si>
  <si>
    <t>-669.785094715179 179.884574709651 778.933810141159</t>
  </si>
  <si>
    <t>-519.639947942004 180.50601559422 836.725403836123</t>
  </si>
  <si>
    <t>-598.804017572032 -61.0817905946583 322.907122014663</t>
  </si>
  <si>
    <t>-653.293454259674 -100.681890253988 781.163273137702</t>
  </si>
  <si>
    <t>-499.673728046715 -117.698885612132 825.831229569178</t>
  </si>
  <si>
    <t>9763-20170724T115517.328275400.bin</t>
  </si>
  <si>
    <t>-598.68979409919 49.4373282898607 -92.4634594857499</t>
  </si>
  <si>
    <t>-618.673139656186 46.0504034248754 -201.305950082701</t>
  </si>
  <si>
    <t>-630.906024360627 45.8461478845238 -293.371984635313</t>
  </si>
  <si>
    <t>-641.058987922253 46.6683406462271 -376.644876079485</t>
  </si>
  <si>
    <t>-649.746533358668 48.530683577754 -460.066696469345</t>
  </si>
  <si>
    <t>-660.838113069519 52.3937822886494 -582.160836680524</t>
  </si>
  <si>
    <t>-650.114793668096 57.3883815299394 -659.62230957075</t>
  </si>
  <si>
    <t>-657.70013193952 81.9913025877913 -527.439696914172</t>
  </si>
  <si>
    <t>-637.235890376324 233.900651959376 -498.444097667585</t>
  </si>
  <si>
    <t>-525.203724793871 233.733636557059 -239.547671918182</t>
  </si>
  <si>
    <t>-310.396824723065 150.847912192539 -270.14984709945</t>
  </si>
  <si>
    <t>-654.242248078377 19.4063063078545 -529.734164376597</t>
  </si>
  <si>
    <t>-604.163374613413 142.373460446538 -96.0201611582138</t>
  </si>
  <si>
    <t>-628.838781730114 147.510595179559 318.78981935043</t>
  </si>
  <si>
    <t>-669.773630422997 179.981265147038 778.944267597711</t>
  </si>
  <si>
    <t>-519.628624717985 180.342293275128 836.738458764656</t>
  </si>
  <si>
    <t>-598.997490076816 -61.0074741125216 322.864295360982</t>
  </si>
  <si>
    <t>-653.218670831449 -100.707243160137 781.145593933502</t>
  </si>
  <si>
    <t>-499.647572032585 -117.84965313485 825.932665103114</t>
  </si>
  <si>
    <t>9763-20170724T115517.365383800.bin</t>
  </si>
  <si>
    <t>-598.941742991421 49.4710279834965 -92.4822361248532</t>
  </si>
  <si>
    <t>-618.966852689799 46.0873937972144 -201.317116472845</t>
  </si>
  <si>
    <t>-631.264934832081 45.8947777843086 -293.374559229391</t>
  </si>
  <si>
    <t>-641.488704397687 46.7314196360321 -376.638609306761</t>
  </si>
  <si>
    <t>-650.259210280713 48.6115508109644 -460.051367320734</t>
  </si>
  <si>
    <t>-661.485247094435 52.5048482392881 -582.132260716809</t>
  </si>
  <si>
    <t>-650.748410465664 57.5077710361611 -659.591232418665</t>
  </si>
  <si>
    <t>-658.285210497908 82.0887663491599 -527.407581291781</t>
  </si>
  <si>
    <t>-637.746745879227 233.991107213868 -498.390212620075</t>
  </si>
  <si>
    <t>-524.688919759127 233.802297388046 -239.940233540979</t>
  </si>
  <si>
    <t>-309.827323974191 151.088047807083 -270.622059061312</t>
  </si>
  <si>
    <t>-654.833552745923 19.5040654140375 -529.720776488178</t>
  </si>
  <si>
    <t>-604.431168400057 142.419938320153 -96.0366190012988</t>
  </si>
  <si>
    <t>-628.954778399752 147.563913233006 318.782246642273</t>
  </si>
  <si>
    <t>-669.774894294552 180.010384817992 778.950656847058</t>
  </si>
  <si>
    <t>-519.627152360178 180.333178996668 836.7378680933</t>
  </si>
  <si>
    <t>-599.084767323073 -60.9520010756883 322.840088419354</t>
  </si>
  <si>
    <t>-653.160521841723 -100.692285032271 781.131627874352</t>
  </si>
  <si>
    <t>-499.610254818512 -117.76517249771 826.016543772338</t>
  </si>
  <si>
    <t>9763-20170724T115517.430565100.bin</t>
  </si>
  <si>
    <t>-599.413653841572 49.4663844692025 -92.5220807275097</t>
  </si>
  <si>
    <t>-619.509347971302 46.0991694811385 -201.344510110913</t>
  </si>
  <si>
    <t>-631.919280087701 45.9424995387817 -293.386826140355</t>
  </si>
  <si>
    <t>-642.265049421112 46.8198732212641 -376.635511662641</t>
  </si>
  <si>
    <t>-651.178245633174 48.7491638413762 -460.032021335235</t>
  </si>
  <si>
    <t>-662.635545703833 52.7229923125822 -582.088839130104</t>
  </si>
  <si>
    <t>-651.842129600594 57.7145615085547 -659.540713649104</t>
  </si>
  <si>
    <t>-659.302880950426 82.272481293558 -527.353414012611</t>
  </si>
  <si>
    <t>-638.529718514201 234.127563157388 -498.296908089648</t>
  </si>
  <si>
    <t>-523.864311890837 234.092455630511 -240.555880384723</t>
  </si>
  <si>
    <t>-309.014618354255 151.427114145344 -271.452300993616</t>
  </si>
  <si>
    <t>-655.913475825296 19.6860801139114 -529.709110745435</t>
  </si>
  <si>
    <t>-604.955208516196 142.403585952982 -96.0534632611448</t>
  </si>
  <si>
    <t>-629.196489855902 147.588343379764 318.78154356455</t>
  </si>
  <si>
    <t>-669.818048492184 179.911529733684 778.978991355076</t>
  </si>
  <si>
    <t>-519.654878741327 180.426101252949 836.724875365833</t>
  </si>
  <si>
    <t>-599.205690678076 -60.8870982276828 322.801554308777</t>
  </si>
  <si>
    <t>-652.906079762494 -100.738687745447 781.128482168989</t>
  </si>
  <si>
    <t>-499.449756374065 -117.525675693714 826.440454746609</t>
  </si>
  <si>
    <t>9763-20170724T115517.461141600.bin</t>
  </si>
  <si>
    <t>-599.613686178626 49.5068911701408 -92.538133659124</t>
  </si>
  <si>
    <t>-619.744946592093 46.1577640449593 -201.35456913382</t>
  </si>
  <si>
    <t>-632.222920139869 46.020081454275 -293.387884642973</t>
  </si>
  <si>
    <t>-642.645405836601 46.9163596217038 -376.626653592601</t>
  </si>
  <si>
    <t>-651.650705230891 48.8659285243889 -460.01274257639</t>
  </si>
  <si>
    <t>-663.259478208132 52.8711034009191 -582.05415864434</t>
  </si>
  <si>
    <t>-652.451634501379 57.8483926307417 -659.504966882499</t>
  </si>
  <si>
    <t>-659.850423084737 82.4070559395102 -527.316185094877</t>
  </si>
  <si>
    <t>-638.997475232708 234.250361368835 -498.24360804713</t>
  </si>
  <si>
    <t>-523.505300724602 234.138168511487 -240.872061626136</t>
  </si>
  <si>
    <t>-308.614618601487 151.564160962277 -271.727425836424</t>
  </si>
  <si>
    <t>-656.480921742329 19.8201427185782 -529.69072282559</t>
  </si>
  <si>
    <t>-605.190890482291 142.455412814297 -96.0574283710082</t>
  </si>
  <si>
    <t>-629.266382089796 147.666328520789 318.786908138878</t>
  </si>
  <si>
    <t>-669.814431574447 179.96526809551 778.99504027746</t>
  </si>
  <si>
    <t>-519.642916966535 180.401640748799 836.719858009217</t>
  </si>
  <si>
    <t>-599.214393583222 -60.815178405692 322.785440949315</t>
  </si>
  <si>
    <t>-652.727030410055 -100.774933016015 781.140307566094</t>
  </si>
  <si>
    <t>-499.34789495524 -117.45448681617 826.752339867351</t>
  </si>
  <si>
    <t>9763-20170724T115517.527412800.bin</t>
  </si>
  <si>
    <t>-600.049206491308 49.6290060531999 -92.5533262640952</t>
  </si>
  <si>
    <t>-620.260102626532 46.2996623422059 -201.355671544293</t>
  </si>
  <si>
    <t>-632.857846563784 46.202725985796 -293.372601119557</t>
  </si>
  <si>
    <t>-643.409575881071 47.1457397066024 -376.594677148458</t>
  </si>
  <si>
    <t>-652.565143286892 49.1515927178307 -459.963082943862</t>
  </si>
  <si>
    <t>-664.416704270725 53.2491839470802 -581.978111593062</t>
  </si>
  <si>
    <t>-653.564540919243 58.2305561072997 -659.422504186263</t>
  </si>
  <si>
    <t>-660.875944159509 82.7450853314433 -527.226779224105</t>
  </si>
  <si>
    <t>-639.79365706059 234.537135543134 -498.062975315514</t>
  </si>
  <si>
    <t>-522.74519966184 234.336970899709 -241.395498172287</t>
  </si>
  <si>
    <t>-307.855236908183 151.718264149521 -272.135995380987</t>
  </si>
  <si>
    <t>-657.556701727791 20.1573919229875 -529.651102186925</t>
  </si>
  <si>
    <t>-605.684395986299 142.575072171483 -96.0639371023419</t>
  </si>
  <si>
    <t>-629.492933876066 147.761378119204 318.796047302913</t>
  </si>
  <si>
    <t>-669.840682655014 179.928883164394 779.040716464044</t>
  </si>
  <si>
    <t>-519.65233338747 180.27295930905 836.722333809022</t>
  </si>
  <si>
    <t>-599.25315057842 -60.6005636959535 322.780028731916</t>
  </si>
  <si>
    <t>-652.454605956561 -100.77465390922 781.138066618699</t>
  </si>
  <si>
    <t>-499.144618897578 -116.799284650571 827.21497316581</t>
  </si>
  <si>
    <t>9763-20170724T115517.559993900.bin</t>
  </si>
  <si>
    <t>-600.300350898529 49.7272766908511 -92.5503707316827</t>
  </si>
  <si>
    <t>-620.534554216678 46.3865102008313 -201.347957311167</t>
  </si>
  <si>
    <t>-633.16253474748 46.297616568783 -293.360849975441</t>
  </si>
  <si>
    <t>-643.745561647778 47.2548526307698 -376.578636334351</t>
  </si>
  <si>
    <t>-652.936398759436 49.2811932014188 -459.942766611743</t>
  </si>
  <si>
    <t>-664.843457885861 53.4162741693901 -581.951150892222</t>
  </si>
  <si>
    <t>-653.957818239327 58.4019532635095 -659.390464951605</t>
  </si>
  <si>
    <t>-661.26038132767 82.8963241460049 -527.194068052048</t>
  </si>
  <si>
    <t>-640.057813109356 234.665165114912 -497.955337989793</t>
  </si>
  <si>
    <t>-522.276345678204 234.514682638819 -241.62343867315</t>
  </si>
  <si>
    <t>-307.365197372481 151.854811612421 -272.104158465195</t>
  </si>
  <si>
    <t>-657.977071105455 20.307430327 -529.63555550477</t>
  </si>
  <si>
    <t>-605.974368510172 142.647458973328 -96.0654685392403</t>
  </si>
  <si>
    <t>-629.660001144686 147.842825411103 318.801546184852</t>
  </si>
  <si>
    <t>-669.845587803154 179.935091777791 779.060483825941</t>
  </si>
  <si>
    <t>-519.649971054318 180.171066251588 836.723541703943</t>
  </si>
  <si>
    <t>-599.261818141176 -60.4611498504489 322.778944187741</t>
  </si>
  <si>
    <t>-652.365648404783 -100.788308828073 781.126631978474</t>
  </si>
  <si>
    <t>-499.114108443991 -116.910602731657 827.363635236139</t>
  </si>
  <si>
    <t>9763-20170724T115517.630301200.bin</t>
  </si>
  <si>
    <t>-600.684242775355 49.8512710333366 -92.5751717474627</t>
  </si>
  <si>
    <t>-620.957574025681 46.5090620927701 -201.365369009863</t>
  </si>
  <si>
    <t>-633.607247220927 46.4250162287494 -293.375300581384</t>
  </si>
  <si>
    <t>-644.204794939096 47.3885142670624 -376.591144060525</t>
  </si>
  <si>
    <t>-653.404639870393 49.4230305392325 -459.954059538853</t>
  </si>
  <si>
    <t>-665.3187710205 53.5706806142043 -581.961281733334</t>
  </si>
  <si>
    <t>-654.372740411578 58.5647020284857 -659.391668990383</t>
  </si>
  <si>
    <t>-661.703110012892 83.0465902347246 -527.204258950062</t>
  </si>
  <si>
    <t>-640.311277058895 234.771984814134 -497.916588847545</t>
  </si>
  <si>
    <t>-521.521463201971 234.695840782287 -242.050227743111</t>
  </si>
  <si>
    <t>-306.567956470354 152.078965811673 -272.348372816265</t>
  </si>
  <si>
    <t>-658.478824061341 20.4546961867993 -529.64690959761</t>
  </si>
  <si>
    <t>-606.451469664944 142.686029498971 -96.082117041498</t>
  </si>
  <si>
    <t>-629.934366096952 147.925741759969 318.795791258818</t>
  </si>
  <si>
    <t>-669.844743544533 179.960029229212 779.085366136842</t>
  </si>
  <si>
    <t>-519.63758377769 180.291250713332 836.717979451354</t>
  </si>
  <si>
    <t>-599.370079375106 -60.2290521185405 322.737779843416</t>
  </si>
  <si>
    <t>-652.293742432725 -100.794903672512 781.067275253383</t>
  </si>
  <si>
    <t>-499.081073095997 -116.880959978279 827.445493347891</t>
  </si>
  <si>
    <t>9763-20170724T115517.662325200.bin</t>
  </si>
  <si>
    <t>-600.838056906732 49.915709626724 -92.5984944060641</t>
  </si>
  <si>
    <t>-621.121355959632 46.5871856888734 -201.387333457093</t>
  </si>
  <si>
    <t>-633.798456414096 46.5056347595983 -293.393435211266</t>
  </si>
  <si>
    <t>-644.428411614649 47.4676308113901 -376.605177278059</t>
  </si>
  <si>
    <t>-653.668375610501 49.4966848005706 -459.963869565</t>
  </si>
  <si>
    <t>-665.649499077772 53.6323479845776 -581.96503718304</t>
  </si>
  <si>
    <t>-654.715610476208 58.6387131616489 -659.396156774852</t>
  </si>
  <si>
    <t>-662.000842344645 83.1138818012585 -527.213092267129</t>
  </si>
  <si>
    <t>-640.58700743216 234.843600468933 -497.962339969971</t>
  </si>
  <si>
    <t>-521.342590552873 234.79279338317 -242.3077278442</t>
  </si>
  <si>
    <t>-306.359352775174 152.236027445088 -272.558529274966</t>
  </si>
  <si>
    <t>-658.78367297661 20.5214604794019 -529.650716306499</t>
  </si>
  <si>
    <t>-606.64468931404 142.706051261767 -96.0947923232411</t>
  </si>
  <si>
    <t>-630.047723487675 147.928096888078 318.787904271205</t>
  </si>
  <si>
    <t>-669.851188422313 179.929383166841 779.090539452144</t>
  </si>
  <si>
    <t>-519.643499412253 180.301146073822 836.721646298011</t>
  </si>
  <si>
    <t>-599.416258490346 -60.149463210802 322.701101620582</t>
  </si>
  <si>
    <t>-652.282788268464 -100.817573465796 781.024583229572</t>
  </si>
  <si>
    <t>-499.055496854529 -116.695226541551 827.426362107251</t>
  </si>
  <si>
    <t>9763-20170724T115517.729501500.bin</t>
  </si>
  <si>
    <t>-601.179156109646 49.848489689934 -92.6394884553483</t>
  </si>
  <si>
    <t>-621.493318544121 46.5150145023133 -201.422424217811</t>
  </si>
  <si>
    <t>-634.196951402395 46.4476579988498 -293.424890852319</t>
  </si>
  <si>
    <t>-644.850964600361 47.4299825021603 -376.633356187592</t>
  </si>
  <si>
    <t>-654.11496575221 49.4866239154433 -459.988583135316</t>
  </si>
  <si>
    <t>-666.131187305282 53.67038483394 -581.984689083528</t>
  </si>
  <si>
    <t>-655.153030710528 58.7053537518525 -659.407790571747</t>
  </si>
  <si>
    <t>-662.450364799386 83.1311536193457 -527.223708887652</t>
  </si>
  <si>
    <t>-640.932967646848 234.84272274991 -497.92005108958</t>
  </si>
  <si>
    <t>-521.002074549556 234.649276127702 -242.586631830218</t>
  </si>
  <si>
    <t>-305.841095020593 152.274851069895 -272.061004315317</t>
  </si>
  <si>
    <t>-659.266800976329 20.5379332537555 -529.68384230443</t>
  </si>
  <si>
    <t>-606.971675715152 142.637720060568 -96.1322204021276</t>
  </si>
  <si>
    <t>-630.201539101907 147.907169497555 318.759579129124</t>
  </si>
  <si>
    <t>-669.852476385687 179.905654309205 779.093026993193</t>
  </si>
  <si>
    <t>-519.644652347464 180.254950146532 836.723707778609</t>
  </si>
  <si>
    <t>-599.640431946336 -60.2234658251809 322.644152631959</t>
  </si>
  <si>
    <t>-652.296050198577 -100.81832405922 780.963623107612</t>
  </si>
  <si>
    <t>-499.07959000979 -116.823849440946 827.357153618054</t>
  </si>
  <si>
    <t>9763-20170724T115517.761089300.bin</t>
  </si>
  <si>
    <t>-601.343590564559 49.7082755650388 -92.6763820689951</t>
  </si>
  <si>
    <t>-621.667493861083 46.37544441706 -201.457527010124</t>
  </si>
  <si>
    <t>-634.372142898764 46.3063571852924 -293.459793704752</t>
  </si>
  <si>
    <t>-645.024086208844 47.2867839048499 -376.668651581427</t>
  </si>
  <si>
    <t>-654.283038016989 49.340641340347 -460.024475727328</t>
  </si>
  <si>
    <t>-666.288475979007 53.5197851608225 -582.021578854339</t>
  </si>
  <si>
    <t>-655.280130496096 58.5454614535843 -659.441109841914</t>
  </si>
  <si>
    <t>-662.597435058873 82.9835686562863 -527.262984209439</t>
  </si>
  <si>
    <t>-640.965070642472 234.666995687008 -497.891913750676</t>
  </si>
  <si>
    <t>-520.95943888106 234.267918677243 -242.593717951135</t>
  </si>
  <si>
    <t>-305.665196352147 151.965972466572 -271.287180955968</t>
  </si>
  <si>
    <t>-659.443725328316 20.3885230415819 -529.717631370178</t>
  </si>
  <si>
    <t>-607.067768592477 142.561403828674 -96.1576671022792</t>
  </si>
  <si>
    <t>-630.230629071227 147.856026913041 318.737530057372</t>
  </si>
  <si>
    <t>-669.842104515839 179.930073029928 779.081240154329</t>
  </si>
  <si>
    <t>-519.638601090826 180.199556644198 836.723808161328</t>
  </si>
  <si>
    <t>-599.739094000939 -60.3581200838003 322.607451934003</t>
  </si>
  <si>
    <t>-652.287265327351 -100.838649677582 780.948005148176</t>
  </si>
  <si>
    <t>-499.094556040502 -116.992735319415 827.368523226886</t>
  </si>
  <si>
    <t>9763-20170724T115517.828398000.bin</t>
  </si>
  <si>
    <t>-601.552722140975 49.3820034788737 -92.715602269292</t>
  </si>
  <si>
    <t>-621.894276870745 46.071790417654 -201.494116778648</t>
  </si>
  <si>
    <t>-634.614311489752 46.0121560376301 -293.494243910518</t>
  </si>
  <si>
    <t>-645.280281912962 46.997553471065 -376.701144636127</t>
  </si>
  <si>
    <t>-654.553212609019 49.0522788529154 -460.055401883104</t>
  </si>
  <si>
    <t>-666.578907686689 53.2279060328851 -582.050856059241</t>
  </si>
  <si>
    <t>-655.520418075608 58.233772483175 -659.464446916577</t>
  </si>
  <si>
    <t>-662.841425558937 82.6952549472255 -527.297392297388</t>
  </si>
  <si>
    <t>-640.987633822191 234.341772975406 -497.918251926287</t>
  </si>
  <si>
    <t>-521.241884832176 233.890278833503 -242.498144162912</t>
  </si>
  <si>
    <t>-305.917161531172 151.250335418665 -269.965175199321</t>
  </si>
  <si>
    <t>-659.762816514545 20.0961827600615 -529.743330079777</t>
  </si>
  <si>
    <t>-607.284746007289 142.276680539592 -96.1782006430368</t>
  </si>
  <si>
    <t>-630.316683777283 147.714455165242 318.722428126035</t>
  </si>
  <si>
    <t>-669.836994591651 179.891776402643 779.06695295085</t>
  </si>
  <si>
    <t>-519.644847314389 180.188552074119 836.738886168769</t>
  </si>
  <si>
    <t>-599.757727463684 -60.5108888033876 322.571390491097</t>
  </si>
  <si>
    <t>-652.150132657711 -100.859439057797 780.949753602268</t>
  </si>
  <si>
    <t>-498.98724199164 -116.577945948751 827.617524066466</t>
  </si>
  <si>
    <t>9763-20170724T115517.862270400.bin</t>
  </si>
  <si>
    <t>-601.616637553597 49.1946342922533 -92.717286401911</t>
  </si>
  <si>
    <t>-621.978143198749 45.8988283407386 -201.492462047778</t>
  </si>
  <si>
    <t>-634.718322673233 45.8454836138985 -293.489961733087</t>
  </si>
  <si>
    <t>-645.403615690728 46.8346328227481 -376.694323969945</t>
  </si>
  <si>
    <t>-654.696962916579 48.8908806099828 -460.046194441833</t>
  </si>
  <si>
    <t>-666.753765015727 53.0657320607422 -582.038587825764</t>
  </si>
  <si>
    <t>-655.675671441985 58.067941475844 -659.449597707701</t>
  </si>
  <si>
    <t>-662.98519114009 82.5342556484068 -527.28782751805</t>
  </si>
  <si>
    <t>-640.998297921874 234.14936341054 -497.861988248832</t>
  </si>
  <si>
    <t>-521.312970639525 233.60766353498 -242.413863935565</t>
  </si>
  <si>
    <t>-305.992941254345 150.84383534774 -269.542441554318</t>
  </si>
  <si>
    <t>-659.941521194693 19.9333663532575 -529.730911727072</t>
  </si>
  <si>
    <t>-607.378411428512 142.055763120482 -96.1775986162496</t>
  </si>
  <si>
    <t>-630.323176209384 147.574662049688 318.726800732887</t>
  </si>
  <si>
    <t>-669.853835813586 179.763499521131 779.061998084153</t>
  </si>
  <si>
    <t>-519.664509582163 180.329868118128 836.739500544441</t>
  </si>
  <si>
    <t>-599.763428557082 -60.6131100389455 322.564310654498</t>
  </si>
  <si>
    <t>-652.036057865939 -100.900691181912 780.958419993437</t>
  </si>
  <si>
    <t>-498.948476537299 -116.725279426907 827.836989068495</t>
  </si>
  <si>
    <t>9763-20170724T115517.927437900.bin</t>
  </si>
  <si>
    <t>-601.643037643697 48.8352415027423 -92.7370970966781</t>
  </si>
  <si>
    <t>-622.083702524052 45.572692121955 -201.498528107131</t>
  </si>
  <si>
    <t>-634.897074679452 45.5489399290991 -293.48576217787</t>
  </si>
  <si>
    <t>-645.651061583906 46.5659343572249 -376.68095079263</t>
  </si>
  <si>
    <t>-655.015635608381 48.6505014715112 -460.024181616023</t>
  </si>
  <si>
    <t>-667.179246777642 52.8675979351005 -582.004588352252</t>
  </si>
  <si>
    <t>-656.129454692177 57.9284514502001 -659.415796579557</t>
  </si>
  <si>
    <t>-663.335474126556 82.3186669027855 -527.249553968881</t>
  </si>
  <si>
    <t>-641.183825914413 233.890856135567 -497.733122607444</t>
  </si>
  <si>
    <t>-521.426366746524 233.114770388749 -242.319673044241</t>
  </si>
  <si>
    <t>-306.056366988685 150.444841182341 -269.337683105743</t>
  </si>
  <si>
    <t>-660.348440872958 19.7157462430246 -529.711624720811</t>
  </si>
  <si>
    <t>-607.408790840045 141.70526278324 -96.187835036481</t>
  </si>
  <si>
    <t>-630.174576931779 147.372449020728 318.72446769222</t>
  </si>
  <si>
    <t>-669.813494725414 179.774355842562 779.042637717077</t>
  </si>
  <si>
    <t>-519.635280867973 180.228770257411 836.749851194435</t>
  </si>
  <si>
    <t>-599.688167708817 -60.8325477116603 322.54663355796</t>
  </si>
  <si>
    <t>-651.843016707248 -100.930172717649 780.979533856289</t>
  </si>
  <si>
    <t>-498.831596926923 -116.44349995554 828.209457350877</t>
  </si>
  <si>
    <t>9763-20170724T115517.958916400.bin</t>
  </si>
  <si>
    <t>-601.688500411808 48.6495416565201 -92.7392834909581</t>
  </si>
  <si>
    <t>-622.165409058686 45.4005878026674 -201.494159617892</t>
  </si>
  <si>
    <t>-635.020226153795 45.3921913082802 -293.475677482174</t>
  </si>
  <si>
    <t>-645.815967201347 46.4251334274354 -376.665397900308</t>
  </si>
  <si>
    <t>-655.226731146272 48.5272157480117 -460.003043796526</t>
  </si>
  <si>
    <t>-667.462555891884 52.7718972750467 -581.975002841125</t>
  </si>
  <si>
    <t>-656.443918694945 57.8761400333997 -659.387892202772</t>
  </si>
  <si>
    <t>-663.57082792871 82.2113324792197 -527.217205969949</t>
  </si>
  <si>
    <t>-641.311091507849 233.75770434985 -497.635866314062</t>
  </si>
  <si>
    <t>-521.39942376306 232.75211707763 -242.295511237621</t>
  </si>
  <si>
    <t>-306.067359962367 150.045194623583 -269.502017425126</t>
  </si>
  <si>
    <t>-660.616332434925 19.6073728519455 -529.692287422881</t>
  </si>
  <si>
    <t>-607.448905268411 141.516772964576 -96.1809155281237</t>
  </si>
  <si>
    <t>-630.116351973718 147.253535358059 318.735843692335</t>
  </si>
  <si>
    <t>-669.810139032305 179.734064557869 779.040350258794</t>
  </si>
  <si>
    <t>-519.633184055451 180.249946259414 836.750396876664</t>
  </si>
  <si>
    <t>-599.685787293102 -60.9226118863485 322.54392288968</t>
  </si>
  <si>
    <t>-651.824489224233 -100.918351648836 780.974970628613</t>
  </si>
  <si>
    <t>-498.837866089918 -116.538037010193 828.250150608472</t>
  </si>
  <si>
    <t>9763-20170724T115518.027602300.bin</t>
  </si>
  <si>
    <t>-601.835054717358 48.3811655298257 -92.772512443217</t>
  </si>
  <si>
    <t>-622.341082915296 45.1412363658935 -201.522253942329</t>
  </si>
  <si>
    <t>-635.230431587209 45.1662481061862 -293.498860053562</t>
  </si>
  <si>
    <t>-646.061199361914 46.2402646435335 -376.683472021836</t>
  </si>
  <si>
    <t>-655.510674812153 48.3938257483826 -460.015401619483</t>
  </si>
  <si>
    <t>-667.807083481492 52.7249527726281 -581.978312631142</t>
  </si>
  <si>
    <t>-656.858589407273 57.9079231232208 -659.395926722267</t>
  </si>
  <si>
    <t>-663.851220409868 82.1274032882002 -527.205237284136</t>
  </si>
  <si>
    <t>-641.366660024775 233.596290508794 -497.402238464325</t>
  </si>
  <si>
    <t>-521.078365369173 232.235882543882 -242.240489861197</t>
  </si>
  <si>
    <t>-305.97032888496 149.171738404856 -270.122725856602</t>
  </si>
  <si>
    <t>-660.97188428796 19.5214881222016 -529.718819793942</t>
  </si>
  <si>
    <t>-607.48072328773 141.248941302922 -96.1880492864182</t>
  </si>
  <si>
    <t>-630.165177809017 147.127768770406 318.725775016941</t>
  </si>
  <si>
    <t>-669.772717033451 179.781084168613 779.029128290891</t>
  </si>
  <si>
    <t>-519.595361370983 180.200310863633 836.73887257487</t>
  </si>
  <si>
    <t>-599.983568464232 -61.0634434036288 322.504067490165</t>
  </si>
  <si>
    <t>-651.91703612634 -100.873793881598 780.936369276809</t>
  </si>
  <si>
    <t>-498.873602925225 -116.35008622443 828.074608159844</t>
  </si>
  <si>
    <t>9763-20170724T115518.059188300.bin</t>
  </si>
  <si>
    <t>-601.900553967853 48.2505162905795 -92.7898210872106</t>
  </si>
  <si>
    <t>-622.411238870283 45.0151697696492 -201.538839745577</t>
  </si>
  <si>
    <t>-635.315957303627 45.0500113854123 -293.513316050819</t>
  </si>
  <si>
    <t>-646.165302493028 46.1357149065789 -376.695242741223</t>
  </si>
  <si>
    <t>-655.638013047735 48.3037497966732 -460.02414797943</t>
  </si>
  <si>
    <t>-667.973591260807 52.6588217359006 -581.982365061276</t>
  </si>
  <si>
    <t>-657.075408304408 57.8616598374945 -659.405670498965</t>
  </si>
  <si>
    <t>-663.989404836522 82.0511237791229 -527.205877496394</t>
  </si>
  <si>
    <t>-641.412037654106 233.496473797324 -497.350809821808</t>
  </si>
  <si>
    <t>-520.951368156392 231.831322061829 -242.272316498405</t>
  </si>
  <si>
    <t>-305.936256028189 148.648727290808 -270.515690409182</t>
  </si>
  <si>
    <t>-661.132241988772 19.4447447632713 -529.730525465881</t>
  </si>
  <si>
    <t>-607.466547376381 141.103187445741 -96.2053907083429</t>
  </si>
  <si>
    <t>-630.178315556277 147.055946634699 318.705811538756</t>
  </si>
  <si>
    <t>-669.777272416226 179.730102396996 779.022147362694</t>
  </si>
  <si>
    <t>-519.598223718152 180.206858006453 836.727068098276</t>
  </si>
  <si>
    <t>-600.139140985797 -61.204039419526 322.472799327619</t>
  </si>
  <si>
    <t>-651.998480519675 -100.885496335402 780.926832169493</t>
  </si>
  <si>
    <t>-498.933098770688 -116.516285212675 827.942672029999</t>
  </si>
  <si>
    <t>9763-20170724T115518.128724100.bin</t>
  </si>
  <si>
    <t>-602.182164779422 48.0218639211755 -92.8119697055048</t>
  </si>
  <si>
    <t>-622.735798538641 44.7760504603655 -201.552573230155</t>
  </si>
  <si>
    <t>-635.672669007861 44.8382350900438 -293.522561588625</t>
  </si>
  <si>
    <t>-646.549457358219 45.9638878884846 -376.700350437544</t>
  </si>
  <si>
    <t>-656.047913246246 48.1867861719388 -460.024930341239</t>
  </si>
  <si>
    <t>-668.419274754412 52.6383681556551 -581.975944770306</t>
  </si>
  <si>
    <t>-657.620043792267 57.9095587803654 -659.408457520275</t>
  </si>
  <si>
    <t>-664.390821722156 81.988734780834 -527.180186906604</t>
  </si>
  <si>
    <t>-641.706218202472 233.403421557855 -497.252976365257</t>
  </si>
  <si>
    <t>-520.710818476378 231.190168123123 -242.4318472006</t>
  </si>
  <si>
    <t>-305.829106814312 147.953589815239 -271.51876750944</t>
  </si>
  <si>
    <t>-661.590793884432 19.3814860594232 -529.749612589719</t>
  </si>
  <si>
    <t>-607.632307142855 140.969070106645 -96.2466631888691</t>
  </si>
  <si>
    <t>-630.286431819582 146.88610268813 318.668223172461</t>
  </si>
  <si>
    <t>-669.783406897784 179.663902273851 779.003558281489</t>
  </si>
  <si>
    <t>-519.602648578318 180.201227990696 836.703363011707</t>
  </si>
  <si>
    <t>-600.476994906877 -61.3826416589338 322.449622522071</t>
  </si>
  <si>
    <t>-652.334927339864 -100.81413627029 780.9262471829</t>
  </si>
  <si>
    <t>-499.122666754782 -116.715329602741 827.369533544716</t>
  </si>
  <si>
    <t>9763-20170724T115518.160318600.bin</t>
  </si>
  <si>
    <t>-602.353435018018 47.9942321140807 -92.8332900310646</t>
  </si>
  <si>
    <t>-622.926376491666 44.7322281938941 -201.569769122543</t>
  </si>
  <si>
    <t>-635.893185015648 44.8064514303051 -293.535462006533</t>
  </si>
  <si>
    <t>-646.802324277521 45.9533945677611 -376.708730381489</t>
  </si>
  <si>
    <t>-656.338377958607 48.2078137802803 -460.028123136492</t>
  </si>
  <si>
    <t>-668.770343342803 52.7163964155773 -581.971080558045</t>
  </si>
  <si>
    <t>-658.007403684628 58.0271231611787 -659.405856168172</t>
  </si>
  <si>
    <t>-664.698594502162 82.0418635998026 -527.165109221434</t>
  </si>
  <si>
    <t>-641.982656508874 233.444848315972 -497.202297925758</t>
  </si>
  <si>
    <t>-520.630862847959 230.947912085109 -242.55335182634</t>
  </si>
  <si>
    <t>-305.702965779712 147.875026814418 -271.766963604235</t>
  </si>
  <si>
    <t>-661.932018511091 19.4343642001559 -529.761950285726</t>
  </si>
  <si>
    <t>-607.738577206226 140.973456421005 -96.2715251391902</t>
  </si>
  <si>
    <t>-630.360859138923 146.912471192702 318.64482754358</t>
  </si>
  <si>
    <t>-669.769343368679 179.712708706032 778.992009265712</t>
  </si>
  <si>
    <t>-519.586606674963 180.129861117669 836.687739054017</t>
  </si>
  <si>
    <t>-600.700640377388 -61.3728579109545 322.441009402509</t>
  </si>
  <si>
    <t>-652.564041889688 -100.758435627916 780.909946088514</t>
  </si>
  <si>
    <t>-499.256607246307 -116.865277496873 826.966681262059</t>
  </si>
  <si>
    <t>9763-20170724T115518.229803600.bin</t>
  </si>
  <si>
    <t>-602.693967512874 48.0893278658182 -92.8488207071393</t>
  </si>
  <si>
    <t>-623.301087408565 44.8137095201862 -201.578336100147</t>
  </si>
  <si>
    <t>-636.302793540966 44.9180097428443 -293.539145299075</t>
  </si>
  <si>
    <t>-647.245706581673 46.1089687732288 -376.707298632016</t>
  </si>
  <si>
    <t>-656.817741009275 48.4239912814955 -460.021048895055</t>
  </si>
  <si>
    <t>-669.304602678512 53.0393984166942 -581.954188346347</t>
  </si>
  <si>
    <t>-658.536396083177 58.4203267827083 -659.383530903141</t>
  </si>
  <si>
    <t>-665.191564333172 82.3176659148248 -527.126148366821</t>
  </si>
  <si>
    <t>-642.511527898494 233.726604053352 -497.157585033864</t>
  </si>
  <si>
    <t>-520.341578542784 231.152553617398 -242.900788640108</t>
  </si>
  <si>
    <t>-305.193759973297 148.646576830507 -272.102080325412</t>
  </si>
  <si>
    <t>-662.459410587998 19.7107252507008 -529.77568216361</t>
  </si>
  <si>
    <t>-607.929996653753 141.080718819823 -96.2906083107355</t>
  </si>
  <si>
    <t>-630.487639634999 147.041397629227 318.629004827348</t>
  </si>
  <si>
    <t>-669.767336619309 179.770093097257 778.985689200633</t>
  </si>
  <si>
    <t>-519.575334315794 180.053048638915 836.658127135991</t>
  </si>
  <si>
    <t>-601.075592714345 -61.2575537218856 322.428937184554</t>
  </si>
  <si>
    <t>-652.877883950635 -100.649397626305 780.917616834881</t>
  </si>
  <si>
    <t>-499.444594623687 -117.130617537373 826.419423838278</t>
  </si>
  <si>
    <t>9763-20170724T115518.261397700.bin</t>
  </si>
  <si>
    <t>-602.830933852191 48.1389816657513 -92.8467130965499</t>
  </si>
  <si>
    <t>-623.477020991211 44.8586924153101 -201.568765973653</t>
  </si>
  <si>
    <t>-636.511959158197 44.9676172350664 -293.524739243641</t>
  </si>
  <si>
    <t>-647.485162387619 46.1662446704702 -376.689089017202</t>
  </si>
  <si>
    <t>-657.087732017237 48.4923289509559 -459.998743455589</t>
  </si>
  <si>
    <t>-669.619491224078 53.127918145452 -581.926530423688</t>
  </si>
  <si>
    <t>-658.851336258928 58.5241766855352 -659.354901427004</t>
  </si>
  <si>
    <t>-665.479183861735 82.3974604770422 -527.09605358049</t>
  </si>
  <si>
    <t>-642.846670311803 233.823206385318 -497.157274009289</t>
  </si>
  <si>
    <t>-520.183793558568 231.360509463986 -243.136925118604</t>
  </si>
  <si>
    <t>-304.912305992226 149.175583877226 -272.332048499034</t>
  </si>
  <si>
    <t>-662.762128838977 19.7902986756935 -529.75556197173</t>
  </si>
  <si>
    <t>-608.020705349337 141.122428922076 -96.300247441581</t>
  </si>
  <si>
    <t>-630.531489180431 147.058300881489 318.622182618116</t>
  </si>
  <si>
    <t>-669.781403935945 179.716920401532 778.985149731952</t>
  </si>
  <si>
    <t>-519.584648841935 180.115043784214 836.644385056318</t>
  </si>
  <si>
    <t>-601.187537293378 -61.1588355004988 322.439358100623</t>
  </si>
  <si>
    <t>-652.995201250259 -100.573678876769 780.942494153716</t>
  </si>
  <si>
    <t>-499.487683363166 -116.989824193451 826.216920562709</t>
  </si>
  <si>
    <t>9763-20170724T115518.326747900.bin</t>
  </si>
  <si>
    <t>-603.12075311427 48.1873494737983 -92.8308636228345</t>
  </si>
  <si>
    <t>-623.881005544759 44.904064036454 -201.531076779635</t>
  </si>
  <si>
    <t>-636.985893103615 44.9994639868287 -293.477066984294</t>
  </si>
  <si>
    <t>-648.011824407526 46.1817930549607 -376.634655726321</t>
  </si>
  <si>
    <t>-657.656728944559 48.4876627527519 -459.940015953589</t>
  </si>
  <si>
    <t>-670.239034293523 53.0892709280581 -581.863985351039</t>
  </si>
  <si>
    <t>-659.452466592481 58.4795403880082 -659.290043367659</t>
  </si>
  <si>
    <t>-666.08283245285 82.3736730457217 -527.042612798093</t>
  </si>
  <si>
    <t>-643.530879756041 233.811874598831 -497.125269807989</t>
  </si>
  <si>
    <t>-519.67915008445 231.799980769794 -243.678570124343</t>
  </si>
  <si>
    <t>-304.197713692318 150.177833764314 -272.903687527791</t>
  </si>
  <si>
    <t>-663.353261526726 19.7665213588468 -529.687163946897</t>
  </si>
  <si>
    <t>-608.236363535252 141.175347504298 -96.2969971079206</t>
  </si>
  <si>
    <t>-630.625011330638 147.054938963214 318.632863455136</t>
  </si>
  <si>
    <t>-669.795539685975 179.676295063751 778.985978700438</t>
  </si>
  <si>
    <t>-519.593200189908 180.031148470697 836.631090833796</t>
  </si>
  <si>
    <t>-601.358145589296 -61.0429264709089 322.4757232574</t>
  </si>
  <si>
    <t>-653.223014477754 -100.478237186574 780.985214188256</t>
  </si>
  <si>
    <t>-499.632593986013 -117.274539418051 825.837114921372</t>
  </si>
  <si>
    <t>9763-20170724T115518.358334300.bin</t>
  </si>
  <si>
    <t>-603.243885397017 48.2138420405463 -92.8317896112314</t>
  </si>
  <si>
    <t>-624.052486625273 44.9285927408823 -201.522629076602</t>
  </si>
  <si>
    <t>-637.186858171164 45.0046860330367 -293.46467409642</t>
  </si>
  <si>
    <t>-648.234818195213 46.1624097911592 -376.619548437758</t>
  </si>
  <si>
    <t>-657.897208196801 48.4364213811014 -459.92376431522</t>
  </si>
  <si>
    <t>-670.500125759916 52.9834990874765 -581.847637160379</t>
  </si>
  <si>
    <t>-659.709948568277 58.3650574844664 -659.273853007604</t>
  </si>
  <si>
    <t>-666.341779578942 82.292162448111 -527.039149922332</t>
  </si>
  <si>
    <t>-643.882968605379 233.75240138792 -497.172239114987</t>
  </si>
  <si>
    <t>-519.29679450285 231.978460026587 -244.083968465266</t>
  </si>
  <si>
    <t>-303.764326926427 150.47129159667 -273.253562775127</t>
  </si>
  <si>
    <t>-663.598335728935 19.6844917290086 -529.657782024419</t>
  </si>
  <si>
    <t>-608.359826496638 141.171199940932 -96.2956362839536</t>
  </si>
  <si>
    <t>-630.68324199865 147.05115022455 318.637739746495</t>
  </si>
  <si>
    <t>-669.804251376842 179.658243923737 778.986212143034</t>
  </si>
  <si>
    <t>-519.599767482188 180.071725054295 836.625306956291</t>
  </si>
  <si>
    <t>-601.422023034045 -60.9785144172868 322.482369730098</t>
  </si>
  <si>
    <t>-653.288621061002 -100.405975892995 780.997846158351</t>
  </si>
  <si>
    <t>-499.64361516547 -117.041849837948 825.72241397139</t>
  </si>
  <si>
    <t>9763-20170724T115518.427807200.bin</t>
  </si>
  <si>
    <t>-603.507747111858 48.3391990475534 -92.8096241383204</t>
  </si>
  <si>
    <t>-624.409834780761 45.0412889206477 -201.48222613804</t>
  </si>
  <si>
    <t>-637.579601726498 45.0815289203219 -293.418982386821</t>
  </si>
  <si>
    <t>-648.641990645133 46.1952888226492 -376.572645835636</t>
  </si>
  <si>
    <t>-658.301072129932 48.4143944500122 -459.878691474215</t>
  </si>
  <si>
    <t>-670.879578248921 52.8691256419033 -581.808493803182</t>
  </si>
  <si>
    <t>-660.099945664678 58.2786417334933 -659.234290617724</t>
  </si>
  <si>
    <t>-666.75442788975 82.2182413467144 -527.019260956073</t>
  </si>
  <si>
    <t>-644.457301122898 233.721805434735 -497.285822873951</t>
  </si>
  <si>
    <t>-518.218443350657 232.747364987438 -245.01352595381</t>
  </si>
  <si>
    <t>-302.629493022635 151.230546659438 -273.735353851952</t>
  </si>
  <si>
    <t>-663.965998692453 19.6107829046864 -529.594263111</t>
  </si>
  <si>
    <t>-608.666593632112 141.247291794513 -96.2781608784163</t>
  </si>
  <si>
    <t>-630.797919329004 147.109898059493 318.665726373402</t>
  </si>
  <si>
    <t>-669.815297859957 179.677798401112 779.011748264694</t>
  </si>
  <si>
    <t>-519.596579542581 179.988392919326 836.614293952766</t>
  </si>
  <si>
    <t>-601.465365049166 -60.7919726932332 322.509692330627</t>
  </si>
  <si>
    <t>-653.354152372183 -100.36402414019 781.033070575788</t>
  </si>
  <si>
    <t>-499.683880070498 -117.15436942305 825.612813301017</t>
  </si>
  <si>
    <t>9763-20170724T115518.458885500.bin</t>
  </si>
  <si>
    <t>-603.6394727808 48.475674849944 -92.7967457822801</t>
  </si>
  <si>
    <t>-624.612733924875 45.1557125926411 -201.454959615517</t>
  </si>
  <si>
    <t>-637.814548466047 45.1769128064129 -293.387198890933</t>
  </si>
  <si>
    <t>-648.894507313046 46.2730093742869 -376.538717571542</t>
  </si>
  <si>
    <t>-658.559898627245 48.4741170893399 -459.844592084954</t>
  </si>
  <si>
    <t>-671.135213913435 52.9022658313636 -581.775689690685</t>
  </si>
  <si>
    <t>-660.380880495812 58.3377835913875 -659.203069965115</t>
  </si>
  <si>
    <t>-667.030354328039 82.2621847261973 -526.990776628558</t>
  </si>
  <si>
    <t>-644.884204123152 233.815166841755 -497.377405511799</t>
  </si>
  <si>
    <t>-517.674280870545 233.318821665757 -245.591785369183</t>
  </si>
  <si>
    <t>-302.00213601953 151.921172558486 -274.025461605176</t>
  </si>
  <si>
    <t>-664.204262174017 19.6560549332567 -529.555886589142</t>
  </si>
  <si>
    <t>-608.828071058947 141.335238024158 -96.2690450851355</t>
  </si>
  <si>
    <t>-630.810891606397 147.189071685246 318.682879480848</t>
  </si>
  <si>
    <t>-669.829075441402 179.664536381968 779.026176641881</t>
  </si>
  <si>
    <t>-519.600399635489 179.936412931868 836.603149904644</t>
  </si>
  <si>
    <t>-601.463829531324 -60.6060023095235 322.535155293742</t>
  </si>
  <si>
    <t>-653.365788804993 -100.328911235655 781.04690755742</t>
  </si>
  <si>
    <t>-499.685238788181 -117.119964041195 825.590917889691</t>
  </si>
  <si>
    <t>9763-20170724T115518.529726300.bin</t>
  </si>
  <si>
    <t>-604.012692319836 48.8733417756389 -92.7782009392081</t>
  </si>
  <si>
    <t>-625.17262351081 45.5050891379474 -201.398717709301</t>
  </si>
  <si>
    <t>-638.547457884838 45.5118599121156 -293.305987452471</t>
  </si>
  <si>
    <t>-649.790058774447 46.6043619825523 -376.435729535707</t>
  </si>
  <si>
    <t>-659.624565077304 48.8123839446937 -459.721568348828</t>
  </si>
  <si>
    <t>-672.45429768905 53.2621707542892 -581.625366136154</t>
  </si>
  <si>
    <t>-661.871905335759 58.8121863399656 -659.068349406682</t>
  </si>
  <si>
    <t>-668.283434741346 82.6101816702135 -526.838925441406</t>
  </si>
  <si>
    <t>-646.24150494518 234.236215210525 -497.496282117297</t>
  </si>
  <si>
    <t>-517.089287993254 234.535857207795 -246.701125458017</t>
  </si>
  <si>
    <t>-301.193369800048 153.409034779642 -274.195119695408</t>
  </si>
  <si>
    <t>-665.365970406657 20.009263513936 -529.43105854475</t>
  </si>
  <si>
    <t>-609.322829943398 141.636052922486 -96.2694248468421</t>
  </si>
  <si>
    <t>-630.867202530162 147.328161679786 318.707720579714</t>
  </si>
  <si>
    <t>-669.868649641232 179.597322696994 779.053659437505</t>
  </si>
  <si>
    <t>-519.621334059695 179.979651116403 836.581276163951</t>
  </si>
  <si>
    <t>-601.434182602055 -60.1140120374737 322.579839386653</t>
  </si>
  <si>
    <t>-653.391082856 -100.229226364289 781.058637431401</t>
  </si>
  <si>
    <t>-499.632764879534 -116.570986542801 825.501362061839</t>
  </si>
  <si>
    <t>9763-20170724T115518.561089800.bin</t>
  </si>
  <si>
    <t>-604.282344362291 49.0811147522049 -92.7935219918796</t>
  </si>
  <si>
    <t>-625.541535208354 45.6884741276547 -201.39384710617</t>
  </si>
  <si>
    <t>-639.014510979769 45.6708313778245 -293.286828340443</t>
  </si>
  <si>
    <t>-650.351358933598 46.7394933475421 -376.404020346024</t>
  </si>
  <si>
    <t>-660.285770875915 48.9217325171055 -459.678652286525</t>
  </si>
  <si>
    <t>-673.267581654752 53.3315767463746 -581.567852680614</t>
  </si>
  <si>
    <t>-662.798106288016 58.9302856901008 -659.022740803185</t>
  </si>
  <si>
    <t>-669.025450275376 82.6976334725648 -526.796683116526</t>
  </si>
  <si>
    <t>-646.830465714433 234.36423359802 -497.746770861461</t>
  </si>
  <si>
    <t>-517.16991722461 235.080339758578 -247.214986467508</t>
  </si>
  <si>
    <t>-301.204967338894 153.922662594623 -274.068455439779</t>
  </si>
  <si>
    <t>-666.117125718996 20.0954379905879 -529.371238127624</t>
  </si>
  <si>
    <t>-609.65719326396 141.82895840081 -96.279922517843</t>
  </si>
  <si>
    <t>-631.013835204811 147.449619418956 318.70786324829</t>
  </si>
  <si>
    <t>-669.868180372535 179.65439821058 779.076724114338</t>
  </si>
  <si>
    <t>-519.610430161986 179.899144110103 836.57782817183</t>
  </si>
  <si>
    <t>-601.478504680893 -59.8454246154517 322.585216697129</t>
  </si>
  <si>
    <t>-653.398983920236 -100.216669092045 781.05241390596</t>
  </si>
  <si>
    <t>-499.683078561041 -116.989037207874 825.481424948222</t>
  </si>
  <si>
    <t>9763-20170724T115518.629275100.bin</t>
  </si>
  <si>
    <t>-604.993404090736 49.5460960881403 -92.7975600193269</t>
  </si>
  <si>
    <t>-626.400563521797 46.1326940623087 -201.36807713416</t>
  </si>
  <si>
    <t>-640.065965333812 46.0230609810503 -293.23253985352</t>
  </si>
  <si>
    <t>-651.603687873592 46.9784574738194 -376.323575467995</t>
  </si>
  <si>
    <t>-661.765986684518 49.0167348843504 -459.574389755609</t>
  </si>
  <si>
    <t>-675.110564615288 53.1820628149737 -581.432971230937</t>
  </si>
  <si>
    <t>-664.871182024884 58.8435514998025 -658.913974303171</t>
  </si>
  <si>
    <t>-670.673796394672 82.6594832315213 -526.737054857105</t>
  </si>
  <si>
    <t>-648.1116164101 234.429790983751 -498.522707171722</t>
  </si>
  <si>
    <t>-517.65610880919 235.964907122925 -248.407559377308</t>
  </si>
  <si>
    <t>-301.646831996777 154.427881670372 -273.710535020087</t>
  </si>
  <si>
    <t>-667.836404102204 20.0491494836576 -529.187851117635</t>
  </si>
  <si>
    <t>-610.396313547876 142.306300946299 -96.3020977028179</t>
  </si>
  <si>
    <t>-631.320800689541 147.790731812703 318.709528990152</t>
  </si>
  <si>
    <t>-669.88075949849 179.752005042103 779.121980971117</t>
  </si>
  <si>
    <t>-519.606013940375 179.792190495155 836.579106928974</t>
  </si>
  <si>
    <t>-601.654718991914 -59.3234972921082 322.608322686416</t>
  </si>
  <si>
    <t>-653.352629962566 -100.208647650712 781.046512930255</t>
  </si>
  <si>
    <t>-499.638420269734 -116.878885629335 825.519816658395</t>
  </si>
  <si>
    <t>9763-20170724T115518.659860700.bin</t>
  </si>
  <si>
    <t>-605.329510298264 49.7308101451358 -92.7983888696421</t>
  </si>
  <si>
    <t>-626.816775077846 46.3098879413228 -201.352972118147</t>
  </si>
  <si>
    <t>-640.580865494115 46.1473710815535 -293.202554367308</t>
  </si>
  <si>
    <t>-652.22020109694 47.0370716872287 -376.280127269306</t>
  </si>
  <si>
    <t>-662.496671541925 48.9907652353584 -459.519022542904</t>
  </si>
  <si>
    <t>-676.02176074915 53.011984949314 -581.362524717782</t>
  </si>
  <si>
    <t>-665.868842269823 58.679630988546 -658.854463305303</t>
  </si>
  <si>
    <t>-671.470343639787 82.555755725879 -526.711820914289</t>
  </si>
  <si>
    <t>-648.570497571521 234.330029619128 -498.822030526454</t>
  </si>
  <si>
    <t>-517.956679943091 236.319737634268 -248.792666602796</t>
  </si>
  <si>
    <t>-301.918653380192 154.595745616553 -273.232293751511</t>
  </si>
  <si>
    <t>-668.703774728439 19.9393263374359 -529.085463115427</t>
  </si>
  <si>
    <t>-610.700026817695 142.482122035841 -96.3131271137678</t>
  </si>
  <si>
    <t>-631.528397341911 147.897008227621 318.704291816011</t>
  </si>
  <si>
    <t>-669.911308185036 179.706146210322 779.15168923918</t>
  </si>
  <si>
    <t>-519.626071533232 179.904630945537 836.580932578</t>
  </si>
  <si>
    <t>-601.832346129209 -59.1386986496027 322.61429441686</t>
  </si>
  <si>
    <t>-653.31608002751 -100.188052295535 781.051704969308</t>
  </si>
  <si>
    <t>-499.603859971081 -116.73295806021 825.578542643189</t>
  </si>
  <si>
    <t>9763-20170724T115518.731584100.bin</t>
  </si>
  <si>
    <t>-605.948656703009 49.8744324840825 -92.8009702046778</t>
  </si>
  <si>
    <t>-627.547203705585 46.4695221299185 -201.33391195905</t>
  </si>
  <si>
    <t>-641.552750892296 46.1877401283102 -293.146854085374</t>
  </si>
  <si>
    <t>-653.470107399138 46.9196019620792 -376.186422823852</t>
  </si>
  <si>
    <t>-664.08505801374 48.6636326553262 -459.387479450848</t>
  </si>
  <si>
    <t>-678.171620974481 52.3214328199203 -581.178787324151</t>
  </si>
  <si>
    <t>-668.191406118288 57.8722680789883 -658.701670668243</t>
  </si>
  <si>
    <t>-673.278159580404 82.0322409799046 -526.648333674905</t>
  </si>
  <si>
    <t>-649.58093554692 233.795231866248 -499.3054001312</t>
  </si>
  <si>
    <t>-519.919464299931 236.399379538496 -248.786383781254</t>
  </si>
  <si>
    <t>-303.390250377307 155.304018363222 -270.858393812424</t>
  </si>
  <si>
    <t>-670.702941193188 19.4005831147342 -528.827369774963</t>
  </si>
  <si>
    <t>-611.108051452395 142.705866245386 -96.3401308912212</t>
  </si>
  <si>
    <t>-631.825505284358 148.04903003243 318.683777008288</t>
  </si>
  <si>
    <t>-669.938372217741 179.742382710511 779.198820602136</t>
  </si>
  <si>
    <t>-519.638960206194 179.950809339893 836.591078201693</t>
  </si>
  <si>
    <t>-602.167617925847 -59.0626407927296 322.630628505537</t>
  </si>
  <si>
    <t>-653.174026651135 -100.224879437111 781.106485804787</t>
  </si>
  <si>
    <t>-499.556706631498 -117.022405459551 825.865653518086</t>
  </si>
  <si>
    <t>9763-20170724T115518.760162700.bin</t>
  </si>
  <si>
    <t>-606.288376048077 49.8658486318038 -92.7808871523728</t>
  </si>
  <si>
    <t>-627.933243962217 46.496659316329 -201.305812589699</t>
  </si>
  <si>
    <t>-642.057537129003 46.1504655131771 -293.100203981456</t>
  </si>
  <si>
    <t>-654.114459855987 46.7877910298744 -376.120492155688</t>
  </si>
  <si>
    <t>-664.901253064522 48.3996988762228 -459.302055549271</t>
  </si>
  <si>
    <t>-679.274621321784 51.8226495483 -581.066734417735</t>
  </si>
  <si>
    <t>-669.381885515085 57.256380151724 -658.608993744099</t>
  </si>
  <si>
    <t>-674.170012343375 81.6422497618496 -526.614980453506</t>
  </si>
  <si>
    <t>-650.073799174979 233.391740811641 -499.563865516849</t>
  </si>
  <si>
    <t>-521.737380034169 236.359547330914 -248.36768572952</t>
  </si>
  <si>
    <t>-304.964958291847 155.491504455574 -268.827512160113</t>
  </si>
  <si>
    <t>-671.765374534539 18.9992341147606 -528.659855103607</t>
  </si>
  <si>
    <t>-611.301452019776 142.791717806899 -96.3398673438785</t>
  </si>
  <si>
    <t>-631.962578565797 148.090110098639 318.687441652196</t>
  </si>
  <si>
    <t>-669.935867492199 179.79992361053 779.212242118268</t>
  </si>
  <si>
    <t>-519.63597894155 179.937623530735 836.60340904006</t>
  </si>
  <si>
    <t>-602.358390757478 -59.0616488572862 322.648144488761</t>
  </si>
  <si>
    <t>-653.100893840577 -100.239890872511 781.15256601953</t>
  </si>
  <si>
    <t>-499.541303855643 -117.213325934262 826.043273342441</t>
  </si>
  <si>
    <t>9763-20170724T115518.828851800.bin</t>
  </si>
  <si>
    <t>-606.851574605626 49.7891817415789 -92.7513942161554</t>
  </si>
  <si>
    <t>-628.560482218533 46.4845966273626 -201.26551804257</t>
  </si>
  <si>
    <t>-642.825049018929 46.0469725838536 -293.037869810829</t>
  </si>
  <si>
    <t>-655.043253712631 46.547263570749 -376.035370607508</t>
  </si>
  <si>
    <t>-666.025951690266 47.9636912579908 -459.194808921627</t>
  </si>
  <si>
    <t>-680.723232437943 51.0371485186793 -580.930107449824</t>
  </si>
  <si>
    <t>-670.971002653663 56.2777048927755 -658.503549845777</t>
  </si>
  <si>
    <t>-675.278330498408 81.0205087287754 -526.601516964989</t>
  </si>
  <si>
    <t>-650.043104442239 232.635866509234 -499.951149506605</t>
  </si>
  <si>
    <t>-526.149663745683 236.42971881094 -246.545128383561</t>
  </si>
  <si>
    <t>-308.367142748674 156.975626656093 -260.91023964728</t>
  </si>
  <si>
    <t>-673.270007749807 18.3566507706064 -528.426037144208</t>
  </si>
  <si>
    <t>-611.503072244382 142.851049575359 -96.3150271204611</t>
  </si>
  <si>
    <t>-632.322884940078 148.069567719826 318.705298199602</t>
  </si>
  <si>
    <t>-669.974817912235 179.728526909281 779.25291679975</t>
  </si>
  <si>
    <t>-519.672173743927 179.869491954442 836.63684030812</t>
  </si>
  <si>
    <t>-602.719054557791 -58.9781665854143 322.702877478147</t>
  </si>
  <si>
    <t>-652.990223411373 -100.200426738616 781.241769188433</t>
  </si>
  <si>
    <t>-499.420790119417 -116.598236467742 826.31243232027</t>
  </si>
  <si>
    <t>9763-20170724T115518.858932100.bin</t>
  </si>
  <si>
    <t>-607.048709713724 49.7854685091645 -92.7437431824756</t>
  </si>
  <si>
    <t>-628.748494777203 46.5185866860663 -201.260755639498</t>
  </si>
  <si>
    <t>-643.036340991169 46.0495047989418 -293.029326751171</t>
  </si>
  <si>
    <t>-655.288028694355 46.4979427536068 -376.022314641969</t>
  </si>
  <si>
    <t>-666.316669187537 47.8375521460393 -459.176928314034</t>
  </si>
  <si>
    <t>-681.0948188867 50.7708137608572 -580.905978595812</t>
  </si>
  <si>
    <t>-671.406542764717 55.9244458324631 -658.493269271112</t>
  </si>
  <si>
    <t>-675.529679420626 80.8194087118097 -526.625578894098</t>
  </si>
  <si>
    <t>-649.870929221558 232.393783806082 -500.142225114176</t>
  </si>
  <si>
    <t>-528.673398359749 236.358040989403 -245.438523605978</t>
  </si>
  <si>
    <t>-310.352532991916 157.74713907945 -255.678729649313</t>
  </si>
  <si>
    <t>-673.690938257536 18.1480035712113 -528.359073323726</t>
  </si>
  <si>
    <t>-611.533287106319 142.90291416206 -96.3066847861347</t>
  </si>
  <si>
    <t>-632.460452279782 148.106826418403 318.708401398767</t>
  </si>
  <si>
    <t>-669.985547519888 179.736723834787 779.276787122308</t>
  </si>
  <si>
    <t>-519.678414591277 179.788736418321 836.649252926173</t>
  </si>
  <si>
    <t>-602.821443778366 -58.9911332621086 322.717340426622</t>
  </si>
  <si>
    <t>-652.920617182362 -100.223232906149 781.275448440423</t>
  </si>
  <si>
    <t>-499.416624603192 -116.849555963942 826.485149675793</t>
  </si>
  <si>
    <t>9763-20170724T115518.925901500.bin</t>
  </si>
  <si>
    <t>-607.322733149132 49.855263595078 -92.6550491400328</t>
  </si>
  <si>
    <t>-628.959919960401 46.643281882614 -201.186157838104</t>
  </si>
  <si>
    <t>-643.264705659031 46.1176662002383 -292.951779478326</t>
  </si>
  <si>
    <t>-655.559632971804 46.4766867723326 -375.938752152512</t>
  </si>
  <si>
    <t>-666.659038117491 47.685888180918 -459.086121230747</t>
  </si>
  <si>
    <t>-681.57091290957 50.3823954244908 -580.804230405502</t>
  </si>
  <si>
    <t>-672.029386014299 55.3698557463463 -658.420579383103</t>
  </si>
  <si>
    <t>-675.770997209525 80.5417243639201 -526.609879040705</t>
  </si>
  <si>
    <t>-648.862084157505 231.870602301609 -499.870736777624</t>
  </si>
  <si>
    <t>-534.338393981891 234.97189111035 -242.085373580265</t>
  </si>
  <si>
    <t>-315.093078350649 158.298122042664 -243.161189768385</t>
  </si>
  <si>
    <t>-674.284433957951 17.8566009231777 -528.180938506712</t>
  </si>
  <si>
    <t>-611.570929576129 143.051728942717 -96.2612295288062</t>
  </si>
  <si>
    <t>-632.594504838105 148.270287918567 318.748865038828</t>
  </si>
  <si>
    <t>-670.01443707598 179.735222083017 779.329126433834</t>
  </si>
  <si>
    <t>-519.693447993881 179.846061735378 836.66513861176</t>
  </si>
  <si>
    <t>-602.919362358467 -58.8853590519143 322.808105095663</t>
  </si>
  <si>
    <t>-652.64325703958 -100.226137714981 781.403159325256</t>
  </si>
  <si>
    <t>-499.25221032761 -116.650400272935 827.067801057546</t>
  </si>
  <si>
    <t>9763-20170724T115518.958991500.bin</t>
  </si>
  <si>
    <t>-607.258189139021 49.9142135442489 -92.6019904176018</t>
  </si>
  <si>
    <t>-628.87481196393 46.7283374232779 -201.138059311555</t>
  </si>
  <si>
    <t>-643.169246182891 46.1898095750619 -292.905193617588</t>
  </si>
  <si>
    <t>-655.457283911745 46.5243464265927 -375.8932755032</t>
  </si>
  <si>
    <t>-666.551955800381 47.694417194208 -459.041809606467</t>
  </si>
  <si>
    <t>-681.458956282988 50.3174621026653 -580.762083339994</t>
  </si>
  <si>
    <t>-671.971375002588 55.2325813334246 -658.389687419974</t>
  </si>
  <si>
    <t>-675.554769330377 80.5121860279683 -526.598752852261</t>
  </si>
  <si>
    <t>-647.954666518053 231.660858516349 -499.656627006792</t>
  </si>
  <si>
    <t>-537.938735722796 234.452512754804 -239.912084527461</t>
  </si>
  <si>
    <t>-318.509172177662 158.398611428731 -236.038286319268</t>
  </si>
  <si>
    <t>-674.281019589321 17.8207643968963 -528.105774638786</t>
  </si>
  <si>
    <t>-611.35748807381 143.132759683472 -96.221426835764</t>
  </si>
  <si>
    <t>-632.529927263799 148.382103172161 318.780716500873</t>
  </si>
  <si>
    <t>-670.005412525073 179.801775146971 779.349430993854</t>
  </si>
  <si>
    <t>-519.677948744963 179.739472395465 836.66839610399</t>
  </si>
  <si>
    <t>-602.939960358083 -58.8404412013069 322.86313745259</t>
  </si>
  <si>
    <t>-652.554785869893 -100.242391169962 781.448451356234</t>
  </si>
  <si>
    <t>-499.210766033139 -116.621401812543 827.286911235509</t>
  </si>
  <si>
    <t>9763-20170724T115519.029774800.bin</t>
  </si>
  <si>
    <t>-606.81471645809 50.0689875777521 -92.5472841356001</t>
  </si>
  <si>
    <t>-628.452162122216 46.9387507480001 -201.080868086205</t>
  </si>
  <si>
    <t>-642.65225609117 46.3737944068805 -292.86250526894</t>
  </si>
  <si>
    <t>-654.810008774152 46.6576273435217 -375.870029755459</t>
  </si>
  <si>
    <t>-665.729099143393 47.74767304032 -459.042783233656</t>
  </si>
  <si>
    <t>-680.32959896482 50.2213266053514 -580.803353162779</t>
  </si>
  <si>
    <t>-670.878028362834 55.0230214055584 -658.442447007134</t>
  </si>
  <si>
    <t>-674.452604281607 80.4848596670149 -526.67545174168</t>
  </si>
  <si>
    <t>-646.471379964447 231.58988174708 -499.794694449047</t>
  </si>
  <si>
    <t>-546.081585524351 233.925756681028 -236.175538641014</t>
  </si>
  <si>
    <t>-326.841923340286 158.972215808746 -219.913248532848</t>
  </si>
  <si>
    <t>-673.3934267865 17.7870870627514 -528.07622060577</t>
  </si>
  <si>
    <t>-610.684463548249 143.33411893972 -96.1788723503835</t>
  </si>
  <si>
    <t>-632.070352455559 148.487052877792 318.813595123127</t>
  </si>
  <si>
    <t>-670.002012226723 179.75101157484 779.350322340076</t>
  </si>
  <si>
    <t>-519.67230968109 179.705039525422 836.663524309541</t>
  </si>
  <si>
    <t>-602.765025787607 -58.7937536557679 322.93261482713</t>
  </si>
  <si>
    <t>-652.33203238644 -100.254441426549 781.545579588285</t>
  </si>
  <si>
    <t>-499.11475314425 -116.750694329998 827.764246227965</t>
  </si>
  <si>
    <t>9763-20170724T115519.059366100.bin</t>
  </si>
  <si>
    <t>-606.499285938736 50.1149133438655 -92.5381676870568</t>
  </si>
  <si>
    <t>-628.15698259319 46.9980379267818 -201.068071308142</t>
  </si>
  <si>
    <t>-642.347883142966 46.4136457396744 -292.850899252608</t>
  </si>
  <si>
    <t>-654.486875627675 46.6681536496653 -375.861417907339</t>
  </si>
  <si>
    <t>-665.376779630613 47.7168391716177 -459.038457876972</t>
  </si>
  <si>
    <t>-679.92322010254 50.1167045270181 -580.807057216117</t>
  </si>
  <si>
    <t>-670.48294476995 54.8940013512231 -658.448948383302</t>
  </si>
  <si>
    <t>-674.058381450924 80.4132785573754 -526.696398635999</t>
  </si>
  <si>
    <t>-646.038731189569 231.494454624848 -499.695442559965</t>
  </si>
  <si>
    <t>-550.427642523994 233.483391791716 -234.303074400737</t>
  </si>
  <si>
    <t>-331.732515663869 158.704326709426 -211.301898317279</t>
  </si>
  <si>
    <t>-673.022366771929 17.7140998028513 -528.05575966191</t>
  </si>
  <si>
    <t>-610.331482500656 143.395213990641 -96.1693001557483</t>
  </si>
  <si>
    <t>-631.741270885526 148.512766137007 318.822361458528</t>
  </si>
  <si>
    <t>-669.985057509775 179.75434046323 779.337209065507</t>
  </si>
  <si>
    <t>-519.662283070682 179.622024737772 836.668417329793</t>
  </si>
  <si>
    <t>-602.544322040852 -58.7475761107753 322.958230682497</t>
  </si>
  <si>
    <t>-652.265926741095 -100.239213052557 781.574000676327</t>
  </si>
  <si>
    <t>-499.060377812106 -116.548160987504 827.897875902922</t>
  </si>
  <si>
    <t>9763-20170724T115519.125042400.bin</t>
  </si>
  <si>
    <t>-605.624873422014 50.10397884707 -92.5010719825696</t>
  </si>
  <si>
    <t>-627.390408773613 46.9571775709446 -201.00845517523</t>
  </si>
  <si>
    <t>-641.554917779746 46.375546503107 -292.795571601922</t>
  </si>
  <si>
    <t>-653.622843702422 46.641717521276 -375.816189090138</t>
  </si>
  <si>
    <t>-664.394272843698 47.7123474925227 -459.008534338208</t>
  </si>
  <si>
    <t>-678.715260200768 50.1558446515326 -580.802815535106</t>
  </si>
  <si>
    <t>-669.197399604953 54.9634866926431 -658.433496778212</t>
  </si>
  <si>
    <t>-673.014259983528 80.431729963072 -526.663079100181</t>
  </si>
  <si>
    <t>-644.583263516205 231.323167100936 -499.140987398504</t>
  </si>
  <si>
    <t>-559.048641659372 233.00508387352 -230.329611258201</t>
  </si>
  <si>
    <t>-342.786551125032 156.860827364229 -193.163778949512</t>
  </si>
  <si>
    <t>-671.848398402644 17.7356621970539 -528.058087259021</t>
  </si>
  <si>
    <t>-609.606072972252 143.262280166835 -96.1221869276684</t>
  </si>
  <si>
    <t>-631.274176155024 148.508754147002 318.854399510637</t>
  </si>
  <si>
    <t>-669.956815075344 179.720030763008 779.318908241893</t>
  </si>
  <si>
    <t>-519.647308544058 179.749349791855 836.685109869529</t>
  </si>
  <si>
    <t>-601.823544917949 -58.725130774742 323.00690532961</t>
  </si>
  <si>
    <t>-652.144593862138 -100.225683331063 781.575356500783</t>
  </si>
  <si>
    <t>-499.000223283528 -116.485415079984 828.118314797835</t>
  </si>
  <si>
    <t>9763-20170724T115519.162646900.bin</t>
  </si>
  <si>
    <t>-605.166476834114 50.100981454133 -92.4990556917738</t>
  </si>
  <si>
    <t>-626.974730729035 46.9332308230703 -200.997226084358</t>
  </si>
  <si>
    <t>-641.1389582203 46.3398022765139 -292.784308707722</t>
  </si>
  <si>
    <t>-653.192119505636 46.5959365979354 -375.80715198959</t>
  </si>
  <si>
    <t>-663.934336889685 47.6587042121114 -459.003380560334</t>
  </si>
  <si>
    <t>-678.196929009829 50.0928764757318 -580.804728380068</t>
  </si>
  <si>
    <t>-668.671674637196 54.9231237709996 -658.433043114027</t>
  </si>
  <si>
    <t>-672.604389676298 80.370928887103 -526.655023717715</t>
  </si>
  <si>
    <t>-644.759176508781 231.371799388381 -499.110491921856</t>
  </si>
  <si>
    <t>-563.755442586217 233.461574581888 -228.90206061027</t>
  </si>
  <si>
    <t>-349.553010337634 155.412428383545 -184.470280563378</t>
  </si>
  <si>
    <t>-671.272912217216 17.6784955027642 -528.063727223126</t>
  </si>
  <si>
    <t>-609.361217643582 143.166912081974 -96.1096598263625</t>
  </si>
  <si>
    <t>-631.04950898062 148.440559471187 318.865502499325</t>
  </si>
  <si>
    <t>-669.950835161959 179.634476095046 779.304285774243</t>
  </si>
  <si>
    <t>-519.652483057729 179.729602355285 836.699554411244</t>
  </si>
  <si>
    <t>-601.412463777846 -58.6186490116311 323.012911739268</t>
  </si>
  <si>
    <t>-652.096745843633 -100.224900835426 781.53870638592</t>
  </si>
  <si>
    <t>-498.980034359168 -116.478203486867 828.174824077152</t>
  </si>
  <si>
    <t>9763-20170724T115519.227881400.bin</t>
  </si>
  <si>
    <t>-604.269831005287 50.0364867633457 -92.4989389676398</t>
  </si>
  <si>
    <t>-626.125286329648 46.8130064260899 -200.986096674391</t>
  </si>
  <si>
    <t>-640.415804380673 46.2391820717082 -292.753605785911</t>
  </si>
  <si>
    <t>-652.61785677292 46.5364420042938 -375.754534142417</t>
  </si>
  <si>
    <t>-663.544274304025 47.6665176438328 -458.925931730902</t>
  </si>
  <si>
    <t>-678.115001280397 50.2287483729574 -580.688116005845</t>
  </si>
  <si>
    <t>-668.677824446529 55.2269649880425 -658.316598325777</t>
  </si>
  <si>
    <t>-672.5546553148 80.4454001554579 -526.500843691241</t>
  </si>
  <si>
    <t>-644.996752892493 231.386656525862 -498.346862641864</t>
  </si>
  <si>
    <t>-573.313765698446 232.95322261505 -225.514203536427</t>
  </si>
  <si>
    <t>-363.145794904675 152.974037187241 -167.365457530053</t>
  </si>
  <si>
    <t>-670.888352734067 17.7634528241961 -528.019125549657</t>
  </si>
  <si>
    <t>-608.884251104529 142.879020947217 -96.0863092486114</t>
  </si>
  <si>
    <t>-630.70143925313 148.304752370632 318.880175304556</t>
  </si>
  <si>
    <t>-669.899188669533 179.608205361658 779.272615336249</t>
  </si>
  <si>
    <t>-519.628703436739 179.715615215657 836.740845178406</t>
  </si>
  <si>
    <t>-600.609573987842 -58.5470240994448 323.004551052038</t>
  </si>
  <si>
    <t>-652.010736059909 -100.198848693967 781.428179395649</t>
  </si>
  <si>
    <t>-498.896552337922 -116.039845410058 828.214270525717</t>
  </si>
  <si>
    <t>9763-20170724T115519.258474500.bin</t>
  </si>
  <si>
    <t>-603.790728681435 49.9120783217672 -92.4875346773193</t>
  </si>
  <si>
    <t>-625.653672997547 46.6549873809242 -200.972082926702</t>
  </si>
  <si>
    <t>-640.031795466339 46.1133378047771 -292.72607571348</t>
  </si>
  <si>
    <t>-652.345662171922 46.4625012755851 -375.71043542855</t>
  </si>
  <si>
    <t>-663.416763506183 47.6688252825243 -458.86153343502</t>
  </si>
  <si>
    <t>-678.23514034154 50.3693165897262 -580.59094869515</t>
  </si>
  <si>
    <t>-668.91676997952 55.4925340409411 -658.225539857042</t>
  </si>
  <si>
    <t>-672.627318187957 80.5224662671772 -526.373117618868</t>
  </si>
  <si>
    <t>-644.838389632477 231.307010790567 -497.65927310242</t>
  </si>
  <si>
    <t>-577.887925629727 232.197261845512 -223.623791805529</t>
  </si>
  <si>
    <t>-369.254299119572 152.345927109406 -160.028910965989</t>
  </si>
  <si>
    <t>-670.838646109549 17.8461243137137 -527.981094659293</t>
  </si>
  <si>
    <t>-608.577144053004 142.633214377432 -96.0669088705716</t>
  </si>
  <si>
    <t>-630.57296068732 148.157120269892 318.888820100685</t>
  </si>
  <si>
    <t>-669.902809252072 179.506519024918 779.26194467139</t>
  </si>
  <si>
    <t>-519.641824508146 179.754218926108 836.754582000897</t>
  </si>
  <si>
    <t>-600.344250096771 -58.6481813884964 322.994939283749</t>
  </si>
  <si>
    <t>-652.013672218801 -100.188216498791 781.368359849813</t>
  </si>
  <si>
    <t>-498.911807887803 -116.122184273032 828.163160864238</t>
  </si>
  <si>
    <t>9763-20170724T115519.325157200.bin</t>
  </si>
  <si>
    <t>-602.774460731016 49.3704576160126 -92.5226524633204</t>
  </si>
  <si>
    <t>-624.590925932515 46.0955241813249 -201.016086646518</t>
  </si>
  <si>
    <t>-639.040907296261 45.6353024737616 -292.759293121956</t>
  </si>
  <si>
    <t>-651.465319238638 46.0959938174319 -375.726507022065</t>
  </si>
  <si>
    <t>-662.693479072777 47.4547831077912 -458.854212964077</t>
  </si>
  <si>
    <t>-677.793264263092 50.4241173198452 -580.542726370278</t>
  </si>
  <si>
    <t>-668.668517335876 55.8109579602983 -658.182607806346</t>
  </si>
  <si>
    <t>-672.221626076599 80.4519363005149 -526.251661164197</t>
  </si>
  <si>
    <t>-644.67670180816 231.100554230141 -496.576013754785</t>
  </si>
  <si>
    <t>-585.920357212055 230.596956428835 -220.666649263213</t>
  </si>
  <si>
    <t>-379.461179334838 154.180102812658 -146.615242430498</t>
  </si>
  <si>
    <t>-670.113592459433 17.7905277785458 -528.042215668562</t>
  </si>
  <si>
    <t>-607.6359536239 142.03441576769 -96.0761980863608</t>
  </si>
  <si>
    <t>-629.98150301062 147.71796462674 318.858713970511</t>
  </si>
  <si>
    <t>-669.862349517452 179.442390955547 779.196515678553</t>
  </si>
  <si>
    <t>-519.630181614879 179.749966072791 836.764042029119</t>
  </si>
  <si>
    <t>-600.081761687261 -59.221097304717 322.922290574555</t>
  </si>
  <si>
    <t>-652.09889871183 -100.198638646239 781.271869567589</t>
  </si>
  <si>
    <t>-498.937475462066 -115.950558056644 827.933107383795</t>
  </si>
  <si>
    <t>9763-20170724T115519.362261000.bin</t>
  </si>
  <si>
    <t>-602.238318351776 48.9983279299133 -92.5264374045187</t>
  </si>
  <si>
    <t>-624.03323789467 45.7212240399726 -201.023992533263</t>
  </si>
  <si>
    <t>-638.423531183785 45.3314276964124 -292.776990773147</t>
  </si>
  <si>
    <t>-650.778180803768 45.8849118470455 -375.754039227376</t>
  </si>
  <si>
    <t>-661.921133753259 47.3674844618722 -458.891043224271</t>
  </si>
  <si>
    <t>-676.879859831496 50.552524600148 -580.591584160084</t>
  </si>
  <si>
    <t>-667.763360307703 56.09202482552 -658.221586422245</t>
  </si>
  <si>
    <t>-671.466098261484 80.4804028556782 -526.229394921189</t>
  </si>
  <si>
    <t>-643.843654078377 231.034475291498 -496.17538659297</t>
  </si>
  <si>
    <t>-589.099594251064 231.200721484512 -219.441466353059</t>
  </si>
  <si>
    <t>-383.864722981975 155.439204252399 -141.419819425234</t>
  </si>
  <si>
    <t>-669.1660849788 17.82959906118 -528.151663518785</t>
  </si>
  <si>
    <t>-607.059099965301 141.7163571125 -96.0765554251097</t>
  </si>
  <si>
    <t>-629.632272561916 147.466223186868 318.845081325209</t>
  </si>
  <si>
    <t>-669.833895378614 179.430936205182 779.145080602558</t>
  </si>
  <si>
    <t>-519.621406481461 179.650352459512 836.764363111017</t>
  </si>
  <si>
    <t>-600.024957883665 -59.6307869851069 322.894446967351</t>
  </si>
  <si>
    <t>-652.161788700896 -100.216153915409 781.248920642146</t>
  </si>
  <si>
    <t>-499.001104932028 -116.23349280121 827.822156645933</t>
  </si>
  <si>
    <t>9763-20170724T115519.423991200.bin</t>
  </si>
  <si>
    <t>-601.180029391739 48.2071561244923 -92.5333504523616</t>
  </si>
  <si>
    <t>-622.901360147972 44.8962709834602 -201.044748215538</t>
  </si>
  <si>
    <t>-637.212784579576 44.5613403464149 -292.810272221573</t>
  </si>
  <si>
    <t>-649.490142997735 45.197975092563 -375.79816036925</t>
  </si>
  <si>
    <t>-660.550556493468 46.7988903214341 -458.944114213486</t>
  </si>
  <si>
    <t>-675.383365268803 50.1965479956014 -580.654245474778</t>
  </si>
  <si>
    <t>-666.425809586074 55.8775277144423 -658.292533070269</t>
  </si>
  <si>
    <t>-670.152014660889 80.0239017760207 -526.218838850032</t>
  </si>
  <si>
    <t>-642.901764330564 230.590547306548 -495.800372526824</t>
  </si>
  <si>
    <t>-595.273207169171 231.53154483409 -217.754940401297</t>
  </si>
  <si>
    <t>-390.954178867393 156.352121882887 -136.820969110421</t>
  </si>
  <si>
    <t>-667.597694874449 17.3873922603077 -528.278754899864</t>
  </si>
  <si>
    <t>-606.041277626751 140.948931268668 -96.0918588377233</t>
  </si>
  <si>
    <t>-629.031482480463 146.847717238345 318.804793329147</t>
  </si>
  <si>
    <t>-669.795515470067 179.303641575417 779.032516036623</t>
  </si>
  <si>
    <t>-519.627552883802 179.70497103465 836.766808775171</t>
  </si>
  <si>
    <t>-599.702056722586 -60.3482626960813 322.883329440515</t>
  </si>
  <si>
    <t>-652.327120878725 -100.20232003405 781.243661554798</t>
  </si>
  <si>
    <t>-499.096067808219 -116.364448167304 827.534661925229</t>
  </si>
  <si>
    <t>9763-20170724T115519.460590800.bin</t>
  </si>
  <si>
    <t>-600.698491655928 47.7869932121025 -92.5250744598635</t>
  </si>
  <si>
    <t>-622.390295767249 44.4640237427379 -201.041912926686</t>
  </si>
  <si>
    <t>-636.685402989389 44.1528401430085 -292.810052987905</t>
  </si>
  <si>
    <t>-648.95170328548 44.8234730847187 -375.799401867013</t>
  </si>
  <si>
    <t>-660.004855407532 46.4720388184178 -458.945306521635</t>
  </si>
  <si>
    <t>-674.831327983326 49.9547311768365 -580.653825272521</t>
  </si>
  <si>
    <t>-665.962489359838 55.6762821665654 -658.299289076422</t>
  </si>
  <si>
    <t>-669.657617579599 79.7415980439614 -526.190857768443</t>
  </si>
  <si>
    <t>-642.739461634232 230.332289193127 -495.572970904106</t>
  </si>
  <si>
    <t>-597.408781330137 231.082256269003 -217.143237953806</t>
  </si>
  <si>
    <t>-391.932771213378 157.745762445614 -137.456932712714</t>
  </si>
  <si>
    <t>-666.993545805232 17.1116120562554 -528.307550339026</t>
  </si>
  <si>
    <t>-605.617065639191 140.508582580866 -96.0811480528329</t>
  </si>
  <si>
    <t>-628.805309882116 146.567719999502 318.802137293187</t>
  </si>
  <si>
    <t>-669.775128042839 179.264505948173 778.984520387557</t>
  </si>
  <si>
    <t>-519.627849723511 179.716961476659 836.772202131002</t>
  </si>
  <si>
    <t>-599.495010917941 -60.7338276785781 322.894182100897</t>
  </si>
  <si>
    <t>-652.461912983699 -100.194606712997 781.229955324092</t>
  </si>
  <si>
    <t>-499.183765388243 -116.527515660768 827.304614594179</t>
  </si>
  <si>
    <t>9763-20170724T115519.526273100.bin</t>
  </si>
  <si>
    <t>-599.87937713629 47.2114454277448 -92.5096504854974</t>
  </si>
  <si>
    <t>-621.521973351453 43.8217285598596 -201.03433745053</t>
  </si>
  <si>
    <t>-635.793673566772 43.5293602389481 -292.80619835619</t>
  </si>
  <si>
    <t>-648.047026826675 44.24387402613 -375.797070865029</t>
  </si>
  <si>
    <t>-659.096025775202 45.9675261866716 -458.942021319276</t>
  </si>
  <si>
    <t>-673.927007920259 49.5942097569437 -580.645833681172</t>
  </si>
  <si>
    <t>-665.250034379986 55.4301083620408 -658.304490083397</t>
  </si>
  <si>
    <t>-668.965198738883 79.3058861157156 -526.122065808168</t>
  </si>
  <si>
    <t>-643.273488002945 230.046365179717 -495.270834701263</t>
  </si>
  <si>
    <t>-599.0646990284 231.283429603874 -216.662530933928</t>
  </si>
  <si>
    <t>-390.966920093809 160.673052320127 -141.442739334105</t>
  </si>
  <si>
    <t>-665.873443812855 16.6996867913842 -528.364490777997</t>
  </si>
  <si>
    <t>-605.089999536259 139.85478080404 -96.0737076313018</t>
  </si>
  <si>
    <t>-628.473820626383 146.189494690408 318.794533761325</t>
  </si>
  <si>
    <t>-669.763670863905 179.135918784959 778.928696184823</t>
  </si>
  <si>
    <t>-519.639863906665 179.749663893079 836.775754395198</t>
  </si>
  <si>
    <t>-599.097345357605 -61.2594884785467 322.899594821716</t>
  </si>
  <si>
    <t>-652.630061112444 -100.198573321484 781.205229653805</t>
  </si>
  <si>
    <t>-499.288185741803 -116.674305772332 827.016168365773</t>
  </si>
  <si>
    <t>9763-20170724T115519.561871900.bin</t>
  </si>
  <si>
    <t>-599.553635156929 47.1301645447077 -92.4969947725492</t>
  </si>
  <si>
    <t>-621.190889032572 43.685408279481 -201.02107459431</t>
  </si>
  <si>
    <t>-635.481373454572 43.3708035508448 -292.789781394953</t>
  </si>
  <si>
    <t>-647.761277249579 44.0726534776747 -375.776851205216</t>
  </si>
  <si>
    <t>-658.847026593472 45.7925435669988 -458.917004596689</t>
  </si>
  <si>
    <t>-673.742992669085 49.424802199864 -580.612695481827</t>
  </si>
  <si>
    <t>-665.189524946372 55.3199972615596 -658.280579776785</t>
  </si>
  <si>
    <t>-668.880358598566 79.1267571195749 -526.074717283291</t>
  </si>
  <si>
    <t>-643.851618301861 229.965582193472 -495.098011936392</t>
  </si>
  <si>
    <t>-599.220081281676 231.954475493132 -216.561443080276</t>
  </si>
  <si>
    <t>-390.184303205234 161.125404874345 -144.202469783583</t>
  </si>
  <si>
    <t>-665.533161427673 16.5352603178387 -528.35269590823</t>
  </si>
  <si>
    <t>-605.043849410143 139.71788798446 -96.0739332739822</t>
  </si>
  <si>
    <t>-628.333002130607 146.166272423169 318.797877533948</t>
  </si>
  <si>
    <t>-669.752298715148 179.113007131795 778.908262976147</t>
  </si>
  <si>
    <t>-519.637958158178 179.707232449151 836.78019435729</t>
  </si>
  <si>
    <t>-598.830461036672 -61.339607348548 322.907681017197</t>
  </si>
  <si>
    <t>-652.697841536502 -100.204496511061 781.192179842761</t>
  </si>
  <si>
    <t>-499.316337073353 -116.636776404931 826.885914389779</t>
  </si>
  <si>
    <t>9763-20170724T115519.626546100.bin</t>
  </si>
  <si>
    <t>-599.00572941989 47.0990550782381 -92.4779930712187</t>
  </si>
  <si>
    <t>-620.683356252312 43.5062084455681 -200.989105174056</t>
  </si>
  <si>
    <t>-634.955182903846 43.1076910549148 -292.760447408542</t>
  </si>
  <si>
    <t>-647.196603615834 43.744485939437 -375.75374937745</t>
  </si>
  <si>
    <t>-658.22236475539 45.4135080222602 -458.902943242845</t>
  </si>
  <si>
    <t>-673.006934354986 48.9868997608253 -580.613918547839</t>
  </si>
  <si>
    <t>-664.529120294881 54.9460656502708 -658.28524168824</t>
  </si>
  <si>
    <t>-668.381550496138 78.7038930129017 -526.063496655054</t>
  </si>
  <si>
    <t>-644.238628013875 229.69053135308 -495.166233419657</t>
  </si>
  <si>
    <t>-598.640068827497 233.166640327608 -216.800804746793</t>
  </si>
  <si>
    <t>-388.452868254052 161.319757658139 -148.919334983068</t>
  </si>
  <si>
    <t>-664.657609705477 16.1340401743742 -528.352968751528</t>
  </si>
  <si>
    <t>-605.089809509401 139.467351544659 -96.0552148629358</t>
  </si>
  <si>
    <t>-628.29358918563 146.116765458162 318.818235356891</t>
  </si>
  <si>
    <t>-669.746254242764 179.057643593079 778.905501152614</t>
  </si>
  <si>
    <t>-519.635735947278 179.718007156863 836.786650000324</t>
  </si>
  <si>
    <t>-598.119768272622 -61.2915564015798 322.947957900294</t>
  </si>
  <si>
    <t>-652.792164071983 -100.153044108963 781.135343593288</t>
  </si>
  <si>
    <t>-499.341917739355 -116.323478311543 826.691508774944</t>
  </si>
  <si>
    <t>9763-20170724T115519.659636100.bin</t>
  </si>
  <si>
    <t>-598.825387379093 47.0990700030577 -92.4707940152389</t>
  </si>
  <si>
    <t>-620.512328332235 43.4375440322171 -200.977888056396</t>
  </si>
  <si>
    <t>-634.752640813569 42.987545023587 -292.753839759442</t>
  </si>
  <si>
    <t>-646.949293818353 43.5777822261921 -375.754045048694</t>
  </si>
  <si>
    <t>-657.913820904134 45.2016875379604 -458.912096777941</t>
  </si>
  <si>
    <t>-672.590770518152 48.7099463695718 -580.63819375683</t>
  </si>
  <si>
    <t>-664.156416022566 54.6701864473646 -658.314133593621</t>
  </si>
  <si>
    <t>-668.080519963845 78.451736672783 -526.091562860202</t>
  </si>
  <si>
    <t>-644.444304506444 229.546661607585 -495.328787279012</t>
  </si>
  <si>
    <t>-598.179343014745 233.472467752514 -217.079239467632</t>
  </si>
  <si>
    <t>-387.499617240682 160.368483272439 -152.130262140869</t>
  </si>
  <si>
    <t>-664.220808371024 15.8892838452007 -528.360179550951</t>
  </si>
  <si>
    <t>-605.191291159034 139.436411690592 -96.0555564166295</t>
  </si>
  <si>
    <t>-628.247558350707 146.14239175216 318.82516491804</t>
  </si>
  <si>
    <t>-669.735271397612 179.080937993119 778.910535593905</t>
  </si>
  <si>
    <t>-519.622438043448 179.7122784571 836.78600637235</t>
  </si>
  <si>
    <t>-597.695084417489 -61.2045733667924 322.970092917324</t>
  </si>
  <si>
    <t>-652.793556815791 -100.151518077737 781.11244603812</t>
  </si>
  <si>
    <t>-499.356633053339 -116.497686769738 826.650740386449</t>
  </si>
  <si>
    <t>9763-20170724T115519.728845700.bin</t>
  </si>
  <si>
    <t>-598.595407975503 47.2625594906576 -92.4645551210878</t>
  </si>
  <si>
    <t>-620.310362603513 43.5101478198599 -200.96289233194</t>
  </si>
  <si>
    <t>-634.524942576968 42.9778063385438 -292.742498096419</t>
  </si>
  <si>
    <t>-646.678437109577 43.4877061817442 -375.749581107048</t>
  </si>
  <si>
    <t>-657.579875333822 45.0275799598974 -458.917560415096</t>
  </si>
  <si>
    <t>-672.142743746524 48.4092598434925 -580.660803696689</t>
  </si>
  <si>
    <t>-663.844259819069 54.3184070444033 -658.355184821174</t>
  </si>
  <si>
    <t>-667.808061632833 78.1992462286973 -526.126319938643</t>
  </si>
  <si>
    <t>-645.229225651806 229.529446971466 -495.676524824741</t>
  </si>
  <si>
    <t>-597.174416825136 233.269320748227 -217.727998019881</t>
  </si>
  <si>
    <t>-385.235265993051 158.175082000183 -159.494222098882</t>
  </si>
  <si>
    <t>-663.697362428313 15.6514686190469 -528.355436911587</t>
  </si>
  <si>
    <t>-605.29539467089 139.531032018293 -96.0561835713976</t>
  </si>
  <si>
    <t>-628.234859953534 146.225322515304 318.831249362891</t>
  </si>
  <si>
    <t>-669.722124296547 179.108599620356 778.924039750401</t>
  </si>
  <si>
    <t>-519.602416695949 179.797117397665 836.780910411047</t>
  </si>
  <si>
    <t>-597.198593074947 -60.8827723880436 323.004512813676</t>
  </si>
  <si>
    <t>-652.841018967147 -100.05674191032 781.040154447282</t>
  </si>
  <si>
    <t>-499.342432269601 -116.058986414544 826.492749142937</t>
  </si>
  <si>
    <t>9763-20170724T115519.759960300.bin</t>
  </si>
  <si>
    <t>-598.551158222794 47.3835416301661 -92.4587915405592</t>
  </si>
  <si>
    <t>-620.238889483164 43.6035875906048 -200.961561792771</t>
  </si>
  <si>
    <t>-634.44988226324 43.0466160106628 -292.741546895764</t>
  </si>
  <si>
    <t>-646.608036797019 43.5328213928526 -375.748133002677</t>
  </si>
  <si>
    <t>-657.522141599028 45.0484570533063 -458.91495582205</t>
  </si>
  <si>
    <t>-672.112496818527 48.3940123554257 -580.655868041176</t>
  </si>
  <si>
    <t>-663.905499588265 54.2592733375088 -658.363452940131</t>
  </si>
  <si>
    <t>-667.808971350313 78.1972295152923 -526.126116737279</t>
  </si>
  <si>
    <t>-645.67416127748 229.619410329653 -495.813823244506</t>
  </si>
  <si>
    <t>-596.607567546267 233.534230538649 -218.044696785122</t>
  </si>
  <si>
    <t>-384.16281722575 156.979706995512 -163.683248181757</t>
  </si>
  <si>
    <t>-663.611755465494 15.6548744511952 -528.347759432862</t>
  </si>
  <si>
    <t>-605.29816521204 139.602966055671 -96.0508174136743</t>
  </si>
  <si>
    <t>-628.280291575955 146.279335580131 318.83451171671</t>
  </si>
  <si>
    <t>-669.717020019543 179.154840215571 778.93483613047</t>
  </si>
  <si>
    <t>-519.590904028821 179.861258072357 836.774885518323</t>
  </si>
  <si>
    <t>-597.171769119172 -60.7652479148057 323.008342809066</t>
  </si>
  <si>
    <t>-652.865130332199 -100.098724795099 781.005138415566</t>
  </si>
  <si>
    <t>-499.397788893986 -116.436570711732 826.443799430213</t>
  </si>
  <si>
    <t>9763-20170724T115519.825992000.bin</t>
  </si>
  <si>
    <t>-598.541076110281 47.642157558706 -92.4580041689937</t>
  </si>
  <si>
    <t>-620.124637006711 43.8451562464916 -200.980981411394</t>
  </si>
  <si>
    <t>-634.275391985118 43.2135642501314 -292.769802404628</t>
  </si>
  <si>
    <t>-646.390410611491 43.6073473376482 -375.783092605687</t>
  </si>
  <si>
    <t>-657.272779104101 45.0063080569876 -458.956117853059</t>
  </si>
  <si>
    <t>-671.82935044396 48.1546318411326 -580.706346911186</t>
  </si>
  <si>
    <t>-663.732583189685 53.8787190753408 -658.435957217295</t>
  </si>
  <si>
    <t>-667.577675122824 78.0434830243046 -526.219393393348</t>
  </si>
  <si>
    <t>-646.0534689253 229.633567254717 -496.2967260402</t>
  </si>
  <si>
    <t>-595.204984099047 234.371349516729 -218.860913689652</t>
  </si>
  <si>
    <t>-382.657144978876 153.356845670579 -171.865322816044</t>
  </si>
  <si>
    <t>-663.306452455607 15.502791657851 -528.347383930562</t>
  </si>
  <si>
    <t>-605.324209324679 139.72657180743 -96.0350253170528</t>
  </si>
  <si>
    <t>-628.459798864616 146.478317689075 318.840569438084</t>
  </si>
  <si>
    <t>-669.733262003701 179.182967861155 778.965086662098</t>
  </si>
  <si>
    <t>-519.588668759583 179.76681616221 836.758554775182</t>
  </si>
  <si>
    <t>-597.257600648882 -60.6050408624792 322.998084109269</t>
  </si>
  <si>
    <t>-652.835655191612 -100.082384516082 780.99637107302</t>
  </si>
  <si>
    <t>-499.34590413736 -116.086356705553 826.478162892542</t>
  </si>
  <si>
    <t>9763-20170724T115519.859635200.bin</t>
  </si>
  <si>
    <t>-598.554757985911 47.6690332983278 -92.4420542734538</t>
  </si>
  <si>
    <t>-620.090019857148 43.8726046326558 -200.9745527772</t>
  </si>
  <si>
    <t>-634.226938765198 43.2161013003372 -292.765448357227</t>
  </si>
  <si>
    <t>-646.340194638898 43.5772610874446 -375.779103376955</t>
  </si>
  <si>
    <t>-657.231565092449 44.9331792680605 -458.95161857833</t>
  </si>
  <si>
    <t>-671.813076595139 48.0072683229491 -580.700874468148</t>
  </si>
  <si>
    <t>-663.742734334681 53.6631207149276 -658.438036692716</t>
  </si>
  <si>
    <t>-667.538428614055 77.9301453315413 -526.234370215879</t>
  </si>
  <si>
    <t>-646.018009706761 229.556081223289 -496.503292713795</t>
  </si>
  <si>
    <t>-594.681425829405 234.662615828204 -219.164158521203</t>
  </si>
  <si>
    <t>-382.246743351966 151.554341441774 -175.425709155381</t>
  </si>
  <si>
    <t>-663.291244748507 15.3866064287008 -528.322231111141</t>
  </si>
  <si>
    <t>-605.333465206608 139.688999190277 -96.0331737573674</t>
  </si>
  <si>
    <t>-628.508245838083 146.541188380201 318.838589312874</t>
  </si>
  <si>
    <t>-669.725590251001 179.216735244503 778.968545503926</t>
  </si>
  <si>
    <t>-519.576346076257 179.830362251322 836.749623836508</t>
  </si>
  <si>
    <t>-597.326917438644 -60.5769537441427 322.994261298417</t>
  </si>
  <si>
    <t>-652.831177569288 -100.085930560001 780.987305592728</t>
  </si>
  <si>
    <t>-499.346853910626 -116.077452577566 826.491811908661</t>
  </si>
  <si>
    <t>9763-20170724T115519.930248900.bin</t>
  </si>
  <si>
    <t>-598.537441788451 47.6240951253244 -92.4228685870756</t>
  </si>
  <si>
    <t>-620.053654503216 43.8403623827683 -200.959641542319</t>
  </si>
  <si>
    <t>-634.127974402785 43.1714279531186 -292.759996248156</t>
  </si>
  <si>
    <t>-646.166154351502 43.5129813374213 -375.784715195789</t>
  </si>
  <si>
    <t>-656.963912510831 44.8403283766347 -458.969944994287</t>
  </si>
  <si>
    <t>-671.388143217559 47.8632505359349 -580.738964575233</t>
  </si>
  <si>
    <t>-663.289168563931 53.4140854342334 -658.481039179369</t>
  </si>
  <si>
    <t>-667.169803284835 77.8100734882653 -526.281340570885</t>
  </si>
  <si>
    <t>-645.771492382419 229.486150117764 -496.730614278108</t>
  </si>
  <si>
    <t>-593.706064538883 234.874346284945 -219.532564910862</t>
  </si>
  <si>
    <t>-381.074594499463 150.028032178335 -180.32166215024</t>
  </si>
  <si>
    <t>-662.948022100289 15.263654035404 -528.334277150772</t>
  </si>
  <si>
    <t>-605.233945109094 139.680319544246 -96.0279477563065</t>
  </si>
  <si>
    <t>-628.410818966346 146.552849862634 318.843391884626</t>
  </si>
  <si>
    <t>-669.721061273905 179.229000938896 778.964193293154</t>
  </si>
  <si>
    <t>-519.56969113522 179.853137349316 836.739601083109</t>
  </si>
  <si>
    <t>-597.265540249466 -60.5787346943755 323.0170850607</t>
  </si>
  <si>
    <t>-652.727351404715 -100.095608081351 781.004050881184</t>
  </si>
  <si>
    <t>-499.279267735575 -115.897487379598 826.696541064519</t>
  </si>
  <si>
    <t>9763-20170724T115519.957320800.bin</t>
  </si>
  <si>
    <t>-598.485767227662 47.6016357026983 -92.4362218749609</t>
  </si>
  <si>
    <t>-619.982059191169 43.8284323475298 -200.977246847468</t>
  </si>
  <si>
    <t>-633.992497310541 43.175323577675 -292.787550949775</t>
  </si>
  <si>
    <t>-645.954249715153 43.534693327902 -375.823317177275</t>
  </si>
  <si>
    <t>-656.657035079378 44.8835280711992 -459.020331898119</t>
  </si>
  <si>
    <t>-670.922240181378 47.9420588334299 -580.807384722331</t>
  </si>
  <si>
    <t>-662.765075731307 53.4636449759471 -658.545280443348</t>
  </si>
  <si>
    <t>-666.795289552395 77.8714693003637 -526.333191069263</t>
  </si>
  <si>
    <t>-645.592318310358 229.584762160399 -496.838737864921</t>
  </si>
  <si>
    <t>-593.361131836939 235.137936339137 -219.675188586089</t>
  </si>
  <si>
    <t>-380.60113261437 149.613523724255 -182.698401499408</t>
  </si>
  <si>
    <t>-662.53028401007 15.3285074376288 -528.40336161105</t>
  </si>
  <si>
    <t>-605.166666593294 139.685200449154 -96.0345108568196</t>
  </si>
  <si>
    <t>-628.386547714996 146.494094760076 318.835486538047</t>
  </si>
  <si>
    <t>-669.71323103753 179.239680866846 778.956893183025</t>
  </si>
  <si>
    <t>-519.564850683142 179.844473880883 836.740271527611</t>
  </si>
  <si>
    <t>-597.227026866939 -60.5988550343511 323.017941025785</t>
  </si>
  <si>
    <t>-652.666572653126 -100.112638431085 781.015370435479</t>
  </si>
  <si>
    <t>-499.262914486815 -116.014981598124 826.822091996706</t>
  </si>
  <si>
    <t>9763-20170724T115520.025057500.bin</t>
  </si>
  <si>
    <t>-598.319648024908 47.6367112480341 -92.4350020781568</t>
  </si>
  <si>
    <t>-619.755175429047 43.8558631668921 -200.987921454757</t>
  </si>
  <si>
    <t>-633.619224069361 43.2232260335213 -292.820457163574</t>
  </si>
  <si>
    <t>-645.410728585733 43.6112436330654 -375.880343537014</t>
  </si>
  <si>
    <t>-655.905204618667 45.0000947834999 -459.103452439967</t>
  </si>
  <si>
    <t>-669.824210151452 48.1299971257667 -580.928658723189</t>
  </si>
  <si>
    <t>-661.5066978759 53.6125367349578 -658.652266102896</t>
  </si>
  <si>
    <t>-665.905548706699 78.0235159574811 -526.419430881017</t>
  </si>
  <si>
    <t>-645.28216685479 229.838065907515 -497.004697861046</t>
  </si>
  <si>
    <t>-592.411780945401 235.637342125654 -219.967358796048</t>
  </si>
  <si>
    <t>-379.378379371909 149.123703259914 -187.093480926627</t>
  </si>
  <si>
    <t>-661.527833349501 15.4895818921766 -528.526138178556</t>
  </si>
  <si>
    <t>-605.107839278195 139.590934463278 -96.0343262789448</t>
  </si>
  <si>
    <t>-628.405355132497 146.409078905166 318.831132633097</t>
  </si>
  <si>
    <t>-669.686900675095 179.277383517473 778.942506252319</t>
  </si>
  <si>
    <t>-519.547555299033 179.945995281396 836.748700578836</t>
  </si>
  <si>
    <t>-597.112395614169 -60.5498934394934 323.018238417442</t>
  </si>
  <si>
    <t>-652.516479067884 -100.171552558994 781.019482883875</t>
  </si>
  <si>
    <t>-499.144292473119 -115.618008765639 827.086829109727</t>
  </si>
  <si>
    <t>9763-20170724T115520.057659700.bin</t>
  </si>
  <si>
    <t>-598.271711530796 47.6351301347272 -92.4179447822528</t>
  </si>
  <si>
    <t>-619.68284233346 43.8409488897107 -200.975178760548</t>
  </si>
  <si>
    <t>-633.503986604056 43.2193665081466 -292.814248590416</t>
  </si>
  <si>
    <t>-645.247695097793 43.6255198902843 -375.880890693797</t>
  </si>
  <si>
    <t>-655.685309340646 45.0411726409877 -459.110550571833</t>
  </si>
  <si>
    <t>-669.511385679551 48.2197385792078 -580.94507926339</t>
  </si>
  <si>
    <t>-661.086123200951 53.7032304878392 -658.657202305024</t>
  </si>
  <si>
    <t>-665.668869251813 78.0890039699193 -526.417081638496</t>
  </si>
  <si>
    <t>-645.286665977774 229.928614885405 -496.987690889985</t>
  </si>
  <si>
    <t>-591.939321619133 235.884913216497 -220.045137335639</t>
  </si>
  <si>
    <t>-378.971012200306 148.476670748269 -189.177185693927</t>
  </si>
  <si>
    <t>-661.220410710805 15.5609381139257 -528.553161807893</t>
  </si>
  <si>
    <t>-605.175266145817 139.547014968821 -96.027415882384</t>
  </si>
  <si>
    <t>-628.432359336038 146.42738900973 318.839265559279</t>
  </si>
  <si>
    <t>-669.679108778702 179.281478271555 778.943271834218</t>
  </si>
  <si>
    <t>-519.541717357419 179.931872203385 836.75464496722</t>
  </si>
  <si>
    <t>-597.025392058903 -60.5325360443071 323.021494529101</t>
  </si>
  <si>
    <t>-652.459633838265 -100.160587639562 781.011463469407</t>
  </si>
  <si>
    <t>-499.10127867855 -115.441798948423 827.179979715191</t>
  </si>
  <si>
    <t>9763-20170724T115520.128377100.bin</t>
  </si>
  <si>
    <t>-598.274325450985 47.5778296670876 -92.4327047087639</t>
  </si>
  <si>
    <t>-619.685874815389 43.7166173910216 -200.987554599231</t>
  </si>
  <si>
    <t>-633.448984005571 43.1202636448622 -292.835499444333</t>
  </si>
  <si>
    <t>-645.116590541528 43.5800108246965 -375.91246250173</t>
  </si>
  <si>
    <t>-655.454534711781 45.0815033790777 -459.153076608956</t>
  </si>
  <si>
    <t>-669.108981582013 48.4211842729658 -581.002789420596</t>
  </si>
  <si>
    <t>-660.47665837555 53.9864380897848 -658.686267506309</t>
  </si>
  <si>
    <t>-665.425867767706 78.2120142195176 -526.420756069724</t>
  </si>
  <si>
    <t>-645.514739205891 230.07330951008 -496.823318624142</t>
  </si>
  <si>
    <t>-591.132896854009 235.850978878279 -220.07822991743</t>
  </si>
  <si>
    <t>-378.357844687376 146.728963694002 -193.012227640898</t>
  </si>
  <si>
    <t>-660.809179918441 15.6995342796417 -528.651554233619</t>
  </si>
  <si>
    <t>-605.425335390428 139.44156280751 -96.0475651720021</t>
  </si>
  <si>
    <t>-628.44453026437 146.435767504772 318.830444898368</t>
  </si>
  <si>
    <t>-669.665414087277 179.284580661988 778.943611021302</t>
  </si>
  <si>
    <t>-519.527480511764 180.016615498751 836.752653359098</t>
  </si>
  <si>
    <t>-596.805155224165 -60.5480478475993 323.026884426275</t>
  </si>
  <si>
    <t>-652.376492128721 -100.230062432809 780.986031910234</t>
  </si>
  <si>
    <t>-499.089596789572 -115.683761011448 827.333981910961</t>
  </si>
  <si>
    <t>9763-20170724T115520.159962800.bin</t>
  </si>
  <si>
    <t>-598.300397002555 47.5162401154087 -92.4439133665971</t>
  </si>
  <si>
    <t>-619.697611891315 43.6298480919727 -201.00066543512</t>
  </si>
  <si>
    <t>-633.408486681208 43.0635191388108 -292.85666660315</t>
  </si>
  <si>
    <t>-645.012749614494 43.5701143445392 -375.942240496429</t>
  </si>
  <si>
    <t>-655.271182967876 45.1390272529654 -459.191432947525</t>
  </si>
  <si>
    <t>-668.791663667057 48.600001313238 -581.052575518711</t>
  </si>
  <si>
    <t>-660.05488024885 54.24008288613 -658.71904908034</t>
  </si>
  <si>
    <t>-665.208956428723 78.3332686032368 -526.432639568999</t>
  </si>
  <si>
    <t>-645.494552760744 230.213322369137 -496.73800540287</t>
  </si>
  <si>
    <t>-590.981133662906 235.838426754086 -220.015660293425</t>
  </si>
  <si>
    <t>-378.301295403786 145.881616081525 -195.044084379477</t>
  </si>
  <si>
    <t>-660.509034159178 15.8294702424018 -528.729359201948</t>
  </si>
  <si>
    <t>-605.554122762719 139.350503366343 -96.0492725603162</t>
  </si>
  <si>
    <t>-628.49699164031 146.387002497626 318.832307769181</t>
  </si>
  <si>
    <t>-669.671981206144 179.236072239064 778.946758135477</t>
  </si>
  <si>
    <t>-519.53312506926 180.098853406982 836.751619981032</t>
  </si>
  <si>
    <t>-596.750879894742 -60.5867322609574 323.026787551741</t>
  </si>
  <si>
    <t>-652.367373350525 -100.226005213877 780.971319036274</t>
  </si>
  <si>
    <t>-499.066057331199 -115.470416396225 827.340910010588</t>
  </si>
  <si>
    <t>9763-20170724T115520.226316200.bin</t>
  </si>
  <si>
    <t>-598.346128496566 47.4451999070673 -92.4615963060753</t>
  </si>
  <si>
    <t>-619.634458701261 43.5397162207164 -201.039036730214</t>
  </si>
  <si>
    <t>-633.302218779506 43.0136651227972 -292.901681863768</t>
  </si>
  <si>
    <t>-644.887400638744 43.5775809719942 -375.989688363844</t>
  </si>
  <si>
    <t>-655.146978939195 45.2263549366428 -459.237124957383</t>
  </si>
  <si>
    <t>-668.691595480235 48.8290333770374 -581.091475529634</t>
  </si>
  <si>
    <t>-659.863511690647 54.6080544258846 -658.737406954177</t>
  </si>
  <si>
    <t>-665.181338213029 78.4920770190415 -526.428684438089</t>
  </si>
  <si>
    <t>-646.132078413225 230.443341576538 -496.667706424331</t>
  </si>
  <si>
    <t>-591.246947137296 235.738048141143 -220.01247432985</t>
  </si>
  <si>
    <t>-378.763686143025 144.430561617416 -198.510465971079</t>
  </si>
  <si>
    <t>-660.315332692197 16.0043470929688 -528.81712650852</t>
  </si>
  <si>
    <t>-605.735577917733 139.243787634855 -96.0655573105882</t>
  </si>
  <si>
    <t>-628.665735078309 146.363360040849 318.81532246499</t>
  </si>
  <si>
    <t>-669.631527640334 179.369442474885 778.935964395489</t>
  </si>
  <si>
    <t>-519.494762091917 180.005184457013 836.749139349497</t>
  </si>
  <si>
    <t>-596.864499454983 -60.7127514487142 322.979646762984</t>
  </si>
  <si>
    <t>-652.424114879703 -100.271356858141 780.928758924034</t>
  </si>
  <si>
    <t>-499.109000819761 -115.557173276371 827.239021240347</t>
  </si>
  <si>
    <t>9763-20170724T115520.259413900.bin</t>
  </si>
  <si>
    <t>-598.356895154891 47.351136776166 -92.4674764850209</t>
  </si>
  <si>
    <t>-619.604652974498 43.4355857567032 -201.052442263282</t>
  </si>
  <si>
    <t>-633.265589802344 42.9326948132871 -292.916257752034</t>
  </si>
  <si>
    <t>-644.85581997317 43.5295873058308 -376.003304529115</t>
  </si>
  <si>
    <t>-655.131906396025 45.2244594012222 -459.247990753696</t>
  </si>
  <si>
    <t>-668.713596950169 48.9085963054933 -581.095825760436</t>
  </si>
  <si>
    <t>-659.830383230142 54.7532460967782 -658.730379602287</t>
  </si>
  <si>
    <t>-665.237657562396 78.5309122882984 -526.408604294253</t>
  </si>
  <si>
    <t>-646.514086825223 230.500104370986 -496.558976331039</t>
  </si>
  <si>
    <t>-591.319706720495 235.525747277264 -219.960153074456</t>
  </si>
  <si>
    <t>-378.939517993409 143.684583937505 -199.751541273376</t>
  </si>
  <si>
    <t>-660.270440801577 16.0532052413168 -528.851288435398</t>
  </si>
  <si>
    <t>-605.808184949883 139.109425364064 -96.070492103637</t>
  </si>
  <si>
    <t>-628.747067450228 146.270243224913 318.809196939784</t>
  </si>
  <si>
    <t>-669.633402766295 179.331750190685 778.927404665774</t>
  </si>
  <si>
    <t>-519.50064851606 180.064762445919 836.749925685574</t>
  </si>
  <si>
    <t>-596.956481025392 -60.8410176741149 322.952636631991</t>
  </si>
  <si>
    <t>-652.485532507788 -100.284903273561 780.90792964994</t>
  </si>
  <si>
    <t>-499.149264062678 -115.631283057278 827.128055209815</t>
  </si>
  <si>
    <t>9763-20170724T115520.328155900.bin</t>
  </si>
  <si>
    <t>-598.353090015171 47.2267538058948 -92.5002498818345</t>
  </si>
  <si>
    <t>-619.550297068973 43.293546147524 -201.094492766938</t>
  </si>
  <si>
    <t>-633.172752585814 42.84403994322 -292.964255018542</t>
  </si>
  <si>
    <t>-644.730156785761 43.5154115628075 -376.055244465389</t>
  </si>
  <si>
    <t>-654.975728369713 45.3120136306989 -459.301525508476</t>
  </si>
  <si>
    <t>-668.515476637641 49.1754577215449 -581.148483402723</t>
  </si>
  <si>
    <t>-659.383234675176 55.1120221745919 -658.747187364097</t>
  </si>
  <si>
    <t>-665.12813594739 78.7113744174685 -526.409017135213</t>
  </si>
  <si>
    <t>-646.830350361521 230.67778947786 -496.259883471462</t>
  </si>
  <si>
    <t>-591.035359969756 235.140725028968 -219.77191972173</t>
  </si>
  <si>
    <t>-378.777540443274 142.653314907262 -201.29936552582</t>
  </si>
  <si>
    <t>-660.020558296947 16.2490841556241 -528.957048560499</t>
  </si>
  <si>
    <t>-605.908978620578 138.954291515562 -96.1026474780276</t>
  </si>
  <si>
    <t>-628.848811031765 146.173038856437 318.775966024171</t>
  </si>
  <si>
    <t>-669.610339626026 179.34968285027 778.906344750029</t>
  </si>
  <si>
    <t>-519.48644374945 180.15993192113 836.750868836946</t>
  </si>
  <si>
    <t>-597.103127499743 -60.9876081068633 322.897927397399</t>
  </si>
  <si>
    <t>-652.697527414091 -100.299140365024 780.84563685034</t>
  </si>
  <si>
    <t>-499.262276670283 -115.651732857567 826.734040070487</t>
  </si>
  <si>
    <t>9763-20170724T115520.358740100.bin</t>
  </si>
  <si>
    <t>-598.386318272462 47.1664791169501 -92.5160667211147</t>
  </si>
  <si>
    <t>-619.567443450296 43.2343978442559 -201.113587029865</t>
  </si>
  <si>
    <t>-633.153370341228 42.8095817467879 -292.98877167573</t>
  </si>
  <si>
    <t>-644.668559181505 43.5126163859095 -376.085430268422</t>
  </si>
  <si>
    <t>-654.862706081225 45.3503996838833 -459.337079346371</t>
  </si>
  <si>
    <t>-668.317105498562 49.2848162382625 -581.191073577294</t>
  </si>
  <si>
    <t>-659.011029387993 55.2375742424424 -658.768023207087</t>
  </si>
  <si>
    <t>-664.976903588905 78.788105304593 -526.43120302124</t>
  </si>
  <si>
    <t>-646.786284567828 230.739689125352 -496.145518252642</t>
  </si>
  <si>
    <t>-590.948048248488 234.861708555959 -219.6610063258</t>
  </si>
  <si>
    <t>-378.701868066683 142.226383953985 -201.806458783816</t>
  </si>
  <si>
    <t>-659.84991435519 16.328937965543 -529.014077516116</t>
  </si>
  <si>
    <t>-605.925639665162 138.907606317365 -96.114426629269</t>
  </si>
  <si>
    <t>-628.853586119166 146.166398569296 318.764199046874</t>
  </si>
  <si>
    <t>-669.605595638732 179.345686126819 778.893898073528</t>
  </si>
  <si>
    <t>-519.483837247653 180.1031711774 836.744668363776</t>
  </si>
  <si>
    <t>-597.175908626397 -61.0639542544582 322.875332291996</t>
  </si>
  <si>
    <t>-652.792485773671 -100.340479834182 780.821266818603</t>
  </si>
  <si>
    <t>-499.357949565975 -116.114799240675 826.568890378423</t>
  </si>
  <si>
    <t>9763-20170724T115520.430443100.bin</t>
  </si>
  <si>
    <t>-598.453020467497 47.1619037287037 -92.5654901878034</t>
  </si>
  <si>
    <t>-619.59812798461 43.2366494255477 -201.170117128132</t>
  </si>
  <si>
    <t>-633.054679423901 42.8676021156921 -293.064746020561</t>
  </si>
  <si>
    <t>-644.413312616005 43.6417712114605 -376.182173713094</t>
  </si>
  <si>
    <t>-654.410846287496 45.5719423447581 -459.455655175712</t>
  </si>
  <si>
    <t>-667.534158885844 49.6639399727351 -581.340582309118</t>
  </si>
  <si>
    <t>-657.873444450238 55.6473611122938 -658.871781116818</t>
  </si>
  <si>
    <t>-664.328440629921 79.0975720976405 -526.535214110584</t>
  </si>
  <si>
    <t>-646.304216162592 231.025742702306 -496.049242036543</t>
  </si>
  <si>
    <t>-590.376418278193 234.57900730564 -219.574990212423</t>
  </si>
  <si>
    <t>-378.153710090635 141.74214539656 -202.505336810144</t>
  </si>
  <si>
    <t>-659.223086512987 16.6392628179992 -529.181865219914</t>
  </si>
  <si>
    <t>-605.871728332507 138.945958910191 -96.1434545547672</t>
  </si>
  <si>
    <t>-628.862841435301 146.172601816903 318.732176280219</t>
  </si>
  <si>
    <t>-669.590734625969 179.385305186102 778.870250996611</t>
  </si>
  <si>
    <t>-519.471889824381 180.19787588395 836.727714380854</t>
  </si>
  <si>
    <t>-597.401266035291 -61.0952416426601 322.839252328199</t>
  </si>
  <si>
    <t>-652.988252600569 -100.308151917725 780.796620184667</t>
  </si>
  <si>
    <t>-499.422826613345 -115.811761968571 826.196154609491</t>
  </si>
  <si>
    <t>9763-20170724T115520.462038300.bin</t>
  </si>
  <si>
    <t>-598.495303044732 47.1329839232592 -92.5840775305836</t>
  </si>
  <si>
    <t>-619.597359509795 43.2103901055079 -201.197360236871</t>
  </si>
  <si>
    <t>-632.982474062322 42.8621844773345 -293.102324972069</t>
  </si>
  <si>
    <t>-644.262404018815 43.6637005821553 -376.230379039831</t>
  </si>
  <si>
    <t>-654.167103442774 45.6289068265273 -459.514068703341</t>
  </si>
  <si>
    <t>-667.139025224823 49.7811833852118 -581.413210399292</t>
  </si>
  <si>
    <t>-657.329344889212 55.7754528542739 -658.924832138692</t>
  </si>
  <si>
    <t>-663.981696190594 79.1894203399161 -526.591480576074</t>
  </si>
  <si>
    <t>-645.889388487209 231.101910614866 -496.040915975942</t>
  </si>
  <si>
    <t>-590.1399552853 234.458527529252 -219.528140283375</t>
  </si>
  <si>
    <t>-377.961714291344 141.520197783378 -202.457877105964</t>
  </si>
  <si>
    <t>-658.912402097695 16.7290748629277 -529.258448015882</t>
  </si>
  <si>
    <t>-605.821881471384 138.934471775712 -96.1607383613958</t>
  </si>
  <si>
    <t>-628.911118058443 146.153713987839 318.709521503343</t>
  </si>
  <si>
    <t>-669.59364010904 179.371288705509 778.859980934216</t>
  </si>
  <si>
    <t>-519.476133685477 180.247505013745 836.719990333128</t>
  </si>
  <si>
    <t>-597.562554850973 -61.1840321527402 322.828423104463</t>
  </si>
  <si>
    <t>-653.112589300692 -100.317968651828 780.795988856941</t>
  </si>
  <si>
    <t>-499.497969098213 -115.953872657292 825.983193964076</t>
  </si>
  <si>
    <t>9763-20170724T115520.526723100.bin</t>
  </si>
  <si>
    <t>-598.704909807193 47.0939950457739 -92.6054304775257</t>
  </si>
  <si>
    <t>-619.673954470132 43.1983415733005 -201.245339231212</t>
  </si>
  <si>
    <t>-632.900105919265 42.8690274457017 -293.173547257701</t>
  </si>
  <si>
    <t>-644.017663061288 43.6873441968903 -376.323080000763</t>
  </si>
  <si>
    <t>-653.740751854164 45.6682708488486 -459.627916736266</t>
  </si>
  <si>
    <t>-666.425983086489 49.8420358228075 -581.556416588431</t>
  </si>
  <si>
    <t>-656.376498170284 55.8076719683415 -659.039553068419</t>
  </si>
  <si>
    <t>-663.328925944553 79.2463481661903 -526.729063835094</t>
  </si>
  <si>
    <t>-645.048383450572 231.138643083688 -496.198512263837</t>
  </si>
  <si>
    <t>-589.515739513775 234.150958916865 -219.638111348375</t>
  </si>
  <si>
    <t>-377.596685720666 140.686931753923 -202.22205584239</t>
  </si>
  <si>
    <t>-658.390712177327 16.7748851295485 -529.381405106686</t>
  </si>
  <si>
    <t>-605.782591176215 138.973133965866 -96.1950665546208</t>
  </si>
  <si>
    <t>-629.013987054392 146.143918633421 318.668209188914</t>
  </si>
  <si>
    <t>-669.591000801069 179.407530763042 778.836934989876</t>
  </si>
  <si>
    <t>-519.477935809684 180.320081082949 836.708066071578</t>
  </si>
  <si>
    <t>-597.997952328768 -61.3358744958489 322.805741092946</t>
  </si>
  <si>
    <t>-653.366618909072 -100.291416190053 780.814083205297</t>
  </si>
  <si>
    <t>-499.641609687463 -116.101552302912 825.5632411659</t>
  </si>
  <si>
    <t>9763-20170724T115520.560321100.bin</t>
  </si>
  <si>
    <t>-598.856440164076 47.0847962589883 -92.6139619020191</t>
  </si>
  <si>
    <t>-619.735934457275 43.2032401649303 -201.271516930033</t>
  </si>
  <si>
    <t>-632.879069132564 42.8812332197492 -293.211723377328</t>
  </si>
  <si>
    <t>-643.918476167671 43.7052864810303 -376.37182433263</t>
  </si>
  <si>
    <t>-653.560305175276 45.6900621214186 -459.685825687767</t>
  </si>
  <si>
    <t>-666.122971137873 49.8681006510924 -581.627020919861</t>
  </si>
  <si>
    <t>-655.99113768373 55.8197088748709 -659.100474293399</t>
  </si>
  <si>
    <t>-663.044975720907 79.2734707794334 -526.799150106647</t>
  </si>
  <si>
    <t>-644.581566614013 231.139338097479 -496.260658902146</t>
  </si>
  <si>
    <t>-589.214595074921 234.15736650046 -219.667239859452</t>
  </si>
  <si>
    <t>-377.494231463388 140.250379198577 -202.217544441726</t>
  </si>
  <si>
    <t>-658.176197115272 16.7961089777966 -529.441223726781</t>
  </si>
  <si>
    <t>-605.799893038968 139.096574268648 -96.2124426266492</t>
  </si>
  <si>
    <t>-629.085943948103 146.200516412775 318.648876520337</t>
  </si>
  <si>
    <t>-669.571925655576 179.503261819713 778.822087514728</t>
  </si>
  <si>
    <t>-519.46395747532 180.180389329618 836.709599916098</t>
  </si>
  <si>
    <t>-598.325116128487 -61.4965563608775 322.795376471433</t>
  </si>
  <si>
    <t>-653.462814737753 -100.299759927702 780.849277862448</t>
  </si>
  <si>
    <t>-499.731697742123 -116.524192789075 825.428882722386</t>
  </si>
  <si>
    <t>9763-20170724T115520.623991400.bin</t>
  </si>
  <si>
    <t>-599.193576867551 47.0443121027338 -92.6361370142058</t>
  </si>
  <si>
    <t>-619.907105082425 43.2039360901254 -201.327009916297</t>
  </si>
  <si>
    <t>-632.87273155849 42.8829298810974 -293.292381449691</t>
  </si>
  <si>
    <t>-643.736949105466 43.6965149767163 -376.475575952172</t>
  </si>
  <si>
    <t>-653.188495867593 45.6583771214478 -459.811794784443</t>
  </si>
  <si>
    <t>-665.456591266686 49.7890231342083 -581.784729600426</t>
  </si>
  <si>
    <t>-655.161850106686 55.6793963224736 -659.241365331245</t>
  </si>
  <si>
    <t>-662.446334662269 79.2208958569854 -526.967234746777</t>
  </si>
  <si>
    <t>-643.707716818961 231.075928493013 -496.540361148949</t>
  </si>
  <si>
    <t>-588.659363779708 234.041203522092 -219.882716148857</t>
  </si>
  <si>
    <t>-377.246238106866 139.538301678609 -201.932208417629</t>
  </si>
  <si>
    <t>-657.70064389626 16.7319966547786 -529.560862683375</t>
  </si>
  <si>
    <t>-605.827743095201 139.202614183725 -96.244786706328</t>
  </si>
  <si>
    <t>-629.260203219999 146.215428761954 318.609822132976</t>
  </si>
  <si>
    <t>-669.589506172458 179.489886516274 778.811940402027</t>
  </si>
  <si>
    <t>-519.48499504344 180.295120934159 836.706736173675</t>
  </si>
  <si>
    <t>-598.940652606276 -61.7955561805127 322.783803213017</t>
  </si>
  <si>
    <t>-653.603181371085 -100.294266719504 780.951648356093</t>
  </si>
  <si>
    <t>-499.821459004312 -116.74984882383 825.271174498683</t>
  </si>
  <si>
    <t>9763-20170724T115520.662096300.bin</t>
  </si>
  <si>
    <t>-599.277433078981 47.1327243468388 -92.6141667771882</t>
  </si>
  <si>
    <t>-619.930479196987 43.3014762697326 -201.316722765293</t>
  </si>
  <si>
    <t>-632.812166818735 42.9654840707426 -293.293825076087</t>
  </si>
  <si>
    <t>-643.587156030934 43.7575510009924 -376.488897899872</t>
  </si>
  <si>
    <t>-652.935807492065 45.6890017249818 -459.83762205061</t>
  </si>
  <si>
    <t>-665.038486971092 49.7653729146759 -581.828696230365</t>
  </si>
  <si>
    <t>-654.669625308987 55.6072173978134 -659.279284171767</t>
  </si>
  <si>
    <t>-662.060465119068 79.2250121590948 -527.024559327586</t>
  </si>
  <si>
    <t>-643.125714452848 231.06919241008 -496.651924817876</t>
  </si>
  <si>
    <t>-588.318812651171 234.046626202109 -219.946430858869</t>
  </si>
  <si>
    <t>-377.027314501931 139.321727162117 -201.735904524826</t>
  </si>
  <si>
    <t>-657.395397150235 16.7283934095904 -529.575717138385</t>
  </si>
  <si>
    <t>-605.803311834292 139.358631711467 -96.2456004205262</t>
  </si>
  <si>
    <t>-629.291072645361 146.28901132346 318.607271757202</t>
  </si>
  <si>
    <t>-669.602013343788 179.503245373892 778.815334933054</t>
  </si>
  <si>
    <t>-519.497259765931 180.286624983452 836.70991312465</t>
  </si>
  <si>
    <t>-599.102136871709 -61.7668470625911 322.814219792114</t>
  </si>
  <si>
    <t>-653.655969927109 -100.28470871107 781.005736394731</t>
  </si>
  <si>
    <t>-499.839229567925 -116.703823452513 825.217091609039</t>
  </si>
  <si>
    <t>9763-20170724T115520.727299400.bin</t>
  </si>
  <si>
    <t>-599.29511564557 47.5017640414151 -92.5590848652173</t>
  </si>
  <si>
    <t>-619.934234095856 43.6878133542555 -201.264932320574</t>
  </si>
  <si>
    <t>-632.712903862658 43.3121446779999 -293.256272950255</t>
  </si>
  <si>
    <t>-643.357896356396 44.0474305597515 -376.468552864138</t>
  </si>
  <si>
    <t>-652.538904062435 45.900565399314 -459.837717496054</t>
  </si>
  <si>
    <t>-664.354957396186 49.8380002020313 -581.861562127902</t>
  </si>
  <si>
    <t>-653.87518046921 55.5519376528794 -659.306427629317</t>
  </si>
  <si>
    <t>-661.430011371256 79.365865554345 -527.091202536155</t>
  </si>
  <si>
    <t>-642.14216173698 231.199494882694 -496.882641969676</t>
  </si>
  <si>
    <t>-587.687198801699 234.28797643494 -220.108914359118</t>
  </si>
  <si>
    <t>-376.64413671675 139.065231491927 -201.616330219262</t>
  </si>
  <si>
    <t>-656.910359687274 16.8546311021219 -529.545897376726</t>
  </si>
  <si>
    <t>-605.707267384184 139.758825319562 -96.2193226363394</t>
  </si>
  <si>
    <t>-629.281426198911 146.485677556062 318.631945832799</t>
  </si>
  <si>
    <t>-669.629743491878 179.48962963027 778.83671217514</t>
  </si>
  <si>
    <t>-519.518718504363 180.380564615367 836.713465008703</t>
  </si>
  <si>
    <t>-599.202902971156 -61.5042730226432 322.896613246863</t>
  </si>
  <si>
    <t>-653.701838692584 -100.278906476431 781.091143610211</t>
  </si>
  <si>
    <t>-499.853954119421 -116.689342692959 825.197279812752</t>
  </si>
  <si>
    <t>9763-20170724T115520.758872400.bin</t>
  </si>
  <si>
    <t>-599.292858516454 47.7116786161473 -92.5347203721304</t>
  </si>
  <si>
    <t>-619.953375337187 43.9028999604611 -201.236769665967</t>
  </si>
  <si>
    <t>-632.709893864051 43.4963977645039 -293.231063948457</t>
  </si>
  <si>
    <t>-643.318416559235 44.1905722454976 -376.448257471546</t>
  </si>
  <si>
    <t>-652.446402761611 45.9882129276173 -459.824517853989</t>
  </si>
  <si>
    <t>-664.166415699363 49.8291393290901 -581.860603058948</t>
  </si>
  <si>
    <t>-653.63676429616 55.4599963214132 -659.304938758609</t>
  </si>
  <si>
    <t>-661.251936637028 79.4028037378712 -527.114454564079</t>
  </si>
  <si>
    <t>-641.836537409803 231.2374600417 -497.002744923293</t>
  </si>
  <si>
    <t>-587.405727881064 234.406294045724 -220.225247667057</t>
  </si>
  <si>
    <t>-376.464294730645 138.969924578991 -201.674047401853</t>
  </si>
  <si>
    <t>-656.795592279567 16.8847971824853 -529.50995772893</t>
  </si>
  <si>
    <t>-605.646716317115 139.979843011 -96.2050246330347</t>
  </si>
  <si>
    <t>-629.236009785293 146.605747967517 318.647037763255</t>
  </si>
  <si>
    <t>-669.645371191168 179.46308739337 778.852705393085</t>
  </si>
  <si>
    <t>-519.531050106195 180.462075108415 836.71901165256</t>
  </si>
  <si>
    <t>-599.138543622967 -61.3404601675311 322.942475603013</t>
  </si>
  <si>
    <t>-653.68247845216 -100.272782256637 781.134967186998</t>
  </si>
  <si>
    <t>-499.848232128855 -116.779002479642 825.252948193888</t>
  </si>
  <si>
    <t>9763-20170724T115520.829559500.bin</t>
  </si>
  <si>
    <t>-599.352309855577 48.1921482106227 -92.4933616835604</t>
  </si>
  <si>
    <t>-620.070812143854 44.3761618166338 -201.184228549523</t>
  </si>
  <si>
    <t>-632.843623117069 43.8910243493017 -293.175789510865</t>
  </si>
  <si>
    <t>-643.453413446795 44.4854609646823 -376.393558447385</t>
  </si>
  <si>
    <t>-652.56883409442 46.1535674823444 -459.773815650571</t>
  </si>
  <si>
    <t>-664.255017389266 49.7722640277048 -581.8199530218</t>
  </si>
  <si>
    <t>-653.677453560989 55.2308738173667 -659.270188466199</t>
  </si>
  <si>
    <t>-661.292278041139 79.4502316445937 -527.132896472578</t>
  </si>
  <si>
    <t>-641.60005756475 231.299937707916 -497.275833730113</t>
  </si>
  <si>
    <t>-587.023542684814 234.883430732468 -220.53199987599</t>
  </si>
  <si>
    <t>-376.250256832465 139.10515040004 -201.832422416826</t>
  </si>
  <si>
    <t>-656.962143564933 16.9186033089204 -529.401475854842</t>
  </si>
  <si>
    <t>-605.625350405188 140.552276070968 -96.1804643217112</t>
  </si>
  <si>
    <t>-629.190217147192 146.972607172885 318.67625178002</t>
  </si>
  <si>
    <t>-669.639990816664 179.596605968021 778.885560983463</t>
  </si>
  <si>
    <t>-519.516291844838 180.324194066232 836.731644071686</t>
  </si>
  <si>
    <t>-599.064264059899 -60.996375963663 323.019939395885</t>
  </si>
  <si>
    <t>-653.675458513478 -100.271313254219 781.200251495771</t>
  </si>
  <si>
    <t>-499.874308958461 -117.105007141945 825.309930525155</t>
  </si>
  <si>
    <t>9763-20170724T115520.861160300.bin</t>
  </si>
  <si>
    <t>-599.429030373384 48.4264548496276 -92.4706205958164</t>
  </si>
  <si>
    <t>-620.173829316471 44.5975343154512 -201.155976500057</t>
  </si>
  <si>
    <t>-632.979006632566 44.0721946032486 -293.142737090234</t>
  </si>
  <si>
    <t>-643.621937121918 44.6188542774605 -376.356715513064</t>
  </si>
  <si>
    <t>-652.774271165194 46.2272761265767 -459.734103655207</t>
  </si>
  <si>
    <t>-664.518519248943 49.7450223982751 -581.777580397425</t>
  </si>
  <si>
    <t>-653.943377100782 55.1194491662891 -659.233984447922</t>
  </si>
  <si>
    <t>-661.505425367996 79.4700613871232 -527.118723976236</t>
  </si>
  <si>
    <t>-641.662555267799 231.319686589549 -497.370166410193</t>
  </si>
  <si>
    <t>-586.937087880086 235.043558622048 -220.657567801311</t>
  </si>
  <si>
    <t>-376.21348272641 139.192705672936 -201.770966617108</t>
  </si>
  <si>
    <t>-657.225048173608 16.9329600242925 -529.333259752264</t>
  </si>
  <si>
    <t>-605.668892473876 140.791381071308 -96.1703625575475</t>
  </si>
  <si>
    <t>-629.228554505062 147.13025700169 318.687854726164</t>
  </si>
  <si>
    <t>-669.641963454654 179.645547850424 778.899348870754</t>
  </si>
  <si>
    <t>-519.512165995751 180.353351790207 836.729915650115</t>
  </si>
  <si>
    <t>-599.063243635541 -60.7934922141783 323.058691754886</t>
  </si>
  <si>
    <t>-653.674779961133 -100.235920989814 781.224090194286</t>
  </si>
  <si>
    <t>-499.855248237643 -116.950516188058 825.314870435411</t>
  </si>
  <si>
    <t>9763-20170724T115520.925557400.bin</t>
  </si>
  <si>
    <t>-599.656052583609 48.8321167602251 -92.4318435626384</t>
  </si>
  <si>
    <t>-620.48055980253 44.9827013623883 -201.101146006303</t>
  </si>
  <si>
    <t>-633.341277939631 44.3903612592542 -293.079931713562</t>
  </si>
  <si>
    <t>-644.029725760119 44.8565311389873 -376.288521997295</t>
  </si>
  <si>
    <t>-653.222753489238 46.3646074491248 -459.663260356921</t>
  </si>
  <si>
    <t>-665.021288113613 49.7132277454361 -581.706331788185</t>
  </si>
  <si>
    <t>-654.503536968035 54.9331850566948 -659.181029203077</t>
  </si>
  <si>
    <t>-661.96849153669 79.5149310274212 -527.091420547951</t>
  </si>
  <si>
    <t>-642.035349678212 231.392062407394 -497.558673098007</t>
  </si>
  <si>
    <t>-586.96581761382 235.340871427306 -220.917347879252</t>
  </si>
  <si>
    <t>-376.312653968805 139.329602494304 -202.059801722367</t>
  </si>
  <si>
    <t>-657.71991822531 16.9726865529767 -529.218215202287</t>
  </si>
  <si>
    <t>-605.823864114903 141.248415949362 -96.1632756720189</t>
  </si>
  <si>
    <t>-629.274129066744 147.452787476261 318.703138508663</t>
  </si>
  <si>
    <t>-669.66873014551 179.660205208628 778.932663261086</t>
  </si>
  <si>
    <t>-519.526724765565 180.286675326141 836.732380450997</t>
  </si>
  <si>
    <t>-599.058998149832 -60.4440488228909 323.117151270125</t>
  </si>
  <si>
    <t>-653.681255165248 -100.198803405236 781.273504607029</t>
  </si>
  <si>
    <t>-499.845132307235 -116.873165142646 825.321689146705</t>
  </si>
  <si>
    <t>9763-20170724T115520.964182000.bin</t>
  </si>
  <si>
    <t>-599.830593978093 49.0254239896178 -92.4370004016284</t>
  </si>
  <si>
    <t>-620.69262905776 45.1704005506404 -201.098928837997</t>
  </si>
  <si>
    <t>-633.569772740162 44.5553591244302 -293.075242413899</t>
  </si>
  <si>
    <t>-644.266855301725 44.9943118773529 -376.282866548297</t>
  </si>
  <si>
    <t>-653.462458314607 46.4678596328047 -459.65801599571</t>
  </si>
  <si>
    <t>-665.257942615949 49.7585967421689 -581.70283548555</t>
  </si>
  <si>
    <t>-654.786517959489 54.9222158715477 -659.187612182874</t>
  </si>
  <si>
    <t>-662.202201624341 79.586559570881 -527.102474654866</t>
  </si>
  <si>
    <t>-642.295317781879 231.487166212439 -497.655887028212</t>
  </si>
  <si>
    <t>-587.033538376954 235.501918437692 -221.053923241297</t>
  </si>
  <si>
    <t>-376.402109215546 139.42202909231 -202.303538951672</t>
  </si>
  <si>
    <t>-657.962181844681 17.0426773674376 -529.198751700777</t>
  </si>
  <si>
    <t>-605.978071020596 141.469873202188 -96.1788105677621</t>
  </si>
  <si>
    <t>-629.338512636088 147.588113789665 318.694020659865</t>
  </si>
  <si>
    <t>-669.678632959758 179.686039488764 778.932393890846</t>
  </si>
  <si>
    <t>-519.529449409139 180.257557755717 836.71416440172</t>
  </si>
  <si>
    <t>-599.109125650225 -60.3049693896537 323.124549019274</t>
  </si>
  <si>
    <t>-653.6932200494 -100.177130697989 781.2788917633</t>
  </si>
  <si>
    <t>-499.84404354864 -116.83119490764 825.289069414334</t>
  </si>
  <si>
    <t>9763-20170724T115521.025850500.bin</t>
  </si>
  <si>
    <t>-600.159576952004 49.4268283391611 -92.4630392098687</t>
  </si>
  <si>
    <t>-621.038372289248 45.5537067651305 -201.121130019268</t>
  </si>
  <si>
    <t>-633.940495396056 44.8760078768439 -293.093452790297</t>
  </si>
  <si>
    <t>-644.664380591774 45.2384228566366 -376.297905374943</t>
  </si>
  <si>
    <t>-653.890751102044 46.6156677996578 -459.671339301964</t>
  </si>
  <si>
    <t>-665.73550714709 49.7435685766359 -581.715715710859</t>
  </si>
  <si>
    <t>-655.36788082636 54.8295387790545 -659.219772630872</t>
  </si>
  <si>
    <t>-662.656681821231 79.6444035046677 -527.156671900038</t>
  </si>
  <si>
    <t>-642.823858530466 231.593974169247 -497.893796189775</t>
  </si>
  <si>
    <t>-587.08083835022 235.631719190547 -221.38874938723</t>
  </si>
  <si>
    <t>-376.513793595367 139.423459422319 -202.573234955083</t>
  </si>
  <si>
    <t>-658.419570867383 17.0977375571624 -529.170795789393</t>
  </si>
  <si>
    <t>-606.358362058797 141.833639448004 -96.2101405819067</t>
  </si>
  <si>
    <t>-629.653501694953 147.803942206082 318.668479933727</t>
  </si>
  <si>
    <t>-669.712789381937 179.723714293063 778.927673520938</t>
  </si>
  <si>
    <t>-519.54711588238 180.305552836847 836.666348846754</t>
  </si>
  <si>
    <t>-599.246719745059 -59.9774335729571 323.099857142293</t>
  </si>
  <si>
    <t>-653.707274733661 -100.15242012773 781.247653979039</t>
  </si>
  <si>
    <t>-499.82178978593 -116.628652170162 825.197694487268</t>
  </si>
  <si>
    <t>9763-20170724T115521.061589300.bin</t>
  </si>
  <si>
    <t>-600.289710881246 49.6122241737758 -92.4763967660284</t>
  </si>
  <si>
    <t>-621.192047991217 45.7286462690834 -201.129560998962</t>
  </si>
  <si>
    <t>-634.122162428285 45.0252188077684 -293.097833969174</t>
  </si>
  <si>
    <t>-644.874291093419 45.356741999922 -376.298712802974</t>
  </si>
  <si>
    <t>-654.131812421522 46.695392835959 -459.669382989023</t>
  </si>
  <si>
    <t>-666.025068355823 49.7579964871641 -581.71059282594</t>
  </si>
  <si>
    <t>-655.712780879556 54.8183389580856 -659.223697650272</t>
  </si>
  <si>
    <t>-662.917495432773 79.6885690956367 -527.169407402731</t>
  </si>
  <si>
    <t>-643.060680503924 231.644572691076 -497.964830025315</t>
  </si>
  <si>
    <t>-587.081837299194 235.752271738223 -221.508462622959</t>
  </si>
  <si>
    <t>-376.546015175259 139.477990010613 -202.681204047341</t>
  </si>
  <si>
    <t>-658.695329106913 17.1396888488534 -529.150577026711</t>
  </si>
  <si>
    <t>-606.560525859129 141.988983734208 -96.2303886475263</t>
  </si>
  <si>
    <t>-629.797281712435 147.953512530185 318.65164762964</t>
  </si>
  <si>
    <t>-669.712284322056 179.774957156105 778.922426397614</t>
  </si>
  <si>
    <t>-519.54252261839 180.197234480163 836.651832273872</t>
  </si>
  <si>
    <t>-599.269657286621 -59.8177192384351 323.089062244693</t>
  </si>
  <si>
    <t>-653.707039543591 -100.146944151455 781.234988511468</t>
  </si>
  <si>
    <t>-499.831167113317 -116.75498362441 825.169159628816</t>
  </si>
  <si>
    <t>9763-20170724T115521.125730000.bin</t>
  </si>
  <si>
    <t>-600.530615866761 49.859149987293 -92.4878134235598</t>
  </si>
  <si>
    <t>-621.532580141598 45.9549742361089 -201.121110046991</t>
  </si>
  <si>
    <t>-634.547776034805 45.2074265607644 -293.076902488632</t>
  </si>
  <si>
    <t>-645.376858749893 45.4878729918767 -376.268225127573</t>
  </si>
  <si>
    <t>-654.711383885274 46.7639385381567 -459.631133511255</t>
  </si>
  <si>
    <t>-666.71708521574 49.7224766004485 -581.664041039523</t>
  </si>
  <si>
    <t>-656.50928274491 54.7177745969254 -659.194999258861</t>
  </si>
  <si>
    <t>-663.563791850785 79.699333562965 -527.150752423727</t>
  </si>
  <si>
    <t>-643.738778568739 231.680326672036 -498.057836171015</t>
  </si>
  <si>
    <t>-587.268027923091 235.908296588925 -221.703454687079</t>
  </si>
  <si>
    <t>-376.655661253833 139.763432394302 -203.071899655891</t>
  </si>
  <si>
    <t>-659.334330854445 17.149353338483 -529.083277625113</t>
  </si>
  <si>
    <t>-606.900734636777 142.189822506089 -96.2527883959605</t>
  </si>
  <si>
    <t>-629.929275150095 148.103658917558 318.641537008074</t>
  </si>
  <si>
    <t>-669.725744256818 179.806132294893 778.932055250037</t>
  </si>
  <si>
    <t>-519.547014740678 180.343095776144 836.637195413554</t>
  </si>
  <si>
    <t>-599.244004472332 -59.5469934903726 323.079479779562</t>
  </si>
  <si>
    <t>-653.702138677748 -100.127893738238 781.205479265354</t>
  </si>
  <si>
    <t>-499.813714181674 -116.668715964122 825.121038223121</t>
  </si>
  <si>
    <t>9763-20170724T115521.162830300.bin</t>
  </si>
  <si>
    <t>-600.6377682124 49.9398349230114 -92.482923332776</t>
  </si>
  <si>
    <t>-621.701724822261 46.040609442721 -201.10433905416</t>
  </si>
  <si>
    <t>-634.782516347656 45.2774677637055 -293.050738774127</t>
  </si>
  <si>
    <t>-645.676322549268 45.5354076285075 -376.233630045858</t>
  </si>
  <si>
    <t>-655.080971782076 46.7809759633856 -459.589067275082</t>
  </si>
  <si>
    <t>-667.195210320544 49.6860339686668 -581.61260033769</t>
  </si>
  <si>
    <t>-657.052568515891 54.6386568995406 -659.154901628514</t>
  </si>
  <si>
    <t>-663.992518867018 79.6867235866814 -527.11542609214</t>
  </si>
  <si>
    <t>-644.208671413108 231.681730928759 -498.05672387666</t>
  </si>
  <si>
    <t>-587.434434773361 235.963650934512 -221.765335710377</t>
  </si>
  <si>
    <t>-376.756729469915 139.953460843063 -203.177960711031</t>
  </si>
  <si>
    <t>-659.766661828135 17.1358333187875 -529.024100001322</t>
  </si>
  <si>
    <t>-607.026084991256 142.28096878788 -96.2442800054752</t>
  </si>
  <si>
    <t>-629.901802243021 148.163268531116 318.658976272835</t>
  </si>
  <si>
    <t>-669.725916331426 179.839644298823 778.945859081968</t>
  </si>
  <si>
    <t>-519.541917042992 180.301631128175 836.637922622351</t>
  </si>
  <si>
    <t>-599.188581674094 -59.4302029991761 323.085138545314</t>
  </si>
  <si>
    <t>-653.687468514958 -100.108057415229 781.197266080429</t>
  </si>
  <si>
    <t>-499.782810198041 -116.475877482269 825.12075271907</t>
  </si>
  <si>
    <t>9763-20170724T115521.228921700.bin</t>
  </si>
  <si>
    <t>-600.796651009657 49.986376084307 -92.4669616270446</t>
  </si>
  <si>
    <t>-621.996547651578 46.1039596649771 -201.062594819747</t>
  </si>
  <si>
    <t>-635.217742817838 45.3360821070282 -292.988822411672</t>
  </si>
  <si>
    <t>-646.248648755496 45.5826334351761 -376.153693856795</t>
  </si>
  <si>
    <t>-655.800971781789 46.8089289680022 -459.492626383042</t>
  </si>
  <si>
    <t>-668.142417265371 49.6777451159517 -581.494262144376</t>
  </si>
  <si>
    <t>-658.116888918623 54.5855981292325 -659.05459268859</t>
  </si>
  <si>
    <t>-664.830246457165 79.6952509238668 -527.012808927951</t>
  </si>
  <si>
    <t>-644.950860830856 231.680822171559 -497.997167936026</t>
  </si>
  <si>
    <t>-587.597353436645 236.050332948189 -221.826881585445</t>
  </si>
  <si>
    <t>-376.867019561305 140.140727407054 -203.317231926008</t>
  </si>
  <si>
    <t>-660.623905168332 17.1427788722228 -528.909155083546</t>
  </si>
  <si>
    <t>-607.185873757279 142.31104384886 -96.1931241294128</t>
  </si>
  <si>
    <t>-629.993854199685 148.098656203937 318.715208393582</t>
  </si>
  <si>
    <t>-669.717761896252 179.933554050418 779.00214237498</t>
  </si>
  <si>
    <t>-519.524289087126 180.189335044794 836.670954158905</t>
  </si>
  <si>
    <t>-599.144526429134 -59.3089236476546 323.090474032768</t>
  </si>
  <si>
    <t>-653.681950796267 -100.097354805318 781.17463612301</t>
  </si>
  <si>
    <t>-499.762403483028 -116.350190744827 825.088743701575</t>
  </si>
  <si>
    <t>9763-20170724T115521.260506300.bin</t>
  </si>
  <si>
    <t>-600.852659399258 49.9842005449184 -92.4554213150303</t>
  </si>
  <si>
    <t>-622.101177653671 46.1043648604671 -201.041476774223</t>
  </si>
  <si>
    <t>-635.398596633204 45.3342690782895 -292.956800627861</t>
  </si>
  <si>
    <t>-646.512465300893 45.5769029144194 -376.110613558532</t>
  </si>
  <si>
    <t>-656.161797963913 46.7974377468113 -459.438562645617</t>
  </si>
  <si>
    <t>-668.660603278917 49.6552939734386 -581.424291272514</t>
  </si>
  <si>
    <t>-658.712563391917 54.5493391671776 -658.995505750746</t>
  </si>
  <si>
    <t>-665.270927391408 79.678188541709 -526.950565073474</t>
  </si>
  <si>
    <t>-645.361650529575 231.663661416269 -497.94781772629</t>
  </si>
  <si>
    <t>-587.629864075614 236.019178117971 -221.856141220586</t>
  </si>
  <si>
    <t>-376.89003942792 140.109963129259 -203.452641610131</t>
  </si>
  <si>
    <t>-661.081517630158 17.1245235588781 -528.845435209351</t>
  </si>
  <si>
    <t>-607.236169718652 142.289752162043 -96.1664717456688</t>
  </si>
  <si>
    <t>-630.057255361571 148.05625690524 318.741428905529</t>
  </si>
  <si>
    <t>-669.737392534295 179.901369846214 779.027011697448</t>
  </si>
  <si>
    <t>-519.534638009916 180.173047523848 836.671392664672</t>
  </si>
  <si>
    <t>-599.106938083372 -59.2847062571932 323.084109790627</t>
  </si>
  <si>
    <t>-653.672294920708 -100.088592216854 781.160637244881</t>
  </si>
  <si>
    <t>-499.766405932339 -116.436934926666 825.087068467792</t>
  </si>
  <si>
    <t>9763-20170724T115521.327192900.bin</t>
  </si>
  <si>
    <t>-600.860346903323 50.0745227699929 -92.4390304854519</t>
  </si>
  <si>
    <t>-622.202398288933 46.2093999583271 -201.007392918736</t>
  </si>
  <si>
    <t>-635.606142742533 45.447145697013 -292.907219172111</t>
  </si>
  <si>
    <t>-646.826890416324 45.6949433366572 -376.046671603343</t>
  </si>
  <si>
    <t>-656.593839454395 46.9183110876475 -459.360927729104</t>
  </si>
  <si>
    <t>-669.276306285747 49.7772765606899 -581.327681187347</t>
  </si>
  <si>
    <t>-659.482262124071 54.6665300775232 -658.918811379042</t>
  </si>
  <si>
    <t>-665.782101311662 79.8012969107322 -526.861178230006</t>
  </si>
  <si>
    <t>-645.809611353536 231.780557341564 -497.892621690376</t>
  </si>
  <si>
    <t>-587.499541914478 236.041255525713 -221.92098054472</t>
  </si>
  <si>
    <t>-376.738333565267 140.139227214425 -203.726600271244</t>
  </si>
  <si>
    <t>-661.640533364784 17.2444812500655 -528.758209536443</t>
  </si>
  <si>
    <t>-607.218100961246 142.392888297855 -96.1416414079455</t>
  </si>
  <si>
    <t>-630.017485188346 148.056554292362 318.768866730771</t>
  </si>
  <si>
    <t>-669.752744787316 179.92903694515 779.055226393502</t>
  </si>
  <si>
    <t>-519.535512552456 180.261087340554 836.661605200472</t>
  </si>
  <si>
    <t>-598.941161086369 -59.1493590903765 323.087597668159</t>
  </si>
  <si>
    <t>-653.639024054477 -100.071341123333 781.140672913047</t>
  </si>
  <si>
    <t>-499.719081143039 -116.209025728378 825.095765152214</t>
  </si>
  <si>
    <t>9763-20170724T115521.363780800.bin</t>
  </si>
  <si>
    <t>-600.829403370347 50.1129787245079 -92.4328643861697</t>
  </si>
  <si>
    <t>-622.231663450056 46.2558386798951 -200.989543362738</t>
  </si>
  <si>
    <t>-635.68488744571 45.5080400048296 -292.882495418906</t>
  </si>
  <si>
    <t>-646.949742832782 45.7721172694839 -376.015916792543</t>
  </si>
  <si>
    <t>-656.76030553197 47.0146593365512 -459.324596333382</t>
  </si>
  <si>
    <t>-669.505795498171 49.9052074410276 -581.284053913196</t>
  </si>
  <si>
    <t>-659.79678521378 54.8039186863982 -658.885272716232</t>
  </si>
  <si>
    <t>-665.971871296868 79.9158883405416 -526.812870684192</t>
  </si>
  <si>
    <t>-645.971021453831 231.903172244364 -497.882033146397</t>
  </si>
  <si>
    <t>-587.442665527196 236.101075206806 -221.955706653634</t>
  </si>
  <si>
    <t>-376.578753639084 140.41013981469 -203.839711600543</t>
  </si>
  <si>
    <t>-661.854444401189 17.3580038805926 -528.725771169512</t>
  </si>
  <si>
    <t>-607.151748321589 142.441710061882 -96.1265191537641</t>
  </si>
  <si>
    <t>-629.967347935207 148.085560207156 318.783328803088</t>
  </si>
  <si>
    <t>-669.760909650191 179.929150406673 779.066131048699</t>
  </si>
  <si>
    <t>-519.538492942139 180.237811052896 836.659077949085</t>
  </si>
  <si>
    <t>-598.837501959191 -59.0872698922601 323.09400594669</t>
  </si>
  <si>
    <t>-653.633753550243 -100.106774641796 781.133190530216</t>
  </si>
  <si>
    <t>-499.742859389715 -116.508002896155 825.092478413026</t>
  </si>
  <si>
    <t>9763-20170724T115521.427996200.bin</t>
  </si>
  <si>
    <t>-600.845145159969 50.1336363257103 -92.437461510678</t>
  </si>
  <si>
    <t>-622.338246035881 46.3073217998685 -200.977301426891</t>
  </si>
  <si>
    <t>-635.865935543356 45.5823841973452 -292.859290338169</t>
  </si>
  <si>
    <t>-647.197521605076 45.8665918789084 -375.983662716189</t>
  </si>
  <si>
    <t>-657.074226435673 47.1288060043873 -459.284157905143</t>
  </si>
  <si>
    <t>-669.915919395824 50.0475979466758 -581.233001633025</t>
  </si>
  <si>
    <t>-660.385659920761 54.9659754927009 -658.855212211471</t>
  </si>
  <si>
    <t>-666.321566536222 80.0467698861785 -526.759494812565</t>
  </si>
  <si>
    <t>-646.372965417461 232.056125890878 -497.945030859599</t>
  </si>
  <si>
    <t>-587.579439435341 236.454640050486 -222.078318818431</t>
  </si>
  <si>
    <t>-376.540524822373 141.205005560792 -203.676569191693</t>
  </si>
  <si>
    <t>-662.240636418021 17.486940219859 -528.686467349302</t>
  </si>
  <si>
    <t>-607.08397525057 142.472669639865 -96.1186468000545</t>
  </si>
  <si>
    <t>-629.796316529095 148.14557856274 318.796474886861</t>
  </si>
  <si>
    <t>-669.780192472791 179.881306960121 779.07206587116</t>
  </si>
  <si>
    <t>-519.557339706596 180.352001838352 836.662922366059</t>
  </si>
  <si>
    <t>-598.763612543503 -59.0060429826765 323.083209900335</t>
  </si>
  <si>
    <t>-653.627207707865 -100.097127523582 781.107236250552</t>
  </si>
  <si>
    <t>-499.740880194898 -116.581195674533 825.051470828172</t>
  </si>
  <si>
    <t>9763-20170724T115521.461590100.bin</t>
  </si>
  <si>
    <t>-600.844875620981 50.1517258600659 -92.4423110561859</t>
  </si>
  <si>
    <t>-622.379766551505 46.3582368055097 -200.975016465069</t>
  </si>
  <si>
    <t>-635.924519232315 45.6563708577612 -292.854650934746</t>
  </si>
  <si>
    <t>-647.264256681062 45.9608510509147 -375.977889387074</t>
  </si>
  <si>
    <t>-657.141919974693 47.2423324207002 -459.278088353924</t>
  </si>
  <si>
    <t>-669.977267953839 50.1880353126412 -581.226833297519</t>
  </si>
  <si>
    <t>-660.529631319272 55.1301112691003 -658.857609482811</t>
  </si>
  <si>
    <t>-666.370260619644 80.1762724572836 -526.748003561146</t>
  </si>
  <si>
    <t>-646.420988069946 232.204842870234 -497.997932881841</t>
  </si>
  <si>
    <t>-587.64398417534 236.790610130608 -222.130571895096</t>
  </si>
  <si>
    <t>-376.311269423614 142.308046924741 -203.155338980102</t>
  </si>
  <si>
    <t>-662.320209699808 17.6147474123125 -528.685462924351</t>
  </si>
  <si>
    <t>-606.984664941426 142.535689867214 -96.1113762045693</t>
  </si>
  <si>
    <t>-629.752700266621 148.190807754671 318.800994280062</t>
  </si>
  <si>
    <t>-669.761961535894 179.977240467695 779.070545426159</t>
  </si>
  <si>
    <t>-519.539949680042 180.219216536526 836.664968300664</t>
  </si>
  <si>
    <t>-598.787025075796 -58.9751920180884 323.06861311307</t>
  </si>
  <si>
    <t>-653.614991032958 -100.103430373771 781.095539297775</t>
  </si>
  <si>
    <t>-499.742749054581 -116.679610257605 825.054557189882</t>
  </si>
  <si>
    <t>9763-20170724T115521.530290100.bin</t>
  </si>
  <si>
    <t>-600.883853433316 50.1050472601355 -92.4454909711749</t>
  </si>
  <si>
    <t>-622.456677560935 46.3600095387214 -200.972372280166</t>
  </si>
  <si>
    <t>-636.016850488861 45.6881001030949 -292.850122153025</t>
  </si>
  <si>
    <t>-647.364161878872 46.016889127101 -375.972101030181</t>
  </si>
  <si>
    <t>-657.243170514148 47.3191603304349 -459.271783063874</t>
  </si>
  <si>
    <t>-670.073617413317 50.291947113268 -581.22038299158</t>
  </si>
  <si>
    <t>-660.770949564284 55.2756466484939 -658.865925630145</t>
  </si>
  <si>
    <t>-666.436568827554 80.2702949185305 -526.738085209824</t>
  </si>
  <si>
    <t>-646.352542533311 232.292869158292 -498.057210613493</t>
  </si>
  <si>
    <t>-587.341757509179 237.462369697939 -222.250022713405</t>
  </si>
  <si>
    <t>-375.039350515893 145.583463280104 -201.405484136581</t>
  </si>
  <si>
    <t>-662.450852290671 17.7048393240541 -528.682608566144</t>
  </si>
  <si>
    <t>-606.863308861501 142.496390610199 -96.094619595088</t>
  </si>
  <si>
    <t>-629.702886997621 148.179217586609 318.813465274703</t>
  </si>
  <si>
    <t>-669.782832361941 179.966592255509 779.077972070685</t>
  </si>
  <si>
    <t>-519.557085344007 180.21425597773 836.662559178282</t>
  </si>
  <si>
    <t>-598.844641000877 -58.9984511590449 323.049751369777</t>
  </si>
  <si>
    <t>-653.568871404517 -100.13032748611 781.090552403271</t>
  </si>
  <si>
    <t>-499.701425094311 -116.627457040166 825.095977996937</t>
  </si>
  <si>
    <t>9763-20170724T115521.557370800.bin</t>
  </si>
  <si>
    <t>-600.893018661078 50.028193417673 -92.4372465762619</t>
  </si>
  <si>
    <t>-622.481189878031 46.304826601101 -200.961860303064</t>
  </si>
  <si>
    <t>-636.047970677133 45.6487842371498 -292.838544819153</t>
  </si>
  <si>
    <t>-647.39866664726 45.9917015922617 -375.96013942862</t>
  </si>
  <si>
    <t>-657.278519188802 47.3073448174814 -459.259629690044</t>
  </si>
  <si>
    <t>-670.107408685618 50.2989128276374 -581.207887260311</t>
  </si>
  <si>
    <t>-660.861634042556 55.2917982639135 -658.85960793273</t>
  </si>
  <si>
    <t>-666.450507874052 80.2700905105403 -526.72305359704</t>
  </si>
  <si>
    <t>-646.317585109329 232.287211733324 -498.040455553077</t>
  </si>
  <si>
    <t>-586.614303697146 237.493347634834 -222.382984324653</t>
  </si>
  <si>
    <t>-373.903636642133 146.528820041328 -201.691227651636</t>
  </si>
  <si>
    <t>-662.505949930714 17.702203374477 -528.672921555732</t>
  </si>
  <si>
    <t>-606.822269480661 142.398990260639 -96.0864671670313</t>
  </si>
  <si>
    <t>-629.671256002062 148.118429931331 318.820563933808</t>
  </si>
  <si>
    <t>-669.821920325924 179.835132012037 779.082027865519</t>
  </si>
  <si>
    <t>-519.594003352368 180.297884997537 836.65956253737</t>
  </si>
  <si>
    <t>-598.864930316879 -59.0248393261104 323.045239826471</t>
  </si>
  <si>
    <t>-653.552444812286 -100.125733657623 781.087376830841</t>
  </si>
  <si>
    <t>-499.668521027322 -116.422879910963 825.109684688601</t>
  </si>
  <si>
    <t>9763-20170724T115521.627056700.bin</t>
  </si>
  <si>
    <t>-600.856911786781 49.8774897510882 -92.4731330243901</t>
  </si>
  <si>
    <t>-622.460877238433 46.1919578773968 -200.995858144451</t>
  </si>
  <si>
    <t>-636.054500710367 45.5605163386583 -292.868906380149</t>
  </si>
  <si>
    <t>-647.43497904196 45.9233190554105 -375.986280330877</t>
  </si>
  <si>
    <t>-657.34990809852 47.2560930068296 -459.281175514837</t>
  </si>
  <si>
    <t>-670.235997147054 50.2690925799614 -581.222948155243</t>
  </si>
  <si>
    <t>-661.085528152111 55.2660279034703 -658.885732674453</t>
  </si>
  <si>
    <t>-666.511449877067 80.2336524441196 -526.738972678537</t>
  </si>
  <si>
    <t>-646.17714830134 232.217288250569 -498.035714001359</t>
  </si>
  <si>
    <t>-583.501460483038 237.422522380704 -223.03886354445</t>
  </si>
  <si>
    <t>-369.566355270092 149.248116401346 -202.900178410229</t>
  </si>
  <si>
    <t>-662.651893346721 17.6605218528453 -528.692951161325</t>
  </si>
  <si>
    <t>-606.71174688493 142.293294228048 -96.0972178669369</t>
  </si>
  <si>
    <t>-629.646811082268 148.087210363225 318.803977449793</t>
  </si>
  <si>
    <t>-669.803155583268 179.910516729154 779.065366493615</t>
  </si>
  <si>
    <t>-519.582531816675 180.146660068474 836.663386060993</t>
  </si>
  <si>
    <t>-598.897016319379 -59.140031653918 323.016184176739</t>
  </si>
  <si>
    <t>-653.513460137677 -100.150565435367 781.08491027195</t>
  </si>
  <si>
    <t>-499.650029756081 -116.512212836816 825.154910590295</t>
  </si>
  <si>
    <t>9763-20170724T115521.660179800.bin</t>
  </si>
  <si>
    <t>-600.821512852431 49.7802791313256 -92.4781058832044</t>
  </si>
  <si>
    <t>-622.412087693868 46.1036852003961 -201.003716360118</t>
  </si>
  <si>
    <t>-636.025804315794 45.4767451894381 -292.873850941571</t>
  </si>
  <si>
    <t>-647.437014171054 45.8426561920121 -375.986805864381</t>
  </si>
  <si>
    <t>-657.395235173806 47.1772985203559 -459.27669067807</t>
  </si>
  <si>
    <t>-670.358254693192 50.1917583904058 -581.210312674132</t>
  </si>
  <si>
    <t>-661.256572213819 55.1862002191654 -658.879029012918</t>
  </si>
  <si>
    <t>-666.576261379986 80.1570417247415 -526.73080578919</t>
  </si>
  <si>
    <t>-646.15289612088 232.125857757483 -498.012947709853</t>
  </si>
  <si>
    <t>-581.187536008577 237.415449513322 -223.549622813894</t>
  </si>
  <si>
    <t>-366.416886055691 151.055481579503 -204.469696982774</t>
  </si>
  <si>
    <t>-662.764171003441 17.5809121319694 -528.683052474718</t>
  </si>
  <si>
    <t>-606.64199861458 142.212690352675 -96.1022080288445</t>
  </si>
  <si>
    <t>-629.610191859714 148.023949730256 318.796911345449</t>
  </si>
  <si>
    <t>-669.798203601846 179.931326325045 779.053948781646</t>
  </si>
  <si>
    <t>-519.582609524732 180.188251333764 836.6649526097</t>
  </si>
  <si>
    <t>-598.924530789823 -59.2530213350224 323.005058916988</t>
  </si>
  <si>
    <t>-653.500522035055 -100.192950023289 781.085424156947</t>
  </si>
  <si>
    <t>-499.658417851238 -116.710097565086 825.171851702698</t>
  </si>
  <si>
    <t>9763-20170724T115521.730324500.bin</t>
  </si>
  <si>
    <t>-600.551433742359 49.596039838729 -92.4965464471079</t>
  </si>
  <si>
    <t>-622.147891110165 45.9285944204971 -201.021380531812</t>
  </si>
  <si>
    <t>-635.881152575349 45.2854680722699 -292.873502848578</t>
  </si>
  <si>
    <t>-647.44644301005 45.6281668078309 -375.965478869005</t>
  </si>
  <si>
    <t>-657.604948459724 46.92989634894 -459.231556042339</t>
  </si>
  <si>
    <t>-670.911541722407 49.8851090891385 -581.129611577683</t>
  </si>
  <si>
    <t>-661.960151740052 54.8371125311446 -658.818431439967</t>
  </si>
  <si>
    <t>-666.916350592437 79.8806194823947 -526.681873225535</t>
  </si>
  <si>
    <t>-646.399783663778 231.855659375691 -498.067367969624</t>
  </si>
  <si>
    <t>-575.511194813522 236.831208004597 -225.068168233593</t>
  </si>
  <si>
    <t>-358.950506553149 154.457033846077 -208.804799911773</t>
  </si>
  <si>
    <t>-663.229120086686 17.2961026403088 -528.601694942327</t>
  </si>
  <si>
    <t>-606.300183429929 142.051540900371 -96.1223749101056</t>
  </si>
  <si>
    <t>-629.382733618996 147.918707799355 318.769662151124</t>
  </si>
  <si>
    <t>-669.793848320497 179.918087877727 779.02509411545</t>
  </si>
  <si>
    <t>-519.593050283106 180.320637784133 836.673795890914</t>
  </si>
  <si>
    <t>-598.89096743291 -59.4322897527647 322.994089453118</t>
  </si>
  <si>
    <t>-653.46292504541 -100.146083508773 781.089617546842</t>
  </si>
  <si>
    <t>-499.591270202999 -116.293583039312 825.209908904705</t>
  </si>
  <si>
    <t>9763-20170724T115521.756900900.bin</t>
  </si>
  <si>
    <t>-600.41752587348 49.4877833014189 -92.4960169346767</t>
  </si>
  <si>
    <t>-622.031329030277 45.8254384658419 -201.017681445511</t>
  </si>
  <si>
    <t>-635.830589291581 45.1685169500254 -292.859707779658</t>
  </si>
  <si>
    <t>-647.476258379888 45.49214718229 -375.940590072387</t>
  </si>
  <si>
    <t>-657.736046310096 46.7675090409507 -459.194664897458</t>
  </si>
  <si>
    <t>-671.213526777371 49.6765945372169 -581.074993381895</t>
  </si>
  <si>
    <t>-662.324391332533 54.6079565108707 -658.772374679251</t>
  </si>
  <si>
    <t>-667.118412015531 79.6942775586431 -526.646927080117</t>
  </si>
  <si>
    <t>-646.451256900937 231.658812047523 -498.093264078075</t>
  </si>
  <si>
    <t>-572.177134431998 235.966210241914 -225.984120724478</t>
  </si>
  <si>
    <t>-354.547641170588 156.217309421437 -210.949064638043</t>
  </si>
  <si>
    <t>-663.481016710377 17.1060587190366 -528.543046630153</t>
  </si>
  <si>
    <t>-606.10375573177 142.026759241102 -96.1315048628447</t>
  </si>
  <si>
    <t>-629.215684675382 147.861801268652 318.759288474842</t>
  </si>
  <si>
    <t>-669.791612688322 179.888656806633 778.999656433162</t>
  </si>
  <si>
    <t>-519.604346103483 180.297953954325 836.683686490745</t>
  </si>
  <si>
    <t>-598.85034364064 -59.5741609829893 323.001570408332</t>
  </si>
  <si>
    <t>-653.440242658732 -100.164087318275 781.104926578056</t>
  </si>
  <si>
    <t>-499.619494513111 -116.686421090802 825.263943486156</t>
  </si>
  <si>
    <t>9763-20170724T115521.826588300.bin</t>
  </si>
  <si>
    <t>-600.036637264956 49.3450797403495 -92.4854381642072</t>
  </si>
  <si>
    <t>-621.645172360559 45.6623234411718 -201.007399371107</t>
  </si>
  <si>
    <t>-635.599996521678 44.932048338763 -292.82546037557</t>
  </si>
  <si>
    <t>-647.450277037157 45.168054437057 -375.877627135456</t>
  </si>
  <si>
    <t>-657.978902170591 46.3324470574487 -459.099805770982</t>
  </si>
  <si>
    <t>-671.919619720413 49.0536199442311 -580.932236025523</t>
  </si>
  <si>
    <t>-663.195844667614 53.912111675623 -658.652972130968</t>
  </si>
  <si>
    <t>-667.530736355761 79.1604008648289 -526.576356389513</t>
  </si>
  <si>
    <t>-646.377026623877 231.099699410769 -498.194493180466</t>
  </si>
  <si>
    <t>-565.445066827841 233.231001575663 -227.96477432027</t>
  </si>
  <si>
    <t>-345.021266724452 161.500265032073 -213.248024267052</t>
  </si>
  <si>
    <t>-664.074332558953 16.5588469051636 -528.370036079518</t>
  </si>
  <si>
    <t>-605.68363973985 141.955465697084 -96.1551962658673</t>
  </si>
  <si>
    <t>-628.925584701593 147.783032568014 318.728471066272</t>
  </si>
  <si>
    <t>-669.768289949249 179.919225072432 778.963288882442</t>
  </si>
  <si>
    <t>-519.60756478374 180.337218341796 836.716243612525</t>
  </si>
  <si>
    <t>-598.672968001165 -59.7220472270189 323.044311903322</t>
  </si>
  <si>
    <t>-653.391195026142 -100.183965080203 781.147270848058</t>
  </si>
  <si>
    <t>-499.604779724607 -116.836597030775 825.376882848487</t>
  </si>
  <si>
    <t>9763-20170724T115521.860189600.bin</t>
  </si>
  <si>
    <t>-599.773497701549 49.362203531475 -92.4408635980445</t>
  </si>
  <si>
    <t>-621.409729683344 45.668087533224 -200.956875717193</t>
  </si>
  <si>
    <t>-635.462049188294 44.90254107594 -292.759794818079</t>
  </si>
  <si>
    <t>-647.429965534707 45.0962850571252 -375.795212168991</t>
  </si>
  <si>
    <t>-658.10542250713 46.2075908977874 -458.999356960799</t>
  </si>
  <si>
    <t>-672.292908336414 48.8379602166331 -580.805430797717</t>
  </si>
  <si>
    <t>-663.651374228928 53.6662167532079 -658.537094650897</t>
  </si>
  <si>
    <t>-667.728766260212 78.9888452918938 -526.488396735165</t>
  </si>
  <si>
    <t>-646.199116418096 230.90659861475 -498.253787475761</t>
  </si>
  <si>
    <t>-562.765328281109 231.926875303119 -228.77957690883</t>
  </si>
  <si>
    <t>-340.77747292468 165.213574550966 -213.972266574707</t>
  </si>
  <si>
    <t>-664.406353398632 16.3786759001378 -528.227456396524</t>
  </si>
  <si>
    <t>-605.411360250083 141.976225046735 -96.1372987725491</t>
  </si>
  <si>
    <t>-628.734421949095 147.80935445269 318.741736316089</t>
  </si>
  <si>
    <t>-669.756653376284 179.951217901599 778.952998759897</t>
  </si>
  <si>
    <t>-519.607569013901 180.422708989785 836.735790446542</t>
  </si>
  <si>
    <t>-598.489488062539 -59.6832921613518 323.097312055557</t>
  </si>
  <si>
    <t>-653.369644014334 -100.14862725022 781.167197193534</t>
  </si>
  <si>
    <t>-499.556759194147 -116.503294100974 825.415822333203</t>
  </si>
  <si>
    <t>9763-20170724T115521.925439200.bin</t>
  </si>
  <si>
    <t>-599.22715919335 49.2785403840335 -92.3863745486851</t>
  </si>
  <si>
    <t>-620.930389756978 45.5944573107997 -200.889355283484</t>
  </si>
  <si>
    <t>-635.129232973909 44.7491702366422 -292.669079925548</t>
  </si>
  <si>
    <t>-647.265096094251 44.8376977269336 -375.680176682825</t>
  </si>
  <si>
    <t>-658.143944797333 45.8072657216012 -458.859703496953</t>
  </si>
  <si>
    <t>-672.667211752567 48.1901308117654 -580.631263366561</t>
  </si>
  <si>
    <t>-664.171515792103 52.8714383054164 -658.388088104366</t>
  </si>
  <si>
    <t>-667.804623329681 78.4593762869793 -526.40610968239</t>
  </si>
  <si>
    <t>-645.850896990734 230.432928821894 -498.792233262727</t>
  </si>
  <si>
    <t>-559.116845829981 230.42609052837 -230.360059149121</t>
  </si>
  <si>
    <t>-334.695571976049 172.229858289824 -216.330880293638</t>
  </si>
  <si>
    <t>-664.784436640555 15.8297276610547 -527.991914412404</t>
  </si>
  <si>
    <t>-604.679568522627 142.022865610163 -96.1087210132408</t>
  </si>
  <si>
    <t>-628.193439269946 147.836795351398 318.759794944999</t>
  </si>
  <si>
    <t>-669.725038304245 179.995989781524 778.919385240134</t>
  </si>
  <si>
    <t>-519.59866104262 180.221084781015 836.762666878664</t>
  </si>
  <si>
    <t>-598.172302164975 -59.7970123370476 323.177586294913</t>
  </si>
  <si>
    <t>-653.333219205006 -100.203703973403 781.21446907368</t>
  </si>
  <si>
    <t>-499.645236374673 -117.500580755978 825.538778850817</t>
  </si>
  <si>
    <t>9763-20170724T115521.963530400.bin</t>
  </si>
  <si>
    <t>-598.959745020688 49.1994687732774 -92.3582947233795</t>
  </si>
  <si>
    <t>-620.717928789771 45.535272193144 -200.850860414994</t>
  </si>
  <si>
    <t>-634.99102560342 44.6597092883753 -292.618820852653</t>
  </si>
  <si>
    <t>-647.205181876647 44.7028408858619 -375.618498407476</t>
  </si>
  <si>
    <t>-658.173332191447 45.6078315448503 -458.78709708775</t>
  </si>
  <si>
    <t>-672.839025193506 47.8751987916685 -580.543896355274</t>
  </si>
  <si>
    <t>-664.413805718274 52.4591709709507 -658.314087293073</t>
  </si>
  <si>
    <t>-667.836454361729 78.1996863022507 -526.362247836683</t>
  </si>
  <si>
    <t>-645.716786927934 230.205607003962 -499.116371856478</t>
  </si>
  <si>
    <t>-558.490901558402 230.502849797638 -230.843939300435</t>
  </si>
  <si>
    <t>-333.263322812397 175.39838073857 -217.258075114912</t>
  </si>
  <si>
    <t>-664.971228719564 15.5609070025964 -527.873749132572</t>
  </si>
  <si>
    <t>-604.297382496901 141.977745049675 -96.0970265403765</t>
  </si>
  <si>
    <t>-627.884764768205 147.772096409885 318.767571718046</t>
  </si>
  <si>
    <t>-669.722418453557 179.942973091453 778.900099697292</t>
  </si>
  <si>
    <t>-519.605950587554 180.324290362464 836.768393529011</t>
  </si>
  <si>
    <t>-597.986204033019 -59.852083564537 323.216901917054</t>
  </si>
  <si>
    <t>-653.302456792704 -100.175263665443 781.242382253437</t>
  </si>
  <si>
    <t>-499.595155911983 -117.198751227674 825.605661089978</t>
  </si>
  <si>
    <t>9763-20170724T115522.031477600.bin</t>
  </si>
  <si>
    <t>-598.596254266997 48.9899626636059 -92.3033247313939</t>
  </si>
  <si>
    <t>-620.44107054176 45.3672890822177 -200.779948284464</t>
  </si>
  <si>
    <t>-634.798635699423 44.4554869400956 -292.534298016482</t>
  </si>
  <si>
    <t>-647.093451956048 44.4391639332741 -375.522130461776</t>
  </si>
  <si>
    <t>-658.146258007512 45.2560248886141 -458.680488011769</t>
  </si>
  <si>
    <t>-672.940028103754 47.3620747892062 -580.424597495554</t>
  </si>
  <si>
    <t>-664.571125940375 51.7763179521498 -658.210669715959</t>
  </si>
  <si>
    <t>-667.748617586944 77.7644611406899 -526.304353627755</t>
  </si>
  <si>
    <t>-645.446693325236 229.84653340299 -499.673578996638</t>
  </si>
  <si>
    <t>-558.520121399923 230.882815382309 -231.305730546588</t>
  </si>
  <si>
    <t>-332.062557331894 180.783821762709 -218.832065952593</t>
  </si>
  <si>
    <t>-665.148639692165 15.1115477235169 -527.704220197465</t>
  </si>
  <si>
    <t>-603.73604569249 141.819045719947 -96.0480108242825</t>
  </si>
  <si>
    <t>-627.379525718096 147.6369583384 318.813085200037</t>
  </si>
  <si>
    <t>-669.732960710441 179.812874990193 778.874213664766</t>
  </si>
  <si>
    <t>-519.631439632883 180.363917312627 836.779853372282</t>
  </si>
  <si>
    <t>-597.732385017851 -59.901292298274 323.289018442275</t>
  </si>
  <si>
    <t>-653.262323603802 -100.146175999088 781.287882276668</t>
  </si>
  <si>
    <t>-499.555593429001 -117.013787577838 825.712547972388</t>
  </si>
  <si>
    <t>9763-20170724T115522.057550800.bin</t>
  </si>
  <si>
    <t>-598.499060100487 48.9723675383777 -92.3069023063729</t>
  </si>
  <si>
    <t>-620.353277872279 45.3576214403236 -200.781802520127</t>
  </si>
  <si>
    <t>-634.73316438839 44.4195489866436 -292.532531711477</t>
  </si>
  <si>
    <t>-647.05386558582 44.3671955115228 -375.516380828755</t>
  </si>
  <si>
    <t>-658.138572162822 45.1347674590618 -458.670954268062</t>
  </si>
  <si>
    <t>-672.985299460928 47.1548660540159 -580.410137585815</t>
  </si>
  <si>
    <t>-664.627209740493 51.5092350605712 -658.20072375274</t>
  </si>
  <si>
    <t>-667.751888912172 77.5961683694561 -526.315892291369</t>
  </si>
  <si>
    <t>-645.645054499226 229.752908363088 -499.929617468093</t>
  </si>
  <si>
    <t>-558.445551312712 230.940385169317 -231.650993592553</t>
  </si>
  <si>
    <t>-331.232006493747 184.398930518514 -219.143730457655</t>
  </si>
  <si>
    <t>-665.189448461954 14.940831961869 -527.668081399986</t>
  </si>
  <si>
    <t>-603.57273692385 141.823309688552 -96.0448410149803</t>
  </si>
  <si>
    <t>-627.254219847068 147.605006487144 318.814618326264</t>
  </si>
  <si>
    <t>-669.722395567211 179.811901527291 778.862604681271</t>
  </si>
  <si>
    <t>-519.625903001262 180.260231130899 836.782065117688</t>
  </si>
  <si>
    <t>-597.681751036506 -59.8946932095675 323.300527994687</t>
  </si>
  <si>
    <t>-653.232979360812 -100.163954620029 781.303938114362</t>
  </si>
  <si>
    <t>-499.558098233275 -117.174323006384 825.784235246019</t>
  </si>
  <si>
    <t>9763-20170724T115522.125404200.bin</t>
  </si>
  <si>
    <t>-598.527361201712 49.020985204754 -92.2987919414198</t>
  </si>
  <si>
    <t>-620.349996819083 45.3713967422464 -200.778954562462</t>
  </si>
  <si>
    <t>-634.761343541079 44.3874038819329 -292.524164546586</t>
  </si>
  <si>
    <t>-647.133964404753 44.2856902112874 -375.500351586819</t>
  </si>
  <si>
    <t>-658.294212288269 44.9969364969027 -458.645167877619</t>
  </si>
  <si>
    <t>-673.277519463907 46.9269502680991 -580.36919344919</t>
  </si>
  <si>
    <t>-664.89612617871 51.2704343737223 -658.157884552792</t>
  </si>
  <si>
    <t>-668.027574820799 77.4063770506364 -526.298082664416</t>
  </si>
  <si>
    <t>-646.501942505936 229.695884217713 -500.205324845303</t>
  </si>
  <si>
    <t>-558.033535994424 231.499151105089 -232.346018083958</t>
  </si>
  <si>
    <t>-329.844369424611 189.870163682182 -220.293457580874</t>
  </si>
  <si>
    <t>-665.378360584637 14.7538291498681 -527.617450676986</t>
  </si>
  <si>
    <t>-603.692391909108 141.813632828117 -96.0566738339637</t>
  </si>
  <si>
    <t>-627.29557251947 147.661998405927 318.806302583288</t>
  </si>
  <si>
    <t>-669.723486857263 179.829748626371 778.861214404687</t>
  </si>
  <si>
    <t>-519.623182242694 180.257769722138 836.770970832095</t>
  </si>
  <si>
    <t>-597.686914740097 -59.8513743553235 323.308631233703</t>
  </si>
  <si>
    <t>-653.160283276532 -100.141071499847 781.326420985784</t>
  </si>
  <si>
    <t>-499.479057696721 -116.820543923203 825.909973742649</t>
  </si>
  <si>
    <t>9763-20170724T115522.162008700.bin</t>
  </si>
  <si>
    <t>-598.636797019456 49.0165003103316 -92.2943086814229</t>
  </si>
  <si>
    <t>-620.44582865061 45.3388904425858 -200.776400765434</t>
  </si>
  <si>
    <t>-634.864911580131 44.3448754184792 -292.520240496066</t>
  </si>
  <si>
    <t>-647.252073256684 44.2383601512797 -375.494213871644</t>
  </si>
  <si>
    <t>-658.434559112638 44.9497721948064 -458.636180079402</t>
  </si>
  <si>
    <t>-673.458875641954 46.8851943955158 -580.354872735995</t>
  </si>
  <si>
    <t>-665.062622224716 51.25253441525 -658.140755667816</t>
  </si>
  <si>
    <t>-668.237675582142 77.3600457867194 -526.278369508305</t>
  </si>
  <si>
    <t>-647.108890409733 229.723791990934 -500.279121726709</t>
  </si>
  <si>
    <t>-557.663904493568 231.829278303846 -232.746365555857</t>
  </si>
  <si>
    <t>-329.144137745579 191.891413111926 -221.24758381681</t>
  </si>
  <si>
    <t>-665.49496591933 14.7118517609665 -527.613084524</t>
  </si>
  <si>
    <t>-603.951531151719 141.734250969716 -96.0558831073115</t>
  </si>
  <si>
    <t>-627.405037115284 147.657653432298 318.814571049014</t>
  </si>
  <si>
    <t>-669.74485520128 179.747506182595 778.87096365834</t>
  </si>
  <si>
    <t>-519.637871670027 180.222985740745 836.762953957747</t>
  </si>
  <si>
    <t>-597.666058268545 -59.8256777067238 323.305381337088</t>
  </si>
  <si>
    <t>-653.09888554638 -100.120922406504 781.339193811836</t>
  </si>
  <si>
    <t>-499.412247624544 -116.5035124103 826.014043724389</t>
  </si>
  <si>
    <t>9763-20170724T115522.225681100.bin</t>
  </si>
  <si>
    <t>-599.006801583031 48.9810630871243 -92.3110599941858</t>
  </si>
  <si>
    <t>-620.770927478547 45.230639920132 -200.799541445236</t>
  </si>
  <si>
    <t>-635.197816286043 44.1988690535352 -292.541820172296</t>
  </si>
  <si>
    <t>-647.610327114501 44.0637988501589 -375.512011435875</t>
  </si>
  <si>
    <t>-658.83652720783 44.7548192971403 -458.648164740101</t>
  </si>
  <si>
    <t>-673.945028182652 46.6693307502489 -580.356807523541</t>
  </si>
  <si>
    <t>-665.507029994898 51.0613603994111 -658.136810074046</t>
  </si>
  <si>
    <t>-668.814789231845 77.1471916247376 -526.273411741528</t>
  </si>
  <si>
    <t>-648.688949612396 229.66402288082 -500.371879004883</t>
  </si>
  <si>
    <t>-556.670261946355 232.732592457684 -233.722795362228</t>
  </si>
  <si>
    <t>-327.785613044921 194.615701707718 -223.356778253663</t>
  </si>
  <si>
    <t>-665.816339385647 14.5112535793126 -527.63092425702</t>
  </si>
  <si>
    <t>-604.671244907951 141.579203478117 -96.0709346914733</t>
  </si>
  <si>
    <t>-627.751594219689 147.683740476956 318.81785763296</t>
  </si>
  <si>
    <t>-669.749916531336 179.763848327614 778.895185434063</t>
  </si>
  <si>
    <t>-519.622943332493 180.237871114173 836.735374265708</t>
  </si>
  <si>
    <t>-597.643396175259 -59.8172786275682 323.292410673779</t>
  </si>
  <si>
    <t>-652.993697196922 -100.153999041952 781.339097728941</t>
  </si>
  <si>
    <t>-499.371243080788 -116.652186590162 826.191917804373</t>
  </si>
  <si>
    <t>9763-20170724T115522.263311400.bin</t>
  </si>
  <si>
    <t>-599.197037514317 48.964967769946 -92.31165607965</t>
  </si>
  <si>
    <t>-620.944833964085 45.1775648765863 -200.802187897921</t>
  </si>
  <si>
    <t>-635.383715029419 44.1285238631799 -292.542281990663</t>
  </si>
  <si>
    <t>-647.817345197765 43.9817140938262 -375.509249442623</t>
  </si>
  <si>
    <t>-659.075207737858 44.6660498287465 -458.641200846133</t>
  </si>
  <si>
    <t>-674.24158791971 46.5766196883199 -580.342715536166</t>
  </si>
  <si>
    <t>-665.776490370973 50.9872790939469 -658.118743827933</t>
  </si>
  <si>
    <t>-669.161888975508 77.0524125809366 -526.253226936539</t>
  </si>
  <si>
    <t>-649.493946227143 229.633955932749 -500.391155804754</t>
  </si>
  <si>
    <t>-555.954404717995 233.138085208846 -234.277100266354</t>
  </si>
  <si>
    <t>-327.016130458161 195.263945380878 -224.209918566597</t>
  </si>
  <si>
    <t>-666.011516539562 14.424242978708 -527.62906667025</t>
  </si>
  <si>
    <t>-605.061925897729 141.459180219523 -96.0698703044663</t>
  </si>
  <si>
    <t>-627.909548401717 147.6819924053 318.829956309726</t>
  </si>
  <si>
    <t>-669.760260129027 179.772767136126 778.913786128531</t>
  </si>
  <si>
    <t>-519.619433547045 180.170416645598 836.718601708893</t>
  </si>
  <si>
    <t>-597.643370410472 -59.806136009277 323.283462895324</t>
  </si>
  <si>
    <t>-652.944019846109 -100.136181579787 781.33182585229</t>
  </si>
  <si>
    <t>-499.311444295581 -116.350738164267 826.253387792237</t>
  </si>
  <si>
    <t>9763-20170724T115522.329832900.bin</t>
  </si>
  <si>
    <t>-599.521827903371 48.9045042955231 -92.3165473200266</t>
  </si>
  <si>
    <t>-621.287044024818 45.0900502194572 -200.802633362651</t>
  </si>
  <si>
    <t>-635.789617283378 44.0364641052556 -292.532693523406</t>
  </si>
  <si>
    <t>-648.300435492723 43.8892737939432 -375.488035319496</t>
  </si>
  <si>
    <t>-659.6553818533 44.5795382358665 -458.606720251557</t>
  </si>
  <si>
    <t>-674.985619456276 46.5056830303247 -580.287494749793</t>
  </si>
  <si>
    <t>-666.455259877297 50.9122285452834 -658.056539442531</t>
  </si>
  <si>
    <t>-669.959477524468 76.967411929051 -526.185283822682</t>
  </si>
  <si>
    <t>-651.076436100676 229.657428802145 -500.359036226586</t>
  </si>
  <si>
    <t>-554.326276331549 233.567001194948 -235.401206734861</t>
  </si>
  <si>
    <t>-325.134772839307 197.134379928625 -225.786393572109</t>
  </si>
  <si>
    <t>-666.55826173056 14.3534868738718 -527.604935834772</t>
  </si>
  <si>
    <t>-605.805424725065 141.18639685964 -96.036009558321</t>
  </si>
  <si>
    <t>-628.310665616122 147.429422257153 318.882210687561</t>
  </si>
  <si>
    <t>-669.783974952163 179.76958524305 778.961709297458</t>
  </si>
  <si>
    <t>-519.605776727403 180.085487643822 836.669872536088</t>
  </si>
  <si>
    <t>-597.577713204093 -59.7573086477789 323.237824186452</t>
  </si>
  <si>
    <t>-652.884265891133 -100.141718691233 781.273020653638</t>
  </si>
  <si>
    <t>-499.23696927065 -115.926377727817 826.297274478606</t>
  </si>
  <si>
    <t>9763-20170724T115522.360919700.bin</t>
  </si>
  <si>
    <t>-599.625035071071 48.9088998202947 -92.3297871291002</t>
  </si>
  <si>
    <t>-621.414486140735 45.0959066294599 -200.811030027773</t>
  </si>
  <si>
    <t>-635.942621739001 44.0519102595924 -292.53713219256</t>
  </si>
  <si>
    <t>-648.478552627834 43.9156949365838 -375.488809884102</t>
  </si>
  <si>
    <t>-659.8607011235 44.6199745851141 -458.603709738133</t>
  </si>
  <si>
    <t>-675.233169132288 46.5697319019214 -580.278697788742</t>
  </si>
  <si>
    <t>-666.671172942055 50.9527554672322 -658.045585734903</t>
  </si>
  <si>
    <t>-670.233087955695 77.0184821917933 -526.166584535526</t>
  </si>
  <si>
    <t>-651.590943747689 229.727851648206 -500.260304949312</t>
  </si>
  <si>
    <t>-553.340571197531 233.84519294832 -235.858101291382</t>
  </si>
  <si>
    <t>-324.038292544268 198.008327916805 -226.654026312058</t>
  </si>
  <si>
    <t>-666.742653913701 14.4098507226979 -527.610864985181</t>
  </si>
  <si>
    <t>-606.042249449246 141.140740888522 -96.0222212310223</t>
  </si>
  <si>
    <t>-628.531424711595 147.331838070944 318.897621682926</t>
  </si>
  <si>
    <t>-669.767714363394 179.881761072812 778.982128706614</t>
  </si>
  <si>
    <t>-519.573175329188 180.019091742272 836.6483940786</t>
  </si>
  <si>
    <t>-597.49273606636 -59.7399423569855 323.205779443488</t>
  </si>
  <si>
    <t>-652.865455641647 -100.165954397819 781.222646931769</t>
  </si>
  <si>
    <t>-499.256559876417 -116.211860454481 826.285448027312</t>
  </si>
  <si>
    <t>9763-20170724T115522.425045500.bin</t>
  </si>
  <si>
    <t>-599.65267880169 49.004908528264 -92.4072227443839</t>
  </si>
  <si>
    <t>-621.500031067345 45.1878889747943 -200.876630737282</t>
  </si>
  <si>
    <t>-636.028014317801 44.1409168520072 -292.602787761947</t>
  </si>
  <si>
    <t>-648.544091346991 44.0001435985425 -375.557369369422</t>
  </si>
  <si>
    <t>-659.886814547737 44.6992207696396 -458.677796177556</t>
  </si>
  <si>
    <t>-675.179941200483 46.6412651896019 -580.362821373601</t>
  </si>
  <si>
    <t>-666.524283237103 50.9269106411348 -658.124862365205</t>
  </si>
  <si>
    <t>-670.287512228194 77.089025260565 -526.240446710789</t>
  </si>
  <si>
    <t>-652.059939036263 229.84821581381 -500.346310910002</t>
  </si>
  <si>
    <t>-551.041968209056 234.937185713072 -237.0061837818</t>
  </si>
  <si>
    <t>-321.554821745247 200.2277183031 -228.093526505867</t>
  </si>
  <si>
    <t>-666.651402297336 14.4890866309595 -527.696505249744</t>
  </si>
  <si>
    <t>-606.277976186672 141.174327627756 -96.0604389439967</t>
  </si>
  <si>
    <t>-628.631080424428 147.330519475009 318.867352999837</t>
  </si>
  <si>
    <t>-669.757110534647 179.863718095319 778.985360088922</t>
  </si>
  <si>
    <t>-519.546736463704 180.087516618202 836.610191665508</t>
  </si>
  <si>
    <t>-597.307080057623 -59.6081302080024 323.111341703587</t>
  </si>
  <si>
    <t>-652.830854541231 -100.165779859117 781.099932096479</t>
  </si>
  <si>
    <t>-499.22092329274 -116.036522872889 826.221107464365</t>
  </si>
  <si>
    <t>9763-20170724T115522.463153600.bin</t>
  </si>
  <si>
    <t>-599.581944369659 49.1937375988778 -92.4375796255086</t>
  </si>
  <si>
    <t>-621.469658361107 45.3881289698654 -200.899319153532</t>
  </si>
  <si>
    <t>-636.017211520352 44.3368557114006 -292.62224373371</t>
  </si>
  <si>
    <t>-648.545250827851 44.1864290914341 -375.575072059147</t>
  </si>
  <si>
    <t>-659.89424873794 44.8705770397951 -458.694670795822</t>
  </si>
  <si>
    <t>-675.190551788749 46.7846453353789 -580.379879491029</t>
  </si>
  <si>
    <t>-666.505120061886 51.0094253392149 -658.141841535371</t>
  </si>
  <si>
    <t>-670.320956469644 77.2434608550907 -526.261497554565</t>
  </si>
  <si>
    <t>-652.26972089907 230.024695610886 -500.409388879962</t>
  </si>
  <si>
    <t>-549.911771750045 235.292858952251 -237.590611521023</t>
  </si>
  <si>
    <t>-320.369232490705 200.942348413855 -228.714066416507</t>
  </si>
  <si>
    <t>-666.636379230467 14.6460635107289 -527.709292844703</t>
  </si>
  <si>
    <t>-606.227173998106 141.369037522271 -96.0761309831728</t>
  </si>
  <si>
    <t>-628.492291685951 147.432116170148 318.857762826623</t>
  </si>
  <si>
    <t>-669.73758221558 179.909827127167 778.979237575743</t>
  </si>
  <si>
    <t>-519.527719851673 180.136621141698 836.605306353656</t>
  </si>
  <si>
    <t>-597.154177104068 -59.4337927587044 323.068448568136</t>
  </si>
  <si>
    <t>-652.832491709675 -100.144694569687 781.036795630255</t>
  </si>
  <si>
    <t>-499.196452952422 -115.7936805637 826.146601368241</t>
  </si>
  <si>
    <t>9763-20170724T115522.528223800.bin</t>
  </si>
  <si>
    <t>-599.384359788731 49.7003758063161 -92.4840982746848</t>
  </si>
  <si>
    <t>-621.334534460085 45.9090318783221 -200.933740287254</t>
  </si>
  <si>
    <t>-635.912292632572 44.8886053060448 -292.652086124504</t>
  </si>
  <si>
    <t>-648.458774230722 44.7737671462262 -375.602206475593</t>
  </si>
  <si>
    <t>-659.81770576177 45.5012697692846 -458.720195048138</t>
  </si>
  <si>
    <t>-675.119000494778 47.4883177240406 -580.403467662414</t>
  </si>
  <si>
    <t>-666.403155108712 51.6579126530212 -658.165023064828</t>
  </si>
  <si>
    <t>-670.274739714289 77.9129455859163 -526.26369471169</t>
  </si>
  <si>
    <t>-652.433523549111 230.709809606726 -500.37811567204</t>
  </si>
  <si>
    <t>-547.663421250981 236.18647604935 -238.515834626119</t>
  </si>
  <si>
    <t>-317.932425164604 202.975992198505 -230.192975161066</t>
  </si>
  <si>
    <t>-666.535075767634 15.3199057927645 -527.756040288618</t>
  </si>
  <si>
    <t>-605.974088448492 141.910797558222 -96.0845156867534</t>
  </si>
  <si>
    <t>-628.210743658211 147.82769090943 318.852990818859</t>
  </si>
  <si>
    <t>-669.733093312269 179.925835312682 778.975971396442</t>
  </si>
  <si>
    <t>-519.524461018425 180.039399197591 836.605628167188</t>
  </si>
  <si>
    <t>-596.926217462754 -59.0310103038969 323.00660397769</t>
  </si>
  <si>
    <t>-652.863918341303 -100.146374743636 780.904734399176</t>
  </si>
  <si>
    <t>-499.23285790401 -115.980316742873 825.967031193973</t>
  </si>
  <si>
    <t>9763-20170724T115522.559342600.bin</t>
  </si>
  <si>
    <t>-599.384546186889 50.0245742882464 -92.5008642953885</t>
  </si>
  <si>
    <t>-621.337348200975 46.2280470900439 -200.949738151822</t>
  </si>
  <si>
    <t>-635.901960032371 45.2239086253999 -292.670407157336</t>
  </si>
  <si>
    <t>-648.430490563277 45.1323296222918 -375.623310925565</t>
  </si>
  <si>
    <t>-659.765320472465 45.8920984998024 -458.744151170511</t>
  </si>
  <si>
    <t>-675.024985547116 47.9356028889822 -580.431845009328</t>
  </si>
  <si>
    <t>-666.28414672871 52.1063284047293 -658.190513728383</t>
  </si>
  <si>
    <t>-670.21263074859 78.3342144562846 -526.274560699915</t>
  </si>
  <si>
    <t>-652.479291801512 231.140485870846 -500.352575086455</t>
  </si>
  <si>
    <t>-546.52050811392 236.583088697988 -238.968406494453</t>
  </si>
  <si>
    <t>-316.69345001494 203.949622489946 -231.024157453086</t>
  </si>
  <si>
    <t>-666.445751026463 15.7435269204566 -527.797971252357</t>
  </si>
  <si>
    <t>-605.974929231602 142.240300289236 -96.0971119894805</t>
  </si>
  <si>
    <t>-628.193301148895 148.016793136607 318.843427500834</t>
  </si>
  <si>
    <t>-669.751766358601 179.889617512493 778.980829835579</t>
  </si>
  <si>
    <t>-519.53976523521 180.155190123077 836.601306869912</t>
  </si>
  <si>
    <t>-596.886459539672 -58.7982342640939 322.98480933123</t>
  </si>
  <si>
    <t>-652.880086854819 -100.102991503886 780.850518758226</t>
  </si>
  <si>
    <t>-499.214221100105 -115.700139941571 825.876621237137</t>
  </si>
  <si>
    <t>9763-20170724T115522.631254300.bin</t>
  </si>
  <si>
    <t>-599.510489691719 50.6905300523242 -92.5089333501803</t>
  </si>
  <si>
    <t>-621.407815459516 46.894944801079 -200.969054447192</t>
  </si>
  <si>
    <t>-635.85492092718 45.9138009583257 -292.708685961223</t>
  </si>
  <si>
    <t>-648.249065175604 45.8525490459892 -375.681687609366</t>
  </si>
  <si>
    <t>-659.421353996778 46.6524970526166 -458.824094405189</t>
  </si>
  <si>
    <t>-674.412577070107 48.7658167243646 -580.544009958149</t>
  </si>
  <si>
    <t>-665.551056677743 52.9817191965983 -658.286616756732</t>
  </si>
  <si>
    <t>-669.747333795299 79.1317477888633 -526.355495904561</t>
  </si>
  <si>
    <t>-652.245060875804 231.957723132527 -500.355174396931</t>
  </si>
  <si>
    <t>-543.882168281449 237.296807727904 -239.95638043219</t>
  </si>
  <si>
    <t>-313.932358989456 205.463534084983 -232.323325172623</t>
  </si>
  <si>
    <t>-665.921779918997 16.5453481113504 -527.91331717936</t>
  </si>
  <si>
    <t>-605.982029949933 142.926961236088 -96.1163758568616</t>
  </si>
  <si>
    <t>-628.258355442433 148.487634567894 318.823943164005</t>
  </si>
  <si>
    <t>-669.778806529024 179.920216697966 779.005173744067</t>
  </si>
  <si>
    <t>-519.549743016277 180.17398508789 836.581042527783</t>
  </si>
  <si>
    <t>-596.964523018223 -58.4011553437442 322.952918534045</t>
  </si>
  <si>
    <t>-652.904940063396 -100.102041803564 780.773038247434</t>
  </si>
  <si>
    <t>-499.278843728636 -116.197441800259 825.75951062017</t>
  </si>
  <si>
    <t>9763-20170724T115522.660347700.bin</t>
  </si>
  <si>
    <t>-599.557078415897 51.0629486080591 -92.4921440229128</t>
  </si>
  <si>
    <t>-621.411530775216 47.2700743074929 -200.960977001125</t>
  </si>
  <si>
    <t>-635.789365186305 46.300840921906 -292.711505915678</t>
  </si>
  <si>
    <t>-648.107808664784 46.2537907270876 -375.695807750335</t>
  </si>
  <si>
    <t>-659.191174854921 47.0717879868225 -458.850070664088</t>
  </si>
  <si>
    <t>-674.037881427937 49.2162445976787 -580.587036769605</t>
  </si>
  <si>
    <t>-665.099910401315 53.4616491207748 -658.31935086309</t>
  </si>
  <si>
    <t>-669.449748553014 79.5673605395057 -526.383859407676</t>
  </si>
  <si>
    <t>-652.055499229766 232.395797274066 -500.354043151391</t>
  </si>
  <si>
    <t>-542.55964590519 237.775051677153 -240.430294476429</t>
  </si>
  <si>
    <t>-312.590196462265 206.077700891661 -232.823358458863</t>
  </si>
  <si>
    <t>-665.596825871361 16.9830808812644 -527.956128698174</t>
  </si>
  <si>
    <t>-606.009558432339 143.313529464506 -96.1132437163305</t>
  </si>
  <si>
    <t>-628.271728702803 148.771788963437 318.829141924098</t>
  </si>
  <si>
    <t>-669.789158765137 179.956956621442 779.018101410742</t>
  </si>
  <si>
    <t>-519.550934293947 180.101894952814 836.570522826907</t>
  </si>
  <si>
    <t>-596.998025103632 -58.1746664080595 322.945383375391</t>
  </si>
  <si>
    <t>-652.877909066447 -100.084855344771 780.753201894101</t>
  </si>
  <si>
    <t>-499.230283665452 -115.892473615967 825.768169132918</t>
  </si>
  <si>
    <t>9763-20170724T115522.732201500.bin</t>
  </si>
  <si>
    <t>-599.51092571998 51.7411482474436 -92.4639453114667</t>
  </si>
  <si>
    <t>-621.342677953375 47.962669245806 -200.937771615822</t>
  </si>
  <si>
    <t>-635.599018186209 47.0003465275356 -292.707498462846</t>
  </si>
  <si>
    <t>-647.766577367907 46.9579241196618 -375.714046543092</t>
  </si>
  <si>
    <t>-658.657841002669 47.7788535045456 -458.893542930737</t>
  </si>
  <si>
    <t>-673.17845383902 49.9260733150359 -580.669950500561</t>
  </si>
  <si>
    <t>-664.034253890868 54.1752744097589 -658.377918506054</t>
  </si>
  <si>
    <t>-668.751015207837 80.2750710552625 -526.451942786715</t>
  </si>
  <si>
    <t>-651.514844113545 233.117897621886 -500.386408883244</t>
  </si>
  <si>
    <t>-540.002505070686 238.430054998856 -241.320040428851</t>
  </si>
  <si>
    <t>-310.010233221858 206.94699928584 -233.516190393008</t>
  </si>
  <si>
    <t>-664.862828285409 17.692792018456 -528.019017535316</t>
  </si>
  <si>
    <t>-605.91412915751 144.049071054146 -96.0906714078624</t>
  </si>
  <si>
    <t>-628.209026170294 149.285771827943 318.852890552117</t>
  </si>
  <si>
    <t>-669.798850386316 180.039576395479 779.045021156626</t>
  </si>
  <si>
    <t>-519.539277108491 180.105611776717 836.541904002735</t>
  </si>
  <si>
    <t>-596.901676262563 -57.7873879711594 322.958037159096</t>
  </si>
  <si>
    <t>-652.801599034035 -100.118088214321 780.730598832079</t>
  </si>
  <si>
    <t>-499.204473004791 -116.119095707542 825.84954462996</t>
  </si>
  <si>
    <t>9763-20170724T115522.759276200.bin</t>
  </si>
  <si>
    <t>-599.439211956417 52.069278993258 -92.4643205269854</t>
  </si>
  <si>
    <t>-621.284769491746 48.2957220017929 -200.935707517307</t>
  </si>
  <si>
    <t>-635.492170839788 47.3393299498889 -292.712909524176</t>
  </si>
  <si>
    <t>-647.591125295795 47.3029333681841 -375.729454977919</t>
  </si>
  <si>
    <t>-658.389160909025 48.1308277054659 -458.921053875757</t>
  </si>
  <si>
    <t>-672.746464566171 50.2889216858289 -580.71662890056</t>
  </si>
  <si>
    <t>-663.478990867257 54.5177568890279 -658.411057495445</t>
  </si>
  <si>
    <t>-668.387152906041 80.6332111846666 -526.490627570842</t>
  </si>
  <si>
    <t>-651.137792153098 233.471658058665 -500.406143005658</t>
  </si>
  <si>
    <t>-538.783832135636 238.557403511817 -241.699042940287</t>
  </si>
  <si>
    <t>-308.77394516563 207.219354917117 -233.830926914961</t>
  </si>
  <si>
    <t>-664.506069641506 18.0506343971483 -528.056958106649</t>
  </si>
  <si>
    <t>-605.851766813203 144.389457423006 -96.0889419687063</t>
  </si>
  <si>
    <t>-628.154443531401 149.494147057021 318.855793074481</t>
  </si>
  <si>
    <t>-669.811833095637 180.03266599803 779.054753635361</t>
  </si>
  <si>
    <t>-519.546881565605 180.154179775188 836.53741027046</t>
  </si>
  <si>
    <t>-596.770849792014 -57.5632352036641 322.959295451895</t>
  </si>
  <si>
    <t>-652.75768730288 -100.094948647626 780.706583314158</t>
  </si>
  <si>
    <t>-499.165297177879 -115.960670125342 825.889339605057</t>
  </si>
  <si>
    <t>9763-20170724T115522.827174400.bin</t>
  </si>
  <si>
    <t>-599.268168683932 52.6718877691471 -92.4699799293116</t>
  </si>
  <si>
    <t>-621.17273266538 48.9298694679153 -200.93054488679</t>
  </si>
  <si>
    <t>-635.318468863972 47.9955660666869 -292.717527366661</t>
  </si>
  <si>
    <t>-647.31677991774 47.9778674827874 -375.748675770427</t>
  </si>
  <si>
    <t>-657.968932961025 48.8226851275449 -458.95898086713</t>
  </si>
  <si>
    <t>-672.063122452025 51.0035887137326 -580.784833020291</t>
  </si>
  <si>
    <t>-662.546901264785 55.1730752676895 -658.452538275141</t>
  </si>
  <si>
    <t>-667.792747273274 81.3396344343964 -526.547092280786</t>
  </si>
  <si>
    <t>-650.455088126497 234.161999320117 -500.443185693691</t>
  </si>
  <si>
    <t>-536.33437013832 239.102581639278 -242.507814745208</t>
  </si>
  <si>
    <t>-306.251560839356 208.29650686479 -234.671117011501</t>
  </si>
  <si>
    <t>-663.964680855164 18.7535768629773 -528.110385672578</t>
  </si>
  <si>
    <t>-605.592554434823 145.090360746243 -96.0866418772328</t>
  </si>
  <si>
    <t>-627.880999373588 149.886653534802 318.862497624503</t>
  </si>
  <si>
    <t>-669.788866281711 180.142067351432 779.059588708488</t>
  </si>
  <si>
    <t>-519.520285766223 180.195077320562 836.532939652691</t>
  </si>
  <si>
    <t>-596.457873549735 -57.1734581554522 322.948251918457</t>
  </si>
  <si>
    <t>-652.694215681274 -100.096644735665 780.661628185415</t>
  </si>
  <si>
    <t>-499.156839674069 -116.229066247982 825.93679417969</t>
  </si>
  <si>
    <t>9763-20170724T115522.859295000.bin</t>
  </si>
  <si>
    <t>-599.17358338665 52.9443602890965 -92.4779817304993</t>
  </si>
  <si>
    <t>-621.109047964356 49.2273127020414 -200.933067107268</t>
  </si>
  <si>
    <t>-635.225769104745 48.3140833969849 -292.724754620456</t>
  </si>
  <si>
    <t>-647.175677668407 48.3161138938622 -375.76296320388</t>
  </si>
  <si>
    <t>-657.757013793305 49.1809897195542 -458.982097179231</t>
  </si>
  <si>
    <t>-671.723134857903 51.3912361286775 -580.822059908142</t>
  </si>
  <si>
    <t>-662.074293402112 55.5358681532612 -658.474732229098</t>
  </si>
  <si>
    <t>-667.485657023366 81.7156526275123 -526.575310527117</t>
  </si>
  <si>
    <t>-650.076624760368 234.529681358003 -500.460743186762</t>
  </si>
  <si>
    <t>-535.004138542734 239.224696723267 -242.94410298072</t>
  </si>
  <si>
    <t>-304.865908567721 208.783910159677 -235.309350606112</t>
  </si>
  <si>
    <t>-663.704198302474 19.1271097373369 -528.144123346755</t>
  </si>
  <si>
    <t>-605.427720980558 145.410614309399 -96.0800597710322</t>
  </si>
  <si>
    <t>-627.7879844289 150.014993889122 318.867416138</t>
  </si>
  <si>
    <t>-669.775127550865 180.22545868207 779.062105213393</t>
  </si>
  <si>
    <t>-519.506123072885 180.178971543022 836.534183852471</t>
  </si>
  <si>
    <t>-596.349574374487 -56.9891138176165 322.939234338172</t>
  </si>
  <si>
    <t>-652.683918184624 -100.087250210282 780.627271206486</t>
  </si>
  <si>
    <t>-499.148050671401 -116.197764001188 825.915425568258</t>
  </si>
  <si>
    <t>9763-20170724T115522.926209400.bin</t>
  </si>
  <si>
    <t>-598.956019699587 53.313121317974 -92.4820626459258</t>
  </si>
  <si>
    <t>-620.918365096664 49.6584938767198 -200.93388384717</t>
  </si>
  <si>
    <t>-634.972885454838 48.7925272565426 -292.735618559909</t>
  </si>
  <si>
    <t>-646.832359786546 48.8365760608322 -375.786687761295</t>
  </si>
  <si>
    <t>-657.288686373998 49.741713636244 -459.021191612749</t>
  </si>
  <si>
    <t>-671.033948540628 52.0085895698905 -580.885282432898</t>
  </si>
  <si>
    <t>-661.140919491424 56.1159196621622 -658.509166665595</t>
  </si>
  <si>
    <t>-666.829028771291 82.3119117796539 -526.624173593763</t>
  </si>
  <si>
    <t>-649.185675550237 235.095498996335 -500.466101320495</t>
  </si>
  <si>
    <t>-532.017883950949 239.678550698289 -243.893782644726</t>
  </si>
  <si>
    <t>-301.72541621502 210.20932632436 -237.150858858481</t>
  </si>
  <si>
    <t>-663.176305474436 19.7157521773484 -528.200642435033</t>
  </si>
  <si>
    <t>-604.991695853324 145.777177750661 -96.0477964958583</t>
  </si>
  <si>
    <t>-627.578042324192 150.230395147322 318.889154726619</t>
  </si>
  <si>
    <t>-669.779357312917 180.245167578748 779.061993327478</t>
  </si>
  <si>
    <t>-519.506257278848 180.071146157431 836.523033417255</t>
  </si>
  <si>
    <t>-596.183429515975 -56.7597820581809 322.905654450826</t>
  </si>
  <si>
    <t>-652.627872035682 -100.076339832918 780.566880600831</t>
  </si>
  <si>
    <t>-499.126218377126 -116.309753186202 825.92700690856</t>
  </si>
  <si>
    <t>9763-20170724T115522.958270700.bin</t>
  </si>
  <si>
    <t>-598.883242499606 53.4753043019648 -92.484960561722</t>
  </si>
  <si>
    <t>-620.846063814468 49.8653395788929 -200.938160901562</t>
  </si>
  <si>
    <t>-634.873119927047 49.0244814256796 -292.744278402795</t>
  </si>
  <si>
    <t>-646.69671365495 49.0873048535141 -375.800602944951</t>
  </si>
  <si>
    <t>-657.106086197215 50.0066625846455 -459.04076006721</t>
  </si>
  <si>
    <t>-670.770536718889 52.2897602058645 -580.913568805778</t>
  </si>
  <si>
    <t>-660.780514096609 56.3735699533072 -658.526339398632</t>
  </si>
  <si>
    <t>-666.576978486912 82.5874032964282 -526.648503254103</t>
  </si>
  <si>
    <t>-648.934595142282 235.363741040274 -500.491075383444</t>
  </si>
  <si>
    <t>-530.609264774511 239.95061071091 -244.450709806512</t>
  </si>
  <si>
    <t>-300.236458030027 211.008560932342 -238.184818814854</t>
  </si>
  <si>
    <t>-662.972432064127 19.9885102507933 -528.225299026349</t>
  </si>
  <si>
    <t>-604.831541525063 145.951526531599 -96.0434148181142</t>
  </si>
  <si>
    <t>-627.54289281206 150.26086909983 318.888221119042</t>
  </si>
  <si>
    <t>-669.792334532894 180.211949277933 779.062272630082</t>
  </si>
  <si>
    <t>-519.51485253372 180.074702597739 836.512078814647</t>
  </si>
  <si>
    <t>-596.147596320799 -56.64355824373 322.882565900372</t>
  </si>
  <si>
    <t>-652.603156568326 -100.056727690988 780.531212936193</t>
  </si>
  <si>
    <t>-499.096420415677 -116.168999920022 825.917271988333</t>
  </si>
  <si>
    <t>9763-20170724T115523.024977100.bin</t>
  </si>
  <si>
    <t>-598.697040627443 53.7522011589206 -92.5039080032888</t>
  </si>
  <si>
    <t>-620.670407346667 50.2427249801474 -200.958276648853</t>
  </si>
  <si>
    <t>-634.641776366424 49.4445983024093 -292.773247860263</t>
  </si>
  <si>
    <t>-646.389455726027 49.5320232054592 -375.840278665498</t>
  </si>
  <si>
    <t>-656.697222696901 50.4610826890539 -459.092897841624</t>
  </si>
  <si>
    <t>-670.185192035819 52.7419732539722 -580.985625861828</t>
  </si>
  <si>
    <t>-660.008730543629 56.7813414450659 -658.576457594734</t>
  </si>
  <si>
    <t>-666.013192240018 83.0439155093954 -526.721255949822</t>
  </si>
  <si>
    <t>-648.262275333921 235.822883501342 -500.618389901824</t>
  </si>
  <si>
    <t>-527.854141991584 240.5898193202 -245.554329581694</t>
  </si>
  <si>
    <t>-297.340616256701 212.632173543008 -240.038989057438</t>
  </si>
  <si>
    <t>-662.520399849639 20.4382864861441 -528.279076217827</t>
  </si>
  <si>
    <t>-604.376689018524 146.278999005405 -96.0234397808692</t>
  </si>
  <si>
    <t>-627.412506610938 150.397505982524 318.892181066907</t>
  </si>
  <si>
    <t>-669.817252487276 180.171710377464 779.074297226927</t>
  </si>
  <si>
    <t>-519.524386763632 179.908044847345 836.483407535019</t>
  </si>
  <si>
    <t>-596.099496315862 -56.4951417794143 322.827289899825</t>
  </si>
  <si>
    <t>-652.593414646078 -100.037625201221 780.467322535769</t>
  </si>
  <si>
    <t>-499.065324166386 -115.985538409863 825.839272371847</t>
  </si>
  <si>
    <t>9763-20170724T115523.058567400.bin</t>
  </si>
  <si>
    <t>-598.594283355283 53.8330152361475 -92.5123427040554</t>
  </si>
  <si>
    <t>-620.544622276672 50.3533516192779 -200.972336857137</t>
  </si>
  <si>
    <t>-634.47900577106 49.5578698556706 -292.792941343191</t>
  </si>
  <si>
    <t>-646.186382453907 49.6395738557135 -375.865639285671</t>
  </si>
  <si>
    <t>-656.446908467843 50.5542296565425 -459.124322617418</t>
  </si>
  <si>
    <t>-669.858098558601 52.8047713562501 -581.025956938119</t>
  </si>
  <si>
    <t>-659.597260354964 56.8078515488978 -658.607488284533</t>
  </si>
  <si>
    <t>-665.685108807414 83.1222870101847 -526.770432298574</t>
  </si>
  <si>
    <t>-647.886597624519 235.908734274547 -500.737222441272</t>
  </si>
  <si>
    <t>-526.603938124302 240.77426275177 -246.089531572836</t>
  </si>
  <si>
    <t>-296.016649052152 213.405319882503 -240.706723434938</t>
  </si>
  <si>
    <t>-662.261683517157 20.5121553322008 -528.30287091178</t>
  </si>
  <si>
    <t>-604.118016865427 146.365514890918 -96.0207839994023</t>
  </si>
  <si>
    <t>-627.328373513367 150.398954223578 318.885968092554</t>
  </si>
  <si>
    <t>-669.824504363429 180.193315387974 779.070105766087</t>
  </si>
  <si>
    <t>-519.528308856994 179.989879209606 836.470718520218</t>
  </si>
  <si>
    <t>-596.084287474582 -56.4415116166842 322.80669442679</t>
  </si>
  <si>
    <t>-652.608232130802 -100.011828192525 780.438887413621</t>
  </si>
  <si>
    <t>-499.060082281549 -115.899540379624 825.763975108889</t>
  </si>
  <si>
    <t>9763-20170724T115523.130760800.bin</t>
  </si>
  <si>
    <t>-598.369151243164 54.0111677659356 -92.5027491371172</t>
  </si>
  <si>
    <t>-620.274437684347 50.5743872423818 -200.973245091111</t>
  </si>
  <si>
    <t>-634.105215939226 49.7779722474704 -292.809542953434</t>
  </si>
  <si>
    <t>-645.692559901859 49.8454530647587 -375.89903912015</t>
  </si>
  <si>
    <t>-655.806395296228 50.731340222658 -459.176196712857</t>
  </si>
  <si>
    <t>-668.973766470088 52.9237599959067 -581.105336039759</t>
  </si>
  <si>
    <t>-658.529843064304 56.8569857823156 -658.666145855598</t>
  </si>
  <si>
    <t>-664.856231013265 83.270092275842 -526.861528370008</t>
  </si>
  <si>
    <t>-647.005402430333 236.072677855944 -500.964206772038</t>
  </si>
  <si>
    <t>-524.241238954144 240.874897917694 -247.02639390225</t>
  </si>
  <si>
    <t>-293.550228512357 214.403451078246 -241.598987918091</t>
  </si>
  <si>
    <t>-661.535901658745 20.6532016125416 -528.346092155669</t>
  </si>
  <si>
    <t>-603.727949623549 146.574139469009 -95.9949107783114</t>
  </si>
  <si>
    <t>-627.110884240392 150.522312358264 318.90290888572</t>
  </si>
  <si>
    <t>-669.82803471769 180.248205179541 779.054914674499</t>
  </si>
  <si>
    <t>-519.532390452223 179.92526122876 836.45645960399</t>
  </si>
  <si>
    <t>-595.985299483566 -56.3493180956286 322.796891825137</t>
  </si>
  <si>
    <t>-652.612176349345 -100.065206480346 780.397419820357</t>
  </si>
  <si>
    <t>-499.106925161662 -116.437974301265 825.695253088802</t>
  </si>
  <si>
    <t>9763-20170724T115523.161845800.bin</t>
  </si>
  <si>
    <t>-598.272907788031 54.1229641496761 -92.506764238468</t>
  </si>
  <si>
    <t>-620.138494394135 50.7085524527697 -200.985913439192</t>
  </si>
  <si>
    <t>-633.904567809545 49.9194449334418 -292.832103691213</t>
  </si>
  <si>
    <t>-645.42083525717 49.9892977185657 -375.931472221969</t>
  </si>
  <si>
    <t>-655.450839345131 50.8728990993111 -459.218589794586</t>
  </si>
  <si>
    <t>-668.481542050488 53.0569481048349 -581.162685706007</t>
  </si>
  <si>
    <t>-657.965050806719 56.963327623318 -658.714990446791</t>
  </si>
  <si>
    <t>-664.401539279033 83.4083638205668 -526.919034641862</t>
  </si>
  <si>
    <t>-646.547276898322 236.204453565584 -501.032915118256</t>
  </si>
  <si>
    <t>-523.115306184684 241.151552433961 -247.421562100826</t>
  </si>
  <si>
    <t>-292.383672715207 215.05801297591 -241.892394472261</t>
  </si>
  <si>
    <t>-661.126020689021 20.7888499865535 -528.390483562062</t>
  </si>
  <si>
    <t>-603.592460079173 146.715512885294 -95.9872128048901</t>
  </si>
  <si>
    <t>-627.04138516075 150.630576180055 318.907306496856</t>
  </si>
  <si>
    <t>-669.827535447253 180.285095044737 779.058013371391</t>
  </si>
  <si>
    <t>-519.528468113413 179.8386795689 836.449788061852</t>
  </si>
  <si>
    <t>-595.964768922893 -56.3196399425308 322.788180148357</t>
  </si>
  <si>
    <t>-652.619514932366 -100.091463040091 780.382051862374</t>
  </si>
  <si>
    <t>-499.157376458264 -116.915066267673 825.660802198281</t>
  </si>
  <si>
    <t>9763-20170724T115523.226017900.bin</t>
  </si>
  <si>
    <t>-597.935549223572 54.4344836996788 -92.5069748198282</t>
  </si>
  <si>
    <t>-619.679439189164 51.0494986771773 -201.011621207414</t>
  </si>
  <si>
    <t>-633.255381299881 50.2743698548352 -292.886055890779</t>
  </si>
  <si>
    <t>-644.56465849825 50.3536010679331 -376.013901281144</t>
  </si>
  <si>
    <t>-654.352110305628 51.2423140556639 -459.329901089392</t>
  </si>
  <si>
    <t>-666.989017380382 53.4294603155286 -581.315323567413</t>
  </si>
  <si>
    <t>-656.27187445433 57.2924161742412 -658.842301131143</t>
  </si>
  <si>
    <t>-663.04170988284 83.7818956309252 -527.062295627099</t>
  </si>
  <si>
    <t>-645.137216119977 236.579212183146 -501.20911745704</t>
  </si>
  <si>
    <t>-520.762569662794 241.55865100967 -248.059493955172</t>
  </si>
  <si>
    <t>-289.95492918493 216.218471109709 -242.207311224434</t>
  </si>
  <si>
    <t>-659.846369609925 21.1577417432131 -528.516167905229</t>
  </si>
  <si>
    <t>-603.080254800218 147.020902079061 -95.9801877429886</t>
  </si>
  <si>
    <t>-626.81325930437 150.861722860641 318.898885113249</t>
  </si>
  <si>
    <t>-669.847358855356 180.277912859166 779.060469738441</t>
  </si>
  <si>
    <t>-519.532725778741 179.93439567482 836.412280293667</t>
  </si>
  <si>
    <t>-595.973088021179 -56.1976330631344 322.776512066095</t>
  </si>
  <si>
    <t>-652.663567597176 -100.054897875601 780.356635766864</t>
  </si>
  <si>
    <t>-499.131193536349 -116.565529847829 825.51226255232</t>
  </si>
  <si>
    <t>9763-20170724T115523.258615200.bin</t>
  </si>
  <si>
    <t>-597.700906467847 54.5721039957918 -92.4909815826628</t>
  </si>
  <si>
    <t>-619.331794943198 51.1973007070526 -201.01845770761</t>
  </si>
  <si>
    <t>-632.795896778391 50.4290901056399 -292.909553915706</t>
  </si>
  <si>
    <t>-643.997586174633 50.5146576110631 -376.051943134141</t>
  </si>
  <si>
    <t>-653.670753667738 51.4098197533403 -459.381012982176</t>
  </si>
  <si>
    <t>-666.133498544965 53.6058277812542 -581.384344664295</t>
  </si>
  <si>
    <t>-655.315698354246 57.4483223941422 -658.898334206295</t>
  </si>
  <si>
    <t>-662.249934193813 83.9550097449351 -527.124855799618</t>
  </si>
  <si>
    <t>-644.350017249484 236.762537218713 -501.298891192576</t>
  </si>
  <si>
    <t>-519.613293541008 241.746364383001 -248.327582166334</t>
  </si>
  <si>
    <t>-288.728971180815 217.142120721818 -242.362378529224</t>
  </si>
  <si>
    <t>-659.079949317096 21.329522696617 -528.575854653449</t>
  </si>
  <si>
    <t>-602.755136928422 147.13485808861 -95.9759418200451</t>
  </si>
  <si>
    <t>-626.707979413875 150.908834088821 318.891123936237</t>
  </si>
  <si>
    <t>-669.866607046551 180.22175583197 779.047316953166</t>
  </si>
  <si>
    <t>-519.554886788638 179.940749427156 836.40695657722</t>
  </si>
  <si>
    <t>-596.009867938752 -56.172542222077 322.786837036337</t>
  </si>
  <si>
    <t>-652.703226257695 -100.03086718188 780.355976358911</t>
  </si>
  <si>
    <t>-499.148776017764 -116.571373108944 825.425621864425</t>
  </si>
  <si>
    <t>9763-20170724T115523.327941800.bin</t>
  </si>
  <si>
    <t>-596.957630866571 54.8158340542238 -92.4466013282346</t>
  </si>
  <si>
    <t>-618.35290273354 51.4663925779857 -201.021477774677</t>
  </si>
  <si>
    <t>-631.657697966948 50.7141641380822 -292.936002615684</t>
  </si>
  <si>
    <t>-642.731619854087 50.8132718881261 -376.095405010578</t>
  </si>
  <si>
    <t>-652.293316446718 51.720686653211 -459.437343903892</t>
  </si>
  <si>
    <t>-664.611083687524 53.9339112204489 -581.45495880097</t>
  </si>
  <si>
    <t>-653.645256752161 57.7185790534108 -658.951083019836</t>
  </si>
  <si>
    <t>-660.777953843448 84.2762014105206 -527.188041234112</t>
  </si>
  <si>
    <t>-642.949805718395 237.110730910365 -501.476666670171</t>
  </si>
  <si>
    <t>-517.372850034249 242.231328029519 -248.924148749422</t>
  </si>
  <si>
    <t>-286.315909897318 219.33188570655 -242.85484576597</t>
  </si>
  <si>
    <t>-657.634316305595 21.6494883224684 -528.64151058876</t>
  </si>
  <si>
    <t>-601.819021849316 147.39623298252 -95.9449007526379</t>
  </si>
  <si>
    <t>-626.299849531863 151.042253742909 318.892360606858</t>
  </si>
  <si>
    <t>-669.881086323731 180.174852654944 779.007456856224</t>
  </si>
  <si>
    <t>-519.585329846697 179.881926123065 836.408929433424</t>
  </si>
  <si>
    <t>-595.945412497954 -56.2243727941423 322.813707406337</t>
  </si>
  <si>
    <t>-652.829423181235 -100.033707451016 780.360753145902</t>
  </si>
  <si>
    <t>-499.252103898388 -117.058838858807 825.171207603332</t>
  </si>
  <si>
    <t>9763-20170724T115523.361039500.bin</t>
  </si>
  <si>
    <t>-596.495207704464 54.9528820442717 -92.422303237443</t>
  </si>
  <si>
    <t>-617.805743355387 51.610194339599 -201.01417301322</t>
  </si>
  <si>
    <t>-631.045920033139 50.8702907737002 -292.937854446601</t>
  </si>
  <si>
    <t>-642.064310813264 50.9835693711741 -376.104796967434</t>
  </si>
  <si>
    <t>-651.573306628751 51.9079606717864 -459.452535044755</t>
  </si>
  <si>
    <t>-663.817125189243 54.1491719302471 -581.477082543564</t>
  </si>
  <si>
    <t>-652.781441960987 57.9112442215085 -658.964344165397</t>
  </si>
  <si>
    <t>-660.009309588612 84.4793610281392 -527.201654150437</t>
  </si>
  <si>
    <t>-642.223217967988 237.317594785289 -501.506250181687</t>
  </si>
  <si>
    <t>-516.201170246003 242.41583192661 -249.174980819443</t>
  </si>
  <si>
    <t>-285.037531475564 220.56977138823 -243.288336696282</t>
  </si>
  <si>
    <t>-656.88000144385 21.8520421650151 -528.665970860062</t>
  </si>
  <si>
    <t>-601.303978533959 147.555740002015 -95.9378957162036</t>
  </si>
  <si>
    <t>-626.002113099079 151.086930570187 318.887525171485</t>
  </si>
  <si>
    <t>-669.892180537562 180.107402967163 778.984085066432</t>
  </si>
  <si>
    <t>-519.606312977896 180.031233440978 836.412086682376</t>
  </si>
  <si>
    <t>-595.819808550498 -56.213910141131 322.82903969626</t>
  </si>
  <si>
    <t>-652.902949359779 -100.000987038336 780.362913007767</t>
  </si>
  <si>
    <t>-499.249289695775 -116.777000177879 825.005210186033</t>
  </si>
  <si>
    <t>9763-20170724T115523.428218000.bin</t>
  </si>
  <si>
    <t>-595.407889630995 55.2733570435735 -92.3933454571566</t>
  </si>
  <si>
    <t>-616.569592949284 51.934008859912 -201.014322654458</t>
  </si>
  <si>
    <t>-629.666535763105 51.2093188775684 -292.958775257083</t>
  </si>
  <si>
    <t>-640.548590500015 51.3416044515204 -376.143530358643</t>
  </si>
  <si>
    <t>-649.914260810526 52.2906441928801 -459.507263705528</t>
  </si>
  <si>
    <t>-661.941104803912 54.5742053028803 -581.552766983625</t>
  </si>
  <si>
    <t>-650.76747194499 58.3260509760701 -659.020529564738</t>
  </si>
  <si>
    <t>-658.24078993065 84.8849227620719 -527.258933888655</t>
  </si>
  <si>
    <t>-640.601672334478 237.753397155097 -501.607760625202</t>
  </si>
  <si>
    <t>-513.464562278614 243.020848980452 -249.839954763165</t>
  </si>
  <si>
    <t>-282.112311365349 223.107005711655 -244.53904766623</t>
  </si>
  <si>
    <t>-655.086894976828 22.259393897845 -528.741503144695</t>
  </si>
  <si>
    <t>-600.084034531882 147.932768706662 -95.9148306339725</t>
  </si>
  <si>
    <t>-625.18401035879 151.297758190881 318.887880410932</t>
  </si>
  <si>
    <t>-669.879740653932 180.109673560361 778.920465478333</t>
  </si>
  <si>
    <t>-519.624534110905 179.922439595286 836.428399201353</t>
  </si>
  <si>
    <t>-595.394438753146 -56.1705623395212 322.86926024871</t>
  </si>
  <si>
    <t>-653.050471326988 -99.9989128842331 780.35735685002</t>
  </si>
  <si>
    <t>-499.392468349552 -117.524458856687 824.695780112689</t>
  </si>
  <si>
    <t>9763-20170724T115523.461308000.bin</t>
  </si>
  <si>
    <t>-594.765007280281 55.3558838924225 -92.3581385255815</t>
  </si>
  <si>
    <t>-615.830529031445 52.0075088044864 -200.99758991395</t>
  </si>
  <si>
    <t>-628.861868855832 51.2701431650557 -292.951356276363</t>
  </si>
  <si>
    <t>-639.690890232619 51.3885794800221 -376.143002374964</t>
  </si>
  <si>
    <t>-649.00965935254 52.3216832455203 -459.512139692743</t>
  </si>
  <si>
    <t>-660.97469779314 54.5791454748992 -581.564052725116</t>
  </si>
  <si>
    <t>-649.750262472346 58.3204357707184 -659.025146652431</t>
  </si>
  <si>
    <t>-657.305844158746 84.9012838166245 -527.274652895271</t>
  </si>
  <si>
    <t>-639.793370765697 237.797484800064 -501.69939335242</t>
  </si>
  <si>
    <t>-511.978436870746 243.207945011203 -250.278145034268</t>
  </si>
  <si>
    <t>-280.533073166989 224.328519951192 -245.264034928585</t>
  </si>
  <si>
    <t>-654.143264217797 22.2758515090557 -528.742988425528</t>
  </si>
  <si>
    <t>-599.451256943534 148.000781313496 -95.8847198973576</t>
  </si>
  <si>
    <t>-624.782514117051 151.275511273245 318.904572980045</t>
  </si>
  <si>
    <t>-669.898011858725 179.99656628757 778.889142759357</t>
  </si>
  <si>
    <t>-519.658703286871 180.030174656279 836.438856678785</t>
  </si>
  <si>
    <t>-595.081372463194 -56.2283762748868 322.89992990381</t>
  </si>
  <si>
    <t>-653.111950455452 -99.9573807892198 780.352580679501</t>
  </si>
  <si>
    <t>-499.403813215463 -117.404247047547 824.548021951337</t>
  </si>
  <si>
    <t>9763-20170724T115523.529113800.bin</t>
  </si>
  <si>
    <t>-593.420960113962 55.3890929669849 -92.2998603244772</t>
  </si>
  <si>
    <t>-614.310260454487 52.0201685258914 -200.972580612444</t>
  </si>
  <si>
    <t>-627.23248506315 51.2460080369965 -292.94147960332</t>
  </si>
  <si>
    <t>-637.978547754852 51.3220196347177 -376.14390802762</t>
  </si>
  <si>
    <t>-647.229826247523 52.2035995604856 -459.5212323318</t>
  </si>
  <si>
    <t>-659.11305740113 54.3754718246803 -581.582589335955</t>
  </si>
  <si>
    <t>-647.81461088662 58.0823761279862 -659.03467801786</t>
  </si>
  <si>
    <t>-655.484364148756 84.7354333456117 -527.311647629708</t>
  </si>
  <si>
    <t>-638.150161665721 237.65799639292 -501.809853625508</t>
  </si>
  <si>
    <t>-508.807098143237 243.268615225808 -251.175576687989</t>
  </si>
  <si>
    <t>-277.209293303026 226.220285658586 -246.666130424771</t>
  </si>
  <si>
    <t>-652.313246067408 22.1094364153544 -528.734694147779</t>
  </si>
  <si>
    <t>-598.16158748751 148.0947573401 -95.8367159110398</t>
  </si>
  <si>
    <t>-624.116194107223 151.200776283335 318.91543147043</t>
  </si>
  <si>
    <t>-669.918893494767 179.840366734497 778.819521627542</t>
  </si>
  <si>
    <t>-519.714529297034 180.171519517113 836.459408628247</t>
  </si>
  <si>
    <t>-594.415094467742 -56.5486829204362 322.938227601345</t>
  </si>
  <si>
    <t>-653.178045620015 -99.8949906400976 780.362836167003</t>
  </si>
  <si>
    <t>-499.380453250375 -117.079171075784 824.349518716938</t>
  </si>
  <si>
    <t>9763-20170724T115523.560686800.bin</t>
  </si>
  <si>
    <t>-592.749902053176 55.508221302757 -92.2730681370377</t>
  </si>
  <si>
    <t>-613.555903963069 52.128436341168 -200.961507333308</t>
  </si>
  <si>
    <t>-626.423414402314 51.3274345380235 -292.9377719751</t>
  </si>
  <si>
    <t>-637.12605660136 51.3718472010069 -376.14583346567</t>
  </si>
  <si>
    <t>-646.339954351616 52.213967324903 -459.527776985386</t>
  </si>
  <si>
    <t>-658.175022953626 54.3197260362324 -581.594945445271</t>
  </si>
  <si>
    <t>-646.835816961621 57.9920909016384 -659.042605752943</t>
  </si>
  <si>
    <t>-654.566084057882 84.7091842309596 -527.339184015422</t>
  </si>
  <si>
    <t>-637.248457606488 237.649518934884 -501.910186800818</t>
  </si>
  <si>
    <t>-507.24748496892 243.471836094501 -251.621493511784</t>
  </si>
  <si>
    <t>-275.599470925858 227.064088856559 -247.318576143868</t>
  </si>
  <si>
    <t>-651.397727314655 22.0823075188919 -528.726680031992</t>
  </si>
  <si>
    <t>-597.55094795606 148.190567466225 -95.8212941348443</t>
  </si>
  <si>
    <t>-623.702665976633 151.273200188515 318.918579459409</t>
  </si>
  <si>
    <t>-669.907773942911 179.811056037383 778.781353920218</t>
  </si>
  <si>
    <t>-519.727873900034 180.10720112229 836.485090948012</t>
  </si>
  <si>
    <t>-594.034587946556 -56.505001131485 322.973593123609</t>
  </si>
  <si>
    <t>-653.19990913164 -99.8977192546517 780.351524991099</t>
  </si>
  <si>
    <t>-499.426808576274 -117.443019633125 824.281202530558</t>
  </si>
  <si>
    <t>9763-20170724T115523.625885300.bin</t>
  </si>
  <si>
    <t>-591.530976963534 55.5531932507395 -92.2387455942182</t>
  </si>
  <si>
    <t>-612.176414718914 52.1771748422686 -200.957995477901</t>
  </si>
  <si>
    <t>-624.965085450176 51.3305143455639 -292.944819569631</t>
  </si>
  <si>
    <t>-635.619358609351 51.3135788054522 -376.159060426157</t>
  </si>
  <si>
    <t>-644.80764883709 52.0741611058493 -459.544551102111</t>
  </si>
  <si>
    <t>-656.630287196074 54.0383383307048 -581.615417552913</t>
  </si>
  <si>
    <t>-645.225980185848 57.5786593558282 -659.059685546947</t>
  </si>
  <si>
    <t>-653.015528431243 84.491308103894 -527.395498484744</t>
  </si>
  <si>
    <t>-635.733714532748 237.460921032897 -502.135429904291</t>
  </si>
  <si>
    <t>-504.602232461734 243.836415863847 -252.450658548396</t>
  </si>
  <si>
    <t>-272.899522869858 228.081649682399 -248.685229555013</t>
  </si>
  <si>
    <t>-649.869721446539 21.8614647224067 -528.707970170466</t>
  </si>
  <si>
    <t>-596.303938743447 148.285438728979 -95.798273569521</t>
  </si>
  <si>
    <t>-622.866856635429 151.260573400461 318.916317950553</t>
  </si>
  <si>
    <t>-669.916067553296 179.641756727272 778.698149889105</t>
  </si>
  <si>
    <t>-519.788113539878 180.269060817145 836.534514787001</t>
  </si>
  <si>
    <t>-593.526523910176 -56.7641707179423 322.995461374318</t>
  </si>
  <si>
    <t>-653.181551173809 -99.8906992355949 780.339280569739</t>
  </si>
  <si>
    <t>-499.378616254616 -117.300879595857 824.218321840231</t>
  </si>
  <si>
    <t>9763-20170724T115523.659478500.bin</t>
  </si>
  <si>
    <t>-590.984598270319 55.5287514189954 -92.2277339906118</t>
  </si>
  <si>
    <t>-611.565593365339 52.1618124968691 -200.959415075253</t>
  </si>
  <si>
    <t>-624.324486264256 51.2990977616198 -292.95018665015</t>
  </si>
  <si>
    <t>-634.961718537122 51.2582065152108 -376.166759587865</t>
  </si>
  <si>
    <t>-644.142648341075 51.9855094654638 -459.553283388001</t>
  </si>
  <si>
    <t>-655.965334516398 53.8900740768177 -581.625014334643</t>
  </si>
  <si>
    <t>-644.52857104639 57.3463548053937 -659.068364828827</t>
  </si>
  <si>
    <t>-652.329713974628 84.3706837795323 -527.422015987467</t>
  </si>
  <si>
    <t>-635.046733160474 237.35784301451 -502.284842047212</t>
  </si>
  <si>
    <t>-503.395818291928 244.131163221517 -252.884146645278</t>
  </si>
  <si>
    <t>-271.669808108233 228.660882688835 -249.382812825805</t>
  </si>
  <si>
    <t>-649.225549144086 21.738152540581 -528.699978063706</t>
  </si>
  <si>
    <t>-595.706131505678 148.373271833525 -95.787890088392</t>
  </si>
  <si>
    <t>-622.424940240391 151.247379090022 318.917387402558</t>
  </si>
  <si>
    <t>-669.900132838962 179.634914881067 778.651178548417</t>
  </si>
  <si>
    <t>-519.800916042215 180.205933720143 836.562438069869</t>
  </si>
  <si>
    <t>-593.293629706287 -56.9734490636893 322.999824379852</t>
  </si>
  <si>
    <t>-653.164301981902 -99.8910302734785 780.344290982266</t>
  </si>
  <si>
    <t>-499.391678806026 -117.562297159806 824.225213511636</t>
  </si>
  <si>
    <t>9763-20170724T115523.727432400.bin</t>
  </si>
  <si>
    <t>-590.044974297628 55.4596855035877 -92.1921087256387</t>
  </si>
  <si>
    <t>-610.450898507617 52.116325896862 -200.957545970564</t>
  </si>
  <si>
    <t>-623.086607356718 51.2135042654415 -292.964960549911</t>
  </si>
  <si>
    <t>-633.622025301901 51.1130920217101 -376.194390035679</t>
  </si>
  <si>
    <t>-642.710434440948 51.7554168721304 -459.591724545821</t>
  </si>
  <si>
    <t>-654.407630914428 53.5075895658583 -581.67792666175</t>
  </si>
  <si>
    <t>-642.824792837682 56.7735246671025 -659.107683774812</t>
  </si>
  <si>
    <t>-650.733392558521 84.0604939402392 -527.518240190338</t>
  </si>
  <si>
    <t>-633.057413316876 237.067011074942 -502.71269780879</t>
  </si>
  <si>
    <t>-500.5435656791 244.440280181477 -253.786390446385</t>
  </si>
  <si>
    <t>-268.736999419847 230.140219733558 -250.662333969661</t>
  </si>
  <si>
    <t>-647.816627404283 21.4169232109928 -528.696771240797</t>
  </si>
  <si>
    <t>-594.665212718362 148.373418581585 -95.7625033764829</t>
  </si>
  <si>
    <t>-621.826559281442 151.195518328557 318.914361162429</t>
  </si>
  <si>
    <t>-669.90331788279 179.586744148533 778.590099950238</t>
  </si>
  <si>
    <t>-519.84076375242 180.196822178404 836.595898254048</t>
  </si>
  <si>
    <t>-592.899943216222 -57.18855298732 323.025468793525</t>
  </si>
  <si>
    <t>-653.132039640949 -99.8946514520699 780.345443681631</t>
  </si>
  <si>
    <t>-499.38163706058 -117.773906692553 824.219868356526</t>
  </si>
  <si>
    <t>9763-20170724T115523.760030400.bin</t>
  </si>
  <si>
    <t>-589.601409386311 55.4140453934858 -92.1652576657732</t>
  </si>
  <si>
    <t>-609.915499729642 52.0886898209335 -200.948455255568</t>
  </si>
  <si>
    <t>-622.480399029434 51.1395710169822 -292.965033474104</t>
  </si>
  <si>
    <t>-632.954456669962 50.9734221449853 -376.201966590942</t>
  </si>
  <si>
    <t>-641.983875862453 51.5248704918631 -459.60647472965</t>
  </si>
  <si>
    <t>-653.597418419495 53.116389031341 -581.702796483957</t>
  </si>
  <si>
    <t>-641.933431963343 56.2388925637481 -659.126389489399</t>
  </si>
  <si>
    <t>-649.901999319858 83.7432931094954 -527.586465123252</t>
  </si>
  <si>
    <t>-631.996749999585 236.761313644363 -503.035654227242</t>
  </si>
  <si>
    <t>-499.016872861804 244.386007367652 -254.365501476633</t>
  </si>
  <si>
    <t>-267.161265894451 230.83954814003 -251.536707641367</t>
  </si>
  <si>
    <t>-647.100971798026 21.0928662929716 -528.669637497301</t>
  </si>
  <si>
    <t>-594.133602888629 148.257548415804 -95.7375030783127</t>
  </si>
  <si>
    <t>-621.565625992962 151.118641236602 318.921232170029</t>
  </si>
  <si>
    <t>-669.922560502164 179.507387227956 778.565318123904</t>
  </si>
  <si>
    <t>-519.872308637376 180.240457069383 836.601645346669</t>
  </si>
  <si>
    <t>-592.750212172269 -57.2442823985718 323.048538243237</t>
  </si>
  <si>
    <t>-653.105377177306 -99.8938185383113 780.350272391911</t>
  </si>
  <si>
    <t>-499.334703399505 -117.586218294669 824.229476586827</t>
  </si>
  <si>
    <t>9763-20170724T115523.826706100.bin</t>
  </si>
  <si>
    <t>-588.902537302921 55.3850064935443 -92.1204254541972</t>
  </si>
  <si>
    <t>-609.074493341014 52.1089372202268 -200.931663183484</t>
  </si>
  <si>
    <t>-621.494003088604 51.0327468278253 -292.966591850795</t>
  </si>
  <si>
    <t>-631.8263261481 50.6861429963756 -376.220688859166</t>
  </si>
  <si>
    <t>-640.703378147599 50.9886578280452 -459.642771242878</t>
  </si>
  <si>
    <t>-652.08225091981 52.1406981714586 -581.766254330581</t>
  </si>
  <si>
    <t>-640.237803112122 54.9231719289769 -659.175389747891</t>
  </si>
  <si>
    <t>-648.352981989602 82.9682822615462 -527.766090032671</t>
  </si>
  <si>
    <t>-630.033793929638 236.035170708463 -503.868721804961</t>
  </si>
  <si>
    <t>-496.156114388278 244.389272988478 -255.70446013831</t>
  </si>
  <si>
    <t>-264.223851109924 232.049447099882 -253.781396731627</t>
  </si>
  <si>
    <t>-645.825585894818 20.3021795120339 -528.592878965029</t>
  </si>
  <si>
    <t>-593.240905083327 148.220533917447 -95.6983325570595</t>
  </si>
  <si>
    <t>-621.046332146595 151.073529439091 318.935649683282</t>
  </si>
  <si>
    <t>-669.929238616895 179.505320984611 778.518745440885</t>
  </si>
  <si>
    <t>-519.899190887032 180.057509705234 836.609232906823</t>
  </si>
  <si>
    <t>-592.56753399893 -57.3281736627885 323.083300956866</t>
  </si>
  <si>
    <t>-653.052251142879 -99.8874781219347 780.360838276141</t>
  </si>
  <si>
    <t>-499.314246254129 -117.779189086732 824.273635843909</t>
  </si>
  <si>
    <t>9763-20170724T115523.859291100.bin</t>
  </si>
  <si>
    <t>-588.623450101486 55.3350075305552 -92.1057424473569</t>
  </si>
  <si>
    <t>-608.726265338094 52.072596509772 -200.929992772971</t>
  </si>
  <si>
    <t>-621.078715487409 50.9231041613582 -292.973172619412</t>
  </si>
  <si>
    <t>-631.346968842229 50.4773681950437 -376.234663579836</t>
  </si>
  <si>
    <t>-640.156257063639 50.6464150159013 -459.664408230497</t>
  </si>
  <si>
    <t>-651.431970457696 51.5653983895488 -581.79936863652</t>
  </si>
  <si>
    <t>-639.5019541662 54.1631717375105 -659.201731294517</t>
  </si>
  <si>
    <t>-647.669944746113 82.4991733685813 -527.862321338734</t>
  </si>
  <si>
    <t>-629.052157503589 235.595411343018 -504.356208978424</t>
  </si>
  <si>
    <t>-494.81039686775 244.232748140752 -256.398276397329</t>
  </si>
  <si>
    <t>-262.850547990264 232.376799198601 -254.784400894748</t>
  </si>
  <si>
    <t>-645.298585024578 19.8252621959068 -528.552855693875</t>
  </si>
  <si>
    <t>-592.82953239427 148.133641499587 -95.6807734997409</t>
  </si>
  <si>
    <t>-620.832337453199 150.96953670481 318.939996638542</t>
  </si>
  <si>
    <t>-669.957882023585 179.406259622756 778.503073812702</t>
  </si>
  <si>
    <t>-519.931538446185 180.14966290524 836.600838041652</t>
  </si>
  <si>
    <t>-592.521773845031 -57.3660470795314 323.103886078988</t>
  </si>
  <si>
    <t>-653.026948752279 -99.9069640113594 780.381399182857</t>
  </si>
  <si>
    <t>-499.315180614292 -118.007067580532 824.300609393992</t>
  </si>
  <si>
    <t>9763-20170724T115523.923750200.bin</t>
  </si>
  <si>
    <t>-588.157454058095 55.2291630573961 -92.0561517663655</t>
  </si>
  <si>
    <t>-608.096220968091 51.9875695141636 -200.91132314161</t>
  </si>
  <si>
    <t>-620.28919579986 50.6601024282072 -292.973202600673</t>
  </si>
  <si>
    <t>-630.405135380334 49.9774300935476 -376.251947910538</t>
  </si>
  <si>
    <t>-639.053543451149 49.8304980879818 -459.698416270768</t>
  </si>
  <si>
    <t>-650.084661346161 50.2003018019327 -581.858573328061</t>
  </si>
  <si>
    <t>-637.965153638797 52.3763633366614 -659.2446777109</t>
  </si>
  <si>
    <t>-646.277757037227 81.3816531935934 -528.0676915201</t>
  </si>
  <si>
    <t>-627.069486734114 234.523654338897 -505.395956168935</t>
  </si>
  <si>
    <t>-492.209195745001 243.844383201482 -257.798755756702</t>
  </si>
  <si>
    <t>-260.170674324013 233.579086872042 -256.671444386669</t>
  </si>
  <si>
    <t>-644.2108619486 18.6943891116432 -528.44388533501</t>
  </si>
  <si>
    <t>-592.05783599434 148.029520182468 -95.6538194756681</t>
  </si>
  <si>
    <t>-620.487455573155 150.834989540241 318.938194530209</t>
  </si>
  <si>
    <t>-669.985025088542 179.414022007063 778.466643871474</t>
  </si>
  <si>
    <t>-519.970692280047 180.134174676116 836.59591012964</t>
  </si>
  <si>
    <t>-592.592134544386 -57.5425649732244 323.165574278152</t>
  </si>
  <si>
    <t>-652.992680755847 -99.8764437060615 780.454995207708</t>
  </si>
  <si>
    <t>-499.254553370369 -117.803600270722 824.352892430896</t>
  </si>
  <si>
    <t>9763-20170724T115523.960362400.bin</t>
  </si>
  <si>
    <t>-587.954215730037 55.2317116206762 -92.0344808796483</t>
  </si>
  <si>
    <t>-607.794604839987 51.995736877843 -200.907766544196</t>
  </si>
  <si>
    <t>-619.899435711278 50.5698364052969 -292.979730944828</t>
  </si>
  <si>
    <t>-629.933819086462 49.7583798688431 -376.267101348805</t>
  </si>
  <si>
    <t>-638.498600917156 49.4414415759979 -459.721871719075</t>
  </si>
  <si>
    <t>-649.405378050705 49.5166642395002 -581.893721735487</t>
  </si>
  <si>
    <t>-637.202711732028 51.4751400572109 -659.272410711537</t>
  </si>
  <si>
    <t>-645.574792233114 80.8300415902504 -528.18117660756</t>
  </si>
  <si>
    <t>-626.078522400993 234.010405578507 -505.984240874413</t>
  </si>
  <si>
    <t>-491.042440406847 243.338586780303 -258.483045934141</t>
  </si>
  <si>
    <t>-258.959444475051 234.115792601381 -257.503942099881</t>
  </si>
  <si>
    <t>-643.664416930301 18.1370710020863 -528.390360613998</t>
  </si>
  <si>
    <t>-591.662077539574 148.084916787842 -95.6539112368131</t>
  </si>
  <si>
    <t>-620.313630998986 150.844173856973 318.923038325459</t>
  </si>
  <si>
    <t>-669.991971892024 179.431051316053 778.439621577337</t>
  </si>
  <si>
    <t>-519.986536976828 180.079652628721 836.59275099505</t>
  </si>
  <si>
    <t>-592.703409547577 -57.6022479049566 323.200426244331</t>
  </si>
  <si>
    <t>-652.969392286077 -99.8742561835443 780.506841582381</t>
  </si>
  <si>
    <t>-499.249249834474 -117.948700560149 824.407343963665</t>
  </si>
  <si>
    <t>9763-20170724T115524.024682300.bin</t>
  </si>
  <si>
    <t>-587.690438540077 55.2541515604869 -91.981750053843</t>
  </si>
  <si>
    <t>-607.311628149809 52.0040947507484 -200.894301690786</t>
  </si>
  <si>
    <t>-619.214018995395 50.3764362824247 -292.989429649222</t>
  </si>
  <si>
    <t>-629.058742839053 49.3096768096282 -376.296621523724</t>
  </si>
  <si>
    <t>-637.427191000187 48.6611671174039 -459.769218150584</t>
  </si>
  <si>
    <t>-648.039651076906 48.1679623198165 -581.966066157502</t>
  </si>
  <si>
    <t>-635.63912674656 49.704234468785 -659.322912505075</t>
  </si>
  <si>
    <t>-644.193725916078 79.7350857526371 -528.403325662791</t>
  </si>
  <si>
    <t>-624.207321534141 232.981732274816 -507.108137783639</t>
  </si>
  <si>
    <t>-488.728441694473 242.063445925175 -259.839867820424</t>
  </si>
  <si>
    <t>-256.571766753597 234.904829625757 -259.094557762657</t>
  </si>
  <si>
    <t>-642.572257855633 17.03371231507 -528.291136171635</t>
  </si>
  <si>
    <t>-591.056110967388 148.156086730145 -95.6616721617678</t>
  </si>
  <si>
    <t>-619.980523015524 150.859076935119 318.896739694585</t>
  </si>
  <si>
    <t>-670.045808941106 179.3377949382 778.40639193643</t>
  </si>
  <si>
    <t>-520.052196165675 179.992080494887 836.589762522374</t>
  </si>
  <si>
    <t>-592.995748223504 -57.7442417079817 323.309042424348</t>
  </si>
  <si>
    <t>-652.910129988789 -99.8826713503665 780.658038690514</t>
  </si>
  <si>
    <t>-499.216176222885 -118.137389681287 824.575666626787</t>
  </si>
  <si>
    <t>9763-20170724T115524.061327300.bin</t>
  </si>
  <si>
    <t>-587.577904035841 55.1828723423619 -91.9560849011028</t>
  </si>
  <si>
    <t>-607.094675708726 51.9310310601677 -200.887269879114</t>
  </si>
  <si>
    <t>-618.905783381027 50.2087219135994 -292.992562634086</t>
  </si>
  <si>
    <t>-628.667005276042 49.0203933144051 -376.307768459583</t>
  </si>
  <si>
    <t>-636.95072475976 48.2133032959105 -459.787640558531</t>
  </si>
  <si>
    <t>-647.438182747828 47.4469304620382 -581.993672842902</t>
  </si>
  <si>
    <t>-634.944287822448 48.7736846356354 -659.339381226502</t>
  </si>
  <si>
    <t>-643.576866740121 79.1354710463118 -528.503833101214</t>
  </si>
  <si>
    <t>-623.315954359048 232.40822958615 -507.644798183669</t>
  </si>
  <si>
    <t>-487.707115848246 241.382789188697 -260.443820351834</t>
  </si>
  <si>
    <t>-255.524034708575 235.123912477916 -259.824518517761</t>
  </si>
  <si>
    <t>-642.09589466241 16.4309811124954 -528.237597237874</t>
  </si>
  <si>
    <t>-590.788712231924 148.151614128683 -95.6600935174815</t>
  </si>
  <si>
    <t>-619.868724847662 150.798657489646 318.887832560083</t>
  </si>
  <si>
    <t>-670.074398931049 179.267817949914 778.385281544449</t>
  </si>
  <si>
    <t>-520.086783258732 180.03528191807 836.582847113597</t>
  </si>
  <si>
    <t>-593.128368429439 -57.8993292160053 323.363524827934</t>
  </si>
  <si>
    <t>-652.871869687614 -99.8657384128067 780.751994439503</t>
  </si>
  <si>
    <t>-499.185912760089 -118.151189787297 824.684775444831</t>
  </si>
  <si>
    <t>9763-20170724T115524.128474800.bin</t>
  </si>
  <si>
    <t>-587.273975677381 55.0804478878133 -91.8831983958</t>
  </si>
  <si>
    <t>-606.594979886047 51.8282104765142 -200.849315970229</t>
  </si>
  <si>
    <t>-618.283200431994 49.9402160047855 -292.966953896433</t>
  </si>
  <si>
    <t>-627.950675216283 48.5380383713041 -376.289867263284</t>
  </si>
  <si>
    <t>-636.158113161643 47.4505551250877 -459.773868129955</t>
  </si>
  <si>
    <t>-646.553304040138 46.2014349913106 -581.984046370084</t>
  </si>
  <si>
    <t>-633.931418952297 47.1150253604267 -659.314855039388</t>
  </si>
  <si>
    <t>-642.626439006262 78.1033054694415 -528.625840984418</t>
  </si>
  <si>
    <t>-622.010585109212 231.431171874518 -508.543819607241</t>
  </si>
  <si>
    <t>-485.987158441085 240.461596101992 -261.57287586314</t>
  </si>
  <si>
    <t>-253.769066930611 235.671897407897 -260.992984695532</t>
  </si>
  <si>
    <t>-641.357472672795 15.395883488236 -528.092734936936</t>
  </si>
  <si>
    <t>-590.26989638947 148.103997096026 -95.633868752015</t>
  </si>
  <si>
    <t>-619.666660952417 150.742866687251 318.891725144432</t>
  </si>
  <si>
    <t>-670.118980721717 179.210722452034 778.357214427966</t>
  </si>
  <si>
    <t>-520.142557260766 180.110654334721 836.581589086795</t>
  </si>
  <si>
    <t>-593.255139133099 -58.0980523543012 323.479958656848</t>
  </si>
  <si>
    <t>-652.79040642601 -99.8766843846422 780.934603581944</t>
  </si>
  <si>
    <t>-499.128937230426 -118.259554913408 824.912316604339</t>
  </si>
  <si>
    <t>9763-20170724T115524.161061500.bin</t>
  </si>
  <si>
    <t>-587.094571616974 55.0553500050914 -91.844380581659</t>
  </si>
  <si>
    <t>-606.336399711975 51.7987525680494 -200.82439899445</t>
  </si>
  <si>
    <t>-617.968004583568 49.8315944828703 -292.947458625202</t>
  </si>
  <si>
    <t>-627.588567052447 48.3275808771916 -376.274045886809</t>
  </si>
  <si>
    <t>-635.753275659896 47.1071905224962 -459.760571607362</t>
  </si>
  <si>
    <t>-646.09074692388 45.6288068143294 -581.973034580018</t>
  </si>
  <si>
    <t>-633.402052751458 46.3417808894351 -659.29504899901</t>
  </si>
  <si>
    <t>-642.134856992469 77.6316238040565 -528.677321222915</t>
  </si>
  <si>
    <t>-621.398469354889 230.981874946268 -508.936178422297</t>
  </si>
  <si>
    <t>-485.124559192306 239.886642094174 -262.09872111793</t>
  </si>
  <si>
    <t>-252.89037201232 235.986530237994 -261.328025208225</t>
  </si>
  <si>
    <t>-640.974640674653 14.9233943078168 -528.016992496694</t>
  </si>
  <si>
    <t>-590.069819964593 148.095943672353 -95.6216641459787</t>
  </si>
  <si>
    <t>-619.567749071211 150.690180319996 318.897008159339</t>
  </si>
  <si>
    <t>-670.149973027854 179.141244736471 778.352074613823</t>
  </si>
  <si>
    <t>-520.178771038167 180.148818769346 836.588157865157</t>
  </si>
  <si>
    <t>-593.310493361314 -58.2009128961563 323.531321488425</t>
  </si>
  <si>
    <t>-652.749515335205 -99.8670277311758 781.017396731822</t>
  </si>
  <si>
    <t>-499.086804365948 -118.177026964811 825.021221082013</t>
  </si>
  <si>
    <t>9763-20170724T115524.229750300.bin</t>
  </si>
  <si>
    <t>-586.776059749367 55.0924293892294 -91.7777917892465</t>
  </si>
  <si>
    <t>-605.912785640724 51.8307976337151 -200.776204845437</t>
  </si>
  <si>
    <t>-617.425505609297 49.7538841210701 -292.911857722694</t>
  </si>
  <si>
    <t>-626.926621123589 48.1090601499673 -376.249444482648</t>
  </si>
  <si>
    <t>-634.959695652351 46.7043211280318 -459.745721778104</t>
  </si>
  <si>
    <t>-645.091508548533 44.9078282186874 -581.971167325204</t>
  </si>
  <si>
    <t>-632.23905371113 45.3442612109918 -659.268205462742</t>
  </si>
  <si>
    <t>-641.126099423402 77.0508120701893 -528.760703207528</t>
  </si>
  <si>
    <t>-620.02419515216 230.424653586854 -509.536172550429</t>
  </si>
  <si>
    <t>-483.267197989838 238.858544190046 -262.949562316186</t>
  </si>
  <si>
    <t>-251.01326730996 236.696418368025 -261.548888360577</t>
  </si>
  <si>
    <t>-640.165463757581 14.3413053840904 -527.918650402535</t>
  </si>
  <si>
    <t>-589.655391583833 148.170083226721 -95.5871278483265</t>
  </si>
  <si>
    <t>-619.304564529735 150.767055830355 318.92075676893</t>
  </si>
  <si>
    <t>-670.165889678529 179.158326404626 778.342026925718</t>
  </si>
  <si>
    <t>-520.21129158931 180.05659133042 836.622665611958</t>
  </si>
  <si>
    <t>-593.285410927254 -58.2556713152183 323.638079428071</t>
  </si>
  <si>
    <t>-652.669059353408 -99.8832850270678 781.159507315291</t>
  </si>
  <si>
    <t>-499.027786379559 -118.256975397089 825.211655900398</t>
  </si>
  <si>
    <t>9763-20170724T115524.261837100.bin</t>
  </si>
  <si>
    <t>-586.614482344481 55.1487650600434 -91.7309921815606</t>
  </si>
  <si>
    <t>-605.721169470561 51.8931132578887 -200.734693919309</t>
  </si>
  <si>
    <t>-617.174697700718 49.7758438371677 -292.876805896845</t>
  </si>
  <si>
    <t>-626.608807537932 48.0766367899721 -376.221026723668</t>
  </si>
  <si>
    <t>-634.561268306627 46.5986084532617 -459.72370768083</t>
  </si>
  <si>
    <t>-644.560248308044 44.6738536530372 -581.958116633475</t>
  </si>
  <si>
    <t>-631.619544501553 45.0120295141628 -659.240933633998</t>
  </si>
  <si>
    <t>-640.602117103628 76.8733347977347 -528.781399800171</t>
  </si>
  <si>
    <t>-619.259378585489 230.22945671553 -509.773781695657</t>
  </si>
  <si>
    <t>-482.422006813284 238.708963269139 -263.233246035204</t>
  </si>
  <si>
    <t>-250.164855105088 237.040827331923 -261.698126622063</t>
  </si>
  <si>
    <t>-639.743449079015 14.1635416972053 -527.86417884201</t>
  </si>
  <si>
    <t>-589.46458462806 148.274431492255 -95.5705622628636</t>
  </si>
  <si>
    <t>-619.13982135984 150.79499760261 318.935883088665</t>
  </si>
  <si>
    <t>-670.177467910071 179.158499188973 778.325635006737</t>
  </si>
  <si>
    <t>-520.231073082505 180.045281813168 836.627638167715</t>
  </si>
  <si>
    <t>-593.217267061682 -58.2685191117851 323.682074252535</t>
  </si>
  <si>
    <t>-652.642427321528 -99.8555260808967 781.213384587819</t>
  </si>
  <si>
    <t>-498.973653452457 -117.979451967858 825.273106115458</t>
  </si>
  <si>
    <t>9763-20170724T115524.326012000.bin</t>
  </si>
  <si>
    <t>-586.265930869676 55.1501448877257 -91.7184634336406</t>
  </si>
  <si>
    <t>-605.310370664881 51.928554075073 -200.734274247567</t>
  </si>
  <si>
    <t>-616.670582244365 49.7396045264229 -292.886205388895</t>
  </si>
  <si>
    <t>-626.00407266955 47.9371727135854 -376.239486119596</t>
  </si>
  <si>
    <t>-633.839754731972 46.3148826128293 -459.750545460469</t>
  </si>
  <si>
    <t>-643.650312960543 44.134224104615 -581.995920923679</t>
  </si>
  <si>
    <t>-630.600853158295 44.2518173735384 -659.261147488812</t>
  </si>
  <si>
    <t>-639.6744204449 76.4461376160441 -528.888669443595</t>
  </si>
  <si>
    <t>-617.905623313209 229.810951642668 -510.345289016455</t>
  </si>
  <si>
    <t>-480.678872069385 238.143519445859 -264.016371052795</t>
  </si>
  <si>
    <t>-248.416846206185 238.303621960726 -262.327020179211</t>
  </si>
  <si>
    <t>-639.016569744842 13.7361932198837 -527.822819773892</t>
  </si>
  <si>
    <t>-588.942057179459 148.266153799227 -95.568092155129</t>
  </si>
  <si>
    <t>-618.859373467832 150.703219454141 318.92148190656</t>
  </si>
  <si>
    <t>-670.246454064857 179.005539415513 778.255958593861</t>
  </si>
  <si>
    <t>-520.305329430597 180.087159658625 836.568255503197</t>
  </si>
  <si>
    <t>-593.209093231585 -58.3290114153021 323.700065298544</t>
  </si>
  <si>
    <t>-652.58473927544 -99.8400798576413 781.231564000819</t>
  </si>
  <si>
    <t>-498.928398018653 -118.011469227452 825.315027796239</t>
  </si>
  <si>
    <t>9763-20170724T115524.358598000.bin</t>
  </si>
  <si>
    <t>-586.079490708102 55.1506559641168 -91.7331767289744</t>
  </si>
  <si>
    <t>-605.085171280315 51.9460291994167 -200.756254168158</t>
  </si>
  <si>
    <t>-616.425846157016 49.7315114587188 -292.910076511718</t>
  </si>
  <si>
    <t>-625.747109741254 47.8909456113297 -376.263830991928</t>
  </si>
  <si>
    <t>-633.57607623102 46.2147300877443 -459.774541640009</t>
  </si>
  <si>
    <t>-643.382926783632 43.9376534517464 -582.018303785269</t>
  </si>
  <si>
    <t>-630.319830737493 43.9354174107159 -659.281325899153</t>
  </si>
  <si>
    <t>-639.362569093391 76.2917230213202 -528.94014846239</t>
  </si>
  <si>
    <t>-617.361556806058 229.633563606075 -510.541164273767</t>
  </si>
  <si>
    <t>-479.712027089879 238.058870570994 -264.451286370674</t>
  </si>
  <si>
    <t>-247.451714741212 239.027303253731 -262.796148302557</t>
  </si>
  <si>
    <t>-638.796983897385 13.5819414610014 -527.817441253782</t>
  </si>
  <si>
    <t>-588.650594105028 148.254927211157 -95.585883216079</t>
  </si>
  <si>
    <t>-618.731156916554 150.680027738283 318.891970910712</t>
  </si>
  <si>
    <t>-670.266171908962 178.978089051953 778.211041594153</t>
  </si>
  <si>
    <t>-520.327115148036 180.080608681215 836.528205895013</t>
  </si>
  <si>
    <t>-593.212233218085 -58.3728431283448 323.687316394111</t>
  </si>
  <si>
    <t>-652.55463692698 -99.8313336570181 781.22946627699</t>
  </si>
  <si>
    <t>-498.922332063339 -118.144773877237 825.337920717373</t>
  </si>
  <si>
    <t>9763-20170724T115524.429912700.bin</t>
  </si>
  <si>
    <t>-585.747620233552 55.1713836273486 -91.7526099831283</t>
  </si>
  <si>
    <t>-604.692693810476 52.0053940231473 -200.787301080311</t>
  </si>
  <si>
    <t>-616.04308955124 49.7501416592947 -292.9389340627</t>
  </si>
  <si>
    <t>-625.397920067081 47.8455457265079 -376.287508892384</t>
  </si>
  <si>
    <t>-633.285309729124 46.0759122305901 -459.790720841221</t>
  </si>
  <si>
    <t>-643.205036000416 43.6297060931252 -582.022255845688</t>
  </si>
  <si>
    <t>-630.202007393233 43.390932703282 -659.294998742997</t>
  </si>
  <si>
    <t>-639.008221199115 76.0579008203167 -529.003025473313</t>
  </si>
  <si>
    <t>-616.454648334971 229.36620918415 -510.938002277212</t>
  </si>
  <si>
    <t>-477.966540900818 237.797321364344 -265.319252964956</t>
  </si>
  <si>
    <t>-245.718320285024 240.540427825332 -263.986444392804</t>
  </si>
  <si>
    <t>-638.696473196419 13.3482848134797 -527.773341135146</t>
  </si>
  <si>
    <t>-588.094552556429 148.284120620012 -95.6204427377214</t>
  </si>
  <si>
    <t>-618.474123600938 150.712763974487 318.835517163388</t>
  </si>
  <si>
    <t>-670.293287094662 179.025088036203 778.127598166227</t>
  </si>
  <si>
    <t>-520.353658916146 179.971103272655 836.445968677159</t>
  </si>
  <si>
    <t>-593.171177623452 -58.3864462525225 323.670085979193</t>
  </si>
  <si>
    <t>-652.492551605594 -99.8338743250908 781.229092330536</t>
  </si>
  <si>
    <t>-498.868012369975 -118.144424466737 825.365795780309</t>
  </si>
  <si>
    <t>9763-20170724T115524.457518400.bin</t>
  </si>
  <si>
    <t>-585.57961524754 55.1304274768802 -91.7759300186472</t>
  </si>
  <si>
    <t>-604.522303438974 51.983822267865 -200.81154422642</t>
  </si>
  <si>
    <t>-615.903315476752 49.7096069009108 -292.958956485314</t>
  </si>
  <si>
    <t>-625.299057095213 47.7747304537693 -376.302308036601</t>
  </si>
  <si>
    <t>-633.240729974636 45.9605843096369 -459.799359833289</t>
  </si>
  <si>
    <t>-643.254525944883 43.4335774464555 -582.021603307252</t>
  </si>
  <si>
    <t>-630.314370032857 43.0955910845278 -659.304511189603</t>
  </si>
  <si>
    <t>-638.953100674541 75.8968546640197 -529.032176224712</t>
  </si>
  <si>
    <t>-616.14524880888 229.179221879736 -511.156233001532</t>
  </si>
  <si>
    <t>-477.150407814204 237.549129226253 -265.821883714295</t>
  </si>
  <si>
    <t>-244.914367094961 241.260244081477 -264.729885410077</t>
  </si>
  <si>
    <t>-638.768050738617 13.1878308697815 -527.750795090884</t>
  </si>
  <si>
    <t>-587.846064617304 148.23269580995 -95.6354453608207</t>
  </si>
  <si>
    <t>-618.303483426599 150.677995986998 318.81476414781</t>
  </si>
  <si>
    <t>-670.320403887533 178.981262590216 778.083660181538</t>
  </si>
  <si>
    <t>-520.381091820121 179.980092345794 836.402062048589</t>
  </si>
  <si>
    <t>-593.109037052668 -58.4011719104085 323.663997778906</t>
  </si>
  <si>
    <t>-652.470226600833 -99.8308075273383 781.22472466394</t>
  </si>
  <si>
    <t>-498.8506860582 -118.169094554147 825.367319871772</t>
  </si>
  <si>
    <t>9763-20170724T115524.529243200.bin</t>
  </si>
  <si>
    <t>-585.286342324741 55.2086060565177 -91.8073908358513</t>
  </si>
  <si>
    <t>-604.173621237763 52.0735740326124 -200.853043302241</t>
  </si>
  <si>
    <t>-615.591541167428 49.7749038229347 -292.995147838855</t>
  </si>
  <si>
    <t>-625.054457128279 47.8056372582894 -376.330058823741</t>
  </si>
  <si>
    <t>-633.09719769609 45.9432347534723 -459.816536325171</t>
  </si>
  <si>
    <t>-643.29614438323 43.3295953262823 -582.021520420121</t>
  </si>
  <si>
    <t>-630.539670827016 42.8230695549807 -659.334093168483</t>
  </si>
  <si>
    <t>-638.801060130708 75.830389112974 -529.071298863434</t>
  </si>
  <si>
    <t>-615.452475337543 229.076562176706 -511.497437803952</t>
  </si>
  <si>
    <t>-475.458719137534 237.482148464864 -266.732917936318</t>
  </si>
  <si>
    <t>-243.246934212011 242.586971776941 -266.340349431188</t>
  </si>
  <si>
    <t>-638.840808969504 13.1225210653799 -527.726742852768</t>
  </si>
  <si>
    <t>-587.434639430366 148.313135455704 -95.6760382454238</t>
  </si>
  <si>
    <t>-618.109930333614 150.665165347367 318.758647506282</t>
  </si>
  <si>
    <t>-670.382439444314 178.854305137765 778.007730152554</t>
  </si>
  <si>
    <t>-520.446913155331 179.978288038716 836.333573438429</t>
  </si>
  <si>
    <t>-593.03022471569 -58.3801044542993 323.653154345663</t>
  </si>
  <si>
    <t>-652.434664478024 -99.784921826614 781.209051754111</t>
  </si>
  <si>
    <t>-498.819083575298 -118.18588631611 825.339298946831</t>
  </si>
  <si>
    <t>9763-20170724T115524.561870900.bin</t>
  </si>
  <si>
    <t>-585.156451190578 55.3044601995412 -91.8159190105697</t>
  </si>
  <si>
    <t>-604.011214008155 52.1680458448402 -200.867133536456</t>
  </si>
  <si>
    <t>-615.445220118102 49.8539577557783 -293.006833423731</t>
  </si>
  <si>
    <t>-624.940211267264 47.8653881468713 -376.337708769008</t>
  </si>
  <si>
    <t>-633.032583456421 45.9773222761635 -459.818770990288</t>
  </si>
  <si>
    <t>-643.323468679123 43.3189078236576 -582.01505094618</t>
  </si>
  <si>
    <t>-630.672434562839 42.7238440120093 -659.344381484852</t>
  </si>
  <si>
    <t>-638.733942416148 75.8390266664244 -529.08472910755</t>
  </si>
  <si>
    <t>-615.147268026139 229.06068251023 -511.657142403314</t>
  </si>
  <si>
    <t>-474.708317041411 237.523876297882 -267.149793229071</t>
  </si>
  <si>
    <t>-242.5071186952 243.102320098055 -267.169048943353</t>
  </si>
  <si>
    <t>-638.881929121995 13.1317366822682 -527.708059080561</t>
  </si>
  <si>
    <t>-587.279166835914 148.376822711404 -95.6931055350567</t>
  </si>
  <si>
    <t>-618.094858137738 150.715158988952 318.731181257418</t>
  </si>
  <si>
    <t>-670.423090510857 178.766167205426 777.98090204323</t>
  </si>
  <si>
    <t>-520.486915175652 179.983940468608 836.303148208996</t>
  </si>
  <si>
    <t>-592.986143875436 -58.3310576679442 323.646873458061</t>
  </si>
  <si>
    <t>-652.415603902664 -99.777920105576 781.20225083511</t>
  </si>
  <si>
    <t>-498.805347126928 -118.231551520568 825.329132171554</t>
  </si>
  <si>
    <t>9763-20170724T115524.623997400.bin</t>
  </si>
  <si>
    <t>-584.930096102481 55.5376128631242 -91.7999523484071</t>
  </si>
  <si>
    <t>-603.743339625649 52.3986376789824 -200.858175479128</t>
  </si>
  <si>
    <t>-615.230950298195 50.0737315695799 -292.991095314399</t>
  </si>
  <si>
    <t>-624.810022236702 48.0726223137506 -376.312006584395</t>
  </si>
  <si>
    <t>-633.0223164516 46.1676421173388 -459.780890285122</t>
  </si>
  <si>
    <t>-643.527750554636 43.4795831655863 -581.958442104283</t>
  </si>
  <si>
    <t>-631.093301852083 42.745029853173 -659.321517669813</t>
  </si>
  <si>
    <t>-638.738976245007 76.0118641375591 -529.053217839675</t>
  </si>
  <si>
    <t>-614.589598408065 229.187229588161 -511.907097191512</t>
  </si>
  <si>
    <t>-473.371094117423 237.706039196004 -267.851092055984</t>
  </si>
  <si>
    <t>-241.20736536482 244.664359148119 -268.207566301256</t>
  </si>
  <si>
    <t>-639.097107999332 13.3063676980805 -527.642857478072</t>
  </si>
  <si>
    <t>-586.974632882648 148.589277035036 -95.7116211699791</t>
  </si>
  <si>
    <t>-617.962533299143 150.873823959821 318.700202804615</t>
  </si>
  <si>
    <t>-670.441056469869 178.835707502531 777.938573136236</t>
  </si>
  <si>
    <t>-520.50486812101 180.009189608365 836.261630911732</t>
  </si>
  <si>
    <t>-592.85876582679 -58.1540579364962 323.665470179261</t>
  </si>
  <si>
    <t>-652.376211777604 -99.7596263079133 781.190981653865</t>
  </si>
  <si>
    <t>-498.755654030578 -118.145116558334 825.310398693019</t>
  </si>
  <si>
    <t>9763-20170724T115524.662601200.bin</t>
  </si>
  <si>
    <t>-584.796519193226 55.6058705674918 -91.8017654747875</t>
  </si>
  <si>
    <t>-603.598530177754 52.4655510793959 -200.861936635881</t>
  </si>
  <si>
    <t>-615.136363701643 50.1126670087885 -292.987775672518</t>
  </si>
  <si>
    <t>-624.78491289152 48.0763352144975 -376.299779042058</t>
  </si>
  <si>
    <t>-633.091016486894 46.1252761179778 -459.758395227405</t>
  </si>
  <si>
    <t>-643.760360250756 43.3576482443386 -581.919846684081</t>
  </si>
  <si>
    <t>-631.434296378366 42.524100561508 -659.299444039771</t>
  </si>
  <si>
    <t>-638.851588617059 75.9239602620753 -529.046648232289</t>
  </si>
  <si>
    <t>-614.554856646527 229.093848029366 -512.119115446134</t>
  </si>
  <si>
    <t>-472.824465118359 237.271277333655 -268.348303767476</t>
  </si>
  <si>
    <t>-240.674894360803 244.692823121023 -268.437751706094</t>
  </si>
  <si>
    <t>-639.305892448505 13.2201733802337 -527.586418092547</t>
  </si>
  <si>
    <t>-586.807232032783 148.672645136835 -95.7170010558957</t>
  </si>
  <si>
    <t>-617.856157937507 150.907174885872 318.690540007587</t>
  </si>
  <si>
    <t>-670.453465670867 178.833057991921 777.910855213471</t>
  </si>
  <si>
    <t>-520.520233182083 179.975351568905 836.242108524347</t>
  </si>
  <si>
    <t>-592.812744062355 -58.1552925385893 323.66890163166</t>
  </si>
  <si>
    <t>-652.354700518683 -99.7314777655417 781.186893025302</t>
  </si>
  <si>
    <t>-498.730701406592 -118.082372348219 825.308678512832</t>
  </si>
  <si>
    <t>9763-20170724T115524.727274800.bin</t>
  </si>
  <si>
    <t>-584.628350086286 55.6427680379561 -91.8333452439394</t>
  </si>
  <si>
    <t>-603.381332573503 52.5178529672569 -200.902447782906</t>
  </si>
  <si>
    <t>-615.019126331542 50.140542440583 -293.015156251872</t>
  </si>
  <si>
    <t>-624.814931490344 48.0692065799103 -376.309063671816</t>
  </si>
  <si>
    <t>-633.32562301772 46.0687338263417 -459.745884824094</t>
  </si>
  <si>
    <t>-644.357204080502 43.2129323762356 -581.873221677478</t>
  </si>
  <si>
    <t>-632.187177923478 42.2085402563189 -659.275329644111</t>
  </si>
  <si>
    <t>-639.200224985187 75.8163361225425 -529.046378229103</t>
  </si>
  <si>
    <t>-614.492018100723 228.95566493435 -512.451125846944</t>
  </si>
  <si>
    <t>-471.732318465827 237.170761804368 -269.283021239191</t>
  </si>
  <si>
    <t>-239.594876821053 244.960832289006 -269.031970286049</t>
  </si>
  <si>
    <t>-639.833083280179 13.1155939468456 -527.523046861935</t>
  </si>
  <si>
    <t>-586.518704424385 148.764901075677 -95.7501058933474</t>
  </si>
  <si>
    <t>-617.750345868516 150.93610219898 318.644045082971</t>
  </si>
  <si>
    <t>-670.494624594938 178.78717673138 777.849757087204</t>
  </si>
  <si>
    <t>-520.568974709278 179.914952250206 836.200903848658</t>
  </si>
  <si>
    <t>-592.822295557764 -58.2458429136016 323.649819853788</t>
  </si>
  <si>
    <t>-652.304713697553 -99.7793992332256 781.188729308516</t>
  </si>
  <si>
    <t>-498.755858173889 -118.661530181462 825.347964305223</t>
  </si>
  <si>
    <t>9763-20170724T115524.762873900.bin</t>
  </si>
  <si>
    <t>-584.58015538357 55.6522144710789 -91.8449122060833</t>
  </si>
  <si>
    <t>-603.327740055497 52.5263123262396 -200.914912348388</t>
  </si>
  <si>
    <t>-615.016548582337 50.1316958083303 -293.020650692324</t>
  </si>
  <si>
    <t>-624.881033744238 48.0383926195989 -376.305879477402</t>
  </si>
  <si>
    <t>-633.482953141819 46.0094072021675 -459.732707786912</t>
  </si>
  <si>
    <t>-644.672856388873 43.1044631792086 -581.844393567727</t>
  </si>
  <si>
    <t>-632.551004756509 42.0129502329387 -659.25295460296</t>
  </si>
  <si>
    <t>-639.405920970611 75.7285966533987 -529.041202947196</t>
  </si>
  <si>
    <t>-614.552948992756 228.854408041073 -512.591676083356</t>
  </si>
  <si>
    <t>-471.283477589091 237.278366084936 -269.730676301782</t>
  </si>
  <si>
    <t>-239.150210218439 245.190023945595 -269.46448707478</t>
  </si>
  <si>
    <t>-640.119746907053 13.0296017172122 -527.484417553101</t>
  </si>
  <si>
    <t>-586.440196174164 148.766477205483 -95.7710926356134</t>
  </si>
  <si>
    <t>-617.714208669148 150.933260273395 318.61988167948</t>
  </si>
  <si>
    <t>-670.518142657466 178.770220106507 777.829046024513</t>
  </si>
  <si>
    <t>-520.593449931634 179.919361105592 836.182249457463</t>
  </si>
  <si>
    <t>-592.831625568964 -58.2530201796956 323.642562576797</t>
  </si>
  <si>
    <t>-652.274166244164 -99.7861503525933 781.187857259809</t>
  </si>
  <si>
    <t>-498.739215485799 -118.721230265582 825.372715141263</t>
  </si>
  <si>
    <t>9763-20170724T115524.827554500.bin</t>
  </si>
  <si>
    <t>-584.499486717884 55.6742040813861 -91.8537659361662</t>
  </si>
  <si>
    <t>-603.240709234372 52.5527507663135 -200.924952261803</t>
  </si>
  <si>
    <t>-614.962290304218 50.1259535633028 -293.025705321422</t>
  </si>
  <si>
    <t>-624.871822242685 47.990128297195 -376.304656568066</t>
  </si>
  <si>
    <t>-633.534541662097 45.9037108764101 -459.723681991751</t>
  </si>
  <si>
    <t>-644.830427749689 42.8989124579343 -581.823239926738</t>
  </si>
  <si>
    <t>-632.720913928267 41.6288377222011 -659.231042739472</t>
  </si>
  <si>
    <t>-639.44266734974 75.565144823139 -529.058410051272</t>
  </si>
  <si>
    <t>-614.2974914892 228.680373306712 -512.83656198827</t>
  </si>
  <si>
    <t>-470.071246754855 237.204125473583 -270.545973002391</t>
  </si>
  <si>
    <t>-237.955982153386 245.624318492573 -270.192846802292</t>
  </si>
  <si>
    <t>-640.305098784681 12.8697531692837 -527.435673759783</t>
  </si>
  <si>
    <t>-586.311282047287 148.862413143156 -95.8002372839239</t>
  </si>
  <si>
    <t>-617.635166925069 150.947395894507 318.587390114694</t>
  </si>
  <si>
    <t>-670.545824553786 178.780848257243 777.786219167767</t>
  </si>
  <si>
    <t>-520.626351350546 179.820892481534 836.154801390825</t>
  </si>
  <si>
    <t>-592.741524311814 -58.2611743495297 323.64523361021</t>
  </si>
  <si>
    <t>-652.219220134767 -99.75564658249 781.19096570207</t>
  </si>
  <si>
    <t>-498.670774509455 -118.525928510173 825.399258806489</t>
  </si>
  <si>
    <t>9763-20170724T115524.862179000.bin</t>
  </si>
  <si>
    <t>-584.493459918226 55.5904852061262 -91.8811340620942</t>
  </si>
  <si>
    <t>-603.224729858414 52.4645123541045 -200.95390181629</t>
  </si>
  <si>
    <t>-614.929869329661 50.0107856243117 -293.056038150874</t>
  </si>
  <si>
    <t>-624.821363436464 47.841959963378 -376.336280245541</t>
  </si>
  <si>
    <t>-633.462865112365 45.7128258418652 -459.756348253637</t>
  </si>
  <si>
    <t>-644.724484408214 42.6345759144549 -581.857387521615</t>
  </si>
  <si>
    <t>-632.597608887014 41.2626289139687 -659.260622083019</t>
  </si>
  <si>
    <t>-639.3056278924 75.3317381812653 -529.114803542134</t>
  </si>
  <si>
    <t>-613.988135583121 228.421128407995 -513.016372873493</t>
  </si>
  <si>
    <t>-469.43416911197 237.051642300712 -270.924946042037</t>
  </si>
  <si>
    <t>-237.33244768218 245.838036775507 -270.55963777922</t>
  </si>
  <si>
    <t>-640.260344728685 12.6388099480666 -527.446139301973</t>
  </si>
  <si>
    <t>-586.267891560048 148.803777602753 -95.832944401641</t>
  </si>
  <si>
    <t>-617.605885488165 150.954760559301 318.553198248118</t>
  </si>
  <si>
    <t>-670.562109327999 178.755599689227 777.753201483174</t>
  </si>
  <si>
    <t>-520.649576027166 179.802638906602 836.139573617535</t>
  </si>
  <si>
    <t>-592.774840563062 -58.3259950651166 323.633440621278</t>
  </si>
  <si>
    <t>-652.186553948883 -99.7436551346414 781.190424976637</t>
  </si>
  <si>
    <t>-498.653473346546 -118.583583739175 825.42248199494</t>
  </si>
  <si>
    <t>9763-20170724T115524.928342700.bin</t>
  </si>
  <si>
    <t>-584.604093690119 55.24134211967 -91.9291023838015</t>
  </si>
  <si>
    <t>-603.272395333192 52.1409571294462 -201.013492105892</t>
  </si>
  <si>
    <t>-614.978595171335 49.668467428316 -293.114888980802</t>
  </si>
  <si>
    <t>-624.893086899092 47.4675873287938 -376.391467882376</t>
  </si>
  <si>
    <t>-633.579738344419 45.2900875884911 -459.805723005273</t>
  </si>
  <si>
    <t>-644.931958872105 42.1221724888997 -581.895909364989</t>
  </si>
  <si>
    <t>-632.835148853731 40.5579829606684 -659.30024244408</t>
  </si>
  <si>
    <t>-639.366997814834 74.8560245063472 -529.19133778155</t>
  </si>
  <si>
    <t>-613.693999144109 227.909689358729 -513.323405887643</t>
  </si>
  <si>
    <t>-468.495586432674 236.306635896347 -271.609718853817</t>
  </si>
  <si>
    <t>-236.425286650716 245.862135662069 -270.837997394366</t>
  </si>
  <si>
    <t>-640.534393318907 12.1684298546456 -527.456236545351</t>
  </si>
  <si>
    <t>-586.259501386478 148.509385053141 -95.8856141187173</t>
  </si>
  <si>
    <t>-617.606165856662 150.743625239089 318.499471005063</t>
  </si>
  <si>
    <t>-670.589073847587 178.70178800972 777.687012994095</t>
  </si>
  <si>
    <t>-520.688205339141 179.724283977318 836.103606540605</t>
  </si>
  <si>
    <t>-592.915966094181 -58.6640404208147 323.587305376956</t>
  </si>
  <si>
    <t>-652.107140149296 -99.7627520926537 781.205221622828</t>
  </si>
  <si>
    <t>-498.574434109413 -118.423263556657 825.514502048243</t>
  </si>
  <si>
    <t>9763-20170724T115524.961426300.bin</t>
  </si>
  <si>
    <t>-584.671450072127 55.0154618795009 -91.9468925935095</t>
  </si>
  <si>
    <t>-603.323040196593 51.935755356275 -201.034570325308</t>
  </si>
  <si>
    <t>-615.012625388278 49.4678308395005 -293.138369739574</t>
  </si>
  <si>
    <t>-624.911119499416 47.2667491031154 -376.416846707857</t>
  </si>
  <si>
    <t>-633.580898681373 45.0835806404193 -459.832652633856</t>
  </si>
  <si>
    <t>-644.907379898753 41.9015022746346 -581.924980987352</t>
  </si>
  <si>
    <t>-632.790454722252 40.2481420626866 -659.324296833261</t>
  </si>
  <si>
    <t>-639.295096019441 74.6402195511823 -529.228290810217</t>
  </si>
  <si>
    <t>-613.417552920062 227.664629016705 -513.407356161697</t>
  </si>
  <si>
    <t>-467.968438147111 235.643619398864 -271.830290757184</t>
  </si>
  <si>
    <t>-235.914980103531 245.573404168638 -270.775593682807</t>
  </si>
  <si>
    <t>-640.579689371526 11.9554738086622 -527.475479649185</t>
  </si>
  <si>
    <t>-586.238460137635 148.310446120204 -95.9056846834835</t>
  </si>
  <si>
    <t>-617.61359966024 150.570455403625 318.477139453766</t>
  </si>
  <si>
    <t>-670.618696890965 178.608508785278 777.653502901429</t>
  </si>
  <si>
    <t>-520.722173654508 179.786662862516 836.078464078131</t>
  </si>
  <si>
    <t>-593.016670206884 -58.861076251063 323.563073028447</t>
  </si>
  <si>
    <t>-652.070223246023 -99.7572900918638 781.214122623205</t>
  </si>
  <si>
    <t>-498.547142607585 -118.419947343429 825.555852867137</t>
  </si>
  <si>
    <t>9763-20170724T115525.030231100.bin</t>
  </si>
  <si>
    <t>-584.821933700734 54.5741834885669 -92.0419855080575</t>
  </si>
  <si>
    <t>-603.453181109313 51.5335200386385 -201.134320630666</t>
  </si>
  <si>
    <t>-615.092350029415 49.099241827447 -293.245345978935</t>
  </si>
  <si>
    <t>-624.931900723165 46.9302874254568 -376.531676302863</t>
  </si>
  <si>
    <t>-633.529146469337 44.7789090777571 -459.955924402311</t>
  </si>
  <si>
    <t>-644.734762141858 41.6419919372852 -582.060420727413</t>
  </si>
  <si>
    <t>-632.560444639567 39.8909668729989 -659.448605846974</t>
  </si>
  <si>
    <t>-639.048392180033 74.3580407050597 -529.357701956783</t>
  </si>
  <si>
    <t>-612.611580086194 227.286534199717 -513.475894271687</t>
  </si>
  <si>
    <t>-466.692994564481 233.822451498498 -272.138662255437</t>
  </si>
  <si>
    <t>-234.6764231364 244.464685340874 -270.243212256745</t>
  </si>
  <si>
    <t>-640.587269606494 11.6788709635857 -527.606282638833</t>
  </si>
  <si>
    <t>-586.259864747606 147.930526606111 -95.9901081160618</t>
  </si>
  <si>
    <t>-617.672998506185 150.252698127243 318.389471587648</t>
  </si>
  <si>
    <t>-670.641564484721 178.532315724864 777.579012226902</t>
  </si>
  <si>
    <t>-520.765973307707 179.845114538797 836.054721286336</t>
  </si>
  <si>
    <t>-593.130054802131 -59.167317361123 323.498697578864</t>
  </si>
  <si>
    <t>-651.985719695826 -99.7422559269921 781.220913333571</t>
  </si>
  <si>
    <t>-498.479143078189 -118.343942551449 825.6453457539</t>
  </si>
  <si>
    <t>9763-20170724T115525.058313800.bin</t>
  </si>
  <si>
    <t>-584.965071474138 54.2492342936009 -92.0691266132803</t>
  </si>
  <si>
    <t>-603.583604509041 51.2296818174318 -201.164254090417</t>
  </si>
  <si>
    <t>-615.217585990305 48.8117913165729 -293.276349485436</t>
  </si>
  <si>
    <t>-625.054585668068 46.6578547504494 -376.563257747834</t>
  </si>
  <si>
    <t>-633.651564783802 44.5201431535736 -459.987726618378</t>
  </si>
  <si>
    <t>-644.859161630996 41.4017484367866 -582.092728070697</t>
  </si>
  <si>
    <t>-632.644204934496 39.6244601061408 -659.473872485973</t>
  </si>
  <si>
    <t>-639.10172720339 74.1077289448776 -529.3915135932</t>
  </si>
  <si>
    <t>-612.334856684483 226.972246004931 -513.468116712329</t>
  </si>
  <si>
    <t>-466.245390989737 232.815636897629 -272.216472691475</t>
  </si>
  <si>
    <t>-234.251031322982 243.847784840262 -269.882948723652</t>
  </si>
  <si>
    <t>-640.780988775676 11.4324020384299 -527.636748891353</t>
  </si>
  <si>
    <t>-586.357868176766 147.658716700922 -96.0177410417526</t>
  </si>
  <si>
    <t>-617.783223626616 150.00343017637 318.360737970044</t>
  </si>
  <si>
    <t>-670.65538903347 178.527448390854 777.556078967506</t>
  </si>
  <si>
    <t>-520.789812256984 179.855670099641 836.057129311154</t>
  </si>
  <si>
    <t>-593.101708182521 -59.4280581847679 323.473527046521</t>
  </si>
  <si>
    <t>-651.937227715796 -99.7308671174567 781.227470649843</t>
  </si>
  <si>
    <t>-498.456802254532 -118.401277094395 825.713294227695</t>
  </si>
  <si>
    <t>9763-20170724T115525.129280900.bin</t>
  </si>
  <si>
    <t>-585.225398690049 53.4694739901677 -92.0781375390637</t>
  </si>
  <si>
    <t>-603.909989445413 50.4914148767739 -201.163050515665</t>
  </si>
  <si>
    <t>-615.582385910116 48.0773802330912 -293.27047665351</t>
  </si>
  <si>
    <t>-625.447285270963 45.9158784081517 -376.553903905184</t>
  </si>
  <si>
    <t>-634.065492554819 43.7567598875846 -459.975764427974</t>
  </si>
  <si>
    <t>-645.296873772965 40.5911311648115 -582.077193354125</t>
  </si>
  <si>
    <t>-632.953272986391 38.7457048515007 -659.436366738962</t>
  </si>
  <si>
    <t>-639.370234139853 73.3124201286059 -529.404379828673</t>
  </si>
  <si>
    <t>-611.845188608091 226.022107040397 -513.342294404949</t>
  </si>
  <si>
    <t>-465.632253833329 230.983882263577 -272.145895944206</t>
  </si>
  <si>
    <t>-233.675298637868 242.390169678991 -268.34767121364</t>
  </si>
  <si>
    <t>-641.367073545465 10.6478448389005 -527.596017235524</t>
  </si>
  <si>
    <t>-586.49494803458 147.021521555831 -96.0300792532059</t>
  </si>
  <si>
    <t>-617.88184229435 149.588999321816 318.349987071111</t>
  </si>
  <si>
    <t>-670.681868285929 178.485037614503 777.514291067552</t>
  </si>
  <si>
    <t>-520.834527274178 179.780814123541 836.062884514974</t>
  </si>
  <si>
    <t>-592.987257835039 -59.8759547432835 323.469648977978</t>
  </si>
  <si>
    <t>-651.878962832387 -99.7427363823281 781.237705875284</t>
  </si>
  <si>
    <t>-498.454876196692 -118.723776160525 825.786451487253</t>
  </si>
  <si>
    <t>9763-20170724T115525.164885700.bin</t>
  </si>
  <si>
    <t>-585.276286565326 53.1333829716784 -92.108046816071</t>
  </si>
  <si>
    <t>-604.032471508555 50.1824519574288 -201.181406968952</t>
  </si>
  <si>
    <t>-615.766289381511 47.7814541296609 -293.281262633566</t>
  </si>
  <si>
    <t>-625.687221238435 45.6285566061154 -376.55829913693</t>
  </si>
  <si>
    <t>-634.362046339744 43.4736054984548 -459.974495412709</t>
  </si>
  <si>
    <t>-645.676861767172 40.3087963538685 -582.068141702219</t>
  </si>
  <si>
    <t>-633.293048930161 38.4456307593509 -659.420467546585</t>
  </si>
  <si>
    <t>-639.62470785347 73.0265091696047 -529.407324068067</t>
  </si>
  <si>
    <t>-611.562751144166 225.627799239681 -513.232330141393</t>
  </si>
  <si>
    <t>-465.751168493355 230.527751514566 -271.791675078992</t>
  </si>
  <si>
    <t>-233.793075136222 241.266995715756 -266.440289324521</t>
  </si>
  <si>
    <t>-641.799343938775 10.3683856266075 -527.58166565315</t>
  </si>
  <si>
    <t>-586.462788492157 146.74602726122 -96.0553283066541</t>
  </si>
  <si>
    <t>-617.794538541219 149.429665508014 318.328222637035</t>
  </si>
  <si>
    <t>-670.676305085386 178.503989002811 777.483890554482</t>
  </si>
  <si>
    <t>-520.840077865936 179.726022281403 836.062411521462</t>
  </si>
  <si>
    <t>-592.899030579139 -59.9840465852842 323.45717001514</t>
  </si>
  <si>
    <t>-651.860141270427 -99.6903748269854 781.236945935892</t>
  </si>
  <si>
    <t>-498.417286653177 -118.519431441094 825.785601844445</t>
  </si>
  <si>
    <t>9763-20170724T115525.225186400.bin</t>
  </si>
  <si>
    <t>-585.448271867502 52.4775193999874 -92.1367924188735</t>
  </si>
  <si>
    <t>-604.390194694208 49.6174426219877 -201.180405610536</t>
  </si>
  <si>
    <t>-616.315636367332 47.2391785716427 -293.256281997229</t>
  </si>
  <si>
    <t>-626.424121026378 45.0890383161811 -376.510948701324</t>
  </si>
  <si>
    <t>-635.301316316955 42.9166232800667 -459.905229951523</t>
  </si>
  <si>
    <t>-646.928502601206 39.7038113254571 -581.968462201049</t>
  </si>
  <si>
    <t>-634.53829793152 37.7568606117902 -659.317622019608</t>
  </si>
  <si>
    <t>-640.588999075655 72.436235417113 -529.350544597258</t>
  </si>
  <si>
    <t>-611.481748107653 224.824675587308 -512.898861004762</t>
  </si>
  <si>
    <t>-467.700030016714 228.558906531952 -270.223267925754</t>
  </si>
  <si>
    <t>-235.802418996741 238.000717569642 -261.11853454245</t>
  </si>
  <si>
    <t>-643.064158451409 9.79089779607352 -527.465824822953</t>
  </si>
  <si>
    <t>-586.367694106397 146.118845214632 -96.0655772141579</t>
  </si>
  <si>
    <t>-617.671312850456 148.932520550638 318.319192230911</t>
  </si>
  <si>
    <t>-670.699541451216 178.410704680237 777.438489119258</t>
  </si>
  <si>
    <t>-520.887845520816 179.809979405384 836.075692443963</t>
  </si>
  <si>
    <t>-592.707075999871 -60.1195667911638 323.448150660315</t>
  </si>
  <si>
    <t>-651.843535130302 -99.6364409890527 781.229634879682</t>
  </si>
  <si>
    <t>-498.386745898036 -118.398086545293 825.758671047306</t>
  </si>
  <si>
    <t>9763-20170724T115525.262796900.bin</t>
  </si>
  <si>
    <t>-585.588563247554 52.1571028881494 -92.1412346696237</t>
  </si>
  <si>
    <t>-604.63095099965 49.3445500874618 -201.168629971425</t>
  </si>
  <si>
    <t>-616.65584285574 46.9978321874682 -293.23239348418</t>
  </si>
  <si>
    <t>-626.86008252355 44.8746707572507 -376.476064564833</t>
  </si>
  <si>
    <t>-635.839165684706 42.726435558734 -459.860045014011</t>
  </si>
  <si>
    <t>-647.622074706935 39.5460541492666 -581.909097495971</t>
  </si>
  <si>
    <t>-635.275231655427 37.5419214538131 -659.263776713844</t>
  </si>
  <si>
    <t>-641.162563522474 72.2622688792826 -529.295710637812</t>
  </si>
  <si>
    <t>-611.577377774397 224.517889173746 -512.560340266103</t>
  </si>
  <si>
    <t>-468.961923813525 227.239516542471 -269.184055297106</t>
  </si>
  <si>
    <t>-237.10866828777 234.947775948689 -257.644000380846</t>
  </si>
  <si>
    <t>-643.741054288834 9.62106647910855 -527.414445484617</t>
  </si>
  <si>
    <t>-586.419513199878 145.803588154041 -96.0535046022219</t>
  </si>
  <si>
    <t>-617.665925578099 148.677693008567 318.335243743569</t>
  </si>
  <si>
    <t>-670.725208280043 178.331065832597 777.435350901283</t>
  </si>
  <si>
    <t>-520.918680198355 179.726852658996 836.085891425652</t>
  </si>
  <si>
    <t>-592.623274571384 -60.1985435834818 323.44806678713</t>
  </si>
  <si>
    <t>-651.845422664892 -99.636813028583 781.221218326577</t>
  </si>
  <si>
    <t>-498.408197176012 -118.609679330285 825.728252432475</t>
  </si>
  <si>
    <t>9763-20170724T115525.329180200.bin</t>
  </si>
  <si>
    <t>-585.758475472707 51.7513133603263 -92.1641838161942</t>
  </si>
  <si>
    <t>-604.979795738994 48.972240149021 -201.161035855062</t>
  </si>
  <si>
    <t>-617.114706133852 46.6875947896344 -293.211840614259</t>
  </si>
  <si>
    <t>-627.401710839099 44.6347332296559 -376.447127165925</t>
  </si>
  <si>
    <t>-636.446831961159 42.5695746822416 -459.826063104192</t>
  </si>
  <si>
    <t>-648.307723084132 39.5242822742036 -581.870923453573</t>
  </si>
  <si>
    <t>-636.078817966467 37.4557876887814 -659.242758288876</t>
  </si>
  <si>
    <t>-641.738761788706 72.1786259135895 -529.232848607584</t>
  </si>
  <si>
    <t>-611.063017172624 224.126043402389 -511.707003766585</t>
  </si>
  <si>
    <t>-471.437982396417 225.528755535136 -266.59174479425</t>
  </si>
  <si>
    <t>-239.773282041153 229.832544299656 -250.421250066387</t>
  </si>
  <si>
    <t>-644.46782882679 9.54218507445762 -527.404718599392</t>
  </si>
  <si>
    <t>-586.518029929246 145.397655855464 -96.0496826113967</t>
  </si>
  <si>
    <t>-617.714825273897 148.415248283994 318.341770919524</t>
  </si>
  <si>
    <t>-670.750783022553 178.310806390828 777.437739482043</t>
  </si>
  <si>
    <t>-520.947502254348 179.514296320372 836.100787189006</t>
  </si>
  <si>
    <t>-592.401628321349 -60.1880861611296 323.457843987869</t>
  </si>
  <si>
    <t>-651.84935351513 -99.5401277138337 781.196063502205</t>
  </si>
  <si>
    <t>-498.387950103749 -118.435283404601 825.652720304859</t>
  </si>
  <si>
    <t>9763-20170724T115525.362269100.bin</t>
  </si>
  <si>
    <t>-585.781626530776 51.5179310443525 -92.1691014222168</t>
  </si>
  <si>
    <t>-605.058123206425 48.7618216623086 -201.156827554754</t>
  </si>
  <si>
    <t>-617.225281713237 46.495607358768 -293.203900898764</t>
  </si>
  <si>
    <t>-627.535748923324 44.4588010074165 -376.436560294567</t>
  </si>
  <si>
    <t>-636.598462289716 42.409580151676 -459.814048778841</t>
  </si>
  <si>
    <t>-648.478873016295 39.3865215562885 -581.857548029719</t>
  </si>
  <si>
    <t>-636.353595404777 37.2813438732965 -659.244659695639</t>
  </si>
  <si>
    <t>-641.889533223252 72.0307824964279 -529.215662777441</t>
  </si>
  <si>
    <t>-610.883672620293 223.878659634748 -511.355349588555</t>
  </si>
  <si>
    <t>-472.829410972707 224.787820084536 -265.349532033872</t>
  </si>
  <si>
    <t>-241.327878413423 226.340727409956 -246.557237398879</t>
  </si>
  <si>
    <t>-644.64217676341 9.3952643655623 -527.396261603592</t>
  </si>
  <si>
    <t>-586.56747607812 145.097089610458 -96.0307817722742</t>
  </si>
  <si>
    <t>-617.789919079245 148.168776563237 318.358353576716</t>
  </si>
  <si>
    <t>-670.787909032381 178.155593802253 777.449217440264</t>
  </si>
  <si>
    <t>-520.989430521574 179.643652392328 836.117874025508</t>
  </si>
  <si>
    <t>-592.258723304429 -60.2211250273199 323.452923997136</t>
  </si>
  <si>
    <t>-651.841774139875 -99.5219164369457 781.187152672331</t>
  </si>
  <si>
    <t>-498.37920160273 -118.43126665836 825.63369538067</t>
  </si>
  <si>
    <t>9763-20170724T115525.427445100.bin</t>
  </si>
  <si>
    <t>-585.69914717049 51.1670427671529 -92.1777126943617</t>
  </si>
  <si>
    <t>-605.010773960895 48.433211786717 -201.159745731045</t>
  </si>
  <si>
    <t>-617.215787319212 46.178711850805 -293.202116871532</t>
  </si>
  <si>
    <t>-627.563783078237 44.1496934951231 -376.430356157709</t>
  </si>
  <si>
    <t>-636.667499412054 42.1049588582844 -459.803344705073</t>
  </si>
  <si>
    <t>-648.611556824395 39.0854763602767 -581.840919667551</t>
  </si>
  <si>
    <t>-636.754892021577 36.9591860007909 -659.268957291524</t>
  </si>
  <si>
    <t>-641.989117481333 71.7278874483018 -529.202100735134</t>
  </si>
  <si>
    <t>-610.324682929994 223.366133798392 -510.833081406901</t>
  </si>
  <si>
    <t>-475.970040283829 223.317227715939 -262.785802945052</t>
  </si>
  <si>
    <t>-245.089667501661 217.727178714333 -238.056868560917</t>
  </si>
  <si>
    <t>-644.752180716812 9.09279868316867 -527.381857228443</t>
  </si>
  <si>
    <t>-586.580176379166 144.72819517131 -96.0171172155275</t>
  </si>
  <si>
    <t>-617.987052573262 147.854052864787 318.357591273519</t>
  </si>
  <si>
    <t>-670.803170277842 178.071456399148 777.470956582213</t>
  </si>
  <si>
    <t>-521.028046329104 179.646843902209 836.197058843493</t>
  </si>
  <si>
    <t>-591.826135757922 -60.3148632507998 323.457263126035</t>
  </si>
  <si>
    <t>-651.808482178243 -99.469346277762 781.168662101755</t>
  </si>
  <si>
    <t>-498.360831019543 -118.438071989577 825.641482100993</t>
  </si>
  <si>
    <t>9763-20170724T115525.459593600.bin</t>
  </si>
  <si>
    <t>-585.606018478291 50.9918945277113 -92.1506664999803</t>
  </si>
  <si>
    <t>-604.929333309512 48.2729024167263 -201.13106502202</t>
  </si>
  <si>
    <t>-617.166061585607 46.01873973286 -293.169159487634</t>
  </si>
  <si>
    <t>-627.551546704238 43.9852873996329 -376.39255948708</t>
  </si>
  <si>
    <t>-636.701888495247 41.9309303395235 -459.760385029584</t>
  </si>
  <si>
    <t>-648.724047699261 38.8919938128035 -581.789624397532</t>
  </si>
  <si>
    <t>-637.027182143267 36.7622141448915 -659.242049623274</t>
  </si>
  <si>
    <t>-642.060143286146 71.5424461768137 -529.161003343805</t>
  </si>
  <si>
    <t>-610.026456266626 223.083491511361 -510.479344555175</t>
  </si>
  <si>
    <t>-477.926921959415 222.086882049046 -261.225858176645</t>
  </si>
  <si>
    <t>-247.619254274624 210.463965967917 -233.444572761942</t>
  </si>
  <si>
    <t>-644.837538048114 8.90835495947954 -527.327454388723</t>
  </si>
  <si>
    <t>-586.525343755872 144.582794039003 -95.9905586845298</t>
  </si>
  <si>
    <t>-618.043526716807 147.739409553161 318.375497790663</t>
  </si>
  <si>
    <t>-670.817059492141 177.992504791331 777.496003348323</t>
  </si>
  <si>
    <t>-521.059175399185 179.688486022443 836.262640095416</t>
  </si>
  <si>
    <t>-591.535350949287 -60.3815298640493 323.476403895897</t>
  </si>
  <si>
    <t>-651.779031242413 -99.4560581222877 781.163475186046</t>
  </si>
  <si>
    <t>-498.354278861161 -118.531737708415 825.66951850802</t>
  </si>
  <si>
    <t>9763-20170724T115525.528755500.bin</t>
  </si>
  <si>
    <t>-585.325183043724 50.800909168285 -92.0886175746691</t>
  </si>
  <si>
    <t>-604.684577901658 48.0955743956772 -201.062957168253</t>
  </si>
  <si>
    <t>-617.037445352315 45.7844519473344 -293.08411790095</t>
  </si>
  <si>
    <t>-627.562885117539 43.6721222053075 -376.287995126257</t>
  </si>
  <si>
    <t>-636.888610749449 41.5116116883805 -459.633660955353</t>
  </si>
  <si>
    <t>-649.20656528727 38.2870930406932 -581.628729409508</t>
  </si>
  <si>
    <t>-637.860868173613 36.0871471847242 -659.131193955686</t>
  </si>
  <si>
    <t>-642.37511277512 71.0155718328699 -529.070057908569</t>
  </si>
  <si>
    <t>-609.272144921537 222.236113263759 -509.707576976488</t>
  </si>
  <si>
    <t>-482.957672796834 219.456815314096 -257.486474975779</t>
  </si>
  <si>
    <t>-254.876421994458 191.170846865355 -223.910007110761</t>
  </si>
  <si>
    <t>-645.227997475566 8.38833987822295 -527.126641359024</t>
  </si>
  <si>
    <t>-586.360880968829 144.530392366629 -95.9298425331206</t>
  </si>
  <si>
    <t>-618.042865803952 147.656596845168 318.423986268532</t>
  </si>
  <si>
    <t>-670.784685948318 178.000193203486 777.537753303919</t>
  </si>
  <si>
    <t>-521.067100188888 179.715806018171 836.406320743047</t>
  </si>
  <si>
    <t>-590.997888209528 -60.4651229584938 323.523503963436</t>
  </si>
  <si>
    <t>-651.691359500858 -99.4391123839625 781.164220921637</t>
  </si>
  <si>
    <t>-498.31432315309 -118.574989044783 825.808636555523</t>
  </si>
  <si>
    <t>9763-20170724T115525.561345100.bin</t>
  </si>
  <si>
    <t>-585.044653214066 50.7294059282881 -92.0391881949279</t>
  </si>
  <si>
    <t>-604.413202140615 48.0211040184438 -201.011730404983</t>
  </si>
  <si>
    <t>-616.833772279823 45.668423292527 -293.022668763892</t>
  </si>
  <si>
    <t>-627.444884625385 43.5029661639442 -376.214435826135</t>
  </si>
  <si>
    <t>-636.881087759382 41.2734163881121 -459.545881034735</t>
  </si>
  <si>
    <t>-649.388003730413 37.9304603127582 -581.518504186584</t>
  </si>
  <si>
    <t>-638.213015529626 35.6784527242132 -659.044278088415</t>
  </si>
  <si>
    <t>-642.433926439501 70.7079910811719 -529.006367835555</t>
  </si>
  <si>
    <t>-608.532664560093 221.69862483647 -509.305734302424</t>
  </si>
  <si>
    <t>-486.652952464845 218.4477811677 -254.917565031133</t>
  </si>
  <si>
    <t>-260.207526642911 180.914958080724 -219.388840100074</t>
  </si>
  <si>
    <t>-645.366230266524 8.08662343327887 -526.989454273432</t>
  </si>
  <si>
    <t>-586.11881247233 144.488140254421 -95.8855869086899</t>
  </si>
  <si>
    <t>-617.942597440439 147.607416637161 318.4574212298</t>
  </si>
  <si>
    <t>-670.780005300604 177.934776650273 777.552947365842</t>
  </si>
  <si>
    <t>-521.090198628046 179.680365868122 836.491326309594</t>
  </si>
  <si>
    <t>-590.738327289086 -60.5452400023237 323.575770138731</t>
  </si>
  <si>
    <t>-651.646735657429 -99.4338757081034 781.180776989471</t>
  </si>
  <si>
    <t>-498.305640277353 -118.679384750201 825.901501922039</t>
  </si>
  <si>
    <t>9763-20170724T115525.625703400.bin</t>
  </si>
  <si>
    <t>-584.209847227748 50.7368013410849 -91.9060990720025</t>
  </si>
  <si>
    <t>-603.616807389394 48.0438753169626 -200.872237396039</t>
  </si>
  <si>
    <t>-616.117407058106 45.607904510083 -292.870282073856</t>
  </si>
  <si>
    <t>-626.820713266279 43.3299652333701 -376.04704031106</t>
  </si>
  <si>
    <t>-636.369744094136 40.9490125116063 -459.361439011452</t>
  </si>
  <si>
    <t>-649.064662131642 37.3420659522508 -581.307119663282</t>
  </si>
  <si>
    <t>-638.15247493055 34.9845560604074 -658.867319581239</t>
  </si>
  <si>
    <t>-641.93869687092 70.2285846220188 -528.886244602261</t>
  </si>
  <si>
    <t>-606.608346317459 220.858636887947 -508.959778546611</t>
  </si>
  <si>
    <t>-495.849257462678 216.440976256347 -249.55381103117</t>
  </si>
  <si>
    <t>-274.320003539373 158.018908860455 -211.341534244989</t>
  </si>
  <si>
    <t>-645.049750633422 7.62102664456552 -526.710573569193</t>
  </si>
  <si>
    <t>-585.188490067674 144.501456066646 -95.7495653852421</t>
  </si>
  <si>
    <t>-617.399249744616 147.511810320245 318.564294427785</t>
  </si>
  <si>
    <t>-670.77103659941 177.810502841097 777.600202807373</t>
  </si>
  <si>
    <t>-521.118705637893 179.702858726302 836.629158391775</t>
  </si>
  <si>
    <t>-590.095081293196 -60.4897795077861 323.700084272107</t>
  </si>
  <si>
    <t>-651.610477477867 -99.3254634857194 781.196717895739</t>
  </si>
  <si>
    <t>-498.247768478967 -118.285734145257 825.965095270927</t>
  </si>
  <si>
    <t>9763-20170724T115525.662304300.bin</t>
  </si>
  <si>
    <t>-583.704471949521 50.8393813656255 -91.8530147362169</t>
  </si>
  <si>
    <t>-603.125008192241 48.1393430009375 -200.816611242462</t>
  </si>
  <si>
    <t>-615.685262348598 45.6596648280513 -292.805273212379</t>
  </si>
  <si>
    <t>-626.462116327588 43.3284190001148 -375.971073670554</t>
  </si>
  <si>
    <t>-636.104701470986 40.8798726519756 -459.272855828867</t>
  </si>
  <si>
    <t>-648.958491876892 37.1586448072899 -581.198465837056</t>
  </si>
  <si>
    <t>-638.194561879034 34.7571058440742 -658.777946296487</t>
  </si>
  <si>
    <t>-641.73400123332 70.0925232176244 -528.820921080116</t>
  </si>
  <si>
    <t>-605.565524274331 220.493987014289 -508.586927767176</t>
  </si>
  <si>
    <t>-500.805497540748 215.551845763287 -246.709912379948</t>
  </si>
  <si>
    <t>-281.952624488546 148.624917787411 -207.052267259111</t>
  </si>
  <si>
    <t>-644.902682374666 7.49048630177526 -526.576171547526</t>
  </si>
  <si>
    <t>-584.602058958739 144.644290308826 -95.7078101765105</t>
  </si>
  <si>
    <t>-617.050505424876 147.536964041203 318.588331998796</t>
  </si>
  <si>
    <t>-670.750272980054 177.834078662326 777.604766432908</t>
  </si>
  <si>
    <t>-521.111477226868 179.553143292268 836.67340738579</t>
  </si>
  <si>
    <t>-589.798870615454 -60.3952913799862 323.763546135555</t>
  </si>
  <si>
    <t>-651.608131967268 -99.3261200457382 781.20507482951</t>
  </si>
  <si>
    <t>-498.299413563001 -118.684456253666 825.988061320607</t>
  </si>
  <si>
    <t>9763-20170724T115525.726977500.bin</t>
  </si>
  <si>
    <t>-582.650730614466 50.9406033702719 -91.7857030604808</t>
  </si>
  <si>
    <t>-602.095694895109 48.1710707828131 -200.743145139136</t>
  </si>
  <si>
    <t>-614.839462586544 45.5760119594486 -292.703395553372</t>
  </si>
  <si>
    <t>-625.848110326679 43.1200068960134 -375.835325219593</t>
  </si>
  <si>
    <t>-635.789097635285 40.5258088101195 -459.097344562253</t>
  </si>
  <si>
    <t>-649.152621849861 36.5696301061651 -580.96079829338</t>
  </si>
  <si>
    <t>-638.71753645168 34.0810360351163 -658.582621871356</t>
  </si>
  <si>
    <t>-641.656186948194 69.6015144119308 -528.683363279396</t>
  </si>
  <si>
    <t>-603.903077781814 219.532577797971 -507.937455338611</t>
  </si>
  <si>
    <t>-511.527310283243 215.970547393367 -241.417920967953</t>
  </si>
  <si>
    <t>-298.423189073515 136.148204346395 -194.90400345142</t>
  </si>
  <si>
    <t>-644.921456089634 7.0097185570005 -526.293269860653</t>
  </si>
  <si>
    <t>-583.434072450064 144.623851468888 -95.6686447179729</t>
  </si>
  <si>
    <t>-616.375639545341 147.47883366257 318.588895299165</t>
  </si>
  <si>
    <t>-670.755960669409 177.722752372373 777.559291519851</t>
  </si>
  <si>
    <t>-521.140130948452 179.514463002776 836.683905570109</t>
  </si>
  <si>
    <t>-589.361486395481 -60.3152651201824 323.865619131428</t>
  </si>
  <si>
    <t>-651.615544295711 -99.2233215162153 781.227375072448</t>
  </si>
  <si>
    <t>-498.291054792862 -118.536314395971 825.975932273927</t>
  </si>
  <si>
    <t>9763-20170724T115525.759069500.bin</t>
  </si>
  <si>
    <t>-582.127557236623 50.8707679306942 -91.7388671759833</t>
  </si>
  <si>
    <t>-601.594503525462 48.0727354859773 -200.691668694309</t>
  </si>
  <si>
    <t>-614.385879440015 45.4608975963054 -292.644836517744</t>
  </si>
  <si>
    <t>-625.44918901594 42.9928903233017 -375.769065011432</t>
  </si>
  <si>
    <t>-635.456465882503 40.3901319753957 -459.023060905668</t>
  </si>
  <si>
    <t>-648.92985944387 36.4245219768186 -580.87413697209</t>
  </si>
  <si>
    <t>-638.6141847343 33.9511084902624 -658.512318527513</t>
  </si>
  <si>
    <t>-641.374427728568 69.4596481328435 -528.607150912471</t>
  </si>
  <si>
    <t>-602.946190726966 219.171912725701 -507.721634192599</t>
  </si>
  <si>
    <t>-517.216784999901 216.809197809848 -238.977405773177</t>
  </si>
  <si>
    <t>-307.086834514889 133.714299934164 -185.226399139343</t>
  </si>
  <si>
    <t>-644.661290845414 6.86948980001512 -526.206690610694</t>
  </si>
  <si>
    <t>-582.895558521211 144.490470118646 -95.649200693972</t>
  </si>
  <si>
    <t>-616.089734615106 147.36948668754 318.587988984169</t>
  </si>
  <si>
    <t>-670.751750335262 177.689711892465 777.512697428105</t>
  </si>
  <si>
    <t>-521.147714583891 179.637048722726 836.662150166938</t>
  </si>
  <si>
    <t>-589.14528355942 -60.3674149466958 323.911142372314</t>
  </si>
  <si>
    <t>-651.627288562414 -99.1819807569327 781.236283448552</t>
  </si>
  <si>
    <t>-498.29978655761 -118.556359285231 825.947914878832</t>
  </si>
  <si>
    <t>9763-20170724T115525.830029900.bin</t>
  </si>
  <si>
    <t>-581.201836321433 50.5288596378248 -91.6951179703329</t>
  </si>
  <si>
    <t>-600.755965485717 47.7136857831285 -200.631808893411</t>
  </si>
  <si>
    <t>-613.456847946848 45.1364393380445 -292.598513366165</t>
  </si>
  <si>
    <t>-624.371927627944 42.7188360296159 -375.743813590647</t>
  </si>
  <si>
    <t>-634.163962019953 40.1856980097321 -459.025601712142</t>
  </si>
  <si>
    <t>-647.248663589834 36.3429487555395 -580.922948963133</t>
  </si>
  <si>
    <t>-637.038563786158 34.0451909454655 -658.580301148356</t>
  </si>
  <si>
    <t>-639.932044772249 69.3294269033941 -528.591204700167</t>
  </si>
  <si>
    <t>-601.253701876959 219.011520029012 -507.743991675265</t>
  </si>
  <si>
    <t>-528.723288650441 217.877649084815 -235.133188900651</t>
  </si>
  <si>
    <t>-323.087251176239 133.829822174862 -167.322294329554</t>
  </si>
  <si>
    <t>-643.082388549377 6.72875919239664 -526.279563164937</t>
  </si>
  <si>
    <t>-581.921567043533 144.092642275096 -95.6358296269204</t>
  </si>
  <si>
    <t>-615.523817999087 147.072430120343 318.567768848335</t>
  </si>
  <si>
    <t>-670.743827499555 177.610705839094 777.40978513351</t>
  </si>
  <si>
    <t>-521.157582751456 179.585451644097 836.603305455256</t>
  </si>
  <si>
    <t>-588.751838319597 -60.5488280374009 323.958820625059</t>
  </si>
  <si>
    <t>-651.65482447192 -99.0795747519935 781.233982032797</t>
  </si>
  <si>
    <t>-498.27967957177 -118.270627610592 825.861273558509</t>
  </si>
  <si>
    <t>9763-20170724T115525.858104900.bin</t>
  </si>
  <si>
    <t>-580.889237343438 50.2738107912271 -91.7045186229605</t>
  </si>
  <si>
    <t>-600.47269039901 47.4395988213778 -200.635504884263</t>
  </si>
  <si>
    <t>-613.099486916372 44.8901585561698 -292.613174326638</t>
  </si>
  <si>
    <t>-623.907528147649 42.5140481662747 -375.773735253076</t>
  </si>
  <si>
    <t>-633.551908574262 40.0399669140581 -459.07434259179</t>
  </si>
  <si>
    <t>-646.375947582987 36.3024805726718 -581.002672361453</t>
  </si>
  <si>
    <t>-636.206439514205 34.1248887612319 -658.668870557448</t>
  </si>
  <si>
    <t>-639.248453341229 69.2478730373061 -528.618964864392</t>
  </si>
  <si>
    <t>-600.689973185978 218.955943686598 -507.613027635169</t>
  </si>
  <si>
    <t>-533.591489632824 217.319854569796 -233.617323726455</t>
  </si>
  <si>
    <t>-328.224781958853 136.728588702913 -160.966785445693</t>
  </si>
  <si>
    <t>-642.249286257522 6.63709548217798 -526.3842655081</t>
  </si>
  <si>
    <t>-581.664458688075 143.833816719982 -95.657066663464</t>
  </si>
  <si>
    <t>-615.330563283515 146.848302446648 318.541134910053</t>
  </si>
  <si>
    <t>-670.747434614773 177.534733133176 777.351270890029</t>
  </si>
  <si>
    <t>-521.172251651315 179.529612521972 836.572205629727</t>
  </si>
  <si>
    <t>-588.648535751069 -60.7394735450537 323.967073743011</t>
  </si>
  <si>
    <t>-651.657667148895 -99.066878584159 781.230732165189</t>
  </si>
  <si>
    <t>-498.28329932821 -118.277253290645 825.852409656793</t>
  </si>
  <si>
    <t>9763-20170724T115525.928968600.bin</t>
  </si>
  <si>
    <t>-580.512099356754 49.7137388891751 -91.7459933964857</t>
  </si>
  <si>
    <t>-600.032904794188 46.7877691867329 -200.685786846204</t>
  </si>
  <si>
    <t>-612.523742777813 44.3151617134931 -292.684133507777</t>
  </si>
  <si>
    <t>-623.174523225662 42.0660328189429 -375.868439877668</t>
  </si>
  <si>
    <t>-632.626153539963 39.7804049524157 -459.196633039755</t>
  </si>
  <si>
    <t>-645.128580767254 36.3871302339714 -581.168306831546</t>
  </si>
  <si>
    <t>-635.004730580911 34.5431487944343 -658.849239930536</t>
  </si>
  <si>
    <t>-638.380457889851 69.1958825762749 -528.648880842379</t>
  </si>
  <si>
    <t>-601.047344022686 219.173526791179 -507.357701962309</t>
  </si>
  <si>
    <t>-540.514633299997 217.641554948733 -231.836451877028</t>
  </si>
  <si>
    <t>-331.529969484491 148.641760352644 -157.586954524256</t>
  </si>
  <si>
    <t>-640.904793568159 6.55623964188317 -526.647609275523</t>
  </si>
  <si>
    <t>-581.682180719428 143.075644597967 -95.7150961601596</t>
  </si>
  <si>
    <t>-615.275303346723 146.403630975416 318.48658629012</t>
  </si>
  <si>
    <t>-670.727957252842 177.46562823707 777.253944381682</t>
  </si>
  <si>
    <t>-521.178289946286 179.505998185131 836.537625473403</t>
  </si>
  <si>
    <t>-588.544415243216 -61.1772060130061 323.951762377274</t>
  </si>
  <si>
    <t>-651.638800910372 -99.0428971550987 781.230854394217</t>
  </si>
  <si>
    <t>-498.246992272367 -118.071234293795 825.870544033886</t>
  </si>
  <si>
    <t>9763-20170724T115525.960049000.bin</t>
  </si>
  <si>
    <t>-580.496484366784 49.3838053559045 -91.7522910887384</t>
  </si>
  <si>
    <t>-599.98546564832 46.3968595625977 -200.696106514188</t>
  </si>
  <si>
    <t>-612.448768834971 43.9266917468146 -292.698285033863</t>
  </si>
  <si>
    <t>-623.074058211699 41.6980514622867 -375.886425920271</t>
  </si>
  <si>
    <t>-632.49935726027 39.4540517843448 -459.21863247761</t>
  </si>
  <si>
    <t>-644.962154229217 36.1448756509731 -581.196798609714</t>
  </si>
  <si>
    <t>-634.818967037469 34.4557371577232 -658.878644195767</t>
  </si>
  <si>
    <t>-638.38886185392 68.9238552357754 -528.636570428779</t>
  </si>
  <si>
    <t>-602.064229196075 219.142625954664 -507.301743950687</t>
  </si>
  <si>
    <t>-542.140740720596 218.173454583155 -231.644777295545</t>
  </si>
  <si>
    <t>-330.243066538788 155.70950465285 -159.907871068081</t>
  </si>
  <si>
    <t>-640.598302346343 6.26991648951935 -526.711075645343</t>
  </si>
  <si>
    <t>-582.03668583779 142.600902438151 -95.7349824059686</t>
  </si>
  <si>
    <t>-615.396710232178 146.203750796675 318.48324558525</t>
  </si>
  <si>
    <t>-670.731321210554 177.363364700696 777.228830918387</t>
  </si>
  <si>
    <t>-521.191890375015 179.481541802158 836.535563029963</t>
  </si>
  <si>
    <t>-588.52576311805 -61.4246841746867 323.929111537518</t>
  </si>
  <si>
    <t>-651.636321410666 -99.0018043917119 781.221456270571</t>
  </si>
  <si>
    <t>-498.218920471968 -117.827778600993 825.858976961237</t>
  </si>
  <si>
    <t>9763-20170724T115526.027737400.bin</t>
  </si>
  <si>
    <t>-580.617390760003 48.7408874399573 -91.762672203061</t>
  </si>
  <si>
    <t>-600.088568210778 45.6311610365137 -200.706189472711</t>
  </si>
  <si>
    <t>-612.520806298397 43.1231908430289 -292.711585173485</t>
  </si>
  <si>
    <t>-623.111153963662 40.8790077561243 -375.903744285915</t>
  </si>
  <si>
    <t>-632.494327987907 38.6440499126409 -459.241064599545</t>
  </si>
  <si>
    <t>-644.887479890782 35.3754244452796 -581.227297118038</t>
  </si>
  <si>
    <t>-634.646002866206 33.9392421142618 -658.901280506414</t>
  </si>
  <si>
    <t>-638.681181046171 68.1479787949386 -528.618533702442</t>
  </si>
  <si>
    <t>-604.913809112056 218.993499705289 -507.622378507813</t>
  </si>
  <si>
    <t>-543.36564217446 219.748837474384 -232.322938728182</t>
  </si>
  <si>
    <t>-325.381635759471 170.063767983927 -169.371271746384</t>
  </si>
  <si>
    <t>-640.217804403076 5.47118957531006 -526.783068442551</t>
  </si>
  <si>
    <t>-582.982226986773 141.733285699199 -95.7459460658281</t>
  </si>
  <si>
    <t>-615.804476406515 145.867837936103 318.510276112864</t>
  </si>
  <si>
    <t>-670.725598354464 177.214884930848 777.255531177015</t>
  </si>
  <si>
    <t>-521.189607584069 179.293809509812 836.572488138822</t>
  </si>
  <si>
    <t>-588.42543790427 -61.8806853980916 323.883528026737</t>
  </si>
  <si>
    <t>-651.641760464791 -99.0235887734855 781.196993538013</t>
  </si>
  <si>
    <t>-498.238380648742 -117.950160858314 825.840163235575</t>
  </si>
  <si>
    <t>9763-20170724T115526.061357300.bin</t>
  </si>
  <si>
    <t>-580.712840527142 48.4842661857256 -91.7822735579493</t>
  </si>
  <si>
    <t>-600.168963883022 45.305761820392 -200.726592731793</t>
  </si>
  <si>
    <t>-612.603117630223 42.777250302835 -292.731053492177</t>
  </si>
  <si>
    <t>-623.200775125778 40.5263457211956 -375.922182188721</t>
  </si>
  <si>
    <t>-632.596907897062 38.2985700978081 -459.258125395023</t>
  </si>
  <si>
    <t>-645.014920754809 35.0565714463376 -581.242550874385</t>
  </si>
  <si>
    <t>-634.734409562165 33.7099781549093 -658.912998772116</t>
  </si>
  <si>
    <t>-638.942239206164 67.8213759082635 -528.613412340373</t>
  </si>
  <si>
    <t>-606.332195723723 218.933159323615 -507.762434856086</t>
  </si>
  <si>
    <t>-543.67579938406 219.372467250817 -232.712342103231</t>
  </si>
  <si>
    <t>-322.472717300489 178.131579164535 -175.11963804048</t>
  </si>
  <si>
    <t>-640.189758014635 5.13689396970381 -526.820361501754</t>
  </si>
  <si>
    <t>-583.441009694383 141.348872144046 -95.7521755988498</t>
  </si>
  <si>
    <t>-615.981906535972 145.715510132668 318.523860053578</t>
  </si>
  <si>
    <t>-670.727373920154 177.135343411032 777.293173720386</t>
  </si>
  <si>
    <t>-521.187380043746 179.389511903068 836.593360961834</t>
  </si>
  <si>
    <t>-588.395578761989 -62.0501819212091 323.869456005412</t>
  </si>
  <si>
    <t>-651.641797439793 -99.0444860255791 781.181636700003</t>
  </si>
  <si>
    <t>-498.259757574027 -118.114216366973 825.83714901515</t>
  </si>
  <si>
    <t>9763-20170724T115526.129159900.bin</t>
  </si>
  <si>
    <t>-580.870117507435 48.2420254800163 -91.7957281465829</t>
  </si>
  <si>
    <t>-600.306389444972 44.9022245620408 -200.738697181577</t>
  </si>
  <si>
    <t>-612.735706670095 42.363739638932 -292.743572193837</t>
  </si>
  <si>
    <t>-623.333210123429 40.1491703447057 -375.935837659812</t>
  </si>
  <si>
    <t>-632.73277568926 38.0081718605247 -459.273657155945</t>
  </si>
  <si>
    <t>-645.159594049658 34.9484490386315 -581.261858160721</t>
  </si>
  <si>
    <t>-634.823498570731 33.7759880209514 -658.927869503121</t>
  </si>
  <si>
    <t>-639.33370400559 67.6392636762916 -528.558755662645</t>
  </si>
  <si>
    <t>-608.852689064219 219.239026330386 -507.945740765259</t>
  </si>
  <si>
    <t>-542.912337195231 219.627598484119 -233.664416538412</t>
  </si>
  <si>
    <t>-316.434699034111 196.040818007224 -187.837735521584</t>
  </si>
  <si>
    <t>-640.079921531021 4.94282337619507 -526.910242370548</t>
  </si>
  <si>
    <t>-584.11215889057 140.889220814568 -95.7799374526443</t>
  </si>
  <si>
    <t>-616.320577260329 145.556754185601 318.518859924134</t>
  </si>
  <si>
    <t>-670.717163202094 177.100536765365 777.356727390232</t>
  </si>
  <si>
    <t>-521.165503146297 179.426047725564 836.624886338887</t>
  </si>
  <si>
    <t>-588.520301588102 -62.1469742037523 323.87287815176</t>
  </si>
  <si>
    <t>-651.670483972686 -98.9484798469805 781.172284853765</t>
  </si>
  <si>
    <t>-498.17498511043 -117.254409391349 825.757535916622</t>
  </si>
  <si>
    <t>9763-20170724T115526.161705100.bin</t>
  </si>
  <si>
    <t>-580.909632795844 48.1989712992092 -91.8127842318492</t>
  </si>
  <si>
    <t>-600.337459344386 44.798877957621 -200.75537067617</t>
  </si>
  <si>
    <t>-612.776045130309 42.2487886973959 -292.758783266379</t>
  </si>
  <si>
    <t>-623.388355653571 40.0378941673362 -375.949032690675</t>
  </si>
  <si>
    <t>-632.809133200824 37.9167125205017 -459.285128586415</t>
  </si>
  <si>
    <t>-645.273727273518 34.9046501477972 -581.270607306539</t>
  </si>
  <si>
    <t>-634.929594737846 33.8119490433796 -658.936769519289</t>
  </si>
  <si>
    <t>-639.545790328849 67.5762459458067 -528.545041374058</t>
  </si>
  <si>
    <t>-610.083165493637 219.408112593022 -508.11506933347</t>
  </si>
  <si>
    <t>-542.153433193796 220.122563337744 -234.320154741925</t>
  </si>
  <si>
    <t>-314.032111241353 202.298565364163 -194.42665175791</t>
  </si>
  <si>
    <t>-640.062959456251 4.87641617351619 -526.94391337034</t>
  </si>
  <si>
    <t>-584.304088110276 140.754339646647 -95.8015220529928</t>
  </si>
  <si>
    <t>-616.414458106661 145.549149629512 318.503326827282</t>
  </si>
  <si>
    <t>-670.706319673352 177.137410092575 777.370232251468</t>
  </si>
  <si>
    <t>-521.149668917529 179.472074655241 836.625351421289</t>
  </si>
  <si>
    <t>-588.584726841502 -62.1658577375376 323.867159818475</t>
  </si>
  <si>
    <t>-651.689945645517 -98.9207887310445 781.166271469549</t>
  </si>
  <si>
    <t>-498.171883984688 -117.119040028831 825.717968722377</t>
  </si>
  <si>
    <t>9763-20170724T115526.227224200.bin</t>
  </si>
  <si>
    <t>-580.924827115558 47.9873273292858 -91.7915085108664</t>
  </si>
  <si>
    <t>-600.373069053072 44.5193426761432 -200.728364232408</t>
  </si>
  <si>
    <t>-612.889927661613 41.9699234855364 -292.721116358807</t>
  </si>
  <si>
    <t>-623.597284342704 39.7809799569393 -375.899783463766</t>
  </si>
  <si>
    <t>-633.137472991134 37.7064183330428 -459.223314806942</t>
  </si>
  <si>
    <t>-645.80346915174 34.7896839435077 -581.190643277918</t>
  </si>
  <si>
    <t>-635.490326359693 33.8528715428324 -658.862827110572</t>
  </si>
  <si>
    <t>-640.161161717014 67.4213886233888 -528.430810480617</t>
  </si>
  <si>
    <t>-612.185014217864 219.544857670244 -508.108009258253</t>
  </si>
  <si>
    <t>-540.447622173639 221.157775170032 -235.28986776217</t>
  </si>
  <si>
    <t>-310.194534351682 210.810988586682 -206.567099019382</t>
  </si>
  <si>
    <t>-640.33032109634 4.71757680042424 -526.913832472883</t>
  </si>
  <si>
    <t>-584.591232173688 140.408953389931 -95.8035222318865</t>
  </si>
  <si>
    <t>-616.464077283311 145.380401872361 318.51761064911</t>
  </si>
  <si>
    <t>-670.70894127658 177.069308632034 777.378080148917</t>
  </si>
  <si>
    <t>-521.150149184952 179.563640026558 836.621428081397</t>
  </si>
  <si>
    <t>-588.460490827059 -62.2508281898618 323.884014371813</t>
  </si>
  <si>
    <t>-651.656028154257 -98.9552371604022 781.173861409506</t>
  </si>
  <si>
    <t>-498.15062308685 -117.130987281417 825.77826823583</t>
  </si>
  <si>
    <t>9763-20170724T115526.261311700.bin</t>
  </si>
  <si>
    <t>-580.830013064918 47.9430655495648 -91.7581252132323</t>
  </si>
  <si>
    <t>-600.325039699324 44.4555790466522 -200.685966842908</t>
  </si>
  <si>
    <t>-612.886217499392 41.9166365301953 -292.672905402786</t>
  </si>
  <si>
    <t>-623.635421370053 39.7472096366384 -375.846799091431</t>
  </si>
  <si>
    <t>-633.219343227345 37.7032707656583 -459.166128784414</t>
  </si>
  <si>
    <t>-645.951187599166 34.8444914583777 -581.127806101906</t>
  </si>
  <si>
    <t>-635.649428650706 33.97806803156 -658.802287954211</t>
  </si>
  <si>
    <t>-640.360294269544 67.4515860178301 -528.347370988393</t>
  </si>
  <si>
    <t>-613.100673018839 219.71414120595 -508.097740542353</t>
  </si>
  <si>
    <t>-539.742587305808 221.645762045065 -235.713119631091</t>
  </si>
  <si>
    <t>-308.729616459041 214.537446726035 -212.669010511645</t>
  </si>
  <si>
    <t>-640.368793259037 4.74638709881674 -526.876781497754</t>
  </si>
  <si>
    <t>-584.629763884536 140.328566887426 -95.7798091730973</t>
  </si>
  <si>
    <t>-616.401278441505 145.369942357736 318.548294011235</t>
  </si>
  <si>
    <t>-670.69169191552 177.113894578708 777.396747407827</t>
  </si>
  <si>
    <t>-521.129333283393 179.434553414771 836.638080388862</t>
  </si>
  <si>
    <t>-588.266037510433 -62.1920051230325 323.918730367719</t>
  </si>
  <si>
    <t>-651.622213356974 -98.9306604828334 781.175119122137</t>
  </si>
  <si>
    <t>-498.096696549493 -116.784102910751 825.840445487006</t>
  </si>
  <si>
    <t>9763-20170724T115526.327493000.bin</t>
  </si>
  <si>
    <t>-580.580608953194 47.8863332750213 -91.6724751889582</t>
  </si>
  <si>
    <t>-600.188394737055 44.3789722199031 -200.579519277626</t>
  </si>
  <si>
    <t>-612.868768780005 41.8893470863175 -292.551400836788</t>
  </si>
  <si>
    <t>-623.735062811788 39.7888106897713 -375.711766388585</t>
  </si>
  <si>
    <t>-633.445649321598 37.8403598558264 -459.018737960987</t>
  </si>
  <si>
    <t>-646.372918109626 35.1511198769849 -580.963674660792</t>
  </si>
  <si>
    <t>-636.101601464523 34.4190475348369 -658.643671481142</t>
  </si>
  <si>
    <t>-640.842106505193 67.6847663031865 -528.131818641206</t>
  </si>
  <si>
    <t>-614.897711482243 220.176811010569 -507.83157005997</t>
  </si>
  <si>
    <t>-537.828993906242 222.502928610119 -236.476450279624</t>
  </si>
  <si>
    <t>-305.905083641967 219.979096555521 -224.088067176944</t>
  </si>
  <si>
    <t>-640.558960422226 4.97755375222073 -526.778890214664</t>
  </si>
  <si>
    <t>-584.643699284484 140.126017016139 -95.672967184743</t>
  </si>
  <si>
    <t>-616.125218215486 145.27445774253 318.67592786302</t>
  </si>
  <si>
    <t>-670.685430720266 177.021394745145 777.459556605002</t>
  </si>
  <si>
    <t>-521.118111776481 179.614061953024 836.677108027798</t>
  </si>
  <si>
    <t>-587.912361303167 -62.070470447896 323.99882860043</t>
  </si>
  <si>
    <t>-651.533040598708 -98.9578884456371 781.196371044472</t>
  </si>
  <si>
    <t>-498.061198077499 -116.857486809807 826.027418266652</t>
  </si>
  <si>
    <t>9763-20170724T115526.361090300.bin</t>
  </si>
  <si>
    <t>-580.509985640393 47.8826906672041 -91.6246986526576</t>
  </si>
  <si>
    <t>-600.169581919896 44.3649750248749 -200.522043253496</t>
  </si>
  <si>
    <t>-612.899201526987 41.9091862991427 -292.488020644451</t>
  </si>
  <si>
    <t>-623.812063976057 39.8549051442055 -375.643489651099</t>
  </si>
  <si>
    <t>-633.571202829691 37.9699519572202 -458.946282823659</t>
  </si>
  <si>
    <t>-646.571630990813 35.3925143140618 -580.885894343121</t>
  </si>
  <si>
    <t>-636.279376572126 34.7331682448612 -658.563633124663</t>
  </si>
  <si>
    <t>-641.081193150329 67.8775004753163 -528.019794739648</t>
  </si>
  <si>
    <t>-615.690209654619 220.444431426196 -507.643145408221</t>
  </si>
  <si>
    <t>-536.800863692857 223.008716606922 -236.813925900256</t>
  </si>
  <si>
    <t>-304.668916118397 221.76260058817 -228.956238673281</t>
  </si>
  <si>
    <t>-640.653089632301 5.16955019393026 -526.739968380944</t>
  </si>
  <si>
    <t>-584.685608173002 140.047098223526 -95.6173437571317</t>
  </si>
  <si>
    <t>-616.060135195827 145.221164083516 318.73934418756</t>
  </si>
  <si>
    <t>-670.677763441884 176.990884749494 777.496878763316</t>
  </si>
  <si>
    <t>-521.109859427835 179.661013646349 836.709462293601</t>
  </si>
  <si>
    <t>-587.872464349951 -62.0262464365806 324.023479113673</t>
  </si>
  <si>
    <t>-651.494920366693 -99.0015701395598 781.197472297311</t>
  </si>
  <si>
    <t>-498.06467987524 -117.03157518097 826.118572796639</t>
  </si>
  <si>
    <t>9763-20170724T115526.426269500.bin</t>
  </si>
  <si>
    <t>-580.482151777117 48.0403569387879 -91.5674521894547</t>
  </si>
  <si>
    <t>-600.213727367299 44.4822301210243 -200.45054318694</t>
  </si>
  <si>
    <t>-613.016695851566 42.1152107793671 -292.408671592124</t>
  </si>
  <si>
    <t>-624.00037860599 40.1881221104384 -375.557806684853</t>
  </si>
  <si>
    <t>-633.834707160857 38.4792324168968 -458.855550677361</t>
  </si>
  <si>
    <t>-646.949605228728 36.2131373621035 -580.788988401129</t>
  </si>
  <si>
    <t>-636.608479075994 35.7727040919085 -658.46192745392</t>
  </si>
  <si>
    <t>-641.515101456647 68.5623568988303 -527.833925866142</t>
  </si>
  <si>
    <t>-616.923140473175 221.217772521984 -507.143535822799</t>
  </si>
  <si>
    <t>-534.144884014214 224.195566448218 -237.481855813282</t>
  </si>
  <si>
    <t>-301.879371781404 225.308951489439 -237.607929548883</t>
  </si>
  <si>
    <t>-640.874703585436 5.85264142214737 -526.737415374688</t>
  </si>
  <si>
    <t>-584.894547772705 140.02736832395 -95.5331369245625</t>
  </si>
  <si>
    <t>-616.192739426509 145.29329888451 318.828171183669</t>
  </si>
  <si>
    <t>-670.634242760147 177.062726828698 777.592219687184</t>
  </si>
  <si>
    <t>-521.060332928573 179.533096274808 836.798376260628</t>
  </si>
  <si>
    <t>-588.113409171017 -61.8397358358034 324.050498517248</t>
  </si>
  <si>
    <t>-651.372189746993 -98.9846531876694 781.234908032457</t>
  </si>
  <si>
    <t>-497.923567114826 -116.333331715164 826.36102305939</t>
  </si>
  <si>
    <t>9763-20170724T115526.458351600.bin</t>
  </si>
  <si>
    <t>-580.631822205002 48.0412421019203 -91.5631603013456</t>
  </si>
  <si>
    <t>-600.363663724674 44.47874711693 -200.445952098262</t>
  </si>
  <si>
    <t>-613.186063650212 42.1553322547666 -292.402633284865</t>
  </si>
  <si>
    <t>-624.194753268126 40.286247444586 -375.549744773594</t>
  </si>
  <si>
    <t>-634.061677896766 38.654547390008 -458.84517961886</t>
  </si>
  <si>
    <t>-647.232327243718 36.5229408125394 -580.775187349923</t>
  </si>
  <si>
    <t>-636.886129048063 36.2087420843693 -658.447964223564</t>
  </si>
  <si>
    <t>-641.818590851709 68.8132684723246 -527.781918028747</t>
  </si>
  <si>
    <t>-617.628374796846 221.514386852202 -506.922580387327</t>
  </si>
  <si>
    <t>-532.668204415627 224.586418930349 -237.941428987499</t>
  </si>
  <si>
    <t>-300.432828520452 226.554497462967 -241.317295755305</t>
  </si>
  <si>
    <t>-641.087691369519 6.10339106826632 -526.764562615665</t>
  </si>
  <si>
    <t>-585.099212131713 139.949699210357 -95.5115658016309</t>
  </si>
  <si>
    <t>-616.317556858101 145.280371722467 318.854901893707</t>
  </si>
  <si>
    <t>-670.644309091405 177.01132891679 777.640117552706</t>
  </si>
  <si>
    <t>-521.063250382362 179.534913204483 836.825913154708</t>
  </si>
  <si>
    <t>-588.360862686121 -61.8989828450101 324.03731599555</t>
  </si>
  <si>
    <t>-651.347384454546 -99.0103329705614 781.252567713994</t>
  </si>
  <si>
    <t>-497.882780726079 -116.093399854016 826.42569386419</t>
  </si>
  <si>
    <t>9763-20170724T115526.525553100.bin</t>
  </si>
  <si>
    <t>-581.260070067553 47.7388118523395 -91.5688296771305</t>
  </si>
  <si>
    <t>-600.964157856028 44.187931165794 -200.457090038801</t>
  </si>
  <si>
    <t>-613.743376497157 41.973982106646 -292.422350909847</t>
  </si>
  <si>
    <t>-624.704827866027 40.2431940137913 -375.578765488455</t>
  </si>
  <si>
    <t>-634.515894634171 38.7905246814087 -458.884065934117</t>
  </si>
  <si>
    <t>-647.595423553145 36.9651625711779 -580.828765719746</t>
  </si>
  <si>
    <t>-637.198947504231 36.9210798200786 -658.495476176082</t>
  </si>
  <si>
    <t>-642.272497146607 69.1216539965719 -527.745239760023</t>
  </si>
  <si>
    <t>-618.553226122569 221.854946210691 -506.565023031611</t>
  </si>
  <si>
    <t>-529.667975011002 224.987327960174 -238.8558493764</t>
  </si>
  <si>
    <t>-297.611615731808 228.399465548103 -248.169027828706</t>
  </si>
  <si>
    <t>-641.439992058499 6.4106027641169 -526.895861882742</t>
  </si>
  <si>
    <t>-585.708751077729 139.680605263601 -95.5020860883672</t>
  </si>
  <si>
    <t>-616.626428112616 145.21169208835 318.884354423041</t>
  </si>
  <si>
    <t>-670.644517540791 177.082772093632 777.708130920051</t>
  </si>
  <si>
    <t>-521.034654731061 179.521596372576 836.824742684077</t>
  </si>
  <si>
    <t>-588.978317900744 -62.22306644478 323.972845694751</t>
  </si>
  <si>
    <t>-651.301374180066 -99.1119443146513 781.288040734942</t>
  </si>
  <si>
    <t>-497.903930918213 -116.487219358443 826.577589961357</t>
  </si>
  <si>
    <t>9763-20170724T115526.591747400.bin</t>
  </si>
  <si>
    <t>-582.04303211219 47.5243376090166 -91.6396616051447</t>
  </si>
  <si>
    <t>-601.662770054052 43.9887777136082 -200.543522580218</t>
  </si>
  <si>
    <t>-614.329804693816 41.8337141340937 -292.525870353902</t>
  </si>
  <si>
    <t>-625.173226400198 40.1735892946228 -375.699252712668</t>
  </si>
  <si>
    <t>-634.849238493307 38.8098573788673 -459.021706679119</t>
  </si>
  <si>
    <t>-647.712540865468 37.1342667574004 -580.991669041641</t>
  </si>
  <si>
    <t>-637.208959771616 37.2518856663639 -658.643832536814</t>
  </si>
  <si>
    <t>-642.510754612209 69.2251501418202 -527.856368392093</t>
  </si>
  <si>
    <t>-619.505929398708 222.047087682729 -506.555972801142</t>
  </si>
  <si>
    <t>-526.663616839405 225.332655474699 -240.195347230804</t>
  </si>
  <si>
    <t>-294.830543475901 229.546563097004 -253.767313579153</t>
  </si>
  <si>
    <t>-641.625750036498 6.51374342540748 -527.088234052144</t>
  </si>
  <si>
    <t>-586.55835453253 139.455104406509 -95.5472279773974</t>
  </si>
  <si>
    <t>-617.017421178082 145.144235522324 318.87101197127</t>
  </si>
  <si>
    <t>-670.619832992804 177.165567747695 777.735158631251</t>
  </si>
  <si>
    <t>-520.99305545947 179.525434921219 836.812006273575</t>
  </si>
  <si>
    <t>-589.576826589839 -62.3855537087775 323.889595418048</t>
  </si>
  <si>
    <t>-651.302651073241 -99.1120811329668 781.302590069091</t>
  </si>
  <si>
    <t>-497.848670778549 -115.994071010854 826.587208796459</t>
  </si>
  <si>
    <t>9763-20170724T115526.624836000.bin</t>
  </si>
  <si>
    <t>-582.400295206326 47.4241404015052 -91.6491681444413</t>
  </si>
  <si>
    <t>-602.008044086284 43.8960332687643 -200.555584883958</t>
  </si>
  <si>
    <t>-614.656811545219 41.7792720625105 -292.541216539824</t>
  </si>
  <si>
    <t>-625.480114251844 40.1661938682348 -375.718038773716</t>
  </si>
  <si>
    <t>-635.132432338287 38.8615598510387 -459.044229551406</t>
  </si>
  <si>
    <t>-647.956931081667 37.2858861078307 -581.019575355269</t>
  </si>
  <si>
    <t>-637.379263103533 37.4739343897975 -658.661751770459</t>
  </si>
  <si>
    <t>-642.779359305151 69.3332079374536 -527.855607484484</t>
  </si>
  <si>
    <t>-619.819376571645 222.145539548181 -506.406060006564</t>
  </si>
  <si>
    <t>-525.350999276808 225.055655281595 -240.613212747793</t>
  </si>
  <si>
    <t>-293.61339125464 229.679781079193 -255.607570719443</t>
  </si>
  <si>
    <t>-641.879970730793 6.62133178720933 -527.140135652036</t>
  </si>
  <si>
    <t>-587.011245840406 139.269412617967 -95.5455023136579</t>
  </si>
  <si>
    <t>-617.356526375538 145.011445187268 318.880299246932</t>
  </si>
  <si>
    <t>-670.65518953503 177.0520764397 777.774979001759</t>
  </si>
  <si>
    <t>-521.017806596913 179.718402903452 836.811963254219</t>
  </si>
  <si>
    <t>-589.817447890369 -62.4430608139428 323.856216158044</t>
  </si>
  <si>
    <t>-651.3014112591 -99.1780641711393 781.297903390313</t>
  </si>
  <si>
    <t>-497.88527482145 -116.314154564391 826.615239857463</t>
  </si>
  <si>
    <t>9763-20170724T115526.663440500.bin</t>
  </si>
  <si>
    <t>-582.736706717156 47.37753737411 -91.6470273520488</t>
  </si>
  <si>
    <t>-602.331793071887 43.8526205910794 -200.555674971268</t>
  </si>
  <si>
    <t>-614.971821700712 41.7715408094864 -292.543338313886</t>
  </si>
  <si>
    <t>-625.787784144256 40.2029640557116 -375.722114318853</t>
  </si>
  <si>
    <t>-635.43312560138 38.9552979211671 -459.050061770061</t>
  </si>
  <si>
    <t>-648.247637232204 37.4764374863294 -581.027631250105</t>
  </si>
  <si>
    <t>-637.59619012656 37.722541397291 -658.65938557999</t>
  </si>
  <si>
    <t>-643.067256367676 69.4816478685357 -527.838663814206</t>
  </si>
  <si>
    <t>-620.116595476785 222.269630274393 -506.227039241589</t>
  </si>
  <si>
    <t>-524.061227918103 225.229740569061 -241.004148880852</t>
  </si>
  <si>
    <t>-292.428341617641 230.263876860013 -257.41751543599</t>
  </si>
  <si>
    <t>-642.182245906448 6.76903689610799 -527.171177556327</t>
  </si>
  <si>
    <t>-587.46012678422 139.139575140454 -95.5257924140324</t>
  </si>
  <si>
    <t>-617.707249511473 144.977647430437 318.905903028848</t>
  </si>
  <si>
    <t>-670.646140371651 177.161272567443 777.824344073563</t>
  </si>
  <si>
    <t>-520.987012255048 179.580236321726 836.816940523746</t>
  </si>
  <si>
    <t>-590.017752334092 -62.3943750711526 323.842355598661</t>
  </si>
  <si>
    <t>-651.260250549138 -99.2248725415848 781.300807447773</t>
  </si>
  <si>
    <t>-497.835869511938 -116.081070899321 826.695286046247</t>
  </si>
  <si>
    <t>9763-20170724T115526.726202500.bin</t>
  </si>
  <si>
    <t>-583.391391494128 47.4059297324777 -91.6063948089272</t>
  </si>
  <si>
    <t>-603.024867795381 43.9328842966488 -200.509957854757</t>
  </si>
  <si>
    <t>-615.682517154507 41.9486978726015 -292.497415967393</t>
  </si>
  <si>
    <t>-626.508099759039 40.4885106449578 -375.676669130078</t>
  </si>
  <si>
    <t>-636.15658678044 39.3703386314542 -459.006079549477</t>
  </si>
  <si>
    <t>-648.968574200972 38.1034305948838 -580.986345652802</t>
  </si>
  <si>
    <t>-638.20343486148 38.4506391730438 -658.602059525678</t>
  </si>
  <si>
    <t>-643.794576682518 70.0160825258031 -527.741013719973</t>
  </si>
  <si>
    <t>-621.096340402503 222.810986522172 -505.925858828816</t>
  </si>
  <si>
    <t>-521.643055636401 226.134111044902 -241.962692710768</t>
  </si>
  <si>
    <t>-290.114647829402 232.051674423809 -259.51559797091</t>
  </si>
  <si>
    <t>-642.898961231797 7.30262475225163 -527.183840397459</t>
  </si>
  <si>
    <t>-588.304995544792 138.95347659074 -95.4338136608943</t>
  </si>
  <si>
    <t>-618.451515965758 144.760098137642 319.00564184981</t>
  </si>
  <si>
    <t>-670.653314319329 177.248971690148 777.978601341199</t>
  </si>
  <si>
    <t>-520.933575080136 179.436045943508 836.826168533422</t>
  </si>
  <si>
    <t>-590.445078410559 -62.2523032132419 323.840745759181</t>
  </si>
  <si>
    <t>-651.199562667966 -99.3428442662466 781.327232492498</t>
  </si>
  <si>
    <t>-497.826539907803 -116.279512951913 826.86506974499</t>
  </si>
  <si>
    <t>9763-20170724T115526.759801600.bin</t>
  </si>
  <si>
    <t>-583.616498567918 47.6207677774482 -91.5861795935978</t>
  </si>
  <si>
    <t>-603.293557099531 44.1886954958363 -200.483233136581</t>
  </si>
  <si>
    <t>-615.992480358192 42.2540362607328 -292.465937401926</t>
  </si>
  <si>
    <t>-626.857187361144 40.8448859924911 -375.641037407678</t>
  </si>
  <si>
    <t>-636.546741960136 39.7836700356393 -458.966371268867</t>
  </si>
  <si>
    <t>-649.420585501988 38.6074096981042 -580.941068542981</t>
  </si>
  <si>
    <t>-638.612400619771 38.9838977635025 -658.550692991818</t>
  </si>
  <si>
    <t>-644.218061344727 70.4805291043704 -527.674997528465</t>
  </si>
  <si>
    <t>-621.589591900852 223.263509173046 -505.681172852961</t>
  </si>
  <si>
    <t>-520.63488417542 226.268748694858 -242.284789991369</t>
  </si>
  <si>
    <t>-289.101881549293 232.60152107679 -259.631609140824</t>
  </si>
  <si>
    <t>-643.32527296881 7.76654767590026 -527.164263658934</t>
  </si>
  <si>
    <t>-588.491199041092 139.120300600536 -95.3839124111105</t>
  </si>
  <si>
    <t>-618.631144529446 144.804210288874 319.057759207025</t>
  </si>
  <si>
    <t>-670.624954074794 177.414892504943 778.058002324462</t>
  </si>
  <si>
    <t>-520.877907203496 179.35633638304 836.844647237247</t>
  </si>
  <si>
    <t>-590.557830039008 -62.0327072995024 323.826801191124</t>
  </si>
  <si>
    <t>-651.222590614887 -99.3492381004589 781.295822862818</t>
  </si>
  <si>
    <t>-497.804041318351 -115.962043930162 826.799581776891</t>
  </si>
  <si>
    <t>9763-20170724T115526.826482200.bin</t>
  </si>
  <si>
    <t>-583.914686305243 48.0849033047978 -91.5720013738897</t>
  </si>
  <si>
    <t>-603.753812098504 44.7196883199565 -200.44150414616</t>
  </si>
  <si>
    <t>-616.526965302874 42.9333764684859 -292.417049982419</t>
  </si>
  <si>
    <t>-627.433244060836 41.6951266954634 -375.589493455029</t>
  </si>
  <si>
    <t>-637.138514827389 40.8420209435781 -458.915448786344</t>
  </si>
  <si>
    <t>-650.006915730169 40.0100307377679 -580.893486843048</t>
  </si>
  <si>
    <t>-639.153228295466 40.5028464782185 -658.496056049953</t>
  </si>
  <si>
    <t>-644.801341409995 71.7326717120277 -527.537955543679</t>
  </si>
  <si>
    <t>-621.84494586603 224.398663897359 -505.063275763698</t>
  </si>
  <si>
    <t>-519.006412680379 226.922249412503 -242.391490394928</t>
  </si>
  <si>
    <t>-287.385685424513 232.999944744385 -258.622688414908</t>
  </si>
  <si>
    <t>-643.919455436347 9.01732355786226 -527.203236945911</t>
  </si>
  <si>
    <t>-588.685163446346 139.502042317921 -95.298361355791</t>
  </si>
  <si>
    <t>-618.863123396999 144.969482956727 319.143447467296</t>
  </si>
  <si>
    <t>-670.636488304663 177.546926420908 778.168428781656</t>
  </si>
  <si>
    <t>-520.829846666016 179.215318099946 836.811523911229</t>
  </si>
  <si>
    <t>-590.522889034747 -61.5164896938138 323.785365313782</t>
  </si>
  <si>
    <t>-651.333070831181 -99.3555032700265 781.18514633529</t>
  </si>
  <si>
    <t>-497.827814617059 -115.633491038828 826.517083259694</t>
  </si>
  <si>
    <t>9763-20170724T115526.860073900.bin</t>
  </si>
  <si>
    <t>-584.005452189349 48.3675337599111 -91.5825104760219</t>
  </si>
  <si>
    <t>-603.913699305331 45.0310135931841 -200.440340717353</t>
  </si>
  <si>
    <t>-616.689983406805 43.3088900195853 -292.416611042773</t>
  </si>
  <si>
    <t>-627.576786788159 42.1435959454802 -375.592615673225</t>
  </si>
  <si>
    <t>-637.239939392631 41.3788441861832 -458.924398894144</t>
  </si>
  <si>
    <t>-650.021707012251 40.6927315246107 -580.912446397417</t>
  </si>
  <si>
    <t>-639.169418880531 41.2512968875428 -658.514739085107</t>
  </si>
  <si>
    <t>-644.855077254864 72.3516484643708 -527.515267206939</t>
  </si>
  <si>
    <t>-621.839806380084 224.973960699669 -504.866737114551</t>
  </si>
  <si>
    <t>-518.21702683876 227.736337845443 -242.505780279958</t>
  </si>
  <si>
    <t>-286.569003666593 233.377712184429 -258.502589377959</t>
  </si>
  <si>
    <t>-643.971282744746 9.63595312582765 -527.255015148417</t>
  </si>
  <si>
    <t>-588.806865889784 139.764637535954 -95.2685689261872</t>
  </si>
  <si>
    <t>-618.881899114985 145.125992215462 319.182068757604</t>
  </si>
  <si>
    <t>-670.649149512673 177.545969637337 778.201990374257</t>
  </si>
  <si>
    <t>-520.819543494145 179.370421783623 836.781698426646</t>
  </si>
  <si>
    <t>-590.518225936387 -61.2614239273412 323.740549681234</t>
  </si>
  <si>
    <t>-651.394086982467 -99.3938810267664 781.120068735075</t>
  </si>
  <si>
    <t>-497.896155767191 -115.980651550874 826.364807648191</t>
  </si>
  <si>
    <t>9763-20170724T115526.931308900.bin</t>
  </si>
  <si>
    <t>-584.129648027966 49.1378965444273 -91.6788383966293</t>
  </si>
  <si>
    <t>-604.077366013447 45.8131322234515 -200.529833899634</t>
  </si>
  <si>
    <t>-616.836216204702 44.172580247716 -292.509926563255</t>
  </si>
  <si>
    <t>-627.686285776489 43.1086767209017 -375.692133554061</t>
  </si>
  <si>
    <t>-637.29159001698 42.4731644670019 -459.031536784662</t>
  </si>
  <si>
    <t>-649.965325369951 42.0066303806368 -581.032018491547</t>
  </si>
  <si>
    <t>-639.17079872081 42.701445795904 -658.64123934748</t>
  </si>
  <si>
    <t>-644.88135619718 73.5688016283573 -527.569720391864</t>
  </si>
  <si>
    <t>-622.136796351135 226.20139989975 -504.713804250434</t>
  </si>
  <si>
    <t>-516.330248253486 229.162261173028 -243.228054487038</t>
  </si>
  <si>
    <t>-284.608516662747 233.454932919803 -258.562104656623</t>
  </si>
  <si>
    <t>-643.927098722315 10.853766224739 -527.428873963481</t>
  </si>
  <si>
    <t>-588.934776281722 140.565662014579 -95.3129165817487</t>
  </si>
  <si>
    <t>-618.894569428363 145.752923725313 319.148329719972</t>
  </si>
  <si>
    <t>-670.633153131529 177.684824380395 778.222012086692</t>
  </si>
  <si>
    <t>-520.794252751567 179.356239419561 836.782529739017</t>
  </si>
  <si>
    <t>-590.475396225002 -60.7127901831598 323.63982748126</t>
  </si>
  <si>
    <t>-651.505380088847 -99.4539587581244 780.974690853361</t>
  </si>
  <si>
    <t>-497.955909978872 -116.066295178321 826.034771252437</t>
  </si>
  <si>
    <t>9763-20170724T115526.959888500.bin</t>
  </si>
  <si>
    <t>-584.16328024007 49.5396779813104 -91.6781858066475</t>
  </si>
  <si>
    <t>-604.068884552528 46.215718288697 -200.53690374759</t>
  </si>
  <si>
    <t>-616.800835386062 44.6275516403869 -292.521780987122</t>
  </si>
  <si>
    <t>-627.629861588579 43.6306643007065 -375.707581109896</t>
  </si>
  <si>
    <t>-637.217076818212 43.0824291881199 -459.049624861687</t>
  </si>
  <si>
    <t>-649.867421385918 42.7655259576929 -581.05298836467</t>
  </si>
  <si>
    <t>-639.105769702205 43.5678448317028 -658.665761964064</t>
  </si>
  <si>
    <t>-644.797784689989 74.2621333887273 -527.550590554955</t>
  </si>
  <si>
    <t>-622.036664650342 226.860023317076 -504.515654725006</t>
  </si>
  <si>
    <t>-515.185505208372 229.857767919887 -243.45547621553</t>
  </si>
  <si>
    <t>-283.456896283139 233.283484820252 -258.903490415998</t>
  </si>
  <si>
    <t>-643.835307576599 11.5470711465291 -527.487371359523</t>
  </si>
  <si>
    <t>-588.996329037667 140.948628225422 -95.3065527170638</t>
  </si>
  <si>
    <t>-619.020029298006 146.020160377376 319.15150464307</t>
  </si>
  <si>
    <t>-670.6423674289 177.718047222131 778.242339629193</t>
  </si>
  <si>
    <t>-520.796499225633 179.478639465153 836.782441802486</t>
  </si>
  <si>
    <t>-590.464319758662 -60.4617500428585 323.606920868312</t>
  </si>
  <si>
    <t>-651.538256767268 -99.4748960206261 780.913847471596</t>
  </si>
  <si>
    <t>-497.953936515764 -115.941621226817 825.90864521057</t>
  </si>
  <si>
    <t>9763-20170724T115527.029117500.bin</t>
  </si>
  <si>
    <t>-584.106797967263 50.2684398794261 -91.6903748904123</t>
  </si>
  <si>
    <t>-603.844979009086 46.9522112638406 -200.579812341995</t>
  </si>
  <si>
    <t>-616.489512030874 45.4563359244792 -292.57830552965</t>
  </si>
  <si>
    <t>-627.26057205823 44.5771511530529 -375.772914310551</t>
  </si>
  <si>
    <t>-636.810559994753 44.1808765520207 -459.120212929721</t>
  </si>
  <si>
    <t>-649.429056190753 44.1236573795782 -581.127118957169</t>
  </si>
  <si>
    <t>-638.731599598719 45.1400394102436 -658.746296247179</t>
  </si>
  <si>
    <t>-644.361109957882 75.5064385770891 -527.557860401826</t>
  </si>
  <si>
    <t>-621.603056900128 228.054759320002 -504.168503761485</t>
  </si>
  <si>
    <t>-512.755576480877 230.770087298405 -243.931154049139</t>
  </si>
  <si>
    <t>-281.084502350047 233.235254137047 -260.392492909287</t>
  </si>
  <si>
    <t>-643.423206037753 12.7911587179799 -527.625366353798</t>
  </si>
  <si>
    <t>-588.88160039608 141.661778803696 -95.2990753542908</t>
  </si>
  <si>
    <t>-619.208788310208 146.556394147399 319.138961734397</t>
  </si>
  <si>
    <t>-670.657991586657 177.808622189222 778.279253142219</t>
  </si>
  <si>
    <t>-520.79114011461 179.544241967396 836.766228027041</t>
  </si>
  <si>
    <t>-590.57775877831 -60.096666095503 323.555909907537</t>
  </si>
  <si>
    <t>-651.604094514707 -99.5196308945699 780.819090430308</t>
  </si>
  <si>
    <t>-498.003283633066 -116.151414354415 825.69667985101</t>
  </si>
  <si>
    <t>9763-20170724T115527.060199300.bin</t>
  </si>
  <si>
    <t>-583.970964475007 50.6175148821198 -91.6979615159189</t>
  </si>
  <si>
    <t>-603.615498658977 47.3004444323324 -200.604396050092</t>
  </si>
  <si>
    <t>-616.208881006616 45.8434648957161 -292.610391166557</t>
  </si>
  <si>
    <t>-626.944762809358 45.0157373938137 -375.810173332709</t>
  </si>
  <si>
    <t>-636.470478002971 44.6873297761153 -459.160465609022</t>
  </si>
  <si>
    <t>-649.065419960832 44.746976587656 -581.169948005872</t>
  </si>
  <si>
    <t>-638.380358798534 45.8659534099636 -658.789364016586</t>
  </si>
  <si>
    <t>-643.998256057318 76.0785729137967 -527.570455643748</t>
  </si>
  <si>
    <t>-621.328885315571 228.625740271404 -504.06935301659</t>
  </si>
  <si>
    <t>-511.537479925226 231.218446017833 -244.227681111059</t>
  </si>
  <si>
    <t>-279.886219359191 233.541118719397 -260.985659053327</t>
  </si>
  <si>
    <t>-643.079498146763 13.3629815916966 -527.695931939497</t>
  </si>
  <si>
    <t>-588.666860052751 142.106769387096 -95.3248951661111</t>
  </si>
  <si>
    <t>-619.094224002026 146.831206424313 319.107723365196</t>
  </si>
  <si>
    <t>-670.655558910992 177.856618871476 778.270245566373</t>
  </si>
  <si>
    <t>-520.791175557703 179.634023060397 836.762374701827</t>
  </si>
  <si>
    <t>-590.616902241772 -60.0202013127837 323.533051851077</t>
  </si>
  <si>
    <t>-651.63861584682 -99.5073868194986 780.797692088482</t>
  </si>
  <si>
    <t>-498.018859798066 -116.165305999785 825.600673587473</t>
  </si>
  <si>
    <t>9763-20170724T115527.123874200.bin</t>
  </si>
  <si>
    <t>-583.59087412815 51.0886406646223 -91.6858453236993</t>
  </si>
  <si>
    <t>-603.109633406303 47.7950352593934 -200.615452570877</t>
  </si>
  <si>
    <t>-615.628146194989 46.4287642016161 -292.6332425353</t>
  </si>
  <si>
    <t>-626.308599278124 45.713531509447 -375.841006655929</t>
  </si>
  <si>
    <t>-635.791050954967 45.5272732911546 -459.196769571667</t>
  </si>
  <si>
    <t>-648.33585943208 45.8279251394363 -581.210954873166</t>
  </si>
  <si>
    <t>-637.621995839705 47.1328384005044 -658.823576133611</t>
  </si>
  <si>
    <t>-643.253111457494 77.0541070195009 -527.551641969824</t>
  </si>
  <si>
    <t>-620.426984828788 229.535226265921 -503.773509917312</t>
  </si>
  <si>
    <t>-509.099863350288 231.985534062379 -244.584743145934</t>
  </si>
  <si>
    <t>-277.429421755392 233.87133645977 -261.130760897611</t>
  </si>
  <si>
    <t>-642.409477923658 14.3379424288305 -527.792872781973</t>
  </si>
  <si>
    <t>-587.988747414974 142.836868516526 -95.3158304318473</t>
  </si>
  <si>
    <t>-618.649926332477 147.209343155633 319.103493786986</t>
  </si>
  <si>
    <t>-670.664293742563 177.900746372363 778.241952227371</t>
  </si>
  <si>
    <t>-520.81313810404 179.724314695015 836.766607879099</t>
  </si>
  <si>
    <t>-590.543827164965 -59.9885822714432 323.531620344273</t>
  </si>
  <si>
    <t>-651.719805803828 -99.5947746981694 780.796400613181</t>
  </si>
  <si>
    <t>-498.162392862422 -117.20001680485 825.450597715888</t>
  </si>
  <si>
    <t>9763-20170724T115527.162478700.bin</t>
  </si>
  <si>
    <t>-583.32282454627 51.2802252252895 -91.6692211709626</t>
  </si>
  <si>
    <t>-602.757702766764 48.002717675515 -200.61437053017</t>
  </si>
  <si>
    <t>-615.210010795966 46.6777103200368 -292.641590248841</t>
  </si>
  <si>
    <t>-625.832479155172 46.0114378444764 -375.85734079145</t>
  </si>
  <si>
    <t>-635.258608146744 45.885378954441 -459.219595888692</t>
  </si>
  <si>
    <t>-647.722798916835 46.2867645506767 -581.24174529105</t>
  </si>
  <si>
    <t>-636.953413538647 47.6615590284093 -658.845550096653</t>
  </si>
  <si>
    <t>-642.653724020702 77.4690170487361 -527.555468522321</t>
  </si>
  <si>
    <t>-619.674941223654 229.91399240955 -503.667793281323</t>
  </si>
  <si>
    <t>-507.783473189785 232.489964939198 -244.723328371266</t>
  </si>
  <si>
    <t>-276.099275536033 233.952107983237 -261.119098183003</t>
  </si>
  <si>
    <t>-641.853494090817 14.7523162285067 -527.843553353399</t>
  </si>
  <si>
    <t>-587.619128994613 143.140922981597 -95.3009191909167</t>
  </si>
  <si>
    <t>-618.431230804758 147.357920902909 319.108841550538</t>
  </si>
  <si>
    <t>-670.669181047689 177.896107130599 778.220846916908</t>
  </si>
  <si>
    <t>-520.827492710355 179.743528609973 836.768895034772</t>
  </si>
  <si>
    <t>-590.432006015724 -59.978181219089 323.545419753999</t>
  </si>
  <si>
    <t>-651.74107664845 -99.572985614097 780.803079914702</t>
  </si>
  <si>
    <t>-498.15030623838 -117.049586453969 825.393022058528</t>
  </si>
  <si>
    <t>9763-20170724T115527.227686400.bin</t>
  </si>
  <si>
    <t>-582.625972928648 51.5900593357287 -91.6412047685068</t>
  </si>
  <si>
    <t>-601.887075804723 48.3434573753616 -200.618166789402</t>
  </si>
  <si>
    <t>-614.265355250884 47.0903305849788 -292.656447977036</t>
  </si>
  <si>
    <t>-624.849944650925 46.5085860138745 -375.877540515428</t>
  </si>
  <si>
    <t>-634.266958493504 46.4865116507958 -459.240942073955</t>
  </si>
  <si>
    <t>-646.74940200016 47.0609541841675 -581.260569324002</t>
  </si>
  <si>
    <t>-635.898868880115 48.5311975095387 -658.851334756944</t>
  </si>
  <si>
    <t>-641.628851659697 78.1674807839706 -527.535388990122</t>
  </si>
  <si>
    <t>-618.60347041333 230.577784731528 -503.516784319413</t>
  </si>
  <si>
    <t>-505.176712957799 233.096788811772 -245.240368541235</t>
  </si>
  <si>
    <t>-273.471874746283 234.032729228511 -261.380628950047</t>
  </si>
  <si>
    <t>-640.915609814891 15.450235789664 -527.903504145564</t>
  </si>
  <si>
    <t>-586.741994823478 143.589896360224 -95.2753292249843</t>
  </si>
  <si>
    <t>-617.983960028816 147.518202892479 319.105061334104</t>
  </si>
  <si>
    <t>-670.671664441424 177.918268607889 778.185181599565</t>
  </si>
  <si>
    <t>-520.852888944056 179.895826035891 836.787660045916</t>
  </si>
  <si>
    <t>-590.045982903244 -60.0157691377426 323.582943029158</t>
  </si>
  <si>
    <t>-651.729296839078 -99.5998687947488 780.8294331631</t>
  </si>
  <si>
    <t>-498.123857034721 -116.997303621027 825.399798015589</t>
  </si>
  <si>
    <t>9763-20170724T115527.259774200.bin</t>
  </si>
  <si>
    <t>-582.326896484419 51.760068468554 -91.6008851073935</t>
  </si>
  <si>
    <t>-601.527683531456 48.5423906017718 -200.589274585413</t>
  </si>
  <si>
    <t>-613.892186716138 47.3363048840895 -292.630040794193</t>
  </si>
  <si>
    <t>-624.479112177635 46.8066931212843 -375.851224751198</t>
  </si>
  <si>
    <t>-633.913227083212 46.8462709513581 -459.212723655553</t>
  </si>
  <si>
    <t>-646.436815030798 47.521393425674 -581.227628521808</t>
  </si>
  <si>
    <t>-635.539889879019 49.0411187949676 -658.810837574589</t>
  </si>
  <si>
    <t>-641.284150637875 78.5838265693005 -527.479890399582</t>
  </si>
  <si>
    <t>-618.244542335413 230.978067109346 -503.351916395858</t>
  </si>
  <si>
    <t>-503.938630700836 233.378964238215 -245.462427617915</t>
  </si>
  <si>
    <t>-272.219946297528 234.015679686391 -261.418093519368</t>
  </si>
  <si>
    <t>-640.598983532504 15.8665336543802 -527.897239840542</t>
  </si>
  <si>
    <t>-586.406293542409 143.825471261858 -95.243326992995</t>
  </si>
  <si>
    <t>-617.806039601817 147.614167999134 319.12643601761</t>
  </si>
  <si>
    <t>-670.668558295893 177.955870931613 778.17593842456</t>
  </si>
  <si>
    <t>-520.858699972161 179.906314868552 836.801972873677</t>
  </si>
  <si>
    <t>-589.925243363737 -59.9966799083456 323.600006326598</t>
  </si>
  <si>
    <t>-651.719753339893 -99.6153186683416 780.839656072882</t>
  </si>
  <si>
    <t>-498.114154141994 -117.030245577175 825.402714417774</t>
  </si>
  <si>
    <t>9763-20170724T115527.328978500.bin</t>
  </si>
  <si>
    <t>-581.816996729102 52.0483561000053 -91.5558523821414</t>
  </si>
  <si>
    <t>-600.944950429697 48.8607977126348 -200.557907519167</t>
  </si>
  <si>
    <t>-613.270550617979 47.7516306540674 -292.605209259888</t>
  </si>
  <si>
    <t>-623.830982431452 47.338990270579 -375.830296681081</t>
  </si>
  <si>
    <t>-633.247011037259 47.5247051602064 -459.193673651439</t>
  </si>
  <si>
    <t>-645.753267279853 48.4453214289447 -581.208701573892</t>
  </si>
  <si>
    <t>-634.736205542545 50.1029615385762 -658.772228901142</t>
  </si>
  <si>
    <t>-640.5825660154 79.3998582028134 -527.400434941191</t>
  </si>
  <si>
    <t>-617.558677429326 231.759674191238 -503.080835207948</t>
  </si>
  <si>
    <t>-501.767631232659 234.034299932591 -245.853629747252</t>
  </si>
  <si>
    <t>-270.041267048497 234.328321554328 -261.707729500651</t>
  </si>
  <si>
    <t>-639.948669976395 16.6829258656473 -527.938671530125</t>
  </si>
  <si>
    <t>-585.759876167299 144.218955970908 -95.1858392765317</t>
  </si>
  <si>
    <t>-617.438569165474 147.793594511307 319.164624648819</t>
  </si>
  <si>
    <t>-670.658896111846 178.036024443951 778.153255099015</t>
  </si>
  <si>
    <t>-520.861155890383 179.857047340362 836.814524994146</t>
  </si>
  <si>
    <t>-589.721809662182 -59.994242162735 323.620145827298</t>
  </si>
  <si>
    <t>-651.699388537488 -99.6267035792273 780.842521298302</t>
  </si>
  <si>
    <t>-498.114686932033 -117.237732671492 825.400566654975</t>
  </si>
  <si>
    <t>9763-20170724T115527.357053200.bin</t>
  </si>
  <si>
    <t>-581.605352925003 52.1176923031794 -91.5490568400057</t>
  </si>
  <si>
    <t>-600.676030334536 48.9420323748247 -200.561589957826</t>
  </si>
  <si>
    <t>-612.953670937862 47.8779520487494 -292.615577988928</t>
  </si>
  <si>
    <t>-623.470711793503 47.5208141616122 -375.846591065005</t>
  </si>
  <si>
    <t>-632.843235243294 47.7761759921711 -459.214654622633</t>
  </si>
  <si>
    <t>-645.285672055308 48.8144034676352 -581.235394608831</t>
  </si>
  <si>
    <t>-634.191824665705 50.5455886400189 -658.786295051942</t>
  </si>
  <si>
    <t>-640.136391509527 79.7171507730777 -527.395302985232</t>
  </si>
  <si>
    <t>-617.168948522028 232.079354908878 -502.9621156236</t>
  </si>
  <si>
    <t>-500.590421932425 234.285793318541 -246.090284661456</t>
  </si>
  <si>
    <t>-268.847071240656 234.589379922811 -261.693273918116</t>
  </si>
  <si>
    <t>-639.515629503825 17.0006551102413 -527.992226979607</t>
  </si>
  <si>
    <t>-585.491770808768 144.282270744906 -95.1734165939412</t>
  </si>
  <si>
    <t>-617.308715392182 147.798019606518 319.166882445391</t>
  </si>
  <si>
    <t>-670.692356589758 177.931195429789 778.150591796554</t>
  </si>
  <si>
    <t>-520.900741153073 180.043045743966 836.817780171855</t>
  </si>
  <si>
    <t>-589.641073714329 -60.0065944170601 323.620375335087</t>
  </si>
  <si>
    <t>-651.666682465768 -99.649828566826 780.846860790713</t>
  </si>
  <si>
    <t>-498.117678894751 -117.489767861815 825.436838501695</t>
  </si>
  <si>
    <t>9763-20170724T115527.426297700.bin</t>
  </si>
  <si>
    <t>-581.122487021779 52.2990864037783 -91.496865633973</t>
  </si>
  <si>
    <t>-600.105197369045 49.1360224646467 -200.52505924125</t>
  </si>
  <si>
    <t>-612.338275656593 48.1420904980625 -292.585982300997</t>
  </si>
  <si>
    <t>-622.826655624573 47.8714881515239 -375.820842469836</t>
  </si>
  <si>
    <t>-632.181788377997 48.2370411013389 -459.190370992324</t>
  </si>
  <si>
    <t>-644.610901966073 49.4623687893416 -581.210645901623</t>
  </si>
  <si>
    <t>-633.37639063694 51.340321228294 -658.737910759141</t>
  </si>
  <si>
    <t>-639.455868967674 80.2825203029286 -527.323898452216</t>
  </si>
  <si>
    <t>-616.52853759145 232.609979017672 -502.680875490125</t>
  </si>
  <si>
    <t>-498.344642161561 234.687345145869 -246.542538209065</t>
  </si>
  <si>
    <t>-266.540168323289 234.660448572688 -261.212484802756</t>
  </si>
  <si>
    <t>-638.858413890257 17.5667207819695 -528.014471074983</t>
  </si>
  <si>
    <t>-585.014296963251 144.487745620625 -95.122663380729</t>
  </si>
  <si>
    <t>-617.109692838592 147.806591481381 319.197839367474</t>
  </si>
  <si>
    <t>-670.719814406138 177.905143569405 778.138861841408</t>
  </si>
  <si>
    <t>-520.936565566979 180.012313945526 836.827557881929</t>
  </si>
  <si>
    <t>-589.439504301569 -60.0157792344901 323.645689866829</t>
  </si>
  <si>
    <t>-651.640071146367 -99.6872052912081 780.854731694621</t>
  </si>
  <si>
    <t>-498.072313955982 -117.387952109368 825.435539776328</t>
  </si>
  <si>
    <t>9763-20170724T115527.458873200.bin</t>
  </si>
  <si>
    <t>-580.900973089321 52.403637679221 -91.492252105422</t>
  </si>
  <si>
    <t>-599.858546913047 49.2379722839289 -200.524803791439</t>
  </si>
  <si>
    <t>-612.097206052247 48.2760125241055 -292.585212724046</t>
  </si>
  <si>
    <t>-622.601050365774 48.0479803002211 -375.818372500048</t>
  </si>
  <si>
    <t>-631.981980918958 48.4698966127507 -459.184832283867</t>
  </si>
  <si>
    <t>-644.460043628499 49.7922683623376 -581.199045885394</t>
  </si>
  <si>
    <t>-633.178040769882 51.7417029422002 -658.717619316585</t>
  </si>
  <si>
    <t>-639.279198934769 80.5696618582747 -527.290163934462</t>
  </si>
  <si>
    <t>-616.363246247353 232.881778414723 -502.518200801153</t>
  </si>
  <si>
    <t>-497.259164654907 234.746749127029 -246.804776098684</t>
  </si>
  <si>
    <t>-265.436365578377 234.498613933073 -261.180881476941</t>
  </si>
  <si>
    <t>-638.690319235353 17.8544210998559 -528.030178284586</t>
  </si>
  <si>
    <t>-584.823932351043 144.615911973232 -95.1133837544585</t>
  </si>
  <si>
    <t>-617.028554118907 147.852487130376 319.19932082714</t>
  </si>
  <si>
    <t>-670.713592236905 177.962752734212 778.127158111029</t>
  </si>
  <si>
    <t>-520.93524819282 179.864480579076 836.835439128438</t>
  </si>
  <si>
    <t>-589.341151480945 -60.0173081900773 323.641557413814</t>
  </si>
  <si>
    <t>-651.632359621481 -99.6964881910524 780.847289254453</t>
  </si>
  <si>
    <t>-498.074831891682 -117.51108579766 825.418023289869</t>
  </si>
  <si>
    <t>9763-20170724T115527.530065500.bin</t>
  </si>
  <si>
    <t>-580.61573961149 52.4223866088171 -91.4955289747741</t>
  </si>
  <si>
    <t>-599.574842677522 49.2494188783573 -200.527665687432</t>
  </si>
  <si>
    <t>-611.839012850674 48.3479321289869 -292.5852384084</t>
  </si>
  <si>
    <t>-622.375251196939 48.200524439832 -375.814469414132</t>
  </si>
  <si>
    <t>-631.797676424125 48.7293571049736 -459.175613733755</t>
  </si>
  <si>
    <t>-644.3462495509 50.2370058492058 -581.18040151769</t>
  </si>
  <si>
    <t>-632.982708323955 52.311517018343 -658.683862337534</t>
  </si>
  <si>
    <t>-639.148034448682 80.93238940727 -527.22662799585</t>
  </si>
  <si>
    <t>-616.381872809288 233.227692615211 -502.249620689897</t>
  </si>
  <si>
    <t>-495.366554842221 234.986560372208 -247.434519886687</t>
  </si>
  <si>
    <t>-263.532058614006 234.573238320032 -261.616520990136</t>
  </si>
  <si>
    <t>-638.532030920855 18.2185963863501 -528.064881664719</t>
  </si>
  <si>
    <t>-584.606828234389 144.6698036688 -95.1162375579762</t>
  </si>
  <si>
    <t>-616.92249029196 147.810248515935 319.188520784892</t>
  </si>
  <si>
    <t>-670.730874616181 177.949584664264 778.107175210985</t>
  </si>
  <si>
    <t>-520.964669932208 180.027925856459 836.840321549464</t>
  </si>
  <si>
    <t>-589.133959171038 -60.1415488828584 323.624765931078</t>
  </si>
  <si>
    <t>-651.586183523647 -99.7144752529282 780.835332363757</t>
  </si>
  <si>
    <t>-498.038335110919 -117.549280586136 825.431322710966</t>
  </si>
  <si>
    <t>9763-20170724T115527.563156500.bin</t>
  </si>
  <si>
    <t>-580.536784119264 52.4540843498162 -91.492402813897</t>
  </si>
  <si>
    <t>-599.505761330514 49.2774762236013 -200.522578364881</t>
  </si>
  <si>
    <t>-611.773284648449 48.4063946487252 -292.580165270229</t>
  </si>
  <si>
    <t>-622.310103012211 48.2997806980898 -375.80939442456</t>
  </si>
  <si>
    <t>-631.730690186325 48.8823309584172 -459.170203799048</t>
  </si>
  <si>
    <t>-644.273560977034 50.4829294756983 -581.174527597861</t>
  </si>
  <si>
    <t>-632.873166751459 52.6191490722213 -658.670763736551</t>
  </si>
  <si>
    <t>-639.071835561713 81.1371985500734 -527.197758250075</t>
  </si>
  <si>
    <t>-616.372669738344 233.429072645013 -502.114960971648</t>
  </si>
  <si>
    <t>-494.35894158676 235.152269137666 -247.776049893971</t>
  </si>
  <si>
    <t>-262.522636975287 234.800260391459 -261.929920958203</t>
  </si>
  <si>
    <t>-638.467930888788 18.423832420367 -528.082517141362</t>
  </si>
  <si>
    <t>-584.554007511661 144.733851374443 -95.1150039065998</t>
  </si>
  <si>
    <t>-616.87548188659 147.831437674169 319.189659811948</t>
  </si>
  <si>
    <t>-670.724650038051 178.016107479069 778.099148319021</t>
  </si>
  <si>
    <t>-520.96204350003 179.880487877978 836.848708671649</t>
  </si>
  <si>
    <t>-589.042526032417 -60.142212941385 323.627085393958</t>
  </si>
  <si>
    <t>-651.568441723114 -99.7031147487858 780.829166023849</t>
  </si>
  <si>
    <t>-498.007480627453 -117.424630985591 825.425216163396</t>
  </si>
  <si>
    <t>9763-20170724T115527.628199900.bin</t>
  </si>
  <si>
    <t>-580.480201571448 52.4380413431941 -91.4919723140174</t>
  </si>
  <si>
    <t>-599.43577383484 49.2637612646888 -200.524566907835</t>
  </si>
  <si>
    <t>-611.691604303454 48.464800611092 -292.584200839886</t>
  </si>
  <si>
    <t>-622.217261373163 48.450729289056 -375.814979536702</t>
  </si>
  <si>
    <t>-631.62551134376 49.1535252552992 -459.17634529985</t>
  </si>
  <si>
    <t>-644.14887284011 50.959661432096 -581.179770646702</t>
  </si>
  <si>
    <t>-632.700166040975 53.2521557842385 -658.664526776739</t>
  </si>
  <si>
    <t>-638.936839040241 81.5231237896298 -527.152394424786</t>
  </si>
  <si>
    <t>-616.191889603576 233.770387097468 -501.850426167791</t>
  </si>
  <si>
    <t>-492.171514942334 235.652411239864 -248.485007316232</t>
  </si>
  <si>
    <t>-260.338395043667 235.409856936486 -262.693366115582</t>
  </si>
  <si>
    <t>-638.370619613331 18.8111008819712 -528.138990189357</t>
  </si>
  <si>
    <t>-584.524326812482 144.696078775673 -95.0961197411187</t>
  </si>
  <si>
    <t>-616.867701359377 147.859390807267 319.206299630312</t>
  </si>
  <si>
    <t>-670.776605898682 177.957104907527 778.114866646621</t>
  </si>
  <si>
    <t>-521.007301016036 179.969647166503 836.842432082647</t>
  </si>
  <si>
    <t>-588.923886919376 -60.1942475337305 323.624393400288</t>
  </si>
  <si>
    <t>-651.513918502732 -99.7227409455845 780.807923709469</t>
  </si>
  <si>
    <t>-497.954286831462 -117.345961714826 825.4472973559</t>
  </si>
  <si>
    <t>9763-20170724T115527.661797600.bin</t>
  </si>
  <si>
    <t>-580.479575848602 52.4334176413788 -91.487788234742</t>
  </si>
  <si>
    <t>-599.435852609806 49.2610022841764 -200.52034264304</t>
  </si>
  <si>
    <t>-611.693357191167 48.4845658912393 -292.579979219684</t>
  </si>
  <si>
    <t>-622.220641679465 48.4993837397462 -375.810428849552</t>
  </si>
  <si>
    <t>-631.630475940211 49.2392119006386 -459.171299298467</t>
  </si>
  <si>
    <t>-644.156070226405 51.1079344953862 -581.173608694255</t>
  </si>
  <si>
    <t>-632.700781264787 53.4639133508074 -658.655501734044</t>
  </si>
  <si>
    <t>-638.922608511052 81.6438943918981 -527.132747712431</t>
  </si>
  <si>
    <t>-616.142743664552 233.877881590995 -501.751402365855</t>
  </si>
  <si>
    <t>-491.159897263804 235.890252637178 -248.860571809395</t>
  </si>
  <si>
    <t>-259.328262114262 235.598800626329 -263.092487802322</t>
  </si>
  <si>
    <t>-638.397311033836 18.9318896043271 -528.147481845502</t>
  </si>
  <si>
    <t>-584.539173309307 144.70740350945 -95.0905014584677</t>
  </si>
  <si>
    <t>-616.863889401969 147.884739984887 319.21324501476</t>
  </si>
  <si>
    <t>-670.781481813632 178.013375627108 778.11334260527</t>
  </si>
  <si>
    <t>-521.007126454462 179.913578826856 836.831840072081</t>
  </si>
  <si>
    <t>-588.918676793271 -60.2414756852736 323.61778905705</t>
  </si>
  <si>
    <t>-651.497221631936 -99.743622040123 780.806864947407</t>
  </si>
  <si>
    <t>-497.956394796572 -117.511944489525 825.453492462373</t>
  </si>
  <si>
    <t>9763-20170724T115527.727469800.bin</t>
  </si>
  <si>
    <t>-580.540164164146 52.4233739974497 -91.5143828760482</t>
  </si>
  <si>
    <t>-599.498918744306 49.2813464623596 -200.547348174647</t>
  </si>
  <si>
    <t>-611.770059081361 48.5482027849864 -292.605610256318</t>
  </si>
  <si>
    <t>-622.314026225672 48.6100398831738 -375.83393681093</t>
  </si>
  <si>
    <t>-631.744726598527 49.403876679565 -459.191975543636</t>
  </si>
  <si>
    <t>-644.305210058429 51.3592172071851 -581.18931566438</t>
  </si>
  <si>
    <t>-632.871038623693 53.7914393693122 -658.671965529237</t>
  </si>
  <si>
    <t>-638.998550048143 81.8573927017478 -527.134206461105</t>
  </si>
  <si>
    <t>-615.992345076432 234.039155008643 -501.671035915444</t>
  </si>
  <si>
    <t>-489.463008050612 236.05367412199 -249.550277603527</t>
  </si>
  <si>
    <t>-257.631088819814 235.543992584582 -263.771377906804</t>
  </si>
  <si>
    <t>-638.588985747573 19.1451619985 -528.181667603973</t>
  </si>
  <si>
    <t>-584.506127848271 144.761158953488 -95.0989553144751</t>
  </si>
  <si>
    <t>-616.924117970018 147.822915051968 319.19840947811</t>
  </si>
  <si>
    <t>-670.800749571092 178.060062544213 778.109600155526</t>
  </si>
  <si>
    <t>-521.024617964453 179.981334169225 836.82282107267</t>
  </si>
  <si>
    <t>-589.034958494234 -60.2862709634944 323.584092170777</t>
  </si>
  <si>
    <t>-651.487499400416 -99.7781866696471 780.796219996628</t>
  </si>
  <si>
    <t>-497.986447760866 -117.949135297084 825.417564727167</t>
  </si>
  <si>
    <t>9763-20170724T115527.761564700.bin</t>
  </si>
  <si>
    <t>-580.602894717695 52.3961235940631 -91.5229496109998</t>
  </si>
  <si>
    <t>-599.567727836584 49.2723363167879 -200.55535361778</t>
  </si>
  <si>
    <t>-611.86363009611 48.560488635773 -292.610460172107</t>
  </si>
  <si>
    <t>-622.437765501322 48.6446028498547 -375.834977515172</t>
  </si>
  <si>
    <t>-631.906426214011 49.4634219742475 -459.188512077343</t>
  </si>
  <si>
    <t>-644.530963020612 51.4581612239858 -581.178588948355</t>
  </si>
  <si>
    <t>-633.127911355389 53.9107623452928 -658.665169609575</t>
  </si>
  <si>
    <t>-639.171050410839 81.938995463574 -527.119052488943</t>
  </si>
  <si>
    <t>-616.049587606096 234.098056540417 -501.620012817275</t>
  </si>
  <si>
    <t>-488.803495281004 236.031207877807 -249.859655524364</t>
  </si>
  <si>
    <t>-256.962653419667 235.519289384983 -263.933662519772</t>
  </si>
  <si>
    <t>-638.811832557712 19.2267011169195 -528.181736029611</t>
  </si>
  <si>
    <t>-584.512298870429 144.747405692376 -95.1000533818831</t>
  </si>
  <si>
    <t>-616.955347634516 147.776890517018 319.195553762264</t>
  </si>
  <si>
    <t>-670.826367976465 178.02245450583 778.110756697508</t>
  </si>
  <si>
    <t>-521.051334288121 180.034201840575 836.823765983742</t>
  </si>
  <si>
    <t>-589.096277226539 -60.3337454225004 323.566195324376</t>
  </si>
  <si>
    <t>-651.476483802686 -99.7953823252617 780.794345787617</t>
  </si>
  <si>
    <t>-497.965290603515 -117.913756662222 825.402311846822</t>
  </si>
  <si>
    <t>9763-20170724T115527.825736700.bin</t>
  </si>
  <si>
    <t>-580.747273390198 52.4923409240598 -91.5337545577332</t>
  </si>
  <si>
    <t>-599.746899731453 49.3818152396582 -200.560562573226</t>
  </si>
  <si>
    <t>-612.110444439116 48.6885823353393 -292.606673453352</t>
  </si>
  <si>
    <t>-622.761008263783 48.7931698614423 -375.821322583759</t>
  </si>
  <si>
    <t>-632.321260878157 49.6354325246296 -459.164287231101</t>
  </si>
  <si>
    <t>-645.096162944847 51.6679719352469 -581.138058999081</t>
  </si>
  <si>
    <t>-633.775320673572 54.1476269012112 -658.635745250722</t>
  </si>
  <si>
    <t>-639.618990356611 82.1325873318165 -527.081002144535</t>
  </si>
  <si>
    <t>-616.337179245622 234.265236633196 -501.588875568836</t>
  </si>
  <si>
    <t>-487.445353656513 235.852380255617 -250.664790669396</t>
  </si>
  <si>
    <t>-255.569615205667 235.426963595894 -264.155170451099</t>
  </si>
  <si>
    <t>-639.362253878765 19.4197743570639 -528.152921092867</t>
  </si>
  <si>
    <t>-584.596277927038 144.912862337162 -95.1230896251793</t>
  </si>
  <si>
    <t>-616.926227059905 147.837745529896 319.182176489024</t>
  </si>
  <si>
    <t>-670.841443499357 178.076843998844 778.096744868352</t>
  </si>
  <si>
    <t>-521.070397741501 179.992817121072 836.823199230589</t>
  </si>
  <si>
    <t>-589.152188697586 -60.2810450007175 323.556293805942</t>
  </si>
  <si>
    <t>-651.4425296209 -99.8586932066676 780.796193985486</t>
  </si>
  <si>
    <t>-497.986767470866 -118.405138776498 825.418895274851</t>
  </si>
  <si>
    <t>9763-20170724T115527.864350400.bin</t>
  </si>
  <si>
    <t>-580.826789976499 52.6271993726555 -91.5382391309886</t>
  </si>
  <si>
    <t>-599.864378502031 49.5209701545677 -200.558510659509</t>
  </si>
  <si>
    <t>-612.267197634965 48.8370853635627 -292.599445423723</t>
  </si>
  <si>
    <t>-622.955897605772 48.9525841139623 -375.809240733815</t>
  </si>
  <si>
    <t>-632.556871416309 49.8079270374531 -459.147192002584</t>
  </si>
  <si>
    <t>-645.393947422509 51.861724906079 -581.114056435077</t>
  </si>
  <si>
    <t>-634.115999161976 54.3580341846123 -658.617614758262</t>
  </si>
  <si>
    <t>-639.853920548727 82.3169168201489 -527.058354911217</t>
  </si>
  <si>
    <t>-616.379605120821 234.426864537032 -501.600135840651</t>
  </si>
  <si>
    <t>-486.805658731342 236.011938909335 -251.027403104189</t>
  </si>
  <si>
    <t>-254.916034316007 235.699048147273 -264.280073855795</t>
  </si>
  <si>
    <t>-639.668443106469 19.6039915865031 -528.133890209748</t>
  </si>
  <si>
    <t>-584.633446673225 145.054698972272 -95.127880297066</t>
  </si>
  <si>
    <t>-616.939424339243 147.938073308653 319.179516415958</t>
  </si>
  <si>
    <t>-670.859294990831 178.088900545924 778.101572110705</t>
  </si>
  <si>
    <t>-521.087250792019 180.079021575243 836.822821489142</t>
  </si>
  <si>
    <t>-589.132924966469 -60.1144303322076 323.56371027727</t>
  </si>
  <si>
    <t>-651.42828202158 -99.776606032505 780.794814749516</t>
  </si>
  <si>
    <t>-497.883573737668 -117.654385912618 825.384403964858</t>
  </si>
  <si>
    <t>9763-20170724T115527.928028900.bin</t>
  </si>
  <si>
    <t>-581.107482674083 52.8411601438518 -91.5315161166582</t>
  </si>
  <si>
    <t>-600.230740530556 49.7339839107217 -200.536858364773</t>
  </si>
  <si>
    <t>-612.732543260568 49.0475522219117 -292.56437554759</t>
  </si>
  <si>
    <t>-623.521076366641 49.1611202996633 -375.761227359367</t>
  </si>
  <si>
    <t>-633.232295973987 50.0136450910077 -459.086582707738</t>
  </si>
  <si>
    <t>-646.241699719934 52.0623811330554 -581.035206076948</t>
  </si>
  <si>
    <t>-635.073110538306 54.5574298240924 -658.554461334668</t>
  </si>
  <si>
    <t>-640.564954300882 82.5201212346201 -526.994973805507</t>
  </si>
  <si>
    <t>-616.854669171207 234.608044525453 -501.64025246477</t>
  </si>
  <si>
    <t>-485.519230264857 236.441143886765 -251.988072148711</t>
  </si>
  <si>
    <t>-253.603253208078 236.593445346331 -264.774558676534</t>
  </si>
  <si>
    <t>-640.501633549714 19.8067075814338 -528.055354600044</t>
  </si>
  <si>
    <t>-584.862235889708 145.291046629726 -95.1319479321945</t>
  </si>
  <si>
    <t>-616.972049164516 148.111739091568 319.191139673094</t>
  </si>
  <si>
    <t>-670.901918037965 178.075622684007 778.116153538577</t>
  </si>
  <si>
    <t>-521.122199707573 180.059754194091 836.818134811795</t>
  </si>
  <si>
    <t>-589.195782035185 -59.9161124808854 323.57731537703</t>
  </si>
  <si>
    <t>-651.396790094289 -99.7783212541581 780.79663510945</t>
  </si>
  <si>
    <t>-497.883328218688 -117.910956157829 825.390926102598</t>
  </si>
  <si>
    <t>9763-20170724T115527.962116400.bin</t>
  </si>
  <si>
    <t>-581.316360871313 52.8743163760955 -91.5446979782507</t>
  </si>
  <si>
    <t>-600.489469310771 49.7732358850519 -200.541360626772</t>
  </si>
  <si>
    <t>-613.037188314385 49.0668269133141 -292.562509351129</t>
  </si>
  <si>
    <t>-623.868772141903 49.1529193116469 -375.753887230816</t>
  </si>
  <si>
    <t>-633.624723948909 49.9678759406765 -459.074318780428</t>
  </si>
  <si>
    <t>-646.701438795625 51.9504704906199 -581.016898393618</t>
  </si>
  <si>
    <t>-635.58212253759 54.412018229325 -658.544366043166</t>
  </si>
  <si>
    <t>-640.970553449746 82.437561334393 -526.998945588294</t>
  </si>
  <si>
    <t>-617.188724663327 234.542984432229 -501.760902028033</t>
  </si>
  <si>
    <t>-484.924769952209 236.508725300065 -252.600384511576</t>
  </si>
  <si>
    <t>-252.995279475564 237.113724724597 -265.125564059528</t>
  </si>
  <si>
    <t>-640.956440931149 19.7234746034123 -528.020080878157</t>
  </si>
  <si>
    <t>-585.058327857671 145.335679816178 -95.1423745910505</t>
  </si>
  <si>
    <t>-617.003109687108 148.154476867828 319.193503123363</t>
  </si>
  <si>
    <t>-670.930584534147 178.031870337792 778.123500007039</t>
  </si>
  <si>
    <t>-521.145438905188 180.172268133145 836.806043824725</t>
  </si>
  <si>
    <t>-589.294153475793 -59.8701429234379 323.570222551386</t>
  </si>
  <si>
    <t>-651.375005169209 -99.7914759868193 780.797271747689</t>
  </si>
  <si>
    <t>-497.859505052475 -117.880536697999 825.402202986702</t>
  </si>
  <si>
    <t>9763-20170724T115528.027064600.bin</t>
  </si>
  <si>
    <t>-581.810505062293 53.0371986053328 -91.5844342932836</t>
  </si>
  <si>
    <t>-601.086182404084 49.9461133080838 -200.563339558193</t>
  </si>
  <si>
    <t>-613.731535608625 49.1915639528117 -292.570737901819</t>
  </si>
  <si>
    <t>-624.655958616728 49.2118740883448 -375.749934990871</t>
  </si>
  <si>
    <t>-634.509333403852 49.9380227909328 -459.059784915328</t>
  </si>
  <si>
    <t>-647.733549589523 51.7651855210645 -580.988895329901</t>
  </si>
  <si>
    <t>-636.72498713664 54.1380464539088 -658.534886339519</t>
  </si>
  <si>
    <t>-641.876827582047 82.3210619450456 -527.023325436255</t>
  </si>
  <si>
    <t>-617.912001452748 234.433550253963 -502.029246725752</t>
  </si>
  <si>
    <t>-483.611332842118 236.420848661028 -253.960635983419</t>
  </si>
  <si>
    <t>-251.654815403271 238.014747051991 -265.883500873853</t>
  </si>
  <si>
    <t>-641.984966731114 19.6056524156381 -527.951453136138</t>
  </si>
  <si>
    <t>-585.514853298677 145.544207035137 -95.1652350701623</t>
  </si>
  <si>
    <t>-617.231191383912 148.320923999415 319.188429206235</t>
  </si>
  <si>
    <t>-670.963098038166 178.122542058684 778.155380980386</t>
  </si>
  <si>
    <t>-521.157324277254 179.960201091399 836.795575058072</t>
  </si>
  <si>
    <t>-589.48776752024 -59.682284520487 323.546804915117</t>
  </si>
  <si>
    <t>-651.3399826017 -99.800861720679 780.806227226998</t>
  </si>
  <si>
    <t>-497.808367975579 -117.754237677111 825.410570457847</t>
  </si>
  <si>
    <t>9763-20170724T115528.060152700.bin</t>
  </si>
  <si>
    <t>-582.139828996367 53.1166917907151 -91.5946608507768</t>
  </si>
  <si>
    <t>-601.469429829257 50.0194463318576 -200.563711918001</t>
  </si>
  <si>
    <t>-614.169144215304 49.2343396618242 -292.563455348298</t>
  </si>
  <si>
    <t>-625.146180718771 49.2166747557826 -375.735732777549</t>
  </si>
  <si>
    <t>-635.055608177111 49.894254110767 -459.039261687777</t>
  </si>
  <si>
    <t>-648.365467821236 51.6385968771567 -580.960303160784</t>
  </si>
  <si>
    <t>-637.418538399848 53.9624285392224 -658.516627936753</t>
  </si>
  <si>
    <t>-642.436952054275 82.2312540989419 -527.023431319262</t>
  </si>
  <si>
    <t>-618.337683101887 234.345906202416 -502.159583247324</t>
  </si>
  <si>
    <t>-483.018261659649 236.450252200957 -254.646376126342</t>
  </si>
  <si>
    <t>-251.048934780919 238.153143600229 -266.303062095749</t>
  </si>
  <si>
    <t>-642.613490624535 19.5150968304779 -527.901500067954</t>
  </si>
  <si>
    <t>-585.868319978864 145.620016911478 -95.1749557366484</t>
  </si>
  <si>
    <t>-617.428284382821 148.390997104718 319.190673137103</t>
  </si>
  <si>
    <t>-670.983569836805 178.174468047871 778.17860055958</t>
  </si>
  <si>
    <t>-521.163937772597 179.800094356738 836.789682489863</t>
  </si>
  <si>
    <t>-589.607848674024 -59.5659973817201 323.542969323394</t>
  </si>
  <si>
    <t>-651.334969891614 -99.7841193364038 780.806552074335</t>
  </si>
  <si>
    <t>-497.815367242845 -117.873869585729 825.397145597812</t>
  </si>
  <si>
    <t>9763-20170724T115528.127043200.bin</t>
  </si>
  <si>
    <t>-582.93260432252 53.176998295985 -91.6212748826663</t>
  </si>
  <si>
    <t>-602.382095517985 50.0660883001844 -200.568636649262</t>
  </si>
  <si>
    <t>-615.175748929752 49.2216831060011 -292.554852966062</t>
  </si>
  <si>
    <t>-626.234548549761 49.1313565431169 -375.71626831905</t>
  </si>
  <si>
    <t>-636.22277841253 49.7158375442079 -459.011227688284</t>
  </si>
  <si>
    <t>-649.644428429076 51.3013579755425 -580.922042102072</t>
  </si>
  <si>
    <t>-638.818004314567 53.5336129307025 -658.49794512153</t>
  </si>
  <si>
    <t>-643.615440665038 81.964095680162 -527.03608757364</t>
  </si>
  <si>
    <t>-619.30604138213 234.082815905555 -502.433329373856</t>
  </si>
  <si>
    <t>-481.744854338805 236.774158788756 -256.16470895221</t>
  </si>
  <si>
    <t>-249.739383760809 238.424573776545 -267.085479686841</t>
  </si>
  <si>
    <t>-643.894777261084 19.2472485463068 -527.820988673978</t>
  </si>
  <si>
    <t>-586.709212409869 145.612048171441 -95.2039031122617</t>
  </si>
  <si>
    <t>-617.962658112532 148.30449421738 319.185493709194</t>
  </si>
  <si>
    <t>-671.053948549046 178.135665351139 778.22710714585</t>
  </si>
  <si>
    <t>-521.199067794741 180.025986496503 836.740123557044</t>
  </si>
  <si>
    <t>-590.00473515188 -59.3692735243876 323.529248270955</t>
  </si>
  <si>
    <t>-651.328998589336 -99.7704675716889 780.806697421575</t>
  </si>
  <si>
    <t>-497.770837661796 -117.644089101881 825.351630564318</t>
  </si>
  <si>
    <t>9763-20170724T115528.162132800.bin</t>
  </si>
  <si>
    <t>-583.357273890609 53.2603243108745 -91.6491563734697</t>
  </si>
  <si>
    <t>-602.851638325951 50.1480312000328 -200.58856297273</t>
  </si>
  <si>
    <t>-615.677178857953 49.2752547619684 -292.56991794094</t>
  </si>
  <si>
    <t>-626.762414664366 49.1481533023373 -375.72780125552</t>
  </si>
  <si>
    <t>-636.774602286193 49.6845270634544 -459.020138171681</t>
  </si>
  <si>
    <t>-650.228692086284 51.1867426922263 -580.928518492069</t>
  </si>
  <si>
    <t>-639.450151080898 53.3676455470111 -658.512491043342</t>
  </si>
  <si>
    <t>-644.155662428161 81.8861421215188 -527.068456672601</t>
  </si>
  <si>
    <t>-619.739174143894 234.008519169451 -502.56898516233</t>
  </si>
  <si>
    <t>-481.103065818853 236.992494471501 -256.907224468504</t>
  </si>
  <si>
    <t>-249.081687639169 238.567060976615 -267.497054658623</t>
  </si>
  <si>
    <t>-644.494665656723 19.1690074119776 -527.803859562942</t>
  </si>
  <si>
    <t>-587.145029703868 145.685356561266 -95.2225978404565</t>
  </si>
  <si>
    <t>-618.226888633279 148.333747594254 319.180022696127</t>
  </si>
  <si>
    <t>-671.086826373892 178.137784216856 778.250807766728</t>
  </si>
  <si>
    <t>-521.213373769392 179.90026007945 836.720140374882</t>
  </si>
  <si>
    <t>-590.262206152893 -59.2729679647152 323.509869327715</t>
  </si>
  <si>
    <t>-651.323349837059 -99.8102176088189 780.810143139093</t>
  </si>
  <si>
    <t>-497.794934803416 -117.962446255581 825.344948824508</t>
  </si>
  <si>
    <t>9763-20170724T115528.228310200.bin</t>
  </si>
  <si>
    <t>-584.087667516005 53.5478184546282 -91.669934219173</t>
  </si>
  <si>
    <t>-603.659275191335 50.4315539670336 -200.595243040979</t>
  </si>
  <si>
    <t>-616.568201501524 49.4732788562476 -292.564144041651</t>
  </si>
  <si>
    <t>-627.736104374291 49.2364863527284 -375.710718449359</t>
  </si>
  <si>
    <t>-637.838378722572 49.6290227152251 -458.992975051539</t>
  </si>
  <si>
    <t>-651.432218540875 50.883208790448 -580.888584494273</t>
  </si>
  <si>
    <t>-640.775097082425 52.9229759330965 -658.493214940633</t>
  </si>
  <si>
    <t>-645.198923262658 81.6915712308694 -527.1092362073</t>
  </si>
  <si>
    <t>-620.365905714456 233.805406387786 -502.947157719356</t>
  </si>
  <si>
    <t>-479.887208261895 237.184450567909 -258.339441233336</t>
  </si>
  <si>
    <t>-247.827800593744 238.901569959515 -268.036048780181</t>
  </si>
  <si>
    <t>-645.735824592149 18.9741123817064 -527.694519816436</t>
  </si>
  <si>
    <t>-587.843647702739 145.93911943139 -95.244334546878</t>
  </si>
  <si>
    <t>-618.788981174732 148.442045001877 319.169345791163</t>
  </si>
  <si>
    <t>-671.138381167728 178.226653869979 778.311041569576</t>
  </si>
  <si>
    <t>-521.2222286115 179.861555446387 836.674459903697</t>
  </si>
  <si>
    <t>-590.729213292499 -59.0167886423767 323.486700536828</t>
  </si>
  <si>
    <t>-651.311321431749 -99.810239242646 780.827378542404</t>
  </si>
  <si>
    <t>-497.756270167437 -117.828361269278 825.324868559512</t>
  </si>
  <si>
    <t>9763-20170724T115528.261906200.bin</t>
  </si>
  <si>
    <t>-584.378589131768 53.6825940960134 -91.672466816972</t>
  </si>
  <si>
    <t>-604.009918194913 50.5720899705054 -200.587276767533</t>
  </si>
  <si>
    <t>-616.992695723804 49.5569040634427 -292.545243579544</t>
  </si>
  <si>
    <t>-628.236923568566 49.2445593130606 -375.681319729875</t>
  </si>
  <si>
    <t>-638.425261979248 49.5365193480111 -458.953348685322</t>
  </si>
  <si>
    <t>-652.155786292718 50.6157812983461 -580.835513227767</t>
  </si>
  <si>
    <t>-641.570201494101 52.5547437953796 -658.452410685694</t>
  </si>
  <si>
    <t>-645.805176449705 81.5008680596675 -527.113697661298</t>
  </si>
  <si>
    <t>-620.730014421268 233.602410530508 -503.173475056846</t>
  </si>
  <si>
    <t>-479.351137567144 237.206197220747 -259.088247455359</t>
  </si>
  <si>
    <t>-247.267851825135 238.977835528207 -268.185400261649</t>
  </si>
  <si>
    <t>-646.456708043366 18.7836345169105 -527.595648023</t>
  </si>
  <si>
    <t>-588.110734407999 146.058395548842 -95.2523310454612</t>
  </si>
  <si>
    <t>-619.017998226771 148.481440220718 319.164718189543</t>
  </si>
  <si>
    <t>-671.16002017388 178.272927209634 778.337586092376</t>
  </si>
  <si>
    <t>-521.225211003671 179.816450571833 836.655722969291</t>
  </si>
  <si>
    <t>-590.88093024166 -58.8683513088367 323.490821843457</t>
  </si>
  <si>
    <t>-651.306803236635 -99.8210237834514 780.833906087062</t>
  </si>
  <si>
    <t>-497.761873386714 -117.938093747404 825.326013534628</t>
  </si>
  <si>
    <t>9763-20170724T115528.324575400.bin</t>
  </si>
  <si>
    <t>-584.785089953634 53.9653459247168 -91.67048014718</t>
  </si>
  <si>
    <t>-604.588170506141 50.8640524955993 -200.554527481568</t>
  </si>
  <si>
    <t>-617.775154191926 49.7479366204234 -292.482124104381</t>
  </si>
  <si>
    <t>-629.228083454411 49.3027077809966 -375.589092180263</t>
  </si>
  <si>
    <t>-639.649773288042 49.4178384903737 -458.832766914365</t>
  </si>
  <si>
    <t>-653.748559004541 50.1903466014223 -580.67502596783</t>
  </si>
  <si>
    <t>-643.361451163917 51.9073630166056 -658.324043897622</t>
  </si>
  <si>
    <t>-647.105088944842 81.2088583550239 -527.06578978114</t>
  </si>
  <si>
    <t>-621.347441387476 233.264243875358 -503.544277255196</t>
  </si>
  <si>
    <t>-478.088149083114 237.17737728744 -260.562661577556</t>
  </si>
  <si>
    <t>-245.963983057697 238.828870196636 -268.573341136788</t>
  </si>
  <si>
    <t>-648.019192228312 18.4938144155697 -527.3576683941</t>
  </si>
  <si>
    <t>-588.368498277549 146.313950690645 -95.2611700118864</t>
  </si>
  <si>
    <t>-619.124218509277 148.655377970418 319.167604657791</t>
  </si>
  <si>
    <t>-671.202570286132 178.298514314854 778.368184100613</t>
  </si>
  <si>
    <t>-521.244700675838 179.857991000536 836.626570412389</t>
  </si>
  <si>
    <t>-591.082094654874 -58.5010749174255 323.5130157787</t>
  </si>
  <si>
    <t>-651.288352588415 -99.8540256678077 780.854417823759</t>
  </si>
  <si>
    <t>-497.730745532168 -117.918175670318 825.324305970436</t>
  </si>
  <si>
    <t>9763-20170724T115528.357663200.bin</t>
  </si>
  <si>
    <t>-584.98048719248 54.1600297204545 -91.66284590158</t>
  </si>
  <si>
    <t>-604.880764742767 51.0644672702283 -200.529280551702</t>
  </si>
  <si>
    <t>-618.191196743131 49.8985640376266 -292.43851914366</t>
  </si>
  <si>
    <t>-629.772549264483 49.3875637838235 -375.527298232682</t>
  </si>
  <si>
    <t>-640.339858171094 49.4151284023567 -458.752750689888</t>
  </si>
  <si>
    <t>-654.670396200434 50.0359845447051 -580.568792207589</t>
  </si>
  <si>
    <t>-644.40649712055 51.6263271319779 -658.236925842007</t>
  </si>
  <si>
    <t>-647.854027585937 81.1202212532896 -527.019251189589</t>
  </si>
  <si>
    <t>-621.75266173486 233.145893894818 -503.706590609546</t>
  </si>
  <si>
    <t>-477.518243344147 237.251869239788 -261.305629390129</t>
  </si>
  <si>
    <t>-245.381120218881 238.870988823202 -268.93928688527</t>
  </si>
  <si>
    <t>-648.910512385502 18.4069885093691 -527.214562985679</t>
  </si>
  <si>
    <t>-588.481607490797 146.540336305638 -95.2623166337785</t>
  </si>
  <si>
    <t>-619.105320968996 148.815660769488 319.176593582958</t>
  </si>
  <si>
    <t>-671.226848121195 178.294908926251 778.380788744487</t>
  </si>
  <si>
    <t>-521.261571851349 179.840724165766 836.62039949333</t>
  </si>
  <si>
    <t>-591.176816361933 -58.2824229734097 323.537073491122</t>
  </si>
  <si>
    <t>-651.286728936894 -99.8404202570555 780.867629241526</t>
  </si>
  <si>
    <t>-497.699544078434 -117.722770625681 825.308777862071</t>
  </si>
  <si>
    <t>9763-20170724T115528.424849800.bin</t>
  </si>
  <si>
    <t>-585.278976393557 54.5017755537301 -91.6515951318529</t>
  </si>
  <si>
    <t>-605.355068389833 51.4200978736967 -200.486200760628</t>
  </si>
  <si>
    <t>-618.918403577352 50.1605245819358 -292.35706919746</t>
  </si>
  <si>
    <t>-630.770973195408 49.5251150845843 -375.406820873654</t>
  </si>
  <si>
    <t>-641.652595610226 49.3871772196612 -458.591592114139</t>
  </si>
  <si>
    <t>-656.490529225977 49.720346859546 -580.348059280637</t>
  </si>
  <si>
    <t>-646.547748372924 51.0799971796343 -658.062386019607</t>
  </si>
  <si>
    <t>-649.32247374133 80.9286068258066 -526.916711290294</t>
  </si>
  <si>
    <t>-622.530249406402 232.898267442848 -503.964043639013</t>
  </si>
  <si>
    <t>-476.220514653384 236.916625756927 -262.808598576924</t>
  </si>
  <si>
    <t>-244.062158716829 238.697702265915 -269.727060336383</t>
  </si>
  <si>
    <t>-650.637032142241 18.2198415620906 -526.928150996783</t>
  </si>
  <si>
    <t>-588.585497469054 146.916009420204 -95.2536233647105</t>
  </si>
  <si>
    <t>-619.144011549738 149.066466649118 319.190821973305</t>
  </si>
  <si>
    <t>-671.266364483298 178.353022680878 778.402048562446</t>
  </si>
  <si>
    <t>-521.292350232641 179.724734195526 836.623493268856</t>
  </si>
  <si>
    <t>-591.362236410726 -57.9428688896539 323.576804857076</t>
  </si>
  <si>
    <t>-651.289704281931 -99.8478109357902 780.897221835719</t>
  </si>
  <si>
    <t>-497.672921465605 -117.614383493095 825.282460664879</t>
  </si>
  <si>
    <t>9763-20170724T115528.461951200.bin</t>
  </si>
  <si>
    <t>-585.427825812038 54.5282400715616 -91.6444742172753</t>
  </si>
  <si>
    <t>-605.556800183348 51.4520584260467 -200.469424399834</t>
  </si>
  <si>
    <t>-619.215996107161 50.1485698862177 -292.325485758468</t>
  </si>
  <si>
    <t>-631.175870639147 49.4553372015707 -375.359446582756</t>
  </si>
  <si>
    <t>-642.185935227439 49.2402629319429 -458.527094723729</t>
  </si>
  <si>
    <t>-657.234793216872 49.4399342216736 -580.25802657949</t>
  </si>
  <si>
    <t>-647.465799949611 50.7131517413873 -657.99581565452</t>
  </si>
  <si>
    <t>-649.911983262538 80.7053194648786 -526.88113129972</t>
  </si>
  <si>
    <t>-622.726668620038 232.621533408857 -504.11158152561</t>
  </si>
  <si>
    <t>-475.685827119974 236.796894305009 -263.404108574475</t>
  </si>
  <si>
    <t>-243.517201513972 238.474883400816 -269.995166345458</t>
  </si>
  <si>
    <t>-651.350972422083 17.9993416155248 -526.806063214173</t>
  </si>
  <si>
    <t>-588.645594401447 146.929960512884 -95.2488094769571</t>
  </si>
  <si>
    <t>-619.146583912176 149.108791515768 319.199653107404</t>
  </si>
  <si>
    <t>-671.308582811153 178.278417113614 778.414226104839</t>
  </si>
  <si>
    <t>-521.331868359037 179.85177221245 836.623639932792</t>
  </si>
  <si>
    <t>-591.402453210084 -57.9190637178449 323.590580197796</t>
  </si>
  <si>
    <t>-651.2817719164 -99.8152929350395 780.918257976548</t>
  </si>
  <si>
    <t>-497.617857501775 -117.231390577653 825.279311938946</t>
  </si>
  <si>
    <t>9763-20170724T115528.526672600.bin</t>
  </si>
  <si>
    <t>-585.80222316042 54.5112729558095 -91.6287172901345</t>
  </si>
  <si>
    <t>-606.051382531112 51.4440643507921 -200.4316652418</t>
  </si>
  <si>
    <t>-619.877480174274 50.0138694570844 -292.260963010105</t>
  </si>
  <si>
    <t>-632.015149180158 49.1538777693238 -375.267290575373</t>
  </si>
  <si>
    <t>-643.230655925713 48.7183327345269 -458.406738692429</t>
  </si>
  <si>
    <t>-658.610831381136 48.5359670580203 -580.096240695483</t>
  </si>
  <si>
    <t>-649.204005232597 49.6259596580546 -657.881535662776</t>
  </si>
  <si>
    <t>-651.034549805474 79.9659636110759 -526.851591859549</t>
  </si>
  <si>
    <t>-623.23123418758 231.839697518658 -504.55772435638</t>
  </si>
  <si>
    <t>-474.930004678943 236.191012374717 -264.627765065796</t>
  </si>
  <si>
    <t>-242.726458890164 237.710095399543 -269.894652371846</t>
  </si>
  <si>
    <t>-652.689719057647 17.2661066381795 -526.548460157003</t>
  </si>
  <si>
    <t>-588.966650539603 147.068884971676 -95.2485576642783</t>
  </si>
  <si>
    <t>-619.20343561787 149.226471034466 319.219415446152</t>
  </si>
  <si>
    <t>-671.337780350647 178.367524557088 778.436567994135</t>
  </si>
  <si>
    <t>-521.355037398245 179.786266746525 836.634341695472</t>
  </si>
  <si>
    <t>-591.480478100789 -57.9584043782741 323.613632686767</t>
  </si>
  <si>
    <t>-651.239598537285 -99.8812670407649 780.968260093091</t>
  </si>
  <si>
    <t>-497.6952507955 -118.212533308717 825.37459955802</t>
  </si>
  <si>
    <t>9763-20170724T115528.564275700.bin</t>
  </si>
  <si>
    <t>-586.014397488183 54.5043796473924 -91.6277328951455</t>
  </si>
  <si>
    <t>-606.339110403714 51.446951994694 -200.416916745592</t>
  </si>
  <si>
    <t>-620.245911897271 49.9657596537957 -292.233230336655</t>
  </si>
  <si>
    <t>-632.463723250298 49.0361212440614 -375.227115524341</t>
  </si>
  <si>
    <t>-643.76680693384 48.506890024941 -458.354129892615</t>
  </si>
  <si>
    <t>-659.283381555594 48.1608693247194 -580.025951366208</t>
  </si>
  <si>
    <t>-650.044365636606 49.1801969919586 -657.832247932645</t>
  </si>
  <si>
    <t>-651.591794571848 79.6607840785709 -526.839209799257</t>
  </si>
  <si>
    <t>-623.394448143008 231.494412219947 -504.77268175379</t>
  </si>
  <si>
    <t>-474.551268223669 235.960994849886 -265.18067833321</t>
  </si>
  <si>
    <t>-242.331586040288 237.464704548039 -269.685954662116</t>
  </si>
  <si>
    <t>-653.357929243958 16.964554799672 -526.435643953296</t>
  </si>
  <si>
    <t>-589.161338187105 147.098079974777 -95.2479045714833</t>
  </si>
  <si>
    <t>-619.276572558067 149.265952365836 319.228887890437</t>
  </si>
  <si>
    <t>-671.35179708402 178.387238659929 778.445129189928</t>
  </si>
  <si>
    <t>-521.365330251194 179.771087216464 836.634159378529</t>
  </si>
  <si>
    <t>-591.50868811643 -57.9149518417407 323.620460877846</t>
  </si>
  <si>
    <t>-651.212059807386 -99.8579263952213 780.990614441578</t>
  </si>
  <si>
    <t>-497.637712124822 -117.923700162375 825.401955581927</t>
  </si>
  <si>
    <t>9763-20170724T115528.629679200.bin</t>
  </si>
  <si>
    <t>-586.543763118942 54.4813268851087 -91.6370798990972</t>
  </si>
  <si>
    <t>-607.059585563204 51.4464953983975 -200.390875143781</t>
  </si>
  <si>
    <t>-621.212874009095 49.8589526042438 -292.167755773203</t>
  </si>
  <si>
    <t>-633.688466606234 48.785184478493 -375.121624160548</t>
  </si>
  <si>
    <t>-645.285420217596 48.0620523990194 -458.206634401697</t>
  </si>
  <si>
    <t>-661.271653940477 47.3783339155714 -579.816291259232</t>
  </si>
  <si>
    <t>-652.390193809889 48.2194460740868 -657.666345161761</t>
  </si>
  <si>
    <t>-653.28204888698 79.0229216541643 -526.75944488846</t>
  </si>
  <si>
    <t>-624.518089779471 230.811225292565 -505.100389670521</t>
  </si>
  <si>
    <t>-474.079548319343 235.088106546577 -266.503350558785</t>
  </si>
  <si>
    <t>-241.834306940033 236.822333228222 -269.276020801001</t>
  </si>
  <si>
    <t>-655.232042034466 16.3336878834823 -526.150714420869</t>
  </si>
  <si>
    <t>-589.631162183456 147.145095071294 -95.2639138758541</t>
  </si>
  <si>
    <t>-619.484286145815 149.318043957165 319.231819718245</t>
  </si>
  <si>
    <t>-671.375585342724 178.442261872337 778.470687577457</t>
  </si>
  <si>
    <t>-521.377683755981 179.743723773628 836.632319058441</t>
  </si>
  <si>
    <t>-591.649932838355 -57.8627084398609 323.627786376505</t>
  </si>
  <si>
    <t>-651.177099777581 -99.8778436656969 781.018469467202</t>
  </si>
  <si>
    <t>-497.615450886801 -118.025460411313 825.440381167622</t>
  </si>
  <si>
    <t>9763-20170724T115528.661265200.bin</t>
  </si>
  <si>
    <t>-586.832889261505 54.4584904058402 -91.6415700902031</t>
  </si>
  <si>
    <t>-607.474366879135 51.4293335190953 -200.371808538185</t>
  </si>
  <si>
    <t>-621.765370790829 49.7918920602906 -292.126408817435</t>
  </si>
  <si>
    <t>-634.3786086676 48.6516299639964 -375.058571628342</t>
  </si>
  <si>
    <t>-646.126677077038 47.8403955190283 -458.121489031929</t>
  </si>
  <si>
    <t>-662.349054407646 47.0037249845091 -579.699000658629</t>
  </si>
  <si>
    <t>-653.608396867094 47.7545057883083 -657.565876889375</t>
  </si>
  <si>
    <t>-654.209913328222 78.7134803572999 -526.703707491971</t>
  </si>
  <si>
    <t>-625.128982021241 230.465992377964 -505.252421249709</t>
  </si>
  <si>
    <t>-473.835732954005 234.652915211339 -267.19486853079</t>
  </si>
  <si>
    <t>-241.581553973928 236.395429159066 -269.062446635355</t>
  </si>
  <si>
    <t>-656.251727215016 16.0281492150648 -525.999983620496</t>
  </si>
  <si>
    <t>-589.903402633952 147.122937146618 -95.2740811779877</t>
  </si>
  <si>
    <t>-619.60920798224 149.296848224192 319.232242619009</t>
  </si>
  <si>
    <t>-671.418939817949 178.351702086778 778.490502985682</t>
  </si>
  <si>
    <t>-521.414224079276 179.84648819878 836.629840531992</t>
  </si>
  <si>
    <t>-591.755342881049 -57.8218506445974 323.626379166859</t>
  </si>
  <si>
    <t>-651.167958033691 -99.8762729525577 781.027695272103</t>
  </si>
  <si>
    <t>-497.614563936874 -118.115233520301 825.440697563092</t>
  </si>
  <si>
    <t>9763-20170724T115528.725941200.bin</t>
  </si>
  <si>
    <t>-587.412486309884 54.4362008550418 -91.6633535300776</t>
  </si>
  <si>
    <t>-608.392264857176 51.3984549984229 -200.328595697284</t>
  </si>
  <si>
    <t>-623.014807819335 49.6691812144425 -292.029293930961</t>
  </si>
  <si>
    <t>-635.946703697153 48.4139468322849 -374.910738785897</t>
  </si>
  <si>
    <t>-648.033302850381 47.4541076001958 -457.92349986682</t>
  </si>
  <si>
    <t>-664.772656057066 46.363322052689 -579.428848553346</t>
  </si>
  <si>
    <t>-656.288982302138 46.9356011817772 -657.325639644635</t>
  </si>
  <si>
    <t>-656.299017972801 78.1798125936564 -526.550236992835</t>
  </si>
  <si>
    <t>-626.61269268477 229.876266542301 -505.493343648366</t>
  </si>
  <si>
    <t>-473.626699076262 233.926679087549 -268.517562292169</t>
  </si>
  <si>
    <t>-241.364974939691 235.664525400494 -268.460325936955</t>
  </si>
  <si>
    <t>-658.55608354226 15.5041711608642 -525.676482937721</t>
  </si>
  <si>
    <t>-590.385913993891 147.198843631032 -95.3103290764172</t>
  </si>
  <si>
    <t>-619.649325319693 149.410893653017 319.227194882989</t>
  </si>
  <si>
    <t>-671.41806693894 178.498605847517 778.503800694552</t>
  </si>
  <si>
    <t>-521.406967648003 179.864338373171 836.629790754187</t>
  </si>
  <si>
    <t>-591.855092567576 -57.6680168824435 323.644375329932</t>
  </si>
  <si>
    <t>-651.145415728274 -99.8470963001407 781.050975187967</t>
  </si>
  <si>
    <t>-497.551084396325 -117.794447512161 825.441220825189</t>
  </si>
  <si>
    <t>9763-20170724T115528.758025800.bin</t>
  </si>
  <si>
    <t>-587.779980280917 54.3727198574884 -91.674254168954</t>
  </si>
  <si>
    <t>-608.961266928594 51.3304658245572 -200.300211444536</t>
  </si>
  <si>
    <t>-623.765518826938 49.5501545417517 -291.970833046625</t>
  </si>
  <si>
    <t>-636.866689371677 48.230833234506 -374.824638630896</t>
  </si>
  <si>
    <t>-649.128172095237 47.1878958813763 -457.810810883178</t>
  </si>
  <si>
    <t>-666.129563921391 45.9549279680793 -579.278240806093</t>
  </si>
  <si>
    <t>-657.760063157585 46.4236702856304 -657.188186014879</t>
  </si>
  <si>
    <t>-657.497186814408 77.8315674655389 -526.461503689373</t>
  </si>
  <si>
    <t>-627.567390879046 229.511849580751 -505.609556869486</t>
  </si>
  <si>
    <t>-473.752122514245 233.366528858289 -269.16795830462</t>
  </si>
  <si>
    <t>-241.494091310038 235.165199301684 -267.940482627353</t>
  </si>
  <si>
    <t>-659.841803498707 15.1603207373021 -525.497315956018</t>
  </si>
  <si>
    <t>-590.714918573324 147.186664632703 -95.3247433836291</t>
  </si>
  <si>
    <t>-619.69820908027 149.408051259602 319.232393464243</t>
  </si>
  <si>
    <t>-671.435407278987 178.48507934588 778.509677521346</t>
  </si>
  <si>
    <t>-521.422854698132 179.805589809893 836.632910244788</t>
  </si>
  <si>
    <t>-591.932862103709 -57.6074428102584 323.657160163046</t>
  </si>
  <si>
    <t>-651.128446656418 -99.8521154744667 781.068954130665</t>
  </si>
  <si>
    <t>-497.547034007606 -117.890896255725 825.466869694646</t>
  </si>
  <si>
    <t>9763-20170724T115528.825809700.bin</t>
  </si>
  <si>
    <t>-588.682556074093 54.226731429289 -91.72064686798</t>
  </si>
  <si>
    <t>-610.233978824038 51.1696470747515 -200.273439862339</t>
  </si>
  <si>
    <t>-625.383952936847 49.3080762772338 -291.885889951338</t>
  </si>
  <si>
    <t>-638.811489380038 47.889284022996 -374.685787777181</t>
  </si>
  <si>
    <t>-651.414081359561 46.7194819899648 -457.619067621023</t>
  </si>
  <si>
    <t>-668.930540016835 45.270916394411 -579.011065262947</t>
  </si>
  <si>
    <t>-660.807471432555 45.5576391380491 -656.947909260568</t>
  </si>
  <si>
    <t>-659.976520913555 77.2372507209334 -526.302202798938</t>
  </si>
  <si>
    <t>-629.451721367305 228.843271135145 -505.778718863127</t>
  </si>
  <si>
    <t>-474.230964273547 232.254595653425 -270.25071411199</t>
  </si>
  <si>
    <t>-242.000503520613 233.982078916155 -266.433595540698</t>
  </si>
  <si>
    <t>-662.512390776127 14.5759232476314 -525.188500219448</t>
  </si>
  <si>
    <t>-591.56094470205 147.088014778512 -95.375672790357</t>
  </si>
  <si>
    <t>-620.030194842374 149.431335241477 319.216423419854</t>
  </si>
  <si>
    <t>-671.462931940885 178.540409449666 778.545332013263</t>
  </si>
  <si>
    <t>-521.431418211938 179.723202465815 836.622599800033</t>
  </si>
  <si>
    <t>-592.256549155955 -57.475414258105 323.671173268733</t>
  </si>
  <si>
    <t>-651.11184315273 -99.8185749800307 781.108768397845</t>
  </si>
  <si>
    <t>-497.538624069447 -117.939544502406 825.501569440967</t>
  </si>
  <si>
    <t>9763-20170724T115528.859906800.bin</t>
  </si>
  <si>
    <t>-589.20129040377 54.075529368753 -91.7398826989056</t>
  </si>
  <si>
    <t>-610.91201330923 51.0173982232438 -200.260814847491</t>
  </si>
  <si>
    <t>-626.237866003247 49.1177131125039 -291.843218790774</t>
  </si>
  <si>
    <t>-639.841254141822 47.650844543241 -374.613683484038</t>
  </si>
  <si>
    <t>-652.637085316527 46.4187733056583 -457.516576153245</t>
  </si>
  <si>
    <t>-670.455330539548 44.8639531122926 -578.86317888982</t>
  </si>
  <si>
    <t>-662.48336937356 45.0653330605328 -656.815751653048</t>
  </si>
  <si>
    <t>-661.331090941391 76.8746406440457 -526.210463937095</t>
  </si>
  <si>
    <t>-630.476241603047 228.435720797943 -505.819719008007</t>
  </si>
  <si>
    <t>-474.784698354251 231.618755080237 -270.599491839683</t>
  </si>
  <si>
    <t>-242.583172123787 233.155280610492 -265.247847683396</t>
  </si>
  <si>
    <t>-663.942569391294 14.2177696076708 -525.024096212456</t>
  </si>
  <si>
    <t>-592.038824095109 146.931816796498 -95.3970084100657</t>
  </si>
  <si>
    <t>-620.250735250699 149.400235106309 319.211998758765</t>
  </si>
  <si>
    <t>-671.495838509122 178.511398557489 778.570786306463</t>
  </si>
  <si>
    <t>-521.45061707383 179.6957934134 836.612622741404</t>
  </si>
  <si>
    <t>-592.476055511973 -57.4602672592132 323.672486716243</t>
  </si>
  <si>
    <t>-651.099102754087 -99.8061586717827 781.130852711359</t>
  </si>
  <si>
    <t>-497.544536373893 -118.066280928795 825.531157987168</t>
  </si>
  <si>
    <t>9763-20170724T115528.928087400.bin</t>
  </si>
  <si>
    <t>-590.284055689411 53.7246670263132 -91.7544512718608</t>
  </si>
  <si>
    <t>-612.326746893835 50.6913907971643 -200.209286686212</t>
  </si>
  <si>
    <t>-627.958794851332 48.6909971330199 -291.737724383373</t>
  </si>
  <si>
    <t>-641.850527371266 47.0863271197004 -374.457606500073</t>
  </si>
  <si>
    <t>-654.947559017813 45.6683988363814 -457.310493486707</t>
  </si>
  <si>
    <t>-673.220828248105 43.7893614520613 -578.584775780348</t>
  </si>
  <si>
    <t>-665.558905824143 43.7946005238093 -656.56888871776</t>
  </si>
  <si>
    <t>-663.837468360633 75.937740406594 -526.061770396401</t>
  </si>
  <si>
    <t>-632.501505625645 227.437548592643 -505.958682780838</t>
  </si>
  <si>
    <t>-476.600980031029 230.313702490407 -270.872909983666</t>
  </si>
  <si>
    <t>-244.520768270757 230.345361425507 -261.529073188242</t>
  </si>
  <si>
    <t>-666.567855550141 13.2900273953944 -524.679524672691</t>
  </si>
  <si>
    <t>-593.036538471877 146.560532978007 -95.4273680855636</t>
  </si>
  <si>
    <t>-620.86059809058 149.235014823584 319.206613707421</t>
  </si>
  <si>
    <t>-671.528425388117 178.607678609237 778.620531743964</t>
  </si>
  <si>
    <t>-521.454087656866 179.619377663441 836.590186620928</t>
  </si>
  <si>
    <t>-592.972806005688 -57.443539363476 323.666649258314</t>
  </si>
  <si>
    <t>-651.070618016009 -99.7837049471352 781.187047473018</t>
  </si>
  <si>
    <t>-497.462948139445 -117.582855033789 825.590849016967</t>
  </si>
  <si>
    <t>9763-20170724T115528.960172700.bin</t>
  </si>
  <si>
    <t>-590.812352427357 53.5045920085217 -91.7736876169001</t>
  </si>
  <si>
    <t>-613.003885665088 50.4835506112456 -200.198390391734</t>
  </si>
  <si>
    <t>-628.734805243404 48.4378172130648 -291.708948680273</t>
  </si>
  <si>
    <t>-642.705640389689 46.770525670092 -374.414274808229</t>
  </si>
  <si>
    <t>-655.871819077066 45.267867253963 -457.254613220048</t>
  </si>
  <si>
    <t>-674.235919545035 43.239300533498 -578.513029898582</t>
  </si>
  <si>
    <t>-666.708036845014 43.1694169951263 -656.509929870464</t>
  </si>
  <si>
    <t>-664.773813295384 75.4504920457866 -526.042448877312</t>
  </si>
  <si>
    <t>-633.067975990725 226.881428510754 -506.056168806366</t>
  </si>
  <si>
    <t>-477.932540518431 229.579698735854 -270.462690630945</t>
  </si>
  <si>
    <t>-246.007796488056 227.580748801032 -257.994659054865</t>
  </si>
  <si>
    <t>-667.58203672777 12.8082719916454 -524.56928047971</t>
  </si>
  <si>
    <t>-593.486843742942 146.331180648954 -95.4398173979872</t>
  </si>
  <si>
    <t>-621.117720893899 149.20680822145 319.20571813035</t>
  </si>
  <si>
    <t>-671.548441967297 178.634918085876 778.648140957446</t>
  </si>
  <si>
    <t>-521.462168964372 179.634139101568 836.5872316581</t>
  </si>
  <si>
    <t>-593.222609990142 -57.44080377814 323.672867623615</t>
  </si>
  <si>
    <t>-651.077148222546 -99.812997207398 781.219482936999</t>
  </si>
  <si>
    <t>-497.50920034271 -117.970755355647 825.615561703217</t>
  </si>
  <si>
    <t>9763-20170724T115529.030197600.bin</t>
  </si>
  <si>
    <t>-591.846898769378 53.1527915799304 -91.8419673521698</t>
  </si>
  <si>
    <t>-614.248056490456 50.1422408005731 -200.223802347725</t>
  </si>
  <si>
    <t>-630.006346979584 48.0012941982122 -291.72741442977</t>
  </si>
  <si>
    <t>-643.942868429969 46.2066106608384 -374.435961252435</t>
  </si>
  <si>
    <t>-657.016168062069 44.5326363458394 -457.287703186729</t>
  </si>
  <si>
    <t>-675.180522909178 42.205256673594 -578.570729745462</t>
  </si>
  <si>
    <t>-667.806666452311 42.0367923969541 -656.582322418805</t>
  </si>
  <si>
    <t>-665.731441647692 74.5420992644063 -526.175214446004</t>
  </si>
  <si>
    <t>-633.153179867421 225.797147419831 -506.236018204478</t>
  </si>
  <si>
    <t>-480.909356529956 226.562078316253 -268.749555910452</t>
  </si>
  <si>
    <t>-249.622998665878 220.096945063725 -248.418686599915</t>
  </si>
  <si>
    <t>-668.688839944036 11.9110158832214 -524.530328097852</t>
  </si>
  <si>
    <t>-594.370660766825 145.985960079986 -95.5194504041831</t>
  </si>
  <si>
    <t>-621.660209916341 149.134072873557 319.146665374367</t>
  </si>
  <si>
    <t>-671.597532292764 178.634944160435 778.657178891724</t>
  </si>
  <si>
    <t>-521.497319395282 179.640506677124 836.55994888041</t>
  </si>
  <si>
    <t>-593.785557876718 -57.4003047543742 323.646098355969</t>
  </si>
  <si>
    <t>-651.080478501258 -99.7822291846596 781.241115706117</t>
  </si>
  <si>
    <t>-497.485150412462 -117.783860165166 825.605916838197</t>
  </si>
  <si>
    <t>9763-20170724T115529.061828700.bin</t>
  </si>
  <si>
    <t>-592.401204319865 52.9484912469431 -91.8882929216202</t>
  </si>
  <si>
    <t>-614.857899554034 49.9403311384576 -200.258776620595</t>
  </si>
  <si>
    <t>-630.575009624981 47.766514725007 -291.768645557217</t>
  </si>
  <si>
    <t>-644.439277755236 45.9283469448176 -374.48843003636</t>
  </si>
  <si>
    <t>-657.405340715657 44.1955750133898 -457.355801452502</t>
  </si>
  <si>
    <t>-675.374604088061 41.7651250351319 -578.665854512826</t>
  </si>
  <si>
    <t>-668.033672046883 41.5765998335203 -656.680449878129</t>
  </si>
  <si>
    <t>-665.962700005965 74.1439759683476 -526.289614652315</t>
  </si>
  <si>
    <t>-632.940456987309 225.29884890656 -506.342960282632</t>
  </si>
  <si>
    <t>-482.843542651147 224.945341306405 -267.492777833758</t>
  </si>
  <si>
    <t>-252.048291067407 215.807832571597 -243.026638251155</t>
  </si>
  <si>
    <t>-669.016988572998 11.5191913958815 -524.582482986089</t>
  </si>
  <si>
    <t>-594.838784188461 145.799672105567 -95.583644488896</t>
  </si>
  <si>
    <t>-622.014953265337 149.065077445639 319.088963885597</t>
  </si>
  <si>
    <t>-671.631309645415 178.605817415751 778.635221969226</t>
  </si>
  <si>
    <t>-521.526345498404 179.654352166019 836.525009317625</t>
  </si>
  <si>
    <t>-594.153771208589 -57.4549118852426 323.613257976397</t>
  </si>
  <si>
    <t>-651.070016608704 -99.7912937234023 781.244995768973</t>
  </si>
  <si>
    <t>-497.510430944515 -118.068645070522 825.620850391898</t>
  </si>
  <si>
    <t>9763-20170724T115529.129156400.bin</t>
  </si>
  <si>
    <t>-593.519829813911 52.2972178601678 -92.0611131264814</t>
  </si>
  <si>
    <t>-615.819028338214 49.3044837447198 -200.464417678778</t>
  </si>
  <si>
    <t>-631.282960963872 47.0881185661103 -292.016549640259</t>
  </si>
  <si>
    <t>-644.87050304686 45.1915927525195 -374.780744587884</t>
  </si>
  <si>
    <t>-657.511775615723 43.3777358795892 -457.696583493652</t>
  </si>
  <si>
    <t>-674.953771740995 40.8025165289378 -579.080662119273</t>
  </si>
  <si>
    <t>-667.630774285916 40.5741485954675 -657.096834866886</t>
  </si>
  <si>
    <t>-665.647196450923 73.2371156047448 -526.720063375263</t>
  </si>
  <si>
    <t>-631.743517807169 224.194243452371 -506.705912569903</t>
  </si>
  <si>
    <t>-486.695819504828 221.156690888799 -264.775261861522</t>
  </si>
  <si>
    <t>-257.143638743896 204.358282392826 -233.595856734991</t>
  </si>
  <si>
    <t>-668.953546855888 10.6278969113773 -524.916777969215</t>
  </si>
  <si>
    <t>-595.596043976905 145.22958394139 -95.7755332294792</t>
  </si>
  <si>
    <t>-622.868138690177 148.818288932571 318.888074954669</t>
  </si>
  <si>
    <t>-671.698071160356 178.651738111595 778.546913148632</t>
  </si>
  <si>
    <t>-521.573006320913 179.705260647499 836.384403734826</t>
  </si>
  <si>
    <t>-595.329314079082 -57.9094395688726 323.481242282936</t>
  </si>
  <si>
    <t>-651.054926699357 -99.7543967602594 781.269592340766</t>
  </si>
  <si>
    <t>-497.430049567569 -117.491832090767 825.638556749339</t>
  </si>
  <si>
    <t>9763-20170724T115529.162263600.bin</t>
  </si>
  <si>
    <t>-594.069273670733 51.9157058959067 -92.1673664666923</t>
  </si>
  <si>
    <t>-616.21903151645 48.9216228757628 -200.601273597883</t>
  </si>
  <si>
    <t>-631.518196510594 46.6905840257521 -292.180797340581</t>
  </si>
  <si>
    <t>-644.941437239255 44.777011763998 -374.971332402554</t>
  </si>
  <si>
    <t>-657.402888506359 42.9404964649179 -457.913916727331</t>
  </si>
  <si>
    <t>-674.564844272815 40.326376154628 -579.337009744982</t>
  </si>
  <si>
    <t>-667.242676829949 40.0766026798524 -657.353241839237</t>
  </si>
  <si>
    <t>-665.315973238508 72.774124808529 -526.974349138026</t>
  </si>
  <si>
    <t>-630.955142162337 223.619920352567 -506.872410685842</t>
  </si>
  <si>
    <t>-488.387278309902 219.206379630269 -263.49316395224</t>
  </si>
  <si>
    <t>-259.593021365411 197.838448301987 -229.653170752907</t>
  </si>
  <si>
    <t>-668.752655571281 10.1728259244142 -525.140922726975</t>
  </si>
  <si>
    <t>-595.968283308683 144.88981220287 -95.9061639586399</t>
  </si>
  <si>
    <t>-623.215724951819 148.680337438258 318.757337332813</t>
  </si>
  <si>
    <t>-671.734498126891 178.694727494595 778.463243893202</t>
  </si>
  <si>
    <t>-521.598732124163 179.617879916327 836.275157056662</t>
  </si>
  <si>
    <t>-596.007864200916 -58.2096550753622 323.397980953813</t>
  </si>
  <si>
    <t>-651.049024662962 -99.7867511942854 781.286471864149</t>
  </si>
  <si>
    <t>-497.455669927668 -117.782382628085 825.660591982679</t>
  </si>
  <si>
    <t>9763-20170724T115529.227440000.bin</t>
  </si>
  <si>
    <t>-595.006369144888 50.8810586979509 -92.3876926892596</t>
  </si>
  <si>
    <t>-616.878386636143 47.9263016928396 -200.879060175209</t>
  </si>
  <si>
    <t>-631.864631216163 45.6636914805911 -292.509555912998</t>
  </si>
  <si>
    <t>-644.974035755603 43.6986061332379 -375.349141974164</t>
  </si>
  <si>
    <t>-657.090382306289 41.7852944444255 -458.341130495575</t>
  </si>
  <si>
    <t>-673.714050822217 39.02985644614 -579.835908241319</t>
  </si>
  <si>
    <t>-666.358931816499 38.7122797588072 -657.848826352223</t>
  </si>
  <si>
    <t>-664.571761596927 71.5308358826171 -527.487683882605</t>
  </si>
  <si>
    <t>-629.192439738419 222.111495774645 -507.140931317553</t>
  </si>
  <si>
    <t>-492.587366120798 215.403927355468 -260.417140627529</t>
  </si>
  <si>
    <t>-265.893341935721 181.944730172803 -222.485114809202</t>
  </si>
  <si>
    <t>-668.267722744198 8.94695088155208 -525.56253955058</t>
  </si>
  <si>
    <t>-596.539832977735 143.933499506599 -96.1664670751765</t>
  </si>
  <si>
    <t>-623.789557636889 148.225363755493 318.491961706815</t>
  </si>
  <si>
    <t>-671.803410420199 178.69977556914 778.22842844961</t>
  </si>
  <si>
    <t>-521.652945407477 179.492537750269 836.004146043537</t>
  </si>
  <si>
    <t>-597.143626524207 -58.9339826096962 323.227420783914</t>
  </si>
  <si>
    <t>-651.030287248358 -99.7903076155749 781.317594690643</t>
  </si>
  <si>
    <t>-497.441400983283 -117.802268168901 825.700581715379</t>
  </si>
  <si>
    <t>9763-20170724T115529.258521800.bin</t>
  </si>
  <si>
    <t>-595.309488683835 50.3022826332901 -92.5135600198157</t>
  </si>
  <si>
    <t>-617.072729006311 47.3808592799433 -201.027686099608</t>
  </si>
  <si>
    <t>-631.89978807258 45.1018517546447 -292.683625951468</t>
  </si>
  <si>
    <t>-644.838667812364 43.1046452476573 -375.549401582632</t>
  </si>
  <si>
    <t>-656.757822476598 41.1406096373964 -458.568668259481</t>
  </si>
  <si>
    <t>-673.064000457442 38.2907119480315 -580.104367586589</t>
  </si>
  <si>
    <t>-665.665225355516 37.952378952554 -658.113050652571</t>
  </si>
  <si>
    <t>-664.018654125196 70.8298668909158 -527.762851338218</t>
  </si>
  <si>
    <t>-628.258061419719 221.297100184227 -507.340270248447</t>
  </si>
  <si>
    <t>-495.131837441316 214.072129113085 -258.736564593984</t>
  </si>
  <si>
    <t>-269.683125485315 174.791756457498 -219.006614176965</t>
  </si>
  <si>
    <t>-667.79932451374 8.25257285692282 -525.78823475275</t>
  </si>
  <si>
    <t>-596.720881128236 143.364983022139 -96.2908634646885</t>
  </si>
  <si>
    <t>-624.025997419371 147.923452587548 318.361159697065</t>
  </si>
  <si>
    <t>-671.824643919827 178.678862304321 778.091173323315</t>
  </si>
  <si>
    <t>-521.676782788535 179.579156134847 835.871987413803</t>
  </si>
  <si>
    <t>-597.55308167821 -59.3583304085889 323.117382699348</t>
  </si>
  <si>
    <t>-651.02924116612 -99.7934243981792 781.317405135801</t>
  </si>
  <si>
    <t>-497.429938599269 -117.730342963224 825.694607177179</t>
  </si>
  <si>
    <t>9763-20170724T115529.329376600.bin</t>
  </si>
  <si>
    <t>-595.601187777626 49.3702465074944 -92.6966916530777</t>
  </si>
  <si>
    <t>-617.259693891455 46.4716733347559 -201.232446044065</t>
  </si>
  <si>
    <t>-631.863105457966 44.225627108958 -292.924984837098</t>
  </si>
  <si>
    <t>-644.545285292789 42.2633333994329 -375.83137214939</t>
  </si>
  <si>
    <t>-656.152636369128 40.3380448992073 -458.895713193783</t>
  </si>
  <si>
    <t>-671.942396480401 37.5479352022726 -580.501011272676</t>
  </si>
  <si>
    <t>-664.440556066305 37.2784727601497 -658.500070876724</t>
  </si>
  <si>
    <t>-663.098351572647 70.0598896033907 -528.108178354826</t>
  </si>
  <si>
    <t>-626.423628353604 220.208096851623 -506.952961022384</t>
  </si>
  <si>
    <t>-501.416518264025 213.071643499679 -254.166714282452</t>
  </si>
  <si>
    <t>-278.648728595095 163.175905971541 -211.34781645867</t>
  </si>
  <si>
    <t>-666.92964310686 7.48437808767699 -526.17496640541</t>
  </si>
  <si>
    <t>-597.045219277204 142.419272305197 -96.5216986980377</t>
  </si>
  <si>
    <t>-624.345807577086 147.402718921383 318.125717403685</t>
  </si>
  <si>
    <t>-671.843845312168 178.576603062112 777.847252156178</t>
  </si>
  <si>
    <t>-521.710937569424 179.648871352254 835.664124174</t>
  </si>
  <si>
    <t>-597.981163056197 -59.9392470614132 322.97192550381</t>
  </si>
  <si>
    <t>-651.02444294879 -99.7718626872486 781.297001757085</t>
  </si>
  <si>
    <t>-497.394461797734 -117.466767624299 825.665261191485</t>
  </si>
  <si>
    <t>9763-20170724T115529.361965200.bin</t>
  </si>
  <si>
    <t>-595.536903920448 48.932610137058 -92.7690159674604</t>
  </si>
  <si>
    <t>-617.20096011092 46.0273162195267 -201.303434907546</t>
  </si>
  <si>
    <t>-631.773447570743 43.809260452233 -293.001647371391</t>
  </si>
  <si>
    <t>-644.413014472146 41.8849544613454 -375.915216114342</t>
  </si>
  <si>
    <t>-655.962860514637 40.0106300783214 -458.988919731534</t>
  </si>
  <si>
    <t>-671.651911185009 37.3094837122524 -580.609072225833</t>
  </si>
  <si>
    <t>-664.098400922292 37.1101309367107 -658.603462696339</t>
  </si>
  <si>
    <t>-662.893156291971 69.785844567979 -528.180012139494</t>
  </si>
  <si>
    <t>-626.011345734553 219.832856493555 -506.69417326949</t>
  </si>
  <si>
    <t>-505.855204634631 212.85305041759 -251.562167340559</t>
  </si>
  <si>
    <t>-284.493379051359 159.202350908983 -206.07503529171</t>
  </si>
  <si>
    <t>-666.642243702753 7.20349139554787 -526.306442005961</t>
  </si>
  <si>
    <t>-597.067676462039 141.9309583751 -96.5937868927512</t>
  </si>
  <si>
    <t>-624.30823811766 147.128631117848 318.05491576882</t>
  </si>
  <si>
    <t>-671.858373303034 178.478748126432 777.747883024926</t>
  </si>
  <si>
    <t>-521.739180074221 179.677442166161 835.597828647062</t>
  </si>
  <si>
    <t>-597.936676513068 -60.1989036817477 322.920750853698</t>
  </si>
  <si>
    <t>-651.028606462965 -99.7951542059127 781.276647224328</t>
  </si>
  <si>
    <t>-497.41131783718 -117.618758878405 825.637354435102</t>
  </si>
  <si>
    <t>9763-20170724T115529.430371800.bin</t>
  </si>
  <si>
    <t>-595.146767257296 48.3010482948473 -92.8335137704804</t>
  </si>
  <si>
    <t>-616.922171362967 45.3849474520832 -201.345389853228</t>
  </si>
  <si>
    <t>-631.554126603264 43.3019416060715 -293.037246000031</t>
  </si>
  <si>
    <t>-644.232343762825 41.5550340176926 -375.948907647061</t>
  </si>
  <si>
    <t>-655.80494231186 39.9158154141981 -459.024378975722</t>
  </si>
  <si>
    <t>-671.508956970727 37.6222782417067 -580.651149063843</t>
  </si>
  <si>
    <t>-663.843195849927 37.7030700582836 -658.634552558454</t>
  </si>
  <si>
    <t>-662.891453725708 69.931791196168 -528.095541894836</t>
  </si>
  <si>
    <t>-625.668516523528 219.720511459585 -505.538534812247</t>
  </si>
  <si>
    <t>-516.722682931891 212.958022201398 -245.416209896505</t>
  </si>
  <si>
    <t>-298.270862703332 155.577427820301 -191.242305922198</t>
  </si>
  <si>
    <t>-666.344861500554 7.32569261269532 -526.469121854337</t>
  </si>
  <si>
    <t>-596.95572605991 141.290401020756 -96.6663052086301</t>
  </si>
  <si>
    <t>-624.012456777905 146.708451979066 317.991609185605</t>
  </si>
  <si>
    <t>-671.828408195585 178.367121385786 777.585952816603</t>
  </si>
  <si>
    <t>-521.745907151721 179.702982018788 835.52804514358</t>
  </si>
  <si>
    <t>-597.572343045324 -60.5927158907573 322.864362978832</t>
  </si>
  <si>
    <t>-651.051867219889 -99.8025276449762 781.226049020357</t>
  </si>
  <si>
    <t>-497.440334636532 -117.762677455963 825.551563120246</t>
  </si>
  <si>
    <t>9763-20170724T115529.462962100.bin</t>
  </si>
  <si>
    <t>-594.837745683382 48.0950669021029 -92.8648191521</t>
  </si>
  <si>
    <t>-616.706491002126 45.1753298762601 -201.357705706003</t>
  </si>
  <si>
    <t>-631.368319690369 43.1971066960039 -293.047288360537</t>
  </si>
  <si>
    <t>-644.053032763417 41.5864063332369 -375.960581969101</t>
  </si>
  <si>
    <t>-655.610917968816 40.1271754986278 -459.041572222602</t>
  </si>
  <si>
    <t>-671.269669078334 38.144622560352 -580.679470640795</t>
  </si>
  <si>
    <t>-663.517987431804 38.4376140864388 -658.653951312078</t>
  </si>
  <si>
    <t>-662.78077067923 70.325659473647 -528.024353084822</t>
  </si>
  <si>
    <t>-625.741223461207 220.092239632521 -505.048402545108</t>
  </si>
  <si>
    <t>-522.934509782812 213.067846759522 -242.446038295379</t>
  </si>
  <si>
    <t>-305.825798664639 156.717234726793 -182.138967512849</t>
  </si>
  <si>
    <t>-666.016759456911 7.70334324522378 -526.58718422111</t>
  </si>
  <si>
    <t>-596.733922902169 141.065969684415 -96.6791453669099</t>
  </si>
  <si>
    <t>-623.831298722471 146.52544568908 317.975573646981</t>
  </si>
  <si>
    <t>-671.804454048311 178.328339238426 777.53076794635</t>
  </si>
  <si>
    <t>-521.740781703645 179.736333399481 835.519890905611</t>
  </si>
  <si>
    <t>-597.350390364713 -60.7267119692035 322.838741201524</t>
  </si>
  <si>
    <t>-651.05301674854 -99.7893500448279 781.196039290223</t>
  </si>
  <si>
    <t>-497.412215779358 -117.535944756085 825.506207196597</t>
  </si>
  <si>
    <t>9763-20170724T115529.527170500.bin</t>
  </si>
  <si>
    <t>-594.198822074955 47.9070419244681 -92.8507264297687</t>
  </si>
  <si>
    <t>-616.23687021296 44.9844540075701 -201.309342588859</t>
  </si>
  <si>
    <t>-630.860062917975 43.2847682030331 -293.01061824558</t>
  </si>
  <si>
    <t>-643.435140300624 42.0356842049255 -375.946956048246</t>
  </si>
  <si>
    <t>-654.807172682454 41.0525285624349 -459.060479881961</t>
  </si>
  <si>
    <t>-670.10922080261 39.8931561713175 -580.754396821417</t>
  </si>
  <si>
    <t>-662.116930732593 40.7694190187219 -658.700329980807</t>
  </si>
  <si>
    <t>-662.094908524444 71.7326903836888 -527.818145326185</t>
  </si>
  <si>
    <t>-625.812735358113 221.555149842616 -503.892305205562</t>
  </si>
  <si>
    <t>-535.153940204805 214.433526527577 -236.855180417993</t>
  </si>
  <si>
    <t>-318.354758867493 166.719702225511 -168.517525342773</t>
  </si>
  <si>
    <t>-664.69476440313 9.07092087679621 -526.894142726424</t>
  </si>
  <si>
    <t>-596.233232788885 140.887809486463 -96.6570421723371</t>
  </si>
  <si>
    <t>-623.344165730385 146.340816504405 317.996903399862</t>
  </si>
  <si>
    <t>-671.748674124776 178.35329497259 777.480200073974</t>
  </si>
  <si>
    <t>-521.714100736552 179.625641207007 835.547679706651</t>
  </si>
  <si>
    <t>-596.901162261543 -60.8505153630845 322.830098350669</t>
  </si>
  <si>
    <t>-651.052972798363 -99.7348490224012 781.156014018578</t>
  </si>
  <si>
    <t>-497.389049008371 -117.310277763409 825.454093637635</t>
  </si>
  <si>
    <t>9763-20170724T115529.560262200.bin</t>
  </si>
  <si>
    <t>-593.948701362001 47.9040978478893 -92.845587924836</t>
  </si>
  <si>
    <t>-616.04471991069 44.947101121772 -201.291441785357</t>
  </si>
  <si>
    <t>-630.621681861215 43.3541759485206 -293.001948549148</t>
  </si>
  <si>
    <t>-643.11610003757 42.2541078858837 -375.952684367269</t>
  </si>
  <si>
    <t>-654.367961598173 41.4754102343352 -459.084562124589</t>
  </si>
  <si>
    <t>-669.45059368582 40.675825963076 -580.808857877422</t>
  </si>
  <si>
    <t>-661.346985787675 41.845775924653 -658.739459177328</t>
  </si>
  <si>
    <t>-661.707559002881 72.3658634860358 -527.742428176746</t>
  </si>
  <si>
    <t>-626.451121282979 222.397145623753 -503.566284597687</t>
  </si>
  <si>
    <t>-540.562688765634 215.372325099929 -234.954253209943</t>
  </si>
  <si>
    <t>-322.542866598544 173.504677313648 -166.668180041881</t>
  </si>
  <si>
    <t>-663.95733300045 9.68755832596548 -527.052135618163</t>
  </si>
  <si>
    <t>-596.115799353192 140.844607679923 -96.6539818782255</t>
  </si>
  <si>
    <t>-623.18844362983 146.300410216658 318.002406254884</t>
  </si>
  <si>
    <t>-671.744447887671 178.280153179316 777.4707576474</t>
  </si>
  <si>
    <t>-521.721291036937 179.637181910675 835.565896211989</t>
  </si>
  <si>
    <t>-596.715667462023 -60.8754221484319 322.834487949685</t>
  </si>
  <si>
    <t>-651.064736055006 -99.7025363895116 781.139470138692</t>
  </si>
  <si>
    <t>-497.382019176601 -117.173804816799 825.413678772888</t>
  </si>
  <si>
    <t>9763-20170724T115529.623746000.bin</t>
  </si>
  <si>
    <t>-593.788945370886 47.8173179783325 -92.8247376563711</t>
  </si>
  <si>
    <t>-615.950848806636 44.7274125484507 -201.253559712196</t>
  </si>
  <si>
    <t>-630.490140539562 43.2650812296788 -292.972114104319</t>
  </si>
  <si>
    <t>-642.912197587577 42.3745811372862 -375.936236930332</t>
  </si>
  <si>
    <t>-654.052651603667 41.9040707374133 -459.085517950532</t>
  </si>
  <si>
    <t>-668.928811477364 41.6653125732998 -580.83756150105</t>
  </si>
  <si>
    <t>-660.598703772367 43.364423514681 -658.734502454985</t>
  </si>
  <si>
    <t>-661.686160251941 73.1228494275381 -527.562622490426</t>
  </si>
  <si>
    <t>-629.004343832464 223.685459796032 -502.95332807961</t>
  </si>
  <si>
    <t>-546.449911200496 217.064828904007 -233.28776165384</t>
  </si>
  <si>
    <t>-324.096505307997 187.542793516373 -172.98892160936</t>
  </si>
  <si>
    <t>-663.116382448002 10.4173045060033 -527.264890697975</t>
  </si>
  <si>
    <t>-596.553836495132 140.668894373325 -96.6530799431767</t>
  </si>
  <si>
    <t>-623.16973938198 146.230192794206 318.031507420228</t>
  </si>
  <si>
    <t>-671.714764984953 178.231198253357 777.479346050903</t>
  </si>
  <si>
    <t>-521.711005162579 179.678258528217 835.622367715183</t>
  </si>
  <si>
    <t>-596.258480774517 -60.9254846545616 322.860726629062</t>
  </si>
  <si>
    <t>-651.074123841932 -99.6978280526696 781.114613183792</t>
  </si>
  <si>
    <t>-497.408497431712 -117.355451568425 825.374136810609</t>
  </si>
  <si>
    <t>9763-20170724T115529.661847700.bin</t>
  </si>
  <si>
    <t>-593.783262790031 47.7588139877146 -92.7926572657663</t>
  </si>
  <si>
    <t>-615.959838270021 44.572071786346 -201.215731387633</t>
  </si>
  <si>
    <t>-630.529402972471 43.0960536380962 -292.929228406735</t>
  </si>
  <si>
    <t>-642.985646582606 42.2160717745194 -375.888259283322</t>
  </si>
  <si>
    <t>-654.167138022839 41.7821762523936 -459.032235138958</t>
  </si>
  <si>
    <t>-669.110645343033 41.626093445017 -580.776246277599</t>
  </si>
  <si>
    <t>-660.68279701272 43.5062313649005 -658.658418284511</t>
  </si>
  <si>
    <t>-662.029111971069 73.0512064989907 -527.460675149008</t>
  </si>
  <si>
    <t>-630.661224272497 223.854719499001 -502.710428140412</t>
  </si>
  <si>
    <t>-546.746245900714 217.839978789808 -233.451011450542</t>
  </si>
  <si>
    <t>-322.453750771325 193.646924877729 -178.168845086483</t>
  </si>
  <si>
    <t>-663.078072950529 10.3378295453317 -527.251460145993</t>
  </si>
  <si>
    <t>-597.052491318748 140.545490517718 -96.6289777131107</t>
  </si>
  <si>
    <t>-623.348359931309 146.250752345769 318.074023489631</t>
  </si>
  <si>
    <t>-671.696369488457 178.257877972994 777.523839345194</t>
  </si>
  <si>
    <t>-521.691618675981 179.581892618846 835.667027666647</t>
  </si>
  <si>
    <t>-595.956709391149 -60.9326847861312 322.877787430506</t>
  </si>
  <si>
    <t>-651.081311878533 -99.6575598228246 781.098341399156</t>
  </si>
  <si>
    <t>-497.388618030139 -117.126707644158 825.338694916053</t>
  </si>
  <si>
    <t>9763-20170724T115529.725551200.bin</t>
  </si>
  <si>
    <t>-593.775486867451 47.4195124424475 -92.702601228567</t>
  </si>
  <si>
    <t>-616.031041691095 44.0613448371371 -201.104252276996</t>
  </si>
  <si>
    <t>-630.730045933004 42.5516649178217 -292.796643230312</t>
  </si>
  <si>
    <t>-643.327601680682 41.6766781576473 -375.734363795721</t>
  </si>
  <si>
    <t>-654.674631940343 41.2889549305796 -458.856210576673</t>
  </si>
  <si>
    <t>-669.886369539717 41.2455091978904 -580.567085492674</t>
  </si>
  <si>
    <t>-661.354916722883 43.4428954089317 -658.429710594244</t>
  </si>
  <si>
    <t>-662.982027181293 72.6249395778304 -527.201199888287</t>
  </si>
  <si>
    <t>-633.2073715133 223.709649739828 -502.275932910698</t>
  </si>
  <si>
    <t>-545.507893125319 219.419894686136 -234.192019148389</t>
  </si>
  <si>
    <t>-317.561044934285 206.041233099335 -191.650520014573</t>
  </si>
  <si>
    <t>-663.441157319363 9.90418483386134 -527.121522703074</t>
  </si>
  <si>
    <t>-598.059900338224 139.961171866847 -96.5103573031239</t>
  </si>
  <si>
    <t>-623.80104415407 146.145288351751 318.220584042371</t>
  </si>
  <si>
    <t>-671.699550001386 178.11942594435 777.679331397577</t>
  </si>
  <si>
    <t>-521.680795276086 179.696599021494 835.780140879244</t>
  </si>
  <si>
    <t>-595.168535994856 -61.0153336002281 322.93333153797</t>
  </si>
  <si>
    <t>-651.124765749261 -99.5841527020245 781.057152339764</t>
  </si>
  <si>
    <t>-497.35573862204 -116.582667802945 825.215493039042</t>
  </si>
  <si>
    <t>9763-20170724T115529.764657100.bin</t>
  </si>
  <si>
    <t>-593.737198623656 47.2309747169313 -92.6543127359448</t>
  </si>
  <si>
    <t>-616.039714730796 43.834955007457 -201.045151559208</t>
  </si>
  <si>
    <t>-630.771427261525 42.30099365771 -292.731897043522</t>
  </si>
  <si>
    <t>-643.395819329932 41.4035117389501 -375.665320558308</t>
  </si>
  <si>
    <t>-654.76698776592 40.9952726575543 -458.783623793465</t>
  </si>
  <si>
    <t>-670.011114247983 40.9240877182629 -580.490368344429</t>
  </si>
  <si>
    <t>-661.473164043776 43.19528960548 -658.350379600214</t>
  </si>
  <si>
    <t>-663.21961906491 72.3162888152854 -527.117796812531</t>
  </si>
  <si>
    <t>-634.552936503298 223.650511187255 -502.404390151723</t>
  </si>
  <si>
    <t>-544.664697995971 220.457556011786 -235.031217117019</t>
  </si>
  <si>
    <t>-315.268667534388 211.495319091245 -199.736999328034</t>
  </si>
  <si>
    <t>-663.424643959333 9.59432889792561 -527.055399773148</t>
  </si>
  <si>
    <t>-598.368787647057 139.687716845434 -96.4299039876818</t>
  </si>
  <si>
    <t>-623.91435629282 145.911182194016 318.312547507372</t>
  </si>
  <si>
    <t>-671.683131433962 178.086722967248 777.775536980605</t>
  </si>
  <si>
    <t>-521.65437075563 179.753049551036 835.848057352967</t>
  </si>
  <si>
    <t>-594.790948894245 -61.0465901909342 322.964152881708</t>
  </si>
  <si>
    <t>-651.162679713946 -99.580835289072 781.032234121606</t>
  </si>
  <si>
    <t>-497.398037881595 -116.73652516202 825.145024394967</t>
  </si>
  <si>
    <t>9763-20170724T115529.825334100.bin</t>
  </si>
  <si>
    <t>-593.486462924493 47.1794380179401 -92.5617495688738</t>
  </si>
  <si>
    <t>-615.78236245782 43.7274864219228 -200.952187257877</t>
  </si>
  <si>
    <t>-630.506620213044 42.1709225329253 -292.63974108312</t>
  </si>
  <si>
    <t>-643.123414051058 41.2594518657559 -375.574066051976</t>
  </si>
  <si>
    <t>-654.486462580067 40.8462263331469 -458.693630916961</t>
  </si>
  <si>
    <t>-669.718060842478 40.7784199290825 -580.401995342886</t>
  </si>
  <si>
    <t>-661.241218159792 43.1019919955577 -658.266892336501</t>
  </si>
  <si>
    <t>-663.112916108301 72.169400372879 -527.005044016546</t>
  </si>
  <si>
    <t>-636.142953075949 223.889138198557 -502.679902689795</t>
  </si>
  <si>
    <t>-542.059954563093 222.709463675149 -236.737216375688</t>
  </si>
  <si>
    <t>-310.837051516762 218.881076019632 -215.061215982816</t>
  </si>
  <si>
    <t>-662.956186139736 9.44705700380246 -526.989733314304</t>
  </si>
  <si>
    <t>-598.510824829585 139.43043910855 -96.2664835062232</t>
  </si>
  <si>
    <t>-623.979230563655 145.771573569667 318.478951844106</t>
  </si>
  <si>
    <t>-671.670715055634 178.03176298036 777.974240839732</t>
  </si>
  <si>
    <t>-521.631189007567 179.672195524281 836.019631412693</t>
  </si>
  <si>
    <t>-594.320368438689 -60.9236318204294 323.044407775351</t>
  </si>
  <si>
    <t>-651.236144245644 -99.5743386844711 780.998499843843</t>
  </si>
  <si>
    <t>-497.41031592833 -116.438708232767 825.010221197311</t>
  </si>
  <si>
    <t>9763-20170724T115529.858414800.bin</t>
  </si>
  <si>
    <t>-593.318722595464 47.2110317227305 -92.4929963285219</t>
  </si>
  <si>
    <t>-615.547281965702 43.7522393776947 -200.896982899682</t>
  </si>
  <si>
    <t>-630.274052968227 42.1993585742136 -292.5841722746</t>
  </si>
  <si>
    <t>-642.917042708312 41.2942213565311 -375.514681978228</t>
  </si>
  <si>
    <t>-654.330089538775 40.8916564288797 -458.627384056564</t>
  </si>
  <si>
    <t>-669.661238588347 40.8437245246857 -580.323224981306</t>
  </si>
  <si>
    <t>-661.241118256163 43.1700659013213 -658.194271516912</t>
  </si>
  <si>
    <t>-663.044732208508 72.2257475858223 -526.922664373625</t>
  </si>
  <si>
    <t>-636.469229799306 224.023632615896 -502.701230737302</t>
  </si>
  <si>
    <t>-540.273465986289 223.512009414897 -237.513099425829</t>
  </si>
  <si>
    <t>-308.562639857887 221.096424532268 -221.613680469784</t>
  </si>
  <si>
    <t>-662.823426048694 9.50370533708156 -526.925745387494</t>
  </si>
  <si>
    <t>-598.428525299009 139.348834555996 -96.1789690401561</t>
  </si>
  <si>
    <t>-623.943348595869 145.798760557608 318.561950250375</t>
  </si>
  <si>
    <t>-671.66393081896 178.01029541088 778.055434688588</t>
  </si>
  <si>
    <t>-521.624074438492 179.801731613776 836.095560031414</t>
  </si>
  <si>
    <t>-594.238950777021 -60.8771216791431 323.07695959193</t>
  </si>
  <si>
    <t>-651.262014473064 -99.5695593683924 780.993330808543</t>
  </si>
  <si>
    <t>-497.41832473098 -116.355386924793 824.972622090342</t>
  </si>
  <si>
    <t>9763-20170724T115529.928607200.bin</t>
  </si>
  <si>
    <t>-592.867771685599 47.5609410989075 -92.3514348068945</t>
  </si>
  <si>
    <t>-615.0096049527 44.1254521429701 -200.773987882065</t>
  </si>
  <si>
    <t>-629.742235200102 42.6060255449365 -292.46068958095</t>
  </si>
  <si>
    <t>-642.422319097888 41.73760830541 -375.386034473248</t>
  </si>
  <si>
    <t>-653.904463049926 41.378293178853 -458.489436174648</t>
  </si>
  <si>
    <t>-669.37162544236 41.4016553485237 -580.167969706165</t>
  </si>
  <si>
    <t>-661.008904661587 43.7842526798513 -658.043515499817</t>
  </si>
  <si>
    <t>-662.691747554313 72.7523570460514 -526.756885078861</t>
  </si>
  <si>
    <t>-636.434991931544 224.638653110581 -502.741755150431</t>
  </si>
  <si>
    <t>-536.454417949797 224.99067979767 -238.957115700346</t>
  </si>
  <si>
    <t>-304.26736395526 224.658576235066 -232.826017175346</t>
  </si>
  <si>
    <t>-662.477818072514 10.0303445792119 -526.796119045727</t>
  </si>
  <si>
    <t>-597.935051555199 139.623488878347 -96.0353456936565</t>
  </si>
  <si>
    <t>-623.700018952245 146.074349401912 318.690038477721</t>
  </si>
  <si>
    <t>-671.609210858662 178.132708459584 778.176709220687</t>
  </si>
  <si>
    <t>-521.566483631684 179.695959008352 836.215951343791</t>
  </si>
  <si>
    <t>-594.087334349371 -60.6670597380846 323.153465557644</t>
  </si>
  <si>
    <t>-651.287736186969 -99.5384865468623 781.002176440433</t>
  </si>
  <si>
    <t>-497.379996736475 -115.84207012244 824.938771182447</t>
  </si>
  <si>
    <t>9763-20170724T115529.961696000.bin</t>
  </si>
  <si>
    <t>-592.575342455619 47.6956524952918 -92.2985972416974</t>
  </si>
  <si>
    <t>-614.702484839278 44.2816818937388 -200.724754767557</t>
  </si>
  <si>
    <t>-629.426364873761 42.7793484850772 -292.41327913344</t>
  </si>
  <si>
    <t>-642.100170662815 41.9267458720005 -375.339596011796</t>
  </si>
  <si>
    <t>-653.577573254741 41.5835772714672 -458.443801922692</t>
  </si>
  <si>
    <t>-669.039683992074 41.630636725788 -580.123090474532</t>
  </si>
  <si>
    <t>-660.677325732069 44.0573224032341 -657.997256271388</t>
  </si>
  <si>
    <t>-662.345506245879 72.9710362620135 -526.707488956027</t>
  </si>
  <si>
    <t>-636.296930139592 224.923302357925 -502.858481902898</t>
  </si>
  <si>
    <t>-534.506720802425 225.692245659992 -239.767689374872</t>
  </si>
  <si>
    <t>-302.246750838149 225.860640857434 -237.816634882163</t>
  </si>
  <si>
    <t>-662.164571606007 10.248930097139 -526.75473130091</t>
  </si>
  <si>
    <t>-597.551080024703 139.755285722535 -95.9780604607512</t>
  </si>
  <si>
    <t>-623.402734482489 146.16801094858 318.74248669458</t>
  </si>
  <si>
    <t>-671.598772619177 178.128059202141 778.21586140512</t>
  </si>
  <si>
    <t>-521.558036381938 179.781511730983 836.257757134169</t>
  </si>
  <si>
    <t>-593.920193859775 -60.5632261003821 323.19982760594</t>
  </si>
  <si>
    <t>-651.299610885069 -99.5706278593882 781.013501775673</t>
  </si>
  <si>
    <t>-497.442454104345 -116.342266217057 824.951083589512</t>
  </si>
  <si>
    <t>9763-20170724T115530.025872000.bin</t>
  </si>
  <si>
    <t>-591.897350987095 48.0451262740776 -92.1694180581305</t>
  </si>
  <si>
    <t>-614.042942997299 44.6858231570554 -200.593577476685</t>
  </si>
  <si>
    <t>-628.768401251556 43.221258126684 -292.282357799268</t>
  </si>
  <si>
    <t>-641.438040198884 42.4010080204155 -375.209732254595</t>
  </si>
  <si>
    <t>-652.905799017535 42.0874213295592 -458.315241664793</t>
  </si>
  <si>
    <t>-668.347786674636 42.1746809349229 -579.997070009367</t>
  </si>
  <si>
    <t>-659.930474562073 44.6831216135304 -657.86268937165</t>
  </si>
  <si>
    <t>-661.618655227849 73.4975829824718 -526.575664924897</t>
  </si>
  <si>
    <t>-635.887817264679 225.54384139744 -503.013039553565</t>
  </si>
  <si>
    <t>-530.936122644312 227.355989975774 -241.172476265293</t>
  </si>
  <si>
    <t>-298.71989820868 227.964878238954 -246.047622184057</t>
  </si>
  <si>
    <t>-661.52527414156 10.7752513258567 -526.632549267467</t>
  </si>
  <si>
    <t>-596.746670256731 140.111819210129 -95.8292791193825</t>
  </si>
  <si>
    <t>-622.870422318892 146.214982949308 318.878948310258</t>
  </si>
  <si>
    <t>-671.558262754602 178.177294310126 778.294685331269</t>
  </si>
  <si>
    <t>-521.51363975587 179.598726086923 836.332901889696</t>
  </si>
  <si>
    <t>-593.447238066283 -60.3467194311042 323.298853119613</t>
  </si>
  <si>
    <t>-651.339021045907 -99.5671226748329 781.021620167308</t>
  </si>
  <si>
    <t>-497.438483074698 -116.089188458112 824.901812332005</t>
  </si>
  <si>
    <t>9763-20170724T115530.060965500.bin</t>
  </si>
  <si>
    <t>-591.424429154383 48.2309394688155 -92.0964608267685</t>
  </si>
  <si>
    <t>-613.586433322852 44.8997425520988 -200.518106003263</t>
  </si>
  <si>
    <t>-628.318265319817 43.4648397231861 -292.206288100806</t>
  </si>
  <si>
    <t>-640.990709100292 42.674200545579 -375.133554329428</t>
  </si>
  <si>
    <t>-652.458184248812 42.3929961405213 -458.239253268978</t>
  </si>
  <si>
    <t>-667.896438332237 42.5303331583177 -579.921457124668</t>
  </si>
  <si>
    <t>-659.423713545461 45.0672298332349 -657.780299467468</t>
  </si>
  <si>
    <t>-661.155204609213 73.8312118927877 -526.488696619453</t>
  </si>
  <si>
    <t>-635.522097582422 225.912580593116 -502.991079587442</t>
  </si>
  <si>
    <t>-529.027010521126 228.378049672707 -241.779984957187</t>
  </si>
  <si>
    <t>-296.886335392245 229.187282310271 -249.434315224201</t>
  </si>
  <si>
    <t>-661.089308857019 11.1089541979791 -526.567958963277</t>
  </si>
  <si>
    <t>-596.188082580109 140.268157720819 -95.7342205816141</t>
  </si>
  <si>
    <t>-622.699534321693 146.171057257497 318.952306415533</t>
  </si>
  <si>
    <t>-671.53458697846 178.2361498785 778.338827178199</t>
  </si>
  <si>
    <t>-521.482734256346 179.717522142165 836.35669138781</t>
  </si>
  <si>
    <t>-593.177800349243 -60.261423274033 323.346858255304</t>
  </si>
  <si>
    <t>-651.359012494322 -99.5974044959619 781.021194701408</t>
  </si>
  <si>
    <t>-497.526879339652 -116.764546329717 824.893561332577</t>
  </si>
  <si>
    <t>9763-20170724T115530.128150400.bin</t>
  </si>
  <si>
    <t>-590.326729551051 48.7499863020053 -91.9596958072179</t>
  </si>
  <si>
    <t>-612.465625182814 45.4331846670141 -200.386531852058</t>
  </si>
  <si>
    <t>-627.239926463414 44.0245309758145 -292.068372614792</t>
  </si>
  <si>
    <t>-639.975547486022 43.2633018668607 -374.986207463345</t>
  </si>
  <si>
    <t>-651.531190917294 43.0174461772544 -458.079791850867</t>
  </si>
  <si>
    <t>-667.125606624413 43.2135243603568 -579.741967302073</t>
  </si>
  <si>
    <t>-658.541815457764 45.769286146967 -657.588045756101</t>
  </si>
  <si>
    <t>-660.319687149047 74.4886770800877 -526.302408548596</t>
  </si>
  <si>
    <t>-635.115036547625 226.652131679436 -502.896899882006</t>
  </si>
  <si>
    <t>-525.264132088445 230.175117220635 -243.091380050465</t>
  </si>
  <si>
    <t>-293.294667995928 231.571148887291 -254.786153263957</t>
  </si>
  <si>
    <t>-660.246156502505 11.7662636021148 -526.412967885903</t>
  </si>
  <si>
    <t>-595.037188661982 140.663297368915 -95.5855986041752</t>
  </si>
  <si>
    <t>-622.124858533043 146.28234821092 319.067634762189</t>
  </si>
  <si>
    <t>-671.519593668538 178.183617656123 778.409297689692</t>
  </si>
  <si>
    <t>-521.466767701655 179.773648965226 836.421773935735</t>
  </si>
  <si>
    <t>-592.529562292189 -59.9240466108388 323.461611044554</t>
  </si>
  <si>
    <t>-651.401826057873 -99.5731854314408 781.013821699104</t>
  </si>
  <si>
    <t>-497.516828266233 -116.458285643809 824.810260031663</t>
  </si>
  <si>
    <t>9763-20170724T115530.161237900.bin</t>
  </si>
  <si>
    <t>-589.72473120361 49.1120320431312 -91.9014768403993</t>
  </si>
  <si>
    <t>-611.858706004616 45.7821699157662 -200.328899082791</t>
  </si>
  <si>
    <t>-626.676303282898 44.3804158071489 -292.003897257967</t>
  </si>
  <si>
    <t>-639.470122228394 43.6325967826153 -374.912695027096</t>
  </si>
  <si>
    <t>-651.103143182801 43.4076480195006 -457.995655536458</t>
  </si>
  <si>
    <t>-666.831760976141 43.6429042767725 -579.640535948811</t>
  </si>
  <si>
    <t>-658.208766607556 46.2257408961814 -657.481314346688</t>
  </si>
  <si>
    <t>-659.98745460468 74.9008028791181 -526.195666078432</t>
  </si>
  <si>
    <t>-635.024353759778 227.107776244655 -502.804527700212</t>
  </si>
  <si>
    <t>-523.793855701849 230.907003589254 -243.590455427682</t>
  </si>
  <si>
    <t>-291.894525667262 232.50050049451 -256.579297757597</t>
  </si>
  <si>
    <t>-659.872886064389 12.1786349017796 -526.331857244106</t>
  </si>
  <si>
    <t>-594.420336480777 141.021018325528 -95.5293814446497</t>
  </si>
  <si>
    <t>-621.722802898714 146.504235763636 319.111581199161</t>
  </si>
  <si>
    <t>-671.49646778887 178.204396434978 778.426729529917</t>
  </si>
  <si>
    <t>-521.454585523632 179.763011877137 836.468332682919</t>
  </si>
  <si>
    <t>-592.180245438649 -59.7020790932202 323.514484860294</t>
  </si>
  <si>
    <t>-651.412022393888 -99.5889544591535 781.008484428433</t>
  </si>
  <si>
    <t>-497.545307589157 -116.661626913257 824.796395285545</t>
  </si>
  <si>
    <t>9763-20170724T115530.228423800.bin</t>
  </si>
  <si>
    <t>-588.744272466976 49.7883863965078 -91.8026369701238</t>
  </si>
  <si>
    <t>-610.869040382529 46.4117351548637 -200.230399419452</t>
  </si>
  <si>
    <t>-625.723545034333 45.0141964335044 -291.899567982412</t>
  </si>
  <si>
    <t>-638.568638667713 44.2871196508534 -374.800727030507</t>
  </si>
  <si>
    <t>-650.270902340046 44.1014007275278 -457.874039576998</t>
  </si>
  <si>
    <t>-666.120552606692 44.4144333620322 -579.5030273991</t>
  </si>
  <si>
    <t>-657.38812266598 47.0918436332606 -657.328312433285</t>
  </si>
  <si>
    <t>-659.288374715874 75.6379461767822 -526.036612224269</t>
  </si>
  <si>
    <t>-634.787405546376 227.910810967097 -502.576930303038</t>
  </si>
  <si>
    <t>-521.427885044188 232.374044271303 -244.29748864544</t>
  </si>
  <si>
    <t>-289.663788970672 234.82117002827 -259.395041237494</t>
  </si>
  <si>
    <t>-659.0433298823 12.9163027934358 -526.229913259745</t>
  </si>
  <si>
    <t>-593.523676726491 141.761653078798 -95.4319317326987</t>
  </si>
  <si>
    <t>-621.09770052334 146.948710334354 319.194837888726</t>
  </si>
  <si>
    <t>-671.446502398015 178.245644522073 778.480569444145</t>
  </si>
  <si>
    <t>-521.437586295184 179.786780602612 836.607834772618</t>
  </si>
  <si>
    <t>-591.614656755483 -59.4095461592071 323.608539763664</t>
  </si>
  <si>
    <t>-651.437036120358 -99.6076534142201 780.990899782074</t>
  </si>
  <si>
    <t>-497.551461973972 -116.632016026197 824.731364361545</t>
  </si>
  <si>
    <t>9763-20170724T115530.260510500.bin</t>
  </si>
  <si>
    <t>-588.411420487356 49.9875737486946 -91.7829035318996</t>
  </si>
  <si>
    <t>-610.499660161106 46.5853950313742 -200.217367153892</t>
  </si>
  <si>
    <t>-625.345546045894 45.1865434950107 -291.887782278488</t>
  </si>
  <si>
    <t>-638.191830279868 44.4659306891695 -374.788935342818</t>
  </si>
  <si>
    <t>-649.904351706326 44.2950047208228 -457.860784412711</t>
  </si>
  <si>
    <t>-665.778910027903 44.6395724066838 -579.486372834516</t>
  </si>
  <si>
    <t>-657.003958942332 47.3810848020519 -657.304689682037</t>
  </si>
  <si>
    <t>-658.984302581004 75.8488991590787 -526.00693569444</t>
  </si>
  <si>
    <t>-634.850880629828 228.168266994504 -502.490094613499</t>
  </si>
  <si>
    <t>-520.564689065167 233.008516197334 -244.62623345582</t>
  </si>
  <si>
    <t>-288.846078060378 235.904789285829 -260.330138506281</t>
  </si>
  <si>
    <t>-658.642248590325 13.1279317963781 -526.229301016753</t>
  </si>
  <si>
    <t>-593.199144548256 142.005787218578 -95.4170368084506</t>
  </si>
  <si>
    <t>-620.853385724443 147.102137373514 319.205464399244</t>
  </si>
  <si>
    <t>-671.436913469907 178.233987935027 778.490400347464</t>
  </si>
  <si>
    <t>-521.441140697235 179.900396587218 836.648053760552</t>
  </si>
  <si>
    <t>-591.431725592332 -59.4140935905511 323.620036067032</t>
  </si>
  <si>
    <t>-651.45970654458 -99.5519407544436 780.972462879485</t>
  </si>
  <si>
    <t>-497.543692323647 -116.426410917018 824.663787932652</t>
  </si>
  <si>
    <t>9763-20170724T115530.327248900.bin</t>
  </si>
  <si>
    <t>-588.054447970915 50.1546869128085 -91.7484460031001</t>
  </si>
  <si>
    <t>-610.051286447488 46.6994859689335 -200.199776211874</t>
  </si>
  <si>
    <t>-624.863096880214 45.3056633515421 -291.875903305917</t>
  </si>
  <si>
    <t>-637.695820403841 44.6078407204197 -374.779308385079</t>
  </si>
  <si>
    <t>-649.412216063623 44.4799729291249 -457.850607050811</t>
  </si>
  <si>
    <t>-665.311577774213 44.910420884464 -579.472782423478</t>
  </si>
  <si>
    <t>-656.474592246438 47.80075322331 -657.278694938441</t>
  </si>
  <si>
    <t>-658.630761912574 76.0809997537826 -525.956411738558</t>
  </si>
  <si>
    <t>-635.198962151921 228.474649148203 -502.16566315379</t>
  </si>
  <si>
    <t>-519.457607836812 233.545275804677 -244.955861058063</t>
  </si>
  <si>
    <t>-287.799442547868 237.648418259189 -261.271386630181</t>
  </si>
  <si>
    <t>-658.039375196242 13.362111480152 -526.255717205905</t>
  </si>
  <si>
    <t>-592.948674592217 142.289123279528 -95.4012440589578</t>
  </si>
  <si>
    <t>-620.661585655883 147.329705580338 319.218070853691</t>
  </si>
  <si>
    <t>-671.402451061933 178.328337621105 778.489504483909</t>
  </si>
  <si>
    <t>-521.423688344856 179.884750460207 836.694157365867</t>
  </si>
  <si>
    <t>-591.221457742505 -59.5659688151156 323.625682164623</t>
  </si>
  <si>
    <t>-651.479275091095 -99.6139152744838 780.965083639359</t>
  </si>
  <si>
    <t>-497.588187687741 -116.777709481175 824.631640184431</t>
  </si>
  <si>
    <t>9763-20170724T115530.359335000.bin</t>
  </si>
  <si>
    <t>-587.965904840304 50.2637025756048 -91.7329417105501</t>
  </si>
  <si>
    <t>-609.913203799024 46.7729411753176 -200.193320981307</t>
  </si>
  <si>
    <t>-624.680320123277 45.3856780297219 -291.876545900403</t>
  </si>
  <si>
    <t>-637.471403506086 44.7067955129901 -374.786511243255</t>
  </si>
  <si>
    <t>-649.144785176419 44.6123731505406 -457.864039198114</t>
  </si>
  <si>
    <t>-664.979800992397 45.1074737975016 -579.49431763111</t>
  </si>
  <si>
    <t>-656.098007428513 48.0918526170422 -657.291629253657</t>
  </si>
  <si>
    <t>-658.393829602215 76.2488416189533 -525.949116964003</t>
  </si>
  <si>
    <t>-635.275555923379 228.659157809291 -501.995337788016</t>
  </si>
  <si>
    <t>-519.092957193981 233.891315616067 -244.987924573068</t>
  </si>
  <si>
    <t>-287.450907257679 238.352784510442 -261.437236804828</t>
  </si>
  <si>
    <t>-657.669260717067 13.5315684007269 -526.298811326815</t>
  </si>
  <si>
    <t>-592.990159633666 142.401730661257 -95.4006496553792</t>
  </si>
  <si>
    <t>-620.71868349139 147.408823293727 319.218073465093</t>
  </si>
  <si>
    <t>-671.395014784252 178.351367635065 778.493462766357</t>
  </si>
  <si>
    <t>-521.420994963514 179.93440877224 836.709547802542</t>
  </si>
  <si>
    <t>-591.125818748814 -59.5209663107335 323.636636516871</t>
  </si>
  <si>
    <t>-651.464989995038 -99.6445407432605 780.967294652805</t>
  </si>
  <si>
    <t>-497.600691131276 -116.99066932961 824.656221621223</t>
  </si>
  <si>
    <t>9763-20170724T115530.429101700.bin</t>
  </si>
  <si>
    <t>-587.968169847236 50.3397558977729 -91.7366740934524</t>
  </si>
  <si>
    <t>-609.841175716865 46.7773557619137 -200.209629880555</t>
  </si>
  <si>
    <t>-624.55771434213 45.4039102864151 -291.901312849831</t>
  </si>
  <si>
    <t>-637.307643601936 44.7641046855672 -374.817824332805</t>
  </si>
  <si>
    <t>-648.944392076085 44.7377754202755 -457.90049390583</t>
  </si>
  <si>
    <t>-664.730650691992 45.3647345365971 -579.536550260337</t>
  </si>
  <si>
    <t>-655.786865065513 48.5535646567375 -657.318659994183</t>
  </si>
  <si>
    <t>-658.308270184789 76.4459901648249 -525.936637380428</t>
  </si>
  <si>
    <t>-635.917517659178 228.910236061774 -501.656965893292</t>
  </si>
  <si>
    <t>-518.696224088969 234.404230295527 -245.127204180036</t>
  </si>
  <si>
    <t>-287.010002528613 239.454427384893 -260.764165954934</t>
  </si>
  <si>
    <t>-657.29927106487 13.7333640810398 -526.390829923023</t>
  </si>
  <si>
    <t>-593.349992620145 142.360300717015 -95.4045367087058</t>
  </si>
  <si>
    <t>-620.919073842648 147.408821969437 319.224281455264</t>
  </si>
  <si>
    <t>-671.423040748558 178.260953428108 778.515694261319</t>
  </si>
  <si>
    <t>-521.446464614742 180.121990604206 836.716982701776</t>
  </si>
  <si>
    <t>-590.967248781645 -59.4749320960923 323.643595091856</t>
  </si>
  <si>
    <t>-651.455207139683 -99.6671919100945 780.948193521101</t>
  </si>
  <si>
    <t>-497.583501996913 -116.918845520032 824.648312188125</t>
  </si>
  <si>
    <t>9763-20170724T115530.461188500.bin</t>
  </si>
  <si>
    <t>-588.036525838208 50.321225942643 -91.7472731361779</t>
  </si>
  <si>
    <t>-609.896703262203 46.7380340448942 -200.222246687898</t>
  </si>
  <si>
    <t>-624.603684971281 45.3870455671338 -291.915789273615</t>
  </si>
  <si>
    <t>-637.345275727598 44.7819074890176 -374.833927159878</t>
  </si>
  <si>
    <t>-648.973811503052 44.8062213384615 -457.917631290422</t>
  </si>
  <si>
    <t>-664.748428519849 45.5240710359092 -579.554724915705</t>
  </si>
  <si>
    <t>-655.766082950304 48.8317419327725 -657.327398905138</t>
  </si>
  <si>
    <t>-658.396873654176 76.5640562079584 -525.922494956041</t>
  </si>
  <si>
    <t>-636.272779441577 229.041837348353 -501.428449663731</t>
  </si>
  <si>
    <t>-518.523265646293 234.257427806529 -245.134795612735</t>
  </si>
  <si>
    <t>-286.81034662032 239.717306728423 -260.228966487945</t>
  </si>
  <si>
    <t>-657.256449923664 13.8541170568978 -526.440481075035</t>
  </si>
  <si>
    <t>-593.57263750138 142.27988990562 -95.4056680628237</t>
  </si>
  <si>
    <t>-621.03332693573 147.407308948196 319.229410308033</t>
  </si>
  <si>
    <t>-671.426927100471 178.238759787618 778.51831148169</t>
  </si>
  <si>
    <t>-521.449987342261 180.188947011876 836.715633512886</t>
  </si>
  <si>
    <t>-590.933322742404 -59.4890457936692 323.62442700463</t>
  </si>
  <si>
    <t>-651.460556487526 -99.6930937226059 780.92327071801</t>
  </si>
  <si>
    <t>-497.594293025973 -116.983372171759 824.627347887663</t>
  </si>
  <si>
    <t>9763-20170724T115530.526082000.bin</t>
  </si>
  <si>
    <t>-588.198327414526 50.2481105288271 -91.787790584599</t>
  </si>
  <si>
    <t>-610.056645982314 46.6329433289277 -200.261987411141</t>
  </si>
  <si>
    <t>-624.776543248869 45.3548202110765 -291.954536057384</t>
  </si>
  <si>
    <t>-637.535396701054 44.8532765730429 -374.870812095093</t>
  </si>
  <si>
    <t>-649.186722963966 45.0211995894681 -457.951116628057</t>
  </si>
  <si>
    <t>-665.000510465204 45.9935578438788 -579.581447444602</t>
  </si>
  <si>
    <t>-655.986402198982 49.5419500323344 -657.339726136129</t>
  </si>
  <si>
    <t>-658.746690314886 76.9187682154106 -525.871280145543</t>
  </si>
  <si>
    <t>-637.139015520039 229.404894518558 -500.995782474101</t>
  </si>
  <si>
    <t>-518.911255984189 234.63853939176 -244.922711891926</t>
  </si>
  <si>
    <t>-287.143707946821 240.903134386811 -258.818213299863</t>
  </si>
  <si>
    <t>-657.376437398043 14.2149993656444 -526.550785050872</t>
  </si>
  <si>
    <t>-593.965722317144 142.11998407553 -95.4220565042364</t>
  </si>
  <si>
    <t>-621.295046023157 147.359288962834 319.220300890873</t>
  </si>
  <si>
    <t>-671.423252250688 178.286044034105 778.543351164029</t>
  </si>
  <si>
    <t>-521.432004022412 180.103155182743 836.70815927439</t>
  </si>
  <si>
    <t>-590.911966892884 -59.4874416699718 323.569698636469</t>
  </si>
  <si>
    <t>-651.46146979667 -99.7013677825921 780.85692352405</t>
  </si>
  <si>
    <t>-497.551355575873 -116.626905347484 824.549380680206</t>
  </si>
  <si>
    <t>9763-20170724T115530.559169800.bin</t>
  </si>
  <si>
    <t>-588.333656941368 50.1615094035324 -91.8083773813601</t>
  </si>
  <si>
    <t>-610.19723211176 46.5420771782799 -200.281370051816</t>
  </si>
  <si>
    <t>-624.899629022153 45.3051553694017 -291.977246554902</t>
  </si>
  <si>
    <t>-637.633658925328 44.8581637825905 -374.897554442175</t>
  </si>
  <si>
    <t>-649.251313191993 45.0983815265195 -457.98251096807</t>
  </si>
  <si>
    <t>-665.005936431992 46.1965742608311 -579.619325020397</t>
  </si>
  <si>
    <t>-655.963319226621 49.8589744514663 -657.369042774595</t>
  </si>
  <si>
    <t>-658.832039643814 77.0648087806612 -525.867342297901</t>
  </si>
  <si>
    <t>-637.501350578488 229.548539096869 -500.751918264034</t>
  </si>
  <si>
    <t>-519.022336924595 234.505295266852 -244.789608890856</t>
  </si>
  <si>
    <t>-287.206922155984 241.203416828852 -257.646119529075</t>
  </si>
  <si>
    <t>-657.353871381464 14.3644346851072 -526.624987050849</t>
  </si>
  <si>
    <t>-594.211675543085 141.996916949085 -95.4341000034284</t>
  </si>
  <si>
    <t>-621.415162880243 147.246747308509 319.216371338294</t>
  </si>
  <si>
    <t>-671.430116825735 178.268054678724 778.546389812757</t>
  </si>
  <si>
    <t>-521.435456251019 180.136389808187 836.700771518538</t>
  </si>
  <si>
    <t>-590.954435973527 -59.5343626842362 323.529870104075</t>
  </si>
  <si>
    <t>-651.463183674191 -99.7477126829235 780.824255338729</t>
  </si>
  <si>
    <t>-497.574002697764 -116.848733381533 824.522094428071</t>
  </si>
  <si>
    <t>9763-20170724T115530.626946700.bin</t>
  </si>
  <si>
    <t>-588.583881656439 50.0091370450427 -91.8608534505171</t>
  </si>
  <si>
    <t>-610.412066672868 46.38449868873 -200.340759252547</t>
  </si>
  <si>
    <t>-625.037209581874 45.2571229418825 -292.050439962772</t>
  </si>
  <si>
    <t>-637.681776596855 44.9532374081807 -374.985187033537</t>
  </si>
  <si>
    <t>-649.189779498971 45.38179743725 -458.084559777107</t>
  </si>
  <si>
    <t>-664.761698228923 46.8046113739606 -579.741547392759</t>
  </si>
  <si>
    <t>-655.665348715328 50.7196065324106 -657.472673594499</t>
  </si>
  <si>
    <t>-658.708495829896 77.5283038503464 -525.893115197843</t>
  </si>
  <si>
    <t>-637.349181793369 229.920181195544 -500.234819980261</t>
  </si>
  <si>
    <t>-519.002972855562 234.2881541488 -244.200225599205</t>
  </si>
  <si>
    <t>-287.110177300882 241.642507190432 -255.162347584843</t>
  </si>
  <si>
    <t>-657.149296874984 14.8321933632164 -526.825970882135</t>
  </si>
  <si>
    <t>-594.550701185899 141.743049662703 -95.4527104948421</t>
  </si>
  <si>
    <t>-621.695959712539 147.1113995181 319.20004155408</t>
  </si>
  <si>
    <t>-671.419355419597 178.36261664984 778.551921999251</t>
  </si>
  <si>
    <t>-521.41593414186 180.193497129093 836.68494032625</t>
  </si>
  <si>
    <t>-591.08843431607 -59.5670909978728 323.462103703699</t>
  </si>
  <si>
    <t>-651.46620832956 -99.7721444702247 780.762400708115</t>
  </si>
  <si>
    <t>-497.540322670232 -116.556697085038 824.453633184471</t>
  </si>
  <si>
    <t>9763-20170724T115530.659031000.bin</t>
  </si>
  <si>
    <t>-588.682945186656 49.9395339949722 -91.8905754822524</t>
  </si>
  <si>
    <t>-610.496740368187 46.3223863207365 -200.373549497435</t>
  </si>
  <si>
    <t>-625.106323664217 45.2450693926976 -292.086339937999</t>
  </si>
  <si>
    <t>-637.73515945638 45.0038178687305 -375.023654455605</t>
  </si>
  <si>
    <t>-649.225620148561 45.5125814284065 -458.124987206712</t>
  </si>
  <si>
    <t>-664.76980623831 47.0718062713167 -579.783952518552</t>
  </si>
  <si>
    <t>-655.666402212579 51.1055528407419 -657.508205351215</t>
  </si>
  <si>
    <t>-658.741641795516 77.7347834502862 -525.898097248491</t>
  </si>
  <si>
    <t>-637.385684836457 230.085200374502 -500.028398811473</t>
  </si>
  <si>
    <t>-518.999482198665 234.253391223723 -244.009140686125</t>
  </si>
  <si>
    <t>-287.063453133702 241.616048734437 -254.008966744158</t>
  </si>
  <si>
    <t>-657.156686577888 15.0405080563951 -526.903984602862</t>
  </si>
  <si>
    <t>-594.698395223156 141.632894869891 -95.4645317444151</t>
  </si>
  <si>
    <t>-621.808510276454 147.069496631078 319.189663556081</t>
  </si>
  <si>
    <t>-671.430851751644 178.324626826971 778.552059858632</t>
  </si>
  <si>
    <t>-521.426874961136 180.242426620867 836.68084453014</t>
  </si>
  <si>
    <t>-591.159428100166 -59.6012063142243 323.423997819642</t>
  </si>
  <si>
    <t>-651.470932300548 -99.8001319150624 780.734070622597</t>
  </si>
  <si>
    <t>-497.53899794349 -116.532908592512 824.423835413978</t>
  </si>
  <si>
    <t>9763-20170724T115530.739782800.bin</t>
  </si>
  <si>
    <t>-588.938308661936 49.902645472004 -91.9431864917374</t>
  </si>
  <si>
    <t>-610.741578201981 46.2964416423715 -200.428628179678</t>
  </si>
  <si>
    <t>-625.379753060376 45.3219077745825 -292.138163656181</t>
  </si>
  <si>
    <t>-638.049001390947 45.2112191852589 -375.069433794557</t>
  </si>
  <si>
    <t>-649.594294364164 45.8883830147147 -458.16208746872</t>
  </si>
  <si>
    <t>-665.234192609593 47.7353090663596 -579.804571890441</t>
  </si>
  <si>
    <t>-656.138161884193 51.9884713819051 -657.518039953298</t>
  </si>
  <si>
    <t>-659.158452472017 78.2709453779419 -525.851781260449</t>
  </si>
  <si>
    <t>-637.690033312293 230.526451209185 -499.515375160093</t>
  </si>
  <si>
    <t>-518.810813103554 234.022414299829 -243.714538372229</t>
  </si>
  <si>
    <t>-286.808610584923 241.150061908996 -252.240611518133</t>
  </si>
  <si>
    <t>-657.584628534265 15.5788779223606 -527.006028031385</t>
  </si>
  <si>
    <t>-594.94897145957 141.632193472313 -95.5051811459948</t>
  </si>
  <si>
    <t>-621.997822472888 147.102799203992 319.152580017247</t>
  </si>
  <si>
    <t>-671.411835550101 178.428427320728 778.545394496087</t>
  </si>
  <si>
    <t>-521.407671775515 180.20305205352 836.678252031557</t>
  </si>
  <si>
    <t>-591.386345729316 -59.6708018731265 323.349626318138</t>
  </si>
  <si>
    <t>-651.470700563587 -99.8292764943476 780.681518295936</t>
  </si>
  <si>
    <t>-497.517873808214 -116.374218291711 824.369205392215</t>
  </si>
  <si>
    <t>9763-20170724T115530.763850700.bin</t>
  </si>
  <si>
    <t>-589.078946699235 49.8812481899881 -91.9574210620058</t>
  </si>
  <si>
    <t>-610.908508511913 46.2976033988048 -200.43834058927</t>
  </si>
  <si>
    <t>-625.588701550089 45.3901804118061 -292.141814931957</t>
  </si>
  <si>
    <t>-638.303796845371 45.3597301209315 -375.06623316923</t>
  </si>
  <si>
    <t>-649.90267640238 46.137041117355 -458.150539983982</t>
  </si>
  <si>
    <t>-665.629449508342 48.1523224119942 -579.779192604192</t>
  </si>
  <si>
    <t>-656.546239055797 52.5072085153481 -657.488586938995</t>
  </si>
  <si>
    <t>-659.51297759719 78.6133222101773 -525.788737947927</t>
  </si>
  <si>
    <t>-637.931308299787 230.817211865281 -499.246710147311</t>
  </si>
  <si>
    <t>-518.776806060862 234.030637159003 -243.570165278078</t>
  </si>
  <si>
    <t>-286.760027951175 241.037208773151 -251.795547790248</t>
  </si>
  <si>
    <t>-657.944360050224 15.9228145972218 -527.030322583664</t>
  </si>
  <si>
    <t>-595.058015560783 141.6341623907 -95.5095439876314</t>
  </si>
  <si>
    <t>-622.032176407688 147.097038512929 319.153187973066</t>
  </si>
  <si>
    <t>-671.415012088525 178.421071872315 778.544951967973</t>
  </si>
  <si>
    <t>-521.41159769097 180.280954288258 836.676979990221</t>
  </si>
  <si>
    <t>-591.469568984709 -59.6874371375 323.322272977478</t>
  </si>
  <si>
    <t>-651.457994251838 -99.8757009514525 780.67373894772</t>
  </si>
  <si>
    <t>-497.512341545585 -116.427286508926 824.384186609487</t>
  </si>
  <si>
    <t>9763-20170724T115530.829528100.bin</t>
  </si>
  <si>
    <t>-589.338783240592 50.0766030256771 -91.9902538441282</t>
  </si>
  <si>
    <t>-611.255707013283 46.5093900052536 -200.454226668221</t>
  </si>
  <si>
    <t>-626.041460466287 45.7066457590595 -292.141417443672</t>
  </si>
  <si>
    <t>-638.864486140718 45.8079474135445 -375.049152768638</t>
  </si>
  <si>
    <t>-650.58387452582 46.7541499768722 -458.114922366959</t>
  </si>
  <si>
    <t>-666.500259916734 49.0576697708395 -579.713685074136</t>
  </si>
  <si>
    <t>-657.442034796917 53.5636430011266 -657.417342048342</t>
  </si>
  <si>
    <t>-660.292948273361 79.3908554606037 -525.661705054832</t>
  </si>
  <si>
    <t>-638.584417727919 231.50148470068 -498.69212227218</t>
  </si>
  <si>
    <t>-518.407170909876 234.271383609797 -243.489625115657</t>
  </si>
  <si>
    <t>-286.376016120213 240.993612739074 -251.544723623404</t>
  </si>
  <si>
    <t>-658.739563521 16.7030955576461 -527.052618597495</t>
  </si>
  <si>
    <t>-595.238748866403 141.946537656361 -95.5342521791821</t>
  </si>
  <si>
    <t>-622.071452007651 147.291512848435 319.139121961033</t>
  </si>
  <si>
    <t>-671.394986026347 178.555803485443 778.546484173063</t>
  </si>
  <si>
    <t>-521.387617812404 180.190532245802 836.675130765406</t>
  </si>
  <si>
    <t>-591.573131556795 -59.5358454819864 323.29097373762</t>
  </si>
  <si>
    <t>-651.453599073215 -99.880185347399 780.651618235129</t>
  </si>
  <si>
    <t>-497.516531887839 -116.481692203997 824.373385805113</t>
  </si>
  <si>
    <t>9763-20170724T115530.861615200.bin</t>
  </si>
  <si>
    <t>-589.476494226236 50.2125799671014 -92.0059278309251</t>
  </si>
  <si>
    <t>-611.420007470056 46.6446174565742 -200.464371462851</t>
  </si>
  <si>
    <t>-626.251184479655 45.8842905459273 -292.144779288287</t>
  </si>
  <si>
    <t>-639.124150750325 46.0414763984988 -375.044680770905</t>
  </si>
  <si>
    <t>-650.902245429224 47.0610953363575 -458.101272056869</t>
  </si>
  <si>
    <t>-666.9140931218 49.4908442098581 -579.685118865833</t>
  </si>
  <si>
    <t>-657.873739722917 54.0669807836321 -657.386687489642</t>
  </si>
  <si>
    <t>-660.652550745529 79.7681517132785 -525.60801164957</t>
  </si>
  <si>
    <t>-638.837434440216 231.839478296967 -498.472217230134</t>
  </si>
  <si>
    <t>-518.07787779158 234.406572483357 -243.542552213212</t>
  </si>
  <si>
    <t>-286.04391598205 240.958803840795 -251.657988255442</t>
  </si>
  <si>
    <t>-659.123882086046 17.0812839438076 -527.062228438095</t>
  </si>
  <si>
    <t>-595.372495302158 142.103795887146 -95.545147158807</t>
  </si>
  <si>
    <t>-622.135452751472 147.38342753733 319.133616313189</t>
  </si>
  <si>
    <t>-671.402113510541 178.574312434349 778.556872959975</t>
  </si>
  <si>
    <t>-521.389888508647 180.220027324699 836.672773805771</t>
  </si>
  <si>
    <t>-591.60730288841 -59.4394412721376 323.286820890857</t>
  </si>
  <si>
    <t>-651.450932006337 -99.9426148978873 780.640372788968</t>
  </si>
  <si>
    <t>-497.569178905849 -117.01131898864 824.376959931469</t>
  </si>
  <si>
    <t>9763-20170724T115530.927797500.bin</t>
  </si>
  <si>
    <t>-589.676714995583 50.6484373192491 -92.0067006030836</t>
  </si>
  <si>
    <t>-611.681387829733 47.0714498554598 -200.452584721607</t>
  </si>
  <si>
    <t>-626.607025004855 46.3474137419068 -292.117870972677</t>
  </si>
  <si>
    <t>-639.582108175704 46.5548964579559 -375.001747805347</t>
  </si>
  <si>
    <t>-651.478963462082 47.642140189522 -458.040445345756</t>
  </si>
  <si>
    <t>-667.682339415782 50.1897242086343 -579.596528791346</t>
  </si>
  <si>
    <t>-658.688739011249 54.8593751171802 -657.298013553877</t>
  </si>
  <si>
    <t>-661.310510594671 80.4153083657209 -525.503441039613</t>
  </si>
  <si>
    <t>-639.298587222473 232.431173807836 -498.219221357689</t>
  </si>
  <si>
    <t>-517.28876082131 234.9056760273 -243.884708501861</t>
  </si>
  <si>
    <t>-285.244002214828 240.994641645791 -252.051158320185</t>
  </si>
  <si>
    <t>-659.834348173853 17.7284784577819 -527.013982286001</t>
  </si>
  <si>
    <t>-595.55570615451 142.552278475475 -95.5512210311894</t>
  </si>
  <si>
    <t>-622.318673744255 147.654472611299 319.129736265883</t>
  </si>
  <si>
    <t>-671.417149258449 178.6469911425 778.58215268285</t>
  </si>
  <si>
    <t>-521.388481663544 180.255341042501 836.656528825943</t>
  </si>
  <si>
    <t>-591.56644552094 -59.111952527014 323.284485017949</t>
  </si>
  <si>
    <t>-651.432142502222 -99.9360935149116 780.61743460971</t>
  </si>
  <si>
    <t>-497.525909873949 -116.738404291303 824.371064996917</t>
  </si>
  <si>
    <t>9763-20170724T115530.958879700.bin</t>
  </si>
  <si>
    <t>-589.780712498021 50.8967987094397 -92.0016766712241</t>
  </si>
  <si>
    <t>-611.826973066034 47.3214210762776 -200.439182584742</t>
  </si>
  <si>
    <t>-626.802220672617 46.6092454965808 -292.096427083623</t>
  </si>
  <si>
    <t>-639.827693520101 46.8319960621861 -374.972440296596</t>
  </si>
  <si>
    <t>-651.780501430922 47.9384615384622 -458.002687632794</t>
  </si>
  <si>
    <t>-668.07169873704 50.5186238699353 -579.546478836154</t>
  </si>
  <si>
    <t>-659.115554148325 55.223702365314 -657.250085469538</t>
  </si>
  <si>
    <t>-661.641509979664 80.7302026769712 -525.452522619373</t>
  </si>
  <si>
    <t>-639.500822067757 232.71672646434 -498.131888393715</t>
  </si>
  <si>
    <t>-516.882116895523 235.292736110118 -244.091271833282</t>
  </si>
  <si>
    <t>-284.830049513644 241.131182592002 -252.233289777578</t>
  </si>
  <si>
    <t>-660.205052786666 18.0426741619453 -526.975832426621</t>
  </si>
  <si>
    <t>-595.640910989145 142.845074286559 -95.5517872104161</t>
  </si>
  <si>
    <t>-622.345776973353 147.838362416313 319.134319211259</t>
  </si>
  <si>
    <t>-671.41377493111 178.719325175259 778.599909563534</t>
  </si>
  <si>
    <t>-521.374466540665 180.276257410364 836.648182345978</t>
  </si>
  <si>
    <t>-591.518654438226 -58.9228810222771 323.289867727399</t>
  </si>
  <si>
    <t>-651.421365092616 -99.9620944687047 780.605665553105</t>
  </si>
  <si>
    <t>-497.531898002091 -116.870383507726 824.377378852395</t>
  </si>
  <si>
    <t>9763-20170724T115531.028764200.bin</t>
  </si>
  <si>
    <t>-589.995212754524 51.4584285696737 -91.9856551533173</t>
  </si>
  <si>
    <t>-612.135514237231 47.8932445535727 -200.404240342284</t>
  </si>
  <si>
    <t>-627.225491361384 47.201428535383 -292.042944646806</t>
  </si>
  <si>
    <t>-640.368695271405 47.4477216348373 -374.900268306216</t>
  </si>
  <si>
    <t>-652.453269630259 48.5825289454615 -457.911208456898</t>
  </si>
  <si>
    <t>-668.952292768607 51.2093614157884 -579.425784792727</t>
  </si>
  <si>
    <t>-660.109199155142 55.955072244974 -657.139872997288</t>
  </si>
  <si>
    <t>-662.39078105083 81.401254158422 -525.336669832266</t>
  </si>
  <si>
    <t>-639.990961235116 233.343023589898 -497.961196649157</t>
  </si>
  <si>
    <t>-516.250446696293 235.945930824518 -244.465532427959</t>
  </si>
  <si>
    <t>-284.17481634185 241.235063645392 -252.303317336666</t>
  </si>
  <si>
    <t>-661.034535596967 18.7122643047287 -526.875834885427</t>
  </si>
  <si>
    <t>-595.768943521878 143.50810864137 -95.5333819116044</t>
  </si>
  <si>
    <t>-622.415846777767 148.183638748247 319.160105768462</t>
  </si>
  <si>
    <t>-671.421769988664 178.860189172962 778.642636791326</t>
  </si>
  <si>
    <t>-521.355401333944 180.310028581769 836.623870582057</t>
  </si>
  <si>
    <t>-591.475320743069 -58.4988456523809 323.305492662985</t>
  </si>
  <si>
    <t>-651.405717567049 -99.9593980373761 780.588902142011</t>
  </si>
  <si>
    <t>-497.533000557814 -116.970581291536 824.379630519457</t>
  </si>
  <si>
    <t>9763-20170724T115531.061853100.bin</t>
  </si>
  <si>
    <t>-590.100325718981 51.7562647858449 -91.9772182405997</t>
  </si>
  <si>
    <t>-612.282258659101 48.2012262046098 -200.387693160254</t>
  </si>
  <si>
    <t>-627.431290658084 47.5213138354513 -292.016682760124</t>
  </si>
  <si>
    <t>-640.637423294314 47.7801568265975 -374.863927766806</t>
  </si>
  <si>
    <t>-652.794434483309 48.929200378911 -457.864009470939</t>
  </si>
  <si>
    <t>-669.409847028281 51.5785845188616 -579.362362567985</t>
  </si>
  <si>
    <t>-660.617800278581 56.3375271249809 -657.081465686927</t>
  </si>
  <si>
    <t>-662.778784590118 81.7608062235663 -525.276174877609</t>
  </si>
  <si>
    <t>-640.273898818155 233.684906136032 -497.876206484327</t>
  </si>
  <si>
    <t>-515.956145294416 236.199278658502 -244.662218036882</t>
  </si>
  <si>
    <t>-283.873588844227 241.241500034264 -252.459273496194</t>
  </si>
  <si>
    <t>-661.459504837498 19.0713543130698 -526.823689289309</t>
  </si>
  <si>
    <t>-595.842170081353 143.812940454344 -95.5146227567275</t>
  </si>
  <si>
    <t>-622.519751910414 148.341896177866 319.178505685118</t>
  </si>
  <si>
    <t>-671.45874088905 178.820351942828 778.673835186528</t>
  </si>
  <si>
    <t>-521.373938250269 180.265256999472 836.60725356177</t>
  </si>
  <si>
    <t>-591.47782530164 -58.2874087993091 323.31123157117</t>
  </si>
  <si>
    <t>-651.389627177865 -99.9753140519483 780.578984501536</t>
  </si>
  <si>
    <t>-497.52850296719 -117.026645793764 824.394881399428</t>
  </si>
  <si>
    <t>9763-20170724T115531.126041400.bin</t>
  </si>
  <si>
    <t>-590.325906390195 52.2624554200995 -91.9612888691678</t>
  </si>
  <si>
    <t>-612.612062005526 48.7475261834529 -200.351629242147</t>
  </si>
  <si>
    <t>-627.898755177657 48.0994605905921 -291.958136714589</t>
  </si>
  <si>
    <t>-641.249353854361 48.3870922154133 -374.782098434279</t>
  </si>
  <si>
    <t>-653.571179007842 49.5647342876621 -457.757570297647</t>
  </si>
  <si>
    <t>-670.449967218946 52.2560683635502 -579.218543189822</t>
  </si>
  <si>
    <t>-661.816260305917 57.0457696387523 -656.953513025359</t>
  </si>
  <si>
    <t>-663.68866966974 82.4200329913479 -525.13829325878</t>
  </si>
  <si>
    <t>-641.199914964356 234.345277697306 -497.750740355845</t>
  </si>
  <si>
    <t>-515.519318746818 236.836314007917 -245.210103941097</t>
  </si>
  <si>
    <t>-283.42690337283 241.533513204023 -252.928460433493</t>
  </si>
  <si>
    <t>-662.39867364588 19.7304706027555 -526.706774336036</t>
  </si>
  <si>
    <t>-596.032825823449 144.307937903646 -95.4802747848319</t>
  </si>
  <si>
    <t>-622.764531667693 148.531566993797 319.212607359682</t>
  </si>
  <si>
    <t>-671.501462548357 178.835956910506 778.738229239484</t>
  </si>
  <si>
    <t>-521.373534484812 180.385646763891 836.557119455407</t>
  </si>
  <si>
    <t>-591.473552846439 -57.9012923002035 323.307521021387</t>
  </si>
  <si>
    <t>-651.351859027837 -99.9311011493169 780.552217949457</t>
  </si>
  <si>
    <t>-497.473994243648 -116.733683896392 824.405373869022</t>
  </si>
  <si>
    <t>9763-20170724T115531.160130600.bin</t>
  </si>
  <si>
    <t>-590.402283031184 52.4411075171045 -91.9577886725075</t>
  </si>
  <si>
    <t>-612.74817243854 48.9484086832399 -200.336504546337</t>
  </si>
  <si>
    <t>-628.102316767826 48.3310733941175 -291.931875172312</t>
  </si>
  <si>
    <t>-641.520726284174 48.6514503261226 -374.744736668016</t>
  </si>
  <si>
    <t>-653.917468109206 49.8668802521195 -457.70861656823</t>
  </si>
  <si>
    <t>-670.913415785628 52.6193766163528 -579.151838261035</t>
  </si>
  <si>
    <t>-662.379448852421 57.4409901621411 -656.895953555872</t>
  </si>
  <si>
    <t>-664.106059376343 82.7558129372455 -525.062262496654</t>
  </si>
  <si>
    <t>-641.682290443525 234.68433359549 -497.619125636579</t>
  </si>
  <si>
    <t>-515.177550856609 237.162535835612 -245.490255820723</t>
  </si>
  <si>
    <t>-283.080207321376 241.650389963992 -253.184858042039</t>
  </si>
  <si>
    <t>-662.805457372339 20.0672765612931 -526.665105582549</t>
  </si>
  <si>
    <t>-596.098303429041 144.489377372788 -95.457918850262</t>
  </si>
  <si>
    <t>-622.879363192804 148.580548644621 319.233079285036</t>
  </si>
  <si>
    <t>-671.516407622191 178.873813194617 778.769953310491</t>
  </si>
  <si>
    <t>-521.36662936153 180.237604892084 836.536794784266</t>
  </si>
  <si>
    <t>-591.410459584162 -57.7680981188066 323.296994304684</t>
  </si>
  <si>
    <t>-651.332749234611 -99.9589518725779 780.532306938279</t>
  </si>
  <si>
    <t>-497.488345305297 -116.985019353424 824.416619504035</t>
  </si>
  <si>
    <t>9763-20170724T115531.226312300.bin</t>
  </si>
  <si>
    <t>-590.39256531181 52.775888200915 -91.9450414468246</t>
  </si>
  <si>
    <t>-612.842309639408 49.3314559227556 -200.30395694092</t>
  </si>
  <si>
    <t>-628.318652937124 48.7941719624009 -291.879173412436</t>
  </si>
  <si>
    <t>-641.861234634508 49.2028396442302 -374.671402041387</t>
  </si>
  <si>
    <t>-654.395788731125 50.5231263786313 -457.612866334087</t>
  </si>
  <si>
    <t>-671.608417997829 53.446186570819 -579.021768641233</t>
  </si>
  <si>
    <t>-663.266495611975 58.3273115462966 -656.782863199925</t>
  </si>
  <si>
    <t>-664.700564124224 83.5067593989124 -524.90245195425</t>
  </si>
  <si>
    <t>-642.246767479593 235.385421553543 -497.239098913561</t>
  </si>
  <si>
    <t>-514.2804025033 237.825951439241 -245.848506532102</t>
  </si>
  <si>
    <t>-282.179281644197 242.013685150765 -253.598226532301</t>
  </si>
  <si>
    <t>-663.410723028757 20.8204601238085 -526.59465461056</t>
  </si>
  <si>
    <t>-596.066591552195 144.848575700384 -95.4132418776593</t>
  </si>
  <si>
    <t>-623.047284110184 148.671525646707 319.267393379583</t>
  </si>
  <si>
    <t>-671.530840260243 178.952200216548 778.81805793721</t>
  </si>
  <si>
    <t>-521.349328376248 180.182251303823 836.505276176772</t>
  </si>
  <si>
    <t>-591.211882248148 -57.5257317756486 323.27259270411</t>
  </si>
  <si>
    <t>-651.300862002072 -99.9943284845183 780.470240310383</t>
  </si>
  <si>
    <t>-497.501309776873 -117.299270251552 824.402747645461</t>
  </si>
  <si>
    <t>9763-20170724T115531.259401900.bin</t>
  </si>
  <si>
    <t>-590.306668842221 52.9878618263374 -91.9391667926776</t>
  </si>
  <si>
    <t>-612.8180811789 49.5726048765498 -200.286254289338</t>
  </si>
  <si>
    <t>-628.379248245492 49.0928024999291 -291.847325401057</t>
  </si>
  <si>
    <t>-642.011472871676 49.5672786859996 -374.624588287202</t>
  </si>
  <si>
    <t>-654.648915099644 50.9669009130055 -457.549121523134</t>
  </si>
  <si>
    <t>-672.026264881358 54.0214993497552 -578.931287356523</t>
  </si>
  <si>
    <t>-663.773495922082 58.955454529895 -656.698620331888</t>
  </si>
  <si>
    <t>-665.045301007434 84.0234810501147 -524.788903105987</t>
  </si>
  <si>
    <t>-642.553904652541 235.869270023177 -496.978955270123</t>
  </si>
  <si>
    <t>-513.862178965794 238.282729583853 -245.958576260225</t>
  </si>
  <si>
    <t>-281.755865096938 242.303947010229 -253.640756303511</t>
  </si>
  <si>
    <t>-663.757175199193 21.338831773438 -526.550851547762</t>
  </si>
  <si>
    <t>-595.948970989075 145.109275142758 -95.388527906093</t>
  </si>
  <si>
    <t>-623.009948492033 148.795828640384 319.288040317382</t>
  </si>
  <si>
    <t>-671.528070583822 179.013707925411 778.834282795597</t>
  </si>
  <si>
    <t>-521.335990625456 180.151502252222 836.495877918028</t>
  </si>
  <si>
    <t>-591.08738063597 -57.3778079095407 323.261882085444</t>
  </si>
  <si>
    <t>-651.292080171563 -100.012173832227 780.434340926518</t>
  </si>
  <si>
    <t>-497.510041227577 -117.431861002111 824.382807885122</t>
  </si>
  <si>
    <t>9763-20170724T115531.327587800.bin</t>
  </si>
  <si>
    <t>-590.072423233551 53.4227179008885 -91.9260784279098</t>
  </si>
  <si>
    <t>-612.701493799487 50.0484597482489 -200.24989563435</t>
  </si>
  <si>
    <t>-628.408778285559 49.7023908978661 -291.786644438453</t>
  </si>
  <si>
    <t>-642.191656215757 50.33835734131 -374.537904864096</t>
  </si>
  <si>
    <t>-654.998372987692 51.9404932985392 -457.432754462462</t>
  </si>
  <si>
    <t>-672.643624775184 55.3360826452492 -578.767210273377</t>
  </si>
  <si>
    <t>-664.542807759187 60.452766984868 -656.538703920626</t>
  </si>
  <si>
    <t>-665.539141338942 85.1858086648524 -524.556759394135</t>
  </si>
  <si>
    <t>-643.010779942491 236.939037595977 -496.285465006807</t>
  </si>
  <si>
    <t>-512.820575067511 239.001778650498 -246.035984837128</t>
  </si>
  <si>
    <t>-280.706951365955 242.795640384447 -253.613414586873</t>
  </si>
  <si>
    <t>-664.262907994096 22.506515402092 -526.496563165608</t>
  </si>
  <si>
    <t>-595.598007942864 145.548525526054 -95.3499962815069</t>
  </si>
  <si>
    <t>-622.864270749487 148.971173184704 319.315445957942</t>
  </si>
  <si>
    <t>-671.547831636745 179.025044558286 778.857162604138</t>
  </si>
  <si>
    <t>-521.34349725329 180.263490568675 836.484975836466</t>
  </si>
  <si>
    <t>-590.789092873739 -57.038534124543 323.252218156445</t>
  </si>
  <si>
    <t>-651.257038796931 -100.01985172991 780.364279210007</t>
  </si>
  <si>
    <t>-497.487206404307 -117.430901770019 824.358749233684</t>
  </si>
  <si>
    <t>9763-20170724T115531.360676300.bin</t>
  </si>
  <si>
    <t>-589.926292301586 53.6403828656357 -91.9156053083634</t>
  </si>
  <si>
    <t>-612.617821427318 50.2849862208529 -200.226948566988</t>
  </si>
  <si>
    <t>-628.374249384942 50.0250088133021 -291.755651358443</t>
  </si>
  <si>
    <t>-642.19998608163 50.7669932983758 -374.498716558712</t>
  </si>
  <si>
    <t>-655.047830600175 52.5038269361462 -457.384543195994</t>
  </si>
  <si>
    <t>-672.751211703982 56.127973850357 -578.703853701513</t>
  </si>
  <si>
    <t>-664.693652088733 61.3694852118708 -656.471629341052</t>
  </si>
  <si>
    <t>-665.624948141212 85.8754475564124 -524.440229401475</t>
  </si>
  <si>
    <t>-643.050124007375 237.57660290213 -495.905864727596</t>
  </si>
  <si>
    <t>-512.195423320429 239.317227022224 -246.000773964268</t>
  </si>
  <si>
    <t>-280.08378017588 243.026692185667 -253.678462013224</t>
  </si>
  <si>
    <t>-664.341301059317 23.1999930546026 -526.499879113347</t>
  </si>
  <si>
    <t>-595.416545312894 145.780243612104 -95.3313874045764</t>
  </si>
  <si>
    <t>-622.741638526057 149.075615814946 319.331214723685</t>
  </si>
  <si>
    <t>-671.545978284947 179.052624462118 778.860364899535</t>
  </si>
  <si>
    <t>-521.340378369144 180.212699355849 836.486347324597</t>
  </si>
  <si>
    <t>-590.638710709024 -56.8661316366383 323.245870325637</t>
  </si>
  <si>
    <t>-651.242223907836 -99.9893659834895 780.330257493537</t>
  </si>
  <si>
    <t>-497.433036694156 -117.038640117543 824.328876900746</t>
  </si>
  <si>
    <t>9763-20170724T115531.425394300.bin</t>
  </si>
  <si>
    <t>-589.645029816016 53.9102102780214 -91.9098445183232</t>
  </si>
  <si>
    <t>-612.420129662156 50.5801853551473 -200.204286340107</t>
  </si>
  <si>
    <t>-628.290131645948 50.4649204616053 -291.713737426812</t>
  </si>
  <si>
    <t>-642.235202104654 51.387531744673 -374.435049699631</t>
  </si>
  <si>
    <t>-655.219009069659 53.3547564144822 -457.294503426891</t>
  </si>
  <si>
    <t>-673.139067076656 57.3708765073206 -578.569627156184</t>
  </si>
  <si>
    <t>-665.182018947896 62.8449749887116 -656.331626864537</t>
  </si>
  <si>
    <t>-665.912427557503 86.942862342818 -524.223486999515</t>
  </si>
  <si>
    <t>-643.215271420123 238.521931581686 -495.103336049164</t>
  </si>
  <si>
    <t>-510.790049447538 239.533939695919 -246.022793636608</t>
  </si>
  <si>
    <t>-278.679796257267 242.835102231181 -253.926153005121</t>
  </si>
  <si>
    <t>-664.639423094462 24.2742986852327 -526.486853406877</t>
  </si>
  <si>
    <t>-595.136957342494 146.061531909886 -95.3068487181002</t>
  </si>
  <si>
    <t>-622.554030798136 149.14359497704 319.351406843032</t>
  </si>
  <si>
    <t>-671.557082829088 179.015476941718 778.858750333868</t>
  </si>
  <si>
    <t>-521.352181437421 180.276855946991 836.484368826351</t>
  </si>
  <si>
    <t>-590.34676518473 -56.683952471948 323.224012942128</t>
  </si>
  <si>
    <t>-651.22488582956 -100.044068996484 780.251775506707</t>
  </si>
  <si>
    <t>-497.470799240278 -117.510576563942 824.279332490964</t>
  </si>
  <si>
    <t>9763-20170724T115531.459484600.bin</t>
  </si>
  <si>
    <t>-589.487801683746 53.9854776044849 -91.9085621285452</t>
  </si>
  <si>
    <t>-612.31504970071 50.6826476857909 -200.192987520036</t>
  </si>
  <si>
    <t>-628.256541842292 50.6380645904392 -291.689936670809</t>
  </si>
  <si>
    <t>-642.276875774646 51.6440996795595 -374.397582226454</t>
  </si>
  <si>
    <t>-655.346628856305 53.7141540366842 -457.241026075703</t>
  </si>
  <si>
    <t>-673.40388858787 57.901808135774 -578.490007297956</t>
  </si>
  <si>
    <t>-665.509616227974 63.4788885585349 -656.251105670111</t>
  </si>
  <si>
    <t>-666.109082306292 87.3971267894212 -524.111266347808</t>
  </si>
  <si>
    <t>-643.360024076861 238.912706858092 -494.735531727689</t>
  </si>
  <si>
    <t>-510.150800522195 239.669093209809 -246.072499661547</t>
  </si>
  <si>
    <t>-278.045048906931 242.653038068422 -254.230647242538</t>
  </si>
  <si>
    <t>-664.852009846785 24.7313469658011 -526.462847532403</t>
  </si>
  <si>
    <t>-594.9784620835 146.147196423271 -95.2887590608806</t>
  </si>
  <si>
    <t>-622.51942915415 149.154757493454 319.361776846633</t>
  </si>
  <si>
    <t>-671.540061544057 179.090483891914 778.856736844341</t>
  </si>
  <si>
    <t>-521.33524120589 180.352532604945 836.482616727598</t>
  </si>
  <si>
    <t>-590.189240947596 -56.6300737545012 323.205952690056</t>
  </si>
  <si>
    <t>-651.210953482945 -100.040600072754 780.209677670526</t>
  </si>
  <si>
    <t>-497.431452445727 -117.247222363623 824.250830307717</t>
  </si>
  <si>
    <t>9763-20170724T115531.530179800.bin</t>
  </si>
  <si>
    <t>-589.199346491517 54.0823163120144 -91.9386606915336</t>
  </si>
  <si>
    <t>-612.131975995429 50.8474491881877 -200.20279683121</t>
  </si>
  <si>
    <t>-628.21929302398 50.9449571978344 -291.674293930357</t>
  </si>
  <si>
    <t>-642.393893218002 52.1141415027878 -374.353529836623</t>
  </si>
  <si>
    <t>-655.640349329495 54.382148001826 -457.163742410041</t>
  </si>
  <si>
    <t>-673.980397205251 58.8975857369003 -578.358428518108</t>
  </si>
  <si>
    <t>-666.195915511008 64.6502545762069 -656.11777777199</t>
  </si>
  <si>
    <t>-666.540451125255 88.2463321377788 -523.919968199577</t>
  </si>
  <si>
    <t>-643.654865858213 239.658847388564 -494.096861468058</t>
  </si>
  <si>
    <t>-509.001510203235 240.064884987842 -246.212124014811</t>
  </si>
  <si>
    <t>-276.911697900264 242.380031317687 -255.015243127696</t>
  </si>
  <si>
    <t>-665.325391254398 25.5862653447546 -526.438342102598</t>
  </si>
  <si>
    <t>-594.642603618418 146.242842365647 -95.2694742597902</t>
  </si>
  <si>
    <t>-622.421368349782 149.138449470037 319.365957162359</t>
  </si>
  <si>
    <t>-671.536833829442 179.056923445596 778.849165570982</t>
  </si>
  <si>
    <t>-521.339167920281 180.329489260728 836.493426966479</t>
  </si>
  <si>
    <t>-589.866182497264 -56.5223499265348 323.141573632526</t>
  </si>
  <si>
    <t>-651.19156635757 -100.039839772788 780.099247722365</t>
  </si>
  <si>
    <t>-497.414673242827 -117.213475291339 824.162388993565</t>
  </si>
  <si>
    <t>9763-20170724T115531.563269000.bin</t>
  </si>
  <si>
    <t>-589.069001109577 54.1275956878924 -91.951223887031</t>
  </si>
  <si>
    <t>-612.051071736797 50.9253483128859 -200.205814979659</t>
  </si>
  <si>
    <t>-628.206824971257 51.0782353042437 -291.665154185817</t>
  </si>
  <si>
    <t>-642.453869281943 52.3089895550625 -374.33102147626</t>
  </si>
  <si>
    <t>-655.783323848227 54.650032581842 -457.125699483979</t>
  </si>
  <si>
    <t>-674.256198872454 59.2849763987726 -578.295813812658</t>
  </si>
  <si>
    <t>-666.53269297206 65.0932590434286 -656.057200243513</t>
  </si>
  <si>
    <t>-666.737508185025 88.580415159608 -523.83962122681</t>
  </si>
  <si>
    <t>-643.757775765797 239.938881702529 -493.845231898536</t>
  </si>
  <si>
    <t>-508.436929410428 240.206034431011 -246.323878975969</t>
  </si>
  <si>
    <t>-276.35294291318 242.257661729533 -255.342853330493</t>
  </si>
  <si>
    <t>-665.563449627244 25.921921621863 -526.415369986442</t>
  </si>
  <si>
    <t>-594.455851530517 146.328262562857 -95.2676997373333</t>
  </si>
  <si>
    <t>-622.252706921732 149.192370997034 319.366750236698</t>
  </si>
  <si>
    <t>-671.516215222269 179.114958067828 778.840018208656</t>
  </si>
  <si>
    <t>-521.323988717674 180.256514490843 836.501182280227</t>
  </si>
  <si>
    <t>-589.717044115368 -56.4680688807039 323.107851940049</t>
  </si>
  <si>
    <t>-651.187014999045 -100.062836845631 780.040399870125</t>
  </si>
  <si>
    <t>-497.43601709216 -117.431204376756 824.117527231528</t>
  </si>
  <si>
    <t>9763-20170724T115531.626441800.bin</t>
  </si>
  <si>
    <t>-588.906273859426 54.1732523010903 -91.971159033536</t>
  </si>
  <si>
    <t>-612.011865425755 51.0656957627746 -200.202302817258</t>
  </si>
  <si>
    <t>-628.266121606704 51.3297607608474 -291.643931005639</t>
  </si>
  <si>
    <t>-642.599660318708 52.6755052873355 -374.292966495995</t>
  </si>
  <si>
    <t>-656.013175395845 55.1448394701763 -457.070489366661</t>
  </si>
  <si>
    <t>-674.606010814426 59.9820177003726 -578.214346933827</t>
  </si>
  <si>
    <t>-666.9515188983 65.8625736042648 -655.977041093261</t>
  </si>
  <si>
    <t>-666.967125183545 89.1881917238923 -523.726941832785</t>
  </si>
  <si>
    <t>-643.619339122525 240.449652921629 -493.519820118903</t>
  </si>
  <si>
    <t>-507.359773200452 240.597287399958 -246.514020786537</t>
  </si>
  <si>
    <t>-275.291298533266 242.056179634784 -256.033832002243</t>
  </si>
  <si>
    <t>-665.928172592313 26.530809795596 -526.388166487327</t>
  </si>
  <si>
    <t>-594.11030033302 146.422705900003 -95.2373614183025</t>
  </si>
  <si>
    <t>-621.983049559425 149.19609976713 319.392669248925</t>
  </si>
  <si>
    <t>-671.534331996759 179.026063381369 778.832512333694</t>
  </si>
  <si>
    <t>-521.346549835167 180.361098313886 836.501185308457</t>
  </si>
  <si>
    <t>-589.496252123574 -56.3814272002239 323.041635201467</t>
  </si>
  <si>
    <t>-651.177297578189 -100.062422515115 779.936860579601</t>
  </si>
  <si>
    <t>-497.423268450376 -117.369710925947 824.027426865482</t>
  </si>
  <si>
    <t>9763-20170724T115531.659529600.bin</t>
  </si>
  <si>
    <t>-588.864277624175 54.190670749899 -91.9928450565438</t>
  </si>
  <si>
    <t>-612.009010700858 51.1147909299755 -200.216430111408</t>
  </si>
  <si>
    <t>-628.295388792172 51.4137520252 -291.652167438029</t>
  </si>
  <si>
    <t>-642.657500902323 52.7956197692658 -374.295832560627</t>
  </si>
  <si>
    <t>-656.099101711696 55.3048940713638 -457.067606558142</t>
  </si>
  <si>
    <t>-674.732486405257 60.2042611424424 -578.202646175321</t>
  </si>
  <si>
    <t>-667.100449259882 66.0911289244368 -655.967031238313</t>
  </si>
  <si>
    <t>-667.036915212377 89.3832432839229 -523.708616219126</t>
  </si>
  <si>
    <t>-643.504325664787 240.600568340394 -493.451648652569</t>
  </si>
  <si>
    <t>-506.858205597305 240.925605119326 -246.659543658948</t>
  </si>
  <si>
    <t>-274.797915930897 241.987083391767 -256.427902451516</t>
  </si>
  <si>
    <t>-666.075769757555 26.7255586814474 -526.390573493112</t>
  </si>
  <si>
    <t>-593.947213107432 146.476695528348 -95.2379635850882</t>
  </si>
  <si>
    <t>-621.842452628094 149.199124006852 319.390859325562</t>
  </si>
  <si>
    <t>-671.533850714661 179.030935701156 778.82655769474</t>
  </si>
  <si>
    <t>-521.34639665099 180.337083816238 836.496689957331</t>
  </si>
  <si>
    <t>-589.452500235991 -56.3597993928213 323.01306510815</t>
  </si>
  <si>
    <t>-651.170559400653 -100.065876297332 779.894648581461</t>
  </si>
  <si>
    <t>-497.432688569887 -117.496878624582 823.992781949949</t>
  </si>
  <si>
    <t>9763-20170724T115531.729291000.bin</t>
  </si>
  <si>
    <t>-588.775383816168 54.3892696191817 -92.020287357662</t>
  </si>
  <si>
    <t>-611.980321365 51.3604559394496 -200.232471218289</t>
  </si>
  <si>
    <t>-628.314140791974 51.683011246959 -291.659551581999</t>
  </si>
  <si>
    <t>-642.717889526516 53.0812456609272 -374.295685762861</t>
  </si>
  <si>
    <t>-656.199701363457 55.6012225492293 -457.060573446704</t>
  </si>
  <si>
    <t>-674.890371408334 60.5095350384993 -578.186376698463</t>
  </si>
  <si>
    <t>-667.270027247554 66.3275520585541 -655.957225061793</t>
  </si>
  <si>
    <t>-667.096572579563 89.685965152888 -523.705002526713</t>
  </si>
  <si>
    <t>-643.305560695928 240.880726113689 -493.515649718451</t>
  </si>
  <si>
    <t>-505.827525124942 241.323340017017 -247.186294997034</t>
  </si>
  <si>
    <t>-273.775911292715 241.564313721995 -257.212648988568</t>
  </si>
  <si>
    <t>-666.281575669415 27.0255124926518 -526.369933861629</t>
  </si>
  <si>
    <t>-593.663505197431 146.747226713509 -95.257169290725</t>
  </si>
  <si>
    <t>-621.618229625547 149.347143358812 319.368414635191</t>
  </si>
  <si>
    <t>-671.515509709051 179.120623977681 778.803811797037</t>
  </si>
  <si>
    <t>-521.327876329534 180.328472780037 836.475749500062</t>
  </si>
  <si>
    <t>-589.412564476096 -56.2007768002609 322.973821199393</t>
  </si>
  <si>
    <t>-651.154477781446 -100.055864783911 779.835523652297</t>
  </si>
  <si>
    <t>-497.408332745308 -117.37557558628 823.948764384809</t>
  </si>
  <si>
    <t>9763-20170724T115531.764383500.bin</t>
  </si>
  <si>
    <t>-588.729230313205 54.500296253367 -92.0210061362064</t>
  </si>
  <si>
    <t>-611.969003671115 51.4828991049935 -200.226081301534</t>
  </si>
  <si>
    <t>-628.31625735708 51.8055546358225 -291.650739787078</t>
  </si>
  <si>
    <t>-642.72563115673 53.2007718554901 -374.285870670908</t>
  </si>
  <si>
    <t>-656.206598691656 55.7137383815689 -457.051105442989</t>
  </si>
  <si>
    <t>-674.88882194356 60.6076455530156 -578.178929260749</t>
  </si>
  <si>
    <t>-667.274042760711 66.3827351211355 -655.95342246255</t>
  </si>
  <si>
    <t>-667.067801330556 89.7911885319331 -523.705155527719</t>
  </si>
  <si>
    <t>-643.131185573754 240.972271422463 -493.589344560165</t>
  </si>
  <si>
    <t>-505.266080511896 241.731966932108 -247.477112064826</t>
  </si>
  <si>
    <t>-273.219852542279 241.45161649024 -257.625683550662</t>
  </si>
  <si>
    <t>-666.314629830917 27.1293193890826 -526.353108029913</t>
  </si>
  <si>
    <t>-593.533956326602 146.879079402605 -95.2587447156394</t>
  </si>
  <si>
    <t>-621.554816608258 149.447042819261 319.362599340103</t>
  </si>
  <si>
    <t>-671.518013647025 179.147135776676 778.797906653651</t>
  </si>
  <si>
    <t>-521.32798134128 180.219038271441 836.466181773181</t>
  </si>
  <si>
    <t>-589.394082501524 -56.1374428643101 322.967108569483</t>
  </si>
  <si>
    <t>-651.141894211181 -100.090709829655 779.819111777263</t>
  </si>
  <si>
    <t>-497.438346140797 -117.734750666473 823.952197417448</t>
  </si>
  <si>
    <t>9763-20170724T115531.829577500.bin</t>
  </si>
  <si>
    <t>-588.659114255821 54.7915989502455 -92.0320336801203</t>
  </si>
  <si>
    <t>-611.9908891394 51.7854712295537 -200.217552558158</t>
  </si>
  <si>
    <t>-628.403166126942 52.0655632683026 -291.630835943242</t>
  </si>
  <si>
    <t>-642.866276671682 53.4023052243072 -374.257530013241</t>
  </si>
  <si>
    <t>-656.395867354853 55.8358327899596 -457.017171593297</t>
  </si>
  <si>
    <t>-675.143540152918 60.590540198114 -578.140409898985</t>
  </si>
  <si>
    <t>-667.516774888642 66.1928375716884 -655.92637633051</t>
  </si>
  <si>
    <t>-667.233459607624 89.8377318454047 -523.713698807159</t>
  </si>
  <si>
    <t>-643.085573602777 241.038602394231 -493.851337335361</t>
  </si>
  <si>
    <t>-504.331347546864 242.333129075254 -248.241653047172</t>
  </si>
  <si>
    <t>-272.280608891191 241.050843099928 -258.20879772124</t>
  </si>
  <si>
    <t>-666.60100940514 27.1706770411704 -526.271535241121</t>
  </si>
  <si>
    <t>-593.388011337308 147.214473566014 -95.2700161172163</t>
  </si>
  <si>
    <t>-621.365593295953 149.65849639131 319.354979520132</t>
  </si>
  <si>
    <t>-671.51489871321 179.188578527564 778.789317777863</t>
  </si>
  <si>
    <t>-521.318246728336 180.246733016184 836.440639573316</t>
  </si>
  <si>
    <t>-589.296264631691 -55.9067443996967 322.960746697969</t>
  </si>
  <si>
    <t>-651.117953981447 -100.05830779891 779.789458937964</t>
  </si>
  <si>
    <t>-497.400954994182 -117.55551803558 823.934259116857</t>
  </si>
  <si>
    <t>9763-20170724T115531.857663100.bin</t>
  </si>
  <si>
    <t>-588.614291942488 54.9481478353782 -92.0276470936099</t>
  </si>
  <si>
    <t>-611.992329031996 51.9415019163771 -200.20310630522</t>
  </si>
  <si>
    <t>-628.432812660309 52.189083830352 -291.611433726417</t>
  </si>
  <si>
    <t>-642.917048486149 53.4842851921362 -374.23503153649</t>
  </si>
  <si>
    <t>-656.463510064983 55.863235085036 -456.993484331253</t>
  </si>
  <si>
    <t>-675.23103108888 60.5240652218961 -578.117402774303</t>
  </si>
  <si>
    <t>-667.581700641778 66.0178947416071 -655.908840619245</t>
  </si>
  <si>
    <t>-667.281867910686 89.8140010573579 -523.719247574412</t>
  </si>
  <si>
    <t>-643.008815452933 241.028153865239 -494.009789723621</t>
  </si>
  <si>
    <t>-503.833600044539 242.665627746866 -248.640303863369</t>
  </si>
  <si>
    <t>-271.775845785647 240.989600156949 -258.382676195673</t>
  </si>
  <si>
    <t>-666.710071481149 27.1440539927971 -526.2193015815</t>
  </si>
  <si>
    <t>-593.288841254387 147.391563847299 -95.2684576712676</t>
  </si>
  <si>
    <t>-621.268105797133 149.788208146788 319.356714834185</t>
  </si>
  <si>
    <t>-671.522828882664 179.199259845955 778.791166840479</t>
  </si>
  <si>
    <t>-521.321089985451 180.180367022577 836.430570491268</t>
  </si>
  <si>
    <t>-589.238002038904 -55.7737874926163 322.972020634346</t>
  </si>
  <si>
    <t>-651.10213326973 -100.047159262306 779.782868539296</t>
  </si>
  <si>
    <t>-497.391625694052 -117.560743675555 823.943720645269</t>
  </si>
  <si>
    <t>9763-20170724T115531.927373400.bin</t>
  </si>
  <si>
    <t>-588.55332526446 55.2056567360544 -92.0187751465534</t>
  </si>
  <si>
    <t>-612.031006886045 52.2052117526889 -200.172882188897</t>
  </si>
  <si>
    <t>-628.536089427635 52.3666875611868 -291.569641635708</t>
  </si>
  <si>
    <t>-643.071112633736 53.54837649413 -374.186127915827</t>
  </si>
  <si>
    <t>-656.661004694066 55.7771130805347 -456.941717545905</t>
  </si>
  <si>
    <t>-675.484079016182 60.1777099393751 -578.066627718946</t>
  </si>
  <si>
    <t>-667.807906569016 65.3940967508784 -655.874589653613</t>
  </si>
  <si>
    <t>-667.460961898293 89.5851042230827 -523.742834246331</t>
  </si>
  <si>
    <t>-642.97717197061 240.843952849751 -494.446861750243</t>
  </si>
  <si>
    <t>-503.078524537689 243.045856427096 -249.493606608585</t>
  </si>
  <si>
    <t>-271.006113613403 240.975763703944 -258.801558467919</t>
  </si>
  <si>
    <t>-666.98836765456 26.9084862385807 -526.093374727624</t>
  </si>
  <si>
    <t>-593.146047290698 147.665822763435 -95.259127351782</t>
  </si>
  <si>
    <t>-621.047084990028 149.931987680303 319.371995155567</t>
  </si>
  <si>
    <t>-671.543988405033 179.155144745554 778.789508626797</t>
  </si>
  <si>
    <t>-521.332449456956 180.331003318449 836.399743931072</t>
  </si>
  <si>
    <t>-589.139459517583 -55.4849285770597 323.000134877572</t>
  </si>
  <si>
    <t>-651.077508005625 -100.007059990549 779.779005534456</t>
  </si>
  <si>
    <t>-497.331953597034 -117.188911177145 823.948040946801</t>
  </si>
  <si>
    <t>9763-20170724T115531.961463300.bin</t>
  </si>
  <si>
    <t>-588.557940681691 55.3320085929374 -92.0242031136664</t>
  </si>
  <si>
    <t>-612.071801868028 52.3367743774511 -200.170636466709</t>
  </si>
  <si>
    <t>-628.581436298791 52.4523720228392 -291.566727777893</t>
  </si>
  <si>
    <t>-643.110389943086 53.5726120910808 -374.184980570213</t>
  </si>
  <si>
    <t>-656.684069850081 55.7196062376045 -456.945494600139</t>
  </si>
  <si>
    <t>-675.472535117158 59.9780832522827 -578.08085148103</t>
  </si>
  <si>
    <t>-667.782039880508 65.0410808401375 -655.897420892649</t>
  </si>
  <si>
    <t>-667.449961415352 89.4492568114956 -523.79158492579</t>
  </si>
  <si>
    <t>-642.932583425601 240.749430714364 -494.729083854796</t>
  </si>
  <si>
    <t>-502.616190422946 243.121654343397 -250.01646465107</t>
  </si>
  <si>
    <t>-270.532867926785 240.932469273712 -259.019736474909</t>
  </si>
  <si>
    <t>-667.006701157496 26.7696233369486 -526.063808297728</t>
  </si>
  <si>
    <t>-593.116067711544 147.857293474372 -95.2626498739984</t>
  </si>
  <si>
    <t>-620.967717326295 150.090671714148 319.372006898701</t>
  </si>
  <si>
    <t>-671.537552901845 179.239609759398 778.79389592292</t>
  </si>
  <si>
    <t>-521.31646478928 180.099484120449 836.38494847959</t>
  </si>
  <si>
    <t>-589.098509612624 -55.3744377957471 323.005781155511</t>
  </si>
  <si>
    <t>-651.073869535429 -100.036804684103 779.774793647725</t>
  </si>
  <si>
    <t>-497.39250488439 -117.741096772578 823.960918296134</t>
  </si>
  <si>
    <t>9763-20170724T115532.026838200.bin</t>
  </si>
  <si>
    <t>-588.587813528906 55.5074718548815 -91.9887723907383</t>
  </si>
  <si>
    <t>-612.171876188785 52.5095492807427 -200.119674808169</t>
  </si>
  <si>
    <t>-628.697245427464 52.5276302468255 -291.512957890144</t>
  </si>
  <si>
    <t>-643.223581333761 53.5214589265549 -374.133469961783</t>
  </si>
  <si>
    <t>-656.778184962161 55.5033973068209 -456.901128768566</t>
  </si>
  <si>
    <t>-675.520889214916 59.4787168351629 -578.053164762601</t>
  </si>
  <si>
    <t>-667.81504652914 64.2450942092562 -655.887098986878</t>
  </si>
  <si>
    <t>-667.528155286388 89.0767948970185 -523.828388122734</t>
  </si>
  <si>
    <t>-643.022059175979 240.46590481319 -495.241726855796</t>
  </si>
  <si>
    <t>-501.90968610169 243.710695995413 -250.997303841327</t>
  </si>
  <si>
    <t>-269.818247947848 241.142536279312 -259.685910379836</t>
  </si>
  <si>
    <t>-667.065293059738 26.3921662253847 -525.956878543554</t>
  </si>
  <si>
    <t>-593.145114540573 148.025457191223 -95.2360501313804</t>
  </si>
  <si>
    <t>-620.869088253265 150.270105689335 319.407126852846</t>
  </si>
  <si>
    <t>-671.59463582591 179.149719032709 778.837350942545</t>
  </si>
  <si>
    <t>-521.339036320242 180.28861776239 836.333339546048</t>
  </si>
  <si>
    <t>-589.083169318793 -55.1718972022184 323.035305567123</t>
  </si>
  <si>
    <t>-651.053066335295 -100.015580552383 779.774312236751</t>
  </si>
  <si>
    <t>-497.401831996547 -117.909931438158 823.988671891124</t>
  </si>
  <si>
    <t>9763-20170724T115532.059930600.bin</t>
  </si>
  <si>
    <t>-588.622859723505 55.6126467385234 -91.9751481487473</t>
  </si>
  <si>
    <t>-612.232747037531 52.6137525179067 -200.100420494125</t>
  </si>
  <si>
    <t>-628.755873721072 52.5718100800086 -291.494271531415</t>
  </si>
  <si>
    <t>-643.270939878178 53.4875943951035 -374.117548501526</t>
  </si>
  <si>
    <t>-656.805352806033 55.3677436286382 -456.890880974561</t>
  </si>
  <si>
    <t>-675.508909763103 59.1681049403542 -578.054675495273</t>
  </si>
  <si>
    <t>-667.800750221553 63.766511726991 -655.898396614726</t>
  </si>
  <si>
    <t>-667.5471276478 88.844159069356 -523.867986143596</t>
  </si>
  <si>
    <t>-643.184484706375 240.30777613674 -495.550106411157</t>
  </si>
  <si>
    <t>-501.71792286883 243.951778897338 -251.516330792878</t>
  </si>
  <si>
    <t>-269.618524589959 241.202635880253 -259.932731813684</t>
  </si>
  <si>
    <t>-667.056741646139 26.1569627008084 -525.909893920369</t>
  </si>
  <si>
    <t>-593.173491795059 148.133119564228 -95.2151444119274</t>
  </si>
  <si>
    <t>-620.820790109554 150.367041802441 319.433251518001</t>
  </si>
  <si>
    <t>-671.636092042547 179.058036857763 778.862976843896</t>
  </si>
  <si>
    <t>-521.359678832907 180.314252776884 836.30208602668</t>
  </si>
  <si>
    <t>-589.068939395954 -55.0755619293955 323.051700114437</t>
  </si>
  <si>
    <t>-651.035365409095 -100.002432238631 779.782612693343</t>
  </si>
  <si>
    <t>-497.376223325908 -117.796014671662 824.010302873777</t>
  </si>
  <si>
    <t>9763-20170724T115532.127650400.bin</t>
  </si>
  <si>
    <t>-588.735487666272 55.9138159204927 -91.934579636052</t>
  </si>
  <si>
    <t>-612.353590265492 52.8995956535307 -200.057602421355</t>
  </si>
  <si>
    <t>-628.813435256305 52.7642255421506 -291.462624568857</t>
  </si>
  <si>
    <t>-643.243783714362 53.5627675192104 -374.102005373071</t>
  </si>
  <si>
    <t>-656.665947877274 55.2932950996662 -456.896867023213</t>
  </si>
  <si>
    <t>-675.175805990267 58.8387104092781 -578.098226958476</t>
  </si>
  <si>
    <t>-667.432592996274 63.153180665887 -655.954690770549</t>
  </si>
  <si>
    <t>-667.324109869689 88.6284097876155 -523.957871550209</t>
  </si>
  <si>
    <t>-643.092992069435 240.2057082033 -496.153531344251</t>
  </si>
  <si>
    <t>-501.294930616197 244.53805478165 -252.323350916389</t>
  </si>
  <si>
    <t>-269.178714981728 241.638107064895 -260.208957676551</t>
  </si>
  <si>
    <t>-666.783613043304 25.9375318169291 -525.87437204204</t>
  </si>
  <si>
    <t>-593.291909593558 148.4412726889 -95.1950094248917</t>
  </si>
  <si>
    <t>-620.799231621186 150.644411705959 319.462870072293</t>
  </si>
  <si>
    <t>-671.672661021595 179.020902354318 778.894744302858</t>
  </si>
  <si>
    <t>-521.367575731955 180.298887467139 836.258232577854</t>
  </si>
  <si>
    <t>-589.083882172605 -54.839303688218 323.090806428085</t>
  </si>
  <si>
    <t>-651.031911565981 -99.966936188765 779.796348300302</t>
  </si>
  <si>
    <t>-497.32065987853 -117.362694913481 824.001150676559</t>
  </si>
  <si>
    <t>9763-20170724T115532.160738500.bin</t>
  </si>
  <si>
    <t>-588.799953525913 56.0946932405909 -91.9271514324844</t>
  </si>
  <si>
    <t>-612.383644867708 53.0628203379276 -200.057115841141</t>
  </si>
  <si>
    <t>-628.776886504035 52.8713456746245 -291.474091943336</t>
  </si>
  <si>
    <t>-643.132255508975 53.6023378419934 -374.127150516124</t>
  </si>
  <si>
    <t>-656.464664965156 55.248515334933 -456.938239710158</t>
  </si>
  <si>
    <t>-674.827175271551 58.6521224785329 -578.165967086908</t>
  </si>
  <si>
    <t>-667.044116293458 62.8287711476389 -656.025956839655</t>
  </si>
  <si>
    <t>-667.048847196505 88.5050316994298 -524.049882608899</t>
  </si>
  <si>
    <t>-642.866489164064 240.141317757724 -496.486708604334</t>
  </si>
  <si>
    <t>-501.001979189835 244.817715184546 -252.701581998035</t>
  </si>
  <si>
    <t>-268.875452131762 241.893239985507 -260.267080020868</t>
  </si>
  <si>
    <t>-666.490906546421 25.8122629142977 -525.894615226111</t>
  </si>
  <si>
    <t>-593.337076490816 148.617480814296 -95.1984048068972</t>
  </si>
  <si>
    <t>-620.852316299983 150.798869448344 319.458938339259</t>
  </si>
  <si>
    <t>-671.681823181415 179.061777612359 778.912187589366</t>
  </si>
  <si>
    <t>-521.36531454162 180.26295389982 836.247452209994</t>
  </si>
  <si>
    <t>-589.138002034043 -54.7379533725764 323.107267597095</t>
  </si>
  <si>
    <t>-651.041558200885 -99.9524459490294 779.805289045134</t>
  </si>
  <si>
    <t>-497.31882671378 -117.314571224741 823.983371541481</t>
  </si>
  <si>
    <t>9763-20170724T115532.224918000.bin</t>
  </si>
  <si>
    <t>-588.793255119091 56.4678804617454 -91.890189155233</t>
  </si>
  <si>
    <t>-612.291759425465 53.3853146678268 -200.037409691889</t>
  </si>
  <si>
    <t>-628.592124409396 53.0396804926083 -291.4704843984</t>
  </si>
  <si>
    <t>-642.855695610569 53.5864783835684 -374.140947742726</t>
  </si>
  <si>
    <t>-656.08862787714 55.0031871079759 -456.972148048478</t>
  </si>
  <si>
    <t>-674.297543231311 58.0217161545791 -578.233107061336</t>
  </si>
  <si>
    <t>-666.436142112074 61.9223705170662 -656.099726413757</t>
  </si>
  <si>
    <t>-666.59083855508 88.0462589878678 -524.201915208526</t>
  </si>
  <si>
    <t>-642.437117520451 239.791524353178 -497.238599935653</t>
  </si>
  <si>
    <t>-500.375886022384 245.3790230832 -253.587420693224</t>
  </si>
  <si>
    <t>-268.224383519699 242.431433604324 -260.333758116468</t>
  </si>
  <si>
    <t>-666.024480363213 25.3479791060713 -525.84777430958</t>
  </si>
  <si>
    <t>-593.319605200175 148.982689409082 -95.1969956305443</t>
  </si>
  <si>
    <t>-620.927536534983 151.092408076466 319.45458406713</t>
  </si>
  <si>
    <t>-671.700934700562 179.122384206021 778.936575716621</t>
  </si>
  <si>
    <t>-521.368267245095 180.271770282322 836.23055170256</t>
  </si>
  <si>
    <t>-589.231944409109 -54.5842297402676 323.156769537572</t>
  </si>
  <si>
    <t>-651.04483323642 -99.9659967144923 779.845634071772</t>
  </si>
  <si>
    <t>-497.347064219252 -117.598301476591 824.003552463029</t>
  </si>
  <si>
    <t>9763-20170724T115532.257002700.bin</t>
  </si>
  <si>
    <t>-588.708631663091 56.6442209220436 -91.8724649209705</t>
  </si>
  <si>
    <t>-612.171351317673 53.5349354569269 -200.026698086769</t>
  </si>
  <si>
    <t>-628.44064230969 53.1072395710905 -291.464964346169</t>
  </si>
  <si>
    <t>-642.67599638726 53.5562596056952 -374.140746657346</t>
  </si>
  <si>
    <t>-655.880967673594 54.8511551972936 -456.978502942946</t>
  </si>
  <si>
    <t>-674.049304158516 57.665674268399 -578.250561287706</t>
  </si>
  <si>
    <t>-666.147524027329 61.4130767575205 -656.120470699969</t>
  </si>
  <si>
    <t>-666.371543270028 87.7810689248877 -524.265660808244</t>
  </si>
  <si>
    <t>-642.256797817254 239.58541677618 -497.597004739936</t>
  </si>
  <si>
    <t>-499.993151917481 245.721283967394 -254.077103552819</t>
  </si>
  <si>
    <t>-267.834431939175 242.690948649327 -260.533936534844</t>
  </si>
  <si>
    <t>-665.782821695436 25.0803871546059 -525.808999626607</t>
  </si>
  <si>
    <t>-593.237040556373 149.175989466293 -95.1997733686679</t>
  </si>
  <si>
    <t>-620.882100025043 151.245776819709 319.449618877128</t>
  </si>
  <si>
    <t>-671.682676231561 179.224367063846 778.933471002982</t>
  </si>
  <si>
    <t>-521.347241302993 180.208772221382 836.223239423977</t>
  </si>
  <si>
    <t>-589.217446356367 -54.4812752940099 323.193702833581</t>
  </si>
  <si>
    <t>-651.035715271246 -99.9421733831994 779.879395154948</t>
  </si>
  <si>
    <t>-497.362789884509 -117.785873733076 824.038760483233</t>
  </si>
  <si>
    <t>9763-20170724T115532.329203500.bin</t>
  </si>
  <si>
    <t>-588.454495480865 56.9339887236451 -91.8309937952044</t>
  </si>
  <si>
    <t>-611.85694362522 53.7730304367785 -199.996701310198</t>
  </si>
  <si>
    <t>-628.096667251075 53.1981586085622 -291.43949434453</t>
  </si>
  <si>
    <t>-642.314621792635 53.4721646331211 -374.119065211358</t>
  </si>
  <si>
    <t>-655.511658329803 54.5507608298044 -456.961104179601</t>
  </si>
  <si>
    <t>-673.679406629561 57.0032991522983 -578.241207328596</t>
  </si>
  <si>
    <t>-665.740590134733 60.4156613988569 -656.122803348145</t>
  </si>
  <si>
    <t>-666.023682532642 87.2793220561864 -524.343152212656</t>
  </si>
  <si>
    <t>-642.068158153792 239.206449798639 -498.242027181014</t>
  </si>
  <si>
    <t>-499.336265795942 246.396145704242 -255.025070742538</t>
  </si>
  <si>
    <t>-267.169255441224 243.336134365485 -261.162209585456</t>
  </si>
  <si>
    <t>-665.391427483442 24.5749960438459 -525.705873307688</t>
  </si>
  <si>
    <t>-593.029305503703 149.428885409516 -95.1951841728477</t>
  </si>
  <si>
    <t>-620.72067269598 151.425262364908 319.451387050148</t>
  </si>
  <si>
    <t>-671.700337054936 179.172715829634 778.935211582638</t>
  </si>
  <si>
    <t>-521.36213002324 180.283820101436 836.21531071511</t>
  </si>
  <si>
    <t>-589.131282176225 -54.3090861310734 323.269999348577</t>
  </si>
  <si>
    <t>-651.039495926284 -99.9155544591865 779.935409128738</t>
  </si>
  <si>
    <t>-497.344503581085 -117.669632802629 824.054103533663</t>
  </si>
  <si>
    <t>9763-20170724T115532.361288800.bin</t>
  </si>
  <si>
    <t>-588.24051701707 57.0803403361845 -91.8014793537424</t>
  </si>
  <si>
    <t>-611.614276864667 53.8936623730947 -199.972693043564</t>
  </si>
  <si>
    <t>-627.848761181511 53.25113658179 -291.415972468442</t>
  </si>
  <si>
    <t>-642.069840579001 53.4455996388278 -374.095080680876</t>
  </si>
  <si>
    <t>-655.278186689762 54.4259291125506 -456.936646999201</t>
  </si>
  <si>
    <t>-673.471524102371 56.7145117387986 -578.216007640481</t>
  </si>
  <si>
    <t>-665.521995344342 59.9509343383527 -656.104190477935</t>
  </si>
  <si>
    <t>-665.811879677405 87.0633242509605 -524.35945316087</t>
  </si>
  <si>
    <t>-641.868526313021 239.039385698035 -498.533149762955</t>
  </si>
  <si>
    <t>-499.05305228763 246.629146894225 -255.377508452289</t>
  </si>
  <si>
    <t>-266.879690656765 243.466012554587 -261.214229736869</t>
  </si>
  <si>
    <t>-665.165005361602 24.3572859394014 -525.639926643702</t>
  </si>
  <si>
    <t>-592.813922293078 149.577132994313 -95.1834813696297</t>
  </si>
  <si>
    <t>-620.582214069994 151.53109160748 319.458199542521</t>
  </si>
  <si>
    <t>-671.694861781173 179.209610962009 778.929400324197</t>
  </si>
  <si>
    <t>-521.357575863397 180.238226440866 836.213530819851</t>
  </si>
  <si>
    <t>-589.040567033781 -54.2155475607176 323.31665631824</t>
  </si>
  <si>
    <t>-651.048952515466 -99.8951386466194 779.962586841021</t>
  </si>
  <si>
    <t>-497.338452710468 -117.605778598186 824.044761865612</t>
  </si>
  <si>
    <t>9763-20170724T115532.426998700.bin</t>
  </si>
  <si>
    <t>-587.63830986157 57.3203327239048 -91.7284976098382</t>
  </si>
  <si>
    <t>-610.948412449846 54.1168283464081 -199.913070991659</t>
  </si>
  <si>
    <t>-627.153949826149 53.3552129977011 -291.360441532425</t>
  </si>
  <si>
    <t>-641.359729385108 53.4000181401116 -374.042417756178</t>
  </si>
  <si>
    <t>-654.564161517426 54.1893579916559 -456.886667049121</t>
  </si>
  <si>
    <t>-672.764743221696 56.1536625011556 -578.170687234633</t>
  </si>
  <si>
    <t>-664.808385931319 59.027355698677 -656.07212408075</t>
  </si>
  <si>
    <t>-665.146588117284 86.6458188815832 -524.389246688345</t>
  </si>
  <si>
    <t>-641.466239025124 238.738760384006 -498.997680553171</t>
  </si>
  <si>
    <t>-498.436352976545 247.079227179273 -255.992726853462</t>
  </si>
  <si>
    <t>-266.247922818791 243.609410466655 -260.994710524892</t>
  </si>
  <si>
    <t>-664.410324338835 23.9378693149324 -525.515305488665</t>
  </si>
  <si>
    <t>-592.181850669886 149.797281777922 -95.1311575387283</t>
  </si>
  <si>
    <t>-620.238676357922 151.625598633258 319.491600101335</t>
  </si>
  <si>
    <t>-671.695753254986 179.18418832309 778.919483426933</t>
  </si>
  <si>
    <t>-521.363452651722 180.263721130875 836.21568722845</t>
  </si>
  <si>
    <t>-588.846132301247 -54.1495077739605 323.397686718447</t>
  </si>
  <si>
    <t>-651.094200170531 -99.8647035111389 780.00719631761</t>
  </si>
  <si>
    <t>-497.344701927165 -117.507606252018 823.98038577904</t>
  </si>
  <si>
    <t>9763-20170724T115532.459083300.bin</t>
  </si>
  <si>
    <t>-587.249155272211 57.4915211602074 -91.6992960670293</t>
  </si>
  <si>
    <t>-610.504911803586 54.2742688892943 -199.89502403931</t>
  </si>
  <si>
    <t>-626.658609165678 53.4526148251564 -291.351048639977</t>
  </si>
  <si>
    <t>-640.815258258027 53.4239202148804 -374.041622175196</t>
  </si>
  <si>
    <t>-653.968471174179 54.119904019765 -456.894790116718</t>
  </si>
  <si>
    <t>-672.091914170753 55.9261064897789 -578.192796564065</t>
  </si>
  <si>
    <t>-664.125552893828 58.6344393589293 -656.09922102626</t>
  </si>
  <si>
    <t>-664.511188869042 86.4882151021161 -524.445844359319</t>
  </si>
  <si>
    <t>-640.909558574355 238.62233418337 -499.230428597236</t>
  </si>
  <si>
    <t>-497.990473539977 247.29521253012 -256.171804265262</t>
  </si>
  <si>
    <t>-265.79487308473 243.771947434111 -260.789084852696</t>
  </si>
  <si>
    <t>-663.767847216002 23.7788304206399 -525.490742791947</t>
  </si>
  <si>
    <t>-591.814039673638 149.968517823714 -95.113246204301</t>
  </si>
  <si>
    <t>-620.128509126997 151.662150792057 319.492661871573</t>
  </si>
  <si>
    <t>-671.678888678725 179.230334243078 778.906458219658</t>
  </si>
  <si>
    <t>-521.354521842294 180.177264705677 836.225841801664</t>
  </si>
  <si>
    <t>-588.725088691269 -54.1020208702696 323.432006771419</t>
  </si>
  <si>
    <t>-651.122988467852 -99.8492080014378 780.021798442536</t>
  </si>
  <si>
    <t>-497.35680850644 -117.511685217539 823.928740852757</t>
  </si>
  <si>
    <t>9763-20170724T115532.528394500.bin</t>
  </si>
  <si>
    <t>-586.228059689977 57.6195240880904 -91.6295425506571</t>
  </si>
  <si>
    <t>-609.337203686981 54.3545323804544 -199.85531378065</t>
  </si>
  <si>
    <t>-625.342217393919 53.4237007859454 -291.336472006735</t>
  </si>
  <si>
    <t>-639.354465194015 53.268015185291 -374.051472484002</t>
  </si>
  <si>
    <t>-652.35281986569 53.8079056996996 -456.930188481975</t>
  </si>
  <si>
    <t>-670.238276393717 55.3538138584086 -578.26717729918</t>
  </si>
  <si>
    <t>-662.265772324185 57.8153154198785 -656.181230636696</t>
  </si>
  <si>
    <t>-662.711376189199 86.0319017912229 -524.578722949015</t>
  </si>
  <si>
    <t>-638.807873527213 238.158094238917 -499.615702724626</t>
  </si>
  <si>
    <t>-496.765541511257 247.546407456843 -256.070211459642</t>
  </si>
  <si>
    <t>-264.558558168826 243.916452178622 -259.97761197819</t>
  </si>
  <si>
    <t>-662.069221625665 23.3190377991284 -525.472405876391</t>
  </si>
  <si>
    <t>-590.724514120029 150.093764384145 -95.0768505260367</t>
  </si>
  <si>
    <t>-619.562211443831 151.76988459139 319.493030793937</t>
  </si>
  <si>
    <t>-671.668284628016 179.190642299996 778.858329282269</t>
  </si>
  <si>
    <t>-521.377365413847 180.31820996983 836.262094836244</t>
  </si>
  <si>
    <t>-588.246184271757 -54.2594681763239 323.513440155085</t>
  </si>
  <si>
    <t>-651.171058799104 -99.8043694064727 780.061153139021</t>
  </si>
  <si>
    <t>-497.36949776865 -117.469401505923 823.843083376463</t>
  </si>
  <si>
    <t>9763-20170724T115532.559487200.bin</t>
  </si>
  <si>
    <t>-585.701753069254 57.6625038868528 -91.6114115333007</t>
  </si>
  <si>
    <t>-608.731773055354 54.3821299478989 -199.853561780787</t>
  </si>
  <si>
    <t>-624.647714524189 53.4081964255711 -291.349731401301</t>
  </si>
  <si>
    <t>-638.57049833002 53.2016503227692 -374.079811920335</t>
  </si>
  <si>
    <t>-651.470005336977 53.6784617917997 -456.974370654139</t>
  </si>
  <si>
    <t>-669.200863512636 55.1176912356714 -578.335294598629</t>
  </si>
  <si>
    <t>-661.213209121616 57.4810713123441 -656.250903036536</t>
  </si>
  <si>
    <t>-661.696710758759 85.8434236241055 -524.670911647243</t>
  </si>
  <si>
    <t>-637.585779199284 237.946649208675 -499.76565055513</t>
  </si>
  <si>
    <t>-496.136326829895 247.483842258939 -255.881129737574</t>
  </si>
  <si>
    <t>-263.925687084426 243.787747669298 -259.498451516057</t>
  </si>
  <si>
    <t>-661.144733957902 23.1288785256043 -525.495424674821</t>
  </si>
  <si>
    <t>-590.111552562344 150.295977456768 -95.0836564031932</t>
  </si>
  <si>
    <t>-619.10129749983 151.963490993848 319.475681122526</t>
  </si>
  <si>
    <t>-671.62377005576 179.254146492814 778.806335819212</t>
  </si>
  <si>
    <t>-521.367473044479 180.362993710089 836.300960412291</t>
  </si>
  <si>
    <t>-587.930729636111 -54.419446895356 323.556050553537</t>
  </si>
  <si>
    <t>-651.173817452957 -99.8149057704736 780.093678575514</t>
  </si>
  <si>
    <t>-497.385987083942 -117.661031815374 823.850284934668</t>
  </si>
  <si>
    <t>9763-20170724T115532.625174800.bin</t>
  </si>
  <si>
    <t>-584.888916997041 57.5276811771485 -91.5762874085874</t>
  </si>
  <si>
    <t>-607.649980928574 54.2574034351803 -199.875488407105</t>
  </si>
  <si>
    <t>-623.333169918595 53.2317540266222 -291.411395208836</t>
  </si>
  <si>
    <t>-637.043294837667 52.9562745685471 -374.176669400356</t>
  </si>
  <si>
    <t>-649.727545099769 53.3396203108136 -457.105058424842</t>
  </si>
  <si>
    <t>-667.140749061147 54.6150832374658 -578.51377041871</t>
  </si>
  <si>
    <t>-659.155179399483 56.7966630261271 -656.43476453893</t>
  </si>
  <si>
    <t>-659.663910871701 85.4142711860147 -524.887735856771</t>
  </si>
  <si>
    <t>-635.081328401087 237.471606528332 -500.123926090095</t>
  </si>
  <si>
    <t>-495.581155842968 247.040195000488 -255.120323621645</t>
  </si>
  <si>
    <t>-263.378064007805 242.758159990184 -258.571695103687</t>
  </si>
  <si>
    <t>-659.336059398171 22.6966225819763 -525.593645496696</t>
  </si>
  <si>
    <t>-589.008278717653 150.332278377624 -95.0825295656475</t>
  </si>
  <si>
    <t>-618.444698526729 151.956670776834 319.44545137341</t>
  </si>
  <si>
    <t>-671.565007233036 179.279103903157 778.696810539035</t>
  </si>
  <si>
    <t>-521.385949146043 180.495980073314 836.390831569164</t>
  </si>
  <si>
    <t>-587.679896469602 -54.817877133923 323.62714436722</t>
  </si>
  <si>
    <t>-651.126039419052 -99.8181669642302 780.193033251808</t>
  </si>
  <si>
    <t>-497.371699652368 -117.885498892119 823.976492051396</t>
  </si>
  <si>
    <t>9763-20170724T115532.663289200.bin</t>
  </si>
  <si>
    <t>-584.589764171603 57.2870921352999 -91.5659000484632</t>
  </si>
  <si>
    <t>-607.12687682687 54.0495481553428 -199.913006805367</t>
  </si>
  <si>
    <t>-622.650064724736 53.0115351554696 -291.475950865449</t>
  </si>
  <si>
    <t>-636.227554649387 52.7099166978776 -374.263059990883</t>
  </si>
  <si>
    <t>-648.79111886336 53.0516641583633 -457.209923223983</t>
  </si>
  <si>
    <t>-666.041053931159 54.2495931042038 -578.642729534447</t>
  </si>
  <si>
    <t>-658.06374793616 56.3396387486628 -656.567187228148</t>
  </si>
  <si>
    <t>-658.599672207793 85.0831759747186 -525.031568336496</t>
  </si>
  <si>
    <t>-633.857893078395 237.123997845888 -500.377138693837</t>
  </si>
  <si>
    <t>-495.620136349106 246.584846707613 -254.654797752854</t>
  </si>
  <si>
    <t>-263.420756143259 241.899278938925 -257.818104099104</t>
  </si>
  <si>
    <t>-658.344185992248 22.3647024062059 -525.686667658028</t>
  </si>
  <si>
    <t>-588.529418360754 150.187405774548 -95.0720834189979</t>
  </si>
  <si>
    <t>-618.378584361151 151.837424248335 319.426258903642</t>
  </si>
  <si>
    <t>-671.558147236182 179.256897335299 778.647339395421</t>
  </si>
  <si>
    <t>-521.413872517317 180.51363102711 836.430850441972</t>
  </si>
  <si>
    <t>-587.740427906293 -55.2960459907338 323.630058518744</t>
  </si>
  <si>
    <t>-651.079466625813 -99.8428092817078 780.264170703328</t>
  </si>
  <si>
    <t>-497.374471520077 -118.186445177793 824.105998465762</t>
  </si>
  <si>
    <t>9763-20170724T115532.728480700.bin</t>
  </si>
  <si>
    <t>-584.25184601542 56.9339560796357 -91.5371365431458</t>
  </si>
  <si>
    <t>-606.339389192827 53.7255587570069 -199.977699126382</t>
  </si>
  <si>
    <t>-621.520500850275 52.6502195389439 -291.597625078316</t>
  </si>
  <si>
    <t>-634.804029233865 52.2910406650183 -374.432087836699</t>
  </si>
  <si>
    <t>-647.088506878039 52.5505108272048 -457.421027381398</t>
  </si>
  <si>
    <t>-663.946924345723 53.6009117054718 -578.910219460628</t>
  </si>
  <si>
    <t>-655.954274488056 55.5085529605967 -656.837724739569</t>
  </si>
  <si>
    <t>-656.631667499548 84.4997874184799 -525.319215147125</t>
  </si>
  <si>
    <t>-631.704479109456 236.524063737441 -500.761396488771</t>
  </si>
  <si>
    <t>-495.825198944554 245.277306627805 -253.701064265073</t>
  </si>
  <si>
    <t>-263.635214117801 239.64792761509 -255.856954745615</t>
  </si>
  <si>
    <t>-656.46752780947 21.7801903617985 -525.884346545065</t>
  </si>
  <si>
    <t>-588.114479065579 149.931046710387 -95.0601031541513</t>
  </si>
  <si>
    <t>-618.468075767837 151.717019863653 319.401108005571</t>
  </si>
  <si>
    <t>-671.583432263421 179.225660983852 778.625786317593</t>
  </si>
  <si>
    <t>-521.47006621367 180.531955578663 836.488430616462</t>
  </si>
  <si>
    <t>-588.053043066582 -55.9578891270251 323.627754548791</t>
  </si>
  <si>
    <t>-650.977207373145 -99.8611790451125 780.409686974273</t>
  </si>
  <si>
    <t>-497.286449293493 -118.043226407628 824.368629739797</t>
  </si>
  <si>
    <t>9763-20170724T115532.761569600.bin</t>
  </si>
  <si>
    <t>-584.098005357324 56.8665556646245 -91.5145366843892</t>
  </si>
  <si>
    <t>-605.979818696337 53.6628610026287 -199.996918957626</t>
  </si>
  <si>
    <t>-620.989443935302 52.5719916737801 -291.644817097741</t>
  </si>
  <si>
    <t>-634.118842513744 52.1909310388269 -374.503924699105</t>
  </si>
  <si>
    <t>-646.249797252107 52.4202421291232 -457.515330914263</t>
  </si>
  <si>
    <t>-662.88453626809 53.417180949602 -579.03595870249</t>
  </si>
  <si>
    <t>-654.84305511542 55.2416306127691 -656.96032921099</t>
  </si>
  <si>
    <t>-655.647769248803 84.3397487574953 -525.447921744922</t>
  </si>
  <si>
    <t>-630.571193468463 236.353158552096 -500.960546877481</t>
  </si>
  <si>
    <t>-495.883442790601 245.04476263653 -253.246535670913</t>
  </si>
  <si>
    <t>-263.701966885397 238.921869666249 -254.922615950534</t>
  </si>
  <si>
    <t>-655.522946731534 21.6196681276224 -525.979656034701</t>
  </si>
  <si>
    <t>-587.958913372578 149.829959196448 -95.0468211416257</t>
  </si>
  <si>
    <t>-618.512918333348 151.706757427254 319.399321100431</t>
  </si>
  <si>
    <t>-671.59918978423 179.212261207294 778.623090243609</t>
  </si>
  <si>
    <t>-521.493570156922 180.503853886517 836.506275838598</t>
  </si>
  <si>
    <t>-588.14781223281 -56.0970623026064 323.651691085809</t>
  </si>
  <si>
    <t>-650.935432950887 -99.8535743423797 780.473897269557</t>
  </si>
  <si>
    <t>-497.257924777249 -118.045655343407 824.475047557132</t>
  </si>
  <si>
    <t>9763-20170724T115532.826247000.bin</t>
  </si>
  <si>
    <t>-583.667182167374 56.8534229108293 -91.4629257453039</t>
  </si>
  <si>
    <t>-605.154403818188 53.660067807416 -200.024348817775</t>
  </si>
  <si>
    <t>-619.882900896791 52.5148643034133 -291.717398203</t>
  </si>
  <si>
    <t>-632.779442854031 52.0597737086873 -374.612525178696</t>
  </si>
  <si>
    <t>-644.698644671275 52.1902520099977 -457.655064607251</t>
  </si>
  <si>
    <t>-661.047230060979 53.0154235002647 -579.215464455033</t>
  </si>
  <si>
    <t>-652.856541187156 54.6151287446364 -657.129421107918</t>
  </si>
  <si>
    <t>-653.923456422571 84.0137578724471 -525.656118509748</t>
  </si>
  <si>
    <t>-628.810887461895 236.045314186048 -501.337832517493</t>
  </si>
  <si>
    <t>-495.432542773219 244.477419319243 -252.907311337435</t>
  </si>
  <si>
    <t>-263.257257668888 238.015048417087 -254.085307986328</t>
  </si>
  <si>
    <t>-653.823744716247 21.2929612312021 -526.095444198119</t>
  </si>
  <si>
    <t>-587.50359186711 149.74368190359 -95.015845589432</t>
  </si>
  <si>
    <t>-618.591088077231 151.60714217306 319.390616811457</t>
  </si>
  <si>
    <t>-671.628046526852 179.128888184164 778.613663774516</t>
  </si>
  <si>
    <t>-521.538788063719 180.634807175397 836.534074119739</t>
  </si>
  <si>
    <t>-588.229026085367 -56.3781355244737 323.690652903796</t>
  </si>
  <si>
    <t>-650.858413902966 -99.8501304379854 780.5710661479</t>
  </si>
  <si>
    <t>-497.229869476437 -118.24506686308 824.658671431477</t>
  </si>
  <si>
    <t>9763-20170724T115532.859337600.bin</t>
  </si>
  <si>
    <t>-583.378186160873 56.9163131632702 -91.4429143513989</t>
  </si>
  <si>
    <t>-604.684982121321 53.7129377505971 -200.039720804825</t>
  </si>
  <si>
    <t>-619.312811019804 52.5410569997323 -291.748343375788</t>
  </si>
  <si>
    <t>-632.139274866802 52.0549843883789 -374.654204120698</t>
  </si>
  <si>
    <t>-644.009304561537 52.1477843288046 -457.70389535343</t>
  </si>
  <si>
    <t>-660.309065196553 52.910806869703 -579.271326211102</t>
  </si>
  <si>
    <t>-652.032377797682 54.411275701724 -657.178045691687</t>
  </si>
  <si>
    <t>-653.211789562098 83.9365201204007 -525.724429579238</t>
  </si>
  <si>
    <t>-628.138048130817 235.983116939708 -501.478951448811</t>
  </si>
  <si>
    <t>-495.044041099974 244.81375184374 -252.909914725159</t>
  </si>
  <si>
    <t>-262.87394867398 238.225260087211 -254.38656068454</t>
  </si>
  <si>
    <t>-653.101977553453 21.2154770945449 -526.13270162456</t>
  </si>
  <si>
    <t>-587.228357097521 149.845226741197 -95.0264146431587</t>
  </si>
  <si>
    <t>-618.553911859962 151.655680056824 319.362352640998</t>
  </si>
  <si>
    <t>-671.638379688037 179.106325306139 778.605877879129</t>
  </si>
  <si>
    <t>-521.563071807064 180.640760946623 836.561540710261</t>
  </si>
  <si>
    <t>-588.142848912206 -56.4701728985515 323.723366132664</t>
  </si>
  <si>
    <t>-650.809579687 -99.8326191099179 780.61016077408</t>
  </si>
  <si>
    <t>-497.189780220841 -118.165587096154 824.754109986008</t>
  </si>
  <si>
    <t>9763-20170724T115532.928424900.bin</t>
  </si>
  <si>
    <t>-582.614573842704 57.0752677368555 -91.3457368877969</t>
  </si>
  <si>
    <t>-603.71028336285 53.8340734329099 -199.98253471004</t>
  </si>
  <si>
    <t>-618.205558507478 52.5459907323368 -291.7109129221</t>
  </si>
  <si>
    <t>-630.931203576501 51.9213011549018 -374.631207774672</t>
  </si>
  <si>
    <t>-642.719699695859 51.8420551045892 -457.692376992184</t>
  </si>
  <si>
    <t>-658.921663466937 52.317586332581 -579.274533991482</t>
  </si>
  <si>
    <t>-650.425936402635 53.5824450360349 -657.161773795046</t>
  </si>
  <si>
    <t>-651.890098074944 83.4698290607687 -525.792330890639</t>
  </si>
  <si>
    <t>-627.002761733357 235.602393294791 -501.883567754443</t>
  </si>
  <si>
    <t>-494.19674527056 245.360577808585 -253.195033625477</t>
  </si>
  <si>
    <t>-262.03141822057 238.795763734034 -255.361559375103</t>
  </si>
  <si>
    <t>-651.734668343141 20.7480330425719 -526.058371325966</t>
  </si>
  <si>
    <t>-586.485941606484 150.059535995733 -94.9894722452917</t>
  </si>
  <si>
    <t>-618.201530571647 151.680858092108 319.370317892509</t>
  </si>
  <si>
    <t>-671.611025854855 179.176878006081 778.56704937103</t>
  </si>
  <si>
    <t>-521.577621044394 180.576915699487 836.63462358949</t>
  </si>
  <si>
    <t>-587.796914514626 -56.4841707685273 323.835572832312</t>
  </si>
  <si>
    <t>-650.718362836186 -99.7765861554631 780.695836329192</t>
  </si>
  <si>
    <t>-497.088737912768 -117.811782528621 824.928176799183</t>
  </si>
  <si>
    <t>9763-20170724T115532.961512000.bin</t>
  </si>
  <si>
    <t>-582.223876121186 57.1317312787912 -91.3140940310735</t>
  </si>
  <si>
    <t>-603.265810010661 53.8749624343661 -199.960821198178</t>
  </si>
  <si>
    <t>-617.69733203822 52.5052429097268 -291.697864667166</t>
  </si>
  <si>
    <t>-630.358294131745 51.7792633082868 -374.627477120702</t>
  </si>
  <si>
    <t>-642.075176864449 51.570940259219 -457.698505212856</t>
  </si>
  <si>
    <t>-658.16510336776 51.8269540166905 -579.296201347419</t>
  </si>
  <si>
    <t>-649.539015994652 52.956228323987 -657.171246421568</t>
  </si>
  <si>
    <t>-651.184505377131 83.0756645333684 -525.863689136638</t>
  </si>
  <si>
    <t>-626.323645205591 235.256191732599 -502.162879709399</t>
  </si>
  <si>
    <t>-493.705876253856 245.623941717708 -253.398710127216</t>
  </si>
  <si>
    <t>-261.545063804858 238.886803746528 -255.523728246842</t>
  </si>
  <si>
    <t>-651.025402251855 20.3536526019284 -526.016712905345</t>
  </si>
  <si>
    <t>-586.145905925579 150.149051065832 -94.9682288398166</t>
  </si>
  <si>
    <t>-617.9832092123 151.697221567983 319.382571807135</t>
  </si>
  <si>
    <t>-671.608694065923 179.155031602435 778.544485335624</t>
  </si>
  <si>
    <t>-521.595604986249 180.622041852138 836.662855300102</t>
  </si>
  <si>
    <t>-587.563817497982 -56.5373115480027 323.886089182748</t>
  </si>
  <si>
    <t>-650.688530863119 -99.7935271268418 780.729158582148</t>
  </si>
  <si>
    <t>-497.116399669133 -118.225261583521 824.997666626155</t>
  </si>
  <si>
    <t>9763-20170724T115533.023238000.bin</t>
  </si>
  <si>
    <t>-581.402900156014 57.1788412933579 -91.2403214019803</t>
  </si>
  <si>
    <t>-602.413062661715 53.8792897058188 -199.892001565203</t>
  </si>
  <si>
    <t>-616.779438428656 52.3318016974251 -291.636511815626</t>
  </si>
  <si>
    <t>-629.366718409551 51.3875386469304 -374.574977334467</t>
  </si>
  <si>
    <t>-640.99541445798 50.9028265366617 -457.657367903915</t>
  </si>
  <si>
    <t>-656.940889994116 50.6906143962053 -579.274094767491</t>
  </si>
  <si>
    <t>-648.086128152709 51.5114766823485 -657.127364305645</t>
  </si>
  <si>
    <t>-650.017093889294 82.1448187129993 -525.954943901433</t>
  </si>
  <si>
    <t>-625.091055734992 234.392231535511 -502.814335596588</t>
  </si>
  <si>
    <t>-493.148967291629 245.768337777065 -253.73521178626</t>
  </si>
  <si>
    <t>-260.986793932418 238.941213397931 -255.36324699912</t>
  </si>
  <si>
    <t>-649.871199464198 19.422674326994 -525.864606747963</t>
  </si>
  <si>
    <t>-585.417171607401 150.247872075498 -94.9151600434425</t>
  </si>
  <si>
    <t>-617.472809041866 151.68059198165 319.419208288277</t>
  </si>
  <si>
    <t>-671.615343451578 179.0533598737 778.52316820605</t>
  </si>
  <si>
    <t>-521.628491288746 180.746221881561 836.703060511713</t>
  </si>
  <si>
    <t>-586.970117078263 -56.6177868211228 323.991077911973</t>
  </si>
  <si>
    <t>-650.627518296571 -99.7686400690145 780.768754875509</t>
  </si>
  <si>
    <t>-497.088138397933 -118.318889281228 825.101245668566</t>
  </si>
  <si>
    <t>9763-20170724T115533.061340000.bin</t>
  </si>
  <si>
    <t>-581.049107173606 57.2664807322483 -91.2075391688363</t>
  </si>
  <si>
    <t>-602.038050507971 53.92809698005 -199.862067332678</t>
  </si>
  <si>
    <t>-616.392055692774 52.2977345657559 -291.607063774583</t>
  </si>
  <si>
    <t>-628.970618684166 51.2581831729431 -374.545829130081</t>
  </si>
  <si>
    <t>-640.593173166212 50.6576840261293 -457.628295669665</t>
  </si>
  <si>
    <t>-656.532686531983 50.2535832814485 -579.245189326287</t>
  </si>
  <si>
    <t>-647.593674233284 50.8995973661965 -657.090536571395</t>
  </si>
  <si>
    <t>-649.613181131828 81.7919016878882 -525.975226051309</t>
  </si>
  <si>
    <t>-624.690287793128 234.070823917462 -503.028445485201</t>
  </si>
  <si>
    <t>-492.810680650126 245.954056110415 -253.939847319673</t>
  </si>
  <si>
    <t>-260.644549085161 239.279970823215 -255.637734689602</t>
  </si>
  <si>
    <t>-649.463942539573 19.0698978422199 -525.786408986965</t>
  </si>
  <si>
    <t>-585.121416791373 150.30641855788 -94.9041369121046</t>
  </si>
  <si>
    <t>-617.281401668741 151.692989953852 319.422297324184</t>
  </si>
  <si>
    <t>-671.614546333932 179.014351879605 778.506758172021</t>
  </si>
  <si>
    <t>-521.640923217393 180.672991320309 836.721882089486</t>
  </si>
  <si>
    <t>-586.743113681014 -56.5508139129913 324.041990568122</t>
  </si>
  <si>
    <t>-650.587324811383 -99.7567286489623 780.782194822582</t>
  </si>
  <si>
    <t>-497.053885545379 -118.249298523587 825.159352686927</t>
  </si>
  <si>
    <t>9763-20170724T115533.123546300.bin</t>
  </si>
  <si>
    <t>-580.539912695432 57.5130933296514 -91.162136416341</t>
  </si>
  <si>
    <t>-601.493243364804 54.112202783029 -199.821575745491</t>
  </si>
  <si>
    <t>-615.863395506039 52.3277367902888 -291.561268515268</t>
  </si>
  <si>
    <t>-628.475720352023 51.1082887218699 -374.492385393638</t>
  </si>
  <si>
    <t>-640.151791628368 50.2871766350434 -457.565397014592</t>
  </si>
  <si>
    <t>-656.191388654578 49.516698187002 -579.167527970416</t>
  </si>
  <si>
    <t>-647.125463911684 49.800978021553 -657.000292982349</t>
  </si>
  <si>
    <t>-649.247121050634 81.2153170999104 -525.995934004805</t>
  </si>
  <si>
    <t>-624.404640173258 233.580048893263 -503.498309455938</t>
  </si>
  <si>
    <t>-492.485619404749 246.613992342716 -254.488174544292</t>
  </si>
  <si>
    <t>-260.315645313391 240.185673266411 -256.564359686914</t>
  </si>
  <si>
    <t>-649.059572419575 18.4942518384514 -525.623251864106</t>
  </si>
  <si>
    <t>-584.67653539697 150.473726933821 -94.8945652397316</t>
  </si>
  <si>
    <t>-616.912867587614 151.869504568376 319.426003697453</t>
  </si>
  <si>
    <t>-671.605656660289 179.024200805304 778.484527591414</t>
  </si>
  <si>
    <t>-521.6525551603 180.627362284701 836.753915279138</t>
  </si>
  <si>
    <t>-586.365396753975 -56.3381893299174 324.144133281147</t>
  </si>
  <si>
    <t>-650.52690181832 -99.7166690279821 780.813652272493</t>
  </si>
  <si>
    <t>-497.011655509603 -118.204806578314 825.255555294533</t>
  </si>
  <si>
    <t>9763-20170724T115533.161649700.bin</t>
  </si>
  <si>
    <t>-580.402181036512 57.5635694555356 -91.1383080419462</t>
  </si>
  <si>
    <t>-601.334814427275 54.1415533766897 -199.801192665174</t>
  </si>
  <si>
    <t>-615.711446165979 52.2663991473737 -291.537834216118</t>
  </si>
  <si>
    <t>-628.339798055856 50.9354274319962 -374.464935444748</t>
  </si>
  <si>
    <t>-640.04216686463 49.97390000726 -457.532745048594</t>
  </si>
  <si>
    <t>-656.132018981475 48.9656375754889 -579.126459867499</t>
  </si>
  <si>
    <t>-646.999258269181 49.0459299297349 -656.951937625515</t>
  </si>
  <si>
    <t>-649.173626009397 80.7680230342773 -526.018738864616</t>
  </si>
  <si>
    <t>-624.358570713325 233.175431292905 -503.786697482979</t>
  </si>
  <si>
    <t>-492.37803082815 246.832143993006 -254.842543473741</t>
  </si>
  <si>
    <t>-260.206829026787 240.489695592665 -257.03913917001</t>
  </si>
  <si>
    <t>-648.970275078604 18.0478760810067 -525.525671966008</t>
  </si>
  <si>
    <t>-584.560502190016 150.505098782969 -94.8901609059974</t>
  </si>
  <si>
    <t>-616.829947549077 151.896546769281 319.427760986512</t>
  </si>
  <si>
    <t>-671.610093447213 179.0029241928 778.475870446761</t>
  </si>
  <si>
    <t>-521.664240255988 180.672096316449 836.762030481491</t>
  </si>
  <si>
    <t>-586.287248363859 -56.2969819430932 324.172224811486</t>
  </si>
  <si>
    <t>-650.496143865329 -99.6805788659808 780.82345640951</t>
  </si>
  <si>
    <t>-496.945543516089 -117.803778720479 825.293564751092</t>
  </si>
  <si>
    <t>9763-20170724T115533.227864200.bin</t>
  </si>
  <si>
    <t>-580.279770481 57.5793943169281 -91.1093718711079</t>
  </si>
  <si>
    <t>-601.158734143547 54.1054583990099 -199.780928326336</t>
  </si>
  <si>
    <t>-615.499560844013 52.0606187059304 -291.51956584401</t>
  </si>
  <si>
    <t>-628.100035839675 50.5250368195582 -374.447289058935</t>
  </si>
  <si>
    <t>-639.779426471512 49.3080300658398 -457.515040734384</t>
  </si>
  <si>
    <t>-655.841483924752 47.8703397289848 -579.108040528969</t>
  </si>
  <si>
    <t>-646.576034256209 47.5818397115449 -656.917422341534</t>
  </si>
  <si>
    <t>-648.919287769114 79.860100008427 -526.108338205429</t>
  </si>
  <si>
    <t>-624.235166666162 232.351855906217 -504.356762891815</t>
  </si>
  <si>
    <t>-492.152378303231 247.159927250498 -255.532625879217</t>
  </si>
  <si>
    <t>-259.977679242987 241.031090060503 -257.954606766332</t>
  </si>
  <si>
    <t>-648.6679341048 17.1421824575878 -525.399887146471</t>
  </si>
  <si>
    <t>-584.535282500395 150.408290787624 -94.8893508441573</t>
  </si>
  <si>
    <t>-616.887469839221 151.856140120824 319.421960329805</t>
  </si>
  <si>
    <t>-671.642756158642 178.879450940452 778.47481804531</t>
  </si>
  <si>
    <t>-521.698814976932 180.6896694534 836.761625978902</t>
  </si>
  <si>
    <t>-586.247766003791 -56.2711335389361 324.217925926015</t>
  </si>
  <si>
    <t>-650.426127929519 -99.6981934152707 780.856101156754</t>
  </si>
  <si>
    <t>-496.913404328914 -117.929207387215 825.412763267747</t>
  </si>
  <si>
    <t>9763-20170724T115533.261960800.bin</t>
  </si>
  <si>
    <t>-580.244711357101 57.6154613816645 -91.1003589148876</t>
  </si>
  <si>
    <t>-601.074086751629 54.1118288440255 -199.780376197782</t>
  </si>
  <si>
    <t>-615.380456779901 51.9862714694868 -291.522767923226</t>
  </si>
  <si>
    <t>-627.95294789585 50.3551225078363 -374.45280139595</t>
  </si>
  <si>
    <t>-639.607769875533 49.0193848759716 -457.522178513175</t>
  </si>
  <si>
    <t>-655.637680486582 47.3832933978574 -579.117078521997</t>
  </si>
  <si>
    <t>-646.309852598105 46.9290915742602 -656.917997055029</t>
  </si>
  <si>
    <t>-648.730614075395 79.4595704538951 -526.167465513106</t>
  </si>
  <si>
    <t>-624.065001406207 231.9963588956 -504.658872413146</t>
  </si>
  <si>
    <t>-492.054734026833 247.269855670402 -255.824258775744</t>
  </si>
  <si>
    <t>-259.878614731996 241.19505912191 -258.24748635945</t>
  </si>
  <si>
    <t>-648.477126516018 16.7429108009492 -525.356976276924</t>
  </si>
  <si>
    <t>-584.568275874838 150.405671018975 -94.896747791282</t>
  </si>
  <si>
    <t>-616.94493051094 151.903836474399 319.412479466939</t>
  </si>
  <si>
    <t>-671.645684132893 178.907422390309 778.481675289259</t>
  </si>
  <si>
    <t>-521.696306676806 180.550941194962 836.759457388542</t>
  </si>
  <si>
    <t>-586.222815935394 -56.2383618130436 324.236841603987</t>
  </si>
  <si>
    <t>-650.398049166743 -99.7244677521896 780.866116282939</t>
  </si>
  <si>
    <t>-496.93189759401 -118.249573163034 825.461866993165</t>
  </si>
  <si>
    <t>9763-20170724T115533.324321500.bin</t>
  </si>
  <si>
    <t>-580.167412702102 57.6319097873954 -91.0590486119996</t>
  </si>
  <si>
    <t>-600.917285117841 54.104058691448 -199.753654085169</t>
  </si>
  <si>
    <t>-615.147532256147 51.8441960139037 -291.504468450129</t>
  </si>
  <si>
    <t>-627.648225507041 50.045541179059 -374.441962936149</t>
  </si>
  <si>
    <t>-639.228529422265 48.4958064267616 -457.518005525621</t>
  </si>
  <si>
    <t>-655.146894118967 46.4956463764704 -579.122088522779</t>
  </si>
  <si>
    <t>-645.67131358785 45.7324045599426 -656.902787102274</t>
  </si>
  <si>
    <t>-648.291921633905 78.7303753000231 -526.262005092352</t>
  </si>
  <si>
    <t>-623.641129482089 231.32950795751 -505.254992294735</t>
  </si>
  <si>
    <t>-491.856050245026 247.608749068356 -256.364853397966</t>
  </si>
  <si>
    <t>-259.679456617577 241.521884365649 -258.709851366371</t>
  </si>
  <si>
    <t>-648.03216097415 16.0163210117262 -525.264494939892</t>
  </si>
  <si>
    <t>-584.60899404112 150.290187170197 -94.8791880359184</t>
  </si>
  <si>
    <t>-617.056975269626 151.856948479399 319.424198100939</t>
  </si>
  <si>
    <t>-671.658344353934 178.933345561261 778.493542580101</t>
  </si>
  <si>
    <t>-521.695826873812 180.539887810622 836.738596028996</t>
  </si>
  <si>
    <t>-586.193332874184 -56.1839004455899 324.269792225628</t>
  </si>
  <si>
    <t>-650.337107429795 -99.6651752338619 780.883760706569</t>
  </si>
  <si>
    <t>-496.865378669166 -117.983326067533 825.545862477543</t>
  </si>
  <si>
    <t>9763-20170724T115533.363426100.bin</t>
  </si>
  <si>
    <t>-580.111315363965 57.5641151207478 -91.0495181913715</t>
  </si>
  <si>
    <t>-600.832251702494 54.0309834759257 -199.749343284072</t>
  </si>
  <si>
    <t>-615.047524665823 51.7222194761837 -291.501319812075</t>
  </si>
  <si>
    <t>-627.5388760497 49.8613379516048 -374.438843446939</t>
  </si>
  <si>
    <t>-639.114016884521 48.2319140963298 -457.514220690922</t>
  </si>
  <si>
    <t>-655.029648795617 46.0959100552873 -579.116182557422</t>
  </si>
  <si>
    <t>-645.498927486101 45.1965959181459 -656.888766103169</t>
  </si>
  <si>
    <t>-648.177618396826 78.3896062965741 -526.291890932295</t>
  </si>
  <si>
    <t>-623.501085968654 231.014441954978 -505.473830928448</t>
  </si>
  <si>
    <t>-491.741096785884 247.583963102327 -256.58965733654</t>
  </si>
  <si>
    <t>-259.565313507635 241.485862724656 -258.990067310206</t>
  </si>
  <si>
    <t>-647.914391203564 15.6768189790723 -525.224767396905</t>
  </si>
  <si>
    <t>-584.573056593109 150.134290627848 -94.8680242292932</t>
  </si>
  <si>
    <t>-617.184270986343 151.648937960044 319.422727819875</t>
  </si>
  <si>
    <t>-671.678609866722 178.884828898201 778.501078348346</t>
  </si>
  <si>
    <t>-521.708728281507 180.580647303009 836.724598516004</t>
  </si>
  <si>
    <t>-586.229963600815 -56.2315244047099 324.285002730951</t>
  </si>
  <si>
    <t>-650.319079547074 -99.690379741678 780.894192554387</t>
  </si>
  <si>
    <t>-496.863343132864 -118.102319097452 825.572597922351</t>
  </si>
  <si>
    <t>9763-20170724T115533.427147100.bin</t>
  </si>
  <si>
    <t>-579.79520053028 57.4589089904241 -91.0155377605104</t>
  </si>
  <si>
    <t>-600.457931908051 53.9251587435303 -199.726361892494</t>
  </si>
  <si>
    <t>-614.678401659004 51.5411039863402 -291.475707912639</t>
  </si>
  <si>
    <t>-627.196637294935 49.5831814672342 -374.407112993791</t>
  </si>
  <si>
    <t>-638.821348578043 47.8274964106608 -457.472788562769</t>
  </si>
  <si>
    <t>-654.834691589824 45.4751312215219 -579.057990352061</t>
  </si>
  <si>
    <t>-645.225139164967 44.3478490052173 -656.817866574875</t>
  </si>
  <si>
    <t>-647.954250554696 77.8626185298974 -526.294772799919</t>
  </si>
  <si>
    <t>-623.277751822437 230.527438706312 -505.763102916181</t>
  </si>
  <si>
    <t>-491.415039336501 247.692056631241 -256.973653942352</t>
  </si>
  <si>
    <t>-259.246560631063 241.542397128482 -259.890475936915</t>
  </si>
  <si>
    <t>-647.662158886856 15.151925968971 -525.120089948124</t>
  </si>
  <si>
    <t>-584.215939835484 149.897216524749 -94.8249875402654</t>
  </si>
  <si>
    <t>-617.218306356829 151.31800458051 319.435172623778</t>
  </si>
  <si>
    <t>-671.700351264908 178.862059449663 778.507762233789</t>
  </si>
  <si>
    <t>-521.712564881798 180.399736018882 836.689587142285</t>
  </si>
  <si>
    <t>-586.289593793367 -56.3449281509293 324.304455441648</t>
  </si>
  <si>
    <t>-650.301565402466 -99.6778141220639 780.913464248808</t>
  </si>
  <si>
    <t>-496.828012466856 -117.940153065877 825.592088963155</t>
  </si>
  <si>
    <t>9763-20170724T115533.459232500.bin</t>
  </si>
  <si>
    <t>-579.479824518668 57.5007452275645 -90.9963007178782</t>
  </si>
  <si>
    <t>-600.102509883385 53.9544199913969 -199.714326231506</t>
  </si>
  <si>
    <t>-614.320010593945 51.5269812154052 -291.462961260023</t>
  </si>
  <si>
    <t>-626.848127032024 49.516805699312 -374.391523658988</t>
  </si>
  <si>
    <t>-638.495476856408 47.6958829115597 -457.452616323496</t>
  </si>
  <si>
    <t>-654.555892232355 45.2344275969106 -579.029478178971</t>
  </si>
  <si>
    <t>-644.922201004171 44.0162535128061 -656.785046652631</t>
  </si>
  <si>
    <t>-647.659555083438 77.669240895948 -526.297539248691</t>
  </si>
  <si>
    <t>-623.004691967651 230.360716060014 -505.926554475094</t>
  </si>
  <si>
    <t>-491.099761168313 247.796822976939 -257.178319452814</t>
  </si>
  <si>
    <t>-258.934307277912 241.649484332889 -260.332734764248</t>
  </si>
  <si>
    <t>-647.357897240437 14.959676804536 -525.067747965032</t>
  </si>
  <si>
    <t>-583.857007676157 149.909578795105 -94.8113790886025</t>
  </si>
  <si>
    <t>-617.081404574296 151.29784402739 319.431064371598</t>
  </si>
  <si>
    <t>-671.713061629934 178.821904105531 778.497564163196</t>
  </si>
  <si>
    <t>-521.725610920402 180.537052998741 836.675259218213</t>
  </si>
  <si>
    <t>-586.173715161747 -56.3383387911724 324.32730862105</t>
  </si>
  <si>
    <t>-650.278215975404 -99.6547068242107 780.93017470972</t>
  </si>
  <si>
    <t>-496.775806535347 -117.637007550252 825.623245181027</t>
  </si>
  <si>
    <t>9763-20170724T115533.527522100.bin</t>
  </si>
  <si>
    <t>-578.710829834148 57.6620920634477 -90.9458596588643</t>
  </si>
  <si>
    <t>-599.300433642796 54.0862104595608 -199.669206834267</t>
  </si>
  <si>
    <t>-613.508150732275 51.5850945053041 -291.417484734776</t>
  </si>
  <si>
    <t>-626.035018750783 49.4889199259485 -374.343991329827</t>
  </si>
  <si>
    <t>-637.68883402219 47.5629228585499 -457.401804256076</t>
  </si>
  <si>
    <t>-653.767630072329 44.9261448997072 -578.972644202441</t>
  </si>
  <si>
    <t>-644.101971972055 43.5912655575835 -656.722326485695</t>
  </si>
  <si>
    <t>-646.875291291431 77.4370674063039 -526.286897494726</t>
  </si>
  <si>
    <t>-622.171996961664 230.151495644004 -506.174623615487</t>
  </si>
  <si>
    <t>-490.411398960147 248.454087261894 -257.412074941466</t>
  </si>
  <si>
    <t>-258.255251313064 242.125582105751 -260.875381430596</t>
  </si>
  <si>
    <t>-646.549460503829 14.7293798192316 -524.970026248822</t>
  </si>
  <si>
    <t>-583.100389680232 150.118609043746 -94.7874498392194</t>
  </si>
  <si>
    <t>-616.582437430824 151.404285585663 319.434550623249</t>
  </si>
  <si>
    <t>-671.695294431782 178.854397914808 778.458441927553</t>
  </si>
  <si>
    <t>-521.728938834613 180.503229585642 836.692428393056</t>
  </si>
  <si>
    <t>-585.637214080394 -56.2999705038355 324.409280013717</t>
  </si>
  <si>
    <t>-650.229062087721 -99.6891188912384 780.965592666067</t>
  </si>
  <si>
    <t>-496.790638556791 -118.084738391905 825.710170956755</t>
  </si>
  <si>
    <t>9763-20170724T115533.559607400.bin</t>
  </si>
  <si>
    <t>-578.307077230461 57.7754035291678 -90.9044535451566</t>
  </si>
  <si>
    <t>-598.866721956256 54.1894789523271 -199.633123096906</t>
  </si>
  <si>
    <t>-613.053236395728 51.6594855284188 -291.383758349842</t>
  </si>
  <si>
    <t>-625.562618010271 49.5293074698427 -374.31212294296</t>
  </si>
  <si>
    <t>-637.200872474499 47.5609789133778 -457.371278914749</t>
  </si>
  <si>
    <t>-653.258825575496 44.8540868890266 -578.94321260614</t>
  </si>
  <si>
    <t>-643.589862120771 43.479816706089 -656.6916822259</t>
  </si>
  <si>
    <t>-646.386844284413 77.3952911104282 -526.273499532551</t>
  </si>
  <si>
    <t>-621.691492320014 230.125830510501 -506.248823146186</t>
  </si>
  <si>
    <t>-490.018948678291 248.819970901148 -257.468930877692</t>
  </si>
  <si>
    <t>-257.867702530835 242.419938141851 -261.123121818544</t>
  </si>
  <si>
    <t>-646.038621601338 14.6883924097119 -524.923341430068</t>
  </si>
  <si>
    <t>-582.714870569034 150.275240682263 -94.7609426103924</t>
  </si>
  <si>
    <t>-616.31760875201 151.47293014309 319.45160057342</t>
  </si>
  <si>
    <t>-671.690379907105 178.856068096706 778.445614224401</t>
  </si>
  <si>
    <t>-521.734730119641 180.470968586895 836.707990329312</t>
  </si>
  <si>
    <t>-585.338836190479 -56.252522263642 324.46404000408</t>
  </si>
  <si>
    <t>-650.204167269225 -99.6742678905982 780.974035454274</t>
  </si>
  <si>
    <t>-496.770968525347 -118.076091585146 825.733922598314</t>
  </si>
  <si>
    <t>9763-20170724T115533.628313800.bin</t>
  </si>
  <si>
    <t>-577.440144152431 58.1390957694109 -90.8030554411597</t>
  </si>
  <si>
    <t>-597.895719128151 54.5224567721159 -199.550311920013</t>
  </si>
  <si>
    <t>-612.06000385996 51.9668317356427 -291.303786195322</t>
  </si>
  <si>
    <t>-624.575792695384 49.8131328567947 -374.230497441062</t>
  </si>
  <si>
    <t>-636.246855293681 47.8223210064803 -457.284414894964</t>
  </si>
  <si>
    <t>-652.381989855158 45.08356844948 -578.845420838337</t>
  </si>
  <si>
    <t>-642.744111823641 43.6770933496866 -656.597271853183</t>
  </si>
  <si>
    <t>-645.522485417977 77.6383989655264 -526.182690947679</t>
  </si>
  <si>
    <t>-620.91658342086 230.386769735204 -506.199187296942</t>
  </si>
  <si>
    <t>-489.242155643131 249.558253816534 -257.456549739214</t>
  </si>
  <si>
    <t>-257.09645120436 243.151652761168 -261.438687466494</t>
  </si>
  <si>
    <t>-645.081600164937 14.9321899232609 -524.828456671527</t>
  </si>
  <si>
    <t>-581.861709408851 150.633543932743 -94.6933868111582</t>
  </si>
  <si>
    <t>-615.789774388838 151.706899989386 319.492995204817</t>
  </si>
  <si>
    <t>-671.662335688088 178.916192337563 778.416714303685</t>
  </si>
  <si>
    <t>-521.727181121115 180.583367206934 836.730482240098</t>
  </si>
  <si>
    <t>-584.801296406026 -56.0604327729641 324.570018641972</t>
  </si>
  <si>
    <t>-650.151230704926 -99.6927846510196 780.985932591871</t>
  </si>
  <si>
    <t>-496.768714629652 -118.348127777984 825.814538081795</t>
  </si>
  <si>
    <t>9763-20170724T115533.660403700.bin</t>
  </si>
  <si>
    <t>-577.001895588278 58.3793258858125 -90.7484811602084</t>
  </si>
  <si>
    <t>-597.401889546584 54.7577704199512 -199.506112436808</t>
  </si>
  <si>
    <t>-611.578712236367 52.2075701768013 -291.257570499742</t>
  </si>
  <si>
    <t>-624.12973649739 50.0625285214776 -374.179352077242</t>
  </si>
  <si>
    <t>-635.86000716016 48.0848786786596 -457.225290729197</t>
  </si>
  <si>
    <t>-652.107968419283 45.3708762057997 -578.771839946878</t>
  </si>
  <si>
    <t>-642.519930382394 43.9745613009136 -656.529894874601</t>
  </si>
  <si>
    <t>-645.233655246844 77.9148849364408 -526.104231717799</t>
  </si>
  <si>
    <t>-620.692996572445 230.670994185875 -506.111184166376</t>
  </si>
  <si>
    <t>-489.042254313602 249.958721069162 -257.365058568926</t>
  </si>
  <si>
    <t>-256.903586667063 243.442537124549 -261.573975832056</t>
  </si>
  <si>
    <t>-644.723359831904 15.2085640567207 -524.772213422228</t>
  </si>
  <si>
    <t>-581.463421150774 150.82618627194 -94.654520578778</t>
  </si>
  <si>
    <t>-615.565169282164 151.823337849679 319.517798067613</t>
  </si>
  <si>
    <t>-671.672490437634 178.84296154202 778.410869267743</t>
  </si>
  <si>
    <t>-521.746977881344 180.581005966597 836.747313726079</t>
  </si>
  <si>
    <t>-584.504166160413 -55.8897522412808 324.616804428604</t>
  </si>
  <si>
    <t>-650.117395242637 -99.6454205776561 780.983494763312</t>
  </si>
  <si>
    <t>-496.687716841844 -117.834692406036 825.842284586999</t>
  </si>
  <si>
    <t>9763-20170724T115533.724652000.bin</t>
  </si>
  <si>
    <t>-576.204177149575 58.6549180892791 -90.6808176023637</t>
  </si>
  <si>
    <t>-596.504516597937 55.001946951365 -199.456070230007</t>
  </si>
  <si>
    <t>-610.655098502308 52.4642265932873 -291.211926582648</t>
  </si>
  <si>
    <t>-623.205424900465 50.3456978246418 -374.134379783238</t>
  </si>
  <si>
    <t>-634.958010694541 48.4109961974129 -457.178265707851</t>
  </si>
  <si>
    <t>-651.26396684098 45.7777319155773 -578.718772560983</t>
  </si>
  <si>
    <t>-641.736165243018 44.4443486704133 -656.485544746958</t>
  </si>
  <si>
    <t>-644.433226868794 78.2863991162528 -526.023609692902</t>
  </si>
  <si>
    <t>-620.118956882982 231.079090897169 -505.983835743398</t>
  </si>
  <si>
    <t>-488.421848159085 250.78221668329 -257.294678137215</t>
  </si>
  <si>
    <t>-256.297893306283 244.008663652964 -261.889244234414</t>
  </si>
  <si>
    <t>-643.784847794074 15.5801535208539 -524.752010647701</t>
  </si>
  <si>
    <t>-580.736466648146 151.074900242806 -94.6089586060644</t>
  </si>
  <si>
    <t>-615.116459732149 151.932420102208 319.540692246977</t>
  </si>
  <si>
    <t>-671.645294885275 178.8492906518 778.376806112612</t>
  </si>
  <si>
    <t>-521.749485794208 180.661069527548 836.787330150148</t>
  </si>
  <si>
    <t>-583.944679756005 -55.8213805737471 324.687282444004</t>
  </si>
  <si>
    <t>-650.073247686165 -99.6628318044516 780.970884519486</t>
  </si>
  <si>
    <t>-496.666981266137 -117.924557259931 825.880259273261</t>
  </si>
  <si>
    <t>9763-20170724T115533.757739500.bin</t>
  </si>
  <si>
    <t>-575.842009159071 58.7319822646177 -90.661387593572</t>
  </si>
  <si>
    <t>-596.079911154594 55.043543115645 -199.447119675069</t>
  </si>
  <si>
    <t>-610.188891564786 52.5040222031023 -291.209395159004</t>
  </si>
  <si>
    <t>-622.705900266106 50.3942032115849 -374.137012803265</t>
  </si>
  <si>
    <t>-634.429418284765 48.4789102523987 -457.185442765334</t>
  </si>
  <si>
    <t>-650.69728697411 45.8864110252825 -578.731941088238</t>
  </si>
  <si>
    <t>-641.177032360313 44.607279919866 -656.500384884055</t>
  </si>
  <si>
    <t>-643.909337893779 78.3770765600384 -526.020303982097</t>
  </si>
  <si>
    <t>-619.694014802054 231.18013321046 -505.954355554397</t>
  </si>
  <si>
    <t>-487.923360720518 251.135075758634 -257.324376026361</t>
  </si>
  <si>
    <t>-255.8045112055 244.308042012173 -262.094254285163</t>
  </si>
  <si>
    <t>-643.208790437478 15.6710262474085 -524.77655718354</t>
  </si>
  <si>
    <t>-580.459853866101 151.169787434018 -94.6015137433465</t>
  </si>
  <si>
    <t>-614.923779830233 151.969311735004 319.541183974761</t>
  </si>
  <si>
    <t>-671.643187440403 178.809644817497 778.360495681071</t>
  </si>
  <si>
    <t>-521.761945837406 180.736789163883 836.804715768373</t>
  </si>
  <si>
    <t>-583.724203168599 -55.8411221397762 324.708589681544</t>
  </si>
  <si>
    <t>-650.056404992824 -99.6785198512882 780.95925503551</t>
  </si>
  <si>
    <t>-496.67887221409 -118.122211359726 825.892414634868</t>
  </si>
  <si>
    <t>9763-20170724T115533.828442000.bin</t>
  </si>
  <si>
    <t>-575.164455402457 58.8268338874295 -90.596414665049</t>
  </si>
  <si>
    <t>-595.259330745708 55.0899862622177 -199.406916763248</t>
  </si>
  <si>
    <t>-609.293227362895 52.5565539573681 -291.181005903045</t>
  </si>
  <si>
    <t>-621.76043938766 50.4690710930774 -374.116773536317</t>
  </si>
  <si>
    <t>-633.452000625828 48.5948480723257 -457.170499465375</t>
  </si>
  <si>
    <t>-649.692725818496 46.0830396678721 -578.722359713412</t>
  </si>
  <si>
    <t>-640.17092612758 44.9269120586607 -656.492638473062</t>
  </si>
  <si>
    <t>-643.005073953815 78.5379141495164 -525.975676764624</t>
  </si>
  <si>
    <t>-619.232268651274 231.406095192225 -505.861644774487</t>
  </si>
  <si>
    <t>-486.859111635703 252.251012642397 -257.624982186758</t>
  </si>
  <si>
    <t>-254.756471046801 245.368781526203 -263.058711711023</t>
  </si>
  <si>
    <t>-642.127744985854 15.8327072463621 -524.797141239341</t>
  </si>
  <si>
    <t>-579.969340498229 151.202675703533 -94.5620312262414</t>
  </si>
  <si>
    <t>-614.64344679401 152.013560385532 319.563174968514</t>
  </si>
  <si>
    <t>-671.632554032055 178.782331237167 778.331704156019</t>
  </si>
  <si>
    <t>-521.773684262286 180.78013055236 836.830949643195</t>
  </si>
  <si>
    <t>-583.226936431439 -55.8464846251504 324.756406326907</t>
  </si>
  <si>
    <t>-650.036388788168 -99.6835965833825 780.928118991573</t>
  </si>
  <si>
    <t>-496.648005473055 -118.014160557746 825.870470414451</t>
  </si>
  <si>
    <t>9763-20170724T115533.861530900.bin</t>
  </si>
  <si>
    <t>-574.820896888167 58.8656441727464 -90.5825481310313</t>
  </si>
  <si>
    <t>-594.852716224746 55.1259616083855 -199.404653395036</t>
  </si>
  <si>
    <t>-608.871077440819 52.5999586683974 -291.181177283645</t>
  </si>
  <si>
    <t>-621.339248736892 50.5226883707116 -374.117038527715</t>
  </si>
  <si>
    <t>-633.046915783546 48.6628306350076 -457.168964013141</t>
  </si>
  <si>
    <t>-649.327815954883 46.1766685962139 -578.716014553981</t>
  </si>
  <si>
    <t>-639.810404301282 45.0747698826062 -656.487463831668</t>
  </si>
  <si>
    <t>-642.673034889392 78.6197320640968 -525.95799801126</t>
  </si>
  <si>
    <t>-619.165086744023 231.524665791371 -505.844161151027</t>
  </si>
  <si>
    <t>-486.372871052644 252.752519818255 -257.864000583493</t>
  </si>
  <si>
    <t>-254.278804091479 245.884611691472 -263.669577446353</t>
  </si>
  <si>
    <t>-641.69475927273 15.9155115249716 -524.806472673832</t>
  </si>
  <si>
    <t>-579.712007511324 151.194438842068 -94.5416817920329</t>
  </si>
  <si>
    <t>-614.538641833695 151.985573320448 319.570703629174</t>
  </si>
  <si>
    <t>-671.620656901797 178.791970459527 778.317987378452</t>
  </si>
  <si>
    <t>-521.76876157696 180.779846705719 836.835265173883</t>
  </si>
  <si>
    <t>-583.036054892198 -55.8562331759726 324.755350407601</t>
  </si>
  <si>
    <t>-650.029202385213 -99.65149108129 780.89792863569</t>
  </si>
  <si>
    <t>-496.623039757357 -117.848591403875 825.833880676861</t>
  </si>
  <si>
    <t>9763-20170724T115533.925756600.bin</t>
  </si>
  <si>
    <t>-574.196111462969 58.9033487459321 -90.5653468946131</t>
  </si>
  <si>
    <t>-594.105463877055 55.1547789578335 -199.409597311115</t>
  </si>
  <si>
    <t>-608.115032195841 52.6454748655158 -291.187935731469</t>
  </si>
  <si>
    <t>-620.61307546791 50.5917978094562 -374.119908065292</t>
  </si>
  <si>
    <t>-632.388632765996 48.7655274773122 -457.162828189019</t>
  </si>
  <si>
    <t>-648.810408878855 46.340388992777 -578.692272880515</t>
  </si>
  <si>
    <t>-639.302690570515 45.3241687677285 -656.466085955347</t>
  </si>
  <si>
    <t>-642.179043303202 78.7556565464668 -525.914188046842</t>
  </si>
  <si>
    <t>-619.165874701927 231.734980779138 -505.793797624327</t>
  </si>
  <si>
    <t>-485.439253921915 253.309317359359 -258.34603632903</t>
  </si>
  <si>
    <t>-253.352590163126 246.793532509573 -264.815452529053</t>
  </si>
  <si>
    <t>-641.030316475383 16.0533345290794 -524.818270594683</t>
  </si>
  <si>
    <t>-579.238587098994 151.158319302964 -94.5260641399317</t>
  </si>
  <si>
    <t>-614.274057964788 151.966273458097 319.568771710344</t>
  </si>
  <si>
    <t>-671.606022671822 178.783369282032 778.28998141812</t>
  </si>
  <si>
    <t>-521.765959892341 180.741568923693 836.838581616864</t>
  </si>
  <si>
    <t>-582.699914764386 -55.9753096622005 324.732399834459</t>
  </si>
  <si>
    <t>-649.998359248295 -99.6996238849483 780.837362982541</t>
  </si>
  <si>
    <t>-496.614213296713 -118.001669751406 825.80585904456</t>
  </si>
  <si>
    <t>9763-20170724T115533.964854100.bin</t>
  </si>
  <si>
    <t>-573.916376473356 58.896233652996 -90.5533828585817</t>
  </si>
  <si>
    <t>-593.784126189761 55.1482401609728 -199.405271193603</t>
  </si>
  <si>
    <t>-607.785963756421 52.6485739019261 -291.185092475626</t>
  </si>
  <si>
    <t>-620.288091652071 50.606556213336 -374.116717988817</t>
  </si>
  <si>
    <t>-632.07865728997 48.7958488897846 -457.158027437419</t>
  </si>
  <si>
    <t>-648.534533457295 46.3973492235036 -578.683143284896</t>
  </si>
  <si>
    <t>-639.016588392635 45.4099699808166 -656.456307243689</t>
  </si>
  <si>
    <t>-641.913986585677 78.8006992662415 -525.896447710844</t>
  </si>
  <si>
    <t>-619.089979340883 231.801371063584 -505.756406554343</t>
  </si>
  <si>
    <t>-484.945954951017 253.432231776656 -258.53977127498</t>
  </si>
  <si>
    <t>-252.869561130219 247.057148448884 -265.50025500114</t>
  </si>
  <si>
    <t>-640.713667526494 16.098984689487 -524.821408108837</t>
  </si>
  <si>
    <t>-579.004938850887 151.115788562493 -94.506371355072</t>
  </si>
  <si>
    <t>-614.158831296962 151.889186683582 319.578417745077</t>
  </si>
  <si>
    <t>-671.606948530548 178.752537160782 778.278013791528</t>
  </si>
  <si>
    <t>-521.772242899947 180.81175153802 836.837009576024</t>
  </si>
  <si>
    <t>-582.561030238964 -56.0229269984459 324.720889715046</t>
  </si>
  <si>
    <t>-649.998341900997 -99.7072007752874 780.806337695201</t>
  </si>
  <si>
    <t>-496.590096347739 -117.851446844499 825.756516217161</t>
  </si>
  <si>
    <t>9763-20170724T115534.026046900.bin</t>
  </si>
  <si>
    <t>-573.350690846422 58.9438050018807 -90.5488358658694</t>
  </si>
  <si>
    <t>-593.138159308855 55.1889422704887 -199.41515221537</t>
  </si>
  <si>
    <t>-607.105134651097 52.6937030459296 -291.200331721811</t>
  </si>
  <si>
    <t>-619.58882984126 50.6596439593384 -374.13487268613</t>
  </si>
  <si>
    <t>-631.374074911796 48.8610861657592 -457.177153369994</t>
  </si>
  <si>
    <t>-647.836505538238 46.4851600500572 -578.701980352786</t>
  </si>
  <si>
    <t>-638.297589934079 45.5328059910501 -656.472822319076</t>
  </si>
  <si>
    <t>-641.231019144338 78.8783359468316 -525.907179285452</t>
  </si>
  <si>
    <t>-618.637008487413 231.925303240368 -505.794075834495</t>
  </si>
  <si>
    <t>-483.829586900916 253.783220132129 -258.958534701272</t>
  </si>
  <si>
    <t>-251.778010826792 247.584317401338 -266.84320940449</t>
  </si>
  <si>
    <t>-639.994845920063 16.1770566864673 -524.848675788708</t>
  </si>
  <si>
    <t>-578.480756903577 151.112705943136 -94.4795885604605</t>
  </si>
  <si>
    <t>-613.994483981655 151.786445816134 319.574694449193</t>
  </si>
  <si>
    <t>-671.58657576933 178.809005546712 778.258344584703</t>
  </si>
  <si>
    <t>-521.754760283345 180.768336543827 836.82812695982</t>
  </si>
  <si>
    <t>-582.298571376035 -56.059556901673 324.707908994185</t>
  </si>
  <si>
    <t>-650.023215780065 -99.7172010121915 780.743397505431</t>
  </si>
  <si>
    <t>-496.613224341991 -117.976100628153 825.641114811061</t>
  </si>
  <si>
    <t>9763-20170724T115534.058116700.bin</t>
  </si>
  <si>
    <t>-573.056132719287 58.9373955953413 -90.5299539636561</t>
  </si>
  <si>
    <t>-592.794498081018 55.1832767530038 -199.405029673768</t>
  </si>
  <si>
    <t>-606.749250685144 52.6725314399282 -291.191846090213</t>
  </si>
  <si>
    <t>-619.233635001387 50.6180684249784 -374.125742688713</t>
  </si>
  <si>
    <t>-631.031366130148 48.79258951924 -457.165585882301</t>
  </si>
  <si>
    <t>-647.525006478002 46.3706561341107 -578.685266833378</t>
  </si>
  <si>
    <t>-637.991901030357 45.4075104819538 -656.456864143406</t>
  </si>
  <si>
    <t>-640.902103674961 78.7839118740678 -525.905004459268</t>
  </si>
  <si>
    <t>-618.373681752446 231.852111100712 -505.873455044125</t>
  </si>
  <si>
    <t>-483.318321807219 253.663760032071 -259.169461864836</t>
  </si>
  <si>
    <t>-251.276387076388 247.532137083089 -267.384231622164</t>
  </si>
  <si>
    <t>-639.673378643189 16.0828774658578 -524.822054812136</t>
  </si>
  <si>
    <t>-578.20875216058 151.053655276437 -94.4520357152935</t>
  </si>
  <si>
    <t>-613.951270760273 151.657199605452 319.582693077461</t>
  </si>
  <si>
    <t>-671.611019274 178.721667643996 778.252915584808</t>
  </si>
  <si>
    <t>-521.781234034826 180.956112172826 836.817940854488</t>
  </si>
  <si>
    <t>-582.184442343634 -56.0999440185531 324.705273525084</t>
  </si>
  <si>
    <t>-650.022752963467 -99.7448031620554 780.718893480403</t>
  </si>
  <si>
    <t>-496.621081897769 -118.078229857408 825.614692730737</t>
  </si>
  <si>
    <t>9763-20170724T115534.128350300.bin</t>
  </si>
  <si>
    <t>-572.281491379463 59.1152551814857 -90.4877496478515</t>
  </si>
  <si>
    <t>-591.934901330027 55.3514627074608 -199.377959143471</t>
  </si>
  <si>
    <t>-605.867951721671 52.7985910267012 -291.166704752316</t>
  </si>
  <si>
    <t>-618.352910996392 50.6927635755435 -374.099449522339</t>
  </si>
  <si>
    <t>-630.171380969706 48.8025024895196 -457.13478731257</t>
  </si>
  <si>
    <t>-646.71765409132 46.2706098886526 -578.64505755082</t>
  </si>
  <si>
    <t>-637.222538468196 45.2451931249445 -656.420405009677</t>
  </si>
  <si>
    <t>-640.028587688607 78.7322969536403 -525.902866680242</t>
  </si>
  <si>
    <t>-617.406156621293 231.809727798202 -506.090232924892</t>
  </si>
  <si>
    <t>-482.000693937994 253.855539268807 -259.598946394029</t>
  </si>
  <si>
    <t>-249.980264210134 247.900197750324 -268.519809795602</t>
  </si>
  <si>
    <t>-638.886000291115 16.0307648379319 -524.752016825216</t>
  </si>
  <si>
    <t>-577.337309479058 151.251265165045 -94.4157731063502</t>
  </si>
  <si>
    <t>-613.562433987063 151.68681670453 319.577180181935</t>
  </si>
  <si>
    <t>-671.58929179448 178.796432113498 778.214226674798</t>
  </si>
  <si>
    <t>-521.770528029029 180.766614942735 836.816931379245</t>
  </si>
  <si>
    <t>-581.853461258103 -56.1366998104206 324.731809678723</t>
  </si>
  <si>
    <t>-650.02299259642 -99.7158339624082 780.696644949817</t>
  </si>
  <si>
    <t>-496.585289526217 -117.846220952962 825.551777237025</t>
  </si>
  <si>
    <t>9763-20170724T115534.161438500.bin</t>
  </si>
  <si>
    <t>-571.889026471133 59.2183046981609 -90.4637203182366</t>
  </si>
  <si>
    <t>-591.515531943351 55.4526491902093 -199.358673148729</t>
  </si>
  <si>
    <t>-605.456913943057 52.8712322064373 -291.145453327477</t>
  </si>
  <si>
    <t>-617.961991543036 50.7293298379846 -374.074170821904</t>
  </si>
  <si>
    <t>-629.813192498136 48.792506626201 -457.10392933507</t>
  </si>
  <si>
    <t>-646.421341050639 46.1806615413418 -578.603976618059</t>
  </si>
  <si>
    <t>-636.966809189401 45.0946194355922 -656.383390307486</t>
  </si>
  <si>
    <t>-639.677835673628 78.6775019548722 -525.89044855658</t>
  </si>
  <si>
    <t>-616.979194980707 231.765254486205 -506.233211815855</t>
  </si>
  <si>
    <t>-481.390980177672 253.909984534371 -259.851158830121</t>
  </si>
  <si>
    <t>-249.379485262383 248.009620742009 -269.035986008765</t>
  </si>
  <si>
    <t>-638.589794656957 15.9760412293524 -524.691265618258</t>
  </si>
  <si>
    <t>-576.905596200095 151.369043063307 -94.400561271543</t>
  </si>
  <si>
    <t>-613.343732389127 151.705451478831 319.573726174335</t>
  </si>
  <si>
    <t>-671.596865131547 178.7558539893 778.195161653462</t>
  </si>
  <si>
    <t>-521.78767789517 180.795464748517 836.819922879425</t>
  </si>
  <si>
    <t>-581.64203682834 -56.1270424369854 324.756380962902</t>
  </si>
  <si>
    <t>-650.019712606334 -99.7172544065361 780.694610116467</t>
  </si>
  <si>
    <t>-496.596851308332 -117.992275750231 825.541783738463</t>
  </si>
  <si>
    <t>9763-20170724T115534.229128300.bin</t>
  </si>
  <si>
    <t>-571.178152478785 59.4607617561599 -90.3939238345158</t>
  </si>
  <si>
    <t>-590.765741882627 55.6994190723765 -199.296084288878</t>
  </si>
  <si>
    <t>-604.732588786433 53.0480407807022 -291.076967859681</t>
  </si>
  <si>
    <t>-617.284471626736 50.8148372940095 -373.99620066809</t>
  </si>
  <si>
    <t>-629.206509798531 48.7576324146958 -457.012969939559</t>
  </si>
  <si>
    <t>-645.944711041008 45.9381513534088 -578.490452804404</t>
  </si>
  <si>
    <t>-636.587103151368 44.6921650900699 -656.279313959281</t>
  </si>
  <si>
    <t>-639.081625184128 78.5258431092732 -525.848443620503</t>
  </si>
  <si>
    <t>-616.16352100017 231.618939815029 -506.512278432501</t>
  </si>
  <si>
    <t>-480.268605617446 254.091855953941 -260.329049099412</t>
  </si>
  <si>
    <t>-248.278517775322 248.331344886048 -270.124027097512</t>
  </si>
  <si>
    <t>-638.118630894459 15.8248109385061 -524.525897252881</t>
  </si>
  <si>
    <t>-576.090658752815 151.630841923167 -94.3454418690582</t>
  </si>
  <si>
    <t>-612.88966878859 151.81424241637 319.597051287344</t>
  </si>
  <si>
    <t>-671.598428057424 178.736393037165 778.160526085918</t>
  </si>
  <si>
    <t>-521.808216036226 180.934625422539 836.828037255778</t>
  </si>
  <si>
    <t>-581.318653568296 -56.0628215559482 324.82085405083</t>
  </si>
  <si>
    <t>-649.989905767914 -99.7967623412765 780.700854981409</t>
  </si>
  <si>
    <t>-496.610219751121 -118.37222923965 825.572346800675</t>
  </si>
  <si>
    <t>9763-20170724T115534.262216100.bin</t>
  </si>
  <si>
    <t>-570.847388783886 59.6256410753188 -90.37144717432</t>
  </si>
  <si>
    <t>-590.413508026242 55.8718265432672 -199.277779428818</t>
  </si>
  <si>
    <t>-604.394551122985 53.1798041740044 -291.055219839357</t>
  </si>
  <si>
    <t>-616.972356741451 50.8922934123507 -373.969044371192</t>
  </si>
  <si>
    <t>-628.933693836306 48.7623896934986 -456.978267180203</t>
  </si>
  <si>
    <t>-645.744149578235 45.8165720045163 -578.442932449746</t>
  </si>
  <si>
    <t>-636.448817527966 44.477714704115 -656.237613563025</t>
  </si>
  <si>
    <t>-638.822042677442 78.459254207406 -525.8428151105</t>
  </si>
  <si>
    <t>-615.846665322444 231.573338926302 -506.721147863432</t>
  </si>
  <si>
    <t>-479.767158839618 254.187982761951 -260.652904283046</t>
  </si>
  <si>
    <t>-247.780718283626 248.539847167624 -270.598215190212</t>
  </si>
  <si>
    <t>-637.913692319345 15.7590343456454 -524.44775846891</t>
  </si>
  <si>
    <t>-575.693356270869 151.8234412728 -94.3198578880712</t>
  </si>
  <si>
    <t>-612.645465738199 151.932095658824 319.609099952674</t>
  </si>
  <si>
    <t>-671.57754295424 178.834687014178 778.146850974641</t>
  </si>
  <si>
    <t>-521.792957716561 180.860706515452 836.834946130854</t>
  </si>
  <si>
    <t>-581.191588010184 -55.9924545778517 324.84646335361</t>
  </si>
  <si>
    <t>-649.972920834757 -99.8156761264565 780.707557721546</t>
  </si>
  <si>
    <t>-496.599643098515 -118.421270253957 825.588473797531</t>
  </si>
  <si>
    <t>9763-20170724T115534.326414700.bin</t>
  </si>
  <si>
    <t>-570.344525651609 59.8073820121929 -90.3153813945954</t>
  </si>
  <si>
    <t>-589.850375463072 56.0574377881271 -199.232588957374</t>
  </si>
  <si>
    <t>-603.828517394828 53.2789271228048 -291.008019371768</t>
  </si>
  <si>
    <t>-616.423466449614 50.8783739898215 -373.916041632708</t>
  </si>
  <si>
    <t>-628.421969241168 48.5998207717785 -456.915816215221</t>
  </si>
  <si>
    <t>-645.308930781125 45.3980334348262 -578.363373261383</t>
  </si>
  <si>
    <t>-636.112583010756 43.8696955087009 -656.166464435194</t>
  </si>
  <si>
    <t>-638.300696631209 78.1521956948848 -525.844006127242</t>
  </si>
  <si>
    <t>-615.121851730035 231.284623219769 -507.135049051729</t>
  </si>
  <si>
    <t>-478.747545373145 254.32772160639 -261.269982500103</t>
  </si>
  <si>
    <t>-246.776155429674 248.732143572066 -271.589924893854</t>
  </si>
  <si>
    <t>-637.497444318831 15.4538106703262 -524.302614298325</t>
  </si>
  <si>
    <t>-575.079651651861 151.993868441937 -94.278568566544</t>
  </si>
  <si>
    <t>-612.313918945594 152.026606863994 319.625080952692</t>
  </si>
  <si>
    <t>-671.589641728596 178.822952953596 778.120527608676</t>
  </si>
  <si>
    <t>-521.816901967861 180.944324259123 836.835511226521</t>
  </si>
  <si>
    <t>-580.987117889088 -55.9389445035436 324.901302202377</t>
  </si>
  <si>
    <t>-649.929765933796 -99.7952222067795 780.735461932068</t>
  </si>
  <si>
    <t>-496.53751625147 -118.167064393551 825.647774113481</t>
  </si>
  <si>
    <t>9763-20170724T115534.358499600.bin</t>
  </si>
  <si>
    <t>-570.102599263396 59.8595448483563 -90.2817950910378</t>
  </si>
  <si>
    <t>-589.584992536083 56.1123377726501 -199.203249085097</t>
  </si>
  <si>
    <t>-603.566502212348 53.2894221082483 -290.976866892406</t>
  </si>
  <si>
    <t>-616.174052880684 50.8303131367195 -373.88130880837</t>
  </si>
  <si>
    <t>-628.194794099536 48.4748422702032 -456.875740610212</t>
  </si>
  <si>
    <t>-645.125130802982 45.1398704306571 -578.313643446916</t>
  </si>
  <si>
    <t>-635.972127123907 43.503120278838 -656.119537815335</t>
  </si>
  <si>
    <t>-638.084159146046 77.9516121608629 -525.834579862339</t>
  </si>
  <si>
    <t>-614.867604074063 231.103573987881 -507.30616838454</t>
  </si>
  <si>
    <t>-478.154647474734 254.461715744602 -261.658926035823</t>
  </si>
  <si>
    <t>-246.19112858244 248.885334229884 -272.164044299545</t>
  </si>
  <si>
    <t>-637.308356021507 15.2547899154292 -524.221035426016</t>
  </si>
  <si>
    <t>-574.807381375979 152.045226246229 -94.2523763212649</t>
  </si>
  <si>
    <t>-612.187899500678 152.032406385965 319.638007847657</t>
  </si>
  <si>
    <t>-671.604566447519 178.763855031536 778.114427869449</t>
  </si>
  <si>
    <t>-521.834643737857 180.910344179234 836.835712157891</t>
  </si>
  <si>
    <t>-580.879816754249 -55.9596889712629 324.929581992077</t>
  </si>
  <si>
    <t>-649.914629100239 -99.8173467273086 780.747683601507</t>
  </si>
  <si>
    <t>-496.569715454009 -118.543735505465 825.675203786318</t>
  </si>
  <si>
    <t>9763-20170724T115534.427719100.bin</t>
  </si>
  <si>
    <t>-569.616729345188 59.9888587949238 -90.2369901424452</t>
  </si>
  <si>
    <t>-589.051915973243 56.2201945377556 -199.166228709674</t>
  </si>
  <si>
    <t>-603.064317661765 53.3008431511594 -290.932014343165</t>
  </si>
  <si>
    <t>-615.728384027245 50.7239796478445 -373.824153762145</t>
  </si>
  <si>
    <t>-627.834758694202 48.2192560438198 -456.801930875639</t>
  </si>
  <si>
    <t>-644.922296874337 44.6321701613856 -578.210591956596</t>
  </si>
  <si>
    <t>-635.864639882512 42.8045360095716 -656.02340087752</t>
  </si>
  <si>
    <t>-637.781884881726 77.5530839808721 -525.813298332563</t>
  </si>
  <si>
    <t>-614.499752554507 230.730974853401 -507.627597074714</t>
  </si>
  <si>
    <t>-477.016178784639 255.415484874866 -262.540848687581</t>
  </si>
  <si>
    <t>-245.093342079598 249.880431591454 -273.928801926073</t>
  </si>
  <si>
    <t>-637.067013239949 14.8591672141883 -524.061708098515</t>
  </si>
  <si>
    <t>-574.313134924679 152.185240364428 -94.22064885307</t>
  </si>
  <si>
    <t>-611.938696619195 152.167544775733 319.647566029973</t>
  </si>
  <si>
    <t>-671.583471232152 178.917305445939 778.099353108125</t>
  </si>
  <si>
    <t>-521.818063305563 180.92104089837 836.837235107795</t>
  </si>
  <si>
    <t>-580.639351573846 -55.9247987025253 324.977752939175</t>
  </si>
  <si>
    <t>-649.880727463217 -99.8309930045621 780.767442564281</t>
  </si>
  <si>
    <t>-496.525968580286 -118.443803674269 825.708588676964</t>
  </si>
  <si>
    <t>9763-20170724T115534.460807600.bin</t>
  </si>
  <si>
    <t>-569.38851710414 60.0285258748204 -90.2103780872314</t>
  </si>
  <si>
    <t>-588.801519547218 56.2440279003074 -199.143059817863</t>
  </si>
  <si>
    <t>-602.835292690413 53.2788106502246 -290.904046645087</t>
  </si>
  <si>
    <t>-615.535014719268 50.6475138983542 -373.789090628327</t>
  </si>
  <si>
    <t>-627.693470648805 48.0755928268111 -456.757176215988</t>
  </si>
  <si>
    <t>-644.875342394821 44.3763315720191 -578.149172839381</t>
  </si>
  <si>
    <t>-635.868888078691 42.4727408207273 -655.966035756865</t>
  </si>
  <si>
    <t>-637.687087838909 77.3456415549974 -525.788943134627</t>
  </si>
  <si>
    <t>-614.422210312619 230.550702475486 -507.807222586329</t>
  </si>
  <si>
    <t>-476.549148693313 256.154650836424 -263.033758436789</t>
  </si>
  <si>
    <t>-244.649708992359 250.803467872017 -274.972998760298</t>
  </si>
  <si>
    <t>-636.98512410359 14.6532670078145 -523.977926015561</t>
  </si>
  <si>
    <t>-574.089742401066 152.199146219657 -94.2030750799764</t>
  </si>
  <si>
    <t>-611.827504560683 152.154858684803 319.654925613131</t>
  </si>
  <si>
    <t>-671.61097726763 178.830668099645 778.095411465522</t>
  </si>
  <si>
    <t>-521.850119768815 181.054136508008 836.8368586187</t>
  </si>
  <si>
    <t>-580.532648076086 -55.92470543175 325.010615434741</t>
  </si>
  <si>
    <t>-649.866105726892 -99.8570957373436 780.781741884294</t>
  </si>
  <si>
    <t>-496.537094155694 -118.637542025417 825.740999228911</t>
  </si>
  <si>
    <t>9763-20170724T115534.525486100.bin</t>
  </si>
  <si>
    <t>-569.033268005229 60.127231749382 -90.158245723917</t>
  </si>
  <si>
    <t>-588.40606044824 56.3289863175069 -199.097495037979</t>
  </si>
  <si>
    <t>-602.407697599888 53.2613999854896 -290.860038069142</t>
  </si>
  <si>
    <t>-615.079595117449 50.5014214849587 -373.745234346501</t>
  </si>
  <si>
    <t>-627.211612020511 47.7647376189459 -456.711809911159</t>
  </si>
  <si>
    <t>-644.356841526339 43.7845681860083 -578.100184215642</t>
  </si>
  <si>
    <t>-635.416440506028 41.7435639684536 -655.921158994279</t>
  </si>
  <si>
    <t>-637.187218649816 76.8749882654377 -525.813736016359</t>
  </si>
  <si>
    <t>-614.114369301971 230.167156505486 -508.235028355689</t>
  </si>
  <si>
    <t>-475.459954472261 257.085626593962 -264.044625444712</t>
  </si>
  <si>
    <t>-243.575555642624 251.980413564866 -276.377392232235</t>
  </si>
  <si>
    <t>-636.480109537365 14.187004225151 -523.858221198139</t>
  </si>
  <si>
    <t>-573.708721289874 152.304766769707 -94.1765704700488</t>
  </si>
  <si>
    <t>-611.600706758956 152.169618514846 319.667350122446</t>
  </si>
  <si>
    <t>-671.623151278565 178.830187332903 778.077139602242</t>
  </si>
  <si>
    <t>-521.872973461143 181.083313003132 836.844800787449</t>
  </si>
  <si>
    <t>-580.370487549904 -55.9248230832684 325.068547309533</t>
  </si>
  <si>
    <t>-649.823019911664 -99.8536041685329 780.811986950487</t>
  </si>
  <si>
    <t>-496.479926582435 -118.44821575966 825.800388151706</t>
  </si>
  <si>
    <t>9763-20170724T115534.560587700.bin</t>
  </si>
  <si>
    <t>-568.884082166438 60.1374379951783 -90.1296192603839</t>
  </si>
  <si>
    <t>-588.22399598252 56.3217963573557 -199.074113458263</t>
  </si>
  <si>
    <t>-602.210478322655 53.2043773001058 -290.837435683277</t>
  </si>
  <si>
    <t>-614.87386807604 50.3852478676981 -373.721851781781</t>
  </si>
  <si>
    <t>-627.002784178525 47.5750073520821 -456.686373472587</t>
  </si>
  <si>
    <t>-644.149316722831 43.4721020231918 -578.0704841802</t>
  </si>
  <si>
    <t>-635.246744281697 41.381409191808 -655.894544459223</t>
  </si>
  <si>
    <t>-636.979889003446 76.6154044625503 -525.817698143787</t>
  </si>
  <si>
    <t>-613.947148855112 229.923512039066 -508.414163313843</t>
  </si>
  <si>
    <t>-474.98140101925 257.082035188593 -264.427558728415</t>
  </si>
  <si>
    <t>-243.10062477451 252.17084571961 -276.906176896553</t>
  </si>
  <si>
    <t>-636.271255379441 13.9294277841443 -523.798751397263</t>
  </si>
  <si>
    <t>-573.591790013861 152.306924467321 -94.1660472736356</t>
  </si>
  <si>
    <t>-611.538066596705 152.164696679131 319.672795614113</t>
  </si>
  <si>
    <t>-671.618302603632 178.869056468799 778.067842794876</t>
  </si>
  <si>
    <t>-521.871847138097 181.108849408554 836.845319751856</t>
  </si>
  <si>
    <t>-580.309252937661 -55.9331780768705 325.091536540703</t>
  </si>
  <si>
    <t>-649.788131833787 -99.8828238826511 780.828044375622</t>
  </si>
  <si>
    <t>-496.483089202934 -118.663681834712 825.868838505019</t>
  </si>
  <si>
    <t>9763-20170724T115534.630330800.bin</t>
  </si>
  <si>
    <t>-568.561203094177 60.1450211653246 -90.0832337983099</t>
  </si>
  <si>
    <t>-587.874119015661 56.3123520511992 -199.031982216619</t>
  </si>
  <si>
    <t>-601.871422827545 53.1134737124705 -290.790738451035</t>
  </si>
  <si>
    <t>-614.558342639307 50.1934221349795 -373.66795882179</t>
  </si>
  <si>
    <t>-626.724911103834 47.2550635362857 -456.622661229837</t>
  </si>
  <si>
    <t>-643.942160443336 42.9351181841539 -577.989227999096</t>
  </si>
  <si>
    <t>-635.136506589044 40.7311410605937 -655.821187016443</t>
  </si>
  <si>
    <t>-636.749136928495 76.171673305053 -525.798923005086</t>
  </si>
  <si>
    <t>-613.857987036783 229.53516487159 -508.685638393328</t>
  </si>
  <si>
    <t>-474.244127068813 256.966213536181 -265.099764123581</t>
  </si>
  <si>
    <t>-242.387531938819 252.236250146537 -278.087791469889</t>
  </si>
  <si>
    <t>-636.025666140916 13.4895812672685 -523.670382133106</t>
  </si>
  <si>
    <t>-573.370922679549 152.263555924586 -94.1287209865501</t>
  </si>
  <si>
    <t>-611.506249812832 152.164411496572 319.692889249863</t>
  </si>
  <si>
    <t>-671.624649203002 178.885215793136 778.064875182029</t>
  </si>
  <si>
    <t>-521.880708248454 181.039239836553 836.852068951319</t>
  </si>
  <si>
    <t>-580.125331988716 -55.9869983975889 325.133707868275</t>
  </si>
  <si>
    <t>-649.700087401623 -99.9086097682755 780.859235375668</t>
  </si>
  <si>
    <t>-496.398334129287 -118.464186435896 826.004420783579</t>
  </si>
  <si>
    <t>9763-20170724T115534.658405500.bin</t>
  </si>
  <si>
    <t>-568.442279854233 60.1409972840813 -90.0761114631096</t>
  </si>
  <si>
    <t>-587.768605814773 56.3061331036179 -199.022321725896</t>
  </si>
  <si>
    <t>-601.787796067953 53.0806224353698 -290.776852873275</t>
  </si>
  <si>
    <t>-614.499030295222 50.1258907026743 -373.649200308908</t>
  </si>
  <si>
    <t>-626.694318569739 47.1431034627308 -456.598149139757</t>
  </si>
  <si>
    <t>-643.958777760113 42.7466215650109 -577.955210977205</t>
  </si>
  <si>
    <t>-635.202064028726 40.4907272254447 -655.791156817724</t>
  </si>
  <si>
    <t>-636.747252843367 76.0162528458791 -525.788352538633</t>
  </si>
  <si>
    <t>-613.902490657323 229.394852134813 -508.788177403086</t>
  </si>
  <si>
    <t>-473.987731079001 256.968818602801 -265.391269669604</t>
  </si>
  <si>
    <t>-242.145090168497 252.289945180967 -278.643845761827</t>
  </si>
  <si>
    <t>-636.019293317174 13.3353251381147 -523.621143329625</t>
  </si>
  <si>
    <t>-573.290753860274 152.263261531247 -94.1197857056796</t>
  </si>
  <si>
    <t>-611.494230425493 152.202086330446 319.695459333996</t>
  </si>
  <si>
    <t>-671.606925186984 178.968688996437 778.063271908516</t>
  </si>
  <si>
    <t>-521.862827241128 180.951329510856 836.856062488925</t>
  </si>
  <si>
    <t>-580.06445517846 -56.0547359795905 325.134150664141</t>
  </si>
  <si>
    <t>-649.67292312335 -99.927551196253 780.863620564222</t>
  </si>
  <si>
    <t>-496.387980044395 -118.548176736085 826.039014288014</t>
  </si>
  <si>
    <t>9763-20170724T115534.725621700.bin</t>
  </si>
  <si>
    <t>-568.179395435271 59.9871738321272 -90.0718898148075</t>
  </si>
  <si>
    <t>-587.539428150851 56.162575571311 -199.012530009757</t>
  </si>
  <si>
    <t>-601.608172453941 52.9039818866884 -290.75829074736</t>
  </si>
  <si>
    <t>-614.372785178221 49.9035789765817 -373.620815926995</t>
  </si>
  <si>
    <t>-626.630473772887 46.8583580020866 -456.558240596734</t>
  </si>
  <si>
    <t>-643.995999132894 42.3530253630809 -577.896773348111</t>
  </si>
  <si>
    <t>-635.369699015867 40.0011032522114 -655.744633862631</t>
  </si>
  <si>
    <t>-636.726746521049 75.6693736105756 -525.76801633387</t>
  </si>
  <si>
    <t>-613.828797928713 229.06070736153 -508.92102645188</t>
  </si>
  <si>
    <t>-473.585939907666 257.052907496244 -265.7607099556</t>
  </si>
  <si>
    <t>-241.767854212831 252.416534356884 -279.450263196553</t>
  </si>
  <si>
    <t>-636.025600590226 12.9904103064753 -523.541026828225</t>
  </si>
  <si>
    <t>-572.950386719874 152.063671622885 -94.1004154167389</t>
  </si>
  <si>
    <t>-611.373043001749 152.013233872935 319.69461323852</t>
  </si>
  <si>
    <t>-671.644936180645 178.871807222329 778.05277691749</t>
  </si>
  <si>
    <t>-521.904776682059 181.072431516925 836.847966520391</t>
  </si>
  <si>
    <t>-580.001369112636 -56.1960185825033 325.13307385858</t>
  </si>
  <si>
    <t>-649.651723010339 -99.9758134276524 780.867753947304</t>
  </si>
  <si>
    <t>-496.410981388674 -118.918126605336 826.059444701503</t>
  </si>
  <si>
    <t>9763-20170724T115534.760717000.bin</t>
  </si>
  <si>
    <t>-567.979851376057 59.9305277103242 -90.059030166889</t>
  </si>
  <si>
    <t>-587.342989046567 56.1060978571491 -198.999199434745</t>
  </si>
  <si>
    <t>-601.414264331498 52.8240998160345 -290.743689475822</t>
  </si>
  <si>
    <t>-614.181366942831 49.793155194852 -373.604771156318</t>
  </si>
  <si>
    <t>-626.441731713354 46.7081679364553 -456.540276263044</t>
  </si>
  <si>
    <t>-643.811424650669 42.1346407361882 -577.875776797725</t>
  </si>
  <si>
    <t>-635.256923400512 39.7364482613036 -655.729895594191</t>
  </si>
  <si>
    <t>-636.538961778059 75.4803296034218 -525.765931038705</t>
  </si>
  <si>
    <t>-613.670239218791 228.886987628731 -509.001010670635</t>
  </si>
  <si>
    <t>-473.328785593171 257.142628556062 -265.92803337454</t>
  </si>
  <si>
    <t>-241.514501130565 252.437681852818 -279.659031889364</t>
  </si>
  <si>
    <t>-635.840531417479 12.8026359737753 -523.503445103769</t>
  </si>
  <si>
    <t>-572.700433922463 151.98866634882 -94.085264643447</t>
  </si>
  <si>
    <t>-611.255863577632 151.939407463084 319.697391482677</t>
  </si>
  <si>
    <t>-671.66009466256 178.836068765511 778.042625291109</t>
  </si>
  <si>
    <t>-521.925592639725 181.055134594524 836.851418488761</t>
  </si>
  <si>
    <t>-579.940061827398 -56.2657329248552 325.142591275425</t>
  </si>
  <si>
    <t>-649.645614393053 -99.9975558462836 780.872943251181</t>
  </si>
  <si>
    <t>-496.404925993455 -118.965822878452 826.053876062844</t>
  </si>
  <si>
    <t>9763-20170724T115534.827933900.bin</t>
  </si>
  <si>
    <t>-567.652694019013 59.7822135164249 -90.0358071646165</t>
  </si>
  <si>
    <t>-586.938236818656 55.9600074879504 -198.989738382284</t>
  </si>
  <si>
    <t>-600.947207578381 52.6301879994455 -290.742202396911</t>
  </si>
  <si>
    <t>-613.659479962004 49.537013185402 -373.609301138483</t>
  </si>
  <si>
    <t>-625.866562772627 46.3703034937871 -456.549560270443</t>
  </si>
  <si>
    <t>-643.160413785525 41.6552719905499 -577.890487716889</t>
  </si>
  <si>
    <t>-634.741026665234 39.1914443789626 -655.75734325325</t>
  </si>
  <si>
    <t>-635.888992683919 75.0618044002863 -525.81960049665</t>
  </si>
  <si>
    <t>-612.91840457885 228.466010706064 -509.187569558569</t>
  </si>
  <si>
    <t>-472.996302398014 257.293328105928 -265.939908997063</t>
  </si>
  <si>
    <t>-241.170322690378 252.631085330811 -279.485910221253</t>
  </si>
  <si>
    <t>-635.255059381216 12.3865205267177 -523.474646680751</t>
  </si>
  <si>
    <t>-572.283289413163 151.942750840871 -94.0708014125286</t>
  </si>
  <si>
    <t>-611.063418393203 151.955241262309 319.690891338954</t>
  </si>
  <si>
    <t>-671.649613915259 178.931630016274 778.015871791295</t>
  </si>
  <si>
    <t>-521.930598963582 181.099777697228 836.865990047427</t>
  </si>
  <si>
    <t>-579.943383180755 -56.5511441671706 325.146375958288</t>
  </si>
  <si>
    <t>-649.610773441976 -100.001114581681 780.912476115562</t>
  </si>
  <si>
    <t>-496.317766351215 -118.535197956735 826.096234956018</t>
  </si>
  <si>
    <t>9763-20170724T115534.862025600.bin</t>
  </si>
  <si>
    <t>-567.440232680446 59.7086171239328 -90.0162651212141</t>
  </si>
  <si>
    <t>-586.704867153022 55.8916944400098 -198.974110434699</t>
  </si>
  <si>
    <t>-600.680818035482 52.5459976703978 -290.730883899813</t>
  </si>
  <si>
    <t>-613.357248139476 49.4304947910236 -373.602721960371</t>
  </si>
  <si>
    <t>-625.52247692362 46.233179993799 -456.547972778159</t>
  </si>
  <si>
    <t>-642.74852963136 41.464387525418 -577.896554624233</t>
  </si>
  <si>
    <t>-634.391750614939 38.9771857024466 -655.769326724561</t>
  </si>
  <si>
    <t>-635.493142943411 74.8941878178325 -525.838259801552</t>
  </si>
  <si>
    <t>-612.460461791204 228.291580408097 -509.252583971256</t>
  </si>
  <si>
    <t>-472.91809474365 257.23814125998 -265.801152744371</t>
  </si>
  <si>
    <t>-241.076136789578 252.567214702897 -279.069049436606</t>
  </si>
  <si>
    <t>-634.886630416099 12.2196999325129 -523.461333253281</t>
  </si>
  <si>
    <t>-572.051505179092 151.927372648085 -94.0551274204183</t>
  </si>
  <si>
    <t>-610.943709222253 151.929267799795 319.696017335704</t>
  </si>
  <si>
    <t>-671.654910270455 178.922656880648 778.002171625563</t>
  </si>
  <si>
    <t>-521.948502504708 181.205386496226 836.880077593103</t>
  </si>
  <si>
    <t>-579.822421698988 -56.6474914758603 325.167165919672</t>
  </si>
  <si>
    <t>-649.586982514218 -100.004753730304 780.940148397017</t>
  </si>
  <si>
    <t>-496.294485241655 -118.506073121252 826.138970579727</t>
  </si>
  <si>
    <t>9763-20170724T115534.925239700.bin</t>
  </si>
  <si>
    <t>-567.211627380348 59.4987929217307 -90.0017200701631</t>
  </si>
  <si>
    <t>-586.445565176666 55.6793766540857 -198.964914558837</t>
  </si>
  <si>
    <t>-600.351959669181 52.3186676589082 -290.731693790352</t>
  </si>
  <si>
    <t>-612.948079076857 49.1842905826727 -373.615040931775</t>
  </si>
  <si>
    <t>-625.015523209164 45.9625007514953 -456.573618677692</t>
  </si>
  <si>
    <t>-642.079405407038 41.1518750829293 -577.943340378972</t>
  </si>
  <si>
    <t>-633.832793335623 38.6426705913652 -655.827242846805</t>
  </si>
  <si>
    <t>-634.894242199809 74.5995275592682 -525.886937382148</t>
  </si>
  <si>
    <t>-611.850028511867 228.000287866383 -509.293316240653</t>
  </si>
  <si>
    <t>-473.009214669373 256.766979526908 -265.419923214652</t>
  </si>
  <si>
    <t>-241.151215285071 252.241654073829 -278.454781248757</t>
  </si>
  <si>
    <t>-634.289587952502 11.9259794985683 -523.487731873235</t>
  </si>
  <si>
    <t>-571.804275176229 151.908523148578 -94.0521876059596</t>
  </si>
  <si>
    <t>-610.772823715258 151.867111530241 319.691746816041</t>
  </si>
  <si>
    <t>-671.645972168878 178.969289972542 777.972497041822</t>
  </si>
  <si>
    <t>-521.965270761939 181.134174505567 836.920186482692</t>
  </si>
  <si>
    <t>-579.698936731937 -56.9903306442311 325.196023284389</t>
  </si>
  <si>
    <t>-649.518151145476 -100.03459372042 780.995721227698</t>
  </si>
  <si>
    <t>-496.29449132892 -118.914834984955 826.271249092892</t>
  </si>
  <si>
    <t>9763-20170724T115534.961336000.bin</t>
  </si>
  <si>
    <t>-567.201967736135 59.2995328189199 -89.9993924843909</t>
  </si>
  <si>
    <t>-586.408239261637 55.4730679509662 -198.967169245165</t>
  </si>
  <si>
    <t>-600.284264284862 52.1134251408562 -290.73857894272</t>
  </si>
  <si>
    <t>-612.850098896129 48.9826840246176 -373.626616325376</t>
  </si>
  <si>
    <t>-624.884196957421 45.7675555641088 -456.590431681469</t>
  </si>
  <si>
    <t>-641.896108697681 40.9694700760201 -577.967895826075</t>
  </si>
  <si>
    <t>-633.694443906917 38.4732143980621 -655.857141616236</t>
  </si>
  <si>
    <t>-634.733404831571 74.411623928012 -525.904953477368</t>
  </si>
  <si>
    <t>-611.695963401767 227.802614694524 -509.276157751226</t>
  </si>
  <si>
    <t>-473.154994191242 256.292343022567 -265.19981076356</t>
  </si>
  <si>
    <t>-241.289555958558 251.95956087657 -278.167786614746</t>
  </si>
  <si>
    <t>-634.129523896899 11.7378298897281 -523.512068362405</t>
  </si>
  <si>
    <t>-571.766790262966 151.831894497846 -94.0518100190902</t>
  </si>
  <si>
    <t>-610.768185607042 151.784023780158 319.68909240138</t>
  </si>
  <si>
    <t>-671.662947482027 178.95358323481 777.970029656011</t>
  </si>
  <si>
    <t>-521.991706490302 181.275202994974 836.935647117274</t>
  </si>
  <si>
    <t>-579.671860443781 -57.2691452366512 325.204327274041</t>
  </si>
  <si>
    <t>-649.461105885991 -100.070717232494 781.045238597318</t>
  </si>
  <si>
    <t>-496.284328264393 -119.144682743376 826.398155495423</t>
  </si>
  <si>
    <t>9763-20170724T115535.027645700.bin</t>
  </si>
  <si>
    <t>-567.118926986439 59.1230188594877 -89.9507009304127</t>
  </si>
  <si>
    <t>-586.279301756762 55.2805888104958 -198.925922931358</t>
  </si>
  <si>
    <t>-600.100499229256 51.9310797097978 -290.706093608158</t>
  </si>
  <si>
    <t>-612.610138871162 48.8182021271398 -373.603372815425</t>
  </si>
  <si>
    <t>-624.581342299766 45.6297605611858 -456.577123858983</t>
  </si>
  <si>
    <t>-641.493776769161 40.8805974171173 -577.970498954833</t>
  </si>
  <si>
    <t>-633.34307186648 38.4533702603831 -655.867102269368</t>
  </si>
  <si>
    <t>-634.39610308174 74.3017135957007 -525.885099547969</t>
  </si>
  <si>
    <t>-611.408933451818 227.681523966708 -509.07026943712</t>
  </si>
  <si>
    <t>-473.205654744907 255.897501034772 -264.770664212243</t>
  </si>
  <si>
    <t>-241.330477943156 251.81392171207 -277.645119755634</t>
  </si>
  <si>
    <t>-633.749422416179 11.6272025554465 -523.523260298509</t>
  </si>
  <si>
    <t>-571.710247268351 151.768916947934 -94.0207867021153</t>
  </si>
  <si>
    <t>-610.689417966938 151.726402099712 319.722140733405</t>
  </si>
  <si>
    <t>-671.691793188545 178.908473508074 777.962433058564</t>
  </si>
  <si>
    <t>-522.032153720911 181.268998774465 836.956056437116</t>
  </si>
  <si>
    <t>-579.581093126853 -57.5218447680513 325.255341787392</t>
  </si>
  <si>
    <t>-649.361412636375 -100.074272345544 781.133508270807</t>
  </si>
  <si>
    <t>-496.200038535185 -118.966834424123 826.614173692518</t>
  </si>
  <si>
    <t>9763-20170724T115535.061736700.bin</t>
  </si>
  <si>
    <t>-567.018747744445 59.1247044316121 -89.9347546950227</t>
  </si>
  <si>
    <t>-586.162655178343 55.2799891403072 -198.912878850298</t>
  </si>
  <si>
    <t>-599.940641182067 51.9392681659006 -290.699905589099</t>
  </si>
  <si>
    <t>-612.399379627182 48.8383481516523 -373.605120016543</t>
  </si>
  <si>
    <t>-624.307780536705 45.6656742521147 -456.588659147608</t>
  </si>
  <si>
    <t>-641.115261808831 40.9438365318961 -577.997609308688</t>
  </si>
  <si>
    <t>-632.965513819747 38.5686605413646 -655.895938594682</t>
  </si>
  <si>
    <t>-634.070001900821 74.3531670756427 -525.8975060618</t>
  </si>
  <si>
    <t>-611.132965377624 227.733900858319 -509.016312885428</t>
  </si>
  <si>
    <t>-473.164593283288 255.998518705684 -264.589460609786</t>
  </si>
  <si>
    <t>-241.282912639733 252.115775518734 -277.40820004935</t>
  </si>
  <si>
    <t>-633.410664919742 11.6780738336734 -523.551245306243</t>
  </si>
  <si>
    <t>-571.662491289205 151.764496834335 -94.0063417778098</t>
  </si>
  <si>
    <t>-610.677715923165 151.740528230341 319.733299647997</t>
  </si>
  <si>
    <t>-671.680833248737 178.985262961549 777.963917289202</t>
  </si>
  <si>
    <t>-522.021830355492 181.317035044854 836.960227374714</t>
  </si>
  <si>
    <t>-579.498738317709 -57.5673316837697 325.279599129089</t>
  </si>
  <si>
    <t>-649.303085368644 -100.09935134059 781.163589871492</t>
  </si>
  <si>
    <t>-496.181965140006 -119.130404743123 826.721973439275</t>
  </si>
  <si>
    <t>9763-20170724T115535.125428900.bin</t>
  </si>
  <si>
    <t>-566.871466877736 59.0899732851021 -89.9182213019432</t>
  </si>
  <si>
    <t>-586.003134989582 55.2511162081423 -198.898687768192</t>
  </si>
  <si>
    <t>-599.716270864175 51.9450068645283 -290.696522890431</t>
  </si>
  <si>
    <t>-612.094384521248 48.8869307163482 -373.615497134858</t>
  </si>
  <si>
    <t>-623.899866773922 45.7687555226023 -456.615814504803</t>
  </si>
  <si>
    <t>-640.532310041356 41.1389742605895 -578.052432851722</t>
  </si>
  <si>
    <t>-632.356918726304 38.8760379030878 -655.951465848209</t>
  </si>
  <si>
    <t>-633.566119674829 74.5089571511905 -525.916350330201</t>
  </si>
  <si>
    <t>-610.628246361484 227.874507090052 -508.885876889499</t>
  </si>
  <si>
    <t>-473.008338960669 256.199104442171 -264.269683771706</t>
  </si>
  <si>
    <t>-241.106509751309 252.866674872696 -276.878725737919</t>
  </si>
  <si>
    <t>-632.902117390692 11.8321021543732 -523.617860235554</t>
  </si>
  <si>
    <t>-571.541041167415 151.673119880721 -93.9922880106293</t>
  </si>
  <si>
    <t>-610.629539153475 151.683261563433 319.740345107462</t>
  </si>
  <si>
    <t>-671.712484409126 178.892780200938 777.972786755779</t>
  </si>
  <si>
    <t>-522.060062153682 181.339993314281 836.981149354143</t>
  </si>
  <si>
    <t>-579.361984469936 -57.5952273466673 325.304519630712</t>
  </si>
  <si>
    <t>-649.228810052485 -100.091534615126 781.19834384549</t>
  </si>
  <si>
    <t>-496.129752722682 -119.111304304962 826.835541008189</t>
  </si>
  <si>
    <t>9763-20170724T115535.163530200.bin</t>
  </si>
  <si>
    <t>-566.796689067924 59.0711690734752 -89.8940451318687</t>
  </si>
  <si>
    <t>-585.927175065671 55.2392039049423 -198.875026603694</t>
  </si>
  <si>
    <t>-599.64281091247 51.9606812817199 -290.673447823391</t>
  </si>
  <si>
    <t>-612.024514135815 48.9359855151172 -373.593111528206</t>
  </si>
  <si>
    <t>-623.834732843486 45.8603052092151 -456.594422969763</t>
  </si>
  <si>
    <t>-640.475407608565 41.30229969932 -578.032628073313</t>
  </si>
  <si>
    <t>-632.297111844909 39.0917007600694 -655.932673686752</t>
  </si>
  <si>
    <t>-633.518308244805 74.6413152025068 -525.875434197348</t>
  </si>
  <si>
    <t>-610.605612653873 227.998899339387 -508.741865254141</t>
  </si>
  <si>
    <t>-473.001644199878 256.17095973589 -264.099154455654</t>
  </si>
  <si>
    <t>-241.09608506244 252.957700998917 -276.669816564745</t>
  </si>
  <si>
    <t>-632.828910746812 11.9633266774017 -523.617512679122</t>
  </si>
  <si>
    <t>-571.462464947397 151.648051078745 -93.9732232426281</t>
  </si>
  <si>
    <t>-610.55187402326 151.689274648796 319.759293839579</t>
  </si>
  <si>
    <t>-671.716673652272 178.898121476601 777.973658014109</t>
  </si>
  <si>
    <t>-522.06683971402 181.347978089779 836.988482031758</t>
  </si>
  <si>
    <t>-579.334692764611 -57.6166213927381 325.312702038458</t>
  </si>
  <si>
    <t>-649.218512818356 -100.089699290593 781.199336677303</t>
  </si>
  <si>
    <t>-496.101319871311 -118.965613313356 826.835385559079</t>
  </si>
  <si>
    <t>9763-20170724T115535.228760500.bin</t>
  </si>
  <si>
    <t>-566.63304936383 59.091230829071 -89.8805206031041</t>
  </si>
  <si>
    <t>-585.804629142419 55.2922307032877 -198.855433844228</t>
  </si>
  <si>
    <t>-599.565808994874 52.0879063723698 -290.649676465747</t>
  </si>
  <si>
    <t>-611.992719397073 49.149515327146 -373.565713248896</t>
  </si>
  <si>
    <t>-623.852294333271 46.1786761836199 -456.563583124955</t>
  </si>
  <si>
    <t>-640.569294804481 41.7952509919585 -577.997762776479</t>
  </si>
  <si>
    <t>-632.395760737571 39.6874259075569 -655.901372752468</t>
  </si>
  <si>
    <t>-633.578421023196 75.0593270007305 -525.797400580714</t>
  </si>
  <si>
    <t>-610.721041611648 228.385617310399 -508.373764716</t>
  </si>
  <si>
    <t>-472.97485903897 256.105195773674 -263.759432236157</t>
  </si>
  <si>
    <t>-241.073728734941 252.873277800802 -276.406336026707</t>
  </si>
  <si>
    <t>-632.889594557997 12.3781205799139 -523.629672429708</t>
  </si>
  <si>
    <t>-571.292158426375 151.670172402477 -93.9427544041559</t>
  </si>
  <si>
    <t>-610.452032807992 151.702413770761 319.783158417699</t>
  </si>
  <si>
    <t>-671.721675642569 178.928359405109 777.976821146872</t>
  </si>
  <si>
    <t>-522.073672184145 181.23381816284 837.0020381594</t>
  </si>
  <si>
    <t>-579.225649988923 -57.5897646755523 325.314711783433</t>
  </si>
  <si>
    <t>-649.19463453712 -100.082677572344 781.186372414436</t>
  </si>
  <si>
    <t>-496.071609296952 -118.907282204945 826.824015636887</t>
  </si>
  <si>
    <t>9763-20170724T115535.260846600.bin</t>
  </si>
  <si>
    <t>-566.561458695418 59.090502629098 -89.8726189829604</t>
  </si>
  <si>
    <t>-585.741999845688 55.3006865787415 -198.8462214835</t>
  </si>
  <si>
    <t>-599.504422167947 52.1476072933922 -290.642160419253</t>
  </si>
  <si>
    <t>-611.929723209936 49.2729641322398 -373.560664931981</t>
  </si>
  <si>
    <t>-623.784717030204 46.383548391241 -456.562148782305</t>
  </si>
  <si>
    <t>-640.491658660842 42.1384195652272 -578.002499657089</t>
  </si>
  <si>
    <t>-632.307641301513 40.1096048458273 -655.907060769792</t>
  </si>
  <si>
    <t>-633.498184684315 75.3429211510825 -525.764730533661</t>
  </si>
  <si>
    <t>-610.568509946342 228.644372266168 -508.163408163629</t>
  </si>
  <si>
    <t>-472.912740030736 256.093812686053 -263.467723617029</t>
  </si>
  <si>
    <t>-241.011337091903 252.932654748697 -276.128215915044</t>
  </si>
  <si>
    <t>-632.823436691133 12.6592587756682 -523.666338113602</t>
  </si>
  <si>
    <t>-571.215654729601 151.642235250977 -93.9322220566045</t>
  </si>
  <si>
    <t>-610.436234766504 151.652837977105 319.787909718263</t>
  </si>
  <si>
    <t>-671.737484338884 178.893760280632 777.979287267961</t>
  </si>
  <si>
    <t>-522.091357185081 181.309049765298 837.004979434473</t>
  </si>
  <si>
    <t>-579.16280140188 -57.5593618927658 325.319715274439</t>
  </si>
  <si>
    <t>-649.166359573139 -100.072611713222 781.173745294249</t>
  </si>
  <si>
    <t>-496.045229206508 -118.8531453659 826.835922357006</t>
  </si>
  <si>
    <t>9763-20170724T115535.328780700.bin</t>
  </si>
  <si>
    <t>-566.374009585547 59.1536559334127 -89.8680648807773</t>
  </si>
  <si>
    <t>-585.548248123825 55.3764472933344 -198.843111743575</t>
  </si>
  <si>
    <t>-599.264715148884 52.2872978920693 -290.648204017517</t>
  </si>
  <si>
    <t>-611.631874101637 49.4918844054944 -373.578127380675</t>
  </si>
  <si>
    <t>-623.411923955353 46.7026257237569 -456.593716419331</t>
  </si>
  <si>
    <t>-639.990503881162 42.6270174772565 -578.057474861538</t>
  </si>
  <si>
    <t>-631.759911111715 40.7466113613086 -655.960810814339</t>
  </si>
  <si>
    <t>-633.033508115228 75.7587350889926 -525.768637086272</t>
  </si>
  <si>
    <t>-610.059044783236 229.019664383384 -507.875511000356</t>
  </si>
  <si>
    <t>-472.868132317675 256.1294211735 -262.880994054379</t>
  </si>
  <si>
    <t>-240.955372634759 252.958412541328 -275.328925310285</t>
  </si>
  <si>
    <t>-632.398411696003 13.0719675532209 -523.751866526238</t>
  </si>
  <si>
    <t>-571.00116393909 151.679937350795 -93.9064265631628</t>
  </si>
  <si>
    <t>-610.348841058407 151.664457988879 319.801616567127</t>
  </si>
  <si>
    <t>-671.744159045408 178.934747506934 777.980749716312</t>
  </si>
  <si>
    <t>-522.097861257407 181.319955318791 837.007067190062</t>
  </si>
  <si>
    <t>-579.075191613602 -57.5413503081563 325.310288482659</t>
  </si>
  <si>
    <t>-649.107403776584 -100.101600502019 781.16258023858</t>
  </si>
  <si>
    <t>-496.041974274996 -119.168709240209 826.892720693475</t>
  </si>
  <si>
    <t>9763-20170724T115535.361871000.bin</t>
  </si>
  <si>
    <t>-566.244929297231 59.2497794794192 -89.8610542920692</t>
  </si>
  <si>
    <t>-585.423267808462 55.4907174045898 -198.836095436433</t>
  </si>
  <si>
    <t>-599.13541449848 52.4291504042869 -290.642622926615</t>
  </si>
  <si>
    <t>-611.495505638193 49.663669964973 -373.574623618797</t>
  </si>
  <si>
    <t>-623.265245934053 46.9091018560709 -456.592763765081</t>
  </si>
  <si>
    <t>-639.82524107252 42.8892307999729 -578.061098077878</t>
  </si>
  <si>
    <t>-631.582308157036 41.0660540182853 -655.964429602828</t>
  </si>
  <si>
    <t>-632.852273444108 75.9972070579117 -525.759165436251</t>
  </si>
  <si>
    <t>-609.794144873437 229.242601851252 -507.785866945043</t>
  </si>
  <si>
    <t>-472.974441905831 256.304236178423 -262.578537679603</t>
  </si>
  <si>
    <t>-241.046533496155 253.194794434153 -274.756648174437</t>
  </si>
  <si>
    <t>-632.265363627553 13.3092404568956 -523.764629352253</t>
  </si>
  <si>
    <t>-570.881220737239 151.760206008287 -93.89089005505</t>
  </si>
  <si>
    <t>-610.2913062328 151.711487699332 319.81122598993</t>
  </si>
  <si>
    <t>-671.747426884875 178.942392344693 777.978775831085</t>
  </si>
  <si>
    <t>-522.10159614785 181.271959764047 837.008709190071</t>
  </si>
  <si>
    <t>-579.012345729474 -57.4487390006684 325.306137098403</t>
  </si>
  <si>
    <t>-649.085727834696 -100.069811455492 781.147377769579</t>
  </si>
  <si>
    <t>-495.980796621462 -118.799274566252 826.884786807648</t>
  </si>
  <si>
    <t>9763-20170724T115535.429970600.bin</t>
  </si>
  <si>
    <t>-565.905536889972 59.3966794953519 -89.8429609289016</t>
  </si>
  <si>
    <t>-585.124165926493 55.6728851617784 -198.812140305411</t>
  </si>
  <si>
    <t>-598.85127060181 52.649001009034 -290.617721055187</t>
  </si>
  <si>
    <t>-611.21720926275 49.9212761191623 -373.549950392077</t>
  </si>
  <si>
    <t>-622.984967590843 47.207829146826 -456.569896737807</t>
  </si>
  <si>
    <t>-639.533621463066 43.2509627833813 -578.041753781104</t>
  </si>
  <si>
    <t>-631.273562673441 41.4715325200314 -655.944308052337</t>
  </si>
  <si>
    <t>-632.518937907903 76.3317504705853 -525.728274767294</t>
  </si>
  <si>
    <t>-609.278014774111 229.528856481028 -507.632749786579</t>
  </si>
  <si>
    <t>-473.101733482552 256.184705741347 -262.023189297145</t>
  </si>
  <si>
    <t>-241.140385192764 253.106284302342 -273.555543214802</t>
  </si>
  <si>
    <t>-632.025563371045 13.6424240348065 -523.753529371346</t>
  </si>
  <si>
    <t>-570.507500826512 151.814620503663 -93.8388105820598</t>
  </si>
  <si>
    <t>-610.171845477192 151.656957222673 319.838989324647</t>
  </si>
  <si>
    <t>-671.787111776323 178.849654736141 777.985389342161</t>
  </si>
  <si>
    <t>-522.142437122312 181.34929650919 837.011209298435</t>
  </si>
  <si>
    <t>-578.768802778272 -57.3228098742125 325.299440142938</t>
  </si>
  <si>
    <t>-649.036862021641 -100.118220596743 781.103638102241</t>
  </si>
  <si>
    <t>-496.008781013189 -119.288759009514 826.915395950939</t>
  </si>
  <si>
    <t>9763-20170724T115535.463058400.bin</t>
  </si>
  <si>
    <t>-565.717751756919 59.5227021345961 -89.8366544560204</t>
  </si>
  <si>
    <t>-584.933888389042 55.8141868607604 -198.806721552914</t>
  </si>
  <si>
    <t>-598.677680467755 52.8079022826741 -290.610316130515</t>
  </si>
  <si>
    <t>-611.066241796543 50.0981512423321 -373.539872314624</t>
  </si>
  <si>
    <t>-622.864150557955 47.4046816302789 -456.556076110799</t>
  </si>
  <si>
    <t>-639.465121665973 43.479380038551 -578.021866198422</t>
  </si>
  <si>
    <t>-631.220143840368 41.7096815189618 -655.926330337594</t>
  </si>
  <si>
    <t>-632.4115557505 76.5467706616216 -525.705142438177</t>
  </si>
  <si>
    <t>-609.058397853786 229.718634370703 -507.544257186597</t>
  </si>
  <si>
    <t>-473.132287817649 256.161020323337 -261.773026962417</t>
  </si>
  <si>
    <t>-241.164003620223 252.971238647624 -273.134539051903</t>
  </si>
  <si>
    <t>-631.949972101052 13.856731266141 -523.742342168942</t>
  </si>
  <si>
    <t>-570.317062907002 151.927704592219 -93.8231784492142</t>
  </si>
  <si>
    <t>-610.089421471492 151.727817643523 319.844214949822</t>
  </si>
  <si>
    <t>-671.779145806821 178.911285854701 777.983308623356</t>
  </si>
  <si>
    <t>-522.134209221557 181.198210231944 837.017135858057</t>
  </si>
  <si>
    <t>-578.65048911354 -57.2210646294866 325.296182126419</t>
  </si>
  <si>
    <t>-649.012391250607 -100.103739649062 781.079482372091</t>
  </si>
  <si>
    <t>-495.96133940624 -119.049080603611 826.908291870289</t>
  </si>
  <si>
    <t>9763-20170724T115535.529752400.bin</t>
  </si>
  <si>
    <t>-565.285142821723 59.834274027759 -89.7998137261185</t>
  </si>
  <si>
    <t>-584.505097879379 56.1313613727139 -198.769334354828</t>
  </si>
  <si>
    <t>-598.303368996501 53.1442101362825 -290.565505510122</t>
  </si>
  <si>
    <t>-610.761668465731 50.4580414252357 -373.485503154467</t>
  </si>
  <si>
    <t>-622.649894095932 47.7941820431574 -456.489743776086</t>
  </si>
  <si>
    <t>-639.405441371603 43.9188650374483 -577.935835816213</t>
  </si>
  <si>
    <t>-631.224214963688 42.154754498169 -655.847005781261</t>
  </si>
  <si>
    <t>-632.255860783099 76.9648235512045 -525.618522769034</t>
  </si>
  <si>
    <t>-608.776473940982 230.09123454049 -507.272290959043</t>
  </si>
  <si>
    <t>-472.864905047378 256.219975310442 -261.459540404339</t>
  </si>
  <si>
    <t>-240.905047506774 252.926423737599 -272.961909836431</t>
  </si>
  <si>
    <t>-631.850621405361 14.2738367836973 -523.674012636285</t>
  </si>
  <si>
    <t>-569.892990610327 152.201444264665 -93.7821835122583</t>
  </si>
  <si>
    <t>-609.918305244359 151.87783204401 319.860720310546</t>
  </si>
  <si>
    <t>-671.779959546605 178.995107425426 777.984582043017</t>
  </si>
  <si>
    <t>-522.137074488782 181.276584951546 837.023814268395</t>
  </si>
  <si>
    <t>-578.428263617343 -57.0354714876776 325.30465707612</t>
  </si>
  <si>
    <t>-648.960708827998 -100.122716162354 781.023471286431</t>
  </si>
  <si>
    <t>-495.940396665528 -119.14904609386 826.921187669473</t>
  </si>
  <si>
    <t>9763-20170724T115535.557825600.bin</t>
  </si>
  <si>
    <t>-565.082149121725 59.9399178557653 -89.7927470089917</t>
  </si>
  <si>
    <t>-584.297568306005 56.2334740901031 -198.763073017111</t>
  </si>
  <si>
    <t>-598.100856066986 53.2521592823296 -290.558478271581</t>
  </si>
  <si>
    <t>-610.567204171003 50.5746372780509 -373.477550493752</t>
  </si>
  <si>
    <t>-622.466914319256 47.9229990931447 -456.480466352641</t>
  </si>
  <si>
    <t>-639.24308967923 44.0691200979561 -577.924528228122</t>
  </si>
  <si>
    <t>-631.096067014986 42.3187860376245 -655.839604409051</t>
  </si>
  <si>
    <t>-632.074480667367 77.105879060384 -525.604112246257</t>
  </si>
  <si>
    <t>-608.520220922295 230.215583364548 -507.168819508256</t>
  </si>
  <si>
    <t>-472.598569754614 256.433916479961 -261.37107087813</t>
  </si>
  <si>
    <t>-240.644985967409 253.03774663321 -272.970171414736</t>
  </si>
  <si>
    <t>-631.689223644376 14.4145178125259 -523.667813963235</t>
  </si>
  <si>
    <t>-569.718788737654 152.294303002858 -93.7681782917999</t>
  </si>
  <si>
    <t>-609.858059852324 151.907913341351 319.863684441523</t>
  </si>
  <si>
    <t>-671.798284511363 178.957540268185 777.986544184932</t>
  </si>
  <si>
    <t>-522.157073307128 181.3274044794 837.026521715107</t>
  </si>
  <si>
    <t>-578.298131437556 -57.0216622926221 325.297145927511</t>
  </si>
  <si>
    <t>-648.903284280925 -100.122917559508 781.006853725889</t>
  </si>
  <si>
    <t>-495.886863825124 -119.021139515392 826.970538506338</t>
  </si>
  <si>
    <t>9763-20170724T115535.625509100.bin</t>
  </si>
  <si>
    <t>-564.700516303331 60.0297266531215 -89.7763242629653</t>
  </si>
  <si>
    <t>-583.916550639452 56.3318646446817 -198.746777185195</t>
  </si>
  <si>
    <t>-597.681011928802 53.3483110839313 -290.548127363925</t>
  </si>
  <si>
    <t>-610.096449112473 50.6644303301196 -373.474443642006</t>
  </si>
  <si>
    <t>-621.929506396082 48.0021001906914 -456.486636191318</t>
  </si>
  <si>
    <t>-638.590842267309 44.1280750025205 -577.94582624017</t>
  </si>
  <si>
    <t>-630.441248361644 42.4062567130286 -655.86132185602</t>
  </si>
  <si>
    <t>-631.500205573784 77.173375888475 -525.620206254007</t>
  </si>
  <si>
    <t>-607.952783821074 230.264133003716 -507.036861559272</t>
  </si>
  <si>
    <t>-471.996935099572 256.760010851124 -261.287769681305</t>
  </si>
  <si>
    <t>-240.04838504586 253.185327687951 -272.932675060544</t>
  </si>
  <si>
    <t>-631.05981522968 14.482404676088 -523.680956741095</t>
  </si>
  <si>
    <t>-569.382736866085 152.404381493412 -93.7386839088928</t>
  </si>
  <si>
    <t>-609.719549989999 151.905727760412 319.873804019991</t>
  </si>
  <si>
    <t>-671.814788996053 178.896969194509 777.975938543411</t>
  </si>
  <si>
    <t>-522.18750356714 181.386730020997 837.04619737552</t>
  </si>
  <si>
    <t>-578.035468981101 -57.0091760355565 325.288457210953</t>
  </si>
  <si>
    <t>-648.83161848805 -100.133076997343 780.971158103868</t>
  </si>
  <si>
    <t>-495.84290513786 -119.040173111728 827.023291751622</t>
  </si>
  <si>
    <t>9763-20170724T115535.662607900.bin</t>
  </si>
  <si>
    <t>-564.605451435364 60.0765976748635 -89.7641125618024</t>
  </si>
  <si>
    <t>-583.779717829868 56.3902095431686 -198.742353029401</t>
  </si>
  <si>
    <t>-597.492225525781 53.4194429096342 -290.55181762929</t>
  </si>
  <si>
    <t>-609.854025277111 50.7478379298541 -373.486661231133</t>
  </si>
  <si>
    <t>-621.626608454934 48.0989322365949 -456.507892398455</t>
  </si>
  <si>
    <t>-638.192070316368 44.2458056904418 -577.980839378567</t>
  </si>
  <si>
    <t>-630.024763313338 42.5435168164943 -655.894864885689</t>
  </si>
  <si>
    <t>-631.173969816582 77.2819777751997 -525.639632922216</t>
  </si>
  <si>
    <t>-607.69747412641 230.378800202528 -507.018525426678</t>
  </si>
  <si>
    <t>-471.800297997064 257.115187095153 -261.263113702963</t>
  </si>
  <si>
    <t>-239.857647930339 253.489670234481 -273.010181582154</t>
  </si>
  <si>
    <t>-630.672645252446 14.5909564886924 -523.7194945606</t>
  </si>
  <si>
    <t>-569.291330607589 152.499575993891 -93.7301509444503</t>
  </si>
  <si>
    <t>-609.702468138506 151.955999635618 319.875095509992</t>
  </si>
  <si>
    <t>-671.802632837881 178.961740837354 777.960546085258</t>
  </si>
  <si>
    <t>-522.183311779266 181.380159403435 837.053952629198</t>
  </si>
  <si>
    <t>-578.010302926729 -57.0647138803183 325.274455180594</t>
  </si>
  <si>
    <t>-648.823903070351 -100.15441846527 780.950203432956</t>
  </si>
  <si>
    <t>-495.832458724627 -119.038105053207 827.002914895351</t>
  </si>
  <si>
    <t>9763-20170724T115535.727326900.bin</t>
  </si>
  <si>
    <t>-564.418312352417 60.1165375982785 -89.766922712021</t>
  </si>
  <si>
    <t>-583.490987966888 56.4437300314264 -198.763400830895</t>
  </si>
  <si>
    <t>-597.139331582824 53.5084185240594 -290.583548252388</t>
  </si>
  <si>
    <t>-609.451602012833 50.8781869068046 -373.526997242084</t>
  </si>
  <si>
    <t>-621.183058051132 48.2805595344487 -456.555682375655</t>
  </si>
  <si>
    <t>-637.697440161588 44.5137747299286 -578.038264515616</t>
  </si>
  <si>
    <t>-629.527136487533 42.8482774786364 -655.952804173859</t>
  </si>
  <si>
    <t>-630.749360955174 77.5125309926948 -525.664252279755</t>
  </si>
  <si>
    <t>-607.344875812353 230.603379434911 -506.928564777541</t>
  </si>
  <si>
    <t>-471.679956766965 257.730514756119 -261.087583461549</t>
  </si>
  <si>
    <t>-239.739337739099 254.042889376585 -272.85456804927</t>
  </si>
  <si>
    <t>-630.152809307077 14.8205847257784 -523.801422879831</t>
  </si>
  <si>
    <t>-569.057730096607 152.614401357392 -93.734030158218</t>
  </si>
  <si>
    <t>-609.653769127323 152.056111313636 319.853050359262</t>
  </si>
  <si>
    <t>-671.778803669602 179.07996182937 777.933315163179</t>
  </si>
  <si>
    <t>-522.175368749076 181.24960671069 837.076697506699</t>
  </si>
  <si>
    <t>-577.994308981676 -57.1807848692367 325.232561372381</t>
  </si>
  <si>
    <t>-648.808466362357 -100.199821399002 780.918027871276</t>
  </si>
  <si>
    <t>-495.836684950075 -119.238233128199 826.972275057542</t>
  </si>
  <si>
    <t>9763-20170724T115535.761417300.bin</t>
  </si>
  <si>
    <t>-564.322080018331 60.1337862183386 -89.7580606351108</t>
  </si>
  <si>
    <t>-583.337860287844 56.4629446260042 -198.764577677989</t>
  </si>
  <si>
    <t>-596.939134489982 53.5460815503943 -290.592318340478</t>
  </si>
  <si>
    <t>-609.209105064966 50.9391625270473 -373.542823931258</t>
  </si>
  <si>
    <t>-620.898437012809 48.3716559768061 -456.578359184652</t>
  </si>
  <si>
    <t>-637.351401301489 44.6563141634028 -578.070941034922</t>
  </si>
  <si>
    <t>-629.163135768951 43.0054335021773 -655.984021525022</t>
  </si>
  <si>
    <t>-630.444184854495 77.6329141484489 -525.677365982516</t>
  </si>
  <si>
    <t>-607.066032529995 230.721784278764 -506.866668269116</t>
  </si>
  <si>
    <t>-471.596781539506 257.968131543968 -260.931101633005</t>
  </si>
  <si>
    <t>-239.655109795016 254.318653445266 -272.690745945697</t>
  </si>
  <si>
    <t>-629.819772309227 14.9403596646202 -523.844696560438</t>
  </si>
  <si>
    <t>-568.965094606731 152.655610797725 -93.729476041629</t>
  </si>
  <si>
    <t>-609.630177150223 152.034171303145 319.850745612047</t>
  </si>
  <si>
    <t>-671.794665313807 179.029540913397 777.927097428169</t>
  </si>
  <si>
    <t>-522.200455947684 181.324289404434 837.088950329651</t>
  </si>
  <si>
    <t>-577.960411233756 -57.2124043334181 325.222435399797</t>
  </si>
  <si>
    <t>-648.804104936274 -100.20026793065 780.905553712335</t>
  </si>
  <si>
    <t>-495.834640443015 -119.291719516713 826.945575670636</t>
  </si>
  <si>
    <t>9763-20170724T115535.825126000.bin</t>
  </si>
  <si>
    <t>-564.18806009811 60.152927465537 -89.7770173741966</t>
  </si>
  <si>
    <t>-583.106596964107 56.4761142386365 -198.800348670404</t>
  </si>
  <si>
    <t>-596.585328216545 53.5908192177451 -290.647070585128</t>
  </si>
  <si>
    <t>-608.728130542613 51.0266742283336 -373.617603516017</t>
  </si>
  <si>
    <t>-620.273496624787 48.5162753039021 -456.675080423727</t>
  </si>
  <si>
    <t>-636.497457768955 44.9001640714494 -578.201301068772</t>
  </si>
  <si>
    <t>-628.202647908561 43.2636894460948 -656.103427882226</t>
  </si>
  <si>
    <t>-629.70326554339 77.8337555640348 -525.765950209046</t>
  </si>
  <si>
    <t>-606.434312438479 230.930823654282 -506.825545978615</t>
  </si>
  <si>
    <t>-471.307563943957 258.202910880066 -260.704531674409</t>
  </si>
  <si>
    <t>-239.369603997944 254.602055687997 -272.551370997091</t>
  </si>
  <si>
    <t>-629.053813627847 15.1399610913954 -523.987274257878</t>
  </si>
  <si>
    <t>-568.824399617956 152.722618491004 -93.7471465641603</t>
  </si>
  <si>
    <t>-609.564122108802 152.020685675806 319.825613369522</t>
  </si>
  <si>
    <t>-671.807518184431 178.993078928156 777.90102989557</t>
  </si>
  <si>
    <t>-522.231505936424 181.386979287647 837.104898170075</t>
  </si>
  <si>
    <t>-577.91116608372 -57.3129202284792 325.203252938</t>
  </si>
  <si>
    <t>-648.822768506494 -100.19520391633 780.889137240484</t>
  </si>
  <si>
    <t>-495.846207733464 -119.391945517832 826.861758156682</t>
  </si>
  <si>
    <t>9763-20170724T115535.862225200.bin</t>
  </si>
  <si>
    <t>-564.128817419089 60.1851318881068 -89.7984451773184</t>
  </si>
  <si>
    <t>-582.999927634977 56.5067786927873 -198.829871685587</t>
  </si>
  <si>
    <t>-596.425417884326 53.6322312094073 -290.684825401911</t>
  </si>
  <si>
    <t>-608.514768789112 51.0823383049476 -373.663560859507</t>
  </si>
  <si>
    <t>-620.001137751928 48.5911576415344 -456.729799671981</t>
  </si>
  <si>
    <t>-636.132766969525 45.0080842364659 -578.269338917612</t>
  </si>
  <si>
    <t>-627.757612043084 43.3601850773748 -656.16250925974</t>
  </si>
  <si>
    <t>-629.376198022088 77.9274035034018 -525.820229056093</t>
  </si>
  <si>
    <t>-606.127808294764 231.016320074283 -506.834555533044</t>
  </si>
  <si>
    <t>-471.118056030454 258.355593870346 -260.656600466138</t>
  </si>
  <si>
    <t>-239.181397411275 254.640213098246 -272.493756350365</t>
  </si>
  <si>
    <t>-628.732525561692 15.2331062392309 -524.057466795173</t>
  </si>
  <si>
    <t>-568.758888212496 152.776609574007 -93.7590009646128</t>
  </si>
  <si>
    <t>-609.592386600609 152.006892565952 319.804334206723</t>
  </si>
  <si>
    <t>-671.805106100255 179.010328734433 777.886534762862</t>
  </si>
  <si>
    <t>-522.241838435251 181.490995329968 837.119111318309</t>
  </si>
  <si>
    <t>-577.912429187926 -57.3016653238649 325.19025438584</t>
  </si>
  <si>
    <t>-648.834712278132 -100.173532064188 780.876341596193</t>
  </si>
  <si>
    <t>-495.819883874555 -119.171992366186 826.803942708719</t>
  </si>
  <si>
    <t>9763-20170724T115535.927412800.bin</t>
  </si>
  <si>
    <t>-564.020131810095 60.1425562686886 -89.8150100279823</t>
  </si>
  <si>
    <t>-582.801748377626 56.4937636072254 -198.86299214441</t>
  </si>
  <si>
    <t>-596.133720933649 53.6270538712499 -290.731790335854</t>
  </si>
  <si>
    <t>-608.131349799109 51.0776501239905 -373.723883766358</t>
  </si>
  <si>
    <t>-619.51876807834 48.579860903795 -456.803437686473</t>
  </si>
  <si>
    <t>-635.497865208146 44.979369537524 -578.362665490562</t>
  </si>
  <si>
    <t>-626.968434056888 43.2579334802813 -656.237561000929</t>
  </si>
  <si>
    <t>-628.797477049536 77.9063064738721 -525.911167591399</t>
  </si>
  <si>
    <t>-605.601684360187 231.006072339119 -506.942614770042</t>
  </si>
  <si>
    <t>-470.67609032997 258.427110367704 -260.727671609264</t>
  </si>
  <si>
    <t>-238.744385899125 254.582025890427 -272.619890622369</t>
  </si>
  <si>
    <t>-628.175272388922 15.21215461508 -524.135929350772</t>
  </si>
  <si>
    <t>-568.617133850516 152.728019301299 -93.7484728219343</t>
  </si>
  <si>
    <t>-609.606084787478 152.0068229466 319.799621855619</t>
  </si>
  <si>
    <t>-671.815647630293 179.027607221931 777.876485357991</t>
  </si>
  <si>
    <t>-522.260373278781 181.418373339798 837.132940500313</t>
  </si>
  <si>
    <t>-577.91517937106 -57.4168427689165 325.161517299322</t>
  </si>
  <si>
    <t>-648.866668981477 -100.205889101137 780.857507897486</t>
  </si>
  <si>
    <t>-495.840649302912 -119.334215396533 826.693862236305</t>
  </si>
  <si>
    <t>9763-20170724T115535.992613200.bin</t>
  </si>
  <si>
    <t>-563.899420551694 60.0753062417439 -89.8348748909598</t>
  </si>
  <si>
    <t>-582.563728744515 56.4540815875707 -198.903818052064</t>
  </si>
  <si>
    <t>-595.80084258662 53.5964667025225 -290.786538265878</t>
  </si>
  <si>
    <t>-607.714560164671 51.0497708649702 -373.790793457637</t>
  </si>
  <si>
    <t>-619.019762585268 48.5489823134735 -456.881577483231</t>
  </si>
  <si>
    <t>-634.880418686598 44.938360862524 -578.455937279229</t>
  </si>
  <si>
    <t>-626.2569008784 43.1322842818458 -656.318614221189</t>
  </si>
  <si>
    <t>-628.21597919072 77.8698529295721 -526.002683539712</t>
  </si>
  <si>
    <t>-605.058057562149 230.978934934089 -507.11697329335</t>
  </si>
  <si>
    <t>-470.307398876175 258.884839351924 -260.860836551013</t>
  </si>
  <si>
    <t>-238.373966041311 254.962209487574 -272.694164303706</t>
  </si>
  <si>
    <t>-627.625811977216 15.1755611272563 -524.21764755269</t>
  </si>
  <si>
    <t>-568.453057900234 152.637556417566 -93.7529750929471</t>
  </si>
  <si>
    <t>-609.613805152739 151.939462117711 319.778138358757</t>
  </si>
  <si>
    <t>-671.828544485666 179.019494475423 777.859654514056</t>
  </si>
  <si>
    <t>-522.280066809969 181.410439173688 837.133180880494</t>
  </si>
  <si>
    <t>-578.005159147976 -57.4548847594976 325.116717640979</t>
  </si>
  <si>
    <t>-648.866468005716 -100.171247827873 780.833654601852</t>
  </si>
  <si>
    <t>-495.814936547282 -119.196378815558 826.62775993494</t>
  </si>
  <si>
    <t>9763-20170724T115536.030712000.bin</t>
  </si>
  <si>
    <t>-563.823011773683 60.0815517760768 -89.841912520229</t>
  </si>
  <si>
    <t>-582.435240199978 56.4717640765896 -198.920102276496</t>
  </si>
  <si>
    <t>-595.61893208658 53.622306931765 -290.810753029855</t>
  </si>
  <si>
    <t>-607.480469232897 51.0831184563226 -373.822879502079</t>
  </si>
  <si>
    <t>-618.729619029639 48.5894629416216 -456.9214166117</t>
  </si>
  <si>
    <t>-634.504008388268 44.9889019058967 -578.507222515999</t>
  </si>
  <si>
    <t>-625.837568901196 43.1473065305204 -656.364300916552</t>
  </si>
  <si>
    <t>-627.862497526542 77.9161454746561 -526.048420993943</t>
  </si>
  <si>
    <t>-604.681417401967 231.026486190085 -507.190064002209</t>
  </si>
  <si>
    <t>-470.102259513402 259.309353857118 -260.883133029063</t>
  </si>
  <si>
    <t>-238.169644895673 255.237272973169 -272.681627566724</t>
  </si>
  <si>
    <t>-627.302165191321 15.2215751390513 -524.264534963602</t>
  </si>
  <si>
    <t>-568.31650593873 152.645955596484 -93.7553857949558</t>
  </si>
  <si>
    <t>-609.55018086535 151.961609136735 319.768349094302</t>
  </si>
  <si>
    <t>-671.825462747069 179.054372469815 777.848760526229</t>
  </si>
  <si>
    <t>-522.281093957271 181.296322306765 837.138627601785</t>
  </si>
  <si>
    <t>-578.008760338764 -57.4791342516678 325.110226770711</t>
  </si>
  <si>
    <t>-648.849863700377 -100.209421064762 780.839909176419</t>
  </si>
  <si>
    <t>-495.807757780925 -119.291222180891 826.641874543561</t>
  </si>
  <si>
    <t>9763-20170724T115536.061795600.bin</t>
  </si>
  <si>
    <t>-563.726643747976 60.0489476256223 -89.8373363208043</t>
  </si>
  <si>
    <t>-582.303068834689 56.4551094930835 -198.922114835504</t>
  </si>
  <si>
    <t>-595.423625099861 53.6126736346359 -290.822229616208</t>
  </si>
  <si>
    <t>-607.214938620424 51.0777636546188 -373.844245192952</t>
  </si>
  <si>
    <t>-618.380559398368 48.5859367541775 -456.954176153921</t>
  </si>
  <si>
    <t>-634.018354063787 44.9850808490803 -578.557699019673</t>
  </si>
  <si>
    <t>-625.293903813015 43.110582855953 -656.407326372298</t>
  </si>
  <si>
    <t>-627.425434676326 77.9124830672079 -526.092804942372</t>
  </si>
  <si>
    <t>-604.230639040237 231.028616786193 -507.270134617198</t>
  </si>
  <si>
    <t>-469.836345189579 259.768952550784 -260.915251762145</t>
  </si>
  <si>
    <t>-237.902889024648 255.546097381267 -272.644239328074</t>
  </si>
  <si>
    <t>-626.88780813299 15.2177292215235 -524.305433050023</t>
  </si>
  <si>
    <t>-568.168134007807 152.658837704504 -93.7519655339032</t>
  </si>
  <si>
    <t>-609.476675545043 151.937870073289 319.764283079476</t>
  </si>
  <si>
    <t>-671.83423611824 179.051353525554 777.841298285503</t>
  </si>
  <si>
    <t>-522.294387496376 181.302658400419 837.142131324817</t>
  </si>
  <si>
    <t>-578.022726894224 -57.5150113543757 325.113545534503</t>
  </si>
  <si>
    <t>-648.828272875123 -100.221865353075 780.848354847646</t>
  </si>
  <si>
    <t>-495.829088741168 -119.581560667263 826.677125918592</t>
  </si>
  <si>
    <t>9763-20170724T115536.126165100.bin</t>
  </si>
  <si>
    <t>-563.388655573089 59.977260993531 -89.8000512371945</t>
  </si>
  <si>
    <t>-581.937736307887 56.3895726934404 -198.889784068779</t>
  </si>
  <si>
    <t>-595.000386259974 53.5285158046745 -290.797454535909</t>
  </si>
  <si>
    <t>-606.725571011685 50.9673045187308 -373.827980887702</t>
  </si>
  <si>
    <t>-617.811189812484 48.4396918707841 -456.947653301129</t>
  </si>
  <si>
    <t>-633.316914823158 44.7757877628771 -578.566225615749</t>
  </si>
  <si>
    <t>-624.533622401792 42.8409126406789 -656.407760258453</t>
  </si>
  <si>
    <t>-626.776567783728 77.7304367290931 -526.111766893657</t>
  </si>
  <si>
    <t>-603.629570315732 230.878047835858 -507.456193908046</t>
  </si>
  <si>
    <t>-469.223908429234 260.384392132371 -261.197993273786</t>
  </si>
  <si>
    <t>-237.282959899322 256.070674813644 -272.744196380852</t>
  </si>
  <si>
    <t>-626.24969177361 15.0366039545061 -524.290197655393</t>
  </si>
  <si>
    <t>-567.839509894452 152.581199017485 -93.7236158932333</t>
  </si>
  <si>
    <t>-609.289967865744 151.778593305944 319.778325075897</t>
  </si>
  <si>
    <t>-671.874175907677 178.923429014827 777.826252542047</t>
  </si>
  <si>
    <t>-522.351840048168 181.61770854409 837.152785702388</t>
  </si>
  <si>
    <t>-577.917357348633 -57.4660805327992 325.151615829612</t>
  </si>
  <si>
    <t>-648.759285905298 -100.192336261687 780.869354180641</t>
  </si>
  <si>
    <t>-495.729056076172 -119.155874746121 826.75997934808</t>
  </si>
  <si>
    <t>9763-20170724T115536.163262900.bin</t>
  </si>
  <si>
    <t>-563.182194773849 60.045541850543 -89.7760045530289</t>
  </si>
  <si>
    <t>-581.736714289041 56.4499526213976 -198.864438102357</t>
  </si>
  <si>
    <t>-594.806269744196 53.5683215917595 -290.770509745837</t>
  </si>
  <si>
    <t>-606.538713610084 50.9826965365223 -373.799331184135</t>
  </si>
  <si>
    <t>-617.632704331424 48.4247734598205 -456.916871487075</t>
  </si>
  <si>
    <t>-633.151867993458 44.7104414124528 -578.532276990803</t>
  </si>
  <si>
    <t>-624.356058884386 42.7364260651443 -656.371460780993</t>
  </si>
  <si>
    <t>-626.607518718843 77.6867192669561 -526.092048234226</t>
  </si>
  <si>
    <t>-603.537620332196 230.85154300568 -507.507876652828</t>
  </si>
  <si>
    <t>-468.930474752336 260.87744605814 -261.422737287495</t>
  </si>
  <si>
    <t>-236.998742384014 256.50301193902 -273.130858881014</t>
  </si>
  <si>
    <t>-626.076897388157 14.9936858595822 -524.244971337684</t>
  </si>
  <si>
    <t>-567.655263866522 152.660693564877 -93.7047481447191</t>
  </si>
  <si>
    <t>-609.179286905594 151.828340193047 319.789676543574</t>
  </si>
  <si>
    <t>-671.857804213428 179.004018915262 777.818138581916</t>
  </si>
  <si>
    <t>-522.340808862948 181.543176159988 837.164786506473</t>
  </si>
  <si>
    <t>-577.76444872643 -57.41154690389 325.182878787199</t>
  </si>
  <si>
    <t>-648.730751191388 -100.198433374601 780.873881922002</t>
  </si>
  <si>
    <t>-495.729764542366 -119.327566514168 826.793354775544</t>
  </si>
  <si>
    <t>9763-20170724T115536.225434300.bin</t>
  </si>
  <si>
    <t>-562.783568603145 60.107197234491 -89.7475145563532</t>
  </si>
  <si>
    <t>-581.422299573321 56.4771397242798 -198.820495801364</t>
  </si>
  <si>
    <t>-594.579993812523 53.5434336259864 -290.712441897369</t>
  </si>
  <si>
    <t>-606.399019514371 50.9009423794655 -373.727197411106</t>
  </si>
  <si>
    <t>-617.586771691627 48.2765769359894 -456.830064959054</t>
  </si>
  <si>
    <t>-633.251000077735 44.4545259360457 -578.423476689121</t>
  </si>
  <si>
    <t>-624.474298371113 42.3770325052387 -656.262154676607</t>
  </si>
  <si>
    <t>-626.665483848011 77.4771934926616 -526.017463803049</t>
  </si>
  <si>
    <t>-603.782778826559 230.692503867045 -507.599281696604</t>
  </si>
  <si>
    <t>-468.565506316101 261.742302258746 -261.975995342665</t>
  </si>
  <si>
    <t>-236.641854985458 257.343433441736 -273.833032160696</t>
  </si>
  <si>
    <t>-626.089847613738 14.7860896623606 -524.121057400727</t>
  </si>
  <si>
    <t>-567.396836228284 152.746639005195 -93.6875914261387</t>
  </si>
  <si>
    <t>-608.956149811641 151.850203975827 319.803216264945</t>
  </si>
  <si>
    <t>-671.852416842895 178.992813268354 777.797918907044</t>
  </si>
  <si>
    <t>-522.350001308448 181.46684718008 837.184248251527</t>
  </si>
  <si>
    <t>-577.384452258961 -57.4236955771648 325.216020732521</t>
  </si>
  <si>
    <t>-648.677648226231 -100.213712437856 780.870413924624</t>
  </si>
  <si>
    <t>-495.692616477121 -119.336455182435 826.845689797518</t>
  </si>
  <si>
    <t>9763-20170724T115536.257519300.bin</t>
  </si>
  <si>
    <t>-562.647391243775 60.0878891278062 -89.736895475839</t>
  </si>
  <si>
    <t>-581.338662096742 56.4481828055159 -198.800718791169</t>
  </si>
  <si>
    <t>-594.549131203804 53.4798023815133 -290.683743086669</t>
  </si>
  <si>
    <t>-606.419391887475 50.7949116035618 -373.689930742662</t>
  </si>
  <si>
    <t>-617.662147725481 48.1171833051953 -456.783586744667</t>
  </si>
  <si>
    <t>-633.410908958591 44.2053078518343 -578.363177012333</t>
  </si>
  <si>
    <t>-624.655871385175 42.0409848866968 -656.202032829885</t>
  </si>
  <si>
    <t>-626.800334334658 77.2666091099968 -525.984885268188</t>
  </si>
  <si>
    <t>-604.041663357602 230.516767071997 -507.683079528292</t>
  </si>
  <si>
    <t>-468.555825258573 262.111517178942 -262.277482124236</t>
  </si>
  <si>
    <t>-236.633135660728 257.666000161014 -274.136523261616</t>
  </si>
  <si>
    <t>-626.20065163699 14.577038383582 -524.045371318108</t>
  </si>
  <si>
    <t>-567.303037320242 152.756524289804 -93.6804194625794</t>
  </si>
  <si>
    <t>-608.874026150075 151.844262769958 319.809166560956</t>
  </si>
  <si>
    <t>-671.836193399412 179.038239248206 777.784383862648</t>
  </si>
  <si>
    <t>-522.342754307252 181.373149400274 837.198928142735</t>
  </si>
  <si>
    <t>-577.221898486646 -57.4606064406239 325.226208968506</t>
  </si>
  <si>
    <t>-648.639417762481 -100.227450835293 780.869291260917</t>
  </si>
  <si>
    <t>-495.65675388561 -119.263932963475 826.88820926941</t>
  </si>
  <si>
    <t>9763-20170724T115536.328217900.bin</t>
  </si>
  <si>
    <t>-562.433221351368 60.0625287898436 -89.7182852291093</t>
  </si>
  <si>
    <t>-581.207490896286 56.4063171110502 -198.76713713167</t>
  </si>
  <si>
    <t>-594.506137337384 53.369472361828 -290.63526789129</t>
  </si>
  <si>
    <t>-606.463708133292 50.6000833439441 -373.626200891064</t>
  </si>
  <si>
    <t>-617.8016374764 47.8160224302851 -456.70342790169</t>
  </si>
  <si>
    <t>-633.698398539787 43.7244332771327 -578.257942473675</t>
  </si>
  <si>
    <t>-625.032226917409 41.3632108930433 -656.100860099255</t>
  </si>
  <si>
    <t>-627.043606822176 76.8628694583829 -525.934028361191</t>
  </si>
  <si>
    <t>-604.422538108274 230.158217664718 -507.885098084566</t>
  </si>
  <si>
    <t>-468.66238291386 262.88575992419 -262.779673808089</t>
  </si>
  <si>
    <t>-236.732738582287 258.339976187717 -274.463623889491</t>
  </si>
  <si>
    <t>-626.402552372345 14.1764586726833 -523.907700205849</t>
  </si>
  <si>
    <t>-567.180609658979 152.725443137333 -93.6599300311951</t>
  </si>
  <si>
    <t>-608.722856397033 151.770033678967 319.832454084849</t>
  </si>
  <si>
    <t>-671.863343209743 178.931958611093 777.782535845383</t>
  </si>
  <si>
    <t>-522.380648036579 181.491342718203 837.214875062244</t>
  </si>
  <si>
    <t>-576.989307531927 -57.395910401536 325.24802503028</t>
  </si>
  <si>
    <t>-648.583526754214 -100.218740723763 780.846904675775</t>
  </si>
  <si>
    <t>-495.638411238829 -119.371119861854 826.942428900379</t>
  </si>
  <si>
    <t>9763-20170724T115536.362311800.bin</t>
  </si>
  <si>
    <t>-562.390422939517 60.0904626932522 -89.7090387014841</t>
  </si>
  <si>
    <t>-581.159617791065 56.4244552202049 -198.758500785838</t>
  </si>
  <si>
    <t>-594.476925121928 53.3432155317664 -290.622452086186</t>
  </si>
  <si>
    <t>-606.460763403995 50.5191250508822 -373.607588597959</t>
  </si>
  <si>
    <t>-617.834559288516 47.6656668015348 -456.677714041353</t>
  </si>
  <si>
    <t>-633.794377663971 43.4568556847091 -578.219832718441</t>
  </si>
  <si>
    <t>-625.19045992358 40.989200904432 -656.06652947076</t>
  </si>
  <si>
    <t>-627.111294154446 76.6458108983149 -525.931618109801</t>
  </si>
  <si>
    <t>-604.495403189321 229.965118227581 -508.050846536046</t>
  </si>
  <si>
    <t>-468.698923055566 263.245215078903 -263.039842734704</t>
  </si>
  <si>
    <t>-236.759279600132 258.695975522834 -274.521970209216</t>
  </si>
  <si>
    <t>-626.471461073339 13.9613466670849 -523.844937303984</t>
  </si>
  <si>
    <t>-567.159914445518 152.740730676503 -93.6525958758076</t>
  </si>
  <si>
    <t>-608.737898359953 151.758556336546 319.836192223356</t>
  </si>
  <si>
    <t>-671.88194818885 178.883286091887 777.785023240387</t>
  </si>
  <si>
    <t>-522.401004651573 181.466988035831 837.220678718228</t>
  </si>
  <si>
    <t>-576.941655164579 -57.3645590867245 325.246572033036</t>
  </si>
  <si>
    <t>-648.568898275145 -100.224173110346 780.833093845848</t>
  </si>
  <si>
    <t>-495.642221499842 -119.486978526921 826.943744778371</t>
  </si>
  <si>
    <t>9763-20170724T115536.426989500.bin</t>
  </si>
  <si>
    <t>-562.385583966094 60.1464517461125 -89.7131404077948</t>
  </si>
  <si>
    <t>-581.119511137275 56.4728929501123 -198.768415553035</t>
  </si>
  <si>
    <t>-594.477779417692 53.2993770977582 -290.623306940668</t>
  </si>
  <si>
    <t>-606.527481775392 50.3580429896961 -373.594849322986</t>
  </si>
  <si>
    <t>-617.996440935894 47.3532416275339 -456.646469877656</t>
  </si>
  <si>
    <t>-634.127896482368 42.8858424092587 -578.156729435481</t>
  </si>
  <si>
    <t>-625.669257136687 40.1999521778798 -656.012082452896</t>
  </si>
  <si>
    <t>-627.351538118958 76.186138327542 -525.951221921289</t>
  </si>
  <si>
    <t>-604.644127746966 229.531228848928 -508.464646489734</t>
  </si>
  <si>
    <t>-468.778349141419 263.823429407111 -263.631909925759</t>
  </si>
  <si>
    <t>-236.828339232273 259.139520602648 -274.848178202488</t>
  </si>
  <si>
    <t>-626.747546918601 13.5060761895572 -523.726919821631</t>
  </si>
  <si>
    <t>-567.14347967045 152.808897077588 -93.6658916346289</t>
  </si>
  <si>
    <t>-608.76399656265 151.837084384717 319.818570478773</t>
  </si>
  <si>
    <t>-671.880715878624 178.952993123542 777.782270483487</t>
  </si>
  <si>
    <t>-522.40018428912 181.375232773246 837.22569062229</t>
  </si>
  <si>
    <t>-576.965173258597 -57.4203052002101 325.234642775221</t>
  </si>
  <si>
    <t>-648.546237377898 -100.205730282424 780.819641308279</t>
  </si>
  <si>
    <t>-495.590644533987 -119.234945727826 826.931498261755</t>
  </si>
  <si>
    <t>9763-20170724T115536.460072400.bin</t>
  </si>
  <si>
    <t>-562.41643998017 60.1438693806399 -89.719635503409</t>
  </si>
  <si>
    <t>-581.156316254463 56.4693042007502 -198.773761845504</t>
  </si>
  <si>
    <t>-594.550397890047 53.2578109239219 -290.62207619137</t>
  </si>
  <si>
    <t>-606.644989455098 50.267860133237 -373.585487222133</t>
  </si>
  <si>
    <t>-618.17158755269 47.1999408732854 -456.626832918711</t>
  </si>
  <si>
    <t>-634.401401670404 42.6243696314532 -578.120018562407</t>
  </si>
  <si>
    <t>-626.014771311278 39.8372036795558 -655.979546630657</t>
  </si>
  <si>
    <t>-627.56677914191 75.9711261506186 -525.951769691571</t>
  </si>
  <si>
    <t>-604.802730676591 229.331734680677 -508.666585272043</t>
  </si>
  <si>
    <t>-468.849391099437 264.201394706331 -263.963900755281</t>
  </si>
  <si>
    <t>-236.897300411977 259.366696029943 -275.071240467251</t>
  </si>
  <si>
    <t>-626.993049755244 13.2930185303455 -523.667933108123</t>
  </si>
  <si>
    <t>-567.177379277462 152.841524812513 -93.6780882727007</t>
  </si>
  <si>
    <t>-608.754104734274 151.852739173703 319.810695068061</t>
  </si>
  <si>
    <t>-671.886988207457 178.957062426384 777.780152871068</t>
  </si>
  <si>
    <t>-522.407900345634 181.441532190182 837.224799904792</t>
  </si>
  <si>
    <t>-576.996298155952 -57.4131550994991 325.231096194225</t>
  </si>
  <si>
    <t>-648.529618302171 -100.212705176611 780.822331216054</t>
  </si>
  <si>
    <t>-495.581521518214 -119.289833894907 826.939247022246</t>
  </si>
  <si>
    <t>9763-20170724T115536.524784400.bin</t>
  </si>
  <si>
    <t>-562.544206123799 60.2150449352637 -89.7383513834311</t>
  </si>
  <si>
    <t>-581.305151648525 56.5218821954136 -198.788294067868</t>
  </si>
  <si>
    <t>-594.789198974384 53.2283562567761 -290.620588068284</t>
  </si>
  <si>
    <t>-606.994521325729 50.1385652627137 -373.564130462837</t>
  </si>
  <si>
    <t>-618.661517037741 46.945335678198 -456.581016761083</t>
  </si>
  <si>
    <t>-635.129659311208 42.1580144657235 -578.033947670959</t>
  </si>
  <si>
    <t>-626.899880351654 39.1770072440877 -655.903056217558</t>
  </si>
  <si>
    <t>-628.165423927646 75.5958378211883 -525.94111674804</t>
  </si>
  <si>
    <t>-605.293546182995 228.983373070507 -509.043639786868</t>
  </si>
  <si>
    <t>-469.12144558547 264.807769127713 -264.600629663695</t>
  </si>
  <si>
    <t>-237.170199169842 259.832092365715 -275.664056325142</t>
  </si>
  <si>
    <t>-627.641730147017 12.9214780987511 -523.541750450872</t>
  </si>
  <si>
    <t>-567.219063609562 152.936264197709 -93.7023422081127</t>
  </si>
  <si>
    <t>-608.728330474683 151.905905240295 319.793162815193</t>
  </si>
  <si>
    <t>-671.895412644505 178.982485990492 777.77328226818</t>
  </si>
  <si>
    <t>-522.41887514258 181.439570366402 837.22540882833</t>
  </si>
  <si>
    <t>-577.084348419937 -57.3514972048861 325.24274762904</t>
  </si>
  <si>
    <t>-648.506190024505 -100.228628821782 780.845207361346</t>
  </si>
  <si>
    <t>-495.595228774053 -119.569659175493 826.975311712044</t>
  </si>
  <si>
    <t>9763-20170724T115536.556871100.bin</t>
  </si>
  <si>
    <t>-562.626984313685 60.2915515214033 -89.7346997079487</t>
  </si>
  <si>
    <t>-581.379980641443 56.586715737335 -198.785551550963</t>
  </si>
  <si>
    <t>-594.907205813558 53.2579309669861 -290.610222274779</t>
  </si>
  <si>
    <t>-607.171693080174 50.126743311718 -373.543355847273</t>
  </si>
  <si>
    <t>-618.918188031902 46.8822869360974 -456.547294461568</t>
  </si>
  <si>
    <t>-635.524947183774 42.0098055020521 -577.977907979427</t>
  </si>
  <si>
    <t>-627.379015091176 38.9489203008905 -655.852644290784</t>
  </si>
  <si>
    <t>-628.492489014933 75.4841774689385 -525.917798821168</t>
  </si>
  <si>
    <t>-605.57404115499 228.884493416544 -509.199057277215</t>
  </si>
  <si>
    <t>-469.24149527151 264.972022353947 -264.88414926474</t>
  </si>
  <si>
    <t>-237.288585322433 259.968708670415 -275.900530535571</t>
  </si>
  <si>
    <t>-627.98361379097 12.8114507985715 -523.472625383352</t>
  </si>
  <si>
    <t>-567.29539123289 153.034540224457 -93.7174080018243</t>
  </si>
  <si>
    <t>-608.763287587766 152.000396146402 319.782241988645</t>
  </si>
  <si>
    <t>-671.88360686705 179.081516878933 777.773361621533</t>
  </si>
  <si>
    <t>-522.40579027389 181.355120094739 837.229617213916</t>
  </si>
  <si>
    <t>-577.111471329312 -57.2546816907188 325.255321633186</t>
  </si>
  <si>
    <t>-648.491758675488 -100.191793555592 780.858763419821</t>
  </si>
  <si>
    <t>-495.560081590382 -119.379018595696 826.984457907942</t>
  </si>
  <si>
    <t>9763-20170724T115536.628565600.bin</t>
  </si>
  <si>
    <t>-562.793651793432 60.3086817014546 -89.7297217527866</t>
  </si>
  <si>
    <t>-581.588066183742 56.6006533012242 -198.773366983384</t>
  </si>
  <si>
    <t>-595.228289352632 53.2343959681557 -290.579978924161</t>
  </si>
  <si>
    <t>-607.626405974123 50.0561546916176 -373.491533103741</t>
  </si>
  <si>
    <t>-619.538350760118 46.7515262274633 -456.469283477884</t>
  </si>
  <si>
    <t>-636.422068797958 41.7768200386524 -577.857545088098</t>
  </si>
  <si>
    <t>-628.447983237767 38.5828255932202 -655.744897593085</t>
  </si>
  <si>
    <t>-629.250941420571 75.2949772152049 -525.844647500809</t>
  </si>
  <si>
    <t>-606.162749473849 228.703003768635 -509.405222540084</t>
  </si>
  <si>
    <t>-469.558215132954 264.866591367449 -265.253668599579</t>
  </si>
  <si>
    <t>-237.598636644142 259.805066526289 -276.100129642495</t>
  </si>
  <si>
    <t>-628.776340688232 12.6244174398271 -523.34224817407</t>
  </si>
  <si>
    <t>-567.460786026195 153.040046225638 -93.7209877890822</t>
  </si>
  <si>
    <t>-608.815482952736 152.035807610021 319.79010458758</t>
  </si>
  <si>
    <t>-671.91699340277 179.036525733157 777.78560723632</t>
  </si>
  <si>
    <t>-522.433380445355 181.403544031229 837.223519179515</t>
  </si>
  <si>
    <t>-577.182141311892 -57.1278945757067 325.280598270089</t>
  </si>
  <si>
    <t>-648.478164801591 -100.154248624622 780.885641527272</t>
  </si>
  <si>
    <t>-495.49891847432 -119.009217804937 826.990612243584</t>
  </si>
  <si>
    <t>9763-20170724T115536.661653800.bin</t>
  </si>
  <si>
    <t>-562.923058466609 60.281747976449 -89.741953266522</t>
  </si>
  <si>
    <t>-581.74390508792 56.5732713375 -198.781059602793</t>
  </si>
  <si>
    <t>-595.434162436261 53.1945453172445 -290.579754141592</t>
  </si>
  <si>
    <t>-607.888671811151 50.0005305834131 -373.482232790027</t>
  </si>
  <si>
    <t>-619.868428558973 46.6753997228243 -456.449415724484</t>
  </si>
  <si>
    <t>-636.863621840285 41.6661674282179 -577.820843320375</t>
  </si>
  <si>
    <t>-628.97102237114 38.408539705006 -655.713691744678</t>
  </si>
  <si>
    <t>-629.638645253705 75.1991758706654 -525.8248516491</t>
  </si>
  <si>
    <t>-606.484738668048 228.605899732712 -509.469674676753</t>
  </si>
  <si>
    <t>-469.75381197338 264.712964045324 -265.380537383423</t>
  </si>
  <si>
    <t>-237.785855711957 259.647645167877 -276.04502643771</t>
  </si>
  <si>
    <t>-629.173883667635 12.5292507183447 -523.303430293443</t>
  </si>
  <si>
    <t>-567.569681488772 153.01587104951 -93.7325371836904</t>
  </si>
  <si>
    <t>-608.864581781656 152.033035454169 319.784495936636</t>
  </si>
  <si>
    <t>-671.926921520001 179.037198975174 777.786647891998</t>
  </si>
  <si>
    <t>-522.441097478282 181.434148979097 837.217848998241</t>
  </si>
  <si>
    <t>-577.262547290238 -57.1224173900246 325.279547618663</t>
  </si>
  <si>
    <t>-648.481420513694 -100.138655938182 780.896286942814</t>
  </si>
  <si>
    <t>-495.505645254585 -119.063749230944 826.983977116026</t>
  </si>
  <si>
    <t>9763-20170724T115536.724353700.bin</t>
  </si>
  <si>
    <t>-563.224340593107 60.2001455459765 -89.7561302104851</t>
  </si>
  <si>
    <t>-582.091410277259 56.504042967953 -198.787631146846</t>
  </si>
  <si>
    <t>-595.88523494029 53.1272525983036 -290.570780286987</t>
  </si>
  <si>
    <t>-608.459192901263 49.9328129567268 -373.455268261976</t>
  </si>
  <si>
    <t>-620.584456014167 46.6048680638557 -456.401292414964</t>
  </si>
  <si>
    <t>-637.821112855886 41.588997280729 -577.738218209949</t>
  </si>
  <si>
    <t>-630.097013763803 38.2303807213139 -655.643728612723</t>
  </si>
  <si>
    <t>-630.484664991913 75.1248004891302 -525.759751956337</t>
  </si>
  <si>
    <t>-607.16947100711 228.514675343915 -509.472844921919</t>
  </si>
  <si>
    <t>-470.16581513155 264.574402050679 -265.529780012669</t>
  </si>
  <si>
    <t>-238.183498536256 259.612175641401 -275.927145024698</t>
  </si>
  <si>
    <t>-630.031003916708 12.4548826987179 -523.233422198167</t>
  </si>
  <si>
    <t>-567.784322138308 152.932463476526 -93.7482924446906</t>
  </si>
  <si>
    <t>-608.994945932656 151.986693245436 319.777292386318</t>
  </si>
  <si>
    <t>-671.950437610164 179.004588641003 777.791900582104</t>
  </si>
  <si>
    <t>-522.460004332606 181.394944170903 837.211712040971</t>
  </si>
  <si>
    <t>-577.443707355134 -57.1640697356397 325.272843792521</t>
  </si>
  <si>
    <t>-648.479035035919 -100.17556376933 780.924518987396</t>
  </si>
  <si>
    <t>-495.535690443764 -119.426957355653 826.984680457665</t>
  </si>
  <si>
    <t>9763-20170724T115536.762455400.bin</t>
  </si>
  <si>
    <t>-563.382192887628 60.1380602227057 -89.7644936465764</t>
  </si>
  <si>
    <t>-582.275660407035 56.4576517793303 -198.792034233155</t>
  </si>
  <si>
    <t>-596.138377966441 53.1045710042558 -290.565779656439</t>
  </si>
  <si>
    <t>-608.793338744265 49.9357036867809 -373.438775701054</t>
  </si>
  <si>
    <t>-621.018281548411 46.6381429139335 -456.371428781206</t>
  </si>
  <si>
    <t>-638.421177039375 41.6720784659444 -577.686534124968</t>
  </si>
  <si>
    <t>-630.804130438622 38.291097129156 -655.601808708196</t>
  </si>
  <si>
    <t>-631.017318362293 75.1866081253386 -525.703917161155</t>
  </si>
  <si>
    <t>-607.658839021557 228.563627526959 -509.415765171181</t>
  </si>
  <si>
    <t>-470.492427261686 264.571153184637 -265.556408585205</t>
  </si>
  <si>
    <t>-238.503032557482 259.627690998531 -275.804318355637</t>
  </si>
  <si>
    <t>-630.552551279557 12.515642700843 -523.205074116631</t>
  </si>
  <si>
    <t>-567.893161446733 152.866005950249 -93.7484872881224</t>
  </si>
  <si>
    <t>-609.052983715049 151.976610749615 319.782254491688</t>
  </si>
  <si>
    <t>-671.949074609396 179.059927250077 777.794541632563</t>
  </si>
  <si>
    <t>-522.454060877987 181.316664359531 837.20825128172</t>
  </si>
  <si>
    <t>-577.514515041271 -57.1963427806104 325.263704457081</t>
  </si>
  <si>
    <t>-648.485106240669 -100.163496256572 780.934409572832</t>
  </si>
  <si>
    <t>-495.554017713463 -119.568991130297 826.970655767924</t>
  </si>
  <si>
    <t>9763-20170724T115536.827734000.bin</t>
  </si>
  <si>
    <t>-563.743066287142 60.1215626045282 -89.770663534581</t>
  </si>
  <si>
    <t>-582.693847665819 56.4540650360032 -198.788697021667</t>
  </si>
  <si>
    <t>-596.648176545035 53.1592451471138 -290.550522558976</t>
  </si>
  <si>
    <t>-609.40296886133 50.0626673896952 -373.41116522904</t>
  </si>
  <si>
    <t>-621.74480733611 46.8569988457991 -456.330003223212</t>
  </si>
  <si>
    <t>-639.337040365556 42.0473606176513 -577.624228541732</t>
  </si>
  <si>
    <t>-631.896356361067 38.6601501717621 -655.556158570466</t>
  </si>
  <si>
    <t>-631.865108624621 75.4947086485772 -525.608017262068</t>
  </si>
  <si>
    <t>-608.428346354899 228.856400264794 -509.257470472313</t>
  </si>
  <si>
    <t>-470.948746523542 264.889546564348 -265.578415090389</t>
  </si>
  <si>
    <t>-238.95198467441 259.995401446955 -275.682024102917</t>
  </si>
  <si>
    <t>-631.37035953339 12.8208456755428 -523.194578308478</t>
  </si>
  <si>
    <t>-568.183947491078 152.830468739145 -93.7587795738006</t>
  </si>
  <si>
    <t>-609.230814904901 151.955761939554 319.783173714451</t>
  </si>
  <si>
    <t>-671.976683246584 179.041637714373 777.807040774824</t>
  </si>
  <si>
    <t>-522.473823178084 181.298936404128 837.200907831439</t>
  </si>
  <si>
    <t>-577.654577911522 -57.1180540973776 325.264671412268</t>
  </si>
  <si>
    <t>-648.506902502589 -100.109612681014 780.944073170735</t>
  </si>
  <si>
    <t>-495.493860569855 -119.08458841103 826.887371491151</t>
  </si>
  <si>
    <t>9763-20170724T115536.860819700.bin</t>
  </si>
  <si>
    <t>-563.900071081512 60.1875836092336 -89.7755250692426</t>
  </si>
  <si>
    <t>-582.865489016974 56.5206757525407 -198.790923344655</t>
  </si>
  <si>
    <t>-596.844493502296 53.2413879938501 -290.549822205521</t>
  </si>
  <si>
    <t>-609.626415439333 50.1650427579586 -373.406711928596</t>
  </si>
  <si>
    <t>-622.000218777651 46.9858687380165 -456.321903070863</t>
  </si>
  <si>
    <t>-639.644431338135 42.2219414581321 -577.610540754475</t>
  </si>
  <si>
    <t>-632.279214990855 38.8434987610233 -655.54982228908</t>
  </si>
  <si>
    <t>-632.15483538589 75.6497803990594 -525.584329410019</t>
  </si>
  <si>
    <t>-608.679925833456 229.010748476198 -509.209195511961</t>
  </si>
  <si>
    <t>-471.079901791569 265.0456053503 -265.598168374184</t>
  </si>
  <si>
    <t>-239.07505528611 260.211973431243 -275.544335095167</t>
  </si>
  <si>
    <t>-631.649803065638 12.9748164133755 -523.195903493887</t>
  </si>
  <si>
    <t>-568.322711321189 152.842397206824 -93.7655237791677</t>
  </si>
  <si>
    <t>-609.304559241349 151.997378443771 319.782962946832</t>
  </si>
  <si>
    <t>-671.989284388609 179.028596751173 777.812159788729</t>
  </si>
  <si>
    <t>-522.483967143264 181.303394968415 837.199106908917</t>
  </si>
  <si>
    <t>-577.689158958152 -57.0176184320387 325.270453320276</t>
  </si>
  <si>
    <t>-648.523654273683 -100.120693240654 780.941042131901</t>
  </si>
  <si>
    <t>-495.535045871513 -119.386032705332 826.844822895589</t>
  </si>
  <si>
    <t>9763-20170724T115536.924624300.bin</t>
  </si>
  <si>
    <t>-564.129600725384 60.2242447012977 -89.7935690316314</t>
  </si>
  <si>
    <t>-583.104496918019 56.5619662096015 -198.807527314673</t>
  </si>
  <si>
    <t>-597.158123984388 53.2970527593786 -290.555494723952</t>
  </si>
  <si>
    <t>-610.033973220852 50.238709557904 -373.398667740678</t>
  </si>
  <si>
    <t>-622.528479396219 47.0822528259937 -456.296511516055</t>
  </si>
  <si>
    <t>-640.378460899402 42.3569859655888 -577.556421575834</t>
  </si>
  <si>
    <t>-633.169078881317 38.9901196016083 -655.510944730232</t>
  </si>
  <si>
    <t>-632.801902643898 75.7682693955674 -525.532111666232</t>
  </si>
  <si>
    <t>-609.33435479591 229.1319862113 -509.22105492435</t>
  </si>
  <si>
    <t>-471.390089578692 265.45788931525 -265.847987962117</t>
  </si>
  <si>
    <t>-239.364170232842 260.743269882847 -275.348902799692</t>
  </si>
  <si>
    <t>-632.290151665308 13.0926190649839 -523.165041101973</t>
  </si>
  <si>
    <t>-568.575555030768 152.811066561786 -93.7796881787644</t>
  </si>
  <si>
    <t>-609.48138736403 151.998897738512 319.776458920276</t>
  </si>
  <si>
    <t>-672.01590070951 178.99766004628 777.820931569336</t>
  </si>
  <si>
    <t>-522.508462455086 181.334084703908 837.200005900133</t>
  </si>
  <si>
    <t>-577.770391414412 -56.9850941191321 325.252826626774</t>
  </si>
  <si>
    <t>-648.525342076755 -100.119578237288 780.933139749223</t>
  </si>
  <si>
    <t>-495.519035318434 -119.341770171391 826.795971337686</t>
  </si>
  <si>
    <t>9763-20170724T115536.957712200.bin</t>
  </si>
  <si>
    <t>-564.181091100618 60.2462005809577 -89.8078228289702</t>
  </si>
  <si>
    <t>-583.170314936077 56.5839050584818 -198.819325154371</t>
  </si>
  <si>
    <t>-597.278400936027 53.316132683552 -290.558599877181</t>
  </si>
  <si>
    <t>-610.220551908325 50.2540253152729 -373.391422480039</t>
  </si>
  <si>
    <t>-622.798347896585 47.0932983126147 -456.276477163547</t>
  </si>
  <si>
    <t>-640.789008349341 42.3607305544226 -577.515409770595</t>
  </si>
  <si>
    <t>-633.655454525543 38.9802349278057 -655.476236347728</t>
  </si>
  <si>
    <t>-633.150283718083 75.7750598249472 -525.502265688477</t>
  </si>
  <si>
    <t>-609.687853884032 229.147078444775 -509.237661616247</t>
  </si>
  <si>
    <t>-471.498624423488 265.960644338126 -266.077005836426</t>
  </si>
  <si>
    <t>-239.473074437458 261.224907100085 -275.576781329653</t>
  </si>
  <si>
    <t>-632.639449628097 13.0995578356321 -523.131379091268</t>
  </si>
  <si>
    <t>-568.649897268329 152.8208859278 -93.7875323159379</t>
  </si>
  <si>
    <t>-609.506612443021 152.02189807404 319.773418876253</t>
  </si>
  <si>
    <t>-672.017652689126 179.026387179119 777.826538006931</t>
  </si>
  <si>
    <t>-522.509432770232 181.295626745521 837.206423346818</t>
  </si>
  <si>
    <t>-577.784330240479 -56.9013524490413 325.246626481012</t>
  </si>
  <si>
    <t>-648.520415669426 -100.096296391176 780.934025783816</t>
  </si>
  <si>
    <t>-495.479932392554 -119.091240620461 826.777465974312</t>
  </si>
  <si>
    <t>9763-20170724T115537.027470100.bin</t>
  </si>
  <si>
    <t>-564.280635260768 60.296763110035 -89.8356354173136</t>
  </si>
  <si>
    <t>-583.337574007371 56.6292683089573 -198.83511455969</t>
  </si>
  <si>
    <t>-597.587999441128 53.3325942030915 -290.551482491613</t>
  </si>
  <si>
    <t>-610.693072653038 50.2346870521849 -373.357211801408</t>
  </si>
  <si>
    <t>-623.468366965694 47.0290468583953 -456.210321466932</t>
  </si>
  <si>
    <t>-641.785862451198 42.2208892026065 -577.397379085824</t>
  </si>
  <si>
    <t>-634.800315108658 38.7852460845154 -655.369159583635</t>
  </si>
  <si>
    <t>-634.01349874094 75.6677308154958 -525.424764374831</t>
  </si>
  <si>
    <t>-610.64950101879 229.065059645603 -509.304322652974</t>
  </si>
  <si>
    <t>-471.790067543625 267.115883931235 -266.716681774458</t>
  </si>
  <si>
    <t>-239.773487065337 262.331152213563 -276.409093649111</t>
  </si>
  <si>
    <t>-633.483102554822 12.9936771945902 -523.018308879393</t>
  </si>
  <si>
    <t>-568.809358142935 152.888650232375 -93.8180697208203</t>
  </si>
  <si>
    <t>-609.535091093691 152.033125525234 319.755751639605</t>
  </si>
  <si>
    <t>-672.020984886536 179.02744548886 777.821367180334</t>
  </si>
  <si>
    <t>-522.519695584235 181.323366089667 837.217618441552</t>
  </si>
  <si>
    <t>-577.77943129168 -56.8312344031015 325.228188016436</t>
  </si>
  <si>
    <t>-648.522751454807 -100.141915285958 780.90964701594</t>
  </si>
  <si>
    <t>-495.531598272457 -119.59015228329 826.727760094845</t>
  </si>
  <si>
    <t>9763-20170724T115537.061560400.bin</t>
  </si>
  <si>
    <t>-564.319116884505 60.2813394491743 -89.8439941940719</t>
  </si>
  <si>
    <t>-583.416286792558 56.6078832195471 -198.836240604479</t>
  </si>
  <si>
    <t>-597.741021162907 53.2849236374182 -290.540084543524</t>
  </si>
  <si>
    <t>-610.929539627216 50.1549615555587 -373.331363595908</t>
  </si>
  <si>
    <t>-623.804837920001 46.9087403922138 -456.167525725419</t>
  </si>
  <si>
    <t>-642.286599324529 42.0328586343217 -577.326785937878</t>
  </si>
  <si>
    <t>-635.370533735487 38.5601242151433 -655.303174865942</t>
  </si>
  <si>
    <t>-634.442284694529 75.5087622424862 -525.383785968015</t>
  </si>
  <si>
    <t>-611.104532660043 228.920647214479 -509.323873083792</t>
  </si>
  <si>
    <t>-471.85531742856 267.515923440496 -267.045870619903</t>
  </si>
  <si>
    <t>-239.846051358477 262.739544017478 -276.915637851711</t>
  </si>
  <si>
    <t>-633.911614108791 12.836089918891 -522.942552150998</t>
  </si>
  <si>
    <t>-568.855124892219 152.90021730035 -93.8261608440808</t>
  </si>
  <si>
    <t>-609.515680400162 152.039055721125 319.754073344608</t>
  </si>
  <si>
    <t>-672.018975153149 179.052507991508 777.815744423696</t>
  </si>
  <si>
    <t>-522.521333212388 181.355925720915 837.22088033581</t>
  </si>
  <si>
    <t>-577.76502199945 -56.8375395923099 325.220385392942</t>
  </si>
  <si>
    <t>-648.516175730929 -100.123430494229 780.900084946335</t>
  </si>
  <si>
    <t>-495.509820120195 -119.483143763922 826.704925630582</t>
  </si>
  <si>
    <t>9763-20170724T115537.130809500.bin</t>
  </si>
  <si>
    <t>-564.396760063427 60.2857063368199 -89.8535447796972</t>
  </si>
  <si>
    <t>-583.566375920464 56.5896479661903 -198.832383673114</t>
  </si>
  <si>
    <t>-597.992177586569 53.1962927794964 -290.517781993318</t>
  </si>
  <si>
    <t>-611.288397309161 49.982045250197 -373.288578364172</t>
  </si>
  <si>
    <t>-624.28806756838 46.6312255598511 -456.101102329534</t>
  </si>
  <si>
    <t>-642.970303278653 41.5794615397124 -577.2224283065</t>
  </si>
  <si>
    <t>-636.180806266782 38.0098706743458 -655.205592244076</t>
  </si>
  <si>
    <t>-635.014970108124 75.1306112789305 -525.345013291387</t>
  </si>
  <si>
    <t>-611.646816580477 228.555652346909 -509.469389074898</t>
  </si>
  <si>
    <t>-471.872665615274 268.124391577585 -267.651108746106</t>
  </si>
  <si>
    <t>-239.871149587017 263.2539280496 -277.655762175565</t>
  </si>
  <si>
    <t>-634.530458908152 12.4615873613479 -522.805854682302</t>
  </si>
  <si>
    <t>-568.99225021635 152.936868294347 -93.8368036350062</t>
  </si>
  <si>
    <t>-609.572551606486 152.068599081785 319.751246278056</t>
  </si>
  <si>
    <t>-672.04551683815 179.018735970728 777.824178087565</t>
  </si>
  <si>
    <t>-522.54527294645 181.172231988798 837.228308843522</t>
  </si>
  <si>
    <t>-577.706154907419 -56.8700721601626 325.223765506658</t>
  </si>
  <si>
    <t>-648.490209007664 -100.111435311969 780.890400821612</t>
  </si>
  <si>
    <t>-495.484144155569 -119.447509187724 826.70610233247</t>
  </si>
  <si>
    <t>9763-20170724T115537.173921500.bin</t>
  </si>
  <si>
    <t>-564.416553985324 60.3473582534186 -89.8488600381156</t>
  </si>
  <si>
    <t>-583.616717242639 56.6370877819295 -198.821763878076</t>
  </si>
  <si>
    <t>-598.072740909373 53.1990064014083 -290.500737961109</t>
  </si>
  <si>
    <t>-611.398303092517 49.9312517815488 -373.26480428589</t>
  </si>
  <si>
    <t>-624.429512686635 46.5136005871532 -456.069585256834</t>
  </si>
  <si>
    <t>-643.160357415608 41.3497701171054 -577.178657330897</t>
  </si>
  <si>
    <t>-636.429316417718 37.7056826136402 -655.163458195439</t>
  </si>
  <si>
    <t>-635.166091391726 74.9490142689417 -525.338354084794</t>
  </si>
  <si>
    <t>-611.771981773379 228.385586821134 -509.577546825193</t>
  </si>
  <si>
    <t>-471.842806975999 268.236232212625 -267.895212697104</t>
  </si>
  <si>
    <t>-239.838040032265 263.267612997512 -277.776135452842</t>
  </si>
  <si>
    <t>-634.716759653023 12.2821281251788 -522.735828196046</t>
  </si>
  <si>
    <t>-569.028220585131 153.000528601375 -93.8347182970826</t>
  </si>
  <si>
    <t>-609.589669519968 152.106130256966 319.755143451595</t>
  </si>
  <si>
    <t>-672.047428803498 179.062136719635 777.829263901036</t>
  </si>
  <si>
    <t>-522.544617585887 181.184255453481 837.228074514779</t>
  </si>
  <si>
    <t>-577.658084377748 -56.8273936447865 325.233017680144</t>
  </si>
  <si>
    <t>-648.485451190563 -100.100526209817 780.889265714789</t>
  </si>
  <si>
    <t>-495.484811867789 -119.490554122201 826.70034579535</t>
  </si>
  <si>
    <t>9763-20170724T115537.227102900.bin</t>
  </si>
  <si>
    <t>-564.542378675118 60.4955744052183 -89.8438053542634</t>
  </si>
  <si>
    <t>-583.809904355614 56.7699571845915 -198.80420624355</t>
  </si>
  <si>
    <t>-598.31837319543 53.2593530794495 -290.472246453117</t>
  </si>
  <si>
    <t>-611.689925659039 49.9029103892103 -373.225332003791</t>
  </si>
  <si>
    <t>-624.766103425798 46.3727384714193 -456.018341745674</t>
  </si>
  <si>
    <t>-643.561818234372 41.0180569655586 -577.109125155982</t>
  </si>
  <si>
    <t>-636.922604036978 37.1983549696349 -655.093272372456</t>
  </si>
  <si>
    <t>-635.495558930223 74.6988910219523 -525.332953728526</t>
  </si>
  <si>
    <t>-611.865434943585 228.11776732153 -509.81100596271</t>
  </si>
  <si>
    <t>-471.901374467621 268.360754132136 -268.213754890563</t>
  </si>
  <si>
    <t>-239.89328484471 263.176823696408 -277.904310890284</t>
  </si>
  <si>
    <t>-635.133339646535 12.0362650622212 -522.618135778006</t>
  </si>
  <si>
    <t>-569.14165331866 153.146546402475 -93.8426887022464</t>
  </si>
  <si>
    <t>-609.642966957408 152.191945908359 319.752955948272</t>
  </si>
  <si>
    <t>-672.07589183303 179.036128907242 777.835933350671</t>
  </si>
  <si>
    <t>-522.56926927229 181.177019063881 837.224616677176</t>
  </si>
  <si>
    <t>-577.644278950535 -56.6872718526706 325.248907950105</t>
  </si>
  <si>
    <t>-648.487099496042 -100.141040382448 780.885715284861</t>
  </si>
  <si>
    <t>-495.516939530716 -119.837750851935 826.667707753957</t>
  </si>
  <si>
    <t>9763-20170724T115537.260192800.bin</t>
  </si>
  <si>
    <t>-564.625457793916 60.6079361163486 -89.8479827923102</t>
  </si>
  <si>
    <t>-583.931959063877 56.8703832001836 -198.801171158551</t>
  </si>
  <si>
    <t>-598.482922189679 53.3240846439746 -290.460990436583</t>
  </si>
  <si>
    <t>-611.896891761025 49.9258258287862 -373.205463946644</t>
  </si>
  <si>
    <t>-625.019762600973 46.3435462840635 -455.988850091032</t>
  </si>
  <si>
    <t>-643.88845613471 40.9017952900165 -577.064328124818</t>
  </si>
  <si>
    <t>-637.291747613823 36.9922721521273 -655.047851884457</t>
  </si>
  <si>
    <t>-635.762602857347 74.6199085061353 -525.321816595833</t>
  </si>
  <si>
    <t>-611.995651440557 228.02873132017 -509.88760986092</t>
  </si>
  <si>
    <t>-471.937178982071 268.452040166054 -268.375522690672</t>
  </si>
  <si>
    <t>-239.929943299142 263.134157749404 -278.014272868261</t>
  </si>
  <si>
    <t>-635.455493963949 11.9592384617395 -522.553193707391</t>
  </si>
  <si>
    <t>-569.186349730179 153.230467203078 -93.8520337247196</t>
  </si>
  <si>
    <t>-609.690902275946 152.248666143046 319.743227406024</t>
  </si>
  <si>
    <t>-672.097188743472 179.007935387581 777.844215564701</t>
  </si>
  <si>
    <t>-522.58730915972 181.155463911385 837.224375797343</t>
  </si>
  <si>
    <t>-577.701530902464 -56.5744147038627 325.262082035391</t>
  </si>
  <si>
    <t>-648.496465479633 -100.083344187764 780.890758394776</t>
  </si>
  <si>
    <t>-495.448016758627 -119.282279715074 826.622545485446</t>
  </si>
  <si>
    <t>9763-20170724T115537.325887800.bin</t>
  </si>
  <si>
    <t>-564.819429676116 60.7271863906676 -89.8442382774829</t>
  </si>
  <si>
    <t>-584.213987482995 56.97975499163 -198.781279552909</t>
  </si>
  <si>
    <t>-598.843129737005 53.3700610744679 -290.426311858264</t>
  </si>
  <si>
    <t>-612.329743428042 49.8934129757893 -373.155703586687</t>
  </si>
  <si>
    <t>-625.527540030554 46.2110472812158 -455.92278764903</t>
  </si>
  <si>
    <t>-644.508609100967 40.5988139742803 -576.973071791665</t>
  </si>
  <si>
    <t>-637.955656730378 36.5265054823351 -654.951825740471</t>
  </si>
  <si>
    <t>-636.28319974252 74.3896625770392 -525.293484137027</t>
  </si>
  <si>
    <t>-612.36159386117 227.796147864599 -510.061091651677</t>
  </si>
  <si>
    <t>-471.975075475006 268.719790520063 -268.823763752211</t>
  </si>
  <si>
    <t>-239.974856117851 263.058141518061 -278.436038212336</t>
  </si>
  <si>
    <t>-636.076582140307 11.7332137539504 -522.421019970564</t>
  </si>
  <si>
    <t>-569.288612165538 153.325019773172 -93.8573053506094</t>
  </si>
  <si>
    <t>-609.765976475395 152.348661797196 319.74066049405</t>
  </si>
  <si>
    <t>-672.116964332292 179.045363268727 777.855561904141</t>
  </si>
  <si>
    <t>-522.598305973265 181.169572620882 837.214522772829</t>
  </si>
  <si>
    <t>-577.834596929772 -56.4705491998322 325.277941486453</t>
  </si>
  <si>
    <t>-648.512268324331 -100.0436519181 780.916725103496</t>
  </si>
  <si>
    <t>-495.448120718923 -119.28778159296 826.5768998599</t>
  </si>
  <si>
    <t>9763-20170724T115537.363986000.bin</t>
  </si>
  <si>
    <t>-564.939795330833 60.7290730981406 -89.8334806793878</t>
  </si>
  <si>
    <t>-584.382978492444 56.9736290819994 -198.761662932729</t>
  </si>
  <si>
    <t>-599.045107143161 53.327042175564 -290.399876907227</t>
  </si>
  <si>
    <t>-612.558675948895 49.8048280805208 -373.122938050137</t>
  </si>
  <si>
    <t>-625.780561234986 46.0648469250564 -455.883619714329</t>
  </si>
  <si>
    <t>-644.793956221958 40.3547573977196 -576.9241541841</t>
  </si>
  <si>
    <t>-638.249228454808 36.2206549755902 -654.900379131821</t>
  </si>
  <si>
    <t>-636.538958595066 74.1872079293096 -525.276672576796</t>
  </si>
  <si>
    <t>-612.598571201106 227.599930653582 -510.159816741854</t>
  </si>
  <si>
    <t>-472.106054828501 268.778864390961 -269.02760401577</t>
  </si>
  <si>
    <t>-240.107064683229 263.00293931076 -278.600391445427</t>
  </si>
  <si>
    <t>-636.363136966177 11.533372278466 -522.348581137977</t>
  </si>
  <si>
    <t>-569.392067061816 153.329286925738 -93.8580098007935</t>
  </si>
  <si>
    <t>-609.813163526909 152.341224426157 319.745301055828</t>
  </si>
  <si>
    <t>-672.130297656358 179.03984637728 777.858438107091</t>
  </si>
  <si>
    <t>-522.608220700834 181.27937132248 837.204449376746</t>
  </si>
  <si>
    <t>-577.876306859444 -56.4274138881976 325.289281120381</t>
  </si>
  <si>
    <t>-648.518083736707 -100.012803903161 780.930546799159</t>
  </si>
  <si>
    <t>-495.438733392988 -119.224122573819 826.553613174648</t>
  </si>
  <si>
    <t>9763-20170724T115537.426701100.bin</t>
  </si>
  <si>
    <t>-565.257159805743 60.7428692785079 -89.8334188249022</t>
  </si>
  <si>
    <t>-584.769239724039 56.9649091594324 -198.748564041522</t>
  </si>
  <si>
    <t>-599.454537458565 53.2670381109049 -290.380928855895</t>
  </si>
  <si>
    <t>-612.975309301602 49.6855692592248 -373.100336869008</t>
  </si>
  <si>
    <t>-626.190926349681 45.8727606323566 -455.858726594832</t>
  </si>
  <si>
    <t>-645.180399022938 40.0414595324919 -576.897137927723</t>
  </si>
  <si>
    <t>-638.617839927718 35.8392371090945 -654.868291008528</t>
  </si>
  <si>
    <t>-636.906843894258 73.9254784021709 -525.286507473822</t>
  </si>
  <si>
    <t>-612.894038980508 227.341960541811 -510.337218426627</t>
  </si>
  <si>
    <t>-472.430848553221 269.028967273444 -269.275275480196</t>
  </si>
  <si>
    <t>-240.428762874473 263.159436465828 -278.715640837806</t>
  </si>
  <si>
    <t>-636.789148277391 11.274855718058 -522.286697961978</t>
  </si>
  <si>
    <t>-569.711519567045 153.325281995972 -93.8712468919596</t>
  </si>
  <si>
    <t>-610.028024943753 152.367079675751 319.742403169714</t>
  </si>
  <si>
    <t>-672.158855059362 179.052080801659 777.869102705004</t>
  </si>
  <si>
    <t>-522.630859821066 181.304862381586 837.199761449664</t>
  </si>
  <si>
    <t>-578.02424446163 -56.3027394071976 325.315965260664</t>
  </si>
  <si>
    <t>-648.548764145066 -100.005923063955 780.959697628864</t>
  </si>
  <si>
    <t>-495.462133229827 -119.371109897725 826.493186730192</t>
  </si>
  <si>
    <t>9763-20170724T115537.460791800.bin</t>
  </si>
  <si>
    <t>-565.403358342128 60.7681251528813 -89.8349137141861</t>
  </si>
  <si>
    <t>-584.924858638502 56.9793902435654 -198.748000549156</t>
  </si>
  <si>
    <t>-599.602068351035 53.2638313448867 -290.380949266582</t>
  </si>
  <si>
    <t>-613.109211495522 49.662758870264 -373.101698925271</t>
  </si>
  <si>
    <t>-626.304908661699 45.8265546265286 -455.862168461064</t>
  </si>
  <si>
    <t>-645.258405989895 39.9569985854357 -576.904446227778</t>
  </si>
  <si>
    <t>-638.663814553589 35.7299325366287 -654.871469226223</t>
  </si>
  <si>
    <t>-636.994591577223 73.8572013585979 -525.30291189966</t>
  </si>
  <si>
    <t>-612.981556968876 227.278485376976 -510.404086740493</t>
  </si>
  <si>
    <t>-472.566421003821 269.16624842242 -269.348908810043</t>
  </si>
  <si>
    <t>-240.55919513784 263.277401532642 -278.64908480339</t>
  </si>
  <si>
    <t>-636.888947179268 11.2078298768315 -522.281452311323</t>
  </si>
  <si>
    <t>-569.874940570417 153.316129404883 -93.8767981512046</t>
  </si>
  <si>
    <t>-610.16133327069 152.406072036763 319.739939254904</t>
  </si>
  <si>
    <t>-672.180108510875 179.024556692023 777.878695778799</t>
  </si>
  <si>
    <t>-522.645665051889 181.251224458162 837.194222968123</t>
  </si>
  <si>
    <t>-578.109914070739 -56.2796534427421 325.3188839144</t>
  </si>
  <si>
    <t>-648.566412941467 -100.004759961758 780.97158768485</t>
  </si>
  <si>
    <t>-495.487774922205 -119.545891880612 826.456746843486</t>
  </si>
  <si>
    <t>9763-20170724T115537.525495900.bin</t>
  </si>
  <si>
    <t>-565.574490585175 60.8404256464455 -89.8559904439941</t>
  </si>
  <si>
    <t>-585.108566093452 57.0333462291408 -198.766112960307</t>
  </si>
  <si>
    <t>-599.791870724192 53.2991404894797 -290.397416046407</t>
  </si>
  <si>
    <t>-613.302623035808 49.6798262422903 -373.116739001845</t>
  </si>
  <si>
    <t>-626.50025521463 45.823735297241 -455.875922358313</t>
  </si>
  <si>
    <t>-645.454648006624 39.9234242861967 -576.91668495171</t>
  </si>
  <si>
    <t>-638.786952289322 35.6578892611994 -654.875304427285</t>
  </si>
  <si>
    <t>-637.192912890008 73.8369450604348 -525.323344864943</t>
  </si>
  <si>
    <t>-613.253467224337 227.274113708171 -510.467665314586</t>
  </si>
  <si>
    <t>-472.799543156286 269.262248476573 -269.452580835868</t>
  </si>
  <si>
    <t>-240.78949853978 263.387575529674 -278.691011130649</t>
  </si>
  <si>
    <t>-637.082270070539 11.1881506586935 -522.286801376768</t>
  </si>
  <si>
    <t>-570.092198273238 153.368073704213 -93.9041967035381</t>
  </si>
  <si>
    <t>-610.292046063969 152.487533145903 319.721014154473</t>
  </si>
  <si>
    <t>-672.190434081923 179.096137218273 777.890367252695</t>
  </si>
  <si>
    <t>-522.646021899798 181.16751613039 837.186263905283</t>
  </si>
  <si>
    <t>-578.209948454931 -56.2358508636396 325.312268640322</t>
  </si>
  <si>
    <t>-648.588799829238 -100.008813488778 780.983686651365</t>
  </si>
  <si>
    <t>-495.490783646793 -119.593989738025 826.384595274028</t>
  </si>
  <si>
    <t>9763-20170724T115537.562577900.bin</t>
  </si>
  <si>
    <t>-565.590775449808 60.8408395477595 -89.8540875219709</t>
  </si>
  <si>
    <t>-585.139164686469 57.0290355047709 -198.761517462915</t>
  </si>
  <si>
    <t>-599.84424361834 53.2960245843788 -290.389400883661</t>
  </si>
  <si>
    <t>-613.378635536157 49.6794836713516 -373.105033168075</t>
  </si>
  <si>
    <t>-626.603742883538 45.8283320343196 -455.86007816219</t>
  </si>
  <si>
    <t>-645.602642917351 39.937306439914 -576.894258449946</t>
  </si>
  <si>
    <t>-638.905066432868 35.6495877338641 -654.849104140423</t>
  </si>
  <si>
    <t>-637.32751501907 73.8467652233749 -525.300431909888</t>
  </si>
  <si>
    <t>-613.405410504986 227.287633057053 -510.419556127911</t>
  </si>
  <si>
    <t>-472.888995315713 269.19352512099 -269.426640126624</t>
  </si>
  <si>
    <t>-240.879431021919 263.3534376864 -278.699986489708</t>
  </si>
  <si>
    <t>-637.204685244292 11.1977097515578 -522.270539129936</t>
  </si>
  <si>
    <t>-570.130905797301 153.37582693708 -93.9034610743114</t>
  </si>
  <si>
    <t>-610.33309651549 152.487181587369 319.721479692007</t>
  </si>
  <si>
    <t>-672.2049987639 179.083557476427 777.892084364057</t>
  </si>
  <si>
    <t>-522.660133444983 181.122326925275 837.187888801997</t>
  </si>
  <si>
    <t>-578.232370673857 -56.2210429870349 325.313484812816</t>
  </si>
  <si>
    <t>-648.591083627056 -99.9739242231647 780.989871418741</t>
  </si>
  <si>
    <t>-495.45012251888 -119.300439586698 826.356707461967</t>
  </si>
  <si>
    <t>9763-20170724T115537.625752400.bin</t>
  </si>
  <si>
    <t>-565.550195297056 60.7701038528778 -89.8520681425227</t>
  </si>
  <si>
    <t>-585.136775836624 56.9668692289733 -198.752874630983</t>
  </si>
  <si>
    <t>-599.845560956733 53.2520091861199 -290.38094947012</t>
  </si>
  <si>
    <t>-613.371662189369 49.6563746024929 -373.098847995128</t>
  </si>
  <si>
    <t>-626.576927543127 45.8301659979923 -455.858127579907</t>
  </si>
  <si>
    <t>-645.533988546721 39.9802369977772 -576.900882143482</t>
  </si>
  <si>
    <t>-638.760503774114 35.6583129554595 -654.84740419374</t>
  </si>
  <si>
    <t>-637.286565069987 73.8721820444891 -525.291364797761</t>
  </si>
  <si>
    <t>-613.437988318562 227.317268122171 -510.352674685222</t>
  </si>
  <si>
    <t>-472.800416474851 269.328224035679 -269.448662776694</t>
  </si>
  <si>
    <t>-240.798249227141 263.440575915123 -278.874660048845</t>
  </si>
  <si>
    <t>-637.145035166248 11.2219896791944 -522.285678656245</t>
  </si>
  <si>
    <t>-570.104435320676 153.294391773243 -93.8930511477544</t>
  </si>
  <si>
    <t>-610.278233888129 152.409179072149 319.734601343875</t>
  </si>
  <si>
    <t>-672.225520518206 179.05324870311 777.890043913321</t>
  </si>
  <si>
    <t>-522.684264072549 181.231521852992 837.189995184812</t>
  </si>
  <si>
    <t>-578.205995979239 -56.2764257840313 325.317886119513</t>
  </si>
  <si>
    <t>-648.583063588026 -99.9997892848144 780.998928009475</t>
  </si>
  <si>
    <t>-495.427276939076 -119.283001406817 826.334227772885</t>
  </si>
  <si>
    <t>9763-20170724T115537.657838800.bin</t>
  </si>
  <si>
    <t>-565.466467502898 60.7569613480787 -89.8491748094239</t>
  </si>
  <si>
    <t>-585.033772679453 56.9644598706877 -198.753849194417</t>
  </si>
  <si>
    <t>-599.714348228436 53.2499100169784 -290.386338390714</t>
  </si>
  <si>
    <t>-613.210311867371 49.6508170607831 -373.109115368501</t>
  </si>
  <si>
    <t>-626.380631779632 45.8178056527597 -455.873726302716</t>
  </si>
  <si>
    <t>-645.281433776935 39.953797827169 -576.924578601612</t>
  </si>
  <si>
    <t>-638.459365059316 35.6264877743713 -654.866435571784</t>
  </si>
  <si>
    <t>-637.056630255363 73.8517770460955 -525.315151253016</t>
  </si>
  <si>
    <t>-613.206684682385 227.299533071392 -510.39062498308</t>
  </si>
  <si>
    <t>-472.63297475039 269.416324071281 -269.46778280703</t>
  </si>
  <si>
    <t>-240.63323583247 263.462626214 -278.913220148085</t>
  </si>
  <si>
    <t>-636.919227535495 11.201924061997 -522.30175395066</t>
  </si>
  <si>
    <t>-570.000702305379 153.270708778544 -93.8880337257076</t>
  </si>
  <si>
    <t>-610.235303911415 152.38655114249 319.733775842945</t>
  </si>
  <si>
    <t>-672.232480285686 179.044174216288 777.888630097757</t>
  </si>
  <si>
    <t>-522.693686643048 181.157506610756 837.197119735689</t>
  </si>
  <si>
    <t>-578.194074813059 -56.3016756972991 325.311793640811</t>
  </si>
  <si>
    <t>-648.572661249155 -100.003158546995 781.001288944663</t>
  </si>
  <si>
    <t>-495.430773466779 -119.402443801753 826.334020365457</t>
  </si>
  <si>
    <t>9763-20170724T115537.724600900.bin</t>
  </si>
  <si>
    <t>-565.253623067569 60.7351974188978 -89.8226031782991</t>
  </si>
  <si>
    <t>-584.804267910663 56.9479813437201 -198.730554549283</t>
  </si>
  <si>
    <t>-599.450857400876 53.2229768514098 -290.368008060141</t>
  </si>
  <si>
    <t>-612.908286007081 49.6082486836501 -373.096270560336</t>
  </si>
  <si>
    <t>-626.032254379192 45.7531870739404 -455.867338809151</t>
  </si>
  <si>
    <t>-644.856742105894 39.8501463823857 -576.928090977054</t>
  </si>
  <si>
    <t>-637.928565531029 35.5311837235549 -654.861152556426</t>
  </si>
  <si>
    <t>-636.662994454702 73.7648425137659 -525.324828701</t>
  </si>
  <si>
    <t>-612.819273549274 227.215815996603 -510.437550905624</t>
  </si>
  <si>
    <t>-472.260527393378 269.801553432452 -269.588557171676</t>
  </si>
  <si>
    <t>-240.265298113691 263.71384636027 -279.058911503206</t>
  </si>
  <si>
    <t>-636.530399502326 11.1159881599922 -522.290516985086</t>
  </si>
  <si>
    <t>-569.801846503855 153.266844337299 -93.8755832774687</t>
  </si>
  <si>
    <t>-610.151017130868 152.350391711914 319.735012276731</t>
  </si>
  <si>
    <t>-672.225617497238 179.078869405982 777.867925596501</t>
  </si>
  <si>
    <t>-522.700600519479 181.117468616205 837.213884382798</t>
  </si>
  <si>
    <t>-578.106460439391 -56.3863194037674 325.320267556871</t>
  </si>
  <si>
    <t>-648.553398348219 -100.017841603834 781.002493925139</t>
  </si>
  <si>
    <t>-495.413256540876 -119.439406311377 826.331553904639</t>
  </si>
  <si>
    <t>9763-20170724T115537.762702600.bin</t>
  </si>
  <si>
    <t>-565.14850284473 60.6662405871034 -89.8187282553764</t>
  </si>
  <si>
    <t>-584.682113061581 56.8793684073148 -198.729726876831</t>
  </si>
  <si>
    <t>-599.320144360824 53.1506473172831 -290.36848833217</t>
  </si>
  <si>
    <t>-612.772144223573 49.5309828574261 -373.097430926131</t>
  </si>
  <si>
    <t>-625.893083008189 45.6694260892823 -455.868446475097</t>
  </si>
  <si>
    <t>-644.715721661239 39.7551460255609 -576.929111057514</t>
  </si>
  <si>
    <t>-637.739613740914 35.4265372899094 -654.857380755742</t>
  </si>
  <si>
    <t>-636.517881825175 73.6744922047187 -525.32952636291</t>
  </si>
  <si>
    <t>-612.703786736346 227.130580019851 -510.473349683869</t>
  </si>
  <si>
    <t>-472.091892880673 269.973803543852 -269.700920314478</t>
  </si>
  <si>
    <t>-240.099925110444 263.790303928757 -279.188859883629</t>
  </si>
  <si>
    <t>-636.395134952664 11.0259954312558 -522.287914933949</t>
  </si>
  <si>
    <t>-569.709414585247 153.19488281539 -93.8643494977466</t>
  </si>
  <si>
    <t>-610.111207498738 152.279517157468 319.741155038771</t>
  </si>
  <si>
    <t>-672.248260916513 179.002058273329 777.865559606328</t>
  </si>
  <si>
    <t>-522.729736981359 181.209110066117 837.221704809759</t>
  </si>
  <si>
    <t>-578.063061814717 -56.4752845673654 325.320006578542</t>
  </si>
  <si>
    <t>-648.544025494961 -100.014506729751 781.00581152814</t>
  </si>
  <si>
    <t>-495.408357861178 -119.482027902036 826.33027741305</t>
  </si>
  <si>
    <t>9763-20170724T115537.826712400.bin</t>
  </si>
  <si>
    <t>-564.951057885925 60.5475525035058 -89.8134442655008</t>
  </si>
  <si>
    <t>-584.46882238532 56.7664698108315 -198.727459351752</t>
  </si>
  <si>
    <t>-599.119584153277 53.0453892649857 -290.364374140438</t>
  </si>
  <si>
    <t>-612.593482077142 49.4339499745736 -373.090186552075</t>
  </si>
  <si>
    <t>-625.746788053015 45.5818469820256 -455.856636463927</t>
  </si>
  <si>
    <t>-644.628220748705 39.6830450393691 -576.908782346989</t>
  </si>
  <si>
    <t>-637.621842802106 35.2966853091973 -654.83107959249</t>
  </si>
  <si>
    <t>-636.403131459784 73.5958773072934 -525.309257709892</t>
  </si>
  <si>
    <t>-612.64982523977 227.059691367278 -510.446380466636</t>
  </si>
  <si>
    <t>-471.96256748952 270.25440918634 -269.780955277941</t>
  </si>
  <si>
    <t>-239.976530341025 263.989874799268 -279.360911052522</t>
  </si>
  <si>
    <t>-636.283260916946 10.9469555127112 -522.274988449837</t>
  </si>
  <si>
    <t>-569.498352186546 153.128804594473 -93.8492184476297</t>
  </si>
  <si>
    <t>-610.006834349263 152.186354364943 319.74570807775</t>
  </si>
  <si>
    <t>-672.249344407207 179.004090260688 777.84152399051</t>
  </si>
  <si>
    <t>-522.746281037499 181.257493027603 837.234940690613</t>
  </si>
  <si>
    <t>-577.984648587946 -56.6692139208608 325.311920923693</t>
  </si>
  <si>
    <t>-648.530329199133 -100.028093477888 781.013293314225</t>
  </si>
  <si>
    <t>-495.383706708524 -119.44461585047 826.322592216453</t>
  </si>
  <si>
    <t>9763-20170724T115537.861806000.bin</t>
  </si>
  <si>
    <t>-564.855670291826 60.5642007965457 -89.8033772949661</t>
  </si>
  <si>
    <t>-584.376620141689 56.788781437627 -198.717052788169</t>
  </si>
  <si>
    <t>-599.028879057411 53.0650946516876 -290.353729457576</t>
  </si>
  <si>
    <t>-612.50375168592 49.4482267641652 -373.079130924272</t>
  </si>
  <si>
    <t>-625.657701256 45.58754774769 -455.844982444215</t>
  </si>
  <si>
    <t>-644.539722836773 39.6729053997551 -576.896232326312</t>
  </si>
  <si>
    <t>-637.517055307281 35.2364235925666 -654.814331926156</t>
  </si>
  <si>
    <t>-636.313232806257 73.5924186218438 -525.301440434301</t>
  </si>
  <si>
    <t>-612.615852143688 227.07087922886 -510.458959176624</t>
  </si>
  <si>
    <t>-471.942597414571 270.403628095944 -269.810098619756</t>
  </si>
  <si>
    <t>-239.956368630401 264.092391756311 -279.35446590609</t>
  </si>
  <si>
    <t>-636.195678121937 10.9439658831952 -522.258671203136</t>
  </si>
  <si>
    <t>-569.370944260277 153.170873045248 -93.8398523690952</t>
  </si>
  <si>
    <t>-609.942407250937 152.206293458085 319.748834773699</t>
  </si>
  <si>
    <t>-672.243256397285 179.039437082582 777.833002952114</t>
  </si>
  <si>
    <t>-522.745593000834 181.223813222494 837.242693627879</t>
  </si>
  <si>
    <t>-577.959357920548 -56.6967525440093 325.309510222773</t>
  </si>
  <si>
    <t>-648.515811260673 -100.025265317019 781.016397687253</t>
  </si>
  <si>
    <t>-495.384642493065 -119.553991578221 826.329662994234</t>
  </si>
  <si>
    <t>9763-20170724T115537.925709700.bin</t>
  </si>
  <si>
    <t>-564.688541064485 60.5977728273813 -89.800201188276</t>
  </si>
  <si>
    <t>-584.207038490779 56.8371311820906 -198.714872947029</t>
  </si>
  <si>
    <t>-598.841879680007 53.1013499972992 -290.35381788255</t>
  </si>
  <si>
    <t>-612.295060633444 49.4637301925939 -373.081792152076</t>
  </si>
  <si>
    <t>-625.421280281332 45.5727335413344 -455.850682670536</t>
  </si>
  <si>
    <t>-644.256421435661 39.6025868734498 -576.906492028598</t>
  </si>
  <si>
    <t>-637.163521567783 35.0488070308299 -654.81135319495</t>
  </si>
  <si>
    <t>-636.04798013639 73.5457097697144 -525.324230492781</t>
  </si>
  <si>
    <t>-612.387483777218 227.036820600472 -510.562874964818</t>
  </si>
  <si>
    <t>-471.878184537525 270.859940154843 -269.907060861641</t>
  </si>
  <si>
    <t>-239.889750228398 264.393520326541 -279.29193586566</t>
  </si>
  <si>
    <t>-635.935493950035 10.8987483132639 -522.2522414454</t>
  </si>
  <si>
    <t>-569.147206749315 153.268162221886 -93.8164455367229</t>
  </si>
  <si>
    <t>-609.802462794066 152.211620496681 319.763791342364</t>
  </si>
  <si>
    <t>-672.250336449031 179.098272832612 777.827942420783</t>
  </si>
  <si>
    <t>-522.757386109262 181.290170324702 837.249162198232</t>
  </si>
  <si>
    <t>-577.89917989635 -56.7745193432204 325.308572825619</t>
  </si>
  <si>
    <t>-648.481702872284 -100.04979993008 781.032398528312</t>
  </si>
  <si>
    <t>-495.354996856355 -119.587641607034 826.356954607051</t>
  </si>
  <si>
    <t>9763-20170724T115537.960803200.bin</t>
  </si>
  <si>
    <t>-564.635987392413 60.6224818553699 -89.7899339051238</t>
  </si>
  <si>
    <t>-584.160252680984 56.8648495944603 -198.703622318074</t>
  </si>
  <si>
    <t>-598.791666786825 53.107696265407 -290.342165263208</t>
  </si>
  <si>
    <t>-612.238568140199 49.441362446817 -373.069902347434</t>
  </si>
  <si>
    <t>-625.355424555711 45.5119554981302 -455.838548903844</t>
  </si>
  <si>
    <t>-644.173565357035 39.4751775638235 -576.893814404843</t>
  </si>
  <si>
    <t>-637.045681954601 34.8514788379632 -654.791348963538</t>
  </si>
  <si>
    <t>-635.969585997542 73.446752450234 -525.329563439346</t>
  </si>
  <si>
    <t>-612.313582739638 226.952007449712 -510.646469962201</t>
  </si>
  <si>
    <t>-471.793536650038 271.032185803076 -270.043735593152</t>
  </si>
  <si>
    <t>-239.804139891137 264.534057273072 -279.383762749841</t>
  </si>
  <si>
    <t>-635.863029218498 10.8014988222778 -522.222098540711</t>
  </si>
  <si>
    <t>-569.062200757792 153.330499022948 -93.8073755268269</t>
  </si>
  <si>
    <t>-609.810472776152 152.209264759714 319.763578924504</t>
  </si>
  <si>
    <t>-672.258952343095 179.116725564954 777.827731918999</t>
  </si>
  <si>
    <t>-522.764392701349 181.287531950118 837.24566854589</t>
  </si>
  <si>
    <t>-577.921928661064 -56.8135838663106 325.310504646717</t>
  </si>
  <si>
    <t>-648.469224208207 -100.026331086944 781.044165134085</t>
  </si>
  <si>
    <t>-495.336007632685 -119.524499439818 826.363699406871</t>
  </si>
  <si>
    <t>9763-20170724T115538.025709100.bin</t>
  </si>
  <si>
    <t>-564.630106624807 60.7597054508669 -89.7854864583879</t>
  </si>
  <si>
    <t>-584.141980843723 57.0141167876557 -198.701795664756</t>
  </si>
  <si>
    <t>-598.757183297735 53.2082217254247 -290.341059184724</t>
  </si>
  <si>
    <t>-612.187529911403 49.4743621855368 -373.068459367756</t>
  </si>
  <si>
    <t>-625.28614769239 45.4537996272391 -455.835517917791</t>
  </si>
  <si>
    <t>-644.07593677573 39.2577575642215 -576.887030841344</t>
  </si>
  <si>
    <t>-636.887634684476 34.4944646491545 -654.770684117351</t>
  </si>
  <si>
    <t>-635.880395874065 73.2971708537402 -525.36617141892</t>
  </si>
  <si>
    <t>-612.336398142456 226.829410276077 -510.912700229367</t>
  </si>
  <si>
    <t>-471.671928501629 271.733218120878 -270.546858937689</t>
  </si>
  <si>
    <t>-239.689772157792 264.981531946464 -279.886552253016</t>
  </si>
  <si>
    <t>-635.78181807898 10.6560248294447 -522.175200440087</t>
  </si>
  <si>
    <t>-569.034746976743 153.505741728975 -93.7936137206588</t>
  </si>
  <si>
    <t>-609.798767823228 152.306192739008 319.77558761895</t>
  </si>
  <si>
    <t>-672.290093918735 179.132700966183 777.836158046339</t>
  </si>
  <si>
    <t>-522.789523915831 181.202387217574 837.242546750824</t>
  </si>
  <si>
    <t>-577.904225362461 -56.6990725944831 325.322424312372</t>
  </si>
  <si>
    <t>-648.453813739974 -99.9646487219686 781.05914221429</t>
  </si>
  <si>
    <t>-495.267411534177 -119.131560306085 826.340228767653</t>
  </si>
  <si>
    <t>9763-20170724T115538.057796900.bin</t>
  </si>
  <si>
    <t>-564.649277002919 60.8720942687062 -89.7666061880149</t>
  </si>
  <si>
    <t>-584.151887339224 57.1213056396905 -198.684272875772</t>
  </si>
  <si>
    <t>-598.748637577547 53.2984252391109 -290.325843592009</t>
  </si>
  <si>
    <t>-612.158137578109 49.5439451727077 -373.05554589453</t>
  </si>
  <si>
    <t>-625.23185825209 45.4973473644991 -455.825404637642</t>
  </si>
  <si>
    <t>-643.980695610665 39.2576245119978 -576.881069787451</t>
  </si>
  <si>
    <t>-636.759644578971 34.4480741413968 -654.75875126929</t>
  </si>
  <si>
    <t>-635.798742327472 73.3155946413951 -525.370329629548</t>
  </si>
  <si>
    <t>-612.296978674864 226.870182010969 -511.035543593903</t>
  </si>
  <si>
    <t>-471.55015414569 272.334592605238 -270.823352795799</t>
  </si>
  <si>
    <t>-239.572989521721 265.499175679808 -280.225705831176</t>
  </si>
  <si>
    <t>-635.708983528141 10.6755912307633 -522.155375242039</t>
  </si>
  <si>
    <t>-569.059604691396 153.587791125427 -93.7799642169986</t>
  </si>
  <si>
    <t>-609.84780362942 152.353903477669 319.786766087994</t>
  </si>
  <si>
    <t>-672.330977975719 179.055179956361 777.856393549583</t>
  </si>
  <si>
    <t>-522.8209945744 181.10537038071 837.239728206103</t>
  </si>
  <si>
    <t>-577.91041330822 -56.6081233879329 325.340274702154</t>
  </si>
  <si>
    <t>-648.451875600051 -100.00013545179 781.065820768486</t>
  </si>
  <si>
    <t>-495.28491481575 -119.354206282669 826.333095362446</t>
  </si>
  <si>
    <t>9763-20170724T115538.129668400.bin</t>
  </si>
  <si>
    <t>-564.808493491778 61.1606361522058 -89.7374192422091</t>
  </si>
  <si>
    <t>-584.279558078581 57.3877606825467 -198.660047549847</t>
  </si>
  <si>
    <t>-598.808593744588 53.5340083502697 -290.310928142095</t>
  </si>
  <si>
    <t>-612.140491734252 49.7463106233374 -373.05181690288</t>
  </si>
  <si>
    <t>-625.120048349082 45.661295727494 -455.834535705365</t>
  </si>
  <si>
    <t>-643.713337281539 39.3590434893545 -576.910848441157</t>
  </si>
  <si>
    <t>-636.414978339804 34.4607771083822 -654.775869934294</t>
  </si>
  <si>
    <t>-635.602963220815 73.4435120681271 -525.406562332263</t>
  </si>
  <si>
    <t>-612.339674380928 227.048107414309 -511.228875678396</t>
  </si>
  <si>
    <t>-471.352685788564 274.045301755744 -271.452864241993</t>
  </si>
  <si>
    <t>-239.393221528465 267.177008331697 -281.259315461465</t>
  </si>
  <si>
    <t>-635.506619498661 10.8051808005025 -522.160844844602</t>
  </si>
  <si>
    <t>-569.253599463242 153.813469996152 -93.7736243598395</t>
  </si>
  <si>
    <t>-610.04440870137 152.508002588328 319.792562042704</t>
  </si>
  <si>
    <t>-672.379148917278 179.062552215583 777.886769723648</t>
  </si>
  <si>
    <t>-522.853284894246 181.182734538372 837.22765657758</t>
  </si>
  <si>
    <t>-577.981979119617 -56.3675368021848 325.367630701272</t>
  </si>
  <si>
    <t>-648.448667572819 -99.9545136332667 781.075690519363</t>
  </si>
  <si>
    <t>-495.258265225286 -119.240587141726 826.292652118706</t>
  </si>
  <si>
    <t>9763-20170724T115538.158747000.bin</t>
  </si>
  <si>
    <t>-564.901314801748 61.2935969373391 -89.733572995133</t>
  </si>
  <si>
    <t>-584.351363458141 57.5098161666251 -198.659662867396</t>
  </si>
  <si>
    <t>-598.834639978291 53.6503436629118 -290.317500907729</t>
  </si>
  <si>
    <t>-612.114030301799 49.8583295694893 -373.066594645865</t>
  </si>
  <si>
    <t>-625.029875915639 45.7698383683344 -455.859152217314</t>
  </si>
  <si>
    <t>-643.517601969678 39.4633929900847 -576.951391514883</t>
  </si>
  <si>
    <t>-636.171695738548 34.5446773941308 -654.810610891625</t>
  </si>
  <si>
    <t>-635.449259411189 73.5496325039655 -525.441525794188</t>
  </si>
  <si>
    <t>-612.318399839508 227.178883815876 -511.389325668539</t>
  </si>
  <si>
    <t>-471.213787789483 275.368520159935 -271.919487135196</t>
  </si>
  <si>
    <t>-239.266570349722 268.368460276237 -281.920715912664</t>
  </si>
  <si>
    <t>-635.361463749504 10.9115073444179 -522.192826662172</t>
  </si>
  <si>
    <t>-569.375668203917 153.931244611186 -93.7771824506102</t>
  </si>
  <si>
    <t>-610.143825003771 152.595993355218 319.79119986047</t>
  </si>
  <si>
    <t>-672.396996928631 179.08646320426 777.902960479368</t>
  </si>
  <si>
    <t>-522.862967585747 181.245751621777 837.221880462617</t>
  </si>
  <si>
    <t>-578.012250692192 -56.264332808621 325.372400267049</t>
  </si>
  <si>
    <t>-648.445664318418 -99.9390611876995 781.080469776096</t>
  </si>
  <si>
    <t>-495.240977502348 -119.172438874837 826.271411950267</t>
  </si>
  <si>
    <t>9763-20170724T115538.228976000.bin</t>
  </si>
  <si>
    <t>-565.068673619601 61.4065321317678 -89.722234832299</t>
  </si>
  <si>
    <t>-584.488328399089 57.6096681021511 -198.653160419549</t>
  </si>
  <si>
    <t>-598.899827883175 53.7235668233166 -290.321286960204</t>
  </si>
  <si>
    <t>-612.096037032333 49.9011198576002 -373.082318813856</t>
  </si>
  <si>
    <t>-624.910406946922 45.7750754543765 -455.888746107805</t>
  </si>
  <si>
    <t>-643.22981235362 39.4059631612411 -577.003419919767</t>
  </si>
  <si>
    <t>-635.790720277311 34.4443651942463 -654.85104211662</t>
  </si>
  <si>
    <t>-635.212985419842 73.5187888238413 -525.503032902853</t>
  </si>
  <si>
    <t>-612.450645308968 227.244396977319 -511.788890923603</t>
  </si>
  <si>
    <t>-470.855248142709 278.394132399729 -273.224389963949</t>
  </si>
  <si>
    <t>-238.958005043779 270.761844011173 -283.898761970049</t>
  </si>
  <si>
    <t>-635.169855221924 10.8825816956012 -522.215554618766</t>
  </si>
  <si>
    <t>-569.555156995715 154.033371832885 -93.776763800082</t>
  </si>
  <si>
    <t>-610.287721802045 152.684297910578 319.79498862089</t>
  </si>
  <si>
    <t>-672.418815568918 179.125011876455 777.91822246258</t>
  </si>
  <si>
    <t>-522.877186454217 181.046472345271 837.226129157724</t>
  </si>
  <si>
    <t>-578.095232360114 -56.1919034452692 325.385261082899</t>
  </si>
  <si>
    <t>-648.433523905514 -99.958414378367 781.09569902305</t>
  </si>
  <si>
    <t>-495.23968056448 -119.338355795637 826.260759109065</t>
  </si>
  <si>
    <t>9763-20170724T115538.257030500.bin</t>
  </si>
  <si>
    <t>-565.145306893094 61.3150143965852 -89.730396310118</t>
  </si>
  <si>
    <t>-584.553392591468 57.5364152341101 -198.664126933956</t>
  </si>
  <si>
    <t>-598.932843969976 53.6371375668466 -290.336717084893</t>
  </si>
  <si>
    <t>-612.091333611908 49.7916753792247 -373.102659258666</t>
  </si>
  <si>
    <t>-624.859336561193 45.631005322871 -455.914504324752</t>
  </si>
  <si>
    <t>-643.101577637761 39.1984719329187 -577.03741270798</t>
  </si>
  <si>
    <t>-635.615689008271 34.2092757944747 -654.878787671743</t>
  </si>
  <si>
    <t>-635.10268905659 73.3380979446422 -525.552081418754</t>
  </si>
  <si>
    <t>-612.577332405054 227.11851241571 -512.093563903888</t>
  </si>
  <si>
    <t>-470.707189247056 280.344187967671 -274.14709851705</t>
  </si>
  <si>
    <t>-238.852423043241 272.003628303886 -285.207726353283</t>
  </si>
  <si>
    <t>-635.091408040918 10.7039169859277 -522.227496266709</t>
  </si>
  <si>
    <t>-569.606239450723 153.942688072696 -93.7748421416702</t>
  </si>
  <si>
    <t>-610.376552122694 152.596731943941 319.79332701526</t>
  </si>
  <si>
    <t>-672.450002698343 179.047399264303 777.922863995143</t>
  </si>
  <si>
    <t>-522.907739239522 181.161700129182 837.222715246975</t>
  </si>
  <si>
    <t>-578.196097125978 -56.308220368054 325.370182306933</t>
  </si>
  <si>
    <t>-648.426995068618 -99.9779348558418 781.106103736052</t>
  </si>
  <si>
    <t>-495.247797663933 -119.480751651264 826.268054554777</t>
  </si>
  <si>
    <t>9763-20170724T115538.331008600.bin</t>
  </si>
  <si>
    <t>-565.253066469044 61.0933411043688 -89.7466330706828</t>
  </si>
  <si>
    <t>-584.656765335505 57.3444591855293 -198.682097712862</t>
  </si>
  <si>
    <t>-599.020796938907 53.4345819024777 -290.356556264016</t>
  </si>
  <si>
    <t>-612.161055163613 49.5657149619781 -373.124519025589</t>
  </si>
  <si>
    <t>-624.9065438913 45.3676615531435 -455.937826539351</t>
  </si>
  <si>
    <t>-643.111408761751 38.8646920537485 -577.062642881084</t>
  </si>
  <si>
    <t>-635.523543520651 33.8088393336734 -654.889948194347</t>
  </si>
  <si>
    <t>-635.088999484179 73.034008397578 -525.600606516039</t>
  </si>
  <si>
    <t>-612.96701599376 226.902820332715 -512.631461415637</t>
  </si>
  <si>
    <t>-470.346138736769 285.30544597184 -276.354121851251</t>
  </si>
  <si>
    <t>-238.604365156055 275.193175931695 -288.271690663958</t>
  </si>
  <si>
    <t>-635.157530810535 10.402258768778 -522.227718304857</t>
  </si>
  <si>
    <t>-569.643744227015 153.796066913652 -93.783208941772</t>
  </si>
  <si>
    <t>-610.416009814026 152.399351488197 319.784495974415</t>
  </si>
  <si>
    <t>-672.458816409891 179.103179245595 777.917755368495</t>
  </si>
  <si>
    <t>-522.921791585536 181.081733641958 837.235484646075</t>
  </si>
  <si>
    <t>-578.258873639377 -56.5032233267434 325.352700094323</t>
  </si>
  <si>
    <t>-648.390795768134 -99.9888553887292 781.128533674319</t>
  </si>
  <si>
    <t>-495.195412673668 -119.340999559108 826.300390779356</t>
  </si>
  <si>
    <t>9763-20170724T115538.359082200.bin</t>
  </si>
  <si>
    <t>-565.318836019996 60.9561426965938 -89.7531426292352</t>
  </si>
  <si>
    <t>-584.753497306012 57.2197531577756 -198.683615084322</t>
  </si>
  <si>
    <t>-599.121082710705 53.3056009058373 -290.3573563708</t>
  </si>
  <si>
    <t>-612.255675636689 49.4269054159586 -373.125521517701</t>
  </si>
  <si>
    <t>-624.98660127366 45.2129118555492 -455.94041494159</t>
  </si>
  <si>
    <t>-643.160496018358 38.6798149402075 -577.068265965083</t>
  </si>
  <si>
    <t>-635.515995029049 33.5875392772268 -654.887497520435</t>
  </si>
  <si>
    <t>-635.145544648621 72.8617766128079 -525.613486391</t>
  </si>
  <si>
    <t>-613.325010108928 226.814623524675 -512.958051112575</t>
  </si>
  <si>
    <t>-470.232775938673 288.796074660866 -277.880513944953</t>
  </si>
  <si>
    <t>-238.567158249178 277.332188410951 -290.052606002214</t>
  </si>
  <si>
    <t>-635.226364105213 10.2311999577485 -522.223214255886</t>
  </si>
  <si>
    <t>-569.693431584684 153.641379827249 -93.7716485221102</t>
  </si>
  <si>
    <t>-610.429660418829 152.293505021056 319.799836112526</t>
  </si>
  <si>
    <t>-672.490518917277 178.992720295075 777.914587716846</t>
  </si>
  <si>
    <t>-522.957890093982 181.084119187178 837.239497947636</t>
  </si>
  <si>
    <t>-578.341651054261 -56.593304027758 325.344718226855</t>
  </si>
  <si>
    <t>-648.370042654058 -100.003207892599 781.140919180151</t>
  </si>
  <si>
    <t>-495.164307228578 -119.254341868546 826.320834245118</t>
  </si>
  <si>
    <t>9763-20170724T115538.423928800.bin</t>
  </si>
  <si>
    <t>-565.62583780531 60.9008051543537 -89.7929913073107</t>
  </si>
  <si>
    <t>-585.103883917621 57.199859207687 -198.716826168534</t>
  </si>
  <si>
    <t>-599.426085323828 53.2605162762743 -290.396669933002</t>
  </si>
  <si>
    <t>-612.487109995827 49.3369845269553 -373.174497322654</t>
  </si>
  <si>
    <t>-625.11205547772 45.0553703533399 -456.002072948281</t>
  </si>
  <si>
    <t>-643.095624109568 38.3981311241282 -577.151504480436</t>
  </si>
  <si>
    <t>-635.287776254016 33.2336795748274 -654.949879032198</t>
  </si>
  <si>
    <t>-635.159534761179 72.6328796961957 -525.719449786027</t>
  </si>
  <si>
    <t>-613.955538800427 226.72358760927 -513.731150733587</t>
  </si>
  <si>
    <t>-469.954528071295 297.094321212152 -281.588295889079</t>
  </si>
  <si>
    <t>-238.487144075316 282.364469421837 -294.014250638643</t>
  </si>
  <si>
    <t>-635.249632382782 10.0057480233988 -522.264792440014</t>
  </si>
  <si>
    <t>-569.935016444906 153.713395125483 -93.7981371854198</t>
  </si>
  <si>
    <t>-610.509458287238 152.2791042205 319.788925169784</t>
  </si>
  <si>
    <t>-672.491665742956 179.071336646421 777.913487496157</t>
  </si>
  <si>
    <t>-522.960160649965 181.027192870532 837.245766412065</t>
  </si>
  <si>
    <t>-578.565806396378 -56.6810263229982 325.310890319095</t>
  </si>
  <si>
    <t>-648.325621122175 -100.010744706429 781.161963578353</t>
  </si>
  <si>
    <t>-495.124590569107 -119.243622974778 826.365560160933</t>
  </si>
  <si>
    <t>9763-20170724T115538.462028700.bin</t>
  </si>
  <si>
    <t>-565.857585229989 60.9339793567328 -89.8239460362821</t>
  </si>
  <si>
    <t>-585.317392667455 57.2294498198166 -198.751018704149</t>
  </si>
  <si>
    <t>-599.562316736613 53.248108519211 -290.440967957398</t>
  </si>
  <si>
    <t>-612.528987835777 49.2707165615755 -373.231040665551</t>
  </si>
  <si>
    <t>-625.035150511181 44.918794765855 -456.072902065054</t>
  </si>
  <si>
    <t>-642.818256338081 38.1408677404179 -577.245330088674</t>
  </si>
  <si>
    <t>-634.891311794021 32.9368230335251 -655.028938987161</t>
  </si>
  <si>
    <t>-634.95792214965 72.4267286074344 -525.835823592267</t>
  </si>
  <si>
    <t>-613.947285825206 226.576983793612 -514.223060427699</t>
  </si>
  <si>
    <t>-469.643621703319 301.368334423337 -283.655830554394</t>
  </si>
  <si>
    <t>-238.276897285441 284.961661001088 -295.854183537749</t>
  </si>
  <si>
    <t>-635.072445796473 9.80320833756946 -522.316011431965</t>
  </si>
  <si>
    <t>-570.139486856395 153.765933151425 -93.8208043523165</t>
  </si>
  <si>
    <t>-610.677134176984 152.319764453684 319.769844067707</t>
  </si>
  <si>
    <t>-672.50210367733 179.12231973207 777.925131182684</t>
  </si>
  <si>
    <t>-522.964899924532 181.029571250101 837.244652140981</t>
  </si>
  <si>
    <t>-578.700914514761 -56.6703643052538 325.295068975756</t>
  </si>
  <si>
    <t>-648.30840810387 -99.9851350939862 781.172924496332</t>
  </si>
  <si>
    <t>-495.097287348299 -119.13641790001 826.376998198199</t>
  </si>
  <si>
    <t>9763-20170724T115538.530909300.bin</t>
  </si>
  <si>
    <t>-566.252049980166 61.074805965749 -89.8132338051677</t>
  </si>
  <si>
    <t>-585.625145673078 57.349278477416 -198.754919724667</t>
  </si>
  <si>
    <t>-599.709284391751 53.2172186751197 -290.463302301888</t>
  </si>
  <si>
    <t>-612.496602155355 49.049758735606 -373.271740900146</t>
  </si>
  <si>
    <t>-624.789816533451 44.4530205758094 -456.132294276846</t>
  </si>
  <si>
    <t>-642.225430632828 37.2564760538153 -577.331081377921</t>
  </si>
  <si>
    <t>-634.061665085378 31.8904476357859 -655.079179951611</t>
  </si>
  <si>
    <t>-634.479086231107 71.7194078654497 -526.022836125465</t>
  </si>
  <si>
    <t>-613.847479600685 225.991049099501 -515.37455331136</t>
  </si>
  <si>
    <t>-469.124507225758 309.46077774638 -288.071623607577</t>
  </si>
  <si>
    <t>-237.974844767042 289.736235600446 -299.442688128966</t>
  </si>
  <si>
    <t>-634.670537642313 9.10922236408874 -522.277558653369</t>
  </si>
  <si>
    <t>-570.602716994591 153.875958568204 -93.8365052036002</t>
  </si>
  <si>
    <t>-611.05513233802 152.383913882232 319.762303789039</t>
  </si>
  <si>
    <t>-672.570321686594 179.050049299577 777.963337167636</t>
  </si>
  <si>
    <t>-523.017389958318 181.08434001748 837.239040188476</t>
  </si>
  <si>
    <t>-578.858379397379 -56.565109841775 325.293969717087</t>
  </si>
  <si>
    <t>-648.27795770161 -100.003437941458 781.194284632664</t>
  </si>
  <si>
    <t>-495.101135486555 -119.413732714994 826.404104418874</t>
  </si>
  <si>
    <t>9763-20170724T115538.560989300.bin</t>
  </si>
  <si>
    <t>-566.394161328629 61.2322158019163 -89.8064904704703</t>
  </si>
  <si>
    <t>-585.726732395239 57.4934796619209 -198.754890301814</t>
  </si>
  <si>
    <t>-599.747646213804 53.2762198200405 -290.46902252615</t>
  </si>
  <si>
    <t>-612.466964157765 49.0015469660075 -373.282473692743</t>
  </si>
  <si>
    <t>-624.681571427435 44.2671257972561 -456.146933353576</t>
  </si>
  <si>
    <t>-641.991037008197 36.8355879558189 -577.349645481125</t>
  </si>
  <si>
    <t>-633.707336039191 31.3409457775631 -655.076069454526</t>
  </si>
  <si>
    <t>-634.275712258828 71.3975908213372 -526.103336722896</t>
  </si>
  <si>
    <t>-613.738641951901 225.70464308145 -515.924356491293</t>
  </si>
  <si>
    <t>-468.839184503233 313.38717717473 -290.326245601468</t>
  </si>
  <si>
    <t>-237.820988077205 291.910849668391 -301.183830308782</t>
  </si>
  <si>
    <t>-634.515872058562 8.79537875700976 -522.230583133343</t>
  </si>
  <si>
    <t>-570.788509487801 154.032898917097 -93.8477119751077</t>
  </si>
  <si>
    <t>-611.208062266926 152.470519936164 319.754109356538</t>
  </si>
  <si>
    <t>-672.591052486226 179.045912882295 777.979786447906</t>
  </si>
  <si>
    <t>-523.03280384157 181.058585151557 837.242851597464</t>
  </si>
  <si>
    <t>-578.92492005155 -56.4474248231063 325.301241455747</t>
  </si>
  <si>
    <t>-648.265145500467 -99.9967586607766 781.202119659251</t>
  </si>
  <si>
    <t>-495.072493157303 -119.299543625167 826.404344137505</t>
  </si>
  <si>
    <t>9763-20170724T115538.626879700.bin</t>
  </si>
  <si>
    <t>-566.593875023256 61.4925695325401 -89.8219957008528</t>
  </si>
  <si>
    <t>-585.863143745374 57.7253702661289 -198.780831849873</t>
  </si>
  <si>
    <t>-599.821969822004 53.33490307528 -290.496081910517</t>
  </si>
  <si>
    <t>-612.483019323011 48.8445921792345 -373.30716018884</t>
  </si>
  <si>
    <t>-624.637929954753 43.8345639022316 -456.164167454151</t>
  </si>
  <si>
    <t>-641.859460686055 35.9338813827419 -577.34982452474</t>
  </si>
  <si>
    <t>-633.376248624193 30.106522416253 -655.030379255343</t>
  </si>
  <si>
    <t>-634.118847537204 70.6931316274208 -526.240925938687</t>
  </si>
  <si>
    <t>-613.64571532609 225.072202923503 -516.995666836287</t>
  </si>
  <si>
    <t>-468.333468408339 320.678312316449 -294.909068136469</t>
  </si>
  <si>
    <t>-237.605096498827 295.872587519162 -304.789434324675</t>
  </si>
  <si>
    <t>-634.486797796529 8.10797298093621 -522.108398179744</t>
  </si>
  <si>
    <t>-570.98143321632 154.300575652811 -93.8733466365679</t>
  </si>
  <si>
    <t>-611.338167303112 152.670709072426 319.73428059572</t>
  </si>
  <si>
    <t>-672.614374246842 179.094207936761 777.995244839303</t>
  </si>
  <si>
    <t>-523.051070103578 180.98436353277 837.24956857447</t>
  </si>
  <si>
    <t>-579.072347697683 -56.2895484853625 325.320255101459</t>
  </si>
  <si>
    <t>-648.224210614594 -99.9385595265521 781.230982170769</t>
  </si>
  <si>
    <t>-495.034676111144 -119.224397541115 826.451019056622</t>
  </si>
  <si>
    <t>9763-20170724T115538.658967900.bin</t>
  </si>
  <si>
    <t>-566.693824281285 61.6137015195695 -89.8122967381496</t>
  </si>
  <si>
    <t>-585.947078469709 57.8427075809511 -198.773676918041</t>
  </si>
  <si>
    <t>-599.890910344393 53.3601451166128 -290.486958302211</t>
  </si>
  <si>
    <t>-612.538480032356 48.7521675214218 -373.293558015284</t>
  </si>
  <si>
    <t>-624.680594171295 43.5888664544311 -456.143116535542</t>
  </si>
  <si>
    <t>-641.884471731134 35.4252468607217 -577.313685809768</t>
  </si>
  <si>
    <t>-633.310505696405 29.4130178364439 -654.970295108837</t>
  </si>
  <si>
    <t>-634.108434720439 70.2946489695325 -526.285199476628</t>
  </si>
  <si>
    <t>-613.624762040436 224.698066984993 -517.51814264823</t>
  </si>
  <si>
    <t>-468.222098636172 324.11922385542 -297.17276198938</t>
  </si>
  <si>
    <t>-237.64750734484 297.769526973116 -306.637899128164</t>
  </si>
  <si>
    <t>-634.562724276346 7.7199760230601 -522.00488175215</t>
  </si>
  <si>
    <t>-571.02768958562 154.451374953279 -93.8732734976151</t>
  </si>
  <si>
    <t>-611.341857751245 152.746556498085 319.738178279507</t>
  </si>
  <si>
    <t>-672.632964355246 179.081878641615 778.002976463356</t>
  </si>
  <si>
    <t>-523.0688328411 181.012800767367 837.253807646015</t>
  </si>
  <si>
    <t>-579.130980199429 -56.2108104225656 325.347628095031</t>
  </si>
  <si>
    <t>-648.212907725502 -99.9570900361857 781.255452913244</t>
  </si>
  <si>
    <t>-495.051949314963 -119.458860269984 826.479602439162</t>
  </si>
  <si>
    <t>9763-20170724T115538.729723000.bin</t>
  </si>
  <si>
    <t>-566.854862651826 61.8174610753097 -89.8014417518151</t>
  </si>
  <si>
    <t>-586.087230995587 58.0148736665428 -198.765407363505</t>
  </si>
  <si>
    <t>-600.011659132467 53.3543753187864 -290.472579331858</t>
  </si>
  <si>
    <t>-612.642681582712 48.5268997443029 -373.269389389169</t>
  </si>
  <si>
    <t>-624.769968077804 43.0836892574366 -456.103224868583</t>
  </si>
  <si>
    <t>-641.955046386046 34.4444073379452 -577.243412264624</t>
  </si>
  <si>
    <t>-633.242839577778 28.1262377315984 -654.860362463385</t>
  </si>
  <si>
    <t>-634.068126258515 69.5116293851563 -526.367681269646</t>
  </si>
  <si>
    <t>-613.254825696638 223.923835337552 -518.544110507092</t>
  </si>
  <si>
    <t>-467.969716057933 330.079930539782 -301.284420413886</t>
  </si>
  <si>
    <t>-237.647682857361 301.27817433107 -309.695725687096</t>
  </si>
  <si>
    <t>-634.760608611034 6.95897809164467 -521.808458104132</t>
  </si>
  <si>
    <t>-570.996076755389 154.693627887018 -93.8967254224559</t>
  </si>
  <si>
    <t>-611.383711836507 152.859061687627 319.707020971805</t>
  </si>
  <si>
    <t>-672.658085011219 179.156949850754 778.004129212539</t>
  </si>
  <si>
    <t>-523.087321669332 181.128584734029 837.236894774465</t>
  </si>
  <si>
    <t>-579.338833282138 -56.0604612653765 325.402903272472</t>
  </si>
  <si>
    <t>-648.179122703753 -99.9132745405975 781.326427443815</t>
  </si>
  <si>
    <t>-494.98614939044 -119.166949236729 826.548441703317</t>
  </si>
  <si>
    <t>9763-20170724T115538.761807600.bin</t>
  </si>
  <si>
    <t>-566.898723851129 61.8713214034137 -89.8185737067927</t>
  </si>
  <si>
    <t>-586.127909018435 58.0684109581662 -198.783131385158</t>
  </si>
  <si>
    <t>-600.052296251403 53.318788928286 -290.485807635151</t>
  </si>
  <si>
    <t>-612.685202728202 48.376616774575 -373.275475522906</t>
  </si>
  <si>
    <t>-624.816814551052 42.7835137210191 -456.098658511642</t>
  </si>
  <si>
    <t>-642.011375672465 33.8866680075635 -577.218909108159</t>
  </si>
  <si>
    <t>-633.264072653509 27.4312045112408 -654.820538443687</t>
  </si>
  <si>
    <t>-634.055872880058 69.0606095517373 -526.42771975415</t>
  </si>
  <si>
    <t>-613.077941434407 223.471424263236 -519.112032202531</t>
  </si>
  <si>
    <t>-467.940357883219 332.426375706186 -303.143311901536</t>
  </si>
  <si>
    <t>-237.727141675947 302.540293056661 -310.70780735457</t>
  </si>
  <si>
    <t>-634.877173300382 6.52066117657228 -521.717077175914</t>
  </si>
  <si>
    <t>-570.935559806862 154.780126338978 -93.9316802140165</t>
  </si>
  <si>
    <t>-611.37096445463 152.880530483253 319.667136746932</t>
  </si>
  <si>
    <t>-672.676088248513 179.166068999447 777.967079510191</t>
  </si>
  <si>
    <t>-523.104466565028 181.140811712535 837.197622040161</t>
  </si>
  <si>
    <t>-579.395767839723 -55.9873614296796 325.40701797587</t>
  </si>
  <si>
    <t>-648.158198081147 -99.8887379106948 781.33802558629</t>
  </si>
  <si>
    <t>-494.968390445269 -119.15349489044 826.566048975022</t>
  </si>
  <si>
    <t>9763-20170724T115538.826582000.bin</t>
  </si>
  <si>
    <t>-567.090038359466 61.9643207576387 -89.9101323235244</t>
  </si>
  <si>
    <t>-586.349931516163 58.1754772011725 -198.869867323608</t>
  </si>
  <si>
    <t>-600.277334463099 53.2865596590284 -290.564639164721</t>
  </si>
  <si>
    <t>-612.905348948512 48.1603138896542 -373.343875289936</t>
  </si>
  <si>
    <t>-625.025267213969 42.3229686841862 -456.151974260591</t>
  </si>
  <si>
    <t>-642.196198470743 33.0027114045108 -577.243653872257</t>
  </si>
  <si>
    <t>-633.409366446175 26.3237289833046 -654.822025417349</t>
  </si>
  <si>
    <t>-634.138505121197 68.3510854138742 -526.589805619127</t>
  </si>
  <si>
    <t>-612.78181093651 222.754920250862 -520.125834056845</t>
  </si>
  <si>
    <t>-467.886707276919 335.925510418845 -306.171753039405</t>
  </si>
  <si>
    <t>-237.868339152728 304.334020219294 -312.656720458205</t>
  </si>
  <si>
    <t>-635.18495568467 5.8337686835257 -521.629562987237</t>
  </si>
  <si>
    <t>-570.93129678622 154.994533023706 -94.0506307017504</t>
  </si>
  <si>
    <t>-611.313416244102 153.020932542026 319.553018205119</t>
  </si>
  <si>
    <t>-672.683973636269 179.240702479683 777.85269114074</t>
  </si>
  <si>
    <t>-523.113965216419 180.901858068198 837.096915090461</t>
  </si>
  <si>
    <t>-579.636919904339 -55.9033482861914 325.359328317571</t>
  </si>
  <si>
    <t>-648.1247576536 -99.8414954057018 781.332397273553</t>
  </si>
  <si>
    <t>-494.899266580753 -118.826397068263 826.557927878991</t>
  </si>
  <si>
    <t>9763-20170724T115538.859670200.bin</t>
  </si>
  <si>
    <t>-567.229335847603 61.9253782775754 -89.9671764586082</t>
  </si>
  <si>
    <t>-586.508024240266 58.1379991787544 -198.923419199985</t>
  </si>
  <si>
    <t>-600.462763322776 53.1930805939048 -290.6112258558</t>
  </si>
  <si>
    <t>-613.120589162005 47.9945762576608 -373.381302887217</t>
  </si>
  <si>
    <t>-625.275781329942 42.0626097704596 -456.17755106736</t>
  </si>
  <si>
    <t>-642.504701749428 32.5792334241678 -577.248316196473</t>
  </si>
  <si>
    <t>-633.7462445721 25.7970180397915 -654.820854667789</t>
  </si>
  <si>
    <t>-634.383844294176 67.9946085070085 -526.651337320633</t>
  </si>
  <si>
    <t>-612.863670201149 222.387091235023 -520.49312231004</t>
  </si>
  <si>
    <t>-467.96105886662 336.775766144037 -307.19277458047</t>
  </si>
  <si>
    <t>-238.017393336808 304.579510084179 -313.34465192252</t>
  </si>
  <si>
    <t>-635.505748504577 5.48631630578143 -521.59557641692</t>
  </si>
  <si>
    <t>-570.999749960486 154.953100850774 -94.1165040446405</t>
  </si>
  <si>
    <t>-611.36165378923 152.95742944249 319.489054357752</t>
  </si>
  <si>
    <t>-672.72377060685 179.159699645858 777.796556978904</t>
  </si>
  <si>
    <t>-523.153887188479 180.982079990086 837.036282447712</t>
  </si>
  <si>
    <t>-579.806962145949 -55.9240717343969 325.320019075853</t>
  </si>
  <si>
    <t>-648.105384179692 -99.8430739980615 781.326863970615</t>
  </si>
  <si>
    <t>-494.923663679318 -119.135592197877 826.570509395573</t>
  </si>
  <si>
    <t>9763-20170724T115538.927382500.bin</t>
  </si>
  <si>
    <t>-567.611853810822 61.8059031316002 -90.0680043222645</t>
  </si>
  <si>
    <t>-586.906295605368 58.0409429112144 -199.022227905888</t>
  </si>
  <si>
    <t>-600.898295800292 53.0261024532006 -290.700550017569</t>
  </si>
  <si>
    <t>-613.600311653975 47.7306751210765 -373.457797611718</t>
  </si>
  <si>
    <t>-625.811047769276 41.6666025785066 -456.23605092689</t>
  </si>
  <si>
    <t>-643.134091629656 31.9520571276598 -577.275280287731</t>
  </si>
  <si>
    <t>-634.461796131135 24.9838557571152 -654.841000815388</t>
  </si>
  <si>
    <t>-634.900993601949 67.4617882419218 -526.762600574956</t>
  </si>
  <si>
    <t>-613.072965988883 221.822785326019 -520.993013506643</t>
  </si>
  <si>
    <t>-468.371543593702 337.517509457412 -308.261225436032</t>
  </si>
  <si>
    <t>-238.519040544749 304.628084871456 -314.147289252159</t>
  </si>
  <si>
    <t>-636.164761198887 4.96776627058057 -521.566121169757</t>
  </si>
  <si>
    <t>-571.248635729468 154.897354746197 -94.2354086871186</t>
  </si>
  <si>
    <t>-611.521679746478 152.919318181263 319.378832343763</t>
  </si>
  <si>
    <t>-672.746018550579 179.195484356653 777.684558124537</t>
  </si>
  <si>
    <t>-523.176014590627 180.943657059681 836.926274225233</t>
  </si>
  <si>
    <t>-580.096950600603 -56.0284255993556 325.23434366599</t>
  </si>
  <si>
    <t>-648.058465826872 -99.8833254469375 781.318143197262</t>
  </si>
  <si>
    <t>-494.930279643614 -119.489791802716 826.607985394736</t>
  </si>
  <si>
    <t>9763-20170724T115538.960471100.bin</t>
  </si>
  <si>
    <t>-567.806343671269 61.6796311206128 -90.1274635940979</t>
  </si>
  <si>
    <t>-587.10860064972 57.9054418857904 -199.080150255386</t>
  </si>
  <si>
    <t>-601.114365843286 52.8756627640398 -290.755549618482</t>
  </si>
  <si>
    <t>-613.832013028182 47.5638304119143 -373.509284728135</t>
  </si>
  <si>
    <t>-626.061542937932 41.4807390983481 -456.283484703608</t>
  </si>
  <si>
    <t>-643.41572749479 31.7351330403758 -577.315613883606</t>
  </si>
  <si>
    <t>-634.795633837607 24.7226725081503 -654.883194951045</t>
  </si>
  <si>
    <t>-635.147179782333 67.2570781727241 -526.817422244613</t>
  </si>
  <si>
    <t>-613.177404589854 221.595992803073 -521.172475366924</t>
  </si>
  <si>
    <t>-468.81727527561 338.034447772094 -308.614550330394</t>
  </si>
  <si>
    <t>-239.004283355708 304.809961502996 -314.151145951033</t>
  </si>
  <si>
    <t>-636.45453330516 4.76575769707983 -521.598104085825</t>
  </si>
  <si>
    <t>-571.447286365228 154.781433234986 -94.3108588003399</t>
  </si>
  <si>
    <t>-611.637271130025 152.861317872328 319.311772790724</t>
  </si>
  <si>
    <t>-672.768360418832 179.157536988453 777.634101465171</t>
  </si>
  <si>
    <t>-523.200648193995 180.899717835046 836.8818227062</t>
  </si>
  <si>
    <t>-580.273410817759 -56.0911370309589 325.196528065828</t>
  </si>
  <si>
    <t>-648.039844195022 -99.8966692495214 781.31579463751</t>
  </si>
  <si>
    <t>-494.932817595471 -119.635722591544 826.619563072123</t>
  </si>
  <si>
    <t>9763-20170724T115539.029702100.bin</t>
  </si>
  <si>
    <t>-568.310989359132 61.23779011431 -90.2555577746584</t>
  </si>
  <si>
    <t>-587.630966317126 57.4658815709986 -199.205115128329</t>
  </si>
  <si>
    <t>-601.649819148642 52.4163870379628 -290.877376619399</t>
  </si>
  <si>
    <t>-614.378577278617 47.0789144956163 -373.627776109495</t>
  </si>
  <si>
    <t>-626.61869553977 40.961774942991 -456.397964742478</t>
  </si>
  <si>
    <t>-643.987817043822 31.1572694221252 -577.423246876396</t>
  </si>
  <si>
    <t>-635.474991189485 24.122253376288 -655.000579944478</t>
  </si>
  <si>
    <t>-635.703092763826 66.7034319175928 -526.944661040991</t>
  </si>
  <si>
    <t>-613.680551734242 221.053141001898 -521.501343281351</t>
  </si>
  <si>
    <t>-469.868090382246 338.80810590494 -309.297916619264</t>
  </si>
  <si>
    <t>-240.080003129852 305.267340998455 -313.878650424887</t>
  </si>
  <si>
    <t>-637.029679687159 4.21537816066416 -521.69200601675</t>
  </si>
  <si>
    <t>-571.950896751018 154.346035752592 -94.446294055346</t>
  </si>
  <si>
    <t>-611.91958383787 152.612139923694 319.198636085038</t>
  </si>
  <si>
    <t>-672.802389339872 179.100211711586 777.542389010683</t>
  </si>
  <si>
    <t>-523.239452711713 180.941026907383 836.799239725015</t>
  </si>
  <si>
    <t>-580.667997353469 -56.289335763722 325.102442246079</t>
  </si>
  <si>
    <t>-647.998033568246 -99.8745635983646 781.302828263909</t>
  </si>
  <si>
    <t>-494.886522677015 -119.50934426864 826.6367459395</t>
  </si>
  <si>
    <t>9763-20170724T115539.057776800.bin</t>
  </si>
  <si>
    <t>-568.649176243669 60.989666222933 -90.3253484171566</t>
  </si>
  <si>
    <t>-587.961565947655 57.2241235079766 -199.276487013199</t>
  </si>
  <si>
    <t>-601.962065300354 52.1639158827393 -290.950961007472</t>
  </si>
  <si>
    <t>-614.669573690415 46.8102924402858 -373.703541454425</t>
  </si>
  <si>
    <t>-626.883718886185 40.670641639706 -456.475920818843</t>
  </si>
  <si>
    <t>-644.209908562013 30.825860122771 -577.504163494504</t>
  </si>
  <si>
    <t>-635.722317090626 23.7965198203462 -655.084785346381</t>
  </si>
  <si>
    <t>-635.938716945163 66.388671612742 -527.035163544547</t>
  </si>
  <si>
    <t>-613.859873779111 220.726703784648 -521.673434539813</t>
  </si>
  <si>
    <t>-470.308587623105 338.997554239488 -309.580017643855</t>
  </si>
  <si>
    <t>-240.521701979858 305.403275219339 -313.816074008148</t>
  </si>
  <si>
    <t>-637.27597665575 3.90260614540557 -521.760924603555</t>
  </si>
  <si>
    <t>-572.282382237152 154.133044840332 -94.5145496398899</t>
  </si>
  <si>
    <t>-612.070605383279 152.499204707123 319.148145374579</t>
  </si>
  <si>
    <t>-672.79462804657 179.180079023189 777.498977751453</t>
  </si>
  <si>
    <t>-523.230761759877 180.812287432058 836.759533085687</t>
  </si>
  <si>
    <t>-580.972290542965 -56.4227512000796 325.044794900526</t>
  </si>
  <si>
    <t>-647.975236481536 -99.8729654710887 781.304184287943</t>
  </si>
  <si>
    <t>-494.847725712731 -119.33125423251 826.660194367809</t>
  </si>
  <si>
    <t>9763-20170724T115539.126239200.bin</t>
  </si>
  <si>
    <t>-569.517244635649 60.2787653261869 -90.4824369204903</t>
  </si>
  <si>
    <t>-588.805849887846 56.5292160664692 -199.43834029333</t>
  </si>
  <si>
    <t>-602.788941933457 51.4734492687971 -291.115730213297</t>
  </si>
  <si>
    <t>-615.481983203043 46.1209509286421 -373.870676360897</t>
  </si>
  <si>
    <t>-627.682962981399 39.9791419136839 -456.644684882436</t>
  </si>
  <si>
    <t>-644.991408649521 30.1275302623128 -577.674847012953</t>
  </si>
  <si>
    <t>-636.563787561495 23.1157258191486 -655.263698113918</t>
  </si>
  <si>
    <t>-636.692533417484 65.6919061240617 -527.211617652065</t>
  </si>
  <si>
    <t>-614.250306067594 219.978712056125 -521.862068732533</t>
  </si>
  <si>
    <t>-471.142822528348 338.559747981334 -309.641956498444</t>
  </si>
  <si>
    <t>-241.317592893783 305.168432624792 -313.373101518445</t>
  </si>
  <si>
    <t>-638.10074415211 3.2086396492773 -521.924215894094</t>
  </si>
  <si>
    <t>-573.091537658257 153.433057316468 -94.674574033687</t>
  </si>
  <si>
    <t>-612.597297568386 152.104995360772 319.016237686946</t>
  </si>
  <si>
    <t>-672.838753473362 179.109983291848 777.4194530594</t>
  </si>
  <si>
    <t>-523.271185496646 180.894577397115 836.666176394009</t>
  </si>
  <si>
    <t>-581.727321144832 -56.8785408509727 324.903247882585</t>
  </si>
  <si>
    <t>-647.951856131627 -99.8685759603411 781.306536145275</t>
  </si>
  <si>
    <t>-494.813816365084 -119.202785539102 826.680011702281</t>
  </si>
  <si>
    <t>9763-20170724T115539.158322800.bin</t>
  </si>
  <si>
    <t>-569.969683190669 59.9026180814049 -90.5634371679985</t>
  </si>
  <si>
    <t>-589.243350896539 56.1689263942046 -199.522509965473</t>
  </si>
  <si>
    <t>-603.23227466945 51.1333350116734 -291.200188636815</t>
  </si>
  <si>
    <t>-615.938110652747 45.8022037606868 -373.954598417389</t>
  </si>
  <si>
    <t>-628.159412760739 39.6847704693357 -456.727392261117</t>
  </si>
  <si>
    <t>-645.505853146585 29.8722108850789 -577.755225210595</t>
  </si>
  <si>
    <t>-637.10408667387 22.8702016057339 -655.347688349354</t>
  </si>
  <si>
    <t>-637.163851659442 65.4194523090368 -527.286975440554</t>
  </si>
  <si>
    <t>-614.465864078496 219.663817262055 -521.910627890155</t>
  </si>
  <si>
    <t>-471.593805471397 338.075792342896 -309.437709656812</t>
  </si>
  <si>
    <t>-241.733047171071 304.904064973931 -312.931583170226</t>
  </si>
  <si>
    <t>-638.624902856317 2.93633024142309 -522.011659483326</t>
  </si>
  <si>
    <t>-573.518839847942 153.069585187711 -94.7490646226014</t>
  </si>
  <si>
    <t>-612.838568567195 151.897767946426 318.960022820444</t>
  </si>
  <si>
    <t>-672.863614318992 179.056657676879 777.381471771449</t>
  </si>
  <si>
    <t>-523.290970518284 180.93128039661 836.612555655107</t>
  </si>
  <si>
    <t>-582.092260622185 -57.0908215067775 324.82423126146</t>
  </si>
  <si>
    <t>-647.948303509439 -99.8878391444366 781.302728105254</t>
  </si>
  <si>
    <t>-494.845796164927 -119.489115775558 826.681532780136</t>
  </si>
  <si>
    <t>9763-20170724T115539.226516500.bin</t>
  </si>
  <si>
    <t>-570.926252922391 59.248495985031 -90.7321981478777</t>
  </si>
  <si>
    <t>-590.234565604645 55.5411272683116 -199.685998991179</t>
  </si>
  <si>
    <t>-604.301288217684 50.5706758705069 -291.355340700589</t>
  </si>
  <si>
    <t>-617.096498780049 45.3175393101451 -374.100956302474</t>
  </si>
  <si>
    <t>-629.426276317311 39.2964783476223 -456.864737175158</t>
  </si>
  <si>
    <t>-646.952040516511 29.6451338329682 -577.879732141997</t>
  </si>
  <si>
    <t>-638.633290456888 22.6664729841666 -655.483182214599</t>
  </si>
  <si>
    <t>-638.488377071252 65.1234581177425 -527.383261470811</t>
  </si>
  <si>
    <t>-615.28837899257 219.290275437784 -521.85957263627</t>
  </si>
  <si>
    <t>-472.541575529671 336.633901004106 -308.7108360287</t>
  </si>
  <si>
    <t>-242.60430156687 303.984322767279 -312.085119820125</t>
  </si>
  <si>
    <t>-640.035371837811 2.63672991498152 -522.175597289629</t>
  </si>
  <si>
    <t>-574.408176307858 152.41914839879 -94.9115289131981</t>
  </si>
  <si>
    <t>-613.276542375528 151.544426015528 318.840878429108</t>
  </si>
  <si>
    <t>-672.898686140117 179.013228990099 777.307035326306</t>
  </si>
  <si>
    <t>-523.312411972213 180.843083622094 836.505210454347</t>
  </si>
  <si>
    <t>-582.771623356754 -57.3906130476128 324.68759481065</t>
  </si>
  <si>
    <t>-647.939944834217 -99.8722215229377 781.299091878746</t>
  </si>
  <si>
    <t>-494.78286942312 -119.079589174121 826.66217746412</t>
  </si>
  <si>
    <t>9763-20170724T115539.259600100.bin</t>
  </si>
  <si>
    <t>-571.476631126552 58.9717012500405 -90.8085361204789</t>
  </si>
  <si>
    <t>-590.830710380099 55.2791161779051 -199.754806338066</t>
  </si>
  <si>
    <t>-604.927516439198 50.354671686026 -291.422020726505</t>
  </si>
  <si>
    <t>-617.746269032585 45.1570102646613 -374.167312713866</t>
  </si>
  <si>
    <t>-630.095847248271 39.2048812213463 -456.933184112379</t>
  </si>
  <si>
    <t>-647.646259285047 29.6692375161838 -577.953807769385</t>
  </si>
  <si>
    <t>-639.337097888659 22.7080810976981 -655.560038097578</t>
  </si>
  <si>
    <t>-639.146176178119 65.0982027594039 -527.428814337168</t>
  </si>
  <si>
    <t>-615.686885766351 219.219343530354 -521.798464826816</t>
  </si>
  <si>
    <t>-472.980595734877 335.999049028737 -308.313087417956</t>
  </si>
  <si>
    <t>-243.007330494875 303.619242488619 -311.830957823396</t>
  </si>
  <si>
    <t>-640.744419713039 2.60848512830376 -522.273290490751</t>
  </si>
  <si>
    <t>-574.914540915406 152.16984739309 -94.9846389509074</t>
  </si>
  <si>
    <t>-613.512298558545 151.438639432551 318.793357314659</t>
  </si>
  <si>
    <t>-672.901377254768 179.059976815699 777.273533772663</t>
  </si>
  <si>
    <t>-523.306206998847 180.719907510844 836.454237109627</t>
  </si>
  <si>
    <t>-583.094574246634 -57.532100632822 324.627680850777</t>
  </si>
  <si>
    <t>-647.944653524075 -99.8713964360295 781.293845026207</t>
  </si>
  <si>
    <t>-494.803547576227 -119.253938466829 826.636366608697</t>
  </si>
  <si>
    <t>9763-20170724T115539.326789500.bin</t>
  </si>
  <si>
    <t>-572.529790992116 58.4408512773584 -90.9801080562847</t>
  </si>
  <si>
    <t>-591.962007961084 54.7360348231828 -199.912047596284</t>
  </si>
  <si>
    <t>-606.10632616663 49.8572342794982 -291.574317540319</t>
  </si>
  <si>
    <t>-618.960551800343 44.7243349919545 -374.31824046204</t>
  </si>
  <si>
    <t>-631.338176750082 38.8589827783042 -457.086105520067</t>
  </si>
  <si>
    <t>-648.921329210113 29.4744869546348 -578.113795701557</t>
  </si>
  <si>
    <t>-640.638097702835 22.5409228079889 -655.725169534376</t>
  </si>
  <si>
    <t>-640.329721419324 64.8374038577435 -527.558009975808</t>
  </si>
  <si>
    <t>-616.292477487705 218.870362195379 -521.764019482423</t>
  </si>
  <si>
    <t>-473.738882692075 334.449146505803 -307.524464544166</t>
  </si>
  <si>
    <t>-243.692920606758 302.579239022167 -310.944916251725</t>
  </si>
  <si>
    <t>-642.082278096212 2.3472346300041 -522.457807057393</t>
  </si>
  <si>
    <t>-575.889557317775 151.591383866888 -95.162971760343</t>
  </si>
  <si>
    <t>-613.967877270116 151.192507304893 318.663597082831</t>
  </si>
  <si>
    <t>-672.94733778722 178.968391019256 777.19764471628</t>
  </si>
  <si>
    <t>-523.332959316645 180.630006579677 836.329700634361</t>
  </si>
  <si>
    <t>-583.746718693384 -57.6704422184005 324.512665287589</t>
  </si>
  <si>
    <t>-647.980190914381 -99.8374967614916 781.275023328651</t>
  </si>
  <si>
    <t>-494.803178560202 -119.132957259289 826.533288109188</t>
  </si>
  <si>
    <t>9763-20170724T115539.359877000.bin</t>
  </si>
  <si>
    <t>-572.997609597133 58.1742641090962 -91.05848042462</t>
  </si>
  <si>
    <t>-592.489827497744 54.4709668765479 -199.979746699251</t>
  </si>
  <si>
    <t>-606.678133522407 49.6077742900577 -291.635973378195</t>
  </si>
  <si>
    <t>-619.569562902008 44.4950486514001 -374.375423357347</t>
  </si>
  <si>
    <t>-631.98185092479 38.6557045929239 -457.139901951485</t>
  </si>
  <si>
    <t>-649.612971622492 29.3152827987012 -578.164059600342</t>
  </si>
  <si>
    <t>-641.354654597624 22.3814680602354 -655.777977814367</t>
  </si>
  <si>
    <t>-640.961426654801 64.6582265976112 -527.604504669546</t>
  </si>
  <si>
    <t>-616.615856705331 218.641364632532 -521.762279939524</t>
  </si>
  <si>
    <t>-474.242646335241 333.674809163766 -307.109685644101</t>
  </si>
  <si>
    <t>-244.17289485693 301.972260490254 -310.484837753302</t>
  </si>
  <si>
    <t>-642.791764302556 2.16937112434925 -522.51493370926</t>
  </si>
  <si>
    <t>-576.3403178564 151.306737631793 -95.2497465463637</t>
  </si>
  <si>
    <t>-614.198482879603 151.041628912145 318.597142346773</t>
  </si>
  <si>
    <t>-672.961879017865 178.944665168184 777.157282065086</t>
  </si>
  <si>
    <t>-523.341967604283 180.633295832268 836.274533589088</t>
  </si>
  <si>
    <t>-584.02055824678 -57.741970534466 324.464355678447</t>
  </si>
  <si>
    <t>-647.990487470369 -99.8320614371053 781.267049017281</t>
  </si>
  <si>
    <t>-494.8290760749 -119.313984759139 826.498177985722</t>
  </si>
  <si>
    <t>9763-20170724T115539.424058900.bin</t>
  </si>
  <si>
    <t>-573.837701797415 57.7018696074088 -91.1981159924378</t>
  </si>
  <si>
    <t>-593.437808900652 54.0122142406165 -200.100489462437</t>
  </si>
  <si>
    <t>-607.741646705498 49.1840514870389 -291.740583127357</t>
  </si>
  <si>
    <t>-620.747233331995 44.1141979186389 -374.464750474185</t>
  </si>
  <si>
    <t>-633.283618689801 38.3279037881673 -457.214336293282</t>
  </si>
  <si>
    <t>-651.107009807284 29.0764085117048 -578.217085429762</t>
  </si>
  <si>
    <t>-642.936740678666 22.1055780862778 -655.83716443378</t>
  </si>
  <si>
    <t>-642.308496291794 64.3793890850195 -527.654970389957</t>
  </si>
  <si>
    <t>-617.498717817027 218.279358007705 -521.701089320825</t>
  </si>
  <si>
    <t>-475.297537712726 332.488317757339 -306.495022487984</t>
  </si>
  <si>
    <t>-245.19815513072 301.007413932609 -309.924515835214</t>
  </si>
  <si>
    <t>-644.264022700296 1.89238549448646 -522.589294080449</t>
  </si>
  <si>
    <t>-577.107966151092 150.799197825487 -95.3972256578701</t>
  </si>
  <si>
    <t>-614.628658883851 150.807431305322 318.480498329033</t>
  </si>
  <si>
    <t>-672.968275748663 178.941671994281 777.079069621748</t>
  </si>
  <si>
    <t>-523.342963612772 180.592234957419 836.183763092144</t>
  </si>
  <si>
    <t>-584.561388064692 -57.8209620284817 324.360251733845</t>
  </si>
  <si>
    <t>-648.030717449482 -99.7547766873051 781.243903456268</t>
  </si>
  <si>
    <t>-494.780090841281 -118.77127237086 826.37091393819</t>
  </si>
  <si>
    <t>9763-20170724T115539.463162400.bin</t>
  </si>
  <si>
    <t>-574.276970033939 57.4505030610865 -91.2630125395239</t>
  </si>
  <si>
    <t>-593.947891372333 53.7751634355691 -200.153120027315</t>
  </si>
  <si>
    <t>-608.329765322921 48.9716778801551 -291.782292297339</t>
  </si>
  <si>
    <t>-621.413136218983 43.9299768301755 -374.495998434158</t>
  </si>
  <si>
    <t>-634.034559994926 38.1774221328176 -457.234883773069</t>
  </si>
  <si>
    <t>-651.990181369546 28.9815199415755 -578.222273671815</t>
  </si>
  <si>
    <t>-643.878001345754 22.0016657458968 -655.847677840307</t>
  </si>
  <si>
    <t>-643.112887711415 64.2602177796355 -527.657064820434</t>
  </si>
  <si>
    <t>-618.101747400412 218.126484378437 -521.611896519892</t>
  </si>
  <si>
    <t>-475.969769509271 332.053079137042 -306.210314351922</t>
  </si>
  <si>
    <t>-245.855132359094 300.691062443987 -309.702378709549</t>
  </si>
  <si>
    <t>-645.109940860552 1.77293615840472 -522.61119019803</t>
  </si>
  <si>
    <t>-577.542988229303 150.516099370313 -95.4633897383386</t>
  </si>
  <si>
    <t>-614.817045506053 150.633038637496 318.436662265359</t>
  </si>
  <si>
    <t>-672.988961169761 178.873236214274 777.052154884425</t>
  </si>
  <si>
    <t>-523.360770438388 180.617220210925 836.146890015179</t>
  </si>
  <si>
    <t>-584.819718910059 -57.912105429278 324.307908171828</t>
  </si>
  <si>
    <t>-648.039813806358 -99.7683881943819 781.2293649471</t>
  </si>
  <si>
    <t>-494.824316299437 -119.103368986968 826.340284895207</t>
  </si>
  <si>
    <t>9763-20170724T115539.527210000.bin</t>
  </si>
  <si>
    <t>-575.193575398957 56.8698277836972 -91.3974533564249</t>
  </si>
  <si>
    <t>-594.989342682931 53.2250713458411 -200.265923299663</t>
  </si>
  <si>
    <t>-609.521934837354 48.4643804092727 -291.873646269825</t>
  </si>
  <si>
    <t>-622.75958278242 43.4700985122768 -374.565647284673</t>
  </si>
  <si>
    <t>-635.553402866686 37.7732656232838 -457.28203051245</t>
  </si>
  <si>
    <t>-653.780955620128 28.6676889774787 -578.235488008173</t>
  </si>
  <si>
    <t>-645.812961774474 21.7005351219177 -655.876812613524</t>
  </si>
  <si>
    <t>-644.735663233608 63.9061827811965 -527.671991269336</t>
  </si>
  <si>
    <t>-619.334264575164 217.698556427184 -521.476643455709</t>
  </si>
  <si>
    <t>-477.509924463743 331.111553902426 -305.601780410825</t>
  </si>
  <si>
    <t>-247.359800378725 300.028021271861 -309.243857686662</t>
  </si>
  <si>
    <t>-646.830065489145 1.42009967112472 -522.652312126717</t>
  </si>
  <si>
    <t>-578.35894359175 149.948937029288 -95.5930025339999</t>
  </si>
  <si>
    <t>-615.220820008816 150.295480021083 318.343855954854</t>
  </si>
  <si>
    <t>-673.020029660428 178.79145047363 776.999965362984</t>
  </si>
  <si>
    <t>-523.383389015102 180.475466478464 836.075125113846</t>
  </si>
  <si>
    <t>-585.489978725564 -58.1702377858289 324.197793954149</t>
  </si>
  <si>
    <t>-648.0322072477 -99.7397093345432 781.225084876944</t>
  </si>
  <si>
    <t>-494.804603176863 -118.979455988044 826.335650903441</t>
  </si>
  <si>
    <t>9763-20170724T115539.560298200.bin</t>
  </si>
  <si>
    <t>-575.653239752681 56.6085879365971 -91.461579455334</t>
  </si>
  <si>
    <t>-595.507088047144 52.9858950217426 -200.320189114025</t>
  </si>
  <si>
    <t>-610.097307961686 48.2583832246346 -291.920477164325</t>
  </si>
  <si>
    <t>-623.390226499423 43.3010147666641 -374.605827692862</t>
  </si>
  <si>
    <t>-636.242682515838 37.6472954388682 -457.315960743161</t>
  </si>
  <si>
    <t>-654.559468325886 28.6118763133791 -578.261415132002</t>
  </si>
  <si>
    <t>-646.663750045115 21.6793072309067 -655.913276656515</t>
  </si>
  <si>
    <t>-645.452849045157 63.820022974438 -527.687713256023</t>
  </si>
  <si>
    <t>-619.867192328804 217.579286952436 -521.397318320498</t>
  </si>
  <si>
    <t>-478.272414186102 330.872841087725 -305.309185937119</t>
  </si>
  <si>
    <t>-248.105529242125 299.913800682928 -308.953299653602</t>
  </si>
  <si>
    <t>-647.591584672616 1.33307622910525 -522.695543028129</t>
  </si>
  <si>
    <t>-578.75864387355 149.704255884536 -95.6462493236913</t>
  </si>
  <si>
    <t>-615.425252840062 150.169514900971 318.307767771632</t>
  </si>
  <si>
    <t>-673.0189628148 178.827984931864 776.975646142447</t>
  </si>
  <si>
    <t>-523.376306748182 180.385273171453 836.038966574154</t>
  </si>
  <si>
    <t>-585.818500239452 -58.2736745352634 324.148508588648</t>
  </si>
  <si>
    <t>-648.035276467794 -99.7388769132381 781.226645612089</t>
  </si>
  <si>
    <t>-494.806215765602 -118.992808022773 826.326163257154</t>
  </si>
  <si>
    <t>9763-20170724T115539.628071900.bin</t>
  </si>
  <si>
    <t>-576.636152841175 56.1839120491397 -91.6202373007808</t>
  </si>
  <si>
    <t>-596.589256540247 52.6015313148569 -200.462006552766</t>
  </si>
  <si>
    <t>-611.272807412634 47.9242731343961 -292.049874791251</t>
  </si>
  <si>
    <t>-624.653953654475 43.0196810558848 -374.724145044938</t>
  </si>
  <si>
    <t>-637.598431164496 37.4258072754762 -457.424215279232</t>
  </si>
  <si>
    <t>-656.053883940107 28.4856585785235 -578.355542851885</t>
  </si>
  <si>
    <t>-648.289663661359 21.6239383445313 -656.026898239116</t>
  </si>
  <si>
    <t>-646.846383464451 63.6518131232442 -527.77090096716</t>
  </si>
  <si>
    <t>-620.934998263802 217.352986922437 -521.368532885941</t>
  </si>
  <si>
    <t>-479.692820541759 330.094560860287 -304.761603740048</t>
  </si>
  <si>
    <t>-249.491010475005 299.393657074688 -308.383671670532</t>
  </si>
  <si>
    <t>-649.065207439265 1.1651544109634 -522.812837995497</t>
  </si>
  <si>
    <t>-579.673034116687 149.259387966078 -95.8261743088171</t>
  </si>
  <si>
    <t>-615.92675883918 149.940394384185 318.163985507799</t>
  </si>
  <si>
    <t>-673.041918145104 178.812902483585 776.863325430384</t>
  </si>
  <si>
    <t>-523.378912891656 180.463037158346 835.872554500642</t>
  </si>
  <si>
    <t>-586.424491190436 -58.3855329347195 324.01846586388</t>
  </si>
  <si>
    <t>-648.046549167248 -99.6998936598823 781.197337086993</t>
  </si>
  <si>
    <t>-494.802605376584 -118.877081866199 826.278990027314</t>
  </si>
  <si>
    <t>9763-20170724T115539.661165000.bin</t>
  </si>
  <si>
    <t>-577.130355331863 56.0098286152413 -91.6719053949581</t>
  </si>
  <si>
    <t>-597.135324285516 52.4484030867914 -200.504920858535</t>
  </si>
  <si>
    <t>-611.868303349486 47.8049208549344 -292.086510527937</t>
  </si>
  <si>
    <t>-625.296314838817 42.9379011089522 -374.755417533215</t>
  </si>
  <si>
    <t>-638.289913228727 37.3882304708554 -457.450696299041</t>
  </si>
  <si>
    <t>-656.81954635154 28.5199671846062 -578.376055099296</t>
  </si>
  <si>
    <t>-649.123714392191 21.7046590763266 -656.058371967437</t>
  </si>
  <si>
    <t>-647.557667641122 63.6549516838304 -527.779601192429</t>
  </si>
  <si>
    <t>-621.449801158614 217.319860195995 -521.298541795243</t>
  </si>
  <si>
    <t>-480.329529830251 329.650913456435 -304.398880361652</t>
  </si>
  <si>
    <t>-250.101317505969 299.155760174743 -308.080042480105</t>
  </si>
  <si>
    <t>-649.820169631871 1.16744742621245 -522.850292288458</t>
  </si>
  <si>
    <t>-580.143479682441 149.069545636706 -95.8620988158636</t>
  </si>
  <si>
    <t>-616.189682056096 149.870004637357 318.14587304014</t>
  </si>
  <si>
    <t>-673.054538194731 178.779800510395 776.880992591583</t>
  </si>
  <si>
    <t>-523.381404253997 180.460405521268 835.863612848142</t>
  </si>
  <si>
    <t>-586.68264089764 -58.4125990777918 323.968339321204</t>
  </si>
  <si>
    <t>-648.046430912007 -99.6825197705682 781.188928862966</t>
  </si>
  <si>
    <t>-494.784405752105 -118.724086752599 826.266539910087</t>
  </si>
  <si>
    <t>9763-20170724T115539.731348200.bin</t>
  </si>
  <si>
    <t>-578.052003072093 55.79697051533 -91.7450783525727</t>
  </si>
  <si>
    <t>-598.173773475008 52.26015675846 -200.557385768327</t>
  </si>
  <si>
    <t>-613.02312199531 47.6818526728716 -292.123549140039</t>
  </si>
  <si>
    <t>-626.563172069527 42.8928098391286 -374.778715436698</t>
  </si>
  <si>
    <t>-639.675759082717 37.4394256477892 -457.46143506773</t>
  </si>
  <si>
    <t>-658.386831779442 28.7322275203348 -578.370579404486</t>
  </si>
  <si>
    <t>-650.815652632117 22.0076265130438 -656.07311410698</t>
  </si>
  <si>
    <t>-648.993916410682 63.797305463256 -527.749751271482</t>
  </si>
  <si>
    <t>-622.445233993891 217.375182634817 -521.085625325881</t>
  </si>
  <si>
    <t>-481.63494099711 328.883798479433 -303.561132356756</t>
  </si>
  <si>
    <t>-251.355792839081 298.801511130139 -307.447077317295</t>
  </si>
  <si>
    <t>-651.359205467123 1.30851740982234 -522.883652486412</t>
  </si>
  <si>
    <t>-581.009559211015 148.79451178763 -95.9077772225048</t>
  </si>
  <si>
    <t>-616.687882683611 149.772261959593 318.131701156576</t>
  </si>
  <si>
    <t>-673.089750032369 178.709998760875 776.922352969556</t>
  </si>
  <si>
    <t>-523.396038026976 180.330567610029 835.854462887402</t>
  </si>
  <si>
    <t>-587.121326452815 -58.3373126889778 323.908888022761</t>
  </si>
  <si>
    <t>-648.046856209578 -99.6363029429278 781.181393322067</t>
  </si>
  <si>
    <t>-494.764397086833 -118.55487567468 826.241370597375</t>
  </si>
  <si>
    <t>9763-20170724T115539.759426700.bin</t>
  </si>
  <si>
    <t>-578.465942391215 55.7038467836617 -91.7757472211666</t>
  </si>
  <si>
    <t>-598.635454938234 52.1810294261816 -200.579641583873</t>
  </si>
  <si>
    <t>-613.526447976323 47.6289508984021 -292.140469313773</t>
  </si>
  <si>
    <t>-627.104467679043 42.8701182767597 -374.79101437719</t>
  </si>
  <si>
    <t>-640.255311933956 37.4532300655865 -457.470233623794</t>
  </si>
  <si>
    <t>-659.022673365136 28.8058395808598 -578.37483915091</t>
  </si>
  <si>
    <t>-651.500029899888 22.1297644104677 -656.086148287188</t>
  </si>
  <si>
    <t>-649.589745407572 63.8449584260597 -527.743534771452</t>
  </si>
  <si>
    <t>-622.912299797113 217.402976725277 -520.997285614956</t>
  </si>
  <si>
    <t>-482.212048662176 328.509244610538 -303.195947093209</t>
  </si>
  <si>
    <t>-251.922783780439 298.506419981381 -307.098602794131</t>
  </si>
  <si>
    <t>-651.985720065597 1.35544857631658 -522.902248540488</t>
  </si>
  <si>
    <t>-581.384291702999 148.704634860164 -95.933541916167</t>
  </si>
  <si>
    <t>-616.896462457562 149.781441364946 318.120010553247</t>
  </si>
  <si>
    <t>-673.086641712226 178.7720911507 776.939956804869</t>
  </si>
  <si>
    <t>-523.383148716782 180.203158897331 835.852082857812</t>
  </si>
  <si>
    <t>-587.34856998679 -58.3259333733929 323.882645409082</t>
  </si>
  <si>
    <t>-648.045921047749 -99.636336682878 781.181033106998</t>
  </si>
  <si>
    <t>-494.798497704709 -118.825064467308 826.245977533432</t>
  </si>
  <si>
    <t>9763-20170724T115539.827757600.bin</t>
  </si>
  <si>
    <t>-579.249826502308 55.3369884890601 -91.8530901165026</t>
  </si>
  <si>
    <t>-599.464540033287 51.8371976171393 -200.649308298967</t>
  </si>
  <si>
    <t>-614.424683353231 47.3149061372685 -292.200260776566</t>
  </si>
  <si>
    <t>-628.077741822651 42.5885069919441 -374.84042289111</t>
  </si>
  <si>
    <t>-641.316286856746 37.2089751584649 -457.508081657519</t>
  </si>
  <si>
    <t>-660.225712340153 28.6220735132788 -578.394904585035</t>
  </si>
  <si>
    <t>-652.818183835451 22.0259510603198 -656.124058670431</t>
  </si>
  <si>
    <t>-650.669575337657 63.6326180595092 -527.766963510909</t>
  </si>
  <si>
    <t>-623.565330057194 217.10520577558 -520.873973649854</t>
  </si>
  <si>
    <t>-483.849019254341 328.019668678525 -302.342636978653</t>
  </si>
  <si>
    <t>-253.608322275205 297.748526293227 -306.969887959855</t>
  </si>
  <si>
    <t>-653.187241214724 1.14737256458693 -522.93472475471</t>
  </si>
  <si>
    <t>-582.086656514133 148.33836536578 -96.0017128275788</t>
  </si>
  <si>
    <t>-617.354452767715 149.53479790248 318.072391719682</t>
  </si>
  <si>
    <t>-673.11362083618 178.69688274469 776.943239522633</t>
  </si>
  <si>
    <t>-523.400687699748 180.400794801578 835.824043749994</t>
  </si>
  <si>
    <t>-587.900352855649 -58.4557011597576 323.814802111047</t>
  </si>
  <si>
    <t>-648.028556117055 -99.5932804156857 781.182299946353</t>
  </si>
  <si>
    <t>-494.775904831848 -118.684810602076 826.270660020414</t>
  </si>
  <si>
    <t>9763-20170724T115539.859845400.bin</t>
  </si>
  <si>
    <t>-579.625068794693 55.1490392594612 -91.9020397880993</t>
  </si>
  <si>
    <t>-599.856021209261 51.6775450511655 -200.696120976257</t>
  </si>
  <si>
    <t>-614.852915846236 47.1744238408614 -292.241980919775</t>
  </si>
  <si>
    <t>-628.548499844087 42.4648580976054 -374.876058599942</t>
  </si>
  <si>
    <t>-641.839134792472 37.1006987430392 -457.536285615007</t>
  </si>
  <si>
    <t>-660.835312361895 28.5348452120224 -578.411060910181</t>
  </si>
  <si>
    <t>-653.489796007047 21.9694550854063 -656.148817236307</t>
  </si>
  <si>
    <t>-651.203064974718 63.5345362263204 -527.790035065704</t>
  </si>
  <si>
    <t>-623.837049171245 216.959683940049 -520.827448964307</t>
  </si>
  <si>
    <t>-484.802067670596 327.901546293774 -301.876007254819</t>
  </si>
  <si>
    <t>-254.579397201675 297.538037191236 -306.786033019412</t>
  </si>
  <si>
    <t>-653.796820697205 1.05249564591213 -522.954604875016</t>
  </si>
  <si>
    <t>-582.387100342803 148.239469971127 -96.0410327665703</t>
  </si>
  <si>
    <t>-617.60330214217 149.488319081094 318.037320208015</t>
  </si>
  <si>
    <t>-673.090790311936 178.817708565691 776.934864531408</t>
  </si>
  <si>
    <t>-523.375152431407 180.219059494532 835.816841829329</t>
  </si>
  <si>
    <t>-588.204321828559 -58.5343997734831 323.769736330375</t>
  </si>
  <si>
    <t>-648.002653235214 -99.5996138536291 781.194332652423</t>
  </si>
  <si>
    <t>-494.754222107662 -118.637034115602 826.319865039765</t>
  </si>
  <si>
    <t>9763-20170724T115539.928631100.bin</t>
  </si>
  <si>
    <t>-580.519632436763 54.5623521111277 -92.0149892446179</t>
  </si>
  <si>
    <t>-600.78121955065 51.1209432519738 -200.804396999056</t>
  </si>
  <si>
    <t>-615.822773847936 46.6436889569652 -292.344196283162</t>
  </si>
  <si>
    <t>-629.566373491805 41.959469431599 -374.971716782612</t>
  </si>
  <si>
    <t>-642.912820940461 36.6218360941491 -457.62465425242</t>
  </si>
  <si>
    <t>-661.999139122714 28.0960884523606 -578.488095297524</t>
  </si>
  <si>
    <t>-654.718890411653 21.5653080189875 -656.234801307909</t>
  </si>
  <si>
    <t>-652.25641034742 63.0749170831159 -527.873841722145</t>
  </si>
  <si>
    <t>-624.277355655082 216.37956810628 -520.664968557082</t>
  </si>
  <si>
    <t>-486.850085218618 327.167386072782 -300.623112981985</t>
  </si>
  <si>
    <t>-256.614890208257 296.941469560585 -305.788017605255</t>
  </si>
  <si>
    <t>-654.992027400036 0.599332322751479 -523.034711776331</t>
  </si>
  <si>
    <t>-583.116946365435 147.752601378275 -96.1521558008642</t>
  </si>
  <si>
    <t>-618.047497808374 149.16363739244 317.949888299469</t>
  </si>
  <si>
    <t>-673.12276311358 178.728339696982 776.902318533983</t>
  </si>
  <si>
    <t>-523.402532711459 180.27577221865 835.768847429053</t>
  </si>
  <si>
    <t>-588.934805714578 -58.8299000773336 323.674368116193</t>
  </si>
  <si>
    <t>-647.968240896212 -99.5624017280752 781.223492510352</t>
  </si>
  <si>
    <t>-494.715892782014 -118.423643847295 826.409774597939</t>
  </si>
  <si>
    <t>9763-20170724T115539.961720000.bin</t>
  </si>
  <si>
    <t>-580.948920749325 54.3118481629731 -92.0655938338258</t>
  </si>
  <si>
    <t>-601.227850868794 50.8826642525771 -200.852006033141</t>
  </si>
  <si>
    <t>-616.277030040713 46.4075694493542 -292.390736335079</t>
  </si>
  <si>
    <t>-630.024836187652 41.7225762867283 -375.017602238063</t>
  </si>
  <si>
    <t>-643.37285951935 36.3809689024451 -457.670021083888</t>
  </si>
  <si>
    <t>-662.458628243456 27.8460418463908 -578.53276851404</t>
  </si>
  <si>
    <t>-655.188662497354 21.309996837183 -656.280086322677</t>
  </si>
  <si>
    <t>-652.690873102476 62.8273189912661 -527.925069528825</t>
  </si>
  <si>
    <t>-624.549547431235 216.100563438841 -520.615901832209</t>
  </si>
  <si>
    <t>-487.863718541538 326.445375630483 -299.890863192585</t>
  </si>
  <si>
    <t>-257.601832516864 296.437381579007 -305.135940035029</t>
  </si>
  <si>
    <t>-655.477066673972 0.354863898279291 -523.073496774226</t>
  </si>
  <si>
    <t>-583.455979231118 147.536663521945 -96.1970445714043</t>
  </si>
  <si>
    <t>-618.260561200967 149.048289489075 317.915186492518</t>
  </si>
  <si>
    <t>-673.137042620084 178.713209486742 776.880682614908</t>
  </si>
  <si>
    <t>-523.41146473328 180.211136086496 835.734854367439</t>
  </si>
  <si>
    <t>-589.258012973243 -59.0137451503854 323.631991610626</t>
  </si>
  <si>
    <t>-647.957522713656 -99.6174117105411 781.233952854266</t>
  </si>
  <si>
    <t>-494.767213065981 -118.904737154551 826.450745892736</t>
  </si>
  <si>
    <t>9763-20170724T115540.026637500.bin</t>
  </si>
  <si>
    <t>-581.775857557389 53.9624801442499 -92.1554214461057</t>
  </si>
  <si>
    <t>-602.122840220962 50.5668955762255 -200.930196009349</t>
  </si>
  <si>
    <t>-617.198189205198 46.0809708961135 -292.464082057259</t>
  </si>
  <si>
    <t>-630.957729762638 41.3709080420213 -375.087482301233</t>
  </si>
  <si>
    <t>-644.305909110684 35.9883048664162 -457.73730654272</t>
  </si>
  <si>
    <t>-663.379689197758 27.3753410626416 -578.596490756747</t>
  </si>
  <si>
    <t>-656.125474802665 20.821026577451 -656.343667444067</t>
  </si>
  <si>
    <t>-653.565699952288 62.3862735453279 -528.018133294015</t>
  </si>
  <si>
    <t>-625.172532269427 215.596026730503 -520.514861069615</t>
  </si>
  <si>
    <t>-489.797508431399 324.308882667663 -298.177892965247</t>
  </si>
  <si>
    <t>-259.45631435071 295.048036212141 -304.116343465766</t>
  </si>
  <si>
    <t>-584.245937652759 147.284130665382 -96.2901617165071</t>
  </si>
  <si>
    <t>-618.75198630267 148.940672727026 317.846587197163</t>
  </si>
  <si>
    <t>-673.120721930787 178.843427191828 776.83808745602</t>
  </si>
  <si>
    <t>-523.380103408028 179.983638435039 835.662139569891</t>
  </si>
  <si>
    <t>-589.823175617299 -59.2123962104408 323.535080141599</t>
  </si>
  <si>
    <t>-647.934724201321 -99.5766359365111 781.241385468691</t>
  </si>
  <si>
    <t>-494.705728179515 -118.483145992684 826.487869039226</t>
  </si>
  <si>
    <t>9763-20170724T115540.058721500.bin</t>
  </si>
  <si>
    <t>-582.220248230769 53.7651885585453 -92.2101573343946</t>
  </si>
  <si>
    <t>-602.628390667778 50.3669111968197 -200.973382227929</t>
  </si>
  <si>
    <t>-617.754435330522 45.8945509327073 -292.499718922586</t>
  </si>
  <si>
    <t>-631.55947385878 41.2034906703529 -375.116495097748</t>
  </si>
  <si>
    <t>-644.95301972616 35.8461832806029 -457.760708762525</t>
  </si>
  <si>
    <t>-664.09301725557 27.2769571057506 -578.612415667921</t>
  </si>
  <si>
    <t>-656.864904711425 20.7389957427094 -656.363478029394</t>
  </si>
  <si>
    <t>-654.21530997539 62.2674928969825 -528.032365670525</t>
  </si>
  <si>
    <t>-625.621299675699 215.431214571949 -520.382872111233</t>
  </si>
  <si>
    <t>-490.715630611034 323.101281964722 -297.254709772425</t>
  </si>
  <si>
    <t>-260.315069860617 294.360050704657 -303.424302476767</t>
  </si>
  <si>
    <t>-584.706530627844 147.062451594214 -96.345080096677</t>
  </si>
  <si>
    <t>-619.036631902623 148.807779467192 317.805895746136</t>
  </si>
  <si>
    <t>-673.154282759484 178.729650804937 776.826276317539</t>
  </si>
  <si>
    <t>-523.406953107077 180.083743997589 835.628756139359</t>
  </si>
  <si>
    <t>-590.092520548795 -59.2834610477375 323.490634142937</t>
  </si>
  <si>
    <t>-647.931556311983 -99.5572375155957 781.243848109206</t>
  </si>
  <si>
    <t>-494.702094840738 -118.43835904297 826.499313573912</t>
  </si>
  <si>
    <t>9763-20170724T115540.128605600.bin</t>
  </si>
  <si>
    <t>-583.200869322136 53.4232339399334 -92.3178269629402</t>
  </si>
  <si>
    <t>-603.747565791768 50.0131416481872 -201.054662485132</t>
  </si>
  <si>
    <t>-618.96706637335 45.562876567011 -292.566421418156</t>
  </si>
  <si>
    <t>-632.847532934578 40.9050096637759 -375.172575230614</t>
  </si>
  <si>
    <t>-646.30782714545 35.5927633698821 -457.80871443871</t>
  </si>
  <si>
    <t>-665.536029019127 27.1021906498379 -578.652050681685</t>
  </si>
  <si>
    <t>-658.309947230457 20.5836146479717 -656.404859315694</t>
  </si>
  <si>
    <t>-655.527558568184 62.0540485472038 -528.071104957899</t>
  </si>
  <si>
    <t>-626.211900942955 215.070883527186 -519.9574494281</t>
  </si>
  <si>
    <t>-492.044896989579 320.231216039122 -295.1930732229</t>
  </si>
  <si>
    <t>-261.479090170109 292.810913411459 -301.198232634912</t>
  </si>
  <si>
    <t>-585.714578924605 146.647715227926 -96.4530691167184</t>
  </si>
  <si>
    <t>-619.534076123339 148.62138526887 317.738880089443</t>
  </si>
  <si>
    <t>-673.177313179887 178.680327041272 776.812745243182</t>
  </si>
  <si>
    <t>-523.41247231193 180.160799508546 835.567554220216</t>
  </si>
  <si>
    <t>-590.534277000602 -59.3272975648181 323.436458553504</t>
  </si>
  <si>
    <t>-647.94744825987 -99.5262071336986 781.239644460232</t>
  </si>
  <si>
    <t>-494.713039123786 -118.406427126401 826.478764210874</t>
  </si>
  <si>
    <t>9763-20170724T115540.160690900.bin</t>
  </si>
  <si>
    <t>-583.68206648204 53.2278779786311 -92.3691858239744</t>
  </si>
  <si>
    <t>-604.284313823229 49.8276554178208 -201.095768521849</t>
  </si>
  <si>
    <t>-619.55571628257 45.3778502681689 -292.598882957711</t>
  </si>
  <si>
    <t>-633.485481148102 40.717755596366 -375.196661997946</t>
  </si>
  <si>
    <t>-646.997576941831 35.4005956529631 -457.824029032469</t>
  </si>
  <si>
    <t>-666.304665667895 26.8993811046141 -578.653963584358</t>
  </si>
  <si>
    <t>-659.066152921852 20.3822656745656 -656.40577606869</t>
  </si>
  <si>
    <t>-656.210215309225 61.8523761778199 -528.090833892779</t>
  </si>
  <si>
    <t>-626.491682307219 214.772862109703 -519.79072589431</t>
  </si>
  <si>
    <t>-492.726393363313 318.438552351564 -294.094288195733</t>
  </si>
  <si>
    <t>-262.075776781815 291.682263989025 -299.832228486977</t>
  </si>
  <si>
    <t>-586.170938835328 146.434787882337 -96.498696748011</t>
  </si>
  <si>
    <t>-619.765649226194 148.528542569662 317.710934529127</t>
  </si>
  <si>
    <t>-673.188951989628 178.655576004044 776.804195483747</t>
  </si>
  <si>
    <t>-523.415233919728 179.997903707943 835.539739989959</t>
  </si>
  <si>
    <t>-590.818168166257 -59.3651763364603 323.398980470213</t>
  </si>
  <si>
    <t>-647.968550102438 -99.52221453172 781.233999649313</t>
  </si>
  <si>
    <t>-494.73304266338 -118.455618174017 826.447098590807</t>
  </si>
  <si>
    <t>9763-20170724T115540.224876800.bin</t>
  </si>
  <si>
    <t>-584.621623049874 52.8469121515152 -92.4555897527965</t>
  </si>
  <si>
    <t>-605.350480360522 49.4686827382948 -201.158858481604</t>
  </si>
  <si>
    <t>-620.738454914007 45.009907656955 -292.641919254352</t>
  </si>
  <si>
    <t>-634.778078257784 40.3320995415363 -375.220032316916</t>
  </si>
  <si>
    <t>-648.40514883018 34.9864157499387 -457.826801967103</t>
  </si>
  <si>
    <t>-667.886095216948 26.4321534434519 -578.625174619335</t>
  </si>
  <si>
    <t>-660.643824021693 19.9175007779525 -656.376812011231</t>
  </si>
  <si>
    <t>-657.638633266961 61.4021971154905 -528.104584254602</t>
  </si>
  <si>
    <t>-627.316488647606 214.189173944075 -519.539948031666</t>
  </si>
  <si>
    <t>-494.49213033559 314.911434290548 -291.962873125553</t>
  </si>
  <si>
    <t>-263.703675669863 289.359443966192 -297.647792044434</t>
  </si>
  <si>
    <t>-587.08416083633 146.012394205149 -96.5898967730235</t>
  </si>
  <si>
    <t>-620.296993956966 148.292113254735 317.649562708501</t>
  </si>
  <si>
    <t>-673.211742522236 178.586731341489 776.795294371033</t>
  </si>
  <si>
    <t>-523.421029764163 179.967331945398 835.486553036456</t>
  </si>
  <si>
    <t>-591.346567631104 -59.4057201930248 323.319528173511</t>
  </si>
  <si>
    <t>-648.021970534551 -99.4870949152805 781.215711957495</t>
  </si>
  <si>
    <t>-494.753416898686 -118.342725174699 826.349241612424</t>
  </si>
  <si>
    <t>9763-20170724T115540.256963200.bin</t>
  </si>
  <si>
    <t>-585.029929093629 52.6889614990846 -92.5010008068705</t>
  </si>
  <si>
    <t>-605.841838374995 49.3052335025889 -201.188159877495</t>
  </si>
  <si>
    <t>-621.292986827732 44.8463615723122 -292.660702514577</t>
  </si>
  <si>
    <t>-635.38703534519 40.171045386478 -375.229765971843</t>
  </si>
  <si>
    <t>-649.066216441859 34.8293186477938 -457.827969206687</t>
  </si>
  <si>
    <t>-668.620925902738 26.2824454581585 -578.614903373225</t>
  </si>
  <si>
    <t>-661.38861842144 19.7701781272274 -656.367839194612</t>
  </si>
  <si>
    <t>-658.295433268994 61.2461312272787 -528.105803608089</t>
  </si>
  <si>
    <t>-627.575764415762 213.946601254463 -519.388123661625</t>
  </si>
  <si>
    <t>-495.160539068481 312.851377401964 -290.77774473385</t>
  </si>
  <si>
    <t>-264.289196875417 288.05366337609 -296.436200663004</t>
  </si>
  <si>
    <t>-587.48698555476 145.810640422221 -96.6399892699028</t>
  </si>
  <si>
    <t>-620.475407039751 148.239566995378 317.616515528968</t>
  </si>
  <si>
    <t>-673.188066343165 178.668502456309 776.784246534173</t>
  </si>
  <si>
    <t>-523.391303747037 180.037241112704 835.460350825388</t>
  </si>
  <si>
    <t>-591.520041628167 -59.3712131059287 323.297684263983</t>
  </si>
  <si>
    <t>-648.057754699388 -99.4719571700432 781.204573227621</t>
  </si>
  <si>
    <t>-494.774908939062 -118.344559750451 826.282482657199</t>
  </si>
  <si>
    <t>9763-20170724T115540.328164000.bin</t>
  </si>
  <si>
    <t>-585.755617874377 52.4922915640777 -92.5369423030054</t>
  </si>
  <si>
    <t>-606.784338963756 49.1008919280976 -201.182249606889</t>
  </si>
  <si>
    <t>-622.403937131819 44.64457654784 -292.626242909015</t>
  </si>
  <si>
    <t>-636.644784325477 39.9762527046266 -375.170432026413</t>
  </si>
  <si>
    <t>-650.465727722457 34.6450575584313 -457.745733841961</t>
  </si>
  <si>
    <t>-670.222395502898 26.1170937103325 -578.50126992789</t>
  </si>
  <si>
    <t>-663.060622105636 19.5588219685219 -656.256727102444</t>
  </si>
  <si>
    <t>-659.715772470927 61.0661268513936 -528.019278945181</t>
  </si>
  <si>
    <t>-627.869874451825 213.505571666553 -518.789407703985</t>
  </si>
  <si>
    <t>-496.248953431106 308.486942492306 -288.066629933769</t>
  </si>
  <si>
    <t>-265.203964348366 285.364844945574 -293.733938487373</t>
  </si>
  <si>
    <t>-588.199541545316 145.474698629963 -96.7024964749781</t>
  </si>
  <si>
    <t>-620.796008484195 148.150659028259 317.583520827513</t>
  </si>
  <si>
    <t>-673.182713268662 178.683271199656 776.778300066932</t>
  </si>
  <si>
    <t>-523.377156547517 179.957145925365 835.433975482991</t>
  </si>
  <si>
    <t>-591.723564720083 -59.0625786617625 323.301659939391</t>
  </si>
  <si>
    <t>-648.181901091536 -99.4177270579989 781.172353341822</t>
  </si>
  <si>
    <t>-494.828638296706 -118.196850405449 826.049377431659</t>
  </si>
  <si>
    <t>9763-20170724T115540.360263400.bin</t>
  </si>
  <si>
    <t>-586.14544055655 52.3755519035765 -92.5623791975928</t>
  </si>
  <si>
    <t>-607.304661942373 48.9785926335803 -201.182097796677</t>
  </si>
  <si>
    <t>-623.003543130102 44.5183858983587 -292.612351633957</t>
  </si>
  <si>
    <t>-637.303775574038 39.8474441290136 -375.146093455416</t>
  </si>
  <si>
    <t>-651.172075258434 34.5135651115497 -457.713321585466</t>
  </si>
  <si>
    <t>-670.98478596611 25.9814553553458 -578.459345131207</t>
  </si>
  <si>
    <t>-663.85802983651 19.3855050566301 -656.214858159863</t>
  </si>
  <si>
    <t>-660.411277956343 60.9288931031256 -527.990404270259</t>
  </si>
  <si>
    <t>-628.067813541454 213.245056512214 -518.51942885742</t>
  </si>
  <si>
    <t>-496.851579322808 306.124141141078 -286.712686744585</t>
  </si>
  <si>
    <t>-265.71979540252 283.871667922896 -292.32105220326</t>
  </si>
  <si>
    <t>-588.539731959287 145.26437708599 -96.7348361545337</t>
  </si>
  <si>
    <t>-620.932001407919 148.092381735401 317.566175561356</t>
  </si>
  <si>
    <t>-673.198539667583 178.608074030298 776.770318683394</t>
  </si>
  <si>
    <t>-523.387073442396 179.893174671308 835.410762091531</t>
  </si>
  <si>
    <t>-591.940373646683 -58.9298097359485 323.291638312021</t>
  </si>
  <si>
    <t>-648.261436218234 -99.3686135390119 781.144472594956</t>
  </si>
  <si>
    <t>-494.853839865263 -118.02157094323 825.888155384801</t>
  </si>
  <si>
    <t>9763-20170724T115540.428434900.bin</t>
  </si>
  <si>
    <t>-586.873270285457 51.8130181464819 -92.7047144455745</t>
  </si>
  <si>
    <t>-608.253702107026 48.4141955129462 -201.281042107304</t>
  </si>
  <si>
    <t>-624.070114793983 43.9571484628411 -292.691138324699</t>
  </si>
  <si>
    <t>-638.449046677347 39.292185721466 -375.211646393183</t>
  </si>
  <si>
    <t>-652.368938672919 33.9652827703665 -457.770644278634</t>
  </si>
  <si>
    <t>-672.227588418812 25.4437813863058 -578.509823422164</t>
  </si>
  <si>
    <t>-665.191464916591 18.7915535958603 -656.26873743991</t>
  </si>
  <si>
    <t>-661.534894110955 60.3794095067162 -528.057710129576</t>
  </si>
  <si>
    <t>-628.209990824775 212.457923621012 -518.081539776997</t>
  </si>
  <si>
    <t>-498.344735852983 301.330870544784 -283.955089998085</t>
  </si>
  <si>
    <t>-267.042339801392 280.844526223311 -289.250509394622</t>
  </si>
  <si>
    <t>-589.123079314735 144.647773774121 -96.8619008473395</t>
  </si>
  <si>
    <t>-621.175643954544 147.789872926257 317.46331385627</t>
  </si>
  <si>
    <t>-673.192579138819 178.564691023441 776.697456062171</t>
  </si>
  <si>
    <t>-523.378269215285 179.94272945137 835.328397053876</t>
  </si>
  <si>
    <t>-592.56301146304 -59.1840351370572 323.188928273222</t>
  </si>
  <si>
    <t>-648.344806729707 -99.3444985363149 781.12688153789</t>
  </si>
  <si>
    <t>-494.920029221121 -118.144110081924 825.750141156072</t>
  </si>
  <si>
    <t>9763-20170724T115540.459516000.bin</t>
  </si>
  <si>
    <t>-587.229130832055 51.3673486760956 -92.7790227677554</t>
  </si>
  <si>
    <t>-608.69524821546 47.9709576570676 -201.338609253766</t>
  </si>
  <si>
    <t>-624.53117033739 43.5197746519709 -292.745601113098</t>
  </si>
  <si>
    <t>-638.906739736374 38.8616839835659 -375.267005343369</t>
  </si>
  <si>
    <t>-652.802219450936 33.5424455682844 -457.830586616235</t>
  </si>
  <si>
    <t>-672.602154278038 25.0325440274241 -578.580286719906</t>
  </si>
  <si>
    <t>-665.620066078386 18.3829687136495 -656.344219508004</t>
  </si>
  <si>
    <t>-661.889869070978 59.9598961125027 -528.126701047059</t>
  </si>
  <si>
    <t>-628.080964549044 211.914555677564 -517.927510067004</t>
  </si>
  <si>
    <t>-499.04454039728 298.79111242507 -282.596607951175</t>
  </si>
  <si>
    <t>-267.661054578439 279.082199860183 -287.26163662235</t>
  </si>
  <si>
    <t>-589.406506771853 144.241261179231 -96.9350531827761</t>
  </si>
  <si>
    <t>-621.303769263691 147.529692401334 317.40095593821</t>
  </si>
  <si>
    <t>-673.183736930122 178.574243869724 776.647957424327</t>
  </si>
  <si>
    <t>-523.370455058107 179.94122502561 835.281787257157</t>
  </si>
  <si>
    <t>-592.836798900704 -59.4452974448527 323.133946910981</t>
  </si>
  <si>
    <t>-648.376564822411 -99.3173749247612 781.128398182302</t>
  </si>
  <si>
    <t>-494.920045952096 -117.983535858504 825.698487118257</t>
  </si>
  <si>
    <t>9763-20170724T115540.529721000.bin</t>
  </si>
  <si>
    <t>-587.931931991929 50.3546688792565 -92.9100217068311</t>
  </si>
  <si>
    <t>-609.479035143373 46.983719949347 -201.454387153527</t>
  </si>
  <si>
    <t>-625.302176813869 42.5717933684102 -292.865471914879</t>
  </si>
  <si>
    <t>-639.633765225479 37.9571722750627 -375.396927188704</t>
  </si>
  <si>
    <t>-653.4528475636 32.6874196824981 -457.976604149147</t>
  </si>
  <si>
    <t>-673.105582136952 24.2558244319048 -578.755718575716</t>
  </si>
  <si>
    <t>-666.237624117197 17.6445459907088 -656.533214921281</t>
  </si>
  <si>
    <t>-662.357398422362 59.1427257070966 -528.281873357492</t>
  </si>
  <si>
    <t>-627.691299449945 210.87782589297 -517.723503926542</t>
  </si>
  <si>
    <t>-500.279618500484 294.223075398441 -280.239986558192</t>
  </si>
  <si>
    <t>-268.795760840203 275.458740985149 -283.653933326984</t>
  </si>
  <si>
    <t>-589.981204911665 143.309917197679 -97.0788062750754</t>
  </si>
  <si>
    <t>-621.55106601159 146.974827433263 317.279152081008</t>
  </si>
  <si>
    <t>-673.160505333153 178.560144084537 776.523643984396</t>
  </si>
  <si>
    <t>-523.353233225721 179.887060908861 835.17382760833</t>
  </si>
  <si>
    <t>-593.371716065885 -60.008019866998 323.030082454583</t>
  </si>
  <si>
    <t>-648.415827249866 -99.3184614131612 781.126558831663</t>
  </si>
  <si>
    <t>-494.926710689105 -117.803354390142 825.659919741125</t>
  </si>
  <si>
    <t>9763-20170724T115540.562807800.bin</t>
  </si>
  <si>
    <t>-588.255960663745 49.8126113328772 -92.9849219854717</t>
  </si>
  <si>
    <t>-609.817250413143 46.4652779084713 -201.527168962992</t>
  </si>
  <si>
    <t>-625.642903646722 42.0813104692404 -292.939215051892</t>
  </si>
  <si>
    <t>-639.972866019656 37.4961932473684 -375.472669209694</t>
  </si>
  <si>
    <t>-653.786424141465 32.2593499035722 -458.055175304663</t>
  </si>
  <si>
    <t>-673.42685598391 23.8791974763926 -578.839885248983</t>
  </si>
  <si>
    <t>-666.614219421463 17.2978625813457 -656.624854376041</t>
  </si>
  <si>
    <t>-662.64403857205 58.7414477288287 -528.356263033616</t>
  </si>
  <si>
    <t>-627.682066910411 210.398840848688 -517.661061728684</t>
  </si>
  <si>
    <t>-500.852305373479 291.888732295587 -279.224026790485</t>
  </si>
  <si>
    <t>-269.334624786793 273.440244726124 -282.008469378695</t>
  </si>
  <si>
    <t>-590.219839317079 142.801846042722 -97.1546488664928</t>
  </si>
  <si>
    <t>-621.661796593455 146.651255916578 317.211319351138</t>
  </si>
  <si>
    <t>-673.141483941271 178.546988053939 776.456749947548</t>
  </si>
  <si>
    <t>-523.341724860581 179.779572323429 835.128276677809</t>
  </si>
  <si>
    <t>-593.68087960068 -60.3196521738603 322.969563997675</t>
  </si>
  <si>
    <t>-648.416181684375 -99.3137119775784 781.131968697083</t>
  </si>
  <si>
    <t>-494.895525707741 -117.523132061497 825.670114026892</t>
  </si>
  <si>
    <t>9763-20170724T115540.626981300.bin</t>
  </si>
  <si>
    <t>-588.882318642835 48.7513157264857 -93.1256524477905</t>
  </si>
  <si>
    <t>-610.476507112792 45.4518149430246 -201.662785954077</t>
  </si>
  <si>
    <t>-626.334021868027 41.1512917636041 -293.073189976531</t>
  </si>
  <si>
    <t>-640.693934343252 36.6609665119386 -375.606689872998</t>
  </si>
  <si>
    <t>-654.538352935376 31.5370654860869 -458.191363522359</t>
  </si>
  <si>
    <t>-674.224448588442 23.3423720118133 -578.981326764047</t>
  </si>
  <si>
    <t>-667.50249160617 16.8648996263646 -656.782768197055</t>
  </si>
  <si>
    <t>-663.347145034934 58.1207409156177 -528.460226972491</t>
  </si>
  <si>
    <t>-627.866098789873 209.632829424056 -517.406963678855</t>
  </si>
  <si>
    <t>-502.155688578741 287.370145633475 -277.131236774173</t>
  </si>
  <si>
    <t>-270.548334299694 270.037249459768 -279.6102930048</t>
  </si>
  <si>
    <t>-590.656884314643 141.785485491243 -97.2972266615984</t>
  </si>
  <si>
    <t>-621.858687445093 146.028828731154 317.083050109486</t>
  </si>
  <si>
    <t>-673.12241959933 178.469750399549 776.323402059761</t>
  </si>
  <si>
    <t>-523.339789161591 179.639034099953 835.03977492878</t>
  </si>
  <si>
    <t>-594.240526314676 -60.9694121061291 322.86282373492</t>
  </si>
  <si>
    <t>-648.449292985809 -99.338555928093 781.13999396801</t>
  </si>
  <si>
    <t>-494.95228189146 -117.76772656806 825.669198731375</t>
  </si>
  <si>
    <t>9763-20170724T115540.660069500.bin</t>
  </si>
  <si>
    <t>-589.132424638807 48.1615705216841 -93.1939687410642</t>
  </si>
  <si>
    <t>-610.755634094862 44.8795985101935 -201.725934304712</t>
  </si>
  <si>
    <t>-626.640475914039 40.6242875078715 -293.133677014137</t>
  </si>
  <si>
    <t>-641.025721020216 36.188224286117 -375.665661482984</t>
  </si>
  <si>
    <t>-654.896022729945 31.1313106487928 -458.250088572694</t>
  </si>
  <si>
    <t>-674.620383705219 23.0483372533386 -579.041319881555</t>
  </si>
  <si>
    <t>-667.929331026229 16.6404287486757 -656.851321424705</t>
  </si>
  <si>
    <t>-663.700813739371 57.777779482388 -528.495577618718</t>
  </si>
  <si>
    <t>-628.089424968014 209.249721750578 -517.318575990032</t>
  </si>
  <si>
    <t>-502.919682137664 285.265791973382 -276.211340847705</t>
  </si>
  <si>
    <t>-271.2584713657 268.680864218772 -278.769552015992</t>
  </si>
  <si>
    <t>-590.834939024914 141.17985353949 -97.3611971733629</t>
  </si>
  <si>
    <t>-621.949107846286 145.643390727965 317.023409949066</t>
  </si>
  <si>
    <t>-673.134820232879 178.338360627385 776.259194157893</t>
  </si>
  <si>
    <t>-523.359939576007 179.882291631121 834.986819293431</t>
  </si>
  <si>
    <t>-594.475362295982 -61.3198986616756 322.80267259615</t>
  </si>
  <si>
    <t>-648.457262584815 -99.372850394014 781.13716167039</t>
  </si>
  <si>
    <t>-494.992321174365 -118.036611486087 825.679231320321</t>
  </si>
  <si>
    <t>9763-20170724T115540.727270900.bin</t>
  </si>
  <si>
    <t>-589.540263287936 47.0610116260091 -93.3127859155231</t>
  </si>
  <si>
    <t>-611.283290090109 43.8169707509237 -201.82181958033</t>
  </si>
  <si>
    <t>-627.275834953206 39.660653416903 -293.215508691771</t>
  </si>
  <si>
    <t>-641.7602202087 35.3415892398534 -375.736255402034</t>
  </si>
  <si>
    <t>-655.730949448868 30.4293308312313 -458.312396339335</t>
  </si>
  <si>
    <t>-675.603029892028 22.5881134148988 -579.095570717136</t>
  </si>
  <si>
    <t>-668.95172254304 16.3290580778953 -656.920890678072</t>
  </si>
  <si>
    <t>-664.606775084946 57.2150400829053 -528.496123490641</t>
  </si>
  <si>
    <t>-628.859151838713 208.624076367491 -516.94993838584</t>
  </si>
  <si>
    <t>-504.873508049638 281.931783907335 -274.396594006125</t>
  </si>
  <si>
    <t>-273.153631848384 266.194730698338 -276.998446555508</t>
  </si>
  <si>
    <t>-591.175170219668 140.154129927386 -97.4935504727506</t>
  </si>
  <si>
    <t>-621.995867488593 144.95156103453 316.909244196722</t>
  </si>
  <si>
    <t>-673.114214891882 178.177470504304 776.10995029788</t>
  </si>
  <si>
    <t>-523.366268879723 179.831846743332 834.903209021276</t>
  </si>
  <si>
    <t>-594.89373039839 -61.9672369210032 322.693563485204</t>
  </si>
  <si>
    <t>-648.462415345575 -99.3877903026357 781.143548223395</t>
  </si>
  <si>
    <t>-494.989169502652 -117.936166091451 825.705190763797</t>
  </si>
  <si>
    <t>9763-20170724T115540.762384500.bin</t>
  </si>
  <si>
    <t>-589.732826415207 46.6152535153583 -93.3700113040882</t>
  </si>
  <si>
    <t>-611.550128683459 43.3829330574047 -201.864578695995</t>
  </si>
  <si>
    <t>-627.585542437002 39.2847708397369 -293.25330231047</t>
  </si>
  <si>
    <t>-642.099943390341 35.0380312703032 -375.772566540189</t>
  </si>
  <si>
    <t>-656.091767973602 30.2172524333841 -458.350570115496</t>
  </si>
  <si>
    <t>-675.984305503457 22.5309689300173 -579.140110841782</t>
  </si>
  <si>
    <t>-669.326193178149 16.3621196402762 -656.972269235716</t>
  </si>
  <si>
    <t>-664.986467088002 57.0936131403798 -528.497119355262</t>
  </si>
  <si>
    <t>-629.209543500201 208.480247497254 -516.738327255355</t>
  </si>
  <si>
    <t>-506.099447409426 281.000781233312 -273.503251467245</t>
  </si>
  <si>
    <t>-274.370944205297 265.443546773107 -276.401930388702</t>
  </si>
  <si>
    <t>-591.333861851028 139.727753732689 -97.5482784112128</t>
  </si>
  <si>
    <t>-622.040585831948 144.690566443348 316.861035977446</t>
  </si>
  <si>
    <t>-673.092324402023 178.175447170418 776.050648918261</t>
  </si>
  <si>
    <t>-523.355333339094 179.773715190111 834.873292192819</t>
  </si>
  <si>
    <t>-595.029088143859 -62.1649334352931 322.652902971774</t>
  </si>
  <si>
    <t>-648.489437733858 -99.3652847611518 781.136657991094</t>
  </si>
  <si>
    <t>-494.985911557776 -117.728722071014 825.670574734138</t>
  </si>
  <si>
    <t>9763-20170724T115540.827547100.bin</t>
  </si>
  <si>
    <t>-590.164631567028 45.7118973126546 -93.4592664540588</t>
  </si>
  <si>
    <t>-612.12087126673 42.4912294583742 -201.925987982845</t>
  </si>
  <si>
    <t>-628.205591298217 38.4854499672269 -293.310234552373</t>
  </si>
  <si>
    <t>-642.736067611891 34.3538796744324 -375.832603873308</t>
  </si>
  <si>
    <t>-656.714694948489 29.6803756855757 -458.421261679519</t>
  </si>
  <si>
    <t>-676.554993277455 22.2447464292181 -579.235119071147</t>
  </si>
  <si>
    <t>-669.840955470628 16.2644589877946 -657.077133741813</t>
  </si>
  <si>
    <t>-665.650398586788 56.7081788894084 -528.504586063758</t>
  </si>
  <si>
    <t>-630.21126255272 208.152078249822 -516.378864173053</t>
  </si>
  <si>
    <t>-508.37551996112 279.566922285604 -272.176923459644</t>
  </si>
  <si>
    <t>-276.624292357105 264.4259668702 -275.440150991385</t>
  </si>
  <si>
    <t>-591.796225697301 138.893653381224 -97.6446931447454</t>
  </si>
  <si>
    <t>-622.193028092573 144.146830071631 316.78384646306</t>
  </si>
  <si>
    <t>-673.076077767447 178.053368347191 775.962571013055</t>
  </si>
  <si>
    <t>-523.354768661099 179.788675970696 834.821184515003</t>
  </si>
  <si>
    <t>-595.333786117855 -62.6999639011224 322.566892466773</t>
  </si>
  <si>
    <t>-648.531713490835 -99.3940979667771 781.121198699858</t>
  </si>
  <si>
    <t>-495.055704648306 -118.016252306908 825.642626199351</t>
  </si>
  <si>
    <t>9763-20170724T115540.860642000.bin</t>
  </si>
  <si>
    <t>-590.395293038078 45.3864234318996 -93.5044127056093</t>
  </si>
  <si>
    <t>-612.445537638208 42.1643495032797 -201.952237047122</t>
  </si>
  <si>
    <t>-628.591015048227 38.1987149699073 -293.327398854926</t>
  </si>
  <si>
    <t>-643.168629734897 34.1184374931638 -375.843997244078</t>
  </si>
  <si>
    <t>-657.186149927987 29.5124128727282 -458.429766647582</t>
  </si>
  <si>
    <t>-677.074177177716 22.1923822629537 -579.242945572968</t>
  </si>
  <si>
    <t>-670.341443375241 16.3035565173614 -657.090289932917</t>
  </si>
  <si>
    <t>-666.191650973996 56.6108416552831 -528.476821546337</t>
  </si>
  <si>
    <t>-630.972402120018 208.084700991265 -516.150123961439</t>
  </si>
  <si>
    <t>-509.319130124643 278.730962388644 -271.633841672953</t>
  </si>
  <si>
    <t>-277.543902400886 263.954925770389 -274.863197627192</t>
  </si>
  <si>
    <t>-592.116842245741 138.5919273652 -97.6786010184773</t>
  </si>
  <si>
    <t>-622.293021468188 143.978529830745 316.764385932682</t>
  </si>
  <si>
    <t>-673.045254943468 178.088385921752 775.931033108923</t>
  </si>
  <si>
    <t>-523.327934209624 179.648387186375 834.804743077152</t>
  </si>
  <si>
    <t>-595.445481573344 -62.8997788538975 322.523257589197</t>
  </si>
  <si>
    <t>-648.537309437799 -99.3775898382451 781.116317806958</t>
  </si>
  <si>
    <t>-495.037140787152 -117.791421781367 825.641001989661</t>
  </si>
  <si>
    <t>9763-20170724T115540.926327500.bin</t>
  </si>
  <si>
    <t>-591.030604263817 44.9869835319018 -93.5656863727141</t>
  </si>
  <si>
    <t>-613.320336082535 41.7314880006411 -201.96339585417</t>
  </si>
  <si>
    <t>-629.605636141654 37.8521564598291 -293.317451584711</t>
  </si>
  <si>
    <t>-644.283252807133 33.8936075774884 -375.822286653765</t>
  </si>
  <si>
    <t>-658.37392532674 29.4534328770669 -458.404783630829</t>
  </si>
  <si>
    <t>-678.338494735875 22.4242679513441 -579.222510837468</t>
  </si>
  <si>
    <t>-671.586697977116 16.7557231682731 -657.084573710703</t>
  </si>
  <si>
    <t>-667.492304226519 56.7256776709135 -528.369665247568</t>
  </si>
  <si>
    <t>-632.543092726658 208.21203985528 -515.556964047241</t>
  </si>
  <si>
    <t>-511.020052371667 277.617113043227 -270.620838169403</t>
  </si>
  <si>
    <t>-279.245276923631 262.907065248709 -274.172392613759</t>
  </si>
  <si>
    <t>-592.909901594068 138.151982055872 -97.7383220858991</t>
  </si>
  <si>
    <t>-622.60959404874 143.771311043035 316.736032488743</t>
  </si>
  <si>
    <t>-673.004301427073 178.137384093279 775.907780231277</t>
  </si>
  <si>
    <t>-523.280552008954 179.715787577435 834.764633050271</t>
  </si>
  <si>
    <t>-595.598587391733 -63.0690480438391 322.490342857902</t>
  </si>
  <si>
    <t>-648.597075811873 -99.3423269463897 781.09957708051</t>
  </si>
  <si>
    <t>-495.0199760198 -117.283456833015 825.551913348838</t>
  </si>
  <si>
    <t>9763-20170724T115540.958411100.bin</t>
  </si>
  <si>
    <t>-591.460999189682 44.7940992478566 -93.6202858120973</t>
  </si>
  <si>
    <t>-613.856183189316 41.5167549104226 -201.995633253433</t>
  </si>
  <si>
    <t>-630.174826596532 37.6665270949254 -293.344958030332</t>
  </si>
  <si>
    <t>-644.85974198203 33.7521264496515 -375.850615819851</t>
  </si>
  <si>
    <t>-658.934412972291 29.3742598236013 -458.439102804585</t>
  </si>
  <si>
    <t>-678.849770671053 22.4554985772347 -579.27150800495</t>
  </si>
  <si>
    <t>-672.081861876075 16.8953180926976 -657.139833813126</t>
  </si>
  <si>
    <t>-668.052735363781 56.7125819712098 -528.378230910188</t>
  </si>
  <si>
    <t>-633.220830355075 208.2207580833 -515.343625525481</t>
  </si>
  <si>
    <t>-511.873602757155 277.097828355845 -270.171472860478</t>
  </si>
  <si>
    <t>-280.108756623344 262.282794156667 -273.926359196608</t>
  </si>
  <si>
    <t>-593.384997479601 137.934483478877 -97.7850772499341</t>
  </si>
  <si>
    <t>-622.876765610798 143.632893075376 316.703051459487</t>
  </si>
  <si>
    <t>-673.021356272361 178.056840638772 775.911426770959</t>
  </si>
  <si>
    <t>-523.290104389159 179.797627370252 834.744599770667</t>
  </si>
  <si>
    <t>-595.753703262411 -63.1062244876089 322.463437274498</t>
  </si>
  <si>
    <t>-648.637638599632 -99.3128329403462 781.087208683402</t>
  </si>
  <si>
    <t>-495.050990242848 -117.291434859978 825.491368157447</t>
  </si>
  <si>
    <t>9763-20170724T115541.027099500.bin</t>
  </si>
  <si>
    <t>-592.458560599394 44.4811105198796 -93.6904999188442</t>
  </si>
  <si>
    <t>-615.052540481904 41.178689069214 -202.023772574446</t>
  </si>
  <si>
    <t>-631.410519447897 37.3588552369913 -293.367455426103</t>
  </si>
  <si>
    <t>-646.07878814422 33.4909429138552 -375.878128665942</t>
  </si>
  <si>
    <t>-660.084309460837 29.1778466893852 -458.481853766565</t>
  </si>
  <si>
    <t>-679.840453095974 22.3732149335972 -579.346800322816</t>
  </si>
  <si>
    <t>-673.03304206659 17.010113699117 -657.225593916609</t>
  </si>
  <si>
    <t>-669.135994672245 56.5842355059569 -528.402979389234</t>
  </si>
  <si>
    <t>-634.47502671495 208.113378030606 -515.153494370382</t>
  </si>
  <si>
    <t>-513.923894850881 275.829140732613 -269.266251079034</t>
  </si>
  <si>
    <t>-282.170329202356 260.843748499138 -273.042853380924</t>
  </si>
  <si>
    <t>-594.428713518753 137.624628686289 -97.8711659209943</t>
  </si>
  <si>
    <t>-623.405884972872 143.520398068998 316.650427941599</t>
  </si>
  <si>
    <t>-673.020145425545 178.054216153932 775.908478001007</t>
  </si>
  <si>
    <t>-523.269762694995 179.614401998291 834.698029006628</t>
  </si>
  <si>
    <t>-596.150547114027 -63.1037457972438 322.404728953799</t>
  </si>
  <si>
    <t>-648.727689323163 -99.2795940573187 781.066573786483</t>
  </si>
  <si>
    <t>-495.149687933602 -117.584600454301 825.367242263122</t>
  </si>
  <si>
    <t>9763-20170724T115541.060188700.bin</t>
  </si>
  <si>
    <t>-592.968844735011 44.4115821362266 -93.7246095144238</t>
  </si>
  <si>
    <t>-615.686943955337 41.1055504699566 -202.031953115538</t>
  </si>
  <si>
    <t>-632.074838860975 37.3134156241856 -293.371234845241</t>
  </si>
  <si>
    <t>-646.739775826573 33.4818776891982 -375.884256475785</t>
  </si>
  <si>
    <t>-660.711212251313 29.2165078642124 -458.496202389272</t>
  </si>
  <si>
    <t>-680.383660063534 22.4932624766725 -579.379378052</t>
  </si>
  <si>
    <t>-673.555331321132 17.2207489605232 -657.262458001237</t>
  </si>
  <si>
    <t>-669.726931487145 56.6708461917988 -528.403138667931</t>
  </si>
  <si>
    <t>-635.116113472067 208.188128027439 -514.989843885841</t>
  </si>
  <si>
    <t>-514.987610677515 275.422481584085 -268.763785586551</t>
  </si>
  <si>
    <t>-283.245949528564 260.258866210964 -272.559202059533</t>
  </si>
  <si>
    <t>-594.957564905017 137.531071504867 -97.907888841395</t>
  </si>
  <si>
    <t>-623.676858611436 143.502242242657 316.630588543475</t>
  </si>
  <si>
    <t>-673.007609505916 178.101616025949 775.913121704937</t>
  </si>
  <si>
    <t>-523.246848186231 179.670803124229 834.676016093532</t>
  </si>
  <si>
    <t>-596.355127460453 -62.9530894193465 322.382969234242</t>
  </si>
  <si>
    <t>-648.772075937794 -99.2394906578979 781.052201469353</t>
  </si>
  <si>
    <t>-495.151208159507 -117.328611772247 825.292796503577</t>
  </si>
  <si>
    <t>9763-20170724T115541.129994600.bin</t>
  </si>
  <si>
    <t>-594.040459334354 44.3657324579767 -93.7720608893405</t>
  </si>
  <si>
    <t>-617.051458363759 41.0525145870552 -202.017311784083</t>
  </si>
  <si>
    <t>-633.516661292986 37.3172058591631 -293.345138394562</t>
  </si>
  <si>
    <t>-648.182504202692 33.5601907824625 -375.861413810396</t>
  </si>
  <si>
    <t>-662.085454841509 29.3914525713121 -458.489841168981</t>
  </si>
  <si>
    <t>-681.580856295889 22.8334362288483 -579.410727636242</t>
  </si>
  <si>
    <t>-674.662441687714 17.7042894285912 -657.295445879017</t>
  </si>
  <si>
    <t>-671.034996159478 56.944084466749 -528.366667800518</t>
  </si>
  <si>
    <t>-636.623740690183 208.497994548972 -514.7140501525</t>
  </si>
  <si>
    <t>-517.585745757252 274.846451071538 -267.719365022215</t>
  </si>
  <si>
    <t>-285.873558702644 259.383254224492 -272.064317324558</t>
  </si>
  <si>
    <t>-596.088625903044 137.371259404892 -97.9577507167753</t>
  </si>
  <si>
    <t>-624.238743574693 143.511187932004 316.61732035224</t>
  </si>
  <si>
    <t>-673.01010589678 178.091337903722 775.944310589279</t>
  </si>
  <si>
    <t>-523.225716629473 179.555792585982 834.649640064388</t>
  </si>
  <si>
    <t>-596.722545728729 -62.5899041804103 322.359939550145</t>
  </si>
  <si>
    <t>-648.866939136704 -99.1874894730674 781.028581081265</t>
  </si>
  <si>
    <t>-495.216138707215 -117.307705122304 825.152454454361</t>
  </si>
  <si>
    <t>9763-20170724T115541.164086300.bin</t>
  </si>
  <si>
    <t>-594.587410867435 44.3447597694912 -93.7902521267192</t>
  </si>
  <si>
    <t>-617.755955335481 41.0337312216211 -202.001888682559</t>
  </si>
  <si>
    <t>-634.2740510917 37.3212002224034 -293.321214452823</t>
  </si>
  <si>
    <t>-648.95527569195 33.591827288622 -375.835916663721</t>
  </si>
  <si>
    <t>-662.840844354487 29.4581630184764 -458.469106515163</t>
  </si>
  <si>
    <t>-682.274948392443 22.9583985356298 -579.402964871623</t>
  </si>
  <si>
    <t>-675.301739088984 17.8919389915152 -657.286851770417</t>
  </si>
  <si>
    <t>-671.776559551485 57.04597955645 -528.333713091699</t>
  </si>
  <si>
    <t>-637.540964101194 208.624983106508 -514.563529911535</t>
  </si>
  <si>
    <t>-519.208441674768 274.46722546245 -267.094794014285</t>
  </si>
  <si>
    <t>-287.519984359029 258.798753457364 -271.942057361459</t>
  </si>
  <si>
    <t>-596.660141715108 137.25163237537 -97.9745690553217</t>
  </si>
  <si>
    <t>-624.523232650186 143.484124394057 316.618513836816</t>
  </si>
  <si>
    <t>-673.027919995126 178.00401551133 775.969989030127</t>
  </si>
  <si>
    <t>-523.232968049368 179.698644714774 834.642251952068</t>
  </si>
  <si>
    <t>-596.882946037188 -62.3496703011806 322.35576989848</t>
  </si>
  <si>
    <t>-648.925207059081 -99.1594401891512 781.014865897804</t>
  </si>
  <si>
    <t>-495.225042307183 -117.066167887702 825.053835795444</t>
  </si>
  <si>
    <t>9763-20170724T115541.227759100.bin</t>
  </si>
  <si>
    <t>-595.757658032424 44.5796372450441 -93.7791643567423</t>
  </si>
  <si>
    <t>-619.298648099963 41.2287772473542 -201.909126004958</t>
  </si>
  <si>
    <t>-635.953356740091 37.5770723240273 -293.205980639275</t>
  </si>
  <si>
    <t>-650.685575734532 33.9376681187644 -375.715721343769</t>
  </si>
  <si>
    <t>-664.548978265304 29.9287962475696 -458.358719069224</t>
  </si>
  <si>
    <t>-683.869514239594 23.6490459549991 -579.322443241493</t>
  </si>
  <si>
    <t>-676.761105804022 18.8011421944675 -657.208081442792</t>
  </si>
  <si>
    <t>-673.488914787242 57.6486890691197 -528.170565625924</t>
  </si>
  <si>
    <t>-639.670818185191 209.292734554196 -514.083395095222</t>
  </si>
  <si>
    <t>-522.798443831189 273.878989229328 -265.591815110189</t>
  </si>
  <si>
    <t>-291.146764694653 257.769410181795 -270.740297432487</t>
  </si>
  <si>
    <t>-598.015089867104 137.302577346319 -97.9866868110898</t>
  </si>
  <si>
    <t>-625.081134618856 143.688901461057 316.656773489516</t>
  </si>
  <si>
    <t>-673.0250991458 178.04096599352 776.064243905938</t>
  </si>
  <si>
    <t>-523.195057805299 179.575706364872 834.65115815871</t>
  </si>
  <si>
    <t>-597.025380836917 -61.5922245277566 322.388929204287</t>
  </si>
  <si>
    <t>-649.096352873157 -99.0938171220762 780.966400801569</t>
  </si>
  <si>
    <t>-495.31234503121 -116.884074733704 824.759191019389</t>
  </si>
  <si>
    <t>9763-20170724T115541.258841600.bin</t>
  </si>
  <si>
    <t>-596.394903722459 44.6590447875312 -93.7788125461585</t>
  </si>
  <si>
    <t>-620.130024936113 41.2742665875735 -201.865302582872</t>
  </si>
  <si>
    <t>-636.871864170846 37.6430643778192 -293.147028515414</t>
  </si>
  <si>
    <t>-651.651432667095 34.0401543602491 -375.649896556654</t>
  </si>
  <si>
    <t>-665.530538155694 30.0858367576905 -458.292822103749</t>
  </si>
  <si>
    <t>-684.838892950899 23.9053931146209 -579.263672551472</t>
  </si>
  <si>
    <t>-677.661783360395 19.1951794382019 -657.151407225174</t>
  </si>
  <si>
    <t>-674.502258330885 57.8657389451291 -528.0767991741</t>
  </si>
  <si>
    <t>-640.887513407194 209.53607987974 -513.801359397336</t>
  </si>
  <si>
    <t>-524.707858355654 273.198760383324 -264.747300929415</t>
  </si>
  <si>
    <t>-293.035831274609 257.359588390679 -269.820256666088</t>
  </si>
  <si>
    <t>-598.786932032375 137.34940923374 -97.9997747022308</t>
  </si>
  <si>
    <t>-625.390980009519 143.813974115714 316.672427640592</t>
  </si>
  <si>
    <t>-673.006387848301 178.132670984773 776.113728901341</t>
  </si>
  <si>
    <t>-523.154047525648 179.453374031837 834.648847580805</t>
  </si>
  <si>
    <t>-597.189905392692 -61.3346511763302 322.383319648278</t>
  </si>
  <si>
    <t>-649.192587575389 -99.0643340036077 780.939086439656</t>
  </si>
  <si>
    <t>-495.360917678288 -116.775044263916 824.596542738935</t>
  </si>
  <si>
    <t>9763-20170724T115541.325634300.bin</t>
  </si>
  <si>
    <t>-597.735927588142 44.7458867420755 -93.8453808890794</t>
  </si>
  <si>
    <t>-621.793225816257 41.2725609474264 -201.857849765768</t>
  </si>
  <si>
    <t>-638.70081587052 37.7173286094417 -293.111935401271</t>
  </si>
  <si>
    <t>-653.586015527281 34.2396541331086 -375.601218500938</t>
  </si>
  <si>
    <t>-667.525702974488 30.4684296603925 -458.242587074283</t>
  </si>
  <si>
    <t>-686.872038302425 24.6187214604574 -579.223727623232</t>
  </si>
  <si>
    <t>-679.602424006676 20.2670179281197 -657.123813207243</t>
  </si>
  <si>
    <t>-676.618715233428 58.4456915636285 -527.931964761794</t>
  </si>
  <si>
    <t>-643.417936513272 210.161942449383 -513.244381440602</t>
  </si>
  <si>
    <t>-528.381681161802 271.833097846898 -263.160590767206</t>
  </si>
  <si>
    <t>-296.670672044411 256.353628599321 -267.511091541109</t>
  </si>
  <si>
    <t>-600.361664936157 137.325455092123 -98.0537002684563</t>
  </si>
  <si>
    <t>-626.164280314199 143.937137685835 316.666813043825</t>
  </si>
  <si>
    <t>-673.037063194219 178.031014344017 776.204092150135</t>
  </si>
  <si>
    <t>-523.145504763739 179.453727198146 834.636255520255</t>
  </si>
  <si>
    <t>-597.733172756865 -60.9278162198132 322.357854840147</t>
  </si>
  <si>
    <t>-649.33650729907 -99.0091236509429 780.910106993878</t>
  </si>
  <si>
    <t>-495.424031633442 -116.505185934529 824.368813101439</t>
  </si>
  <si>
    <t>9763-20170724T115541.358723200.bin</t>
  </si>
  <si>
    <t>-598.395203727199 44.7319091287038 -93.8940898067116</t>
  </si>
  <si>
    <t>-622.540214266995 41.2325796841321 -201.886120172693</t>
  </si>
  <si>
    <t>-639.53984754695 37.7378693422249 -293.125515862384</t>
  </si>
  <si>
    <t>-654.514608797937 34.347418518043 -375.602191569647</t>
  </si>
  <si>
    <t>-668.549723729908 30.6971750399402 -458.232793684603</t>
  </si>
  <si>
    <t>-688.041653880946 25.0613950928889 -579.200751503799</t>
  </si>
  <si>
    <t>-680.803781925636 20.9027269246515 -657.114337024597</t>
  </si>
  <si>
    <t>-677.772213285181 58.8005677388314 -527.854381876154</t>
  </si>
  <si>
    <t>-644.721626820656 210.533790301442 -512.949369564939</t>
  </si>
  <si>
    <t>-530.311510207111 271.257274072478 -262.346991126359</t>
  </si>
  <si>
    <t>-298.591959113098 255.891984182017 -266.648284211972</t>
  </si>
  <si>
    <t>-601.073658699273 137.271448746008 -98.0968408359697</t>
  </si>
  <si>
    <t>-626.548744297421 144.016467843494 316.641778377361</t>
  </si>
  <si>
    <t>-673.016204290293 178.13795451028 776.233825555517</t>
  </si>
  <si>
    <t>-523.107322839659 179.462660715816 834.623855866341</t>
  </si>
  <si>
    <t>-598.111886744529 -60.8297455974187 322.33093994693</t>
  </si>
  <si>
    <t>-649.413505587414 -98.9729043656735 780.895510491635</t>
  </si>
  <si>
    <t>-495.430168068292 -116.110971651646 824.24580976932</t>
  </si>
  <si>
    <t>9763-20170724T115541.429919100.bin</t>
  </si>
  <si>
    <t>-599.635523126504 44.2785071384346 -93.9939962350591</t>
  </si>
  <si>
    <t>-623.876895292181 40.7552847471718 -201.963626852561</t>
  </si>
  <si>
    <t>-641.046184451933 37.3823810895826 -293.175753864615</t>
  </si>
  <si>
    <t>-656.208289187892 34.1592045586444 -375.624919723142</t>
  </si>
  <si>
    <t>-670.464203720689 30.735408616006 -458.227432231004</t>
  </si>
  <si>
    <t>-690.31474142395 25.496420030481 -579.154914169034</t>
  </si>
  <si>
    <t>-683.210084803488 21.7056739752923 -657.099462098769</t>
  </si>
  <si>
    <t>-679.97355289317 59.0719675656637 -527.715665635331</t>
  </si>
  <si>
    <t>-647.253046840208 210.848693720217 -512.488497378885</t>
  </si>
  <si>
    <t>-534.155387771707 269.413804306992 -260.779084486749</t>
  </si>
  <si>
    <t>-302.428118249663 254.134202289711 -264.967522270438</t>
  </si>
  <si>
    <t>-602.363670124998 136.822265664052 -98.1967633402949</t>
  </si>
  <si>
    <t>-627.224144754844 143.845261029685 316.574562227582</t>
  </si>
  <si>
    <t>-673.00936627577 178.17275088929 776.252499964457</t>
  </si>
  <si>
    <t>-523.076564989437 179.648844483285 834.577372084073</t>
  </si>
  <si>
    <t>-598.809457543705 -61.0809302842099 322.225520231833</t>
  </si>
  <si>
    <t>-649.49774773805 -98.9703918956868 780.886503032141</t>
  </si>
  <si>
    <t>-495.479533139115 -116.019199320155 824.147854867961</t>
  </si>
  <si>
    <t>9763-20170724T115541.463017500.bin</t>
  </si>
  <si>
    <t>-600.216830926598 43.8607228561634 -94.0256750744642</t>
  </si>
  <si>
    <t>-624.509785989149 40.3417847709622 -201.983833354388</t>
  </si>
  <si>
    <t>-641.753167777388 37.026167742325 -293.184262299703</t>
  </si>
  <si>
    <t>-656.993869130225 33.8765103498934 -375.621602438856</t>
  </si>
  <si>
    <t>-671.339934878323 30.5483574716152 -458.212425574867</t>
  </si>
  <si>
    <t>-691.334628498799 25.4740975349644 -579.123130368069</t>
  </si>
  <si>
    <t>-684.30301260082 21.8415515474842 -657.082061470524</t>
  </si>
  <si>
    <t>-680.965910857602 58.9816140849732 -527.645184642888</t>
  </si>
  <si>
    <t>-648.421040440074 210.781542378619 -512.248356361107</t>
  </si>
  <si>
    <t>-536.020127998441 268.343489514933 -259.996007376704</t>
  </si>
  <si>
    <t>-304.280183995204 253.309809265742 -264.369520385216</t>
  </si>
  <si>
    <t>-602.993765812974 136.459954496473 -98.226320004276</t>
  </si>
  <si>
    <t>-627.498876491876 143.675812715083 316.562884961153</t>
  </si>
  <si>
    <t>-672.983439056586 178.244803521624 776.248414683555</t>
  </si>
  <si>
    <t>-523.040574199047 179.422339734919 834.554254377611</t>
  </si>
  <si>
    <t>-599.117586473255 -61.3067053170864 322.181929918649</t>
  </si>
  <si>
    <t>-649.5303667171 -99.0083767521762 780.890670102872</t>
  </si>
  <si>
    <t>-495.544166540088 -116.381383963798 824.137180071585</t>
  </si>
  <si>
    <t>9763-20170724T115541.526779100.bin</t>
  </si>
  <si>
    <t>-601.26953374251 42.9056893438801 -94.0907511529892</t>
  </si>
  <si>
    <t>-625.729257837266 39.3778063710563 -202.010913372235</t>
  </si>
  <si>
    <t>-643.162485539609 36.2032007079013 -293.180293725099</t>
  </si>
  <si>
    <t>-658.593113495014 33.239437605871 -375.589266498591</t>
  </si>
  <si>
    <t>-673.146790551457 30.1581133999537 -458.153447132257</t>
  </si>
  <si>
    <t>-693.463595058488 25.5117612732149 -579.027665847887</t>
  </si>
  <si>
    <t>-686.584132649622 22.2060987469524 -657.014429595347</t>
  </si>
  <si>
    <t>-683.046776211829 58.8419255401664 -527.444316983</t>
  </si>
  <si>
    <t>-650.912034902646 210.666336504669 -511.5523616838</t>
  </si>
  <si>
    <t>-539.493471029333 266.591153916805 -258.497154808857</t>
  </si>
  <si>
    <t>-307.750835888042 251.705078627156 -263.217816452733</t>
  </si>
  <si>
    <t>-604.256691702011 135.474706566106 -98.2816633215391</t>
  </si>
  <si>
    <t>-628.019815697593 143.19091610428 316.541670267153</t>
  </si>
  <si>
    <t>-672.970592831901 178.146670290903 776.237944792933</t>
  </si>
  <si>
    <t>-523.010662900268 179.446553906898 834.497231834775</t>
  </si>
  <si>
    <t>-599.606626782681 -61.8343155806251 322.114825398037</t>
  </si>
  <si>
    <t>-649.59749585623 -99.0690414196463 780.887288031257</t>
  </si>
  <si>
    <t>-495.6010913311 -116.426369015335 824.10362063778</t>
  </si>
  <si>
    <t>9763-20170724T115541.559864500.bin</t>
  </si>
  <si>
    <t>-601.740956216342 42.4250085681108 -94.1199080600651</t>
  </si>
  <si>
    <t>-626.29199307139 38.8888788905792 -202.019267449827</t>
  </si>
  <si>
    <t>-643.811385607916 35.8020606114005 -293.174951051848</t>
  </si>
  <si>
    <t>-659.322667313326 32.9547992566922 -375.572953343748</t>
  </si>
  <si>
    <t>-673.959317971204 30.0282913108902 -458.127995225489</t>
  </si>
  <si>
    <t>-694.399517309593 25.6504877841051 -578.991384699526</t>
  </si>
  <si>
    <t>-687.559314008376 22.523358406381 -656.989076799696</t>
  </si>
  <si>
    <t>-683.982325367396 58.8688104829091 -527.336164036244</t>
  </si>
  <si>
    <t>-652.028973662506 210.696356746334 -511.054176054199</t>
  </si>
  <si>
    <t>-541.022097855367 265.92989180972 -257.666531494817</t>
  </si>
  <si>
    <t>-309.284309539907 251.047957693475 -262.631853735107</t>
  </si>
  <si>
    <t>-604.832649140538 134.97478767586 -98.3044986122841</t>
  </si>
  <si>
    <t>-628.244551160337 142.928549830197 316.534301955255</t>
  </si>
  <si>
    <t>-672.957649708084 178.100884694043 776.235906997366</t>
  </si>
  <si>
    <t>-522.991569159199 179.351072608222 834.480528296686</t>
  </si>
  <si>
    <t>-599.78948348309 -62.0773645344343 322.080780475349</t>
  </si>
  <si>
    <t>-649.624146481945 -99.0868092434723 780.886278125637</t>
  </si>
  <si>
    <t>-495.612855615427 -116.321580857297 824.09856416215</t>
  </si>
  <si>
    <t>9763-20170724T115541.627589500.bin</t>
  </si>
  <si>
    <t>-602.503870365312 41.3942600144048 -94.1671760240487</t>
  </si>
  <si>
    <t>-627.228772488591 37.8387554046353 -202.026142964709</t>
  </si>
  <si>
    <t>-644.845276411839 34.8944103668707 -293.167860507007</t>
  </si>
  <si>
    <t>-660.422899605237 32.237451999039 -375.559637697402</t>
  </si>
  <si>
    <t>-675.103700891344 29.5642380364798 -458.115532695592</t>
  </si>
  <si>
    <t>-695.583114173946 25.626092330514 -578.987429686124</t>
  </si>
  <si>
    <t>-688.736267315785 22.8762686293223 -656.998718951669</t>
  </si>
  <si>
    <t>-685.248292357493 58.6613375590143 -527.198403982278</t>
  </si>
  <si>
    <t>-653.81205698893 210.522443970192 -510.24012078013</t>
  </si>
  <si>
    <t>-543.564456142378 264.629079136465 -256.278554329504</t>
  </si>
  <si>
    <t>-311.813816337 250.166669383479 -261.848245398825</t>
  </si>
  <si>
    <t>-605.817174966599 133.802882893212 -98.3221887159306</t>
  </si>
  <si>
    <t>-628.724173246793 142.262084705035 316.5347697439</t>
  </si>
  <si>
    <t>-672.937171671288 177.964459770508 776.240056778071</t>
  </si>
  <si>
    <t>-522.964609587042 179.403278453679 834.463751244822</t>
  </si>
  <si>
    <t>-599.981482694627 -62.5974043791127 322.030846915263</t>
  </si>
  <si>
    <t>-649.691391839479 -99.0805949484125 780.87892310103</t>
  </si>
  <si>
    <t>-495.588117571302 -115.5827017253 824.049326793676</t>
  </si>
  <si>
    <t>9763-20170724T115541.660665000.bin</t>
  </si>
  <si>
    <t>-602.857725071486 40.8529125413643 -94.1816713983644</t>
  </si>
  <si>
    <t>-627.667598951814 37.295526970393 -202.021006659276</t>
  </si>
  <si>
    <t>-645.299956414598 34.4278264332725 -293.162208583522</t>
  </si>
  <si>
    <t>-660.868684023946 31.8702057048617 -375.558798738212</t>
  </si>
  <si>
    <t>-675.51691126052 29.326990535641 -458.124503663782</t>
  </si>
  <si>
    <t>-695.922308972434 25.6122244545652 -579.016047341099</t>
  </si>
  <si>
    <t>-689.034905427724 23.0716368109202 -657.030807142375</t>
  </si>
  <si>
    <t>-685.668634759234 58.5542074988341 -527.151410874648</t>
  </si>
  <si>
    <t>-654.454571664883 210.41639457071 -509.831065443174</t>
  </si>
  <si>
    <t>-544.685572186256 264.029307185244 -255.557751054558</t>
  </si>
  <si>
    <t>-312.93540193594 249.726767568447 -261.544300816238</t>
  </si>
  <si>
    <t>-606.26957728252 133.235488322357 -98.3178818958424</t>
  </si>
  <si>
    <t>-628.940835853899 141.95878027765 316.546568092025</t>
  </si>
  <si>
    <t>-672.897125414234 177.992534427897 776.240973173045</t>
  </si>
  <si>
    <t>-522.923145350526 179.309159829821 834.463670302574</t>
  </si>
  <si>
    <t>-600.031908171737 -62.8951584674016 322.005056110004</t>
  </si>
  <si>
    <t>-649.742774965406 -99.1133532919125 780.870499044896</t>
  </si>
  <si>
    <t>-495.632953026718 -115.644310935917 824.006468810998</t>
  </si>
  <si>
    <t>9763-20170724T115541.726148500.bin</t>
  </si>
  <si>
    <t>-603.507322760492 39.6507100400722 -94.2136850687062</t>
  </si>
  <si>
    <t>-628.428574523826 36.0963844190205 -202.027454964262</t>
  </si>
  <si>
    <t>-646.042699587385 33.3927604369812 -293.177087060184</t>
  </si>
  <si>
    <t>-661.548437386501 31.0450134349051 -375.591875838549</t>
  </si>
  <si>
    <t>-676.086096204461 28.7748626463463 -458.185093583427</t>
  </si>
  <si>
    <t>-696.276670011993 25.5281815652445 -579.12611601707</t>
  </si>
  <si>
    <t>-689.288841556184 23.4068470036718 -657.144600950835</t>
  </si>
  <si>
    <t>-686.215278794532 58.2736265735525 -527.099679953966</t>
  </si>
  <si>
    <t>-655.482105920751 210.145942739936 -509.048262882792</t>
  </si>
  <si>
    <t>-546.76201026736 263.145955326008 -254.196367615888</t>
  </si>
  <si>
    <t>-315.023025828966 248.9128708414 -260.753219727679</t>
  </si>
  <si>
    <t>-607.083739724365 131.990730125042 -98.3076127609246</t>
  </si>
  <si>
    <t>-629.38897447103 141.235782439259 316.565398669969</t>
  </si>
  <si>
    <t>-672.844087402589 177.966230846001 776.249521242018</t>
  </si>
  <si>
    <t>-522.868915337204 179.359764982519 834.467485223421</t>
  </si>
  <si>
    <t>-600.244654339041 -63.6224747397002 321.92297032481</t>
  </si>
  <si>
    <t>-649.863806848017 -99.1434490540382 780.853035023689</t>
  </si>
  <si>
    <t>-495.696366233721 -115.432011281718 823.875234614916</t>
  </si>
  <si>
    <t>9763-20170724T115541.760238800.bin</t>
  </si>
  <si>
    <t>-603.786793030502 39.0604677138094 -94.2414375607441</t>
  </si>
  <si>
    <t>-628.743730166546 35.5132571780694 -202.047169889825</t>
  </si>
  <si>
    <t>-646.318584464006 32.8915522665 -293.206771811362</t>
  </si>
  <si>
    <t>-661.760283817451 30.6471523418463 -375.636462217946</t>
  </si>
  <si>
    <t>-676.204881754909 28.5098138499195 -458.249613909096</t>
  </si>
  <si>
    <t>-696.226943096205 25.4901032673572 -579.224424588318</t>
  </si>
  <si>
    <t>-689.167343522318 23.5787570310513 -657.241868798594</t>
  </si>
  <si>
    <t>-686.284624179427 58.1399742878061 -527.11513144786</t>
  </si>
  <si>
    <t>-655.76885212933 210.01309132738 -508.713174891216</t>
  </si>
  <si>
    <t>-547.749925780012 262.745677730585 -253.50781449026</t>
  </si>
  <si>
    <t>-316.023754279177 248.510227900493 -260.498392981813</t>
  </si>
  <si>
    <t>-607.407294037722 131.356552215012 -98.3102709495282</t>
  </si>
  <si>
    <t>-629.571719248308 140.848938457236 316.564611302357</t>
  </si>
  <si>
    <t>-672.829343517684 177.913241451926 776.242357866784</t>
  </si>
  <si>
    <t>-522.857719195976 179.388552490999 834.467496593611</t>
  </si>
  <si>
    <t>-600.44412156337 -64.0063654990529 321.883475034236</t>
  </si>
  <si>
    <t>-649.923439952187 -99.1600092946662 780.844923808557</t>
  </si>
  <si>
    <t>-495.717280047201 -115.237942626918 823.807468277379</t>
  </si>
  <si>
    <t>9763-20170724T115541.828951900.bin</t>
  </si>
  <si>
    <t>-604.390192345259 37.9584584847746 -94.3400682088509</t>
  </si>
  <si>
    <t>-629.285866692578 34.4444744018776 -202.16097045844</t>
  </si>
  <si>
    <t>-646.727779610986 31.9557157639179 -293.349844895684</t>
  </si>
  <si>
    <t>-662.016010457683 29.8725903650484 -375.812415902643</t>
  </si>
  <si>
    <t>-676.272820751601 27.9389582523177 -458.463126868136</t>
  </si>
  <si>
    <t>-695.982266853518 25.2635143751779 -579.497463009155</t>
  </si>
  <si>
    <t>-688.77079704342 23.7607476074495 -657.50990619525</t>
  </si>
  <si>
    <t>-686.246956522226 57.7678429901289 -527.258134653622</t>
  </si>
  <si>
    <t>-656.165779582247 209.651815203708 -508.202249804563</t>
  </si>
  <si>
    <t>-549.73463088836 261.639954980911 -252.178296408458</t>
  </si>
  <si>
    <t>-318.037756603141 247.43632797467 -260.137035913717</t>
  </si>
  <si>
    <t>-607.977061319466 130.311200464444 -98.350796972783</t>
  </si>
  <si>
    <t>-629.993884816566 140.177314036617 316.523305219286</t>
  </si>
  <si>
    <t>-672.78847286002 177.87276200693 776.216023167891</t>
  </si>
  <si>
    <t>-522.822290868007 179.473448628854 834.451935567843</t>
  </si>
  <si>
    <t>-600.968456788326 -64.8957291911508 321.777684721969</t>
  </si>
  <si>
    <t>-650.000688551014 -99.2502211766571 780.847137351482</t>
  </si>
  <si>
    <t>-495.827847313447 -115.724204664136 823.779263101006</t>
  </si>
  <si>
    <t>9763-20170724T115541.861036900.bin</t>
  </si>
  <si>
    <t>-604.740878263302 37.5349772367265 -94.3658600017636</t>
  </si>
  <si>
    <t>-629.591606671731 34.036511876001 -202.197753025811</t>
  </si>
  <si>
    <t>-646.967258422586 31.5828718154162 -293.400185512853</t>
  </si>
  <si>
    <t>-662.184003165366 29.5400491161249 -375.876990241164</t>
  </si>
  <si>
    <t>-676.357526942958 27.6555515288937 -458.543051592639</t>
  </si>
  <si>
    <t>-695.932195338296 25.0615142605063 -579.601067696598</t>
  </si>
  <si>
    <t>-688.652761028632 23.7472570858904 -657.610590991713</t>
  </si>
  <si>
    <t>-686.278434780066 57.5315723644487 -527.325308620595</t>
  </si>
  <si>
    <t>-656.394959926192 209.432317225125 -508.080019833189</t>
  </si>
  <si>
    <t>-550.794909795321 260.856376690384 -251.59845031515</t>
  </si>
  <si>
    <t>-319.106605228001 246.794156549598 -260.042835823285</t>
  </si>
  <si>
    <t>-608.342739469033 129.902463033817 -98.3690939595419</t>
  </si>
  <si>
    <t>-630.266783929595 139.961516474913 316.505303443654</t>
  </si>
  <si>
    <t>-672.789878501728 177.815232482661 776.212268735152</t>
  </si>
  <si>
    <t>-522.818665566722 179.393752772573 834.435671630916</t>
  </si>
  <si>
    <t>-601.267249889768 -65.2439623279424 321.730404243927</t>
  </si>
  <si>
    <t>-650.038135822323 -99.2895932015927 780.85101063759</t>
  </si>
  <si>
    <t>-495.85995991232 -115.76133004508 823.764808505224</t>
  </si>
  <si>
    <t>9763-20170724T115541.926367700.bin</t>
  </si>
  <si>
    <t>-605.361917291465 37.1110034358253 -94.4146320605565</t>
  </si>
  <si>
    <t>-630.154849467324 33.607129213168 -202.259592161965</t>
  </si>
  <si>
    <t>-647.413407523752 31.1645101483082 -293.484590232301</t>
  </si>
  <si>
    <t>-662.496776063588 29.1373761847556 -375.986231799991</t>
  </si>
  <si>
    <t>-676.509107963726 27.2746391107648 -458.68032724461</t>
  </si>
  <si>
    <t>-695.817364893517 24.7192943685479 -579.781952451537</t>
  </si>
  <si>
    <t>-688.398342729574 23.7260499505721 -657.783174762113</t>
  </si>
  <si>
    <t>-686.329054161393 57.1744632273574 -527.466815394141</t>
  </si>
  <si>
    <t>-656.832196369395 209.105275224173 -507.886559537676</t>
  </si>
  <si>
    <t>-552.750739244758 259.498770435517 -250.580974477166</t>
  </si>
  <si>
    <t>-321.094607760325 245.473472676954 -259.922435566047</t>
  </si>
  <si>
    <t>-608.945411902997 129.483441448216 -98.427242458844</t>
  </si>
  <si>
    <t>-630.720016029604 139.782572639229 316.44908459493</t>
  </si>
  <si>
    <t>-672.764147190203 177.851308980749 776.193635548886</t>
  </si>
  <si>
    <t>-522.773404736996 179.520922241482 834.364162069669</t>
  </si>
  <si>
    <t>-601.794631549413 -65.5303680298396 321.668036897892</t>
  </si>
  <si>
    <t>-650.060973673713 -99.362655576422 780.859602048151</t>
  </si>
  <si>
    <t>-495.898543473772 -115.850409703875 823.823782496725</t>
  </si>
  <si>
    <t>9763-20170724T115541.959432900.bin</t>
  </si>
  <si>
    <t>-605.639482177195 37.0635665053983 -94.4279059945389</t>
  </si>
  <si>
    <t>-630.422294594328 33.5507781750225 -202.274895900327</t>
  </si>
  <si>
    <t>-647.639204388168 31.1001865405992 -293.507630237567</t>
  </si>
  <si>
    <t>-662.671636482997 29.0656048059366 -376.018322885027</t>
  </si>
  <si>
    <t>-676.619709017611 27.1952508921954 -458.72315262952</t>
  </si>
  <si>
    <t>-695.819414223274 24.6284283492755 -579.841730631699</t>
  </si>
  <si>
    <t>-688.353510655522 23.7570793531488 -657.83986941773</t>
  </si>
  <si>
    <t>-686.407048714329 57.0896686305082 -527.516635026154</t>
  </si>
  <si>
    <t>-657.102568308901 209.051778689697 -507.851858596683</t>
  </si>
  <si>
    <t>-553.803453309762 258.899041415845 -250.124885333122</t>
  </si>
  <si>
    <t>-322.162884900108 244.867801496783 -259.835744278774</t>
  </si>
  <si>
    <t>-609.235002385736 129.427226921645 -98.4544214661053</t>
  </si>
  <si>
    <t>-630.890812085342 139.789779643728 316.426591755128</t>
  </si>
  <si>
    <t>-672.758810933433 177.843966767414 776.188893806563</t>
  </si>
  <si>
    <t>-522.757671056347 179.452970649297 834.334254311459</t>
  </si>
  <si>
    <t>-601.949441804267 -65.4956031763006 321.665511157807</t>
  </si>
  <si>
    <t>-650.040978258186 -99.347980152259 780.876368275882</t>
  </si>
  <si>
    <t>-495.877161608007 -115.64622864349 823.90788073034</t>
  </si>
  <si>
    <t>9763-20170724T115542.028476400.bin</t>
  </si>
  <si>
    <t>-606.093744596153 37.1306356381594 -94.4492860533719</t>
  </si>
  <si>
    <t>-630.891259972895 33.5803241638157 -202.291608377917</t>
  </si>
  <si>
    <t>-648.026618188635 31.0671207258522 -293.538004134205</t>
  </si>
  <si>
    <t>-662.94786217726 28.9622911283773 -376.067117158474</t>
  </si>
  <si>
    <t>-676.747134626003 27.00877452186 -458.795031690823</t>
  </si>
  <si>
    <t>-695.688115630435 24.306236495908 -579.951348507036</t>
  </si>
  <si>
    <t>-688.109836195581 23.5337439359198 -657.939699374928</t>
  </si>
  <si>
    <t>-686.458364793083 56.8285565505266 -527.631626201722</t>
  </si>
  <si>
    <t>-657.628000455735 208.881830010045 -507.954463380313</t>
  </si>
  <si>
    <t>-555.908496568487 257.593952195153 -249.383639048991</t>
  </si>
  <si>
    <t>-324.269566203633 243.77545803283 -259.432455827319</t>
  </si>
  <si>
    <t>-609.729741910187 129.499373647317 -98.5011466024711</t>
  </si>
  <si>
    <t>-631.21153358645 139.884228189802 316.388392024956</t>
  </si>
  <si>
    <t>-672.715045519763 177.941825297341 776.173727289107</t>
  </si>
  <si>
    <t>-522.699105959681 179.366257333962 834.285668027667</t>
  </si>
  <si>
    <t>-602.135226970268 -65.3492619363765 321.671851511882</t>
  </si>
  <si>
    <t>-650.039626340211 -99.3472806867487 780.896998394817</t>
  </si>
  <si>
    <t>-495.879908933946 -115.51539976839 823.992253162671</t>
  </si>
  <si>
    <t>9763-20170724T115542.064554800.bin</t>
  </si>
  <si>
    <t>-606.315842828398 37.1622466058971 -94.4542708378591</t>
  </si>
  <si>
    <t>-631.124902674662 33.5836283268368 -202.293055115329</t>
  </si>
  <si>
    <t>-648.22770011719 31.036828145315 -293.544533520306</t>
  </si>
  <si>
    <t>-663.102671874218 28.8964382290549 -376.081115268933</t>
  </si>
  <si>
    <t>-676.83868165819 26.9027857663673 -458.818568869581</t>
  </si>
  <si>
    <t>-695.668530928366 24.1364673555449 -579.990896173889</t>
  </si>
  <si>
    <t>-688.050156898689 23.3575052310152 -657.975236320094</t>
  </si>
  <si>
    <t>-686.525604521421 56.6876270731434 -527.673731293985</t>
  </si>
  <si>
    <t>-657.941160110384 208.780563075336 -507.95742093217</t>
  </si>
  <si>
    <t>-556.907118554684 257.046500615523 -249.034448027735</t>
  </si>
  <si>
    <t>-325.25995777945 243.405210711682 -259.136017720349</t>
  </si>
  <si>
    <t>-610.034384630229 129.512281921031 -98.5139089894932</t>
  </si>
  <si>
    <t>-631.38088284583 139.942356735912 316.381405432731</t>
  </si>
  <si>
    <t>-672.698295516184 177.955242595994 776.170691558996</t>
  </si>
  <si>
    <t>-522.676540282475 179.341309311685 834.268696290206</t>
  </si>
  <si>
    <t>-602.205429760118 -65.2936970793478 321.678018628698</t>
  </si>
  <si>
    <t>-650.045683952142 -99.3663457823047 780.901585280899</t>
  </si>
  <si>
    <t>-495.883842262931 -115.427508902241 824.029201691958</t>
  </si>
  <si>
    <t>9763-20170724T115542.125675400.bin</t>
  </si>
  <si>
    <t>-606.569337660894 37.1130858344018 -94.4703597454995</t>
  </si>
  <si>
    <t>-631.376609455224 33.4653667937239 -202.307275237638</t>
  </si>
  <si>
    <t>-648.413520084695 30.8475755242598 -293.569097334811</t>
  </si>
  <si>
    <t>-663.203041469001 28.6351494038558 -376.119246665629</t>
  </si>
  <si>
    <t>-676.827597937568 26.5623276673448 -458.873079401451</t>
  </si>
  <si>
    <t>-695.466036783768 23.6717538900266 -580.07203177059</t>
  </si>
  <si>
    <t>-687.73662283342 22.8149742516819 -658.044667939821</t>
  </si>
  <si>
    <t>-686.470921128375 56.2784369322892 -527.763886485287</t>
  </si>
  <si>
    <t>-658.034736326533 208.379749074265 -507.874234408423</t>
  </si>
  <si>
    <t>-558.71866531193 256.309433545407 -248.225077136907</t>
  </si>
  <si>
    <t>-327.066678900095 242.753443203393 -258.330241792383</t>
  </si>
  <si>
    <t>-610.489863321726 129.381936268921 -98.5355588271705</t>
  </si>
  <si>
    <t>-631.682789181818 139.930509365287 316.36475324782</t>
  </si>
  <si>
    <t>-672.658612872135 177.978323472073 776.175064368982</t>
  </si>
  <si>
    <t>-522.627337216942 179.412896271975 834.247272605414</t>
  </si>
  <si>
    <t>-602.233726314447 -65.284038001897 321.679077033931</t>
  </si>
  <si>
    <t>-650.050416450219 -99.3997337449186 780.915692558168</t>
  </si>
  <si>
    <t>-495.917056692437 -115.555240555606 824.109866631063</t>
  </si>
  <si>
    <t>9763-20170724T115542.159765700.bin</t>
  </si>
  <si>
    <t>-606.629660634104 37.0479571206142 -94.4711215881249</t>
  </si>
  <si>
    <t>-631.41974772255 33.3657831740434 -202.310789874623</t>
  </si>
  <si>
    <t>-648.427544135864 30.7009317267068 -293.576634611325</t>
  </si>
  <si>
    <t>-663.185053517435 28.4376527533777 -376.13105961227</t>
  </si>
  <si>
    <t>-676.771876734272 26.3060331080842 -458.889662701136</t>
  </si>
  <si>
    <t>-695.348965761926 23.3208306234692 -580.095779559048</t>
  </si>
  <si>
    <t>-687.597222788741 22.4113353592345 -658.06558761296</t>
  </si>
  <si>
    <t>-686.413439544766 55.9693746054538 -527.803557170075</t>
  </si>
  <si>
    <t>-658.082742107928 208.081142941263 -507.896667891106</t>
  </si>
  <si>
    <t>-559.683736963167 255.839490925758 -247.867099039707</t>
  </si>
  <si>
    <t>-328.029411379678 242.203401532305 -257.809355269676</t>
  </si>
  <si>
    <t>-610.639221205953 129.287525087785 -98.5371986944198</t>
  </si>
  <si>
    <t>-631.824180929496 139.910861800625 316.361498603905</t>
  </si>
  <si>
    <t>-672.631599841127 178.047182968368 776.179930686896</t>
  </si>
  <si>
    <t>-522.596513582037 179.443518206893 834.243181923596</t>
  </si>
  <si>
    <t>-602.284481073588 -65.3281657100674 321.678628894349</t>
  </si>
  <si>
    <t>-650.094023393729 -99.3826990371595 780.911050287243</t>
  </si>
  <si>
    <t>-495.912095181114 -115.184466995988 824.062555705176</t>
  </si>
  <si>
    <t>9763-20170724T115542.229589900.bin</t>
  </si>
  <si>
    <t>-606.715239551816 36.6620989751545 -94.498053933621</t>
  </si>
  <si>
    <t>-631.420972713738 32.9426900495905 -202.355888680342</t>
  </si>
  <si>
    <t>-648.378202604444 30.2488702915352 -293.630246206978</t>
  </si>
  <si>
    <t>-663.098311811673 27.960087762998 -376.190609254488</t>
  </si>
  <si>
    <t>-676.656178573822 25.8048786941422 -458.953435899703</t>
  </si>
  <si>
    <t>-695.200114043804 22.7882239056405 -580.163853202049</t>
  </si>
  <si>
    <t>-687.471253017692 21.8943109723998 -658.136052269755</t>
  </si>
  <si>
    <t>-686.367910220563 55.4528688467753 -527.864137191991</t>
  </si>
  <si>
    <t>-658.231894895655 207.566875523645 -507.731673424865</t>
  </si>
  <si>
    <t>-561.667378088831 254.818632242309 -246.923094331833</t>
  </si>
  <si>
    <t>-330.014605664052 241.182010872969 -256.90120456461</t>
  </si>
  <si>
    <t>-610.802288380443 128.898557444686 -98.5749706977598</t>
  </si>
  <si>
    <t>-631.970047489963 139.662533881507 316.321036235428</t>
  </si>
  <si>
    <t>-672.608640766864 177.999128096219 776.149970092655</t>
  </si>
  <si>
    <t>-522.573419624328 179.545421653336 834.209196895781</t>
  </si>
  <si>
    <t>-602.528381810236 -65.7131648014717 321.651404129023</t>
  </si>
  <si>
    <t>-650.20738093043 -99.4255216813276 780.900333487728</t>
  </si>
  <si>
    <t>-496.031862336983 -115.583840327308 823.942671335775</t>
  </si>
  <si>
    <t>9763-20170724T115542.261674900.bin</t>
  </si>
  <si>
    <t>-606.798449144304 36.4318633529035 -94.5376041110584</t>
  </si>
  <si>
    <t>-631.456598748162 32.6969124438506 -202.405702446285</t>
  </si>
  <si>
    <t>-648.379875549506 30.0066013277353 -293.686585821509</t>
  </si>
  <si>
    <t>-663.07184505133 27.7275439052319 -376.252201529577</t>
  </si>
  <si>
    <t>-676.604002128103 25.589548174059 -459.019645641723</t>
  </si>
  <si>
    <t>-695.112954196613 22.6066759590162 -580.236142036158</t>
  </si>
  <si>
    <t>-687.373168818867 21.7719509952126 -658.207968475777</t>
  </si>
  <si>
    <t>-686.34481219398 55.2580252082366 -527.917490694906</t>
  </si>
  <si>
    <t>-658.458584809754 207.393229964135 -507.621035232457</t>
  </si>
  <si>
    <t>-562.602035135623 254.225155858833 -246.475681554872</t>
  </si>
  <si>
    <t>-330.943425265192 240.890009703188 -256.721723486954</t>
  </si>
  <si>
    <t>-610.861218245612 128.706617300746 -98.6219244794158</t>
  </si>
  <si>
    <t>-632.055878103896 139.508628853134 316.271711378937</t>
  </si>
  <si>
    <t>-672.614639326672 177.928269856661 776.119409314812</t>
  </si>
  <si>
    <t>-522.580338145794 179.575672509212 834.178109048292</t>
  </si>
  <si>
    <t>-602.722733925834 -65.9769307643198 321.627185857104</t>
  </si>
  <si>
    <t>-650.261784314551 -99.4325744837906 780.902406651225</t>
  </si>
  <si>
    <t>-496.061777135709 -115.505052312914 823.889102618991</t>
  </si>
  <si>
    <t>9763-20170724T115542.328416500.bin</t>
  </si>
  <si>
    <t>-607.17671301966 36.0008582627379 -94.6073334358811</t>
  </si>
  <si>
    <t>-631.68458941493 32.2184012474715 -202.507991170558</t>
  </si>
  <si>
    <t>-648.49583044159 29.5452354388688 -293.810068908037</t>
  </si>
  <si>
    <t>-663.092221505341 27.3047142498326 -376.393771588946</t>
  </si>
  <si>
    <t>-676.53427229465 25.2301077410341 -459.177518918838</t>
  </si>
  <si>
    <t>-694.917294067089 22.3682399184254 -580.416031352972</t>
  </si>
  <si>
    <t>-687.043472686621 21.7142950266345 -658.376183785835</t>
  </si>
  <si>
    <t>-686.31594701158 54.9698534903116 -528.03877717637</t>
  </si>
  <si>
    <t>-658.825215655696 207.140022349549 -507.389447669497</t>
  </si>
  <si>
    <t>-564.554308396857 252.991328355846 -245.493974060651</t>
  </si>
  <si>
    <t>-332.906458452889 240.093323354336 -256.514432561802</t>
  </si>
  <si>
    <t>-611.226857205508 128.32954324498 -98.7328760398834</t>
  </si>
  <si>
    <t>-632.276676729835 139.291279317705 316.163956535867</t>
  </si>
  <si>
    <t>-672.588352822255 177.928616606156 776.015353799837</t>
  </si>
  <si>
    <t>-522.559851553962 179.705464993811 834.085316882225</t>
  </si>
  <si>
    <t>-603.140780461089 -66.3484424259077 321.572178191426</t>
  </si>
  <si>
    <t>-650.331929276434 -99.4376754425916 780.911282181651</t>
  </si>
  <si>
    <t>-496.136244193127 -115.663018166231 823.856062099536</t>
  </si>
  <si>
    <t>9763-20170724T115542.361503200.bin</t>
  </si>
  <si>
    <t>-607.397143021479 35.8377807251277 -94.6415900988964</t>
  </si>
  <si>
    <t>-631.85745252908 32.0291009953633 -202.552189008796</t>
  </si>
  <si>
    <t>-648.611946737003 29.3664508332718 -293.865059011969</t>
  </si>
  <si>
    <t>-663.150294905258 27.1475297895906 -376.45938111913</t>
  </si>
  <si>
    <t>-676.527217884842 25.1079404629947 -459.254567341507</t>
  </si>
  <si>
    <t>-694.80731461976 22.3117619458262 -580.510253605852</t>
  </si>
  <si>
    <t>-686.794257075743 21.7505334116534 -658.456886090147</t>
  </si>
  <si>
    <t>-686.30758812447 54.8862041127973 -528.099339581876</t>
  </si>
  <si>
    <t>-659.069990815678 207.084071177332 -507.303287684258</t>
  </si>
  <si>
    <t>-565.634464753973 252.477302139577 -245.028999354326</t>
  </si>
  <si>
    <t>-333.998799964919 239.70809470057 -256.448531988086</t>
  </si>
  <si>
    <t>-611.500005244267 128.199449389442 -98.7786193772783</t>
  </si>
  <si>
    <t>-632.481801792892 139.239091062372 316.119615883548</t>
  </si>
  <si>
    <t>-672.554811578047 178.028950525339 775.973596619196</t>
  </si>
  <si>
    <t>-522.524164007241 179.608679996074 834.04370929122</t>
  </si>
  <si>
    <t>-603.292845110976 -66.4400353886001 321.555352552061</t>
  </si>
  <si>
    <t>-650.344237420564 -99.4304404174038 780.916041066018</t>
  </si>
  <si>
    <t>-496.147866124426 -115.625105868822 823.869960052577</t>
  </si>
  <si>
    <t>9763-20170724T115542.426233900.bin</t>
  </si>
  <si>
    <t>-607.930728342718 35.440589003058 -94.7089168273079</t>
  </si>
  <si>
    <t>-632.275473135783 31.5916065522263 -202.644196041496</t>
  </si>
  <si>
    <t>-648.89727231895 28.9579562619288 -293.982081855021</t>
  </si>
  <si>
    <t>-663.301254799387 26.7883011396914 -376.60136198281</t>
  </si>
  <si>
    <t>-676.529037437706 24.8230083821416 -459.422266998645</t>
  </si>
  <si>
    <t>-694.57451625165 22.1634682629644 -580.716122531725</t>
  </si>
  <si>
    <t>-686.263586100382 21.770592973289 -658.632677173904</t>
  </si>
  <si>
    <t>-686.299082381011 54.6808713684577 -528.234032870862</t>
  </si>
  <si>
    <t>-659.628726515218 206.933369721954 -507.138232794164</t>
  </si>
  <si>
    <t>-567.88897289888 251.803925869047 -244.17625946867</t>
  </si>
  <si>
    <t>-336.284772562002 239.035167746307 -256.216972267757</t>
  </si>
  <si>
    <t>-612.236541631011 127.704661348444 -98.8409315635424</t>
  </si>
  <si>
    <t>-633.019091729892 139.020771331295 316.059842425663</t>
  </si>
  <si>
    <t>-672.546473964737 177.988428153783 775.922634801521</t>
  </si>
  <si>
    <t>-522.506108070941 179.697364590557 833.963962164383</t>
  </si>
  <si>
    <t>-603.618368065943 -66.6899192486321 321.505810981062</t>
  </si>
  <si>
    <t>-650.365189623292 -99.4810943870141 780.922202104014</t>
  </si>
  <si>
    <t>-496.169591766987 -115.582402292801 823.913986472812</t>
  </si>
  <si>
    <t>9763-20170724T115542.458318900.bin</t>
  </si>
  <si>
    <t>-608.253032586645 35.224896420083 -94.732953331611</t>
  </si>
  <si>
    <t>-632.529482849834 31.353730296194 -202.682784214033</t>
  </si>
  <si>
    <t>-649.064364835266 28.7260969743675 -294.036683038957</t>
  </si>
  <si>
    <t>-663.377966364083 26.570348472301 -376.672045451767</t>
  </si>
  <si>
    <t>-676.503210793195 24.6285918954088 -459.50981481729</t>
  </si>
  <si>
    <t>-694.385477141799 22.0138756695862 -580.828794822223</t>
  </si>
  <si>
    <t>-685.967244011079 21.7096866935547 -658.734158562611</t>
  </si>
  <si>
    <t>-686.242329098243 54.5127224197022 -528.314505547961</t>
  </si>
  <si>
    <t>-659.885925606286 206.814604452752 -507.129278646348</t>
  </si>
  <si>
    <t>-569.026766102604 251.569535075267 -243.841943899158</t>
  </si>
  <si>
    <t>-337.439756849365 238.758107089469 -256.164718984774</t>
  </si>
  <si>
    <t>-612.664787352 127.427627229985 -98.8692377678088</t>
  </si>
  <si>
    <t>-633.317878032788 138.914826047886 316.033282421895</t>
  </si>
  <si>
    <t>-672.543926270088 177.956409321848 775.909673684545</t>
  </si>
  <si>
    <t>-522.496119186574 179.651420812188 833.932265073977</t>
  </si>
  <si>
    <t>-603.76388414351 -66.8556524161352 321.481525038493</t>
  </si>
  <si>
    <t>-650.367237465733 -99.5470042320094 780.92102668078</t>
  </si>
  <si>
    <t>-496.211119472615 -115.884050060167 823.965358665881</t>
  </si>
  <si>
    <t>9763-20170724T115542.529520700.bin</t>
  </si>
  <si>
    <t>-609.04108553053 34.7608168454092 -94.7850514761914</t>
  </si>
  <si>
    <t>-633.168082057816 30.8593243512503 -202.767404884842</t>
  </si>
  <si>
    <t>-649.516106577882 28.2440178862175 -294.15525811562</t>
  </si>
  <si>
    <t>-663.636151395108 26.1122485786318 -376.82448257601</t>
  </si>
  <si>
    <t>-676.542788914601 24.2086775957227 -459.697580476958</t>
  </si>
  <si>
    <t>-694.077787568459 21.6656786708304 -581.068688355781</t>
  </si>
  <si>
    <t>-685.424428050845 21.4964876761687 -658.948787064289</t>
  </si>
  <si>
    <t>-686.188535618619 54.134580030802 -528.497267819095</t>
  </si>
  <si>
    <t>-660.292780011736 206.477927446688 -507.094502820129</t>
  </si>
  <si>
    <t>-571.358775433266 251.11569022464 -243.130897335005</t>
  </si>
  <si>
    <t>-339.813794094685 238.095795090197 -256.012691303021</t>
  </si>
  <si>
    <t>-613.697939584734 126.880953288508 -98.9120992180707</t>
  </si>
  <si>
    <t>-633.984223877903 138.693969321435 315.999401043083</t>
  </si>
  <si>
    <t>-672.527581817944 177.940949490016 775.904050552229</t>
  </si>
  <si>
    <t>-522.46643161439 179.750913151002 833.888536379219</t>
  </si>
  <si>
    <t>-604.105666087566 -67.1740979809224 321.431720625511</t>
  </si>
  <si>
    <t>-650.371257794531 -99.5809186016702 780.929692498596</t>
  </si>
  <si>
    <t>-496.186669663086 -115.481197830045 824.035630108053</t>
  </si>
  <si>
    <t>9763-20170724T115542.556592200.bin</t>
  </si>
  <si>
    <t>-609.434588403362 34.5869179789618 -94.8009004370397</t>
  </si>
  <si>
    <t>-633.492472637157 30.6703794048417 -202.798008332999</t>
  </si>
  <si>
    <t>-649.762965534393 28.0616330173725 -294.199971523358</t>
  </si>
  <si>
    <t>-663.805156344943 25.9422023863578 -376.882847370771</t>
  </si>
  <si>
    <t>-676.625956103295 24.0582978859813 -459.769443613013</t>
  </si>
  <si>
    <t>-694.02654716783 21.5522317538789 -581.160933557175</t>
  </si>
  <si>
    <t>-685.292740200073 21.4511759491043 -659.032066701674</t>
  </si>
  <si>
    <t>-686.239875880645 54.0056633433539 -528.564413606267</t>
  </si>
  <si>
    <t>-660.548110581532 206.366263893198 -507.059518382447</t>
  </si>
  <si>
    <t>-572.560391648782 250.991232688552 -242.7767532722</t>
  </si>
  <si>
    <t>-341.025333715341 237.917403172534 -255.78150861677</t>
  </si>
  <si>
    <t>-614.189249019065 126.668887456153 -98.921827208716</t>
  </si>
  <si>
    <t>-634.31198981823 138.668685137121 315.992166616723</t>
  </si>
  <si>
    <t>-672.507387407022 178.019086815144 775.916465687603</t>
  </si>
  <si>
    <t>-522.435122832637 179.638157661036 833.877889049379</t>
  </si>
  <si>
    <t>-604.320782404715 -67.2913873596301 321.408012071669</t>
  </si>
  <si>
    <t>-650.389361195466 -99.6122549316583 780.925943183879</t>
  </si>
  <si>
    <t>-496.207540200777 -115.50735786867 824.043752327776</t>
  </si>
  <si>
    <t>9763-20170724T115542.628819500.bin</t>
  </si>
  <si>
    <t>-610.195361395469 34.2625589508705 -94.8038473497795</t>
  </si>
  <si>
    <t>-634.146939529622 30.3231561063224 -202.823843934156</t>
  </si>
  <si>
    <t>-650.214940386018 27.7551346859364 -294.262589456738</t>
  </si>
  <si>
    <t>-664.028425603564 25.6946849553631 -376.985564168971</t>
  </si>
  <si>
    <t>-676.574161585072 23.8932594368982 -459.91616332205</t>
  </si>
  <si>
    <t>-693.521654296851 21.5329982625788 -581.374451355515</t>
  </si>
  <si>
    <t>-684.569088936861 21.6214116630795 -659.220955111387</t>
  </si>
  <si>
    <t>-686.023640707438 53.9236156080883 -528.697523562748</t>
  </si>
  <si>
    <t>-660.515648844846 206.280365574088 -506.903019093236</t>
  </si>
  <si>
    <t>-574.86856285834 250.657629767327 -241.810939709424</t>
  </si>
  <si>
    <t>-343.361452259067 237.157340290994 -254.876761104043</t>
  </si>
  <si>
    <t>-615.119037128715 126.252526100891 -98.9250528347527</t>
  </si>
  <si>
    <t>-634.900000369881 138.575780323622 315.995982003462</t>
  </si>
  <si>
    <t>-672.497154276962 178.036056591612 775.949362392626</t>
  </si>
  <si>
    <t>-522.399072579012 179.767957677153 833.840548109869</t>
  </si>
  <si>
    <t>-604.737316534207 -67.4831987251084 321.377399431776</t>
  </si>
  <si>
    <t>-650.338305516114 -99.6904799198087 780.933315686402</t>
  </si>
  <si>
    <t>-496.183031211799 -115.365374524066 824.226214243138</t>
  </si>
  <si>
    <t>9763-20170724T115542.661907300.bin</t>
  </si>
  <si>
    <t>-610.49096269128 34.1701371355541 -94.8099558050881</t>
  </si>
  <si>
    <t>-634.433234745756 30.2219444036182 -202.831651341477</t>
  </si>
  <si>
    <t>-650.432293359424 27.6532793511062 -294.282564657071</t>
  </si>
  <si>
    <t>-664.158849739028 25.5940590583273 -377.019969739351</t>
  </si>
  <si>
    <t>-676.592779338687 23.7961179566994 -459.967389768419</t>
  </si>
  <si>
    <t>-693.349523847699 21.4433377197677 -581.452441171786</t>
  </si>
  <si>
    <t>-684.313404015428 21.6076609979589 -659.289055916387</t>
  </si>
  <si>
    <t>-685.967045675461 53.8308577017169 -528.757227657373</t>
  </si>
  <si>
    <t>-660.636505072034 206.211094947939 -506.902969724098</t>
  </si>
  <si>
    <t>-576.187345259271 250.257432609241 -241.371684012913</t>
  </si>
  <si>
    <t>-344.681432137483 236.539763957034 -254.231413215508</t>
  </si>
  <si>
    <t>-615.49812138294 126.156270992019 -98.9294335116703</t>
  </si>
  <si>
    <t>-635.060271736939 138.592851530738 315.998599731977</t>
  </si>
  <si>
    <t>-672.467375611079 178.12619565969 775.963440538103</t>
  </si>
  <si>
    <t>-522.35646018908 179.667289505004 833.826633467047</t>
  </si>
  <si>
    <t>-604.858395740907 -67.5074127599578 321.371225052939</t>
  </si>
  <si>
    <t>-650.284408385158 -99.7175172987363 780.953703221638</t>
  </si>
  <si>
    <t>-496.147475781707 -115.22344964661 824.372496334384</t>
  </si>
  <si>
    <t>9763-20170724T115542.727951400.bin</t>
  </si>
  <si>
    <t>-610.979200087321 33.9124447569709 -94.8056650023234</t>
  </si>
  <si>
    <t>-634.951886971013 29.9692513964931 -202.820799481593</t>
  </si>
  <si>
    <t>-650.896194408539 27.3987486105741 -294.281156307666</t>
  </si>
  <si>
    <t>-664.540867443856 25.3342608771309 -377.03192376786</t>
  </si>
  <si>
    <t>-676.860574421297 23.5285156898879 -459.996340068579</t>
  </si>
  <si>
    <t>-693.414687273568 21.1618560965412 -581.508903895409</t>
  </si>
  <si>
    <t>-684.270259904822 21.4437942793802 -659.332503246294</t>
  </si>
  <si>
    <t>-686.209379818079 53.5556339827963 -528.792990627353</t>
  </si>
  <si>
    <t>-661.254992435708 205.987758509237 -506.850981151789</t>
  </si>
  <si>
    <t>-578.777031880801 249.38008973206 -240.593400030711</t>
  </si>
  <si>
    <t>-347.265100135525 235.383347027276 -253.037097662279</t>
  </si>
  <si>
    <t>-616.161013218891 125.873162764694 -98.9003976721784</t>
  </si>
  <si>
    <t>-635.340034513036 138.488114727475 316.040133489862</t>
  </si>
  <si>
    <t>-672.431267228249 178.186257755924 776.015946093678</t>
  </si>
  <si>
    <t>-522.301159593279 179.776584574798 833.828100051706</t>
  </si>
  <si>
    <t>-605.017331445238 -67.5897175505202 321.369135590127</t>
  </si>
  <si>
    <t>-650.196142172294 -99.8136002008844 780.98667894054</t>
  </si>
  <si>
    <t>-496.127734597139 -115.320061208803 824.647816462331</t>
  </si>
  <si>
    <t>9763-20170724T115542.761038600.bin</t>
  </si>
  <si>
    <t>-611.142826257701 33.7668479532815 -94.7926666341094</t>
  </si>
  <si>
    <t>-635.154250504132 29.8084080757649 -202.798561191568</t>
  </si>
  <si>
    <t>-651.104406572864 27.2242664887976 -294.257647611811</t>
  </si>
  <si>
    <t>-664.743718303646 25.1455699930821 -377.008988629001</t>
  </si>
  <si>
    <t>-677.04723088658 23.3252975851558 -459.975448877879</t>
  </si>
  <si>
    <t>-693.565951435314 20.9365830767611 -581.49237642514</t>
  </si>
  <si>
    <t>-684.394580507695 21.255769284892 -659.312572767335</t>
  </si>
  <si>
    <t>-686.430603833295 53.3399240709257 -528.772785869112</t>
  </si>
  <si>
    <t>-661.699521124444 205.78698988655 -506.698957905004</t>
  </si>
  <si>
    <t>-579.953967232276 248.941072650559 -240.176846858935</t>
  </si>
  <si>
    <t>-348.436997825518 235.022034199804 -252.613698226476</t>
  </si>
  <si>
    <t>-616.424896911912 125.697247507938 -98.8777799464249</t>
  </si>
  <si>
    <t>-635.464760199353 138.438811384942 316.06524430312</t>
  </si>
  <si>
    <t>-672.417200225681 178.176601984102 776.04076795931</t>
  </si>
  <si>
    <t>-522.280709123281 179.811291118068 833.835163424544</t>
  </si>
  <si>
    <t>-605.048617801683 -67.6495263013121 321.375904126424</t>
  </si>
  <si>
    <t>-650.166593258303 -99.8331764621939 781.004046776733</t>
  </si>
  <si>
    <t>-496.099097618286 -115.105518230483 824.750911394545</t>
  </si>
  <si>
    <t>9763-20170724T115542.825967400.bin</t>
  </si>
  <si>
    <t>-611.4592578299 33.3898459485722 -94.7768048023512</t>
  </si>
  <si>
    <t>-635.523873328269 29.3907688160864 -202.769341100998</t>
  </si>
  <si>
    <t>-651.480006406371 26.774204047776 -294.226449699094</t>
  </si>
  <si>
    <t>-665.109023779231 24.6645490875956 -376.978738655014</t>
  </si>
  <si>
    <t>-677.386637450038 22.8132202132738 -459.948400248191</t>
  </si>
  <si>
    <t>-693.850268089958 20.3797571472358 -581.471780695696</t>
  </si>
  <si>
    <t>-684.626176868842 20.749440424963 -659.28576619232</t>
  </si>
  <si>
    <t>-686.856150619958 52.802345071615 -528.745159264608</t>
  </si>
  <si>
    <t>-662.516191329078 205.268581403686 -506.387745569064</t>
  </si>
  <si>
    <t>-582.348500429428 248.268600620946 -239.361999631159</t>
  </si>
  <si>
    <t>-350.805316603887 234.676912681465 -251.672870343863</t>
  </si>
  <si>
    <t>-616.998085597747 125.255666044385 -98.843672444936</t>
  </si>
  <si>
    <t>-635.690824137574 138.267675040533 316.106767012109</t>
  </si>
  <si>
    <t>-672.371710187796 178.199648859603 776.086174815735</t>
  </si>
  <si>
    <t>-522.232034488104 179.798507952332 833.873283100646</t>
  </si>
  <si>
    <t>-605.111689038435 -67.8346134520771 321.377433677972</t>
  </si>
  <si>
    <t>-650.204817001924 -99.8951365277217 781.010934605448</t>
  </si>
  <si>
    <t>-496.118421334395 -114.907881141851 824.781090943383</t>
  </si>
  <si>
    <t>9763-20170724T115542.858057600.bin</t>
  </si>
  <si>
    <t>-611.59402454446 33.1432615520812 -94.775422909187</t>
  </si>
  <si>
    <t>-635.677533707972 29.1220461139762 -202.762909864993</t>
  </si>
  <si>
    <t>-651.645676705167 26.48784743653 -294.217457787924</t>
  </si>
  <si>
    <t>-665.283814851684 24.3615991616402 -376.967678969262</t>
  </si>
  <si>
    <t>-677.568984521779 22.4937015285666 -459.935938970209</t>
  </si>
  <si>
    <t>-694.04186461463 20.0360321511689 -581.457550021356</t>
  </si>
  <si>
    <t>-684.813585574586 20.4302282270739 -659.270814088304</t>
  </si>
  <si>
    <t>-687.094091172857 52.4687250126899 -528.731022072803</t>
  </si>
  <si>
    <t>-662.849662312406 204.925133645103 -506.214127232707</t>
  </si>
  <si>
    <t>-583.728405401039 248.062623876163 -238.898714016539</t>
  </si>
  <si>
    <t>-352.170765380423 234.610634034098 -251.090341594945</t>
  </si>
  <si>
    <t>-617.2423816461 124.979107099557 -98.8245360154788</t>
  </si>
  <si>
    <t>-635.808503511665 138.11414558392 316.12770039763</t>
  </si>
  <si>
    <t>-672.351869327196 178.20254553442 776.107143786332</t>
  </si>
  <si>
    <t>-522.210486502857 179.809394214169 833.889469037436</t>
  </si>
  <si>
    <t>-605.151539554055 -67.981608993307 321.367691809402</t>
  </si>
  <si>
    <t>-650.264928372924 -99.9002863369371 781.000973193283</t>
  </si>
  <si>
    <t>-496.131388972796 -114.626889535729 824.702315012325</t>
  </si>
  <si>
    <t>9763-20170724T115542.928252800.bin</t>
  </si>
  <si>
    <t>-612.008294719034 32.5174406473518 -94.7654629622085</t>
  </si>
  <si>
    <t>-636.084519503671 28.498089616086 -202.754716140451</t>
  </si>
  <si>
    <t>-652.003299407271 25.8663497610812 -294.217768921197</t>
  </si>
  <si>
    <t>-665.579425398748 23.7402919932881 -376.978347749224</t>
  </si>
  <si>
    <t>-677.785038799044 21.8716921709602 -459.958289725967</t>
  </si>
  <si>
    <t>-694.122340956948 19.4119676957853 -581.498272326411</t>
  </si>
  <si>
    <t>-684.895636154825 19.8785856637064 -659.311294465137</t>
  </si>
  <si>
    <t>-687.299966352409 51.8451657627879 -528.755523392551</t>
  </si>
  <si>
    <t>-663.293884188022 204.312947362755 -506.062334311717</t>
  </si>
  <si>
    <t>-586.672479232125 247.603966517049 -238.044348302842</t>
  </si>
  <si>
    <t>-355.047170795679 234.555996023185 -249.357747100326</t>
  </si>
  <si>
    <t>-617.855095969465 124.304307535611 -98.7647213954025</t>
  </si>
  <si>
    <t>-636.159765507772 137.80192034968 316.187488616992</t>
  </si>
  <si>
    <t>-672.313526614839 178.21071152832 776.154690927643</t>
  </si>
  <si>
    <t>-522.164825539705 179.930512898746 833.914824412868</t>
  </si>
  <si>
    <t>-605.423471309892 -68.4753712045417 321.329317744716</t>
  </si>
  <si>
    <t>-650.394101078143 -100.048040323041 780.976883800269</t>
  </si>
  <si>
    <t>-496.256358170664 -115.010699140754 824.583038102297</t>
  </si>
  <si>
    <t>9763-20170724T115542.959335600.bin</t>
  </si>
  <si>
    <t>-612.29362026156 32.1737257169552 -94.7662234927407</t>
  </si>
  <si>
    <t>-636.346447361118 28.1661248295222 -202.761040703296</t>
  </si>
  <si>
    <t>-652.228976095601 25.5471377286481 -294.230925302396</t>
  </si>
  <si>
    <t>-665.765638092621 23.4332718636713 -376.998190158919</t>
  </si>
  <si>
    <t>-677.924977009407 21.577642899367 -459.985197336692</t>
  </si>
  <si>
    <t>-694.187116895382 19.1376531076583 -581.535741110984</t>
  </si>
  <si>
    <t>-684.970457954047 19.6352196357207 -659.349656469683</t>
  </si>
  <si>
    <t>-687.405714121582 51.5621719067933 -528.782307234013</t>
  </si>
  <si>
    <t>-663.393393953706 204.013095767 -506.004497409051</t>
  </si>
  <si>
    <t>-588.210942866777 247.154306100384 -237.555278204261</t>
  </si>
  <si>
    <t>-356.554432456015 234.134307767838 -248.24537132908</t>
  </si>
  <si>
    <t>-618.186300923381 123.956527710604 -98.7479570925028</t>
  </si>
  <si>
    <t>-636.344872304877 137.630342981184 316.204926343381</t>
  </si>
  <si>
    <t>-672.30730499959 178.175643654088 776.180491295553</t>
  </si>
  <si>
    <t>-522.151130088522 179.92755100138 833.920225589528</t>
  </si>
  <si>
    <t>-605.642271752835 -68.7540858463997 321.308640130169</t>
  </si>
  <si>
    <t>-650.421101806764 -100.095227395308 780.976482135685</t>
  </si>
  <si>
    <t>-496.2661853171 -114.869781101277 824.58608097027</t>
  </si>
  <si>
    <t>9763-20170724T115543.030078400.bin</t>
  </si>
  <si>
    <t>-612.852414780692 31.3417964776495 -94.7649978465795</t>
  </si>
  <si>
    <t>-636.87494597919 27.3681443031196 -202.767933673035</t>
  </si>
  <si>
    <t>-652.694741238275 24.7994982681525 -294.250036315077</t>
  </si>
  <si>
    <t>-666.159670104774 22.7404219351108 -377.030308825133</t>
  </si>
  <si>
    <t>-678.232117072712 20.9489512647701 -460.031448598729</t>
  </si>
  <si>
    <t>-694.35050957547 18.6132787411811 -581.603123985956</t>
  </si>
  <si>
    <t>-685.157213717863 19.1740670265542 -659.419476899367</t>
  </si>
  <si>
    <t>-687.647003290382 50.9923049187025 -528.812013456425</t>
  </si>
  <si>
    <t>-663.34077960578 203.344555015512 -505.674421397138</t>
  </si>
  <si>
    <t>-591.067065107214 245.66914923135 -236.297843585583</t>
  </si>
  <si>
    <t>-359.376295991609 232.618432660827 -246.176856636871</t>
  </si>
  <si>
    <t>-618.716063604628 123.152192209355 -98.7285650763604</t>
  </si>
  <si>
    <t>-636.594422506866 137.176569234982 316.224784954168</t>
  </si>
  <si>
    <t>-672.258262024043 178.195936586242 776.195112671893</t>
  </si>
  <si>
    <t>-522.096469253216 179.970357741141 833.919488949259</t>
  </si>
  <si>
    <t>-606.097870804125 -69.4161890411403 321.275784002986</t>
  </si>
  <si>
    <t>-650.34612399305 -100.291120911456 781.025668891378</t>
  </si>
  <si>
    <t>-496.265357405979 -115.101488091128 824.88451948515</t>
  </si>
  <si>
    <t>9763-20170724T115543.062171100.bin</t>
  </si>
  <si>
    <t>-613.126904160044 30.8872625352026 -94.7735727192209</t>
  </si>
  <si>
    <t>-637.135297305182 26.9351587657989 -202.780277684456</t>
  </si>
  <si>
    <t>-652.929240040988 24.4051696372533 -294.268014993978</t>
  </si>
  <si>
    <t>-666.365221729677 22.3896869898181 -377.054150824077</t>
  </si>
  <si>
    <t>-678.403019282025 20.6508183357614 -460.061328718933</t>
  </si>
  <si>
    <t>-694.464516914289 18.4019504055243 -581.64224285413</t>
  </si>
  <si>
    <t>-685.282019523985 19.0210366336207 -659.459397261366</t>
  </si>
  <si>
    <t>-687.79834355808 50.7431728728684 -528.823124723097</t>
  </si>
  <si>
    <t>-663.446520056748 203.065292635283 -505.55700063917</t>
  </si>
  <si>
    <t>-592.498095287335 244.861678932022 -235.746000861604</t>
  </si>
  <si>
    <t>-360.792284961033 231.893411181374 -245.378180502195</t>
  </si>
  <si>
    <t>-618.963281103717 122.721143748627 -98.7202168734713</t>
  </si>
  <si>
    <t>-636.678919540199 136.933625467453 316.233729373574</t>
  </si>
  <si>
    <t>-672.236934389921 178.182660434077 776.192034091458</t>
  </si>
  <si>
    <t>-522.075274997576 180.133564902236 833.911188414754</t>
  </si>
  <si>
    <t>-606.31234056653 -69.7718930250235 321.26410432231</t>
  </si>
  <si>
    <t>-650.258618414999 -100.394255575523 781.050802290283</t>
  </si>
  <si>
    <t>-496.226800520591 -115.06931875597 825.126405570985</t>
  </si>
  <si>
    <t>9763-20170724T115543.129895100.bin</t>
  </si>
  <si>
    <t>-613.676669644811 30.0112201001966 -94.7778169086076</t>
  </si>
  <si>
    <t>-637.592554672009 26.0923142310337 -202.806403219849</t>
  </si>
  <si>
    <t>-653.328318613555 23.6242186851191 -294.305748355925</t>
  </si>
  <si>
    <t>-666.719685083584 21.6785464457485 -377.10076771163</t>
  </si>
  <si>
    <t>-678.72070316533 20.0238313988116 -460.115072763376</t>
  </si>
  <si>
    <t>-694.736964546855 17.9142641798703 -581.704389275265</t>
  </si>
  <si>
    <t>-685.522534436202 18.6502935417409 -659.516717287214</t>
  </si>
  <si>
    <t>-688.10892259881 50.1947112749917 -528.843479287791</t>
  </si>
  <si>
    <t>-663.691498005186 202.469983656334 -505.316547415931</t>
  </si>
  <si>
    <t>-595.000421539703 243.450145983372 -234.797060485468</t>
  </si>
  <si>
    <t>-363.272312652891 230.644146557311 -244.103114042274</t>
  </si>
  <si>
    <t>-619.563019091081 121.914540977387 -98.7005847491367</t>
  </si>
  <si>
    <t>-636.883578340537 136.50492472482 316.256905432403</t>
  </si>
  <si>
    <t>-672.180109087812 178.260575978481 776.208596455819</t>
  </si>
  <si>
    <t>-522.005558582012 179.853644175558 833.905223343161</t>
  </si>
  <si>
    <t>-606.671220802553 -70.4150915929624 321.258929835458</t>
  </si>
  <si>
    <t>-649.987216050277 -100.606882959143 781.157572196021</t>
  </si>
  <si>
    <t>-496.102462169487 -115.047263922202 825.820589610953</t>
  </si>
  <si>
    <t>9763-20170724T115543.191063300.bin</t>
  </si>
  <si>
    <t>-614.223493982108 28.9423877187533 -94.7018273038453</t>
  </si>
  <si>
    <t>-638.007527026112 25.0399611639682 -202.760103740576</t>
  </si>
  <si>
    <t>-653.680796600509 22.6224089372326 -294.271541320848</t>
  </si>
  <si>
    <t>-667.035145277605 20.7358519221261 -377.073940186987</t>
  </si>
  <si>
    <t>-679.018449610298 19.1548515533034 -460.092252093934</t>
  </si>
  <si>
    <t>-695.030063015785 17.1686204961181 -581.684131019527</t>
  </si>
  <si>
    <t>-685.718127424667 18.0119414258788 -659.483791621015</t>
  </si>
  <si>
    <t>-688.439818028617 49.3951827676558 -528.785518872603</t>
  </si>
  <si>
    <t>-663.890536049093 201.596176387611 -504.887384588643</t>
  </si>
  <si>
    <t>-597.291848749297 242.288075639526 -233.801832790028</t>
  </si>
  <si>
    <t>-365.560161278005 229.403149101673 -242.908028947957</t>
  </si>
  <si>
    <t>-620.346832936747 120.752341233783 -98.5999840072795</t>
  </si>
  <si>
    <t>-637.26648070899 135.903943510369 316.353927530863</t>
  </si>
  <si>
    <t>-672.138116431045 178.272024232581 776.264328250174</t>
  </si>
  <si>
    <t>-521.94913319978 179.952781847629 833.920781423657</t>
  </si>
  <si>
    <t>-606.787183673885 -71.1581237905291 321.30091426779</t>
  </si>
  <si>
    <t>-649.495307331618 -100.81717221661 781.290989253478</t>
  </si>
  <si>
    <t>-495.845621143874 -114.671781153726 826.93799264152</t>
  </si>
  <si>
    <t>9763-20170724T115543.229171000.bin</t>
  </si>
  <si>
    <t>-614.496490327602 28.3913921259966 -94.6371733424191</t>
  </si>
  <si>
    <t>-638.241119649522 24.4952419439298 -202.704310732464</t>
  </si>
  <si>
    <t>-653.878792304421 22.1080801219812 -294.222621300459</t>
  </si>
  <si>
    <t>-667.199764739682 20.2576857134482 -377.031223383562</t>
  </si>
  <si>
    <t>-679.148476682889 18.7221832900839 -460.055275811941</t>
  </si>
  <si>
    <t>-695.108065760826 16.8125098521418 -581.655484420795</t>
  </si>
  <si>
    <t>-685.740652059644 17.7233838221277 -659.447736379287</t>
  </si>
  <si>
    <t>-688.573690281854 49.0051989691399 -528.729168180003</t>
  </si>
  <si>
    <t>-664.104498917375 201.186107210043 -504.678073083426</t>
  </si>
  <si>
    <t>-598.538206394668 241.946491928033 -233.351266032545</t>
  </si>
  <si>
    <t>-366.797584885132 229.136256363853 -242.335583862972</t>
  </si>
  <si>
    <t>-620.816147951344 120.178731471707 -98.5186323553181</t>
  </si>
  <si>
    <t>-637.466179457622 135.629880710804 316.435162158143</t>
  </si>
  <si>
    <t>-672.108747237933 178.296047250907 776.32188942548</t>
  </si>
  <si>
    <t>-521.909314965369 179.933598892301 833.952387198619</t>
  </si>
  <si>
    <t>-606.748490937805 -71.5355393712969 321.351844652883</t>
  </si>
  <si>
    <t>-649.22626953321 -100.928134203487 781.404645674564</t>
  </si>
  <si>
    <t>-495.711884362679 -114.599253591977 827.559292874931</t>
  </si>
  <si>
    <t>9763-20170724T115543.260253100.bin</t>
  </si>
  <si>
    <t>-614.835240402544 27.7753633988145 -94.5726661587862</t>
  </si>
  <si>
    <t>-638.542438892524 23.8733669905041 -202.647810900465</t>
  </si>
  <si>
    <t>-654.125052438991 21.5157034608708 -294.176340720349</t>
  </si>
  <si>
    <t>-667.386606240441 19.7035769568934 -376.995284111215</t>
  </si>
  <si>
    <t>-679.26596338244 18.2190511823185 -460.030335290139</t>
  </si>
  <si>
    <t>-695.113042006857 16.3980117648905 -581.646291356463</t>
  </si>
  <si>
    <t>-685.657076530393 17.3814671597952 -659.427037130734</t>
  </si>
  <si>
    <t>-688.674555676056 48.5513274637333 -528.684629304916</t>
  </si>
  <si>
    <t>-664.36939646971 200.737544992752 -504.469829710087</t>
  </si>
  <si>
    <t>-599.814440012636 241.567268726806 -232.910954587499</t>
  </si>
  <si>
    <t>-368.052817642997 228.975162048481 -241.658435103194</t>
  </si>
  <si>
    <t>-621.409392892925 119.465714688785 -98.433151396027</t>
  </si>
  <si>
    <t>-637.666876650296 135.260970881061 316.523267801584</t>
  </si>
  <si>
    <t>-672.123697194977 178.099332409848 776.390114444986</t>
  </si>
  <si>
    <t>-521.915858850041 180.128485444124 833.986274676733</t>
  </si>
  <si>
    <t>-606.778735479312 -71.8797465618629 321.399302669125</t>
  </si>
  <si>
    <t>-649.048329003354 -100.995890285231 781.467755156353</t>
  </si>
  <si>
    <t>-495.612612054446 -114.265735578063 827.999595887734</t>
  </si>
  <si>
    <t>9763-20170724T115543.325441800.bin</t>
  </si>
  <si>
    <t>-615.749877338403 26.6223956013248 -94.4633209844627</t>
  </si>
  <si>
    <t>-639.329494322691 22.7262248681925 -202.56652474015</t>
  </si>
  <si>
    <t>-654.818837743532 20.4417951366029 -294.112686107198</t>
  </si>
  <si>
    <t>-668.001399852167 18.720208776273 -376.946252259655</t>
  </si>
  <si>
    <t>-679.806956440648 17.3527912040975 -459.99370540831</t>
  </si>
  <si>
    <t>-695.55177757495 15.732398010023 -581.625952415666</t>
  </si>
  <si>
    <t>-685.969082976869 16.873531563092 -659.388951104153</t>
  </si>
  <si>
    <t>-689.296744712971 47.7960498282223 -528.587880609111</t>
  </si>
  <si>
    <t>-665.525555753055 199.998932841776 -503.9561524905</t>
  </si>
  <si>
    <t>-602.895237136559 240.793703778475 -231.941736023295</t>
  </si>
  <si>
    <t>-371.093490795221 228.659647264879 -240.264025492173</t>
  </si>
  <si>
    <t>-622.764962272166 118.159341125875 -98.2515051724712</t>
  </si>
  <si>
    <t>-638.337470659744 134.545197775781 316.708286294734</t>
  </si>
  <si>
    <t>-672.072982959232 178.057242597001 776.547747196354</t>
  </si>
  <si>
    <t>-521.844285914841 180.206945103463 834.085145355884</t>
  </si>
  <si>
    <t>-607.012830114097 -72.5675290734803 321.449197759963</t>
  </si>
  <si>
    <t>-648.75619624038 -101.144124183838 781.580758475795</t>
  </si>
  <si>
    <t>-495.468699719759 -113.865858655515 828.74991904655</t>
  </si>
  <si>
    <t>9763-20170724T115543.361537800.bin</t>
  </si>
  <si>
    <t>-616.281719423839 26.0683640139646 -94.4117851671493</t>
  </si>
  <si>
    <t>-639.781808500794 22.1701551447989 -202.532379808639</t>
  </si>
  <si>
    <t>-655.205930332462 19.9126862804374 -294.090153216121</t>
  </si>
  <si>
    <t>-668.330129801195 18.2244722323114 -376.933659902775</t>
  </si>
  <si>
    <t>-680.077926972983 16.9008267644447 -459.990064577783</t>
  </si>
  <si>
    <t>-695.738691782958 15.3564625142303 -581.634069081619</t>
  </si>
  <si>
    <t>-686.100349788534 16.5820594720399 -659.388978231253</t>
  </si>
  <si>
    <t>-689.60562712088 47.3852500717535 -528.560705544217</t>
  </si>
  <si>
    <t>-666.268705770752 199.627973549621 -503.728449365568</t>
  </si>
  <si>
    <t>-604.520226967901 240.363214868109 -231.503748032536</t>
  </si>
  <si>
    <t>-372.699329107701 228.515428646704 -239.703572257811</t>
  </si>
  <si>
    <t>-623.553395257492 117.484060342965 -98.1436917124216</t>
  </si>
  <si>
    <t>-638.793861490535 134.263374377951 316.81266957538</t>
  </si>
  <si>
    <t>-672.052518805313 178.066161423057 776.652096377287</t>
  </si>
  <si>
    <t>-521.805446225076 180.104871650274 834.145400447264</t>
  </si>
  <si>
    <t>-607.220828735225 -72.9359702615611 321.452081372155</t>
  </si>
  <si>
    <t>-648.699070130428 -101.228780062774 781.612206633547</t>
  </si>
  <si>
    <t>-495.448247206459 -113.747375891787 828.954592653878</t>
  </si>
  <si>
    <t>9763-20170724T115543.428231400.bin</t>
  </si>
  <si>
    <t>-617.508078269589 24.8696130047147 -94.3016095638268</t>
  </si>
  <si>
    <t>-640.842089509186 20.9377515475971 -202.456936954756</t>
  </si>
  <si>
    <t>-656.136260197797 18.7502587469376 -294.038186990594</t>
  </si>
  <si>
    <t>-669.146370854294 17.1589823525189 -376.901608793567</t>
  </si>
  <si>
    <t>-680.783070528053 15.9700370432586 -459.975691398011</t>
  </si>
  <si>
    <t>-696.284628569996 14.6635195556094 -581.643039098355</t>
  </si>
  <si>
    <t>-686.512659792864 16.1249705382934 -659.376974657888</t>
  </si>
  <si>
    <t>-690.412229384919 46.5834091099416 -528.4747034537</t>
  </si>
  <si>
    <t>-667.843275249868 198.865639291133 -503.180756849622</t>
  </si>
  <si>
    <t>-607.932638005513 239.480290666951 -230.527603225562</t>
  </si>
  <si>
    <t>-376.060975369533 228.292977186702 -238.202351823729</t>
  </si>
  <si>
    <t>-625.344061607812 116.052103042235 -97.9447537959502</t>
  </si>
  <si>
    <t>-639.765469599585 133.658120955336 317.006668938814</t>
  </si>
  <si>
    <t>-672.008232352239 178.141069825652 776.842255175337</t>
  </si>
  <si>
    <t>-521.715763491694 180.180344922795 834.216795101988</t>
  </si>
  <si>
    <t>-607.676308764884 -73.6767745928269 321.442157513699</t>
  </si>
  <si>
    <t>-648.670480305844 -101.334431801664 781.651013898041</t>
  </si>
  <si>
    <t>-495.459178185809 -113.581445009411 829.191853661547</t>
  </si>
  <si>
    <t>9763-20170724T115543.461321700.bin</t>
  </si>
  <si>
    <t>-618.190216142065 24.2666338704316 -94.2742945926584</t>
  </si>
  <si>
    <t>-641.431311506157 20.3073363624665 -202.448571195284</t>
  </si>
  <si>
    <t>-656.650913485035 18.1408142911766 -294.042835462222</t>
  </si>
  <si>
    <t>-669.594825710827 16.5828555263108 -376.917203353365</t>
  </si>
  <si>
    <t>-681.16643555816 15.4433840788163 -460.00112154395</t>
  </si>
  <si>
    <t>-696.573896188711 14.2273418029311 -581.68129680997</t>
  </si>
  <si>
    <t>-686.750445591817 15.8138601366188 -659.406400151888</t>
  </si>
  <si>
    <t>-690.851339786199 46.1044041513942 -528.470758519964</t>
  </si>
  <si>
    <t>-668.749670198363 198.407271193901 -502.911371519622</t>
  </si>
  <si>
    <t>-609.687834193844 239.021176562744 -230.073003850192</t>
  </si>
  <si>
    <t>-377.800424895272 227.990425443883 -237.494933368718</t>
  </si>
  <si>
    <t>-626.329844392611 115.354456959835 -97.8658473534383</t>
  </si>
  <si>
    <t>-640.224104859453 133.36247666453 317.086359815689</t>
  </si>
  <si>
    <t>-672.000480926703 178.088184650383 776.921708032791</t>
  </si>
  <si>
    <t>-521.687231832536 180.21191252247 834.238801281216</t>
  </si>
  <si>
    <t>-607.925514680335 -74.0423227076353 321.427594486078</t>
  </si>
  <si>
    <t>-648.675533299697 -101.352741229467 781.660228298414</t>
  </si>
  <si>
    <t>-495.447164541851 -113.136430491812 829.263141643773</t>
  </si>
  <si>
    <t>9763-20170724T115543.529560900.bin</t>
  </si>
  <si>
    <t>-619.494393109106 23.1012911249754 -94.2299648533921</t>
  </si>
  <si>
    <t>-642.52868636688 19.0697300957552 -202.445746963971</t>
  </si>
  <si>
    <t>-657.626972117282 16.9138230486278 -294.060393007323</t>
  </si>
  <si>
    <t>-670.481977930698 15.3869473000038 -376.949133893438</t>
  </si>
  <si>
    <t>-681.985344777037 14.3047913493697 -460.043311462661</t>
  </si>
  <si>
    <t>-697.315606749644 13.201216669107 -581.734305794088</t>
  </si>
  <si>
    <t>-687.420660807226 15.0597980489415 -659.444357149985</t>
  </si>
  <si>
    <t>-691.8589555812 45.0207284172066 -528.461510730236</t>
  </si>
  <si>
    <t>-670.915305056743 197.44204159323 -502.652566895204</t>
  </si>
  <si>
    <t>-613.109922067585 238.016358433552 -229.539262078779</t>
  </si>
  <si>
    <t>-381.193512515748 227.012804508634 -236.037835327211</t>
  </si>
  <si>
    <t>-628.392695324285 113.957972526825 -97.7368881800115</t>
  </si>
  <si>
    <t>-641.179469513271 132.804362289335 317.213640447896</t>
  </si>
  <si>
    <t>-671.942639168791 178.138430041862 777.052210485064</t>
  </si>
  <si>
    <t>-521.592296393654 180.296305107772 834.270629864621</t>
  </si>
  <si>
    <t>-608.462556321522 -74.8814916879448 321.379486488417</t>
  </si>
  <si>
    <t>-648.692143146453 -101.498907715594 781.692142602246</t>
  </si>
  <si>
    <t>-495.493462491747 -113.179357249573 829.415838172523</t>
  </si>
  <si>
    <t>9763-20170724T115543.561649800.bin</t>
  </si>
  <si>
    <t>-620.123439539859 22.5491232181002 -94.1915724284189</t>
  </si>
  <si>
    <t>-643.07854151164 18.4813040123286 -202.422920826491</t>
  </si>
  <si>
    <t>-658.161648137442 16.3170231114561 -294.039725559214</t>
  </si>
  <si>
    <t>-671.02339756206 14.7883519205682 -376.927453889186</t>
  </si>
  <si>
    <t>-682.554170376549 13.712374432813 -460.017892308069</t>
  </si>
  <si>
    <t>-697.947098102718 12.6269211022466 -581.701152448122</t>
  </si>
  <si>
    <t>-688.039539809337 14.6106924364046 -659.406392354869</t>
  </si>
  <si>
    <t>-692.582357588531 44.4333946576457 -528.411265398607</t>
  </si>
  <si>
    <t>-672.273113148122 196.922277339696 -502.489678769963</t>
  </si>
  <si>
    <t>-614.843856637793 237.432629863393 -229.287505688948</t>
  </si>
  <si>
    <t>-382.911436381812 226.517905447225 -235.350909641641</t>
  </si>
  <si>
    <t>-629.367966319014 113.247195009859 -97.6571121195211</t>
  </si>
  <si>
    <t>-641.673067010041 132.563616784137 317.286370646629</t>
  </si>
  <si>
    <t>-671.927489799124 178.116506573453 777.125341752385</t>
  </si>
  <si>
    <t>-521.554394233752 180.282390985211 834.283661613488</t>
  </si>
  <si>
    <t>-608.719542428011 -75.269986703184 321.367771493514</t>
  </si>
  <si>
    <t>-648.71749375391 -101.521069857319 781.703985385833</t>
  </si>
  <si>
    <t>-495.505276966019 -112.94072006729 829.44735077677</t>
  </si>
  <si>
    <t>9763-20170724T115543.594238300.bin</t>
  </si>
  <si>
    <t>-620.725069212129 22.0369984472759 -94.1642791410945</t>
  </si>
  <si>
    <t>-643.625244192905 17.9168575658659 -202.405188761439</t>
  </si>
  <si>
    <t>-658.697385820006 15.7296815149737 -294.023406072348</t>
  </si>
  <si>
    <t>-671.56312402616 14.1854086776225 -376.910247610337</t>
  </si>
  <si>
    <t>-683.111899287306 13.1013367484513 -459.99802665858</t>
  </si>
  <si>
    <t>-698.546649917523 12.0119815254582 -581.675942533017</t>
  </si>
  <si>
    <t>-688.607479240776 14.1174603106945 -659.373895354263</t>
  </si>
  <si>
    <t>-693.282969335081 43.814699118142 -528.373757645476</t>
  </si>
  <si>
    <t>-673.573030686255 196.365240156781 -502.354539062331</t>
  </si>
  <si>
    <t>-616.406255324315 236.714327948689 -229.073646129563</t>
  </si>
  <si>
    <t>-384.449590715521 226.026092512722 -234.587868605826</t>
  </si>
  <si>
    <t>-630.330230143424 112.599992026539 -97.6089714873967</t>
  </si>
  <si>
    <t>-642.137832090325 132.272807387196 317.332191322012</t>
  </si>
  <si>
    <t>-671.91839182069 178.038549415533 777.179984120886</t>
  </si>
  <si>
    <t>-521.529891465603 180.461464194677 834.287311078936</t>
  </si>
  <si>
    <t>-608.981773434244 -75.60354548743 321.360641168325</t>
  </si>
  <si>
    <t>-648.738860407085 -101.565070081518 781.714878083191</t>
  </si>
  <si>
    <t>-495.520071355688 -112.779918864542 829.485709082978</t>
  </si>
  <si>
    <t>9763-20170724T115543.661595200.bin</t>
  </si>
  <si>
    <t>-621.81838927766 21.2397091695805 -94.1390513372894</t>
  </si>
  <si>
    <t>-644.726580187494 16.9859114048454 -202.373180201227</t>
  </si>
  <si>
    <t>-659.794614379672 14.7117457966331 -293.989906153793</t>
  </si>
  <si>
    <t>-672.651707458529 13.0927204818258 -376.876691075032</t>
  </si>
  <si>
    <t>-684.187175079967 11.9414012083084 -459.965370548905</t>
  </si>
  <si>
    <t>-699.597143863013 10.7626476464789 -581.645513205492</t>
  </si>
  <si>
    <t>-689.531926873112 13.0375723547854 -659.322683467737</t>
  </si>
  <si>
    <t>-694.564638942888 42.5932758108722 -528.337642362363</t>
  </si>
  <si>
    <t>-675.965541593761 195.292971354019 -502.345928356818</t>
  </si>
  <si>
    <t>-619.750255208302 235.254800414246 -228.810594253644</t>
  </si>
  <si>
    <t>-387.734876863324 225.224366020361 -232.906931546466</t>
  </si>
  <si>
    <t>-632.106319687923 111.625619127023 -97.5490874231631</t>
  </si>
  <si>
    <t>-642.85547727444 132.000761787781 317.386940004316</t>
  </si>
  <si>
    <t>-671.847534773674 178.153030883683 777.268632584607</t>
  </si>
  <si>
    <t>-521.424157208909 180.463169037733 834.288668270117</t>
  </si>
  <si>
    <t>-609.362529309733 -76.0070883214844 321.352824168722</t>
  </si>
  <si>
    <t>-648.804503223526 -101.563201051354 781.735361716662</t>
  </si>
  <si>
    <t>-495.546081233927 -112.180972583476 829.51553100719</t>
  </si>
  <si>
    <t>9763-20170724T115543.727772700.bin</t>
  </si>
  <si>
    <t>-622.798605663258 20.5485782357678 -94.0966029801667</t>
  </si>
  <si>
    <t>-645.790441073062 16.2005068553401 -202.309135395875</t>
  </si>
  <si>
    <t>-660.80911070788 13.8193940302806 -293.931206690078</t>
  </si>
  <si>
    <t>-673.572936913773 12.087110090542 -376.830092904239</t>
  </si>
  <si>
    <t>-684.966555834269 10.8083804891637 -459.936624287918</t>
  </si>
  <si>
    <t>-700.115690136992 9.42744651649309 -581.647336608146</t>
  </si>
  <si>
    <t>-689.892903944912 11.7230910169692 -659.303272146099</t>
  </si>
  <si>
    <t>-695.362231855502 41.3371053936303 -528.361212338521</t>
  </si>
  <si>
    <t>-677.736333022932 194.197335773135 -502.623360388278</t>
  </si>
  <si>
    <t>-622.80316091506 234.117044590378 -228.821660795691</t>
  </si>
  <si>
    <t>-390.742228327155 224.564883719219 -231.057373143501</t>
  </si>
  <si>
    <t>-633.702551145177 110.806387311037 -97.4561454330041</t>
  </si>
  <si>
    <t>-643.323987798532 131.759136107695 317.478791708561</t>
  </si>
  <si>
    <t>-671.81411359644 178.197471718707 777.369195312322</t>
  </si>
  <si>
    <t>-521.341764198589 180.611664026804 834.255662307031</t>
  </si>
  <si>
    <t>-609.640265313392 -76.3396883581545 321.369915366249</t>
  </si>
  <si>
    <t>-648.835519084876 -101.672987829153 781.764722577859</t>
  </si>
  <si>
    <t>-495.619361780731 -112.444914622208 829.64584563647</t>
  </si>
  <si>
    <t>9763-20170724T115543.762867600.bin</t>
  </si>
  <si>
    <t>-623.248605527297 20.2384971943952 -94.0732480173466</t>
  </si>
  <si>
    <t>-646.283196578702 15.847638957968 -202.274994695262</t>
  </si>
  <si>
    <t>-661.274114505889 13.4047536780415 -293.89994877349</t>
  </si>
  <si>
    <t>-673.987070180812 11.6038835734355 -376.805169429613</t>
  </si>
  <si>
    <t>-685.303955485278 10.2448871802135 -459.920975267683</t>
  </si>
  <si>
    <t>-700.31262245625 8.73319829740012 -581.647576863242</t>
  </si>
  <si>
    <t>-690.031079726293 10.9741572733619 -659.297266179898</t>
  </si>
  <si>
    <t>-695.679208383444 40.6965020633743 -528.383003773361</t>
  </si>
  <si>
    <t>-678.278672765288 193.60159879348 -502.761897512271</t>
  </si>
  <si>
    <t>-624.140196237845 233.600040863171 -228.813514173244</t>
  </si>
  <si>
    <t>-392.069317499106 224.150111685103 -230.34195286957</t>
  </si>
  <si>
    <t>-634.413364162236 110.430768393877 -97.3995957550858</t>
  </si>
  <si>
    <t>-643.598603888312 131.658989269881 317.531213153338</t>
  </si>
  <si>
    <t>-671.777451748974 178.297272930141 777.419298689383</t>
  </si>
  <si>
    <t>-521.272011608914 180.558543446096 834.224377386439</t>
  </si>
  <si>
    <t>-609.849269098027 -76.4727030706631 321.378022035617</t>
  </si>
  <si>
    <t>-648.832962874106 -101.702919151638 781.782614399487</t>
  </si>
  <si>
    <t>-495.648748933756 -112.542633487355 829.750538573837</t>
  </si>
  <si>
    <t>9763-20170724T115543.827043500.bin</t>
  </si>
  <si>
    <t>-623.880868298612 19.8083414848047 -94.0250149517439</t>
  </si>
  <si>
    <t>-647.018059174483 15.3918827670832 -202.203857856062</t>
  </si>
  <si>
    <t>-662.037629273485 12.8176596693111 -293.820572532401</t>
  </si>
  <si>
    <t>-674.753574377806 10.8506142132651 -376.721632023661</t>
  </si>
  <si>
    <t>-686.050999723112 9.28013036135076 -459.836253856953</t>
  </si>
  <si>
    <t>-701.006976057148 7.40939769069132 -581.564362043227</t>
  </si>
  <si>
    <t>-690.744957141264 9.45897202669903 -659.221892593491</t>
  </si>
  <si>
    <t>-696.52850632414 39.5213450282968 -528.375832929837</t>
  </si>
  <si>
    <t>-679.783592526613 192.576618674842 -503.223230954088</t>
  </si>
  <si>
    <t>-626.530295687012 232.827094535321 -229.138274183797</t>
  </si>
  <si>
    <t>-394.458756886846 223.280521024065 -229.578919227046</t>
  </si>
  <si>
    <t>-635.325428263886 109.8015014059 -97.2848590903745</t>
  </si>
  <si>
    <t>-644.060547504864 131.38345362533 317.637469681537</t>
  </si>
  <si>
    <t>-671.737836910931 178.402545228312 777.516365429306</t>
  </si>
  <si>
    <t>-521.158710628397 180.621964496092 834.127356433724</t>
  </si>
  <si>
    <t>-610.233638850112 -76.7133158125921 321.377838859899</t>
  </si>
  <si>
    <t>-648.819198426947 -101.743359982239 781.827793171693</t>
  </si>
  <si>
    <t>-495.668715728985 -112.342511581725 829.956842255803</t>
  </si>
  <si>
    <t>9763-20170724T115543.862138100.bin</t>
  </si>
  <si>
    <t>-624.027043441489 19.6472152291408 -93.9919040945371</t>
  </si>
  <si>
    <t>-647.196981530523 15.2072033175405 -202.162796505581</t>
  </si>
  <si>
    <t>-662.24664445651 12.5607286743757 -293.772541685022</t>
  </si>
  <si>
    <t>-674.990887653506 10.5058611837562 -376.667047368824</t>
  </si>
  <si>
    <t>-686.318192670549 8.82572757367734 -459.775382535609</t>
  </si>
  <si>
    <t>-701.319632256971 6.77119503908921 -581.494971540014</t>
  </si>
  <si>
    <t>-691.112251582653 8.72830953438802 -659.162264398248</t>
  </si>
  <si>
    <t>-696.890872006929 38.9587569790908 -528.348215148517</t>
  </si>
  <si>
    <t>-680.453583404452 192.078779708748 -503.431417877827</t>
  </si>
  <si>
    <t>-627.473705198815 232.517267603327 -229.321092717853</t>
  </si>
  <si>
    <t>-395.405101456899 222.891331716353 -229.50873769184</t>
  </si>
  <si>
    <t>-635.652754217672 109.576215897452 -97.2354216061855</t>
  </si>
  <si>
    <t>-644.036405178032 131.381204868061 317.682498920545</t>
  </si>
  <si>
    <t>-671.715651800426 178.434131413916 777.550992397496</t>
  </si>
  <si>
    <t>-521.106327109564 180.653058337979 834.081673277964</t>
  </si>
  <si>
    <t>-610.445839296541 -76.6607589365285 321.370713984269</t>
  </si>
  <si>
    <t>-648.812853093195 -101.787977448618 781.840008235894</t>
  </si>
  <si>
    <t>-495.677550170773 -112.163694454356 830.065925385838</t>
  </si>
  <si>
    <t>9763-20170724T115543.925841900.bin</t>
  </si>
  <si>
    <t>-623.934025180717 19.6121662077599 -93.9321696398152</t>
  </si>
  <si>
    <t>-647.216637252991 15.1133606558612 -202.076491229224</t>
  </si>
  <si>
    <t>-662.313329656881 12.3342191132854 -293.674390064541</t>
  </si>
  <si>
    <t>-675.080871510313 10.1227209014714 -376.561447767585</t>
  </si>
  <si>
    <t>-686.412658386712 8.25152960694186 -459.665084368845</t>
  </si>
  <si>
    <t>-701.400356884125 5.87981991521224 -581.380587237205</t>
  </si>
  <si>
    <t>-691.318019492424 7.70136276109997 -659.067447568832</t>
  </si>
  <si>
    <t>-697.112039970989 38.1965366036882 -528.300497808779</t>
  </si>
  <si>
    <t>-681.274034370112 191.436311285845 -503.736258969475</t>
  </si>
  <si>
    <t>-628.878566396101 232.300315331868 -229.576680703654</t>
  </si>
  <si>
    <t>-396.819477911661 222.446562872088 -229.665451824078</t>
  </si>
  <si>
    <t>-635.953581599117 109.516393283246 -97.1539284707537</t>
  </si>
  <si>
    <t>-644.013605946799 131.340437889909 317.769385003018</t>
  </si>
  <si>
    <t>-671.653646195072 178.56577404184 777.63323888108</t>
  </si>
  <si>
    <t>-521.009582625757 180.687574461245 834.075075275035</t>
  </si>
  <si>
    <t>-610.363292714986 -76.4539084500204 321.431629008704</t>
  </si>
  <si>
    <t>-648.789619239118 -101.872509162358 781.880434327098</t>
  </si>
  <si>
    <t>-495.729340253365 -112.441505995217 830.302152005584</t>
  </si>
  <si>
    <t>9763-20170724T115543.957926600.bin</t>
  </si>
  <si>
    <t>-623.772539952293 19.7751104441845 -93.9038529121057</t>
  </si>
  <si>
    <t>-647.103333040774 15.2269045688206 -202.035571564458</t>
  </si>
  <si>
    <t>-662.211680743522 12.3937620173847 -293.630034314816</t>
  </si>
  <si>
    <t>-674.97797679186 10.1268062836864 -376.515659527809</t>
  </si>
  <si>
    <t>-686.296777191592 8.19433674154379 -459.619720145487</t>
  </si>
  <si>
    <t>-701.252621822727 5.72618159872854 -581.337280511998</t>
  </si>
  <si>
    <t>-691.234490632722 7.52013684091207 -659.032953236869</t>
  </si>
  <si>
    <t>-697.021442385632 38.0816287295459 -528.276422126484</t>
  </si>
  <si>
    <t>-681.264787927327 191.349630320312 -503.828912025426</t>
  </si>
  <si>
    <t>-629.486265758244 232.543315612353 -229.60157595628</t>
  </si>
  <si>
    <t>-397.428538228193 222.657984564788 -229.756850437189</t>
  </si>
  <si>
    <t>-635.900082310186 109.631661706505 -97.120430212708</t>
  </si>
  <si>
    <t>-643.901130040081 131.522014005091 317.800486657095</t>
  </si>
  <si>
    <t>-671.593701288273 178.701537017561 777.66260579624</t>
  </si>
  <si>
    <t>-520.943685657609 180.734425925069 834.091928178252</t>
  </si>
  <si>
    <t>-610.181322988993 -76.3308179284443 321.487449272825</t>
  </si>
  <si>
    <t>-648.806220920751 -101.904372049145 781.8962860143</t>
  </si>
  <si>
    <t>-495.749436253622 -112.324384771381 830.361440690724</t>
  </si>
  <si>
    <t>9763-20170724T115544.027618900.bin</t>
  </si>
  <si>
    <t>-623.435876029539 19.9953716909658 -93.8682726764043</t>
  </si>
  <si>
    <t>-646.8151751042 15.3345323004241 -201.984855925517</t>
  </si>
  <si>
    <t>-661.960203815409 12.3799905654528 -293.569452995454</t>
  </si>
  <si>
    <t>-674.757878688923 9.99027398181715 -376.446708550916</t>
  </si>
  <si>
    <t>-686.106546182746 7.92335698393345 -459.543388850462</t>
  </si>
  <si>
    <t>-701.104442785999 5.24598416757794 -581.251317823107</t>
  </si>
  <si>
    <t>-691.208352291294 6.97908222686601 -658.964088362386</t>
  </si>
  <si>
    <t>-696.935352992705 37.6867543756093 -528.237534723425</t>
  </si>
  <si>
    <t>-681.361216295429 191.01629159298 -504.063844443451</t>
  </si>
  <si>
    <t>-631.146752897001 232.753829208117 -229.627866913608</t>
  </si>
  <si>
    <t>-399.108508294278 222.43027368925 -229.175885074895</t>
  </si>
  <si>
    <t>-635.681235500514 109.985660916715 -97.1169869066928</t>
  </si>
  <si>
    <t>-643.3205368619 132.090920225071 317.799422131568</t>
  </si>
  <si>
    <t>-671.538019142558 178.783299381001 777.710560571762</t>
  </si>
  <si>
    <t>-520.886846105102 181.001036185926 834.129805087014</t>
  </si>
  <si>
    <t>-609.890177748524 -76.2139491945093 321.565631148378</t>
  </si>
  <si>
    <t>-648.88846572873 -102.054658211113 781.919307852115</t>
  </si>
  <si>
    <t>-495.873141096079 -112.885714245559 830.425189015346</t>
  </si>
  <si>
    <t>9763-20170724T115544.063713500.bin</t>
  </si>
  <si>
    <t>-623.391294694431 20.1031139551098 -93.8412433988741</t>
  </si>
  <si>
    <t>-646.78726957052 15.3948045277837 -201.95199203706</t>
  </si>
  <si>
    <t>-661.917422147771 12.3994148082872 -293.537700081659</t>
  </si>
  <si>
    <t>-674.689965345347 9.97225686042179 -376.41785212169</t>
  </si>
  <si>
    <t>-686.00192177971 7.86787654760792 -459.518688250404</t>
  </si>
  <si>
    <t>-700.933450331944 5.13604221284186 -581.233593638211</t>
  </si>
  <si>
    <t>-691.058002946412 6.87132360985061 -658.948872866329</t>
  </si>
  <si>
    <t>-696.844735711378 37.596503387889 -528.225668868427</t>
  </si>
  <si>
    <t>-681.457357058611 190.951254588791 -504.113267966008</t>
  </si>
  <si>
    <t>-632.262135586202 233.005961470229 -229.541165892344</t>
  </si>
  <si>
    <t>-400.242949756933 222.287688823519 -228.677639251375</t>
  </si>
  <si>
    <t>-635.643936204788 110.154002685293 -97.1119533412252</t>
  </si>
  <si>
    <t>-643.162121232292 132.238158662758 317.807764187727</t>
  </si>
  <si>
    <t>-671.475351605659 178.962332904482 777.699960595057</t>
  </si>
  <si>
    <t>-520.828143258858 181.090292597175 834.133192149912</t>
  </si>
  <si>
    <t>-609.920399552184 -76.1338281472924 321.591855458909</t>
  </si>
  <si>
    <t>-648.939630641581 -102.072919699541 781.930491254037</t>
  </si>
  <si>
    <t>-495.888214015092 -112.475606778823 830.416246251708</t>
  </si>
  <si>
    <t>9763-20170724T115544.126894000.bin</t>
  </si>
  <si>
    <t>-623.596132515104 20.1388929390096 -93.8325767691989</t>
  </si>
  <si>
    <t>-646.979787178227 15.3892176361896 -201.944395519552</t>
  </si>
  <si>
    <t>-662.024844837194 12.3638167656979 -293.542974113881</t>
  </si>
  <si>
    <t>-674.690260540721 9.90985931034265 -376.438677697116</t>
  </si>
  <si>
    <t>-685.864837521816 7.78011122860653 -459.557501392085</t>
  </si>
  <si>
    <t>-700.56221530899 5.01337878279014 -581.300018720304</t>
  </si>
  <si>
    <t>-690.718648565226 6.81018327156994 -659.018007316174</t>
  </si>
  <si>
    <t>-696.662461152924 37.4822817222012 -528.283009300297</t>
  </si>
  <si>
    <t>-681.656183224953 190.887578725577 -504.167200591099</t>
  </si>
  <si>
    <t>-635.007136273829 233.162496242385 -229.184792279319</t>
  </si>
  <si>
    <t>-402.997015776688 222.350030217406 -227.472911422966</t>
  </si>
  <si>
    <t>-636.045390089908 110.11702109774 -97.0993441877192</t>
  </si>
  <si>
    <t>-643.137120446529 132.400731796568 317.817217025207</t>
  </si>
  <si>
    <t>-671.398466153673 179.090868991554 777.687148942497</t>
  </si>
  <si>
    <t>-520.747333033977 181.221508426753 834.109880356837</t>
  </si>
  <si>
    <t>-610.079385192683 -76.0516538341151 321.602613443277</t>
  </si>
  <si>
    <t>-648.942096676222 -102.140838677147 781.963254217145</t>
  </si>
  <si>
    <t>-495.936610902577 -112.548797116074 830.592721162971</t>
  </si>
  <si>
    <t>9763-20170724T115544.158983600.bin</t>
  </si>
  <si>
    <t>-623.800917459593 20.0219226178006 -93.8143183441262</t>
  </si>
  <si>
    <t>-647.157949249304 15.2591267217153 -201.931084492165</t>
  </si>
  <si>
    <t>-662.151199736238 12.2371067810561 -293.538520219459</t>
  </si>
  <si>
    <t>-674.757812533148 9.79056673852369 -376.443423923408</t>
  </si>
  <si>
    <t>-685.861492645397 7.67343536130625 -459.571997258274</t>
  </si>
  <si>
    <t>-700.441885325267 4.93076360610394 -581.329208565545</t>
  </si>
  <si>
    <t>-690.591361077383 6.77996532612246 -659.045053971045</t>
  </si>
  <si>
    <t>-696.63477584248 37.3858871621869 -528.297018315877</t>
  </si>
  <si>
    <t>-681.799676375327 190.802496403665 -504.151068132026</t>
  </si>
  <si>
    <t>-636.680695937073 232.98844888668 -228.899939731431</t>
  </si>
  <si>
    <t>-404.672702011526 222.225821061694 -226.66932039651</t>
  </si>
  <si>
    <t>-636.359651462624 110.008605034855 -97.0938414886044</t>
  </si>
  <si>
    <t>-643.27609795735 132.451920394679 317.817097091864</t>
  </si>
  <si>
    <t>-671.343263225369 179.227700209007 777.695983951171</t>
  </si>
  <si>
    <t>-520.680514810054 181.209490544243 834.093161933837</t>
  </si>
  <si>
    <t>-610.222914342566 -76.1404914839325 321.609308705701</t>
  </si>
  <si>
    <t>-648.958109283674 -102.235408000417 781.982571021578</t>
  </si>
  <si>
    <t>-496.007238954254 -113.110655983478 830.681480904509</t>
  </si>
  <si>
    <t>9763-20170724T115544.227736900.bin</t>
  </si>
  <si>
    <t>-624.163248032239 19.6760567981044 -93.7721991094519</t>
  </si>
  <si>
    <t>-647.495632886557 14.905426567173 -201.894155931971</t>
  </si>
  <si>
    <t>-662.407453973348 11.8925324164604 -293.515045183428</t>
  </si>
  <si>
    <t>-674.915755856206 9.4570808353792 -376.435139837034</t>
  </si>
  <si>
    <t>-685.896275985899 7.35651188757606 -459.580516947002</t>
  </si>
  <si>
    <t>-700.2694245306 4.64350525940654 -581.362921612419</t>
  </si>
  <si>
    <t>-690.362737071089 6.59706149618683 -659.069226190297</t>
  </si>
  <si>
    <t>-696.677441596214 37.0751266891345 -528.301381047749</t>
  </si>
  <si>
    <t>-682.560041517012 190.552566579396 -504.181809773346</t>
  </si>
  <si>
    <t>-640.61745624573 232.649783612663 -228.415059290003</t>
  </si>
  <si>
    <t>-408.625702823746 221.891114361228 -224.862457694143</t>
  </si>
  <si>
    <t>-637.079227417916 109.570428740677 -97.017314546281</t>
  </si>
  <si>
    <t>-643.529907855337 132.372919156584 317.881470871192</t>
  </si>
  <si>
    <t>-671.24971699942 179.387243787227 777.734875064271</t>
  </si>
  <si>
    <t>-520.564541577172 181.284666426631 834.074991308029</t>
  </si>
  <si>
    <t>-610.507779896103 -76.2232551842685 321.598496272248</t>
  </si>
  <si>
    <t>-648.981690837372 -102.309409728178 781.994464423973</t>
  </si>
  <si>
    <t>-496.059791565376 -113.056080532279 830.812802755436</t>
  </si>
  <si>
    <t>9763-20170724T115544.262831100.bin</t>
  </si>
  <si>
    <t>-624.390909768624 19.4816243390858 -93.7623687764416</t>
  </si>
  <si>
    <t>-647.717493868043 14.7067005124047 -201.88533983426</t>
  </si>
  <si>
    <t>-662.556540040966 11.7037465978342 -293.518422633844</t>
  </si>
  <si>
    <t>-674.971242080058 9.28130814849487 -376.452979700289</t>
  </si>
  <si>
    <t>-685.830469737824 7.19837609450519 -459.61475501648</t>
  </si>
  <si>
    <t>-699.99578006784 4.51638980380062 -581.422284701171</t>
  </si>
  <si>
    <t>-690.017681730973 6.53827503716275 -659.117479968661</t>
  </si>
  <si>
    <t>-696.570780974081 36.9279271351922 -528.337313647995</t>
  </si>
  <si>
    <t>-682.94382381506 190.458396488332 -504.232078395193</t>
  </si>
  <si>
    <t>-642.600484403088 232.639775945132 -228.239714180015</t>
  </si>
  <si>
    <t>-410.6277618759 221.698741569989 -224.060582288371</t>
  </si>
  <si>
    <t>-637.5512153533 109.323456886925 -96.9806199763559</t>
  </si>
  <si>
    <t>-643.67512565118 132.205544207867 317.918793889523</t>
  </si>
  <si>
    <t>-671.217747676277 179.355580586571 777.758447907326</t>
  </si>
  <si>
    <t>-520.525450077562 181.356953940304 834.075841089622</t>
  </si>
  <si>
    <t>-610.678399415178 -76.2297276442057 321.590626405307</t>
  </si>
  <si>
    <t>-649.00456457551 -102.389044347593 782.004179708116</t>
  </si>
  <si>
    <t>-496.089880431354 -113.032821436215 830.867572945314</t>
  </si>
  <si>
    <t>9763-20170724T115544.328556500.bin</t>
  </si>
  <si>
    <t>-624.841042979136 19.0341554579475 -93.72502545319</t>
  </si>
  <si>
    <t>-648.070610461963 14.2487446018852 -201.868419134443</t>
  </si>
  <si>
    <t>-662.73048195635 11.2555863915916 -293.530605390377</t>
  </si>
  <si>
    <t>-674.943535473856 8.8445487084457 -376.49545693151</t>
  </si>
  <si>
    <t>-685.560989878998 6.77730740161246 -459.688789145486</t>
  </si>
  <si>
    <t>-699.328552590404 4.12255151737259 -581.542526791897</t>
  </si>
  <si>
    <t>-689.207932729422 6.27811724661319 -659.215786804013</t>
  </si>
  <si>
    <t>-696.173276188119 36.513574765848 -528.42832554248</t>
  </si>
  <si>
    <t>-683.338648355242 190.128989841424 -504.380805602694</t>
  </si>
  <si>
    <t>-646.596378462118 231.877202512921 -227.820370505252</t>
  </si>
  <si>
    <t>-414.65213492456 220.80212820395 -222.550414230381</t>
  </si>
  <si>
    <t>-638.415152626635 108.720743484943 -96.8437769820745</t>
  </si>
  <si>
    <t>-644.370412103895 131.785715155163 318.047967181488</t>
  </si>
  <si>
    <t>-671.170812359663 179.415542370322 777.889063713828</t>
  </si>
  <si>
    <t>-520.439304081241 181.422320000542 834.101156225761</t>
  </si>
  <si>
    <t>-611.151734602864 -76.3055240899125 321.568940847799</t>
  </si>
  <si>
    <t>-649.143976833245 -102.600254286997 781.998316031235</t>
  </si>
  <si>
    <t>-496.223866347912 -113.397527439421 830.811102401029</t>
  </si>
  <si>
    <t>9763-20170724T115544.360652000.bin</t>
  </si>
  <si>
    <t>-625.048473477069 18.8496914436655 -93.6999563979385</t>
  </si>
  <si>
    <t>-648.181253714719 14.0714136007812 -201.864378103655</t>
  </si>
  <si>
    <t>-662.763065654198 11.0750401583116 -293.53898795565</t>
  </si>
  <si>
    <t>-674.906741116087 8.65477711542007 -376.51373593958</t>
  </si>
  <si>
    <t>-685.455979492142 6.57272521800701 -459.715321470557</t>
  </si>
  <si>
    <t>-699.125045620833 3.88994145324295 -581.579636203409</t>
  </si>
  <si>
    <t>-688.936572635096 6.08734285972992 -659.242848545481</t>
  </si>
  <si>
    <t>-696.055506407986 36.2893198983174 -528.465575400753</t>
  </si>
  <si>
    <t>-683.553246217569 189.940266865685 -504.476952384469</t>
  </si>
  <si>
    <t>-648.747472098003 231.290444613035 -227.606501489804</t>
  </si>
  <si>
    <t>-416.825516940945 220.101296929112 -221.644979515098</t>
  </si>
  <si>
    <t>-638.852480071562 108.450378169251 -96.7718622794214</t>
  </si>
  <si>
    <t>-644.742512643416 131.695205834751 318.110707299218</t>
  </si>
  <si>
    <t>-671.139700924771 179.515362229422 777.951219789566</t>
  </si>
  <si>
    <t>-520.382866638198 181.505459748614 834.096175178718</t>
  </si>
  <si>
    <t>-611.418003074225 -76.3682648927843 321.548314920849</t>
  </si>
  <si>
    <t>-649.266253573555 -102.660535497525 781.977462969755</t>
  </si>
  <si>
    <t>-496.266177427469 -112.831016335399 830.674141560147</t>
  </si>
  <si>
    <t>9763-20170724T115544.425010300.bin</t>
  </si>
  <si>
    <t>-625.548692628835 18.4996306165115 -93.6520613171709</t>
  </si>
  <si>
    <t>-648.524295526146 13.7209285935216 -201.850066499976</t>
  </si>
  <si>
    <t>-662.997360351704 10.7289281933879 -293.541900747503</t>
  </si>
  <si>
    <t>-675.051741336958 8.3103903155577 -376.529707690646</t>
  </si>
  <si>
    <t>-685.520811738567 6.22903284863128 -459.741564492554</t>
  </si>
  <si>
    <t>-699.082569007223 3.5456317707758 -581.617677749368</t>
  </si>
  <si>
    <t>-688.773109938585 5.78752196671439 -659.263722381158</t>
  </si>
  <si>
    <t>-696.135599305326 35.938133861966 -528.492568414767</t>
  </si>
  <si>
    <t>-684.326454750674 189.652360980541 -504.610294332729</t>
  </si>
  <si>
    <t>-653.422925566226 230.503063773343 -227.203004323321</t>
  </si>
  <si>
    <t>-421.555202325308 219.261940253631 -219.487706861137</t>
  </si>
  <si>
    <t>-639.656776843332 107.907011841638 -96.6672035467669</t>
  </si>
  <si>
    <t>-645.385480332437 131.450236921131 318.200855900007</t>
  </si>
  <si>
    <t>-671.097590994173 179.522257836297 778.034534114355</t>
  </si>
  <si>
    <t>-520.312526475944 181.772795220675 834.093618945153</t>
  </si>
  <si>
    <t>-611.853665508151 -76.7075121627731 321.513661588067</t>
  </si>
  <si>
    <t>-649.52695652301 -102.92774956284 781.942940495623</t>
  </si>
  <si>
    <t>-496.485248291736 -113.565516761717 830.408424422259</t>
  </si>
  <si>
    <t>9763-20170724T115544.462108800.bin</t>
  </si>
  <si>
    <t>-625.781931575296 18.394643574673 -93.6368277023929</t>
  </si>
  <si>
    <t>-648.734708717886 13.6150292792261 -201.839518000126</t>
  </si>
  <si>
    <t>-663.182510712517 10.6301998870258 -293.535586763808</t>
  </si>
  <si>
    <t>-675.211481048155 8.21968838730527 -376.527409907413</t>
  </si>
  <si>
    <t>-685.652518922486 6.14916074085522 -459.742954238259</t>
  </si>
  <si>
    <t>-699.170564490977 3.48438342941904 -581.624470609839</t>
  </si>
  <si>
    <t>-688.809089259959 5.74634079480347 -659.26280384405</t>
  </si>
  <si>
    <t>-696.298068912096 35.8635039694736 -528.487024342447</t>
  </si>
  <si>
    <t>-684.893357324458 189.601686301595 -504.582528307794</t>
  </si>
  <si>
    <t>-655.898190751217 230.199978398199 -226.932195124323</t>
  </si>
  <si>
    <t>-424.070762652293 218.964301086993 -218.082147992582</t>
  </si>
  <si>
    <t>-640.005433421783 107.761631560611 -96.6285626014931</t>
  </si>
  <si>
    <t>-645.573451234432 131.409109075541 318.235735579485</t>
  </si>
  <si>
    <t>-671.044017975923 179.652551222942 778.061279038071</t>
  </si>
  <si>
    <t>-520.248995516356 181.758066238102 834.099249815269</t>
  </si>
  <si>
    <t>-611.941394275543 -76.80368482068 321.497204407782</t>
  </si>
  <si>
    <t>-649.634602505977 -102.970010468813 781.927252978125</t>
  </si>
  <si>
    <t>-496.517721813158 -113.033526694012 830.277724172622</t>
  </si>
  <si>
    <t>9763-20170724T115544.527081000.bin</t>
  </si>
  <si>
    <t>-626.00663270813 18.0154584137795 -93.6341978094193</t>
  </si>
  <si>
    <t>-648.894762532286 13.2254765953292 -201.850195707734</t>
  </si>
  <si>
    <t>-663.272567147845 10.2729293841692 -293.558417657106</t>
  </si>
  <si>
    <t>-675.231707431291 7.90560700464516 -376.561432590431</t>
  </si>
  <si>
    <t>-685.596392831823 5.89443064086618 -459.788058087644</t>
  </si>
  <si>
    <t>-698.995533727839 3.33462741383846 -581.684844613111</t>
  </si>
  <si>
    <t>-688.530471079313 5.65264073890921 -659.3077616444</t>
  </si>
  <si>
    <t>-696.28708774375 35.6568126980362 -528.504110508217</t>
  </si>
  <si>
    <t>-685.434247831624 189.418907629408 -504.467163810179</t>
  </si>
  <si>
    <t>-660.782641810197 229.598840890821 -226.336927421783</t>
  </si>
  <si>
    <t>-429.024988262176 218.863507680836 -215.30680378572</t>
  </si>
  <si>
    <t>-640.270438456297 107.421311764588 -96.5825875928151</t>
  </si>
  <si>
    <t>-645.558059614387 131.388208946543 318.267047443651</t>
  </si>
  <si>
    <t>-670.949363870882 179.826436729424 778.078865433889</t>
  </si>
  <si>
    <t>-520.15529516716 181.837824234458 834.122804196338</t>
  </si>
  <si>
    <t>-611.956837025258 -77.113861926654 321.476909003453</t>
  </si>
  <si>
    <t>-649.778710881791 -103.125451907919 781.917931611728</t>
  </si>
  <si>
    <t>-496.627045215133 -113.084897974258 830.179780481608</t>
  </si>
  <si>
    <t>9763-20170724T115544.561169900.bin</t>
  </si>
  <si>
    <t>-626.035239167164 17.7643170347469 -93.6284723972899</t>
  </si>
  <si>
    <t>-648.887962385708 12.9661893204582 -201.851556598217</t>
  </si>
  <si>
    <t>-663.214522472411 10.0253538565796 -293.568208488237</t>
  </si>
  <si>
    <t>-675.11865040925 7.67499815870201 -376.579668941318</t>
  </si>
  <si>
    <t>-685.419582221036 5.6882695247732 -459.814739303193</t>
  </si>
  <si>
    <t>-698.715820185005 3.17268894033032 -581.72365413499</t>
  </si>
  <si>
    <t>-688.202167659403 5.5261612726672 -659.339115794505</t>
  </si>
  <si>
    <t>-696.104240487094 35.4703969938525 -528.52329855053</t>
  </si>
  <si>
    <t>-685.564413669762 189.248267538654 -504.469323915505</t>
  </si>
  <si>
    <t>-663.257737074119 229.205708171283 -226.109132934796</t>
  </si>
  <si>
    <t>-431.533235443472 219.002208762161 -213.936344353772</t>
  </si>
  <si>
    <t>-640.368272675088 107.183227592695 -96.5616885624514</t>
  </si>
  <si>
    <t>-645.556938474262 131.310772123929 318.279894976151</t>
  </si>
  <si>
    <t>-670.936846865927 179.776758572154 778.085795687977</t>
  </si>
  <si>
    <t>-520.146448237462 182.035018591442 834.130221864086</t>
  </si>
  <si>
    <t>-611.938225192244 -77.3486388067017 321.467633795112</t>
  </si>
  <si>
    <t>-649.814536728822 -103.222924372063 781.923662962061</t>
  </si>
  <si>
    <t>-496.674100573512 -113.226401274265 830.211980428342</t>
  </si>
  <si>
    <t>9763-20170724T115544.627013700.bin</t>
  </si>
  <si>
    <t>-626.188836206322 17.4907656322719 -93.599199799775</t>
  </si>
  <si>
    <t>-648.967436573664 12.6680970518382 -201.836859599483</t>
  </si>
  <si>
    <t>-663.191883177323 9.71900856705315 -293.568974047899</t>
  </si>
  <si>
    <t>-674.987487586684 7.36500412563055 -376.595866899296</t>
  </si>
  <si>
    <t>-685.16381964067 5.37956332136014 -459.846318828493</t>
  </si>
  <si>
    <t>-698.260287733408 2.87190183523239 -581.777069176281</t>
  </si>
  <si>
    <t>-687.6521012135 5.29797448558907 -659.377324349267</t>
  </si>
  <si>
    <t>-695.836260573124 35.1556357138099 -528.559433502526</t>
  </si>
  <si>
    <t>-685.89301043799 188.997419276789 -504.642442960096</t>
  </si>
  <si>
    <t>-668.60176416184 228.982201207733 -225.929649930239</t>
  </si>
  <si>
    <t>-437.041010801723 219.226063588897 -210.666478824074</t>
  </si>
  <si>
    <t>-640.70294723249 106.876996814516 -96.5257185262257</t>
  </si>
  <si>
    <t>-645.642629411765 131.239896322609 318.305145899134</t>
  </si>
  <si>
    <t>-670.870342764526 179.832819790241 778.097986842595</t>
  </si>
  <si>
    <t>-520.081451900005 182.269048178298 834.138942008021</t>
  </si>
  <si>
    <t>-611.887546854169 -77.7654503247304 321.490699995831</t>
  </si>
  <si>
    <t>-649.82612018768 -103.408690457541 781.965402114434</t>
  </si>
  <si>
    <t>-496.723493866837 -113.389174805802 830.37823751058</t>
  </si>
  <si>
    <t>9763-20170724T115544.659097600.bin</t>
  </si>
  <si>
    <t>-626.244520309304 17.393784306794 -93.5903658283426</t>
  </si>
  <si>
    <t>-648.997374018697 12.5671588716993 -201.833227206245</t>
  </si>
  <si>
    <t>-663.184415393941 9.59870231282571 -293.57057439034</t>
  </si>
  <si>
    <t>-674.940043304524 7.2193604905051 -376.602399737714</t>
  </si>
  <si>
    <t>-685.070051858877 5.20200003962509 -459.857723074041</t>
  </si>
  <si>
    <t>-698.092053091388 2.63990988032288 -581.795367087798</t>
  </si>
  <si>
    <t>-687.44455551952 5.06259495151835 -659.39019322432</t>
  </si>
  <si>
    <t>-695.732221289075 34.944169171888 -528.587107825238</t>
  </si>
  <si>
    <t>-685.93891030452 188.819799289514 -504.771391008904</t>
  </si>
  <si>
    <t>-671.290749944942 228.807397836553 -225.907541630777</t>
  </si>
  <si>
    <t>-439.876488941999 218.995874193482 -208.595519370981</t>
  </si>
  <si>
    <t>-640.830214197488 106.785595114375 -96.5096933274167</t>
  </si>
  <si>
    <t>-645.707535288682 131.233729822528 318.316850177234</t>
  </si>
  <si>
    <t>-670.827804574908 179.915353160971 778.111468812357</t>
  </si>
  <si>
    <t>-520.033531993432 182.295967592998 834.140485839113</t>
  </si>
  <si>
    <t>-611.878807356847 -77.8267459616 321.494029148092</t>
  </si>
  <si>
    <t>-649.838999352414 -103.436422365217 781.977823262262</t>
  </si>
  <si>
    <t>-496.727897424499 -113.071408076202 830.433801654327</t>
  </si>
  <si>
    <t>9763-20170724T115544.727817800.bin</t>
  </si>
  <si>
    <t>-626.257401236947 17.2316372833825 -93.5725785334907</t>
  </si>
  <si>
    <t>-648.939800710071 12.3813300178874 -201.829114113103</t>
  </si>
  <si>
    <t>-663.074047134612 9.34856530914863 -293.572600875456</t>
  </si>
  <si>
    <t>-674.784608624279 6.8921129125622 -376.60851703779</t>
  </si>
  <si>
    <t>-684.872432701033 4.77943931880623 -459.866530853883</t>
  </si>
  <si>
    <t>-697.836136732276 2.0576820739991 -581.806956974664</t>
  </si>
  <si>
    <t>-687.165314724362 4.37032574538171 -659.40211103239</t>
  </si>
  <si>
    <t>-695.546375572859 34.4266819149943 -528.635217164446</t>
  </si>
  <si>
    <t>-686.033118082535 188.368873441702 -505.201586117554</t>
  </si>
  <si>
    <t>-676.688546895443 228.278842044949 -226.098716263657</t>
  </si>
  <si>
    <t>-445.691136945437 218.162169750515 -204.044942855325</t>
  </si>
  <si>
    <t>-640.969796375533 106.597547376976 -96.4807374254576</t>
  </si>
  <si>
    <t>-645.810716465991 131.169942070088 318.338934873438</t>
  </si>
  <si>
    <t>-670.761465662881 179.996013618562 778.137558957394</t>
  </si>
  <si>
    <t>-519.959058305473 182.550844085007 834.136974418021</t>
  </si>
  <si>
    <t>-611.843431223905 -77.9457416684127 321.521600371673</t>
  </si>
  <si>
    <t>-649.873059267026 -103.548069749328 782.001081763652</t>
  </si>
  <si>
    <t>-496.797079545117 -113.293639260522 830.545933457796</t>
  </si>
  <si>
    <t>9763-20170724T115544.760904600.bin</t>
  </si>
  <si>
    <t>-626.275361130086 17.1818877625726 -93.5479496886697</t>
  </si>
  <si>
    <t>-648.922104785822 12.3083555158028 -201.810967802923</t>
  </si>
  <si>
    <t>-663.016200370269 9.23403866713761 -293.559119496304</t>
  </si>
  <si>
    <t>-674.686458505704 6.73039485976778 -376.599446070688</t>
  </si>
  <si>
    <t>-684.730112538823 4.56100467773877 -459.861284155317</t>
  </si>
  <si>
    <t>-697.624880024502 1.74639780033453 -581.806861853027</t>
  </si>
  <si>
    <t>-686.962126378911 3.98745092689751 -659.40524008894</t>
  </si>
  <si>
    <t>-695.393889632255 34.1527921112497 -528.655363030878</t>
  </si>
  <si>
    <t>-686.145251680033 188.145942033563 -505.448928259444</t>
  </si>
  <si>
    <t>-679.204252477347 227.852671096948 -226.24696908358</t>
  </si>
  <si>
    <t>-448.441648319526 217.97957388055 -201.75904339651</t>
  </si>
  <si>
    <t>-641.087793465296 106.553621568507 -96.4672947607012</t>
  </si>
  <si>
    <t>-645.823141590129 131.129411815064 318.353370764393</t>
  </si>
  <si>
    <t>-670.72292847829 180.06368556868 778.14013486652</t>
  </si>
  <si>
    <t>-519.918406534504 182.698173475145 834.130132228043</t>
  </si>
  <si>
    <t>-611.86707371539 -78.0180367352389 321.541785467803</t>
  </si>
  <si>
    <t>-649.899433895178 -103.621717605518 782.014102664054</t>
  </si>
  <si>
    <t>-496.871854317667 -113.928475591175 830.59550949503</t>
  </si>
  <si>
    <t>9763-20170724T115544.829724800.bin</t>
  </si>
  <si>
    <t>-626.288078586329 17.2028408600656 -93.4999996250959</t>
  </si>
  <si>
    <t>-648.86697133056 12.280859085618 -201.77495780048</t>
  </si>
  <si>
    <t>-662.911363107021 9.14545629779263 -293.528730996567</t>
  </si>
  <si>
    <t>-674.539448266677 6.57651762242631 -376.572847004581</t>
  </si>
  <si>
    <t>-684.543889623641 4.33229249833721 -459.837649463753</t>
  </si>
  <si>
    <t>-697.384514836811 1.39770324838219 -581.785977608229</t>
  </si>
  <si>
    <t>-686.822092220103 3.54452436505471 -659.400664408002</t>
  </si>
  <si>
    <t>-695.222247296129 33.8514869317532 -528.660480716904</t>
  </si>
  <si>
    <t>-686.290777118281 187.888733787797 -505.591879023302</t>
  </si>
  <si>
    <t>-682.855416819275 226.697900078647 -226.198472905458</t>
  </si>
  <si>
    <t>-452.642723747055 218.27091020516 -196.539922254032</t>
  </si>
  <si>
    <t>-641.303048327202 106.562142217865 -96.4336511905858</t>
  </si>
  <si>
    <t>-645.959283231828 131.193968303968 318.384592500384</t>
  </si>
  <si>
    <t>-670.652473687645 180.223249624896 778.170439675076</t>
  </si>
  <si>
    <t>-519.829792831358 182.723298286904 834.117715176982</t>
  </si>
  <si>
    <t>-611.798603286699 -77.9598395064545 321.580857805466</t>
  </si>
  <si>
    <t>-649.959962207084 -103.66223148618 782.027347742605</t>
  </si>
  <si>
    <t>-496.890781182056 -113.266418647435 830.621683806224</t>
  </si>
  <si>
    <t>9763-20170724T115544.891394400.bin</t>
  </si>
  <si>
    <t>-626.237669968363 17.123022091012 -93.4633413989866</t>
  </si>
  <si>
    <t>-648.781661901171 12.1424467863619 -201.742914853685</t>
  </si>
  <si>
    <t>-662.782153444599 8.92976544918156 -293.500856195754</t>
  </si>
  <si>
    <t>-674.364404694366 6.27675400759495 -376.548675511916</t>
  </si>
  <si>
    <t>-684.316763341349 3.93388708141765 -459.816921784342</t>
  </si>
  <si>
    <t>-697.074432536024 0.837887411164274 -581.770072928955</t>
  </si>
  <si>
    <t>-686.594846517988 2.91662749443503 -659.397797291451</t>
  </si>
  <si>
    <t>-694.940637746902 33.3626576662139 -528.686855661942</t>
  </si>
  <si>
    <t>-686.192920542679 187.459003737722 -505.961736591617</t>
  </si>
  <si>
    <t>-685.647743329137 225.488862633812 -226.440618290717</t>
  </si>
  <si>
    <t>-456.043846856917 217.954741359206 -192.179538687592</t>
  </si>
  <si>
    <t>-641.459590026462 106.448966726192 -96.3912687384964</t>
  </si>
  <si>
    <t>-646.158082003397 131.15663087997 318.421957260764</t>
  </si>
  <si>
    <t>-670.621065199095 180.260201616589 778.210592604891</t>
  </si>
  <si>
    <t>-519.770567887851 182.916894242904 834.075498524888</t>
  </si>
  <si>
    <t>-611.654164266193 -78.0952384622983 321.62633915325</t>
  </si>
  <si>
    <t>-650.029512756281 -103.822164432751 782.049115334679</t>
  </si>
  <si>
    <t>-496.983497447361 -113.612086521131 830.679355627364</t>
  </si>
  <si>
    <t>9763-20170724T115544.923983600.bin</t>
  </si>
  <si>
    <t>-626.202760222379 17.0254449988938 -93.4573530042243</t>
  </si>
  <si>
    <t>-648.697173284168 12.0272356800253 -201.746475610569</t>
  </si>
  <si>
    <t>-662.700238352437 8.76433283658162 -293.502001379153</t>
  </si>
  <si>
    <t>-674.302947601773 6.0509178024929 -376.545187634043</t>
  </si>
  <si>
    <t>-684.293935853064 3.63283823794291 -459.806582551246</t>
  </si>
  <si>
    <t>-697.128036794561 0.410788464502502 -581.748487668105</t>
  </si>
  <si>
    <t>-686.697509752369 2.42476188648652 -659.3845239015</t>
  </si>
  <si>
    <t>-694.951958578031 32.9914871999508 -528.701346501585</t>
  </si>
  <si>
    <t>-686.273313422242 187.129812081434 -506.197697111969</t>
  </si>
  <si>
    <t>-687.191230460611 224.850867383569 -226.635876726469</t>
  </si>
  <si>
    <t>-457.958880312424 217.351531569836 -189.964125233018</t>
  </si>
  <si>
    <t>-641.422697932815 106.330610678109 -96.3910735908401</t>
  </si>
  <si>
    <t>-646.141211972006 131.159933031841 318.414689384677</t>
  </si>
  <si>
    <t>-670.570310807588 180.428927800679 778.205333957218</t>
  </si>
  <si>
    <t>-519.712828820834 182.981455361154 834.056294347422</t>
  </si>
  <si>
    <t>-611.623145602077 -78.2275315959619 321.641008420199</t>
  </si>
  <si>
    <t>-650.066634243463 -103.88936315989 782.057528163723</t>
  </si>
  <si>
    <t>-497.033993157128 -113.821708198416 830.700956411484</t>
  </si>
  <si>
    <t>9763-20170724T115544.957071100.bin</t>
  </si>
  <si>
    <t>-626.157860849227 16.9130140078678 -93.4348565989011</t>
  </si>
  <si>
    <t>-648.605852932372 11.9116051326027 -201.73340384578</t>
  </si>
  <si>
    <t>-662.614501411487 8.60191645658051 -293.486492740375</t>
  </si>
  <si>
    <t>-674.240411678948 5.82893099082412 -376.524359519627</t>
  </si>
  <si>
    <t>-684.273037246539 3.33373416431118 -459.778629307477</t>
  </si>
  <si>
    <t>-686.822298324676 1.94281706526408 -659.354225129249</t>
  </si>
  <si>
    <t>-694.976435086259 32.6175562167423 -528.698082715558</t>
  </si>
  <si>
    <t>-686.335613485008 186.777297643845 -506.361144871237</t>
  </si>
  <si>
    <t>-689.035833050009 224.210683837716 -226.771931919679</t>
  </si>
  <si>
    <t>-460.163201105776 216.375326170298 -187.984611976544</t>
  </si>
  <si>
    <t>-641.345344279856 106.219496150467 -96.37762404099</t>
  </si>
  <si>
    <t>-645.996644301954 131.152703437695 318.422704434697</t>
  </si>
  <si>
    <t>-670.540630692823 180.479962454929 778.188946704479</t>
  </si>
  <si>
    <t>-519.681339642715 183.024667518442 834.035370962003</t>
  </si>
  <si>
    <t>-611.575936606214 -78.4182364828973 321.658676086836</t>
  </si>
  <si>
    <t>-650.104412496802 -103.93300892957 782.067534768775</t>
  </si>
  <si>
    <t>-497.040039956163 -113.402788343631 830.703437785793</t>
  </si>
  <si>
    <t>9763-20170724T115545.025273300.bin</t>
  </si>
  <si>
    <t>-626.048319664087 16.6493166642895 -93.431024994043</t>
  </si>
  <si>
    <t>-648.418193980022 11.6448026330145 -201.745665993035</t>
  </si>
  <si>
    <t>-662.381314018994 8.29411179209683 -293.504232057224</t>
  </si>
  <si>
    <t>-673.974604856415 5.46874494196982 -376.544892242888</t>
  </si>
  <si>
    <t>-683.983148234707 2.90567727765733 -459.799812819182</t>
  </si>
  <si>
    <t>-686.614138139509 1.35765965709675 -659.390221547043</t>
  </si>
  <si>
    <t>-694.653033352551 32.1258991254444 -528.751506992982</t>
  </si>
  <si>
    <t>-686.161695373773 186.32700221762 -506.673289404002</t>
  </si>
  <si>
    <t>-692.177195269697 223.248572906753 -227.067777921063</t>
  </si>
  <si>
    <t>-463.964316915629 215.185601074457 -184.613048713785</t>
  </si>
  <si>
    <t>-641.154417888074 106.037173264245 -96.375323875565</t>
  </si>
  <si>
    <t>-645.840603721558 131.079755911461 318.417933169755</t>
  </si>
  <si>
    <t>-670.482807489985 180.606121290809 778.154736741989</t>
  </si>
  <si>
    <t>-519.616207829002 183.321654866479 833.973335716817</t>
  </si>
  <si>
    <t>-611.542656945076 -78.7313515577755 321.670716285238</t>
  </si>
  <si>
    <t>-650.188169373348 -104.07581231264 782.084164986482</t>
  </si>
  <si>
    <t>-497.122952634864 -113.554783137292 830.715585640248</t>
  </si>
  <si>
    <t>9763-20170724T115545.063372100.bin</t>
  </si>
  <si>
    <t>-626.064225771745 16.3863302642944 -93.438466494001</t>
  </si>
  <si>
    <t>-648.387876769974 11.3833850208987 -201.762580541983</t>
  </si>
  <si>
    <t>-662.314289147278 8.04126570226322 -293.527159215463</t>
  </si>
  <si>
    <t>-673.875303077856 5.22632902302826 -376.572622932147</t>
  </si>
  <si>
    <t>-683.852426983452 2.67650700640888 -459.831897085949</t>
  </si>
  <si>
    <t>-686.45836353749 1.16565673587502 -659.429953272568</t>
  </si>
  <si>
    <t>-694.493385271044 31.9097537408773 -528.782476377899</t>
  </si>
  <si>
    <t>-685.984694326373 186.121222839958 -506.764376063712</t>
  </si>
  <si>
    <t>-693.703182212621 222.699553757404 -227.155734735405</t>
  </si>
  <si>
    <t>-465.768585725453 214.620621652356 -183.234370449116</t>
  </si>
  <si>
    <t>-641.155240393731 105.792484450942 -96.3877710966365</t>
  </si>
  <si>
    <t>-645.782652621278 131.038900272837 318.393874442506</t>
  </si>
  <si>
    <t>-670.449379670913 180.666552385171 778.118073618446</t>
  </si>
  <si>
    <t>-519.58160058263 183.353535126303 833.934945837396</t>
  </si>
  <si>
    <t>-611.594750166444 -78.9475081214887 321.659241873712</t>
  </si>
  <si>
    <t>-650.23067079153 -104.156416340265 782.08988580117</t>
  </si>
  <si>
    <t>-497.174717569697 -113.78509566969 830.720970337737</t>
  </si>
  <si>
    <t>9763-20170724T115545.128551300.bin</t>
  </si>
  <si>
    <t>-626.328295045952 15.7786549530315 -93.4670035537564</t>
  </si>
  <si>
    <t>-648.473092225991 10.8023553592295 -201.829112781304</t>
  </si>
  <si>
    <t>-662.266341752052 7.44344947182526 -293.613085161285</t>
  </si>
  <si>
    <t>-673.714399802153 4.59786315653514 -376.673110458875</t>
  </si>
  <si>
    <t>-683.586038445622 2.00188741483385 -459.943496496007</t>
  </si>
  <si>
    <t>-686.024287716871 0.412691203486247 -659.551486371359</t>
  </si>
  <si>
    <t>-694.151825357794 31.1867489326946 -528.926310924275</t>
  </si>
  <si>
    <t>-685.918572910687 185.444409037285 -507.096914121362</t>
  </si>
  <si>
    <t>-696.237943338165 221.242994963796 -227.471091717763</t>
  </si>
  <si>
    <t>-468.808249360691 212.876973082608 -181.056894800652</t>
  </si>
  <si>
    <t>-641.397626549482 105.236728129447 -96.4165005579271</t>
  </si>
  <si>
    <t>-645.894259967411 130.798462697202 318.347318376894</t>
  </si>
  <si>
    <t>-670.38303097159 180.815126986878 778.046379460673</t>
  </si>
  <si>
    <t>-519.514399911979 183.456390271673 833.863064665622</t>
  </si>
  <si>
    <t>-611.793873215627 -79.4853649146394 321.640781841219</t>
  </si>
  <si>
    <t>-650.301559935649 -104.382470860031 782.106739466871</t>
  </si>
  <si>
    <t>-497.259639136718 -114.135202973937 830.757363737568</t>
  </si>
  <si>
    <t>9763-20170724T115545.162640900.bin</t>
  </si>
  <si>
    <t>-626.46137173336 15.4045789867528 -93.4812009906916</t>
  </si>
  <si>
    <t>-648.519333815216 10.4389563194939 -201.861511200431</t>
  </si>
  <si>
    <t>-662.251315990426 7.08126721131066 -293.654618443775</t>
  </si>
  <si>
    <t>-673.648909499011 4.23366153031498 -376.721733771303</t>
  </si>
  <si>
    <t>-683.475088337061 1.63288122049244 -459.997256431336</t>
  </si>
  <si>
    <t>-685.824031147119 0.0489774826578468 -659.607152103916</t>
  </si>
  <si>
    <t>-694.038032243509 30.808741216742 -528.984104613678</t>
  </si>
  <si>
    <t>-686.040595689153 185.070908871597 -507.169303554001</t>
  </si>
  <si>
    <t>-697.438568518462 220.564536466037 -227.546608962427</t>
  </si>
  <si>
    <t>-470.221778875181 211.925255479961 -180.150016098466</t>
  </si>
  <si>
    <t>-641.514550334889 104.894752057576 -96.4325347711273</t>
  </si>
  <si>
    <t>-646.018887006873 130.643765377039 318.319589487028</t>
  </si>
  <si>
    <t>-670.355622946884 180.852969411144 778.008500315402</t>
  </si>
  <si>
    <t>-519.492463368966 183.650180531214 833.832327346137</t>
  </si>
  <si>
    <t>-611.92059553824 -79.8398550743896 321.624845694453</t>
  </si>
  <si>
    <t>-650.343583306909 -104.451601739223 782.116875103502</t>
  </si>
  <si>
    <t>-497.288602403828 -114.064879918059 830.754154331248</t>
  </si>
  <si>
    <t>9763-20170724T115545.240400400.bin</t>
  </si>
  <si>
    <t>-626.626764257011 14.9791511375786 -93.5178794853758</t>
  </si>
  <si>
    <t>-648.546315863887 10.0114515206431 -201.926128726744</t>
  </si>
  <si>
    <t>-662.20395743935 6.6584296687854 -293.730622415138</t>
  </si>
  <si>
    <t>-673.55137032472 3.81691722047844 -376.804649354735</t>
  </si>
  <si>
    <t>-683.344396864998 1.22505679368828 -460.084358358865</t>
  </si>
  <si>
    <t>-693.925455310907 30.4064315105416 -529.066309679086</t>
  </si>
  <si>
    <t>-686.316559377742 184.706941857605 -507.343699511465</t>
  </si>
  <si>
    <t>-698.895209335943 219.869245035882 -227.72981900766</t>
  </si>
  <si>
    <t>-471.873488360236 211.250518832816 -179.403710911826</t>
  </si>
  <si>
    <t>-641.748856103963 104.48868612189 -96.4531660094219</t>
  </si>
  <si>
    <t>-646.275208463261 130.459935907747 318.284894299919</t>
  </si>
  <si>
    <t>-670.340283031769 180.881686600295 777.983017927118</t>
  </si>
  <si>
    <t>-519.474266662194 183.798422804819 833.792995140204</t>
  </si>
  <si>
    <t>-612.091091622352 -80.2523232729286 321.595298936121</t>
  </si>
  <si>
    <t>-650.394905360681 -104.528262908528 782.117187545874</t>
  </si>
  <si>
    <t>-497.310843414175 -113.758251516117 830.737117885669</t>
  </si>
  <si>
    <t>9763-20170724T115545.257444200.bin</t>
  </si>
  <si>
    <t>-627.193778076196 14.0586186430889 -93.5526907007152</t>
  </si>
  <si>
    <t>-648.692130976402 9.12131936882906 -202.04665397428</t>
  </si>
  <si>
    <t>-662.129748848873 5.78195255264291 -293.884094141961</t>
  </si>
  <si>
    <t>-673.332703375035 2.94603269966615 -376.977844900048</t>
  </si>
  <si>
    <t>-683.035976396712 0.355337389343276 -460.268171608255</t>
  </si>
  <si>
    <t>-693.68461607943 29.5228129087072 -529.245467264011</t>
  </si>
  <si>
    <t>-686.978143267509 183.885847654795 -507.676488836963</t>
  </si>
  <si>
    <t>-702.507616467634 217.932772185593 -228.072778738162</t>
  </si>
  <si>
    <t>-475.907259252936 210.113048371003 -177.677793929444</t>
  </si>
  <si>
    <t>-642.501352073097 103.441153599249 -96.4478503783857</t>
  </si>
  <si>
    <t>-646.86404117341 130.225639008683 318.240202024406</t>
  </si>
  <si>
    <t>-670.350170632501 180.902648719721 777.934246500535</t>
  </si>
  <si>
    <t>-519.462242743075 183.969889452695 833.67691598987</t>
  </si>
  <si>
    <t>-612.414616149135 -81.1217651600628 321.53613171873</t>
  </si>
  <si>
    <t>-650.465314691634 -104.6880281309 782.129153104422</t>
  </si>
  <si>
    <t>-497.367079252349 -113.627957231784 830.758669829707</t>
  </si>
  <si>
    <t>9763-20170724T115545.323124400.bin</t>
  </si>
  <si>
    <t>-627.571897639957 13.5512722880512 -93.5313080729123</t>
  </si>
  <si>
    <t>-648.899412235791 8.62312558228177 -202.059382689311</t>
  </si>
  <si>
    <t>-662.218409979336 5.31611903332737 -293.915319832327</t>
  </si>
  <si>
    <t>-673.324227071472 2.51789639199319 -377.023403940135</t>
  </si>
  <si>
    <t>-693.603918890947 29.1791538491764 -529.284738033537</t>
  </si>
  <si>
    <t>-687.389210821039 183.551012520192 -507.690483220629</t>
  </si>
  <si>
    <t>-704.29979399935 217.295513509349 -228.13021981156</t>
  </si>
  <si>
    <t>-477.969578350591 209.887696053597 -176.474697207294</t>
  </si>
  <si>
    <t>-643.036224990155 102.870109285489 -96.427926982936</t>
  </si>
  <si>
    <t>-647.188626314071 129.98828917379 318.240538156978</t>
  </si>
  <si>
    <t>-670.335627769932 180.947320191199 777.89570327982</t>
  </si>
  <si>
    <t>-519.435502048907 183.974490696761 833.607562373081</t>
  </si>
  <si>
    <t>-612.568366354108 -81.5525990368285 321.516039385574</t>
  </si>
  <si>
    <t>-650.49809879721 -104.795260848576 782.136360430834</t>
  </si>
  <si>
    <t>-497.43053445769 -114.144418864506 830.785499378069</t>
  </si>
  <si>
    <t>9763-20170724T115545.390807500.bin</t>
  </si>
  <si>
    <t>-628.782190855028 12.0543349066247 -93.5141753718682</t>
  </si>
  <si>
    <t>-649.83344738726 7.10523613645114 -202.095254679446</t>
  </si>
  <si>
    <t>-662.938715925474 3.90347011812992 -293.985543254513</t>
  </si>
  <si>
    <t>-673.858091856785 1.24507290849351 -377.122982329836</t>
  </si>
  <si>
    <t>-694.09752838616 28.2505875910072 -529.323262048688</t>
  </si>
  <si>
    <t>-689.179472409506 182.616906396232 -507.32850531076</t>
  </si>
  <si>
    <t>-709.765936636713 214.968971973209 -227.850289590096</t>
  </si>
  <si>
    <t>-484.324958469249 209.174563503201 -172.250643386054</t>
  </si>
  <si>
    <t>-644.780488385808 101.115773245051 -96.3722291726524</t>
  </si>
  <si>
    <t>-648.209890708008 129.250684050816 318.235094552023</t>
  </si>
  <si>
    <t>-670.33316928206 180.996697117825 777.834978476995</t>
  </si>
  <si>
    <t>-519.369087424354 184.140733320351 833.366780688159</t>
  </si>
  <si>
    <t>-613.151957051364 -82.6706180901278 321.484062685504</t>
  </si>
  <si>
    <t>-650.602485556647 -105.058422312014 782.160528965726</t>
  </si>
  <si>
    <t>-497.541039077876 -114.391888277405 830.831861578861</t>
  </si>
  <si>
    <t>9763-20170724T115545.426917600.bin</t>
  </si>
  <si>
    <t>-629.184637847813 11.5397191150676 -93.5054495102436</t>
  </si>
  <si>
    <t>-650.204209758197 6.5712852199706 -202.091745737434</t>
  </si>
  <si>
    <t>-663.26241407604 3.39586201274528 -293.989697910077</t>
  </si>
  <si>
    <t>-674.130694984378 0.776487359702742 -377.135128788595</t>
  </si>
  <si>
    <t>-694.367755747515 27.8811655329127 -529.316286256967</t>
  </si>
  <si>
    <t>-690.145178721327 182.259845426895 -507.253055580923</t>
  </si>
  <si>
    <t>-711.460512279432 214.17671628859 -227.779433623131</t>
  </si>
  <si>
    <t>-486.287602681499 209.39113828789 -171.009768792795</t>
  </si>
  <si>
    <t>-645.414119024127 100.467025083435 -96.3413376821358</t>
  </si>
  <si>
    <t>-648.542654717886 128.912753675183 318.247213273119</t>
  </si>
  <si>
    <t>-670.345155714388 180.981805993375 777.817708571594</t>
  </si>
  <si>
    <t>-519.354990129065 184.2871432611 833.26918231796</t>
  </si>
  <si>
    <t>-613.342385875695 -82.9361138244396 321.465369884913</t>
  </si>
  <si>
    <t>-650.64240457389 -105.084154055321 782.162154914928</t>
  </si>
  <si>
    <t>-497.541584450282 -113.911719063773 830.803992551517</t>
  </si>
  <si>
    <t>9763-20170724T115545.459001900.bin</t>
  </si>
  <si>
    <t>-629.588944297466 11.0936718447215 -93.5035252826597</t>
  </si>
  <si>
    <t>-650.615500413642 6.10254953427443 -202.087435235076</t>
  </si>
  <si>
    <t>-663.657137915501 2.94874675409869 -293.988448994163</t>
  </si>
  <si>
    <t>-674.501026983883 0.363287118354947 -377.138125928706</t>
  </si>
  <si>
    <t>-694.776218433127 27.556144658183 -529.296889249033</t>
  </si>
  <si>
    <t>-691.190269906221 181.947866329544 -507.155283878985</t>
  </si>
  <si>
    <t>-713.11383339155 213.351194759474 -227.670597852834</t>
  </si>
  <si>
    <t>-488.232880773704 209.696211656227 -169.672816902813</t>
  </si>
  <si>
    <t>-646.051796151964 99.9313086267339 -96.3242437264763</t>
  </si>
  <si>
    <t>-648.851935345317 128.606820986136 318.250827057076</t>
  </si>
  <si>
    <t>-670.370012291222 180.927038413123 777.807917456844</t>
  </si>
  <si>
    <t>-519.347208843056 184.370521055378 833.162005368741</t>
  </si>
  <si>
    <t>-613.525399725773 -83.1994446352751 321.451008020234</t>
  </si>
  <si>
    <t>-650.68546795943 -105.166631404007 782.164161118442</t>
  </si>
  <si>
    <t>-497.600534271823 -114.283403069531 830.802751370087</t>
  </si>
  <si>
    <t>9763-20170724T115545.497103200.bin</t>
  </si>
  <si>
    <t>-629.958703638159 10.7517064413034 -93.4965520411182</t>
  </si>
  <si>
    <t>-650.995644408465 5.74947131674003 -202.077995122306</t>
  </si>
  <si>
    <t>-664.023046537241 2.60246484128675 -293.98138274961</t>
  </si>
  <si>
    <t>-674.844418448463 0.028080768269092 -377.134193948027</t>
  </si>
  <si>
    <t>-695.155491967429 27.2438082156361 -529.283953446004</t>
  </si>
  <si>
    <t>-692.163038842523 181.649808922124 -507.105586183562</t>
  </si>
  <si>
    <t>-714.685076083866 212.518033022272 -227.608795352252</t>
  </si>
  <si>
    <t>-490.177069472777 210.077295375144 -168.121620189056</t>
  </si>
  <si>
    <t>-646.632787532385 99.5605087932552 -96.2983725695108</t>
  </si>
  <si>
    <t>-649.1466190187 128.4392957321 318.264358427534</t>
  </si>
  <si>
    <t>-670.371486197157 181.000389941809 777.806445557478</t>
  </si>
  <si>
    <t>-519.314860550812 184.436052433125 833.068679853547</t>
  </si>
  <si>
    <t>-613.692109399709 -83.3462423650224 321.436225056139</t>
  </si>
  <si>
    <t>-650.728461077456 -105.218290192513 782.159471458763</t>
  </si>
  <si>
    <t>-497.624958232257 -114.094487533039 830.784132675465</t>
  </si>
  <si>
    <t>9763-20170724T115545.559774900.bin</t>
  </si>
  <si>
    <t>-630.375491425755 10.2407162607783 -93.4759285568122</t>
  </si>
  <si>
    <t>-651.497446718875 5.22252579148449 -202.040021772086</t>
  </si>
  <si>
    <t>-664.527609380514 2.03666441280643 -293.941631318704</t>
  </si>
  <si>
    <t>-695.684130304263 26.48881481075 -529.267943436908</t>
  </si>
  <si>
    <t>-693.55716654515 180.912789727691 -507.156173556136</t>
  </si>
  <si>
    <t>-717.080509620753 211.409631266166 -227.701099524302</t>
  </si>
  <si>
    <t>-493.933891854337 210.5992419742 -163.253663364357</t>
  </si>
  <si>
    <t>-647.475380272379 98.9829434860981 -96.213105782884</t>
  </si>
  <si>
    <t>-649.691094335627 128.191734863976 318.328280859415</t>
  </si>
  <si>
    <t>-670.357103840246 181.128858062587 777.803348991049</t>
  </si>
  <si>
    <t>-519.225413223442 184.586125200207 832.858659558951</t>
  </si>
  <si>
    <t>-613.788853384258 -83.5028061277981 321.404635079416</t>
  </si>
  <si>
    <t>-650.792148891644 -105.426171452353 782.148436898617</t>
  </si>
  <si>
    <t>-497.717717352845 -114.605195631255 830.808340646769</t>
  </si>
  <si>
    <t>9763-20170724T115545.629969000.bin</t>
  </si>
  <si>
    <t>-630.585064054319 9.96273488771772 -93.485094942349</t>
  </si>
  <si>
    <t>-651.756975360344 4.90797745240752 -202.037813937612</t>
  </si>
  <si>
    <t>-664.781993508724 1.66791772309421 -293.938280145008</t>
  </si>
  <si>
    <t>-695.92165834985 25.9014889206126 -529.29539997344</t>
  </si>
  <si>
    <t>-693.763696491252 180.292321167002 -506.972530752437</t>
  </si>
  <si>
    <t>-717.788427081775 210.508041553297 -227.52948419664</t>
  </si>
  <si>
    <t>-496.786972831989 210.766942662864 -156.067402212136</t>
  </si>
  <si>
    <t>-648.090177908624 98.663769669801 -96.1979434173356</t>
  </si>
  <si>
    <t>-649.861281462555 128.18498590908 318.323457162446</t>
  </si>
  <si>
    <t>-670.411990775799 181.121613967607 777.814141492154</t>
  </si>
  <si>
    <t>-519.206825169493 184.672609020422 832.661371107852</t>
  </si>
  <si>
    <t>-613.764225727565 -83.4493814061013 321.395811439636</t>
  </si>
  <si>
    <t>-650.858498967552 -105.545283360294 782.133434500886</t>
  </si>
  <si>
    <t>-497.774759787257 -114.454449330584 830.814255760104</t>
  </si>
  <si>
    <t>9763-20170724T115545.658040900.bin</t>
  </si>
  <si>
    <t>-630.593752601359 9.82052307164895 -93.4663524469705</t>
  </si>
  <si>
    <t>-651.760029541926 4.75236881284536 -202.019613271291</t>
  </si>
  <si>
    <t>-664.754586843995 1.49504325779208 -293.923776888221</t>
  </si>
  <si>
    <t>-695.781670364505 25.6622421154484 -529.304225451085</t>
  </si>
  <si>
    <t>-693.268542220859 180.010345618286 -506.778295583283</t>
  </si>
  <si>
    <t>-717.679979345606 210.067332136412 -227.351705680296</t>
  </si>
  <si>
    <t>-497.724893763723 210.408306452847 -152.731503241837</t>
  </si>
  <si>
    <t>-648.191045843659 98.4943892422025 -96.1679247399128</t>
  </si>
  <si>
    <t>-649.878084784493 128.180908858193 318.341982291155</t>
  </si>
  <si>
    <t>-670.414395096208 181.171375661462 777.8185317735</t>
  </si>
  <si>
    <t>-519.185239892688 184.628518677113 832.605552873862</t>
  </si>
  <si>
    <t>-613.722351825105 -83.4404266709976 321.404392874253</t>
  </si>
  <si>
    <t>-650.892678659257 -105.565487213799 782.130318797809</t>
  </si>
  <si>
    <t>-497.789780814641 -114.181437378477 830.803621832446</t>
  </si>
  <si>
    <t>9763-20170724T115545.728800200.bin</t>
  </si>
  <si>
    <t>-630.524264621187 9.62646568437049 -93.4476097945143</t>
  </si>
  <si>
    <t>-651.662212869103 4.56884792454207 -202.006821687341</t>
  </si>
  <si>
    <t>-664.549351079072 1.26064837198282 -293.924248789013</t>
  </si>
  <si>
    <t>-695.136363645925 25.1633235977556 -529.398655002763</t>
  </si>
  <si>
    <t>-692.403818268174 179.523379279893 -506.941530112968</t>
  </si>
  <si>
    <t>-716.905479271736 208.953085955231 -227.456032316209</t>
  </si>
  <si>
    <t>-498.648981309888 207.07356946956 -148.026237096886</t>
  </si>
  <si>
    <t>-648.217870320039 98.3238299350485 -96.1148065019655</t>
  </si>
  <si>
    <t>-649.930544876746 128.100967779133 318.388530320417</t>
  </si>
  <si>
    <t>-670.35538532119 181.314369834043 777.839163972281</t>
  </si>
  <si>
    <t>-519.102787462658 184.864269081896 832.555439909092</t>
  </si>
  <si>
    <t>-613.675139196359 -83.6568486864358 321.403933417873</t>
  </si>
  <si>
    <t>-650.982315838359 -105.868746749231 782.129888417959</t>
  </si>
  <si>
    <t>-497.928729025169 -115.229396155659 830.820746083828</t>
  </si>
  <si>
    <t>9763-20170724T115545.761886200.bin</t>
  </si>
  <si>
    <t>-630.560537172019 9.55833131631334 -93.4295896584084</t>
  </si>
  <si>
    <t>-651.666369984771 4.51023517514341 -201.995471068234</t>
  </si>
  <si>
    <t>-664.511221757777 1.18173583216367 -293.918156540697</t>
  </si>
  <si>
    <t>-694.952060315432 24.9722231455089 -529.426698783474</t>
  </si>
  <si>
    <t>-692.147815577567 179.341453251876 -507.060640192805</t>
  </si>
  <si>
    <t>-716.535831525186 208.535973627104 -227.540505287884</t>
  </si>
  <si>
    <t>-498.96547447787 204.14176003307 -146.347125994412</t>
  </si>
  <si>
    <t>-648.222010062837 98.2916451715721 -96.1013525792515</t>
  </si>
  <si>
    <t>-649.898150975091 128.152797307027 318.396090888609</t>
  </si>
  <si>
    <t>-670.319952914274 181.390004213208 777.850298306574</t>
  </si>
  <si>
    <t>-519.064125134567 184.927970349567 832.558415740487</t>
  </si>
  <si>
    <t>-613.626302243567 -83.7576006737038 321.418492982895</t>
  </si>
  <si>
    <t>-651.025917328705 -105.893945858766 782.130232592125</t>
  </si>
  <si>
    <t>-497.93927228925 -114.776999847419 830.806595973343</t>
  </si>
  <si>
    <t>9763-20170724T115545.828119700.bin</t>
  </si>
  <si>
    <t>-630.608562277099 9.28233111951477 -93.3989367978571</t>
  </si>
  <si>
    <t>-651.674880745494 4.24139892572384 -201.972849425956</t>
  </si>
  <si>
    <t>-664.39513145348 0.882581747136783 -293.911611121336</t>
  </si>
  <si>
    <t>-694.284405322059 24.5191143290901 -529.511909069614</t>
  </si>
  <si>
    <t>-690.94221374111 178.899437576205 -507.253988547391</t>
  </si>
  <si>
    <t>-715.385404883653 207.645859003585 -227.692274028601</t>
  </si>
  <si>
    <t>-499.138296408038 197.400256555211 -143.545096581202</t>
  </si>
  <si>
    <t>-648.204529132425 98.0822251991517 -96.0684438834625</t>
  </si>
  <si>
    <t>-649.831725315105 128.121040334453 318.416354406071</t>
  </si>
  <si>
    <t>-670.228188883661 181.584194527915 777.852308994608</t>
  </si>
  <si>
    <t>-518.96966038496 185.200768264967 832.547758494948</t>
  </si>
  <si>
    <t>-613.583397796486 -84.0335132329371 321.432159929215</t>
  </si>
  <si>
    <t>-651.112660499873 -106.028934526149 782.141171323256</t>
  </si>
  <si>
    <t>-498.019480017136 -114.852619918349 830.807819792168</t>
  </si>
  <si>
    <t>9763-20170724T115545.863212500.bin</t>
  </si>
  <si>
    <t>-630.654930940098 9.09359766345324 -93.4008342090806</t>
  </si>
  <si>
    <t>-651.686309001203 4.0567576664846 -201.98174906502</t>
  </si>
  <si>
    <t>-664.344808212421 0.666598563748266 -293.928012443158</t>
  </si>
  <si>
    <t>-693.976939603746 24.1546643815534 -529.579977844818</t>
  </si>
  <si>
    <t>-690.338715023947 178.536920651435 -507.398793007697</t>
  </si>
  <si>
    <t>-714.677826214787 207.250013577133 -227.824506852045</t>
  </si>
  <si>
    <t>-499.356789318814 192.736640690723 -141.948275255572</t>
  </si>
  <si>
    <t>-648.172803739021 97.9089907548544 -96.0642848726453</t>
  </si>
  <si>
    <t>-649.814741402108 128.01349290996 318.4156373398</t>
  </si>
  <si>
    <t>-670.188901520058 181.655583707769 777.839953479324</t>
  </si>
  <si>
    <t>-518.930590471717 185.233747664029 832.538602869571</t>
  </si>
  <si>
    <t>-613.59965348405 -84.2203648395928 321.443276279782</t>
  </si>
  <si>
    <t>-651.160545018135 -106.10405331595 782.149099772973</t>
  </si>
  <si>
    <t>-498.055627750482 -114.767592604072 830.807629539561</t>
  </si>
  <si>
    <t>9763-20170724T115545.929081400.bin</t>
  </si>
  <si>
    <t>-630.711187171138 8.7246524849877 -93.3993307513645</t>
  </si>
  <si>
    <t>-651.692103434929 3.69969023231533 -201.99054605769</t>
  </si>
  <si>
    <t>-664.268014750213 0.251990293888412 -293.945987975857</t>
  </si>
  <si>
    <t>-693.563242035591 23.4578613563799 -529.676511884257</t>
  </si>
  <si>
    <t>-689.02681903212 177.809590039139 -507.438974094619</t>
  </si>
  <si>
    <t>-713.232298104108 205.968470045694 -227.796814316978</t>
  </si>
  <si>
    <t>-499.708703781287 183.634398664072 -139.154749408135</t>
  </si>
  <si>
    <t>-648.071691937714 97.7254579703192 -96.0898508409806</t>
  </si>
  <si>
    <t>-649.684452492476 127.912074145873 318.384298190608</t>
  </si>
  <si>
    <t>-670.072830994915 181.828248350993 777.798983830215</t>
  </si>
  <si>
    <t>-518.832896517855 185.640227598165 832.532558817096</t>
  </si>
  <si>
    <t>-613.728761491934 -84.6731660397018 321.451021915145</t>
  </si>
  <si>
    <t>-651.248671935376 -106.338502880628 782.170120692607</t>
  </si>
  <si>
    <t>-498.164148827741 -115.378461338135 830.824283835246</t>
  </si>
  <si>
    <t>9763-20170724T115545.963172500.bin</t>
  </si>
  <si>
    <t>-630.725770476308 8.52245390705798 -93.4235750829766</t>
  </si>
  <si>
    <t>-651.67989043636 3.48649332468972 -202.01949020331</t>
  </si>
  <si>
    <t>-664.235468307757 0.00625434327139374 -293.976436627655</t>
  </si>
  <si>
    <t>-693.472541328824 23.082880613943 -529.729662765738</t>
  </si>
  <si>
    <t>-688.635785775189 177.424953383693 -507.484667349354</t>
  </si>
  <si>
    <t>-712.72234765515 205.030570653041 -227.776953136413</t>
  </si>
  <si>
    <t>-499.723759105375 179.953305630503 -138.607218932848</t>
  </si>
  <si>
    <t>-648.000835864735 97.5668071027801 -96.1253524201792</t>
  </si>
  <si>
    <t>-649.598397341933 127.868476896262 318.340386287345</t>
  </si>
  <si>
    <t>-670.017991021167 181.927027159281 777.757726921824</t>
  </si>
  <si>
    <t>-518.789320524303 185.754708907491 832.521412641353</t>
  </si>
  <si>
    <t>-613.820378404254 -84.8549583005502 321.444243810296</t>
  </si>
  <si>
    <t>-651.288695378629 -106.392038502973 782.180622818687</t>
  </si>
  <si>
    <t>-498.186681736616 -115.171387681971 830.827572207356</t>
  </si>
  <si>
    <t>9763-20170724T115546.025874800.bin</t>
  </si>
  <si>
    <t>-630.898508345394 8.17485683995687 -93.4669674522173</t>
  </si>
  <si>
    <t>-651.813725109832 3.10696348077704 -202.068838368085</t>
  </si>
  <si>
    <t>-693.237324711722 22.2925646936669 -529.862395686707</t>
  </si>
  <si>
    <t>-688.210573019632 176.631267434949 -507.651325515923</t>
  </si>
  <si>
    <t>-711.727634006901 204.368830438059 -227.908207386422</t>
  </si>
  <si>
    <t>-500.207814661587 169.758890494295 -138.409430492244</t>
  </si>
  <si>
    <t>-648.159777729123 97.2592029468442 -96.1796722109807</t>
  </si>
  <si>
    <t>-649.518938383182 127.782376637661 318.270618246265</t>
  </si>
  <si>
    <t>-669.922434973268 182.074666290884 777.66889183819</t>
  </si>
  <si>
    <t>-518.709282758648 185.869144732748 832.477711316471</t>
  </si>
  <si>
    <t>-613.958796048174 -85.1868207797202 321.437816247006</t>
  </si>
  <si>
    <t>-651.374280321036 -106.576820208772 782.197684973248</t>
  </si>
  <si>
    <t>-498.289959413517 -115.686162899162 830.839643260246</t>
  </si>
  <si>
    <t>9763-20170724T115546.059964100.bin</t>
  </si>
  <si>
    <t>-631.100869711518 8.03774270226518 -93.4654684108241</t>
  </si>
  <si>
    <t>-652.006604037086 2.95720290147597 -202.068583750661</t>
  </si>
  <si>
    <t>-693.185947059866 21.8912188508796 -529.916094697316</t>
  </si>
  <si>
    <t>-688.12947919375 176.239087512944 -507.74966095504</t>
  </si>
  <si>
    <t>-711.4178757382 203.261803378562 -227.917541998193</t>
  </si>
  <si>
    <t>-500.349222718708 165.478821070905 -138.637162319033</t>
  </si>
  <si>
    <t>-648.39580617101 97.1295253044011 -96.2024087091125</t>
  </si>
  <si>
    <t>-649.572631848615 127.753639086687 318.241001240597</t>
  </si>
  <si>
    <t>-669.891592866809 182.125666869141 777.624722055053</t>
  </si>
  <si>
    <t>-518.678289272746 185.846275934468 832.438201269978</t>
  </si>
  <si>
    <t>-614.025171345811 -85.3070852010731 321.437084607317</t>
  </si>
  <si>
    <t>-651.411749212246 -106.643668517024 782.205902842568</t>
  </si>
  <si>
    <t>-498.312290519593 -115.552181900028 830.837381882439</t>
  </si>
  <si>
    <t>9763-20170724T115546.140225800.bin</t>
  </si>
  <si>
    <t>-631.530759838253 7.81837335492287 -93.5193778397579</t>
  </si>
  <si>
    <t>-652.402139389279 2.69315369235937 -202.12712358946</t>
  </si>
  <si>
    <t>-692.928226399415 21.4383629358997 -530.070314586453</t>
  </si>
  <si>
    <t>-687.409688746215 175.728117747419 -507.649931651655</t>
  </si>
  <si>
    <t>-710.515520270769 201.698881953937 -227.703210205118</t>
  </si>
  <si>
    <t>-500.149653262276 158.208231745277 -139.366875430151</t>
  </si>
  <si>
    <t>-648.889308050026 96.9035351872446 -96.2907102870593</t>
  </si>
  <si>
    <t>-649.815670788522 127.78230253806 318.134554501668</t>
  </si>
  <si>
    <t>-669.820971973817 182.284021484297 777.441897916625</t>
  </si>
  <si>
    <t>-518.595748889537 186.228900476656 832.206819669015</t>
  </si>
  <si>
    <t>-614.22239104914 -85.4752439280981 321.424377932929</t>
  </si>
  <si>
    <t>-651.482721723591 -106.728736269099 782.207886048728</t>
  </si>
  <si>
    <t>-498.361299581069 -115.358370849242 830.820526009068</t>
  </si>
  <si>
    <t>9763-20170724T115546.163286600.bin</t>
  </si>
  <si>
    <t>-631.771373733172 7.70063983866112 -93.581832388754</t>
  </si>
  <si>
    <t>-652.610071986558 2.56405609405897 -202.195146656284</t>
  </si>
  <si>
    <t>-692.807292084144 21.1167455506036 -530.196445332217</t>
  </si>
  <si>
    <t>-687.321315740146 175.41876099817 -507.828006194423</t>
  </si>
  <si>
    <t>-710.229873979683 200.777980627547 -227.808859342727</t>
  </si>
  <si>
    <t>-500.270088880314 154.320998454765 -140.018391124074</t>
  </si>
  <si>
    <t>-649.183129974947 96.7684987868129 -96.3794125147052</t>
  </si>
  <si>
    <t>-649.955167328158 127.752116297295 318.038266682547</t>
  </si>
  <si>
    <t>-669.799414433193 182.33805994424 777.38065158223</t>
  </si>
  <si>
    <t>-518.565862290775 186.287944071616 832.122109871043</t>
  </si>
  <si>
    <t>-614.383602085802 -85.600410217995 321.386149066113</t>
  </si>
  <si>
    <t>-651.5290220573 -106.782889445553 782.194942344904</t>
  </si>
  <si>
    <t>-498.391774117949 -115.230368050588 830.789608371819</t>
  </si>
  <si>
    <t>9763-20170724T115546.225480100.bin</t>
  </si>
  <si>
    <t>-632.339989636689 7.39602191635254 -93.6278969309251</t>
  </si>
  <si>
    <t>-653.122854841838 2.26651963919812 -202.252315332916</t>
  </si>
  <si>
    <t>-692.800879613847 20.4708480712823 -530.351344334669</t>
  </si>
  <si>
    <t>-687.314324003134 174.763882836667 -507.968899728672</t>
  </si>
  <si>
    <t>-710.235649767667 199.358009242016 -227.88261193971</t>
  </si>
  <si>
    <t>-500.960037628119 145.458674698917 -142.752495143303</t>
  </si>
  <si>
    <t>-649.733889245816 96.5130836116282 -96.4227203659675</t>
  </si>
  <si>
    <t>-650.266889823368 127.689412087386 317.980863254591</t>
  </si>
  <si>
    <t>-669.743774334301 182.486387439276 777.331872429408</t>
  </si>
  <si>
    <t>-518.5027629652 186.462328281519 832.050960633805</t>
  </si>
  <si>
    <t>-614.627660923001 -85.8740309824686 321.334218226023</t>
  </si>
  <si>
    <t>-651.621100043032 -106.944585669137 782.187216310524</t>
  </si>
  <si>
    <t>-498.46727002147 -115.259554046987 830.752520734833</t>
  </si>
  <si>
    <t>9763-20170724T115546.258572500.bin</t>
  </si>
  <si>
    <t>-632.686093015874 7.21368006059993 -93.6491669231992</t>
  </si>
  <si>
    <t>-653.419456067402 2.07753416729474 -202.282667009041</t>
  </si>
  <si>
    <t>-692.711441111377 20.1115481640502 -530.44405406739</t>
  </si>
  <si>
    <t>-687.296420988333 174.421725495422 -508.087752169766</t>
  </si>
  <si>
    <t>-710.367550895358 198.928600515643 -228.00607360775</t>
  </si>
  <si>
    <t>-501.312292242574 142.124986243731 -144.233780036592</t>
  </si>
  <si>
    <t>-650.094752061314 96.3324576407076 -96.4319703959814</t>
  </si>
  <si>
    <t>-650.539022319017 127.644491769502 317.961534458328</t>
  </si>
  <si>
    <t>-669.721384945031 182.570816211915 777.305745849044</t>
  </si>
  <si>
    <t>-518.471065127242 186.49345823784 832.002914331091</t>
  </si>
  <si>
    <t>-614.770085849796 -86.0708448760397 321.324939306227</t>
  </si>
  <si>
    <t>-651.662308090125 -107.052795777206 782.186380077515</t>
  </si>
  <si>
    <t>-498.518718924191 -115.581518958108 830.746924806412</t>
  </si>
  <si>
    <t>9763-20170724T115546.340033800.bin</t>
  </si>
  <si>
    <t>-633.34178849574 6.96871440424752 -93.6524087914405</t>
  </si>
  <si>
    <t>-653.949788879439 1.82990267473588 -202.309651084833</t>
  </si>
  <si>
    <t>-692.520852142172 19.5058036228618 -530.591462773422</t>
  </si>
  <si>
    <t>-687.20786603703 173.828335814419 -508.368617880634</t>
  </si>
  <si>
    <t>-710.85609295521 198.496565330569 -228.34939780462</t>
  </si>
  <si>
    <t>-501.804431507099 137.194445569203 -147.801300654256</t>
  </si>
  <si>
    <t>-650.874491439411 96.0006456385727 -96.4256421327034</t>
  </si>
  <si>
    <t>-651.160973764142 127.637371242312 317.943365390456</t>
  </si>
  <si>
    <t>-669.712604611806 182.702383975895 777.267298644373</t>
  </si>
  <si>
    <t>-518.433463519175 186.686562984184 831.880167045719</t>
  </si>
  <si>
    <t>-615.004478700151 -86.4294682786715 321.287269383251</t>
  </si>
  <si>
    <t>-651.748060930149 -107.190406296645 782.185237001834</t>
  </si>
  <si>
    <t>-498.603156907665 -115.79948450399 830.727575720175</t>
  </si>
  <si>
    <t>9763-20170724T115546.358082100.bin</t>
  </si>
  <si>
    <t>-633.661074090355 6.86129577685278 -93.6498705027167</t>
  </si>
  <si>
    <t>-654.259538290469 1.71121704876032 -202.308514954458</t>
  </si>
  <si>
    <t>-692.489989079325 19.1843948522039 -530.648106929903</t>
  </si>
  <si>
    <t>-687.313025419826 173.530652459041 -508.509058699984</t>
  </si>
  <si>
    <t>-711.069601610365 198.309149792605 -228.508660041441</t>
  </si>
  <si>
    <t>-501.702796618303 135.264689848276 -150.153898234682</t>
  </si>
  <si>
    <t>-651.303010681032 95.8590854265008 -96.4311603188629</t>
  </si>
  <si>
    <t>-651.50053572244 127.656205324753 317.925569448132</t>
  </si>
  <si>
    <t>-669.720615472993 182.762667808195 777.255690958623</t>
  </si>
  <si>
    <t>-518.418374358427 186.822043304397 831.798963109853</t>
  </si>
  <si>
    <t>-615.087328329278 -86.5303468627428 321.279431458106</t>
  </si>
  <si>
    <t>-651.779258267185 -107.262112307775 782.183862365968</t>
  </si>
  <si>
    <t>-498.634020727199 -115.865821026473 830.725974349775</t>
  </si>
  <si>
    <t>9763-20170724T115546.428809400.bin</t>
  </si>
  <si>
    <t>-634.331682072092 6.56565579888229 -93.6585629076292</t>
  </si>
  <si>
    <t>-654.955990689447 1.37975509568423 -202.31054255163</t>
  </si>
  <si>
    <t>-692.464578776665 18.5735966936109 -530.756631601209</t>
  </si>
  <si>
    <t>-687.768731174729 172.955732008798 -508.81925248223</t>
  </si>
  <si>
    <t>-711.46727867345 197.899003269643 -228.828447238503</t>
  </si>
  <si>
    <t>-501.23239031236 132.507634228096 -154.843353102425</t>
  </si>
  <si>
    <t>-652.143633628033 95.5423312812288 -96.431502728297</t>
  </si>
  <si>
    <t>-652.04702823332 127.665915456276 317.900076444076</t>
  </si>
  <si>
    <t>-669.733268555911 182.863153176755 777.236521202737</t>
  </si>
  <si>
    <t>-518.381706006348 186.996878051902 831.637220385982</t>
  </si>
  <si>
    <t>-615.191635871964 -86.7433362850782 321.274896926686</t>
  </si>
  <si>
    <t>-651.840692439023 -107.429425786368 782.186733537262</t>
  </si>
  <si>
    <t>-498.703600589646 -116.161928021932 830.731556471146</t>
  </si>
  <si>
    <t>9763-20170724T115546.469919300.bin</t>
  </si>
  <si>
    <t>-634.647438011563 6.45483457914042 -93.6726815266336</t>
  </si>
  <si>
    <t>-655.287221713948 1.24244795292202 -202.320419324058</t>
  </si>
  <si>
    <t>-692.601945925518 18.4082358342703 -530.788969879992</t>
  </si>
  <si>
    <t>-688.126590026346 172.803036867871 -508.889769005012</t>
  </si>
  <si>
    <t>-711.508689247807 197.890272834842 -228.885311896395</t>
  </si>
  <si>
    <t>-501.348953991722 130.611657042296 -156.393873729297</t>
  </si>
  <si>
    <t>-652.520836079758 95.4190077343253 -96.4476286568425</t>
  </si>
  <si>
    <t>-652.301543453273 127.672987527458 317.87379228958</t>
  </si>
  <si>
    <t>-669.74170488833 182.922181714744 777.221820499988</t>
  </si>
  <si>
    <t>-518.366370733983 187.035447620406 831.558037657345</t>
  </si>
  <si>
    <t>-615.223276781127 -86.8664223832786 321.279007341545</t>
  </si>
  <si>
    <t>-651.8783730396 -107.46726417362 782.188783001223</t>
  </si>
  <si>
    <t>-498.714825661 -115.837944474013 830.713822150654</t>
  </si>
  <si>
    <t>9763-20170724T115546.528085900.bin</t>
  </si>
  <si>
    <t>-634.936603131414 6.03366930063521 -93.6774651263902</t>
  </si>
  <si>
    <t>-655.541658390047 0.803194709481886 -202.330984282088</t>
  </si>
  <si>
    <t>-692.727267319812 18.1127010877321 -530.800468424107</t>
  </si>
  <si>
    <t>-688.406362107557 172.514952894442 -508.880535542065</t>
  </si>
  <si>
    <t>-711.691378503738 197.783249844071 -228.884257389258</t>
  </si>
  <si>
    <t>-501.62317747919 126.539530881958 -160.005970387298</t>
  </si>
  <si>
    <t>-652.825764666516 94.9295072273267 -96.4492768696904</t>
  </si>
  <si>
    <t>-652.580070473129 127.551252423892 317.843366586989</t>
  </si>
  <si>
    <t>-669.727095242921 183.041075316953 777.183295737207</t>
  </si>
  <si>
    <t>-518.319642431594 187.176966423658 831.428149651078</t>
  </si>
  <si>
    <t>-615.351083992786 -87.267891375622 321.272503188624</t>
  </si>
  <si>
    <t>-651.955138760831 -107.613305505403 782.19357203911</t>
  </si>
  <si>
    <t>-498.804566874283 -116.260442379996 830.711212850532</t>
  </si>
  <si>
    <t>9763-20170724T115546.559168800.bin</t>
  </si>
  <si>
    <t>-634.905637832157 5.80542684225838 -93.668637797777</t>
  </si>
  <si>
    <t>-655.47325487612 0.578423824462561 -202.329475672425</t>
  </si>
  <si>
    <t>-692.639903423509 18.0224801051143 -530.789711431855</t>
  </si>
  <si>
    <t>-688.392184822188 172.43129402751 -508.910267010795</t>
  </si>
  <si>
    <t>-711.519382954317 197.779931993039 -228.908269155365</t>
  </si>
  <si>
    <t>-501.55754786969 124.4215900622 -161.952206001811</t>
  </si>
  <si>
    <t>-652.769513954824 94.6841822813742 -96.4461698446773</t>
  </si>
  <si>
    <t>-652.559778866728 127.470804811277 317.833380784997</t>
  </si>
  <si>
    <t>-669.707929356106 183.098143044266 777.159629728396</t>
  </si>
  <si>
    <t>-518.293208069607 187.304984183404 831.378796381227</t>
  </si>
  <si>
    <t>-615.367332513437 -87.5690257119936 321.274740881543</t>
  </si>
  <si>
    <t>-651.994839170711 -107.699506783075 782.19759053933</t>
  </si>
  <si>
    <t>-498.841739310568 -116.353443953751 830.705901078078</t>
  </si>
  <si>
    <t>9763-20170724T115546.624363400.bin</t>
  </si>
  <si>
    <t>-634.585432978399 5.36990510185387 -93.6472018939895</t>
  </si>
  <si>
    <t>-655.08978685902 0.154877546015314 -202.320439361619</t>
  </si>
  <si>
    <t>-692.31079798283 17.8577736104862 -530.7525942196</t>
  </si>
  <si>
    <t>-688.227063701379 172.259291591522 -508.760333156019</t>
  </si>
  <si>
    <t>-710.865696415188 196.941055275883 -228.658694202317</t>
  </si>
  <si>
    <t>-500.981960606348 120.666663931145 -164.787220009209</t>
  </si>
  <si>
    <t>-652.446527930774 94.2657989016852 -96.4356349055599</t>
  </si>
  <si>
    <t>-652.305802245131 127.299033859894 317.824484270311</t>
  </si>
  <si>
    <t>-669.629112414292 183.211158426864 777.112323121769</t>
  </si>
  <si>
    <t>-518.216806482887 187.380332645526 831.34107502302</t>
  </si>
  <si>
    <t>-615.268148201785 -88.1349527138766 321.291993897574</t>
  </si>
  <si>
    <t>-652.071352903738 -107.840312266482 782.204946211662</t>
  </si>
  <si>
    <t>-498.898001875845 -116.25533970688 830.691352530316</t>
  </si>
  <si>
    <t>9763-20170724T115546.690541200.bin</t>
  </si>
  <si>
    <t>-633.800263811787 4.87061868354658 -93.6199910147956</t>
  </si>
  <si>
    <t>-691.740966532534 17.7839740923066 -530.669171390269</t>
  </si>
  <si>
    <t>-687.805302999247 172.163500434536 -508.496358265044</t>
  </si>
  <si>
    <t>-709.84080519846 195.972606962381 -228.271332092028</t>
  </si>
  <si>
    <t>-499.902570604493 117.298270303962 -167.56851249733</t>
  </si>
  <si>
    <t>-651.606899519851 93.7694599695467 -96.3962259074958</t>
  </si>
  <si>
    <t>-651.740056799483 127.062461927514 317.843052244141</t>
  </si>
  <si>
    <t>-669.520971163838 183.355435805437 777.066619204038</t>
  </si>
  <si>
    <t>-518.130703379875 187.744925767367 831.339492062139</t>
  </si>
  <si>
    <t>-614.876623716265 -88.7168409510662 321.320253360157</t>
  </si>
  <si>
    <t>-652.135879988549 -108.007988412601 782.222435686813</t>
  </si>
  <si>
    <t>-498.960975929618 -116.342550540655 830.717918979487</t>
  </si>
  <si>
    <t>9763-20170724T115546.727144600.bin</t>
  </si>
  <si>
    <t>-633.301845428593 4.62997359005226 -93.6086844338791</t>
  </si>
  <si>
    <t>-691.475492567471 17.7532637338988 -530.610742725698</t>
  </si>
  <si>
    <t>-687.579541339205 172.098151327354 -508.232631259749</t>
  </si>
  <si>
    <t>-709.343562663459 195.754231204161 -227.973402344156</t>
  </si>
  <si>
    <t>-499.549024446536 115.923939089653 -168.291643440543</t>
  </si>
  <si>
    <t>-651.069428154842 93.5132998186373 -96.3862106306553</t>
  </si>
  <si>
    <t>-651.359119075525 126.935152260434 317.842623738668</t>
  </si>
  <si>
    <t>-669.466100968482 183.445277841973 777.032299369676</t>
  </si>
  <si>
    <t>-518.087820237939 187.874752523815 831.335311077034</t>
  </si>
  <si>
    <t>-614.593139993881 -89.0537066269967 321.340380707421</t>
  </si>
  <si>
    <t>-652.16793435719 -108.061596375309 782.228888776387</t>
  </si>
  <si>
    <t>-498.985875467195 -116.291466523139 830.719607582719</t>
  </si>
  <si>
    <t>9763-20170724T115546.763237100.bin</t>
  </si>
  <si>
    <t>-632.79987832816 4.42074209702696 -93.594053479216</t>
  </si>
  <si>
    <t>-691.262358367246 17.8521934542948 -530.534834081804</t>
  </si>
  <si>
    <t>-687.440547318349 172.1698429541 -507.964819322966</t>
  </si>
  <si>
    <t>-708.999102827535 195.746733322876 -227.682857216107</t>
  </si>
  <si>
    <t>-499.330020022981 114.748815895999 -169.144570478928</t>
  </si>
  <si>
    <t>-650.580478240124 93.2901446258741 -96.3697463752036</t>
  </si>
  <si>
    <t>-651.002957967247 126.836015705243 317.848909913748</t>
  </si>
  <si>
    <t>-669.388822441146 183.549425426152 776.998924382411</t>
  </si>
  <si>
    <t>-518.031072679678 188.150592217926 831.344814586834</t>
  </si>
  <si>
    <t>-614.269995464548 -89.3739642935311 321.357983682735</t>
  </si>
  <si>
    <t>-652.201727368625 -108.132488275554 782.232571484122</t>
  </si>
  <si>
    <t>-499.007335071099 -116.163845109153 830.717635184897</t>
  </si>
  <si>
    <t>9763-20170724T115546.812876100.bin</t>
  </si>
  <si>
    <t>-632.287284402796 4.19111995548792 -93.5629237961513</t>
  </si>
  <si>
    <t>-691.009646009181 17.8621711315557 -530.447262758124</t>
  </si>
  <si>
    <t>-687.411930787922 172.166571000091 -507.709525489548</t>
  </si>
  <si>
    <t>-708.713080779009 195.778244750307 -227.410893596818</t>
  </si>
  <si>
    <t>-499.144375841947 113.512474499936 -170.298335355247</t>
  </si>
  <si>
    <t>-650.109204716731 93.0484011188105 -96.3456739890952</t>
  </si>
  <si>
    <t>-650.61280984344 126.727471567433 317.862057752305</t>
  </si>
  <si>
    <t>-669.308234871663 183.639014718722 776.970477870991</t>
  </si>
  <si>
    <t>-517.974016772877 188.383067814672 831.369668767335</t>
  </si>
  <si>
    <t>-613.955797181395 -89.7204648507325 321.383626416108</t>
  </si>
  <si>
    <t>-652.237816422181 -108.256376960483 782.238116914281</t>
  </si>
  <si>
    <t>-499.063937747454 -116.638820596844 830.728543145235</t>
  </si>
  <si>
    <t>9763-20170724T115546.856996300.bin</t>
  </si>
  <si>
    <t>-631.253999934482 3.49138766518536 -93.5107156916433</t>
  </si>
  <si>
    <t>-690.528958267965 17.7101698230583 -530.267180079371</t>
  </si>
  <si>
    <t>-687.329404315524 171.958529008381 -507.084206494601</t>
  </si>
  <si>
    <t>-708.277952632838 195.3406742118 -226.739632000482</t>
  </si>
  <si>
    <t>-498.744297656875 110.870426627475 -172.804946338557</t>
  </si>
  <si>
    <t>-649.159102506265 92.3338359864642 -96.2868982967232</t>
  </si>
  <si>
    <t>-649.693156776914 126.387067100408 317.890220902415</t>
  </si>
  <si>
    <t>-669.165535676579 183.802753079534 776.902373984797</t>
  </si>
  <si>
    <t>-517.8725039676 188.682604121877 831.404125162981</t>
  </si>
  <si>
    <t>-613.260712617689 -90.4139981705882 321.436137884913</t>
  </si>
  <si>
    <t>-652.294899236354 -108.45089567179 782.246288152248</t>
  </si>
  <si>
    <t>-499.147892847009 -117.172314389457 830.761800592884</t>
  </si>
  <si>
    <t>9763-20170724T115546.928695700.bin</t>
  </si>
  <si>
    <t>-630.583669598079 2.88181605680347 -93.4692856132139</t>
  </si>
  <si>
    <t>-689.966445998242 17.6389011178076 -530.158393963721</t>
  </si>
  <si>
    <t>-687.156803942407 171.824549838455 -506.560488238445</t>
  </si>
  <si>
    <t>-707.833486173222 194.628498153081 -226.148252879829</t>
  </si>
  <si>
    <t>-498.058533161011 108.872785526307 -175.266406227611</t>
  </si>
  <si>
    <t>-648.664046020234 91.6471832931284 -96.2139421233259</t>
  </si>
  <si>
    <t>-649.102553464048 126.116480694378 317.928910540311</t>
  </si>
  <si>
    <t>-669.031487475174 183.979000310558 776.842285155203</t>
  </si>
  <si>
    <t>-517.780503759906 189.092952017324 831.439091508833</t>
  </si>
  <si>
    <t>-612.650460675006 -91.0451226720122 321.472251629593</t>
  </si>
  <si>
    <t>-652.365015061936 -108.539502425985 782.252649977029</t>
  </si>
  <si>
    <t>-499.15076062681 -116.261212904823 830.725264335949</t>
  </si>
  <si>
    <t>9763-20170724T115546.962786300.bin</t>
  </si>
  <si>
    <t>-630.355175203778 2.57546950632081 -93.4335644649829</t>
  </si>
  <si>
    <t>-689.727880127015 17.668547108397 -530.094022893841</t>
  </si>
  <si>
    <t>-687.052083584613 171.822457410474 -506.255344557805</t>
  </si>
  <si>
    <t>-707.536127453095 194.552311159717 -225.822984511543</t>
  </si>
  <si>
    <t>-497.697898027713 107.980986834333 -176.610637637459</t>
  </si>
  <si>
    <t>-648.482392453269 91.2406715340833 -96.1712677296625</t>
  </si>
  <si>
    <t>-648.982149390923 125.955268310123 317.950936934998</t>
  </si>
  <si>
    <t>-668.971669493791 184.073488082552 776.815101525696</t>
  </si>
  <si>
    <t>-517.739212943206 189.273104427274 831.455107851662</t>
  </si>
  <si>
    <t>-612.405210281782 -91.4682221069713 321.485923426462</t>
  </si>
  <si>
    <t>-652.397018616819 -108.637910075166 782.25292517123</t>
  </si>
  <si>
    <t>-499.194879200489 -116.585969831358 830.727219839709</t>
  </si>
  <si>
    <t>9763-20170724T115547.025961200.bin</t>
  </si>
  <si>
    <t>-630.239565769785 1.95210158168356 -93.368687739953</t>
  </si>
  <si>
    <t>-689.511607906514 17.672978374645 -529.988059680251</t>
  </si>
  <si>
    <t>-687.089161306276 171.75723690451 -505.665131962974</t>
  </si>
  <si>
    <t>-707.070709745837 194.435230382333 -225.192372270682</t>
  </si>
  <si>
    <t>-497.346260891735 106.406212779723 -178.127629040049</t>
  </si>
  <si>
    <t>-648.563307305986 90.4840150483976 -96.0844796095798</t>
  </si>
  <si>
    <t>-648.924141196869 125.716422407846 317.994205254506</t>
  </si>
  <si>
    <t>-668.868073785557 184.265569910383 776.772574133138</t>
  </si>
  <si>
    <t>-517.658168964829 189.761180947615 831.446067191985</t>
  </si>
  <si>
    <t>-612.041726890639 -92.2568607746077 321.497545343328</t>
  </si>
  <si>
    <t>-652.438616199489 -108.803774650184 782.257038003206</t>
  </si>
  <si>
    <t>-499.226447325648 -116.467400726099 830.745393539881</t>
  </si>
  <si>
    <t>9763-20170724T115547.059050500.bin</t>
  </si>
  <si>
    <t>-630.280751343216 1.66781075672588 -93.353649574831</t>
  </si>
  <si>
    <t>-689.55209125303 17.6283287593228 -529.952932726809</t>
  </si>
  <si>
    <t>-687.220058059009 171.687456823493 -505.471673084967</t>
  </si>
  <si>
    <t>-706.994282029993 194.10254215807 -224.962963126886</t>
  </si>
  <si>
    <t>-497.357193672192 105.733460050513 -178.147111448082</t>
  </si>
  <si>
    <t>-648.699956473867 90.1227798726402 -96.0562855533219</t>
  </si>
  <si>
    <t>-648.944628375393 125.609609795248 318.000644278263</t>
  </si>
  <si>
    <t>-668.851360686827 184.321927663078 776.755295856229</t>
  </si>
  <si>
    <t>-517.639585041792 189.705258728146 831.434746255135</t>
  </si>
  <si>
    <t>-611.922554189648 -92.644509626163 321.493864202046</t>
  </si>
  <si>
    <t>-652.450601764582 -108.893249199885 782.259259263501</t>
  </si>
  <si>
    <t>-499.24326406217 -116.525586335396 830.76782875987</t>
  </si>
  <si>
    <t>9763-20170724T115547.129243800.bin</t>
  </si>
  <si>
    <t>-630.592963981585 1.38851479998334 -93.3193052238381</t>
  </si>
  <si>
    <t>-689.754360164195 17.6467993984552 -529.896465946086</t>
  </si>
  <si>
    <t>-687.592925006 171.676370750738 -505.233193678599</t>
  </si>
  <si>
    <t>-707.257222815741 193.179912947225 -224.645470179908</t>
  </si>
  <si>
    <t>-497.591519371208 104.988607869602 -177.622974001736</t>
  </si>
  <si>
    <t>-649.174458482881 89.6768753684521 -96.0269259572071</t>
  </si>
  <si>
    <t>-649.018452047859 125.621112133478 317.990663856375</t>
  </si>
  <si>
    <t>-668.806465648417 184.492040417797 776.714508292248</t>
  </si>
  <si>
    <t>-517.595766006453 189.984167734315 831.386111361157</t>
  </si>
  <si>
    <t>-611.8660432486 -93.2700956962256 321.509788400234</t>
  </si>
  <si>
    <t>-652.489260728154 -109.174593862844 782.274259401461</t>
  </si>
  <si>
    <t>-499.333199600909 -117.515579684573 830.828047982823</t>
  </si>
  <si>
    <t>9763-20170724T115547.163340200.bin</t>
  </si>
  <si>
    <t>-630.829209741568 1.36980798083664 -93.32030693907</t>
  </si>
  <si>
    <t>-689.803609235967 17.7099904653669 -529.910705071547</t>
  </si>
  <si>
    <t>-687.749353029866 171.726804861973 -505.157605106927</t>
  </si>
  <si>
    <t>-707.495410570368 192.903412621807 -224.55073521128</t>
  </si>
  <si>
    <t>-497.688480209734 105.202624714468 -177.241650458539</t>
  </si>
  <si>
    <t>-649.476296175056 89.6021828506387 -96.0338602144199</t>
  </si>
  <si>
    <t>-649.139357252798 125.713089223251 317.969184437687</t>
  </si>
  <si>
    <t>-668.795752577233 184.577056859001 776.690440083373</t>
  </si>
  <si>
    <t>-517.580246870787 190.123528600504 831.343303824087</t>
  </si>
  <si>
    <t>-611.969878665394 -93.3836166204158 321.513316705838</t>
  </si>
  <si>
    <t>-652.50812893851 -109.238804258188 782.278120393834</t>
  </si>
  <si>
    <t>-499.342777725293 -117.407561464683 830.831904397304</t>
  </si>
  <si>
    <t>9763-20170724T115547.229543000.bin</t>
  </si>
  <si>
    <t>-631.367295846541 1.50132604402347 -93.3457683927184</t>
  </si>
  <si>
    <t>-689.872498752902 17.7966741935104 -530.005715346073</t>
  </si>
  <si>
    <t>-687.870522471806 171.823509551597 -505.232217326635</t>
  </si>
  <si>
    <t>-708.108241804997 192.716834013524 -224.639005957859</t>
  </si>
  <si>
    <t>-497.951243947964 106.050947456283 -176.978026301489</t>
  </si>
  <si>
    <t>-650.025811282349 89.6603205968122 -96.0509607865208</t>
  </si>
  <si>
    <t>-649.638452195192 125.822920421991 317.947532844437</t>
  </si>
  <si>
    <t>-668.816255710363 184.706427000202 776.651603590483</t>
  </si>
  <si>
    <t>-517.565286441518 190.181714065326 831.213402597256</t>
  </si>
  <si>
    <t>-612.184619247169 -93.4924499804865 321.48694496963</t>
  </si>
  <si>
    <t>-652.54136899908 -109.415005667311 782.282934261473</t>
  </si>
  <si>
    <t>-499.377867463572 -117.570585262702 830.844769521525</t>
  </si>
  <si>
    <t>9763-20170724T115547.260627600.bin</t>
  </si>
  <si>
    <t>-631.603984207692 1.67415318810868 -93.3722622963965</t>
  </si>
  <si>
    <t>-689.866914119043 17.8049682996696 -530.089807058308</t>
  </si>
  <si>
    <t>-687.781900676736 171.835475689058 -505.396152154372</t>
  </si>
  <si>
    <t>-708.203875141836 193.015119086902 -224.837825037065</t>
  </si>
  <si>
    <t>-498.036056717933 106.472502334771 -177.000504281109</t>
  </si>
  <si>
    <t>-650.235472258774 89.810317754667 -96.0651960137263</t>
  </si>
  <si>
    <t>-649.933051861622 125.90509791749 317.939265205779</t>
  </si>
  <si>
    <t>-668.837943504946 184.775850045455 776.64395431871</t>
  </si>
  <si>
    <t>-517.566208031818 190.237452058738 831.149452450453</t>
  </si>
  <si>
    <t>-612.329613286745 -93.4826083748487 321.455177908224</t>
  </si>
  <si>
    <t>-652.566784082741 -109.52407744855 782.274121804162</t>
  </si>
  <si>
    <t>-499.400323115123 -117.648582706758 830.831838169707</t>
  </si>
  <si>
    <t>9763-20170724T115547.328825500.bin</t>
  </si>
  <si>
    <t>-631.988071488463 2.17896206159594 -93.4117289777786</t>
  </si>
  <si>
    <t>-689.795450134556 18.1166096736497 -530.229790612134</t>
  </si>
  <si>
    <t>-687.363287144098 172.16721430764 -505.718954945988</t>
  </si>
  <si>
    <t>-708.331923032913 194.303264241998 -225.274837159832</t>
  </si>
  <si>
    <t>-498.460321786291 107.253375256603 -177.059112854225</t>
  </si>
  <si>
    <t>-650.526529533533 90.3376025580415 -96.0971603238298</t>
  </si>
  <si>
    <t>-650.346129796305 126.22476763846 317.925368894737</t>
  </si>
  <si>
    <t>-668.880066307473 184.883021308681 776.673278833427</t>
  </si>
  <si>
    <t>-517.565308341503 190.160823276613 831.077331998757</t>
  </si>
  <si>
    <t>-612.627840357611 -93.3489920344321 321.393854291876</t>
  </si>
  <si>
    <t>-652.615573782846 -109.731021515868 782.255304554393</t>
  </si>
  <si>
    <t>-499.479985363427 -118.410630413592 830.814344695428</t>
  </si>
  <si>
    <t>9763-20170724T115547.360911200.bin</t>
  </si>
  <si>
    <t>-632.133653048405 2.55195886596948 -93.4272937914492</t>
  </si>
  <si>
    <t>-689.608226318577 18.4620415777708 -530.301701850762</t>
  </si>
  <si>
    <t>-686.965743640093 172.517379864515 -505.86614137773</t>
  </si>
  <si>
    <t>-708.222447520085 195.065965035195 -225.476643655144</t>
  </si>
  <si>
    <t>-498.494294743935 107.705543770669 -177.198231851651</t>
  </si>
  <si>
    <t>-650.575125142052 90.7554854627408 -96.1156825711518</t>
  </si>
  <si>
    <t>-650.474917100963 126.476938644166 317.921147187559</t>
  </si>
  <si>
    <t>-668.890225862093 184.964141237429 776.697036652852</t>
  </si>
  <si>
    <t>-517.559344762402 190.26928499144 831.053653484685</t>
  </si>
  <si>
    <t>-612.761014028816 -93.20959734948 321.372134720365</t>
  </si>
  <si>
    <t>-652.637682939919 -109.777794502122 782.246046995143</t>
  </si>
  <si>
    <t>-499.491524049087 -118.337035416713 830.793039558778</t>
  </si>
  <si>
    <t>9763-20170724T115547.424614700.bin</t>
  </si>
  <si>
    <t>-632.255302424426 3.61881377932787 -93.4422451970993</t>
  </si>
  <si>
    <t>-689.324558873473 19.4363806784518 -530.391480812225</t>
  </si>
  <si>
    <t>-686.330792505729 173.507596772203 -506.067427231523</t>
  </si>
  <si>
    <t>-707.967266857398 196.590279837999 -225.750395684732</t>
  </si>
  <si>
    <t>-498.474842000408 108.710984751802 -177.390478254603</t>
  </si>
  <si>
    <t>-650.492960526842 91.9334314626772 -96.1504254855045</t>
  </si>
  <si>
    <t>-650.562496493164 127.157472657656 317.929097976446</t>
  </si>
  <si>
    <t>-668.88542254787 185.156522313713 776.76619124017</t>
  </si>
  <si>
    <t>-517.536163515146 190.474289332331 831.070394653803</t>
  </si>
  <si>
    <t>-612.87678945686 -92.7493946040347 321.352422067989</t>
  </si>
  <si>
    <t>-652.681312787413 -109.856363234926 782.223778068517</t>
  </si>
  <si>
    <t>-499.528012081884 -118.447720849869 830.742684182453</t>
  </si>
  <si>
    <t>9763-20170724T115547.462716000.bin</t>
  </si>
  <si>
    <t>-632.201851102647 4.14889959036918 -93.4441022795091</t>
  </si>
  <si>
    <t>-689.218952365397 19.9351746303894 -530.407591987944</t>
  </si>
  <si>
    <t>-686.064009726349 174.015348321798 -506.154022813292</t>
  </si>
  <si>
    <t>-707.900187894122 197.198281957085 -225.860684305562</t>
  </si>
  <si>
    <t>-498.546609991926 109.032382326346 -177.421352388947</t>
  </si>
  <si>
    <t>-650.307962171811 92.5347807493506 -96.1617955559158</t>
  </si>
  <si>
    <t>-650.540087480716 127.472467005784 317.941945855572</t>
  </si>
  <si>
    <t>-668.872130102203 185.269564202633 776.804669124194</t>
  </si>
  <si>
    <t>-517.519443129995 190.609852584631 831.097128384373</t>
  </si>
  <si>
    <t>-612.877707728165 -92.4999300479981 321.355588852209</t>
  </si>
  <si>
    <t>-652.700449161047 -109.945274232536 782.21814093645</t>
  </si>
  <si>
    <t>-499.549134863795 -118.607326863292 830.730610326069</t>
  </si>
  <si>
    <t>9763-20170724T115547.525918000.bin</t>
  </si>
  <si>
    <t>-631.916545348198 5.16488150862915 -93.4318952730113</t>
  </si>
  <si>
    <t>-651.671103443118 0.106978258536174 -202.251423586676</t>
  </si>
  <si>
    <t>-689.025314773803 20.9384434065955 -530.392543509253</t>
  </si>
  <si>
    <t>-685.595442090927 174.992986090487 -505.996939449662</t>
  </si>
  <si>
    <t>-707.726756574149 198.229058036761 -225.731239718853</t>
  </si>
  <si>
    <t>-498.577468165338 109.435236862583 -177.556932738523</t>
  </si>
  <si>
    <t>-649.803624314951 93.7768423228542 -96.1758345607274</t>
  </si>
  <si>
    <t>-650.386185007596 128.080522030185 317.980493295206</t>
  </si>
  <si>
    <t>-668.845657032525 185.465744941551 776.895997270558</t>
  </si>
  <si>
    <t>-517.48933529889 190.609414975679 831.197333206138</t>
  </si>
  <si>
    <t>-612.718658496477 -91.9285745890531 321.378480093375</t>
  </si>
  <si>
    <t>-652.737274701299 -110.020598367216 782.211438593336</t>
  </si>
  <si>
    <t>-499.568912792202 -118.523149791689 830.698334634728</t>
  </si>
  <si>
    <t>9763-20170724T115547.560010100.bin</t>
  </si>
  <si>
    <t>-631.671939066282 5.59149657272087 -93.4250768125446</t>
  </si>
  <si>
    <t>-651.44033747077 0.542720229401993 -202.24238942088</t>
  </si>
  <si>
    <t>-688.750630536755 21.3718559376555 -530.389141249082</t>
  </si>
  <si>
    <t>-685.222301748791 175.403766693399 -505.885728864476</t>
  </si>
  <si>
    <t>-707.681342965477 198.716051807933 -225.652468399782</t>
  </si>
  <si>
    <t>-498.608243680507 109.638209286368 -177.672119406036</t>
  </si>
  <si>
    <t>-649.469999971316 94.3156409491899 -96.1719329122319</t>
  </si>
  <si>
    <t>-650.195243062883 128.367589096702 318.004994982573</t>
  </si>
  <si>
    <t>-668.830259445564 185.56472584758 776.943496080839</t>
  </si>
  <si>
    <t>-517.475524829064 190.697846658093 831.250267067308</t>
  </si>
  <si>
    <t>-612.57680075864 -91.6179207458513 321.393796791381</t>
  </si>
  <si>
    <t>-652.748751701241 -110.044539118412 782.209262637195</t>
  </si>
  <si>
    <t>-499.551878762411 -118.074470945003 830.686763274442</t>
  </si>
  <si>
    <t>9763-20170724T115547.629698900.bin</t>
  </si>
  <si>
    <t>-631.152946987062 6.30399216874139 -93.4340308683745</t>
  </si>
  <si>
    <t>-650.908858184735 1.30104170774348 -202.255769778737</t>
  </si>
  <si>
    <t>-688.105889378363 22.2495451751258 -530.406949664446</t>
  </si>
  <si>
    <t>-684.296155932491 176.259969687433 -505.796162722451</t>
  </si>
  <si>
    <t>-708.218348526649 199.773770713841 -225.700822577735</t>
  </si>
  <si>
    <t>-499.38835959225 110.247452047762 -177.496987878868</t>
  </si>
  <si>
    <t>-648.74457343614 95.3124711405796 -96.1621137116105</t>
  </si>
  <si>
    <t>-649.839797688147 128.80899435341 318.059323110103</t>
  </si>
  <si>
    <t>-668.777776922089 185.748855861938 777.055476735183</t>
  </si>
  <si>
    <t>-517.436314447994 190.800592204128 831.406824030243</t>
  </si>
  <si>
    <t>-612.258675473095 -91.3239711087026 321.409959833626</t>
  </si>
  <si>
    <t>-652.765960201674 -110.233751991542 782.206625272555</t>
  </si>
  <si>
    <t>-499.642671832246 -119.311023648326 830.731710906992</t>
  </si>
  <si>
    <t>9763-20170724T115547.662787800.bin</t>
  </si>
  <si>
    <t>-630.926627279358 6.6053874629697 -93.4187514737705</t>
  </si>
  <si>
    <t>-650.658280638977 1.63302845740691 -202.246238977391</t>
  </si>
  <si>
    <t>-687.816582078922 22.6240025964121 -530.400175522886</t>
  </si>
  <si>
    <t>-684.087350466501 176.644109427356 -505.857188361667</t>
  </si>
  <si>
    <t>-708.717020170792 200.63842260554 -225.863952226831</t>
  </si>
  <si>
    <t>-500.083853857655 110.743890552709 -177.493357425846</t>
  </si>
  <si>
    <t>-648.441284632208 95.7325450301266 -96.1420967062353</t>
  </si>
  <si>
    <t>-649.704811647293 129.063707116669 318.092190208595</t>
  </si>
  <si>
    <t>-668.747662328847 185.844111354411 777.10973802177</t>
  </si>
  <si>
    <t>-517.415354666893 191.007313255165 831.476134994392</t>
  </si>
  <si>
    <t>-612.199361855059 -91.229016635888 321.417604064924</t>
  </si>
  <si>
    <t>-652.77958131837 -110.263297175189 782.208196671009</t>
  </si>
  <si>
    <t>-499.622488510891 -118.839802170293 830.717642651766</t>
  </si>
  <si>
    <t>9763-20170724T115547.727656300.bin</t>
  </si>
  <si>
    <t>-630.540675639702 6.82648565777572 -93.3546740679279</t>
  </si>
  <si>
    <t>-650.240096644582 1.9071091401197 -202.190445964884</t>
  </si>
  <si>
    <t>-687.422368703664 23.2076212611501 -530.314324893477</t>
  </si>
  <si>
    <t>-683.617401183242 177.211694961258 -505.692220076603</t>
  </si>
  <si>
    <t>-710.430556270492 202.627175684899 -226.025146674772</t>
  </si>
  <si>
    <t>-502.379160769186 111.467689624318 -177.516472239266</t>
  </si>
  <si>
    <t>-647.927172487911 96.1777731360392 -96.0854032470282</t>
  </si>
  <si>
    <t>-649.520324018702 129.244595057649 318.168931771157</t>
  </si>
  <si>
    <t>-668.714699539192 185.983351574328 777.211683212051</t>
  </si>
  <si>
    <t>-517.382876048062 191.104091694561 831.583343211244</t>
  </si>
  <si>
    <t>-612.203776484799 -91.1819098026756 321.442144203559</t>
  </si>
  <si>
    <t>-652.819949834231 -110.302883894874 782.214071081775</t>
  </si>
  <si>
    <t>-499.622720217828 -118.337450844154 830.68947314853</t>
  </si>
  <si>
    <t>9763-20170724T115547.760744800.bin</t>
  </si>
  <si>
    <t>-630.389707816878 6.68430700757062 -93.3389453670036</t>
  </si>
  <si>
    <t>-650.090112447784 1.78594621188427 -202.175623567805</t>
  </si>
  <si>
    <t>-687.158547780293 23.2951997854771 -530.292325978729</t>
  </si>
  <si>
    <t>-683.042630388203 177.257749208478 -505.448783887767</t>
  </si>
  <si>
    <t>-711.01188129994 203.205321477776 -225.943928320106</t>
  </si>
  <si>
    <t>-503.18813842915 111.354172836149 -177.765106033104</t>
  </si>
  <si>
    <t>-647.703790645607 96.2404070774348 -96.0728673672523</t>
  </si>
  <si>
    <t>-649.407480266292 129.181632512808 318.191023107794</t>
  </si>
  <si>
    <t>-668.693520120416 186.035976101781 777.249535345662</t>
  </si>
  <si>
    <t>-517.36588061881 191.266106258351 831.622376617254</t>
  </si>
  <si>
    <t>-612.284507933609 -91.1883879088116 321.457097058839</t>
  </si>
  <si>
    <t>-652.849871257434 -110.348716224983 782.224200162987</t>
  </si>
  <si>
    <t>-499.644631080127 -118.365019024594 830.677540567846</t>
  </si>
  <si>
    <t>9763-20170724T115547.824918700.bin</t>
  </si>
  <si>
    <t>-630.290664778557 6.32452496804649 -93.3602585957989</t>
  </si>
  <si>
    <t>-649.963825599547 1.51206322413736 -202.205483900258</t>
  </si>
  <si>
    <t>-686.695643282382 23.4514143876359 -530.324410486484</t>
  </si>
  <si>
    <t>-682.449651040477 177.347859622355 -505.113102147842</t>
  </si>
  <si>
    <t>-711.369062587365 202.746947511724 -225.654513580908</t>
  </si>
  <si>
    <t>-503.297797821722 110.619578206951 -179.098941145693</t>
  </si>
  <si>
    <t>-647.50684515381 96.099099436932 -96.0301150214976</t>
  </si>
  <si>
    <t>-649.286417057935 128.993555986145 318.237141066137</t>
  </si>
  <si>
    <t>-668.659743570858 186.105224546086 777.3047388342</t>
  </si>
  <si>
    <t>-517.329482803783 191.23736605785 831.679743177391</t>
  </si>
  <si>
    <t>-612.44346689111 -91.4575985523011 321.433790968066</t>
  </si>
  <si>
    <t>-652.914504693585 -110.49738918783 782.223284086988</t>
  </si>
  <si>
    <t>-499.741248764423 -119.193492287549 830.660374981183</t>
  </si>
  <si>
    <t>9763-20170724T115547.857008600.bin</t>
  </si>
  <si>
    <t>-630.434185145962 6.19584077681998 -93.3458098439866</t>
  </si>
  <si>
    <t>-650.082717397742 1.42491540332617 -202.197491519537</t>
  </si>
  <si>
    <t>-686.640676396273 23.611534071252 -530.3143564896</t>
  </si>
  <si>
    <t>-682.536416128716 177.484115912502 -504.940876880797</t>
  </si>
  <si>
    <t>-711.464514479235 202.253532550877 -225.426537691449</t>
  </si>
  <si>
    <t>-503.180188230839 110.141892629496 -179.80187279701</t>
  </si>
  <si>
    <t>-647.595469503685 95.9668968809942 -95.991596175817</t>
  </si>
  <si>
    <t>-649.374406781229 128.921488005663 318.270870827501</t>
  </si>
  <si>
    <t>-668.657831491642 186.122250191349 777.330884244192</t>
  </si>
  <si>
    <t>-517.323485007256 191.175110406536 831.701808921633</t>
  </si>
  <si>
    <t>-612.583573689749 -91.6322133430399 321.430731262974</t>
  </si>
  <si>
    <t>-652.923450057918 -110.510240552474 782.231920892566</t>
  </si>
  <si>
    <t>-499.743477552199 -119.046090190952 830.676338526997</t>
  </si>
  <si>
    <t>9763-20170724T115547.938229400.bin</t>
  </si>
  <si>
    <t>-630.755528973383 5.86525546105599 -93.3148426771995</t>
  </si>
  <si>
    <t>-650.273275109425 1.17552509532993 -202.193541836999</t>
  </si>
  <si>
    <t>-686.456112224909 23.8939981934445 -530.30424240866</t>
  </si>
  <si>
    <t>-682.217998052757 177.716950697052 -504.617534861397</t>
  </si>
  <si>
    <t>-711.854527032169 201.779480436977 -225.115799660578</t>
  </si>
  <si>
    <t>-503.686333372546 108.891854075552 -180.546381993055</t>
  </si>
  <si>
    <t>-647.814639221987 95.5165705889135 -95.9186959503737</t>
  </si>
  <si>
    <t>-649.681847717291 128.70195823277 318.324971121856</t>
  </si>
  <si>
    <t>-668.635229629205 186.181483547823 777.362110827163</t>
  </si>
  <si>
    <t>-517.293329532205 191.193822982417 831.715800133915</t>
  </si>
  <si>
    <t>-612.943972808804 -92.0433828859336 321.412920092828</t>
  </si>
  <si>
    <t>-652.946517944531 -110.601623391481 782.246381736665</t>
  </si>
  <si>
    <t>-499.766944207879 -119.06620266401 830.704540809359</t>
  </si>
  <si>
    <t>9763-20170724T115547.960287300.bin</t>
  </si>
  <si>
    <t>-630.839749656311 5.63365953389348 -93.2884686719243</t>
  </si>
  <si>
    <t>-650.301598101771 0.990565991221956 -202.179117677249</t>
  </si>
  <si>
    <t>-686.270790928362 23.9512943191326 -530.292079008644</t>
  </si>
  <si>
    <t>-681.86233353554 177.74323277529 -504.494860996765</t>
  </si>
  <si>
    <t>-712.287723071271 201.85079040283 -225.081754935319</t>
  </si>
  <si>
    <t>-504.334153806931 108.263639659083 -180.976241100243</t>
  </si>
  <si>
    <t>-647.822812790265 95.243401410409 -95.8749651547442</t>
  </si>
  <si>
    <t>-649.787950708957 128.57860894591 318.356248264332</t>
  </si>
  <si>
    <t>-668.616387970873 186.230891061703 777.371800062408</t>
  </si>
  <si>
    <t>-517.272603282585 191.271185923941 831.71776719177</t>
  </si>
  <si>
    <t>-613.041157528286 -92.2853465956141 321.411959618122</t>
  </si>
  <si>
    <t>-652.963424727848 -110.701699314349 782.257212260741</t>
  </si>
  <si>
    <t>-499.79458561632 -119.2988760392 830.725894295862</t>
  </si>
  <si>
    <t>9763-20170724T115548.028988100.bin</t>
  </si>
  <si>
    <t>-630.71625245288 4.97543566230297 -93.239877654502</t>
  </si>
  <si>
    <t>-650.089632967759 0.399446022160419 -202.149123664299</t>
  </si>
  <si>
    <t>-685.925826324269 23.8422278902883 -530.230483121231</t>
  </si>
  <si>
    <t>-680.577400365944 177.541042582384 -503.990995498453</t>
  </si>
  <si>
    <t>-712.849067922716 201.957658583801 -224.811834044361</t>
  </si>
  <si>
    <t>-505.182964061607 107.102534215954 -182.082256323581</t>
  </si>
  <si>
    <t>-647.57518702912 94.6025128806175 -95.8090199008346</t>
  </si>
  <si>
    <t>-649.626553458379 128.269622352784 318.394928217488</t>
  </si>
  <si>
    <t>-668.550786313543 186.335854144003 777.369045386318</t>
  </si>
  <si>
    <t>-517.221627885588 191.495083878201 831.744650685391</t>
  </si>
  <si>
    <t>-613.152915071783 -92.9052544379485 321.415847557388</t>
  </si>
  <si>
    <t>-653.019523181936 -110.817730886442 782.271336652292</t>
  </si>
  <si>
    <t>-499.827038400532 -119.176618652497 830.707075795681</t>
  </si>
  <si>
    <t>9763-20170724T115548.061073800.bin</t>
  </si>
  <si>
    <t>-630.424735424212 4.64685014333963 -93.2210884158681</t>
  </si>
  <si>
    <t>-649.786767454474 0.0999950932196043 -202.133702560869</t>
  </si>
  <si>
    <t>-685.822329301827 23.8352983356233 -530.163065325735</t>
  </si>
  <si>
    <t>-679.945378025016 177.471371932562 -503.718633053983</t>
  </si>
  <si>
    <t>-713.07490214298 201.800031789331 -224.632340088282</t>
  </si>
  <si>
    <t>-505.358164278289 106.730462164726 -182.631406067735</t>
  </si>
  <si>
    <t>-647.205712761905 94.3045929218895 -95.7776364728204</t>
  </si>
  <si>
    <t>-649.34755767689 128.110053955824 318.414610692302</t>
  </si>
  <si>
    <t>-668.500747422276 186.398261420475 777.358075991219</t>
  </si>
  <si>
    <t>-517.186724894707 191.614037465381 831.770270644899</t>
  </si>
  <si>
    <t>-613.107359852535 -93.2224611601616 321.421694007881</t>
  </si>
  <si>
    <t>-653.052551093024 -110.85708708042 782.27654421141</t>
  </si>
  <si>
    <t>-499.839416480767 -118.984842353075 830.686164178534</t>
  </si>
  <si>
    <t>9763-20170724T115548.126296300.bin</t>
  </si>
  <si>
    <t>-629.643492367788 3.87536031596437 -93.1852625457706</t>
  </si>
  <si>
    <t>-685.030387785758 23.783539161009 -530.055074894059</t>
  </si>
  <si>
    <t>-679.020748728135 177.374913325247 -503.297372105286</t>
  </si>
  <si>
    <t>-713.696777478529 201.931324854093 -224.419058609164</t>
  </si>
  <si>
    <t>-505.895846046211 106.287825165654 -184.174406085895</t>
  </si>
  <si>
    <t>-646.243951479771 93.6748590941177 -95.7292197812729</t>
  </si>
  <si>
    <t>-648.535314690898 127.848341327108 318.432082406651</t>
  </si>
  <si>
    <t>-668.372481172033 186.548595401417 777.316736609334</t>
  </si>
  <si>
    <t>-517.107462272789 191.887056461612 831.853183972986</t>
  </si>
  <si>
    <t>-612.809273338317 -93.8849806316759 321.447489397922</t>
  </si>
  <si>
    <t>-653.111988648247 -111.034299067067 782.290033749472</t>
  </si>
  <si>
    <t>-499.916246039753 -119.593487730996 830.68040111353</t>
  </si>
  <si>
    <t>9763-20170724T115548.158382700.bin</t>
  </si>
  <si>
    <t>-629.266018797341 3.56304245786828 -93.1594885726461</t>
  </si>
  <si>
    <t>-684.837263128636 23.6001869387087 -529.994057275661</t>
  </si>
  <si>
    <t>-678.960784978867 177.170828557854 -503.164240112596</t>
  </si>
  <si>
    <t>-714.522151046978 202.038643143974 -224.424971532597</t>
  </si>
  <si>
    <t>-506.822478807318 105.990396517142 -184.624101893626</t>
  </si>
  <si>
    <t>-645.914271477105 93.3958331716838 -95.6898816715121</t>
  </si>
  <si>
    <t>-648.157178423245 127.695630752851 318.461145546092</t>
  </si>
  <si>
    <t>-668.306193665527 186.617749671868 777.300743125151</t>
  </si>
  <si>
    <t>-517.065770585123 192.018213899258 831.899207591817</t>
  </si>
  <si>
    <t>-612.56834999829 -94.1452230080604 321.467966453632</t>
  </si>
  <si>
    <t>-653.133024936931 -111.082037035904 782.298776343515</t>
  </si>
  <si>
    <t>-499.927872066501 -119.538971381001 830.677349775585</t>
  </si>
  <si>
    <t>9763-20170724T115548.226251600.bin</t>
  </si>
  <si>
    <t>-628.384350144135 2.9024223108006 -93.1041592611625</t>
  </si>
  <si>
    <t>-684.600345485662 22.8279940781081 -529.876454139253</t>
  </si>
  <si>
    <t>-679.092320332146 176.457763540194 -503.312068262773</t>
  </si>
  <si>
    <t>-716.330299042416 201.756928199723 -224.830808692624</t>
  </si>
  <si>
    <t>-508.733254372811 105.210457201134 -185.705613414834</t>
  </si>
  <si>
    <t>-645.087931633043 92.7593707472258 -95.5960046147389</t>
  </si>
  <si>
    <t>-647.569563137849 127.35207018867 318.52927290454</t>
  </si>
  <si>
    <t>-668.213735459433 186.68368432575 777.282378869013</t>
  </si>
  <si>
    <t>-517.014030477221 192.216267080413 831.980437820656</t>
  </si>
  <si>
    <t>-612.101552514348 -94.7103657878645 321.503205752637</t>
  </si>
  <si>
    <t>-653.194292448851 -111.14822753459 782.303418851627</t>
  </si>
  <si>
    <t>-499.955874354251 -119.271933040993 830.633757455438</t>
  </si>
  <si>
    <t>9763-20170724T115548.289412100.bin</t>
  </si>
  <si>
    <t>-627.723689299863 2.26858491836947 -93.0955820158634</t>
  </si>
  <si>
    <t>-684.59241382615 21.9945598490015 -529.815576816511</t>
  </si>
  <si>
    <t>-680.002322455394 175.721278327338 -503.660113159175</t>
  </si>
  <si>
    <t>-717.962225219799 201.055237884344 -225.279468519649</t>
  </si>
  <si>
    <t>-510.04358872227 104.960335480515 -186.755062029909</t>
  </si>
  <si>
    <t>-644.423006486912 92.1800508830859 -95.5764447895936</t>
  </si>
  <si>
    <t>-646.881278587712 126.984912152642 318.531168855453</t>
  </si>
  <si>
    <t>-668.130782157191 186.720725104218 777.242303496456</t>
  </si>
  <si>
    <t>-516.956318489126 192.230141879609 832.01224359476</t>
  </si>
  <si>
    <t>-611.893574212094 -95.3005300448253 321.5158438386</t>
  </si>
  <si>
    <t>-653.300814236649 -111.320636167938 782.289868886765</t>
  </si>
  <si>
    <t>-500.038425520803 -119.50266668717 830.534113843925</t>
  </si>
  <si>
    <t>9763-20170724T115548.325514100.bin</t>
  </si>
  <si>
    <t>-627.562619496603 2.08270701754032 -93.0826216711174</t>
  </si>
  <si>
    <t>-684.731146991087 21.7398541517075 -529.770056121403</t>
  </si>
  <si>
    <t>-680.339074631763 175.47537197361 -503.620839203409</t>
  </si>
  <si>
    <t>-718.664623969544 200.704419263381 -225.280693616483</t>
  </si>
  <si>
    <t>-510.548241277182 104.946370225734 -186.985848136195</t>
  </si>
  <si>
    <t>-644.258238517983 91.990077828528 -95.5729827360026</t>
  </si>
  <si>
    <t>-646.640822190468 126.84912807371 318.53060220485</t>
  </si>
  <si>
    <t>-668.082451613702 186.769601003558 777.208532614788</t>
  </si>
  <si>
    <t>-516.921180173569 192.455085730215 831.997021354464</t>
  </si>
  <si>
    <t>-611.862924862026 -95.4679580283662 321.527718294697</t>
  </si>
  <si>
    <t>-653.32339576049 -111.342114671772 782.297253155137</t>
  </si>
  <si>
    <t>-500.056092360241 -119.487715056829 830.532201267388</t>
  </si>
  <si>
    <t>9763-20170724T115548.359604400.bin</t>
  </si>
  <si>
    <t>-627.425506788558 1.84722269458234 -93.0808698596904</t>
  </si>
  <si>
    <t>-684.802528621896 21.3806980167942 -529.750852301736</t>
  </si>
  <si>
    <t>-680.522966634797 175.138235982974 -503.674116052552</t>
  </si>
  <si>
    <t>-719.239511243354 200.386604908572 -225.389689979484</t>
  </si>
  <si>
    <t>-511.009962510249 104.852633871779 -187.150453517282</t>
  </si>
  <si>
    <t>-644.069103214448 91.7850690601474 -95.5791075788653</t>
  </si>
  <si>
    <t>-646.535643314499 126.637440404186 318.524580615895</t>
  </si>
  <si>
    <t>-668.067599237854 186.793753831726 777.164813332999</t>
  </si>
  <si>
    <t>-516.905942484099 192.52552375203 831.947288620582</t>
  </si>
  <si>
    <t>-611.852067547861 -95.6706498387816 321.540412114394</t>
  </si>
  <si>
    <t>-653.357763445579 -111.466636043879 782.3102069324</t>
  </si>
  <si>
    <t>-500.127807227207 -120.27568510796 830.547169831176</t>
  </si>
  <si>
    <t>9763-20170724T115548.426631300.bin</t>
  </si>
  <si>
    <t>-627.30033334075 1.61020064936542 -93.1074980752456</t>
  </si>
  <si>
    <t>-684.678602343163 20.5429243129199 -529.830520717924</t>
  </si>
  <si>
    <t>-680.441329317905 174.356697082804 -504.114602746694</t>
  </si>
  <si>
    <t>-719.814897124488 199.790665880997 -225.939551049632</t>
  </si>
  <si>
    <t>-511.600696256661 104.507598693101 -186.997130508288</t>
  </si>
  <si>
    <t>-643.902010102747 91.5919957256476 -95.63784129675</t>
  </si>
  <si>
    <t>-646.385131975353 126.495839516211 318.46138213437</t>
  </si>
  <si>
    <t>-668.043275237129 186.85115910422 777.066336703868</t>
  </si>
  <si>
    <t>-516.878199059375 192.648335661471 831.832479866919</t>
  </si>
  <si>
    <t>-611.86068327826 -95.7107936107075 321.554338917312</t>
  </si>
  <si>
    <t>-653.432280088141 -111.505801670808 782.305763981934</t>
  </si>
  <si>
    <t>-500.143293169714 -119.683435663672 830.466213558719</t>
  </si>
  <si>
    <t>9763-20170724T115548.458699300.bin</t>
  </si>
  <si>
    <t>-627.280554330294 1.52997683063518 -93.1153943494651</t>
  </si>
  <si>
    <t>-684.46679900381 20.1275451231454 -529.897058046443</t>
  </si>
  <si>
    <t>-680.345656661985 173.994462660514 -504.466238372819</t>
  </si>
  <si>
    <t>-719.913781493787 199.66495079532 -226.340500967326</t>
  </si>
  <si>
    <t>-511.712547963734 104.510392627618 -187.016260396493</t>
  </si>
  <si>
    <t>-643.878180983375 91.5188055470405 -95.6654776027468</t>
  </si>
  <si>
    <t>-646.428509673201 126.488498861255 318.427827795832</t>
  </si>
  <si>
    <t>-668.042258896804 186.884281798883 777.020346654172</t>
  </si>
  <si>
    <t>-516.866670777492 192.61164543785 831.764961732786</t>
  </si>
  <si>
    <t>-611.930262993429 -95.7448510070305 321.548254762448</t>
  </si>
  <si>
    <t>-653.470289700721 -111.582229615173 782.304887746784</t>
  </si>
  <si>
    <t>-500.183895263334 -119.913811266776 830.447277504067</t>
  </si>
  <si>
    <t>9763-20170724T115548.527412100.bin</t>
  </si>
  <si>
    <t>-627.328775905161 1.38958637156975 -93.149074645416</t>
  </si>
  <si>
    <t>-684.325671415262 19.2829841825874 -530.029699725941</t>
  </si>
  <si>
    <t>-680.594474114526 173.272146531503 -505.271964437246</t>
  </si>
  <si>
    <t>-720.854692924743 199.408792642438 -227.288960112893</t>
  </si>
  <si>
    <t>-512.557661251636 104.647738755877 -187.524381174188</t>
  </si>
  <si>
    <t>-643.928564871502 91.3680941171792 -95.7140419387441</t>
  </si>
  <si>
    <t>-646.379213426306 126.474051916583 318.368299712953</t>
  </si>
  <si>
    <t>-668.029735644353 186.931517505767 776.950471937731</t>
  </si>
  <si>
    <t>-516.842368635348 192.709483520617 831.657167585609</t>
  </si>
  <si>
    <t>-611.991120001554 -95.7767887856121 321.526969059234</t>
  </si>
  <si>
    <t>-653.504590311793 -111.685616603744 782.303608408316</t>
  </si>
  <si>
    <t>-500.234115074166 -120.241323569413 830.45739796789</t>
  </si>
  <si>
    <t>9763-20170724T115548.558493900.bin</t>
  </si>
  <si>
    <t>-627.353106228529 1.34169786493317 -93.1616560680724</t>
  </si>
  <si>
    <t>-684.25820549401 18.9166499455323 -530.089947219726</t>
  </si>
  <si>
    <t>-680.79487744151 172.955376677031 -505.667513129446</t>
  </si>
  <si>
    <t>-721.650187591193 199.534373520952 -227.813311392699</t>
  </si>
  <si>
    <t>-513.284119119564 104.935937038078 -188.023225337746</t>
  </si>
  <si>
    <t>-643.892742469894 91.311586061694 -95.7277817375006</t>
  </si>
  <si>
    <t>-646.29714646625 126.458670110678 318.351268035923</t>
  </si>
  <si>
    <t>-668.004643136278 186.973556069549 776.922078486758</t>
  </si>
  <si>
    <t>-516.819210953922 192.760773187094 831.633043060385</t>
  </si>
  <si>
    <t>-612.03111907218 -95.7500704205822 321.523804674569</t>
  </si>
  <si>
    <t>-653.507787854468 -111.64648731696 782.306781611797</t>
  </si>
  <si>
    <t>-500.218052057474 -119.762811274619 830.475261347108</t>
  </si>
  <si>
    <t>9763-20170724T115548.628693600.bin</t>
  </si>
  <si>
    <t>-627.161441366344 1.16629048313598 -93.1812987756367</t>
  </si>
  <si>
    <t>-683.848380664853 18.1488679931567 -530.198786198363</t>
  </si>
  <si>
    <t>-681.053687240037 172.317927912862 -506.450159060815</t>
  </si>
  <si>
    <t>-723.667520848759 199.966468752011 -228.964673177524</t>
  </si>
  <si>
    <t>-515.083309893919 105.986567526318 -188.853125046383</t>
  </si>
  <si>
    <t>-643.588074489185 91.2108214332197 -95.758510128642</t>
  </si>
  <si>
    <t>-646.215965856268 126.392118208047 318.316334063115</t>
  </si>
  <si>
    <t>-667.957343583912 187.096102036238 776.855763165938</t>
  </si>
  <si>
    <t>-516.775943165025 192.90760501199 831.575420244128</t>
  </si>
  <si>
    <t>-612.064829022832 -95.8999313440249 321.520393791166</t>
  </si>
  <si>
    <t>-653.510048639157 -111.783252032162 782.320638190286</t>
  </si>
  <si>
    <t>-500.267965141258 -120.345060617813 830.563558306829</t>
  </si>
  <si>
    <t>9763-20170724T115548.661781400.bin</t>
  </si>
  <si>
    <t>-627.116403037665 1.46774214632455 -93.2268248834173</t>
  </si>
  <si>
    <t>-683.720026953266 18.0964510751569 -530.283975140146</t>
  </si>
  <si>
    <t>-681.103920584084 172.301470095093 -506.77153772054</t>
  </si>
  <si>
    <t>-724.895175229331 200.709628539307 -229.54618097165</t>
  </si>
  <si>
    <t>-516.339022222033 106.727198089663 -189.294792885822</t>
  </si>
  <si>
    <t>-643.718438575037 92.0127796926347 -95.8921703594661</t>
  </si>
  <si>
    <t>-645.909697398564 126.031622758639 318.282299128486</t>
  </si>
  <si>
    <t>-667.931753660999 187.133328754699 776.832379957138</t>
  </si>
  <si>
    <t>-516.753392826039 192.955401505669 831.559223720258</t>
  </si>
  <si>
    <t>-612.110428069095 -95.7309875303245 321.509493434373</t>
  </si>
  <si>
    <t>-653.50626691447 -111.782553611815 782.32154280997</t>
  </si>
  <si>
    <t>-500.285477387725 -120.460225375126 830.61145941382</t>
  </si>
  <si>
    <t>9763-20170724T115548.728487800.bin</t>
  </si>
  <si>
    <t>-627.117525779737 1.68396672721519 -93.2878398699369</t>
  </si>
  <si>
    <t>-683.631620043646 17.6778092921875 -530.414786855899</t>
  </si>
  <si>
    <t>-681.566697496852 171.95995781248 -507.343885042031</t>
  </si>
  <si>
    <t>-727.188530889897 202.04808759431 -230.591386284232</t>
  </si>
  <si>
    <t>-518.873844616663 107.620893531041 -190.131322295454</t>
  </si>
  <si>
    <t>-643.954628117066 92.1149996427732 -95.8794484000148</t>
  </si>
  <si>
    <t>-645.641233149141 126.031925859799 318.305777654829</t>
  </si>
  <si>
    <t>-667.861317896952 187.224074059692 776.79863962083</t>
  </si>
  <si>
    <t>-516.702840805891 193.074572454891 831.577380685821</t>
  </si>
  <si>
    <t>-612.068530749018 -95.5353359443318 321.489263408822</t>
  </si>
  <si>
    <t>-653.490186772282 -111.766605013101 782.327036645629</t>
  </si>
  <si>
    <t>-500.281154106065 -120.164139737726 830.703562434784</t>
  </si>
  <si>
    <t>9763-20170724T115548.761575900.bin</t>
  </si>
  <si>
    <t>-627.107188735715 1.47754601159249 -93.2695997783401</t>
  </si>
  <si>
    <t>-683.697390415545 17.2293356380685 -530.408016046661</t>
  </si>
  <si>
    <t>-681.990873511745 171.53376481749 -507.452447339246</t>
  </si>
  <si>
    <t>-728.017861783884 201.947223854012 -230.802596883289</t>
  </si>
  <si>
    <t>-519.625943200769 107.629567844954 -190.485115089722</t>
  </si>
  <si>
    <t>-644.086625307272 91.863445045653 -95.8583096901677</t>
  </si>
  <si>
    <t>-645.705291272246 126.011050406236 318.308159076747</t>
  </si>
  <si>
    <t>-667.825143453984 187.26437425945 776.792344528525</t>
  </si>
  <si>
    <t>-516.673948553548 193.100834220696 831.5926750108</t>
  </si>
  <si>
    <t>-611.95838212418 -95.6602275291546 321.498299005259</t>
  </si>
  <si>
    <t>-653.497689520898 -111.781614492162 782.329788122375</t>
  </si>
  <si>
    <t>-500.281273656016 -119.929918481724 830.725610604978</t>
  </si>
  <si>
    <t>9763-20170724T115548.827765000.bin</t>
  </si>
  <si>
    <t>-627.115327840253 0.798313167388869 -93.1989130057216</t>
  </si>
  <si>
    <t>-684.268890246859 16.442354914527 -530.265469231127</t>
  </si>
  <si>
    <t>-683.276454896696 170.73499318383 -507.240553504473</t>
  </si>
  <si>
    <t>-728.995888084271 200.433862330306 -230.462068273486</t>
  </si>
  <si>
    <t>-520.024676508661 107.214564005181 -190.590685410709</t>
  </si>
  <si>
    <t>-644.438750290107 90.8635952337336 -95.7719914814249</t>
  </si>
  <si>
    <t>-645.985407659233 125.981954446442 318.313647906373</t>
  </si>
  <si>
    <t>-667.766133856295 187.337542064722 776.778752452067</t>
  </si>
  <si>
    <t>-516.627871654376 193.243356780887 831.607188119469</t>
  </si>
  <si>
    <t>-611.770626922111 -96.0411600626883 321.537325580715</t>
  </si>
  <si>
    <t>-653.523483814416 -111.840703737343 782.330597036875</t>
  </si>
  <si>
    <t>-500.331447746639 -120.196976164748 830.768162730404</t>
  </si>
  <si>
    <t>9763-20170724T115548.859848600.bin</t>
  </si>
  <si>
    <t>-627.247318425079 0.491553203047715 -93.1686072477536</t>
  </si>
  <si>
    <t>-684.707932754416 16.1677067629053 -530.188441709529</t>
  </si>
  <si>
    <t>-684.162560489968 170.451427291153 -507.085985303997</t>
  </si>
  <si>
    <t>-729.627990602244 199.638468175453 -230.21126739472</t>
  </si>
  <si>
    <t>-520.361853846754 106.942163915797 -190.668899008914</t>
  </si>
  <si>
    <t>-644.767479962236 90.5163295456423 -95.7523938744055</t>
  </si>
  <si>
    <t>-646.121649641223 125.897794539763 318.311604933683</t>
  </si>
  <si>
    <t>-667.745263015722 187.367518417466 776.770517966311</t>
  </si>
  <si>
    <t>-516.607478465974 193.282153099555 831.599520550568</t>
  </si>
  <si>
    <t>-611.742632844428 -96.2306176269569 321.556000757781</t>
  </si>
  <si>
    <t>-653.539314788438 -111.892276154274 782.335486644701</t>
  </si>
  <si>
    <t>-500.357672337723 -120.369998059401 830.784795593866</t>
  </si>
  <si>
    <t>9763-20170724T115548.927564800.bin</t>
  </si>
  <si>
    <t>-685.776717463377 15.7492722111053 -530.068183023954</t>
  </si>
  <si>
    <t>-685.954931168442 170.015136848165 -506.814404598772</t>
  </si>
  <si>
    <t>-731.151976256495 198.593659679323 -229.832310373028</t>
  </si>
  <si>
    <t>-521.455315231755 106.408823911194 -191.390344402289</t>
  </si>
  <si>
    <t>-645.539085266194 89.8429415570852 -95.7038004882288</t>
  </si>
  <si>
    <t>-646.37458279515 125.752400075066 318.316050668957</t>
  </si>
  <si>
    <t>-667.708701132772 187.422373394961 776.75026136774</t>
  </si>
  <si>
    <t>-516.569549712726 193.40523112488 831.567923221605</t>
  </si>
  <si>
    <t>-611.924605078029 -96.5321074742285 321.555424154939</t>
  </si>
  <si>
    <t>-653.566140035196 -111.97783686245 782.346332305031</t>
  </si>
  <si>
    <t>-500.37961062599 -120.193004007777 830.825379300555</t>
  </si>
  <si>
    <t>9763-20170724T115548.961660100.bin</t>
  </si>
  <si>
    <t>-686.520794281342 15.5215221397054 -529.981886095655</t>
  </si>
  <si>
    <t>-686.985568838721 169.77492199255 -506.628475804238</t>
  </si>
  <si>
    <t>-732.004253060565 198.159258469616 -229.5974126133</t>
  </si>
  <si>
    <t>-522.115650719884 106.187580261757 -191.696035068529</t>
  </si>
  <si>
    <t>-645.924436650017 89.5537265287335 -95.6780822802036</t>
  </si>
  <si>
    <t>-646.495617717881 125.660824775865 318.325020197803</t>
  </si>
  <si>
    <t>-667.692581768243 187.44647017169 776.741366630797</t>
  </si>
  <si>
    <t>-516.550957422216 193.430525359275 831.552181423694</t>
  </si>
  <si>
    <t>-611.991665349435 -96.5940077314178 321.557384720798</t>
  </si>
  <si>
    <t>-653.554279802024 -111.934036102459 782.355272186075</t>
  </si>
  <si>
    <t>-500.336094169831 -119.324839963617 830.866932218487</t>
  </si>
  <si>
    <t>9763-20170724T115549.026335000.bin</t>
  </si>
  <si>
    <t>-688.359394720595 15.0289635288746 -529.77622655162</t>
  </si>
  <si>
    <t>-689.161782256022 169.234145147984 -506.055638933088</t>
  </si>
  <si>
    <t>-733.24081973997 196.888821987812 -228.799877292633</t>
  </si>
  <si>
    <t>-522.849125579377 105.581301762181 -192.100955368742</t>
  </si>
  <si>
    <t>-646.782039190329 88.8657087856782 -95.6043174560762</t>
  </si>
  <si>
    <t>-646.881557215697 125.355488921514 318.365569877656</t>
  </si>
  <si>
    <t>-667.68711998308 187.489060335346 776.727085587634</t>
  </si>
  <si>
    <t>-516.527416136395 193.452759724066 831.490368823661</t>
  </si>
  <si>
    <t>-612.011314025347 -96.81714331744 321.561930170884</t>
  </si>
  <si>
    <t>-653.527489016198 -112.07080328334 782.381202347553</t>
  </si>
  <si>
    <t>-500.370916202616 -119.911057734274 831.016851493654</t>
  </si>
  <si>
    <t>9763-20170724T115549.060452100.bin</t>
  </si>
  <si>
    <t>-689.36610123319 14.7369178035624 -529.680404903966</t>
  </si>
  <si>
    <t>-690.277522064864 168.908005491811 -505.799760649713</t>
  </si>
  <si>
    <t>-733.810678825416 196.106673445968 -228.412532549376</t>
  </si>
  <si>
    <t>-523.186937373887 105.083580564529 -192.343722385551</t>
  </si>
  <si>
    <t>-647.257524256065 88.5368633737041 -95.567762325081</t>
  </si>
  <si>
    <t>-647.049926041687 125.246834912527 318.382658266698</t>
  </si>
  <si>
    <t>-667.669439283775 187.52273361242 776.728532271121</t>
  </si>
  <si>
    <t>-516.502756461967 193.693151441436 831.449584481693</t>
  </si>
  <si>
    <t>-611.999477412656 -96.9191571477672 321.566817119533</t>
  </si>
  <si>
    <t>-653.522391944108 -112.140969607084 782.391503656078</t>
  </si>
  <si>
    <t>-500.385477555902 -120.10654773237 831.068641667161</t>
  </si>
  <si>
    <t>9763-20170724T115549.125127700.bin</t>
  </si>
  <si>
    <t>-691.410090083961 14.3713443620827 -529.458939176712</t>
  </si>
  <si>
    <t>-692.492226945319 168.484656273555 -505.219770596507</t>
  </si>
  <si>
    <t>-735.116772500573 195.228744735371 -227.647319082239</t>
  </si>
  <si>
    <t>-524.162337946687 104.453665628737 -192.910543625742</t>
  </si>
  <si>
    <t>-648.164943503883 87.9287365058992 -95.4905416594427</t>
  </si>
  <si>
    <t>-647.399867726615 125.069088879328 318.420790243414</t>
  </si>
  <si>
    <t>-667.708764636824 187.522687585107 776.741453639539</t>
  </si>
  <si>
    <t>-516.509185393992 193.698931354759 831.370706541035</t>
  </si>
  <si>
    <t>-612.146749535257 -97.1074319995935 321.54589190583</t>
  </si>
  <si>
    <t>-653.546010281748 -112.224542440825 782.39516331402</t>
  </si>
  <si>
    <t>-500.415846484899 -120.173289241017 831.096257096617</t>
  </si>
  <si>
    <t>9763-20170724T115549.190302700.bin</t>
  </si>
  <si>
    <t>-693.178620081935 13.8655094211852 -529.300610991816</t>
  </si>
  <si>
    <t>-694.614727894925 167.940504090137 -504.863522649999</t>
  </si>
  <si>
    <t>-736.469100697337 194.109569216411 -227.118963017618</t>
  </si>
  <si>
    <t>-525.112646702344 103.879676873646 -193.421204323627</t>
  </si>
  <si>
    <t>-648.977335632022 87.3369154697998 -95.4235151395467</t>
  </si>
  <si>
    <t>-647.363466045695 124.96241785109 318.44161024838</t>
  </si>
  <si>
    <t>-667.730869331615 187.50630544783 776.752965537016</t>
  </si>
  <si>
    <t>-516.50162688555 193.611371924922 831.30809311293</t>
  </si>
  <si>
    <t>-612.740717443309 -97.1652150871373 321.480025703781</t>
  </si>
  <si>
    <t>-653.58873713859 -112.283140962666 782.390916308642</t>
  </si>
  <si>
    <t>-500.438890267918 -119.94356813971 831.076300022938</t>
  </si>
  <si>
    <t>9763-20170724T115549.227924800.bin</t>
  </si>
  <si>
    <t>-693.989670133406 13.7060104784539 -529.233433361111</t>
  </si>
  <si>
    <t>-695.414867007679 167.759111469753 -504.659348903569</t>
  </si>
  <si>
    <t>-737.137827980013 193.545846175261 -226.859342416451</t>
  </si>
  <si>
    <t>-525.521574811356 103.782357305344 -193.54846898225</t>
  </si>
  <si>
    <t>-649.340905299784 87.1307823868951 -95.4165308933973</t>
  </si>
  <si>
    <t>-647.335803906321 124.887040824216 318.434908552293</t>
  </si>
  <si>
    <t>-667.709049157176 187.548097699362 776.744684334644</t>
  </si>
  <si>
    <t>-516.480412802631 193.709087725915 831.295231980096</t>
  </si>
  <si>
    <t>-613.084455788837 -97.1415970560399 321.465496708749</t>
  </si>
  <si>
    <t>-653.614218921605 -112.354566732766 782.391167833239</t>
  </si>
  <si>
    <t>-500.464886120996 -120.034377655987 831.075057266575</t>
  </si>
  <si>
    <t>9763-20170724T115549.260999600.bin</t>
  </si>
  <si>
    <t>-694.864518035364 13.5175684878195 -529.155622498801</t>
  </si>
  <si>
    <t>-696.211999995575 167.549332974516 -504.432961171655</t>
  </si>
  <si>
    <t>-737.880264747115 193.050272730632 -226.598321180574</t>
  </si>
  <si>
    <t>-526.032963195596 103.725679907233 -193.57759992371</t>
  </si>
  <si>
    <t>-649.73486278226 86.9102521313746 -95.4039181049941</t>
  </si>
  <si>
    <t>-647.402399591381 124.789271124212 318.434674007582</t>
  </si>
  <si>
    <t>-667.697792462202 187.593146633843 776.729430600969</t>
  </si>
  <si>
    <t>-516.466406575066 193.759910082092 831.271572273062</t>
  </si>
  <si>
    <t>-613.432906708127 -97.0577755065335 321.435734029952</t>
  </si>
  <si>
    <t>-653.622184674618 -112.334339104009 782.392586548361</t>
  </si>
  <si>
    <t>-500.455861506609 -119.640812050919 831.080540400353</t>
  </si>
  <si>
    <t>9763-20170724T115549.330188000.bin</t>
  </si>
  <si>
    <t>-696.417800662544 12.9431920215141 -529.043217760695</t>
  </si>
  <si>
    <t>-697.538911873607 166.932532816743 -504.044214806127</t>
  </si>
  <si>
    <t>-738.938790823399 192.281153895818 -226.15561003956</t>
  </si>
  <si>
    <t>-526.785869468049 103.443153437745 -193.79058945417</t>
  </si>
  <si>
    <t>-650.728049124586 86.3449392180733 -95.3725796313392</t>
  </si>
  <si>
    <t>-647.755058844466 124.532135900914 318.43348068577</t>
  </si>
  <si>
    <t>-667.691614816484 187.640738299764 776.718576245064</t>
  </si>
  <si>
    <t>-516.442262131523 193.747351071549 831.2177279417</t>
  </si>
  <si>
    <t>-614.013973490212 -96.8986186261561 321.422951275592</t>
  </si>
  <si>
    <t>-653.657197590368 -112.535246126064 782.404311994197</t>
  </si>
  <si>
    <t>-500.540408905442 -120.579733573817 831.131737886103</t>
  </si>
  <si>
    <t>9763-20170724T115549.356257000.bin</t>
  </si>
  <si>
    <t>-697.161653008361 12.6972837075325 -529.012200001736</t>
  </si>
  <si>
    <t>-698.180409662937 166.670829641199 -503.939413851443</t>
  </si>
  <si>
    <t>-739.560718282045 192.161683602016 -226.060829834656</t>
  </si>
  <si>
    <t>-527.410192908184 103.180963053479 -194.074668443047</t>
  </si>
  <si>
    <t>-651.353962226326 86.0452124366332 -95.3538992647046</t>
  </si>
  <si>
    <t>-648.028419598107 124.432767909617 318.430979912271</t>
  </si>
  <si>
    <t>-667.684582567691 187.676406871575 776.720010304063</t>
  </si>
  <si>
    <t>-516.422415520721 193.772952143443 831.184806552933</t>
  </si>
  <si>
    <t>-614.34713161571 -96.7755635997567 321.402448394983</t>
  </si>
  <si>
    <t>-653.683787179513 -112.510782931434 782.4024675479</t>
  </si>
  <si>
    <t>-500.528825185718 -119.9671548391 831.10345043053</t>
  </si>
  <si>
    <t>9763-20170724T115549.428460300.bin</t>
  </si>
  <si>
    <t>-698.704510386254 12.2350854355523 -528.980238738384</t>
  </si>
  <si>
    <t>-699.607638323141 166.197847591829 -503.83327810679</t>
  </si>
  <si>
    <t>-740.719889576066 191.7350059707 -225.919128774578</t>
  </si>
  <si>
    <t>-528.645941647262 102.226064235281 -194.91378388435</t>
  </si>
  <si>
    <t>-652.703772079909 85.4170046537877 -95.3122295142704</t>
  </si>
  <si>
    <t>-648.680949343435 124.254247006678 318.424478097974</t>
  </si>
  <si>
    <t>-667.704518675191 187.713455139092 776.722727202634</t>
  </si>
  <si>
    <t>-516.409570852672 193.803807317052 831.097004771019</t>
  </si>
  <si>
    <t>-615.304720114685 -96.7187948268281 321.322116392574</t>
  </si>
  <si>
    <t>-653.797105911199 -112.598428199707 782.384810200343</t>
  </si>
  <si>
    <t>-500.609172699596 -119.883601267015 831.007970036836</t>
  </si>
  <si>
    <t>9763-20170724T115549.462552400.bin</t>
  </si>
  <si>
    <t>-699.47078003211 12.0367959800019 -528.974891644666</t>
  </si>
  <si>
    <t>-700.300839535083 165.991227861402 -503.75501725091</t>
  </si>
  <si>
    <t>-741.143895877136 191.311832748965 -225.78157568609</t>
  </si>
  <si>
    <t>-529.113972136469 101.564865121341 -195.165603967761</t>
  </si>
  <si>
    <t>-653.413487490662 85.1616872722313 -95.2987915259289</t>
  </si>
  <si>
    <t>-649.048959850002 124.19025510802 318.416479237586</t>
  </si>
  <si>
    <t>-667.713968404714 187.736194780322 776.71786702709</t>
  </si>
  <si>
    <t>-516.395710534356 193.844341165475 831.025185134271</t>
  </si>
  <si>
    <t>-615.840525832308 -96.6940786508837 321.284154243589</t>
  </si>
  <si>
    <t>-653.86820014917 -112.663666400254 782.377386715926</t>
  </si>
  <si>
    <t>-500.66159509524 -119.965011393066 830.939179234078</t>
  </si>
  <si>
    <t>9763-20170724T115549.527424400.bin</t>
  </si>
  <si>
    <t>-700.850385975364 11.6495447047066 -529.020718578779</t>
  </si>
  <si>
    <t>-701.372864360518 165.581298118861 -503.666742251269</t>
  </si>
  <si>
    <t>-741.868088827176 190.097051898224 -225.570101046002</t>
  </si>
  <si>
    <t>-529.980493186737 99.954469289971 -195.131811341246</t>
  </si>
  <si>
    <t>-654.923978549965 84.7671916606889 -95.301136732191</t>
  </si>
  <si>
    <t>-649.756545310709 124.089107194592 318.377084538759</t>
  </si>
  <si>
    <t>-667.729796263297 187.764138497181 776.713331765888</t>
  </si>
  <si>
    <t>-516.373062868996 193.824284443398 830.918727061241</t>
  </si>
  <si>
    <t>-616.618996742021 -96.6448442727119 321.203245512159</t>
  </si>
  <si>
    <t>-654.025475114246 -112.855691716383 782.357826578442</t>
  </si>
  <si>
    <t>-500.770822188677 -120.133833964661 830.771199270732</t>
  </si>
  <si>
    <t>9763-20170724T115549.559510100.bin</t>
  </si>
  <si>
    <t>-701.385931839288 11.4758193045691 -529.042971288058</t>
  </si>
  <si>
    <t>-701.788640776071 165.404296726166 -503.660477658186</t>
  </si>
  <si>
    <t>-742.277500643306 189.539110145062 -225.529712115929</t>
  </si>
  <si>
    <t>-530.439216657131 99.2796859845175 -195.094300030529</t>
  </si>
  <si>
    <t>-655.530299130577 84.6467019698325 -95.2974743138919</t>
  </si>
  <si>
    <t>-650.095484383544 124.065658743619 318.368118635331</t>
  </si>
  <si>
    <t>-667.733296168273 187.781736253147 776.717300801771</t>
  </si>
  <si>
    <t>-516.358798863357 193.827714275939 830.874654146428</t>
  </si>
  <si>
    <t>-616.904453058884 -96.60795016515 321.175115233716</t>
  </si>
  <si>
    <t>-654.114216711497 -112.981707536991 782.346142395634</t>
  </si>
  <si>
    <t>-500.847763292458 -120.539009816895 830.679409582758</t>
  </si>
  <si>
    <t>9763-20170724T115549.626475300.bin</t>
  </si>
  <si>
    <t>-702.098552692799 11.6841644576714 -529.050403112883</t>
  </si>
  <si>
    <t>-702.123429674118 165.561934188489 -503.38834973591</t>
  </si>
  <si>
    <t>-742.758696416577 189.64588957634 -225.274441238187</t>
  </si>
  <si>
    <t>-530.976830235098 99.0603497565796 -195.420819925196</t>
  </si>
  <si>
    <t>-656.481901528166 84.6978503138691 -95.2907631121323</t>
  </si>
  <si>
    <t>-650.559992765813 124.194685406713 318.360673449021</t>
  </si>
  <si>
    <t>-667.737613583619 187.821526721487 776.737335086444</t>
  </si>
  <si>
    <t>-516.328641358698 193.924057832692 830.791910837888</t>
  </si>
  <si>
    <t>-617.144633880024 -96.3011830347755 321.136554370199</t>
  </si>
  <si>
    <t>-654.330211960219 -113.203853067406 782.306116789395</t>
  </si>
  <si>
    <t>-500.967054074669 -120.413307262126 830.384991179834</t>
  </si>
  <si>
    <t>9763-20170724T115549.664575600.bin</t>
  </si>
  <si>
    <t>-702.303728983451 11.8807191626249 -529.06464871635</t>
  </si>
  <si>
    <t>-702.302654998496 165.749931376252 -503.300172324431</t>
  </si>
  <si>
    <t>-742.85970087974 189.836917234378 -225.175142385749</t>
  </si>
  <si>
    <t>-531.128521799349 99.0643568357834 -195.530834100612</t>
  </si>
  <si>
    <t>-656.897360118084 84.8288661082481 -95.28255996365</t>
  </si>
  <si>
    <t>-650.717189319106 124.29912231653 318.367648729037</t>
  </si>
  <si>
    <t>-667.729531622934 187.83876283487 776.76329031279</t>
  </si>
  <si>
    <t>-516.306395117624 193.855084349645 830.787912865851</t>
  </si>
  <si>
    <t>-617.139863993412 -96.1570054464321 321.119122625279</t>
  </si>
  <si>
    <t>-654.403688558303 -113.277256036756 782.289025742425</t>
  </si>
  <si>
    <t>-501.032446668739 -120.823384126065 830.2905274339</t>
  </si>
  <si>
    <t>9763-20170724T115549.723485500.bin</t>
  </si>
  <si>
    <t>-703.010028486496 12.4692973786111 -529.029778941023</t>
  </si>
  <si>
    <t>-703.134394932611 166.302816838158 -503.08166351876</t>
  </si>
  <si>
    <t>-743.067869705008 190.617671315538 -224.886240547994</t>
  </si>
  <si>
    <t>-531.652632686397 98.9761184556332 -195.663825809811</t>
  </si>
  <si>
    <t>-657.58312296381 85.3325725882958 -95.2509787678118</t>
  </si>
  <si>
    <t>-651.070318178887 124.631598709178 318.410480690609</t>
  </si>
  <si>
    <t>-667.726336785087 187.869321202939 776.841667161653</t>
  </si>
  <si>
    <t>-516.279713794613 193.807451144291 830.80906118213</t>
  </si>
  <si>
    <t>-617.027687155863 -95.9382701052975 321.117621580178</t>
  </si>
  <si>
    <t>-654.463469570557 -113.314226998271 782.271292202729</t>
  </si>
  <si>
    <t>-501.078780293485 -120.802722695368 830.238802521383</t>
  </si>
  <si>
    <t>9763-20170724T115549.761587600.bin</t>
  </si>
  <si>
    <t>-703.429688883254 12.8518391338416 -528.990609473813</t>
  </si>
  <si>
    <t>-703.726199644816 166.668289508874 -502.95774408578</t>
  </si>
  <si>
    <t>-743.157244218772 191.19153324465 -224.708967831506</t>
  </si>
  <si>
    <t>-531.983319107227 98.9941536801746 -195.489843601681</t>
  </si>
  <si>
    <t>-657.800468142507 85.6584225847064 -95.2317288297538</t>
  </si>
  <si>
    <t>-651.295131893131 124.839196957516 318.441064521402</t>
  </si>
  <si>
    <t>-667.71752880298 187.902221511238 776.888489415768</t>
  </si>
  <si>
    <t>-516.259501833894 193.85694541042 830.821890491497</t>
  </si>
  <si>
    <t>-616.906176075753 -95.8502311342927 321.124544202864</t>
  </si>
  <si>
    <t>-654.479354220593 -113.359801192495 782.268767477328</t>
  </si>
  <si>
    <t>-501.103938282605 -120.956549158486 830.248866272303</t>
  </si>
  <si>
    <t>9763-20170724T115549.826766400.bin</t>
  </si>
  <si>
    <t>-704.036062958813 13.6514011553897 -528.899503725086</t>
  </si>
  <si>
    <t>-704.818129981503 167.429181718877 -502.645418334397</t>
  </si>
  <si>
    <t>-742.840452099249 192.017741911205 -224.206397425271</t>
  </si>
  <si>
    <t>-532.047954157098 98.870510763423 -195.246679980186</t>
  </si>
  <si>
    <t>-658.121389262342 86.3049484475271 -95.200682364946</t>
  </si>
  <si>
    <t>-651.574328244058 125.19025320435 318.499308877717</t>
  </si>
  <si>
    <t>-667.698855086132 187.954468239581 776.985856552576</t>
  </si>
  <si>
    <t>-516.224573116249 193.885461910445 830.876398631367</t>
  </si>
  <si>
    <t>-616.753278129433 -95.5868300964912 321.112404826104</t>
  </si>
  <si>
    <t>-654.504461501567 -113.401413481273 782.261634502552</t>
  </si>
  <si>
    <t>-501.15751853116 -121.286454379217 830.286210428612</t>
  </si>
  <si>
    <t>9763-20170724T115549.859853900.bin</t>
  </si>
  <si>
    <t>-704.261335167387 14.1399709265863 -528.845645352184</t>
  </si>
  <si>
    <t>-705.41180345767 167.901265889027 -502.474308492298</t>
  </si>
  <si>
    <t>-742.549228031974 192.24776078457 -223.89449891544</t>
  </si>
  <si>
    <t>-531.877879825181 98.798557675673 -195.026541657383</t>
  </si>
  <si>
    <t>-658.244561297628 86.6602140659913 -95.1844026302025</t>
  </si>
  <si>
    <t>-651.591998676661 125.399053717962 318.527634686585</t>
  </si>
  <si>
    <t>-667.6832742656 187.976903686125 777.041899385822</t>
  </si>
  <si>
    <t>-516.208341623691 193.872753325386 830.934382029506</t>
  </si>
  <si>
    <t>-616.775474840417 -95.3521731261096 321.117104251605</t>
  </si>
  <si>
    <t>-654.527514304169 -113.301227949197 782.251815773491</t>
  </si>
  <si>
    <t>-501.15538654621 -120.777170926562 830.261389629657</t>
  </si>
  <si>
    <t>9763-20170724T115549.928042300.bin</t>
  </si>
  <si>
    <t>-704.626125570269 15.2846071912206 -528.763585564637</t>
  </si>
  <si>
    <t>-706.186736620514 168.981823464206 -502.060270340236</t>
  </si>
  <si>
    <t>-741.52179004495 192.450081090849 -223.170851717774</t>
  </si>
  <si>
    <t>-530.982779601499 98.8974253663043 -193.679462978229</t>
  </si>
  <si>
    <t>-658.393077677062 87.3262301068382 -95.1368250639555</t>
  </si>
  <si>
    <t>-651.731933092698 125.827463534483 318.597268416729</t>
  </si>
  <si>
    <t>-667.657766075505 188.031991925067 777.154482985168</t>
  </si>
  <si>
    <t>-516.181093120986 193.877303637892 831.047584926876</t>
  </si>
  <si>
    <t>-616.965198560787 -94.9770458906276 321.117874876678</t>
  </si>
  <si>
    <t>-654.616718924936 -113.294956408447 782.235551441933</t>
  </si>
  <si>
    <t>-501.239182209246 -121.087088091964 830.177536655542</t>
  </si>
  <si>
    <t>9763-20170724T115549.960135700.bin</t>
  </si>
  <si>
    <t>-704.602695061708 15.7097290846768 -528.757432723025</t>
  </si>
  <si>
    <t>-706.317075470858 169.394649598517 -501.958152373187</t>
  </si>
  <si>
    <t>-740.654644934639 192.495413114147 -222.913666673692</t>
  </si>
  <si>
    <t>-530.337326144566 98.8301809863017 -192.221860933386</t>
  </si>
  <si>
    <t>-658.498686049307 87.5852620127539 -95.131577701078</t>
  </si>
  <si>
    <t>-651.860113925512 125.979159143487 318.612828068501</t>
  </si>
  <si>
    <t>-667.661442744909 188.041231142485 777.202288558058</t>
  </si>
  <si>
    <t>-516.17725782957 193.803935529844 831.083315260304</t>
  </si>
  <si>
    <t>-617.07692104706 -94.7120221704586 321.115370014277</t>
  </si>
  <si>
    <t>-654.664963749854 -113.251006207121 782.225832370062</t>
  </si>
  <si>
    <t>-501.240188829616 -120.492520124257 830.103016528936</t>
  </si>
  <si>
    <t>9763-20170724T115550.028303000.bin</t>
  </si>
  <si>
    <t>-704.419192722918 16.2110935015405 -528.730754950506</t>
  </si>
  <si>
    <t>-706.390265302705 169.887250611286 -501.918870133756</t>
  </si>
  <si>
    <t>-737.477747792477 192.546688116651 -222.457418134532</t>
  </si>
  <si>
    <t>-528.116612120139 98.4198905616659 -187.008894581628</t>
  </si>
  <si>
    <t>-658.739459220051 88.0025989804342 -95.1007913268077</t>
  </si>
  <si>
    <t>-652.00571544468 126.230727134283 318.65740907976</t>
  </si>
  <si>
    <t>-667.650507785324 188.069551565986 777.296653857256</t>
  </si>
  <si>
    <t>-516.158439022302 193.718405974405 831.16751193031</t>
  </si>
  <si>
    <t>-617.077012851904 -94.3072678817241 321.138236827972</t>
  </si>
  <si>
    <t>-654.69425077887 -113.238528373045 782.229972192422</t>
  </si>
  <si>
    <t>-501.282573880298 -120.641760432082 830.124448219211</t>
  </si>
  <si>
    <t>9763-20170724T115550.061391500.bin</t>
  </si>
  <si>
    <t>-704.408053018953 16.4300841785832 -528.695926099961</t>
  </si>
  <si>
    <t>-706.484487023673 170.097451730819 -501.858885599836</t>
  </si>
  <si>
    <t>-735.039865109633 192.545177014848 -222.110412147281</t>
  </si>
  <si>
    <t>-526.736626341156 98.1761171565377 -181.455999665336</t>
  </si>
  <si>
    <t>-658.899237576682 88.1147167592283 -95.0559149987075</t>
  </si>
  <si>
    <t>-652.076486408503 126.299225325145 318.704821912819</t>
  </si>
  <si>
    <t>-667.641783277482 188.082264076062 777.348156561537</t>
  </si>
  <si>
    <t>-516.147655206337 193.752006423204 831.210945342469</t>
  </si>
  <si>
    <t>-617.065338718252 -94.1675161298995 321.154699328746</t>
  </si>
  <si>
    <t>-654.694873679868 -113.257531866436 782.242171993921</t>
  </si>
  <si>
    <t>-501.301573384092 -120.788210906029 830.175555216917</t>
  </si>
  <si>
    <t>9763-20170724T115550.123574500.bin</t>
  </si>
  <si>
    <t>-704.442824213943 17.0957955675176 -528.647794932177</t>
  </si>
  <si>
    <t>-706.238901605417 170.719280038609 -501.499120505244</t>
  </si>
  <si>
    <t>-729.436288789242 192.524378120688 -221.204732817743</t>
  </si>
  <si>
    <t>-523.4659949638 99.8370354912156 -167.039871837754</t>
  </si>
  <si>
    <t>-659.13899771322 88.1918622215976 -94.966826012915</t>
  </si>
  <si>
    <t>-652.385527166442 126.380539562929 318.794702701691</t>
  </si>
  <si>
    <t>-667.631883940408 188.090947904008 777.458653699929</t>
  </si>
  <si>
    <t>-516.127569020581 193.672963871542 831.302027781361</t>
  </si>
  <si>
    <t>-617.148897176218 -94.0464330765735 321.173906696476</t>
  </si>
  <si>
    <t>-654.711795017856 -113.219688781651 782.256722626664</t>
  </si>
  <si>
    <t>-501.300020749003 -120.206545624208 830.213289314857</t>
  </si>
  <si>
    <t>9763-20170724T115550.162683200.bin</t>
  </si>
  <si>
    <t>-704.317172848565 17.381639468942 -528.655864690917</t>
  </si>
  <si>
    <t>-705.841187041468 170.994717673369 -501.50483557621</t>
  </si>
  <si>
    <t>-725.890899000129 193.22743923794 -221.001107744273</t>
  </si>
  <si>
    <t>-521.493127984799 101.555160256205 -159.631051395511</t>
  </si>
  <si>
    <t>-659.196932995783 88.1575315952871 -94.9295084374813</t>
  </si>
  <si>
    <t>-652.52656003335 126.390119156535 318.829392355006</t>
  </si>
  <si>
    <t>-667.625640232052 188.102099367221 777.502797602103</t>
  </si>
  <si>
    <t>-516.114150462626 193.622047682625 831.332308630038</t>
  </si>
  <si>
    <t>-617.278658103566 -94.1554751688957 321.163142192362</t>
  </si>
  <si>
    <t>-654.730420742652 -113.244579936681 782.261783992195</t>
  </si>
  <si>
    <t>-501.324990377861 -120.297067340845 830.229055581847</t>
  </si>
  <si>
    <t>9763-20170724T115550.228877900.bin</t>
  </si>
  <si>
    <t>-703.953689123021 18.169603277843 -528.656278908139</t>
  </si>
  <si>
    <t>-704.725092383256 171.728206971267 -501.116512637054</t>
  </si>
  <si>
    <t>-717.382880373176 195.557675674359 -220.313079919764</t>
  </si>
  <si>
    <t>-516.668305736555 107.39651598333 -143.567951728286</t>
  </si>
  <si>
    <t>-659.426797557261 88.1325258277127 -94.8633186283849</t>
  </si>
  <si>
    <t>-652.610310159438 126.429064067781 318.887265940961</t>
  </si>
  <si>
    <t>-667.608662996365 188.119583342532 777.574803704459</t>
  </si>
  <si>
    <t>-516.095271935909 193.482450056707 831.414867877352</t>
  </si>
  <si>
    <t>-617.628383507572 -94.5160346395082 321.149587248321</t>
  </si>
  <si>
    <t>-654.752377740165 -113.331491029928 782.271438697216</t>
  </si>
  <si>
    <t>-501.387400117051 -120.942283584627 830.282805654537</t>
  </si>
  <si>
    <t>9763-20170724T115550.258957200.bin</t>
  </si>
  <si>
    <t>-703.663117089837 18.6779582509141 -528.666379802671</t>
  </si>
  <si>
    <t>-703.970921695999 172.164471982751 -500.737732936629</t>
  </si>
  <si>
    <t>-712.637219367399 196.306935337806 -219.809560591758</t>
  </si>
  <si>
    <t>-513.320602644126 110.727478842839 -136.757994732194</t>
  </si>
  <si>
    <t>-659.567294120139 88.0517409124175 -94.82631953676</t>
  </si>
  <si>
    <t>-652.686514624244 126.448779443788 318.913883649751</t>
  </si>
  <si>
    <t>-667.610197881404 188.138528336997 777.593928560835</t>
  </si>
  <si>
    <t>-516.099804575139 193.343171140057 831.458037878045</t>
  </si>
  <si>
    <t>-617.855211456381 -94.6754396339411 321.141061443344</t>
  </si>
  <si>
    <t>-654.759883378543 -113.322532095812 782.282302924367</t>
  </si>
  <si>
    <t>-501.378893031138 -120.549501289167 830.30167428597</t>
  </si>
  <si>
    <t>9763-20170724T115550.326142100.bin</t>
  </si>
  <si>
    <t>-702.931227232439 19.615976296762 -528.696403581773</t>
  </si>
  <si>
    <t>-702.090150630158 172.960739290848 -500.024069961496</t>
  </si>
  <si>
    <t>-701.734298392412 197.125085862803 -218.964505064299</t>
  </si>
  <si>
    <t>-504.208034868088 116.090439822097 -127.50248267863</t>
  </si>
  <si>
    <t>-659.75683194747 87.7321982275209 -94.8059700876302</t>
  </si>
  <si>
    <t>-652.924737710765 126.500769173163 318.900351045407</t>
  </si>
  <si>
    <t>-667.56968354908 188.232117445216 777.593213975231</t>
  </si>
  <si>
    <t>-516.090896976737 193.053599446936 831.581614259608</t>
  </si>
  <si>
    <t>-618.248747199836 -95.091061597652 321.138873128542</t>
  </si>
  <si>
    <t>-654.784755445571 -113.419857123044 782.308342357021</t>
  </si>
  <si>
    <t>-501.404368110221 -120.467113694632 830.356493065466</t>
  </si>
  <si>
    <t>9763-20170724T115550.359230300.bin</t>
  </si>
  <si>
    <t>-702.391288188044 20.0571191973413 -528.717609160861</t>
  </si>
  <si>
    <t>-700.97411993017 173.342893677954 -499.771830419691</t>
  </si>
  <si>
    <t>-694.882530921939 197.383017323976 -218.767312770822</t>
  </si>
  <si>
    <t>-497.906985050678 119.241171146472 -123.672476994096</t>
  </si>
  <si>
    <t>-659.85200278767 87.6077234873496 -94.805898209446</t>
  </si>
  <si>
    <t>-652.956789161669 126.566999964743 318.881404807836</t>
  </si>
  <si>
    <t>-667.549504040202 188.274130959951 777.577363650467</t>
  </si>
  <si>
    <t>-516.085780249051 192.881233736283 831.626741982914</t>
  </si>
  <si>
    <t>-618.387709916058 -95.2621070674581 321.149309510601</t>
  </si>
  <si>
    <t>-654.806914563102 -113.462230932199 782.322667022087</t>
  </si>
  <si>
    <t>-501.435330485752 -120.651564271837 830.377804818989</t>
  </si>
  <si>
    <t>9763-20170724T115550.427414400.bin</t>
  </si>
  <si>
    <t>-701.859191158628 21.2667938077479 -528.654670100883</t>
  </si>
  <si>
    <t>-698.436268750612 174.341023440922 -498.75885421583</t>
  </si>
  <si>
    <t>-679.876840850148 197.582019892904 -218.234263856963</t>
  </si>
  <si>
    <t>-483.581947285295 122.507337007887 -119.337232322325</t>
  </si>
  <si>
    <t>-659.859119723133 87.5992678068674 -94.8201659339311</t>
  </si>
  <si>
    <t>-652.821309511127 126.72938580291 318.848698019024</t>
  </si>
  <si>
    <t>-667.463657369861 188.363784489429 777.558781205191</t>
  </si>
  <si>
    <t>-516.054509296603 192.641379147895 831.787846925144</t>
  </si>
  <si>
    <t>-618.674292724439 -95.5763832669784 321.167850867197</t>
  </si>
  <si>
    <t>-654.846173597343 -113.552378964815 782.345131803993</t>
  </si>
  <si>
    <t>-501.487106522389 -120.940410714971 830.410036345467</t>
  </si>
  <si>
    <t>9763-20170724T115550.459499800.bin</t>
  </si>
  <si>
    <t>-701.380580325043 21.9546483060708 -528.693195421987</t>
  </si>
  <si>
    <t>-696.74800016851 174.90027578145 -498.291824907009</t>
  </si>
  <si>
    <t>-671.621389256738 197.428836213652 -218.220868210745</t>
  </si>
  <si>
    <t>-474.800231880568 122.911389147774 -119.950301421582</t>
  </si>
  <si>
    <t>-659.721034566925 87.6291341885646 -94.8477737748476</t>
  </si>
  <si>
    <t>-652.775273697733 126.814046514427 318.817470807634</t>
  </si>
  <si>
    <t>-667.443640304858 188.390829719208 777.539560167471</t>
  </si>
  <si>
    <t>-516.053986559722 192.535580563508 831.833316113775</t>
  </si>
  <si>
    <t>-618.90104163838 -95.7271725009348 321.166076296891</t>
  </si>
  <si>
    <t>-654.862861925953 -113.623772269475 782.355025399084</t>
  </si>
  <si>
    <t>-501.494246595334 -120.813687033913 830.419536348003</t>
  </si>
  <si>
    <t>9763-20170724T115550.527686800.bin</t>
  </si>
  <si>
    <t>-685.293335945926 0.0953548804538968 -660.21305328425</t>
  </si>
  <si>
    <t>-699.731374152649 23.201239816409 -528.816565174639</t>
  </si>
  <si>
    <t>-692.745760775593 175.922564140733 -497.70191636221</t>
  </si>
  <si>
    <t>-652.855854584546 196.471451438652 -219.196784032345</t>
  </si>
  <si>
    <t>-452.405142744398 127.76244333606 -124.080453194468</t>
  </si>
  <si>
    <t>-658.854015319039 87.8513365799683 -94.977023703118</t>
  </si>
  <si>
    <t>-652.473445698636 126.981543496536 318.702463396738</t>
  </si>
  <si>
    <t>-667.403108950026 188.436607617097 777.4493155626</t>
  </si>
  <si>
    <t>-516.025351488502 192.527078155331 831.780426195252</t>
  </si>
  <si>
    <t>-619.36166944282 -96.4024726278983 321.154183397143</t>
  </si>
  <si>
    <t>-654.902918080846 -113.790864269518 782.388231631344</t>
  </si>
  <si>
    <t>-501.557417466783 -121.379752720236 830.465176264905</t>
  </si>
  <si>
    <t>9763-20170724T115550.559771700.bin</t>
  </si>
  <si>
    <t>-684.29889194036 0.583576261344888 -660.326797638543</t>
  </si>
  <si>
    <t>-698.673282724794 23.6995327779539 -528.92459325941</t>
  </si>
  <si>
    <t>-690.887538507263 176.34277800129 -497.653213904207</t>
  </si>
  <si>
    <t>-642.430261465451 197.013768581258 -220.519268327761</t>
  </si>
  <si>
    <t>-439.408052243693 130.908750197793 -129.082814811011</t>
  </si>
  <si>
    <t>-658.153306625893 88.1336193963871 -95.0715670062166</t>
  </si>
  <si>
    <t>-652.183910821535 127.030576918937 318.636045614107</t>
  </si>
  <si>
    <t>-667.39407962278 188.437907497601 777.394773342276</t>
  </si>
  <si>
    <t>-516.010843671575 192.512010615024 831.711814093891</t>
  </si>
  <si>
    <t>-619.39746331209 -96.7656928754534 321.153365917144</t>
  </si>
  <si>
    <t>-654.901271348092 -113.904563291583 782.406428559861</t>
  </si>
  <si>
    <t>-501.588667851897 -121.902001690627 830.521971793552</t>
  </si>
  <si>
    <t>9763-20170724T115550.635980100.bin</t>
  </si>
  <si>
    <t>-682.912635593827 1.15387580334755 -660.472242327553</t>
  </si>
  <si>
    <t>-696.890961716027 24.4276961236035 -529.054131413913</t>
  </si>
  <si>
    <t>-687.673357665717 176.99289268668 -497.758303840629</t>
  </si>
  <si>
    <t>-621.987253897171 197.548268571423 -224.18681339537</t>
  </si>
  <si>
    <t>-412.856488859476 138.662885420747 -142.056591787825</t>
  </si>
  <si>
    <t>-656.524259202997 88.6476785961331 -95.2247333720056</t>
  </si>
  <si>
    <t>-651.343160449974 127.225832344302 318.523399702876</t>
  </si>
  <si>
    <t>-667.350082873658 188.470989065279 777.283725342993</t>
  </si>
  <si>
    <t>-515.954371785207 192.817206702335 831.544875893895</t>
  </si>
  <si>
    <t>-619.000735063726 -97.3234876598697 321.175235039734</t>
  </si>
  <si>
    <t>-654.86683709283 -114.004378669328 782.439268793709</t>
  </si>
  <si>
    <t>-501.589845790735 -121.93695532534 830.678895407078</t>
  </si>
  <si>
    <t>9763-20170724T115550.658038700.bin</t>
  </si>
  <si>
    <t>-682.242956923938 1.56502898190001 -660.511422229794</t>
  </si>
  <si>
    <t>-695.923557012424 24.939395771924 -529.077212227835</t>
  </si>
  <si>
    <t>-686.226905384159 177.498192401086 -498.009951838095</t>
  </si>
  <si>
    <t>-612.284620362381 198.740538267881 -226.606375042116</t>
  </si>
  <si>
    <t>-400.203826194222 143.587730624623 -149.609895054465</t>
  </si>
  <si>
    <t>-655.450701448519 89.1053231346496 -95.2790996761876</t>
  </si>
  <si>
    <t>-650.803854459629 127.41343180855 318.500402932772</t>
  </si>
  <si>
    <t>-667.307981300175 188.501841864506 777.246419759574</t>
  </si>
  <si>
    <t>-515.91601225718 192.969147051997 831.508318851576</t>
  </si>
  <si>
    <t>-618.617338728474 -97.5092372711104 321.188670840995</t>
  </si>
  <si>
    <t>-654.842108258663 -114.066171627242 782.450451334305</t>
  </si>
  <si>
    <t>-501.598792974737 -122.153448311345 830.771306646656</t>
  </si>
  <si>
    <t>9763-20170724T115550.727228200.bin</t>
  </si>
  <si>
    <t>-681.259172703204 2.43739065036903 -660.596295657084</t>
  </si>
  <si>
    <t>-694.197778255976 26.0709592092492 -529.130439723295</t>
  </si>
  <si>
    <t>-683.959685668625 178.70476669082 -498.515962380494</t>
  </si>
  <si>
    <t>-593.35574632021 201.326287277371 -232.324708964283</t>
  </si>
  <si>
    <t>-376.273400214496 154.023920924212 -164.602565022794</t>
  </si>
  <si>
    <t>-653.042615494668 90.3536182530795 -95.4220027408527</t>
  </si>
  <si>
    <t>-649.614722165982 128.075209112919 318.423269456469</t>
  </si>
  <si>
    <t>-667.174027846214 188.665545173023 777.202012382561</t>
  </si>
  <si>
    <t>-515.816034933296 193.699907039881 831.508844906294</t>
  </si>
  <si>
    <t>-617.64659037424 -97.6313318896448 321.215828228264</t>
  </si>
  <si>
    <t>-654.797488602843 -114.121197500352 782.455130398568</t>
  </si>
  <si>
    <t>-501.624392140621 -122.69383966987 830.914748773576</t>
  </si>
  <si>
    <t>9763-20170724T115550.761317100.bin</t>
  </si>
  <si>
    <t>-636.199153335798 0.529764639057021 -93.1796044941326</t>
  </si>
  <si>
    <t>-681.069274660951 2.73325138163409 -660.580463756473</t>
  </si>
  <si>
    <t>-693.505599586663 26.580246341759 -529.111833099186</t>
  </si>
  <si>
    <t>-682.830599409929 179.195937484449 -498.577913593795</t>
  </si>
  <si>
    <t>-584.728009241502 201.973814267072 -235.07156338172</t>
  </si>
  <si>
    <t>-365.752280406256 158.417748956004 -171.032388463353</t>
  </si>
  <si>
    <t>-651.735474243769 91.0874677589732 -95.4646994014406</t>
  </si>
  <si>
    <t>-648.968741468426 128.402233426769 318.422403927304</t>
  </si>
  <si>
    <t>-667.117999975644 188.744890150421 777.190618775438</t>
  </si>
  <si>
    <t>-515.777856967544 193.866823548202 831.538977427196</t>
  </si>
  <si>
    <t>-617.241120617853 -97.5582724750072 321.238485815148</t>
  </si>
  <si>
    <t>-654.779902100242 -114.091967140813 782.459850272423</t>
  </si>
  <si>
    <t>-501.606838734143 -122.449481514983 830.95715328287</t>
  </si>
  <si>
    <t>9763-20170724T115550.825495200.bin</t>
  </si>
  <si>
    <t>-633.771321521387 2.42027133077067 -93.1981837243432</t>
  </si>
  <si>
    <t>-680.452076561153 3.64420579969192 -660.600443267565</t>
  </si>
  <si>
    <t>-691.7504869582 27.9917173355602 -529.139318934837</t>
  </si>
  <si>
    <t>-679.847346664085 180.57779584093 -498.972103936424</t>
  </si>
  <si>
    <t>-572.07319592417 203.83729557666 -239.313994796979</t>
  </si>
  <si>
    <t>-350.837706902939 165.551520996698 -179.836366516274</t>
  </si>
  <si>
    <t>-648.722401448804 93.2401847805236 -95.6187485842402</t>
  </si>
  <si>
    <t>-647.875731190647 129.252669576793 318.392162990545</t>
  </si>
  <si>
    <t>-667.03407044624 188.887875679517 777.188036547825</t>
  </si>
  <si>
    <t>-515.723597869173 194.075331724168 831.612642354846</t>
  </si>
  <si>
    <t>-616.764293820712 -97.2228537311471 321.303622417755</t>
  </si>
  <si>
    <t>-654.921153448687 -114.059746912598 782.433240270926</t>
  </si>
  <si>
    <t>-501.755331283356 -123.591002501561 830.736484575951</t>
  </si>
  <si>
    <t>9763-20170724T115550.859586200.bin</t>
  </si>
  <si>
    <t>-632.472368723905 3.63882132391655 -93.2985502553748</t>
  </si>
  <si>
    <t>-679.937348459957 4.32691816042643 -660.718545388603</t>
  </si>
  <si>
    <t>-690.64075131411 28.9493540614021 -529.2664742487</t>
  </si>
  <si>
    <t>-677.785396340652 181.513160050409 -499.358389956722</t>
  </si>
  <si>
    <t>-568.291262651546 205.383044979294 -240.476479802835</t>
  </si>
  <si>
    <t>-346.665358673122 168.018090931747 -181.873257779361</t>
  </si>
  <si>
    <t>-646.844993262175 94.636290041826 -95.7794002844371</t>
  </si>
  <si>
    <t>-647.235250229835 129.860717941667 318.299896585264</t>
  </si>
  <si>
    <t>-667.013862302344 188.935183884395 777.167214538997</t>
  </si>
  <si>
    <t>-515.710221659213 193.948243023498 831.627283680324</t>
  </si>
  <si>
    <t>-616.52144757209 -96.7879195566015 321.274683482485</t>
  </si>
  <si>
    <t>-655.079682925337 -113.922483530465 782.380401442307</t>
  </si>
  <si>
    <t>-501.797442984641 -122.962559908039 830.40806663618</t>
  </si>
  <si>
    <t>9763-20170724T115550.929661800.bin</t>
  </si>
  <si>
    <t>-629.706688652888 6.14331100527852 -93.4262124300765</t>
  </si>
  <si>
    <t>-649.435136593228 2.20877774803353 -202.296802731675</t>
  </si>
  <si>
    <t>-661.198348458506 0.624218638452248 -294.410552939445</t>
  </si>
  <si>
    <t>-678.132283166448 5.56094368503295 -660.909977778542</t>
  </si>
  <si>
    <t>-687.911917606191 30.8471284916736 -529.499669006638</t>
  </si>
  <si>
    <t>-673.367716315071 183.419975834874 -500.365455507403</t>
  </si>
  <si>
    <t>-565.157413596618 207.923716403093 -241.003310456014</t>
  </si>
  <si>
    <t>-343.81385209668 169.258203818955 -182.177034163791</t>
  </si>
  <si>
    <t>-642.573989243642 97.7351626755255 -96.1111985759633</t>
  </si>
  <si>
    <t>-645.114918965026 131.139354523699 318.111326158839</t>
  </si>
  <si>
    <t>-666.924096069026 189.07873601047 777.091182198471</t>
  </si>
  <si>
    <t>-515.673341758993 194.146702844567 831.692973593987</t>
  </si>
  <si>
    <t>-615.794674762097 -95.6566793120121 321.261075594473</t>
  </si>
  <si>
    <t>-655.5544209918 -113.748560535868 782.262415007779</t>
  </si>
  <si>
    <t>-502.069452892722 -123.637223467572 829.468363481205</t>
  </si>
  <si>
    <t>9763-20170724T115550.962750400.bin</t>
  </si>
  <si>
    <t>-628.427645983863 7.31026084328005 -93.5094731146013</t>
  </si>
  <si>
    <t>-648.141749315868 3.44746864638046 -202.385187267083</t>
  </si>
  <si>
    <t>-659.941043367737 1.80523931625567 -294.493336468777</t>
  </si>
  <si>
    <t>-669.610289676497 0.840669741646025 -377.822350209062</t>
  </si>
  <si>
    <t>-677.722435256375 0.455862028594083 -461.321947440094</t>
  </si>
  <si>
    <t>-687.869987142955 0.521674708402998 -583.559072738994</t>
  </si>
  <si>
    <t>-677.368422576485 6.01388906352827 -661.017369616309</t>
  </si>
  <si>
    <t>-686.726200666838 31.6776523787837 -529.63101907454</t>
  </si>
  <si>
    <t>-671.581567770577 184.267101254393 -500.799208088825</t>
  </si>
  <si>
    <t>-565.034578396009 207.784843685171 -240.658317572032</t>
  </si>
  <si>
    <t>-344.043182475957 167.002920959533 -181.937168227014</t>
  </si>
  <si>
    <t>-640.57769380865 99.3424863713958 -96.2714473968317</t>
  </si>
  <si>
    <t>-643.926708274107 131.552900915231 318.039918206145</t>
  </si>
  <si>
    <t>-666.844126269091 189.12948703239 777.042858241043</t>
  </si>
  <si>
    <t>-515.642567282672 194.192130361533 831.781125056971</t>
  </si>
  <si>
    <t>-615.436484398865 -95.1045015715492 321.231902949215</t>
  </si>
  <si>
    <t>-655.905177485829 -113.574841639187 782.165179015275</t>
  </si>
  <si>
    <t>-502.234848531444 -123.527390207509 828.750562159535</t>
  </si>
  <si>
    <t>9763-20170724T115551.027660800.bin</t>
  </si>
  <si>
    <t>-626.214839745925 9.70776803453123 -93.7585233286504</t>
  </si>
  <si>
    <t>-645.890827607182 5.95738535351893 -202.645094548617</t>
  </si>
  <si>
    <t>-657.747802650765 4.26229730981754 -294.744928408262</t>
  </si>
  <si>
    <t>-667.507440152138 3.20153680918156 -378.062204184579</t>
  </si>
  <si>
    <t>-675.748762639786 2.66773983632288 -461.548152345847</t>
  </si>
  <si>
    <t>-686.128183654591 2.45995885134721 -583.765853654161</t>
  </si>
  <si>
    <t>-675.979618586722 7.52738443622638 -661.299923837813</t>
  </si>
  <si>
    <t>-684.678047846214 33.7576463313681 -529.927227637277</t>
  </si>
  <si>
    <t>-668.333263806424 186.262165607174 -501.39699162971</t>
  </si>
  <si>
    <t>-565.579061726579 206.848826175341 -239.487976539906</t>
  </si>
  <si>
    <t>-345.248931017344 160.665325106519 -182.30186630099</t>
  </si>
  <si>
    <t>-637.07561689481 102.465043958918 -96.5723738786631</t>
  </si>
  <si>
    <t>-641.995387310195 132.692445154658 317.872649575962</t>
  </si>
  <si>
    <t>-666.726123274772 189.170411169738 776.939349497376</t>
  </si>
  <si>
    <t>-515.629363864926 194.145024052907 831.974315808858</t>
  </si>
  <si>
    <t>-614.791088651242 -93.9138622282439 321.085900145365</t>
  </si>
  <si>
    <t>-656.567553608725 -113.235141255258 781.941067804749</t>
  </si>
  <si>
    <t>-502.571240121897 -123.61881984528 827.340828741638</t>
  </si>
  <si>
    <t>9763-20170724T115551.059745800.bin</t>
  </si>
  <si>
    <t>-625.131670704323 10.8365774039282 -93.8723734942773</t>
  </si>
  <si>
    <t>-644.740364682 7.13564180980279 -202.772827549634</t>
  </si>
  <si>
    <t>-656.605941552159 5.41590127837071 -294.870903750442</t>
  </si>
  <si>
    <t>-666.400458440259 4.30968963795317 -378.183529749992</t>
  </si>
  <si>
    <t>-674.703718458766 3.70614171730381 -461.663045081678</t>
  </si>
  <si>
    <t>-685.203834262253 3.36943228926225 -583.870082696122</t>
  </si>
  <si>
    <t>-675.195833891967 8.25188647547793 -661.434312336705</t>
  </si>
  <si>
    <t>-683.610797919544 34.7327498352399 -530.07372905102</t>
  </si>
  <si>
    <t>-666.674097518308 187.17183261882 -501.519326488355</t>
  </si>
  <si>
    <t>-565.555888414495 205.630853995939 -238.816013446507</t>
  </si>
  <si>
    <t>-345.547822790848 156.307669070478 -183.028947552893</t>
  </si>
  <si>
    <t>-635.43698355022 103.812830132104 -96.7134837637418</t>
  </si>
  <si>
    <t>-641.318463819644 133.285677081322 317.773362422383</t>
  </si>
  <si>
    <t>-666.687424145965 189.241408644162 776.841031471946</t>
  </si>
  <si>
    <t>-515.630062825874 194.136137328305 831.991168087203</t>
  </si>
  <si>
    <t>-614.425421188146 -93.3350589748079 321.010548124839</t>
  </si>
  <si>
    <t>-656.811388747888 -113.095199622889 781.841951196228</t>
  </si>
  <si>
    <t>-502.702009212717 -123.770192493671 826.788194140634</t>
  </si>
  <si>
    <t>9763-20170724T115551.129668000.bin</t>
  </si>
  <si>
    <t>-623.00671503344 12.931502398978 -94.0468221847192</t>
  </si>
  <si>
    <t>-642.494686996235 9.37498689948848 -202.973652806121</t>
  </si>
  <si>
    <t>-654.417021488533 7.68418972421478 -295.065198536303</t>
  </si>
  <si>
    <t>-664.327800014528 6.57417968118284 -378.363894846067</t>
  </si>
  <si>
    <t>-672.812559877567 5.93364725153197 -461.824924583439</t>
  </si>
  <si>
    <t>-683.650002812526 5.50712044377974 -584.002221142308</t>
  </si>
  <si>
    <t>-673.95266188152 10.1693116943597 -661.619495185482</t>
  </si>
  <si>
    <t>-681.73754689258 36.9259904996482 -530.248685895344</t>
  </si>
  <si>
    <t>-663.238773926984 189.128666414977 -501.445583683387</t>
  </si>
  <si>
    <t>-565.876523205547 204.631537527216 -237.137444109532</t>
  </si>
  <si>
    <t>-346.208961386415 150.072902785533 -185.002441379961</t>
  </si>
  <si>
    <t>-632.510049396147 106.402768091942 -96.9452063803744</t>
  </si>
  <si>
    <t>-640.540173969605 134.241330380042 317.618616913593</t>
  </si>
  <si>
    <t>-666.644795277175 189.350612933856 776.757878240539</t>
  </si>
  <si>
    <t>-515.649043240233 194.083682351524 832.090578052947</t>
  </si>
  <si>
    <t>-613.586072459227 -92.2077324065237 320.901954952199</t>
  </si>
  <si>
    <t>-657.013997179464 -112.892830190257 781.708920009301</t>
  </si>
  <si>
    <t>-502.824206142292 -124.145638942049 826.236507256376</t>
  </si>
  <si>
    <t>9763-20170724T115551.162754800.bin</t>
  </si>
  <si>
    <t>-622.051360885334 13.8230534572767 -94.0810152844132</t>
  </si>
  <si>
    <t>-641.466402663578 10.3397383054187 -203.023238643957</t>
  </si>
  <si>
    <t>-653.39672524356 8.69447669727992 -295.114517243746</t>
  </si>
  <si>
    <t>-663.34337164096 7.62255830764866 -378.409469070027</t>
  </si>
  <si>
    <t>-671.892693326479 7.01619307362193 -461.864189707595</t>
  </si>
  <si>
    <t>-682.856151856799 6.63615042692527 -584.030275974888</t>
  </si>
  <si>
    <t>-673.283746245332 11.2257620478968 -661.667437226483</t>
  </si>
  <si>
    <t>-680.824249324465 38.0404190320855 -530.272738440726</t>
  </si>
  <si>
    <t>-661.845727112252 190.169547022571 -501.396267411161</t>
  </si>
  <si>
    <t>-566.222515163532 204.825754265858 -236.405805642006</t>
  </si>
  <si>
    <t>-346.684067536076 147.167493018281 -187.141908518116</t>
  </si>
  <si>
    <t>-631.195614961423 107.45892665975 -97.013864607065</t>
  </si>
  <si>
    <t>-640.153289585155 134.721051328324 317.569256389467</t>
  </si>
  <si>
    <t>-666.618711665199 189.383350864293 776.745110214548</t>
  </si>
  <si>
    <t>-515.653963595232 193.977499429021 832.174080978731</t>
  </si>
  <si>
    <t>-613.185072054318 -91.7859242145453 320.881677714573</t>
  </si>
  <si>
    <t>-656.99631229422 -112.814056779937 781.677987176122</t>
  </si>
  <si>
    <t>-502.791575052334 -124.000031279914 826.17060349864</t>
  </si>
  <si>
    <t>9763-20170724T115551.226451600.bin</t>
  </si>
  <si>
    <t>-620.634931233266 15.1833091112062 -94.0971269545571</t>
  </si>
  <si>
    <t>-639.998582184653 11.8516766667306 -203.053279446279</t>
  </si>
  <si>
    <t>-651.945030271376 10.3503500993943 -295.144820367176</t>
  </si>
  <si>
    <t>-661.931122626359 9.42184776733188 -378.436763347528</t>
  </si>
  <si>
    <t>-670.544860334889 8.9701791600562 -461.885800927082</t>
  </si>
  <si>
    <t>-681.630164863706 8.82943325971723 -584.041497601014</t>
  </si>
  <si>
    <t>-672.14858054944 13.3496800448381 -661.693829692912</t>
  </si>
  <si>
    <t>-679.422629247625 40.1389898510927 -530.235613637973</t>
  </si>
  <si>
    <t>-659.263094949845 191.993841918598 -500.689706578935</t>
  </si>
  <si>
    <t>-566.646214733463 205.689638971533 -234.582304823847</t>
  </si>
  <si>
    <t>-347.163428826066 143.661588771558 -190.669207281165</t>
  </si>
  <si>
    <t>-629.160865287421 109.298570641683 -97.0990839166141</t>
  </si>
  <si>
    <t>-639.278703534457 135.218779580189 317.543345451007</t>
  </si>
  <si>
    <t>-666.561743419142 189.308917064724 776.724868440723</t>
  </si>
  <si>
    <t>-515.692601112286 194.051278337492 832.400909828031</t>
  </si>
  <si>
    <t>-612.631931629012 -91.2703651946915 320.867663224764</t>
  </si>
  <si>
    <t>-656.902345069895 -112.742823803117 781.656332864171</t>
  </si>
  <si>
    <t>-502.768463717698 -124.479889647481 826.252478494857</t>
  </si>
  <si>
    <t>9763-20170724T115551.258536200.bin</t>
  </si>
  <si>
    <t>-620.163534367858 15.7394972471918 -94.08673454435</t>
  </si>
  <si>
    <t>-639.504723495786 12.4643289659643 -203.04859357619</t>
  </si>
  <si>
    <t>-651.436276963623 11.0272666891115 -295.143201234298</t>
  </si>
  <si>
    <t>-661.410894548437 10.1664923498715 -378.437198561215</t>
  </si>
  <si>
    <t>-670.015097003602 9.79104413073605 -461.887574765797</t>
  </si>
  <si>
    <t>-681.088693464376 9.77121791633749 -584.044433203971</t>
  </si>
  <si>
    <t>-671.574909959697 14.3198536326397 -661.691130401082</t>
  </si>
  <si>
    <t>-678.824319799702 41.0328019732585 -530.212973057485</t>
  </si>
  <si>
    <t>-657.986697069499 192.729904844989 -500.335760431836</t>
  </si>
  <si>
    <t>-566.814347351842 206.120084060736 -233.714442311528</t>
  </si>
  <si>
    <t>-347.380294520686 142.038501184696 -192.595476388182</t>
  </si>
  <si>
    <t>-628.402374225529 109.998241527199 -97.0963002330866</t>
  </si>
  <si>
    <t>-638.921834402435 135.436069200872 317.566013004108</t>
  </si>
  <si>
    <t>-666.536923685128 189.315510878048 776.751590603919</t>
  </si>
  <si>
    <t>-515.70229543317 193.915973749306 832.5330175073</t>
  </si>
  <si>
    <t>-612.442174067543 -91.0076204890008 320.885774643243</t>
  </si>
  <si>
    <t>-656.856291927742 -112.660824777233 781.651286247609</t>
  </si>
  <si>
    <t>-502.741457206907 -124.463169020401 826.296035845306</t>
  </si>
  <si>
    <t>9763-20170724T115551.328144600.bin</t>
  </si>
  <si>
    <t>-619.542397808475 16.8684617506228 -94.0036158222252</t>
  </si>
  <si>
    <t>-638.900705759798 13.6830424212762 -202.965051660676</t>
  </si>
  <si>
    <t>-650.894530520868 12.3416280775673 -295.05297623759</t>
  </si>
  <si>
    <t>-660.945094523065 11.5793154686253 -378.338781701155</t>
  </si>
  <si>
    <t>-669.644861944158 11.3126192246107 -461.779676461147</t>
  </si>
  <si>
    <t>-680.879824288716 11.4632946567042 -583.921740950402</t>
  </si>
  <si>
    <t>-671.258695532214 16.1354368224318 -661.547957722934</t>
  </si>
  <si>
    <t>-678.437704998977 42.6584750548084 -530.059560261769</t>
  </si>
  <si>
    <t>-656.614658877417 194.114998405337 -499.720350341199</t>
  </si>
  <si>
    <t>-568.174034238915 207.496114656115 -232.180223263609</t>
  </si>
  <si>
    <t>-349.085627535999 139.160185457394 -196.416960472829</t>
  </si>
  <si>
    <t>-627.367193735553 111.221836580314 -97.0005748034453</t>
  </si>
  <si>
    <t>-638.585389689018 135.88449286571 317.690354806435</t>
  </si>
  <si>
    <t>-666.549180717679 189.301387045058 776.889817492715</t>
  </si>
  <si>
    <t>-515.739059238597 193.720492748031 832.752150552939</t>
  </si>
  <si>
    <t>-612.164168933003 -90.2256848152258 320.949951542794</t>
  </si>
  <si>
    <t>-656.806261894513 -112.54523162861 781.646319101849</t>
  </si>
  <si>
    <t>-502.710306163627 -124.505735055408 826.314057838494</t>
  </si>
  <si>
    <t>9763-20170724T115551.361233500.bin</t>
  </si>
  <si>
    <t>-619.443884596932 17.4223182153908 -93.9648643671644</t>
  </si>
  <si>
    <t>-638.829344612156 14.2739458581302 -202.922590408749</t>
  </si>
  <si>
    <t>-650.871324874265 12.9936596004329 -295.005192975852</t>
  </si>
  <si>
    <t>-660.975640459035 12.2998741401195 -378.285172791452</t>
  </si>
  <si>
    <t>-669.739443482095 12.1146990443751 -461.719466679594</t>
  </si>
  <si>
    <t>-681.079408096332 12.3988299534756 -583.851589941489</t>
  </si>
  <si>
    <t>-671.36462287125 17.1963125071604 -661.458481094989</t>
  </si>
  <si>
    <t>-678.573141661242 43.5364054155455 -529.959088253999</t>
  </si>
  <si>
    <t>-656.778688642141 194.979103816732 -499.545843932519</t>
  </si>
  <si>
    <t>-569.196160050638 208.25790306458 -231.718365171749</t>
  </si>
  <si>
    <t>-350.303830539675 138.055924790292 -198.45628280665</t>
  </si>
  <si>
    <t>-627.159424133289 111.761007528276 -96.9478106257998</t>
  </si>
  <si>
    <t>-638.581140270483 136.139761649379 317.754228813658</t>
  </si>
  <si>
    <t>-666.576742602625 189.26306311314 776.98587200056</t>
  </si>
  <si>
    <t>-515.762470912562 193.65503460702 832.839171317729</t>
  </si>
  <si>
    <t>-612.032505202121 -89.8067536758026 320.967685131696</t>
  </si>
  <si>
    <t>-656.72489562228 -112.521890551483 781.630970583569</t>
  </si>
  <si>
    <t>-502.694382779807 -124.830764175934 826.429623711699</t>
  </si>
  <si>
    <t>9763-20170724T115551.427370400.bin</t>
  </si>
  <si>
    <t>-619.536056176883 18.4862671123417 -93.8093546917942</t>
  </si>
  <si>
    <t>-639.037101093393 15.3726815304567 -202.747396675991</t>
  </si>
  <si>
    <t>-651.128633392895 14.2300659889784 -294.825275197656</t>
  </si>
  <si>
    <t>-661.258269830391 13.7037574331998 -378.103449292983</t>
  </si>
  <si>
    <t>-670.028017802022 13.7294451326006 -461.537429285901</t>
  </si>
  <si>
    <t>-681.355129515163 14.3701743795589 -583.669299062597</t>
  </si>
  <si>
    <t>-671.44808291247 19.4345416226743 -661.234930751934</t>
  </si>
  <si>
    <t>-678.88406004319 45.3480741215978 -529.683088129326</t>
  </si>
  <si>
    <t>-657.739679677594 196.827976799173 -498.928899709964</t>
  </si>
  <si>
    <t>-570.319310943128 208.83620853231 -230.988496283836</t>
  </si>
  <si>
    <t>-351.300460121241 137.010200553442 -202.347512707199</t>
  </si>
  <si>
    <t>-627.393453014997 112.699906515386 -96.7727452412404</t>
  </si>
  <si>
    <t>-638.520905224369 136.777264272421 317.954960028592</t>
  </si>
  <si>
    <t>-666.618751508138 189.271994941817 777.234553969651</t>
  </si>
  <si>
    <t>-515.776625475146 193.422266952462 833.03109419185</t>
  </si>
  <si>
    <t>-611.416319482909 -88.8937292871403 321.075736317704</t>
  </si>
  <si>
    <t>-656.049243726238 -112.508711149706 781.722493452882</t>
  </si>
  <si>
    <t>-502.333889180407 -124.776980596963 827.601764887749</t>
  </si>
  <si>
    <t>9763-20170724T115551.462470900.bin</t>
  </si>
  <si>
    <t>-619.616625440128 18.9603149190123 -93.6446147087999</t>
  </si>
  <si>
    <t>-639.261560468233 15.8460239004303 -202.556718616542</t>
  </si>
  <si>
    <t>-651.380686276406 14.7689510510838 -294.631811921851</t>
  </si>
  <si>
    <t>-661.497225618313 14.3274657191255 -377.912025659466</t>
  </si>
  <si>
    <t>-670.215661415023 14.4642838437749 -461.351244652619</t>
  </si>
  <si>
    <t>-681.425751315086 15.2959279024508 -583.492841562253</t>
  </si>
  <si>
    <t>-671.471297580528 20.5032278871959 -661.042848280649</t>
  </si>
  <si>
    <t>-679.033967189123 46.1871313549616 -529.453482197153</t>
  </si>
  <si>
    <t>-658.243466359081 197.659199598671 -498.440542058963</t>
  </si>
  <si>
    <t>-570.469052626226 209.080141629915 -230.590175218199</t>
  </si>
  <si>
    <t>-351.373681119745 136.856683209506 -203.580489982231</t>
  </si>
  <si>
    <t>-627.669611622334 113.074817068707 -96.5994838099299</t>
  </si>
  <si>
    <t>-638.439405277147 137.029011710281 318.144755253955</t>
  </si>
  <si>
    <t>-666.641222941342 189.291496324477 777.418203570748</t>
  </si>
  <si>
    <t>-515.766229512994 193.224127569202 833.141638378153</t>
  </si>
  <si>
    <t>-610.91270796011 -88.3131653051846 321.229375944882</t>
  </si>
  <si>
    <t>-655.538848662305 -112.514560375526 781.886187344014</t>
  </si>
  <si>
    <t>-502.036635281706 -124.426383467314 828.565915582828</t>
  </si>
  <si>
    <t>9763-20170724T115551.526640500.bin</t>
  </si>
  <si>
    <t>-620.195243555582 19.7558349520007 -93.3790501851663</t>
  </si>
  <si>
    <t>-639.849149394591 16.6615415847673 -202.290229186888</t>
  </si>
  <si>
    <t>-651.821662239411 15.6860631340614 -294.385510315082</t>
  </si>
  <si>
    <t>-661.743103883334 15.3677684418856 -377.689843800436</t>
  </si>
  <si>
    <t>-670.203338322392 15.6596441716281 -461.155188033175</t>
  </si>
  <si>
    <t>-680.966267435768 16.752925302246 -583.334802718346</t>
  </si>
  <si>
    <t>-670.936602987695 22.1871012451677 -660.859620571497</t>
  </si>
  <si>
    <t>-678.807917426498 47.5254441043635 -529.217922682326</t>
  </si>
  <si>
    <t>-658.41922975985 198.967974922203 -497.790322189754</t>
  </si>
  <si>
    <t>-570.081831637511 209.807168078573 -230.101084441972</t>
  </si>
  <si>
    <t>-350.908504267914 137.197847196554 -204.813200278805</t>
  </si>
  <si>
    <t>-628.599474928405 113.51871175639 -96.2277795100161</t>
  </si>
  <si>
    <t>-639.218272264699 136.964439850517 318.549376382653</t>
  </si>
  <si>
    <t>-666.735027460296 189.165895420884 777.84488889644</t>
  </si>
  <si>
    <t>-515.797608884043 193.20563445062 833.391296152032</t>
  </si>
  <si>
    <t>-610.611498257878 -87.2857056425257 321.505574692974</t>
  </si>
  <si>
    <t>-654.959396438224 -112.410961701721 782.088292834856</t>
  </si>
  <si>
    <t>-501.684309197129 -123.523710518293 829.702189701039</t>
  </si>
  <si>
    <t>9763-20170724T115551.558726200.bin</t>
  </si>
  <si>
    <t>-620.597884489705 20.0254818288431 -93.2632499908332</t>
  </si>
  <si>
    <t>-640.143825273845 16.9598808598757 -202.194724463873</t>
  </si>
  <si>
    <t>-651.982772383168 16.0331373298975 -294.307714009103</t>
  </si>
  <si>
    <t>-661.766090236992 15.7676230765653 -377.628547767327</t>
  </si>
  <si>
    <t>-670.070472461089 16.121472612469 -461.109403461011</t>
  </si>
  <si>
    <t>-680.586098213667 17.3146361048591 -583.309750198622</t>
  </si>
  <si>
    <t>-670.527315861495 22.8321202153413 -660.824790217888</t>
  </si>
  <si>
    <t>-678.547555813338 48.0419303911185 -529.162532620155</t>
  </si>
  <si>
    <t>-658.25859920818 199.466177519482 -497.583283910863</t>
  </si>
  <si>
    <t>-569.820923415135 210.266420839691 -229.925311834304</t>
  </si>
  <si>
    <t>-350.733234401695 137.13772761187 -205.403715647631</t>
  </si>
  <si>
    <t>-629.093116985501 113.526841146447 -96.0330774847074</t>
  </si>
  <si>
    <t>-639.914270893451 137.047356099874 318.734661796715</t>
  </si>
  <si>
    <t>-666.789964915666 189.168178676007 778.059958930293</t>
  </si>
  <si>
    <t>-515.804207395386 193.031238161315 833.487440987469</t>
  </si>
  <si>
    <t>-611.00017266861 -87.1326699888448 321.554029248323</t>
  </si>
  <si>
    <t>-654.844306526292 -112.395326599848 782.130242098031</t>
  </si>
  <si>
    <t>-501.63351721611 -123.57980811342 829.933833117326</t>
  </si>
  <si>
    <t>9763-20170724T115551.626930100.bin</t>
  </si>
  <si>
    <t>-621.342062220783 20.5912490130522 -93.0849529161553</t>
  </si>
  <si>
    <t>-640.615461579948 17.5792470118452 -202.066418192295</t>
  </si>
  <si>
    <t>-652.189928496613 16.7395826007498 -294.213867363117</t>
  </si>
  <si>
    <t>-661.720201114372 16.568514731342 -377.564175967206</t>
  </si>
  <si>
    <t>-669.757251785307 17.033359196317 -461.070644627354</t>
  </si>
  <si>
    <t>-679.866412207675 18.4068915264866 -583.303403942746</t>
  </si>
  <si>
    <t>-669.742961431559 24.0563077697987 -660.800587789926</t>
  </si>
  <si>
    <t>-678.046497744662 49.0509689412845 -529.101308426305</t>
  </si>
  <si>
    <t>-658.059517591458 200.475134263161 -497.372830299118</t>
  </si>
  <si>
    <t>-569.388533171114 211.083144207302 -229.784539951562</t>
  </si>
  <si>
    <t>-350.193698593477 138.073991327124 -205.871836872258</t>
  </si>
  <si>
    <t>-629.890992678104 113.811196088745 -95.8228197565908</t>
  </si>
  <si>
    <t>-640.92172052548 137.388660470553 318.936251647902</t>
  </si>
  <si>
    <t>-666.906908922414 189.10142120483 778.385682668618</t>
  </si>
  <si>
    <t>-515.830509061999 192.91512253185 833.568966797273</t>
  </si>
  <si>
    <t>-612.234228550651 -87.0062390693117 321.545130206716</t>
  </si>
  <si>
    <t>-654.804103113113 -112.354946596084 782.160481531979</t>
  </si>
  <si>
    <t>-501.593560515068 -123.39721039448 829.997935668003</t>
  </si>
  <si>
    <t>9763-20170724T115551.660018700.bin</t>
  </si>
  <si>
    <t>-621.637944367644 20.9378594947241 -93.0654815001908</t>
  </si>
  <si>
    <t>-640.820182455194 17.9481681907996 -202.063750214357</t>
  </si>
  <si>
    <t>-652.314617241639 17.1451485143896 -294.221488267471</t>
  </si>
  <si>
    <t>-661.771509723746 17.0146580883393 -377.580360967705</t>
  </si>
  <si>
    <t>-669.734263682238 17.5278965767782 -461.093539491719</t>
  </si>
  <si>
    <t>-679.733739377091 18.9817382738504 -583.334413434024</t>
  </si>
  <si>
    <t>-669.582902461939 24.6884170636486 -660.823811089605</t>
  </si>
  <si>
    <t>-677.989950101958 49.5878572556769 -529.108327012306</t>
  </si>
  <si>
    <t>-658.20983320386 201.040845255613 -497.361350442003</t>
  </si>
  <si>
    <t>-569.228189554634 211.335516656643 -229.863992084891</t>
  </si>
  <si>
    <t>-349.990966099322 138.411081731864 -206.081540191932</t>
  </si>
  <si>
    <t>-630.192029834596 114.127606288267 -95.8000484237307</t>
  </si>
  <si>
    <t>-641.199135484379 137.607643344576 318.965096681401</t>
  </si>
  <si>
    <t>-666.939518041645 189.095446836374 778.475648571965</t>
  </si>
  <si>
    <t>-515.838275781382 192.818931691595 833.596982915563</t>
  </si>
  <si>
    <t>-612.770005267724 -86.8114263323018 321.517431988967</t>
  </si>
  <si>
    <t>-654.825111890129 -112.323650564068 782.168126129588</t>
  </si>
  <si>
    <t>-501.597498149905 -123.378041460815 829.948079933636</t>
  </si>
  <si>
    <t>9763-20170724T115551.723191800.bin</t>
  </si>
  <si>
    <t>-621.729474113989 21.5798063197533 -93.0728229530732</t>
  </si>
  <si>
    <t>-640.875370910726 18.6193859513191 -202.078207698743</t>
  </si>
  <si>
    <t>-652.347868241631 17.8665771819019 -294.239159871466</t>
  </si>
  <si>
    <t>-661.788758933977 17.7924230883129 -377.599967007995</t>
  </si>
  <si>
    <t>-669.739444625209 18.3736464591482 -461.113760714166</t>
  </si>
  <si>
    <t>-679.725870019813 19.9397868417727 -583.354288871253</t>
  </si>
  <si>
    <t>-669.522531823693 25.7188864667344 -660.831405453306</t>
  </si>
  <si>
    <t>-678.021362272562 50.4931179658872 -529.097195158732</t>
  </si>
  <si>
    <t>-658.43065744756 201.953780914086 -497.271700539936</t>
  </si>
  <si>
    <t>-569.025582075048 211.715756421989 -229.8956268283</t>
  </si>
  <si>
    <t>-349.833934355781 138.527641997921 -206.506388334069</t>
  </si>
  <si>
    <t>-630.314400846229 114.62628730345 -95.7541866707735</t>
  </si>
  <si>
    <t>-641.286254254949 137.860217046145 319.025814601587</t>
  </si>
  <si>
    <t>-667.001828472737 189.048787641494 778.59016503393</t>
  </si>
  <si>
    <t>-515.886883931339 192.722598961633 833.677289414956</t>
  </si>
  <si>
    <t>-613.007176208721 -86.3130028172516 321.489909657855</t>
  </si>
  <si>
    <t>-654.897196994946 -112.154046487292 782.138219613922</t>
  </si>
  <si>
    <t>-501.593012220806 -122.871045131472 829.749029110254</t>
  </si>
  <si>
    <t>9763-20170724T115551.761292800.bin</t>
  </si>
  <si>
    <t>-621.477157707313 21.9299333676076 -93.0725317093836</t>
  </si>
  <si>
    <t>-640.652163761298 18.9921361280356 -202.073480698283</t>
  </si>
  <si>
    <t>-652.164093327267 18.2699705200969 -294.229771099916</t>
  </si>
  <si>
    <t>-661.646600447552 18.2274963198779 -377.585621090838</t>
  </si>
  <si>
    <t>-669.644912022563 18.845087918512 -461.094850843345</t>
  </si>
  <si>
    <t>-679.707662601584 20.4692649525791 -583.328386297558</t>
  </si>
  <si>
    <t>-669.494119345108 26.2782043616101 -660.8019450406</t>
  </si>
  <si>
    <t>-677.990811003874 50.9949028189267 -529.056141754873</t>
  </si>
  <si>
    <t>-658.511003895744 202.460637675483 -497.183399418969</t>
  </si>
  <si>
    <t>-568.805789986005 211.925409305774 -229.897062149922</t>
  </si>
  <si>
    <t>-349.686727664408 138.495027749198 -206.587221320353</t>
  </si>
  <si>
    <t>-630.143400502313 114.949755201386 -95.7053183860896</t>
  </si>
  <si>
    <t>-641.186835595772 137.994731755248 319.083263065634</t>
  </si>
  <si>
    <t>-667.01830030123 189.026417518686 778.649460208757</t>
  </si>
  <si>
    <t>-515.901891509879 192.731931888928 833.730532421189</t>
  </si>
  <si>
    <t>-612.715143631969 -86.0457717405036 321.490409159567</t>
  </si>
  <si>
    <t>-654.863745932309 -112.077374586211 782.129390688319</t>
  </si>
  <si>
    <t>-501.596337337838 -123.224852283907 829.759756500268</t>
  </si>
  <si>
    <t>9763-20170724T115551.826471300.bin</t>
  </si>
  <si>
    <t>-620.573081971127 22.6836154427463 -92.9617309919961</t>
  </si>
  <si>
    <t>-639.792563482163 19.7623847857024 -201.955176904779</t>
  </si>
  <si>
    <t>-651.413611771094 19.0633330425869 -294.097955470934</t>
  </si>
  <si>
    <t>-661.023017668383 19.043518698435 -377.439416901564</t>
  </si>
  <si>
    <t>-669.176768131742 19.6858523585388 -460.933433843959</t>
  </si>
  <si>
    <t>-679.497869681888 21.3484395225803 -583.144828717832</t>
  </si>
  <si>
    <t>-669.293876315371 27.1915693390713 -660.617055709919</t>
  </si>
  <si>
    <t>-677.695117099529 51.8544937905174 -528.864355747575</t>
  </si>
  <si>
    <t>-658.336598139828 203.323799576269 -496.921851195162</t>
  </si>
  <si>
    <t>-568.00891091161 212.298576606746 -229.82833021347</t>
  </si>
  <si>
    <t>-349.048043271105 138.368946804167 -206.610248237522</t>
  </si>
  <si>
    <t>-629.48368191003 115.691185530526 -95.566558781145</t>
  </si>
  <si>
    <t>-640.750563847178 138.378513247571 319.235751287095</t>
  </si>
  <si>
    <t>-667.022972832039 189.008559205252 778.810597845889</t>
  </si>
  <si>
    <t>-515.919003626184 192.703798958202 833.926488006522</t>
  </si>
  <si>
    <t>-611.980586828538 -85.6432483745427 321.581617303632</t>
  </si>
  <si>
    <t>-654.720889216326 -112.017816624662 782.142921599012</t>
  </si>
  <si>
    <t>-501.55586421374 -123.781440423231 829.954166829659</t>
  </si>
  <si>
    <t>9763-20170724T115551.859566100.bin</t>
  </si>
  <si>
    <t>-620.053981208466 22.9986718815501 -92.8780865628639</t>
  </si>
  <si>
    <t>-639.304168302966 20.0623810602667 -201.86569337294</t>
  </si>
  <si>
    <t>-650.994747150493 19.3539683272361 -293.999704788749</t>
  </si>
  <si>
    <t>-660.684431028521 19.3263330155478 -377.33169457934</t>
  </si>
  <si>
    <t>-668.935987698808 19.961691313471 -460.816136769773</t>
  </si>
  <si>
    <t>-679.419145419804 21.6151371352832 -583.013826245019</t>
  </si>
  <si>
    <t>-669.250382142988 27.4735008390446 -660.489714806147</t>
  </si>
  <si>
    <t>-677.551127887946 52.1247067583524 -528.737674509916</t>
  </si>
  <si>
    <t>-658.18673553247 203.585542458437 -496.758147523878</t>
  </si>
  <si>
    <t>-567.602149151053 212.339765824978 -229.744337895805</t>
  </si>
  <si>
    <t>-348.725893715039 138.058821952624 -206.852065188412</t>
  </si>
  <si>
    <t>-628.977298130437 115.998322020321 -95.4889966094362</t>
  </si>
  <si>
    <t>-640.494269285005 138.489475640315 319.317127835895</t>
  </si>
  <si>
    <t>-667.019662484906 189.008140122488 778.881670566293</t>
  </si>
  <si>
    <t>-515.928536494313 192.7279451369 834.031112717542</t>
  </si>
  <si>
    <t>-611.609973859024 -85.5376415307112 321.643979561087</t>
  </si>
  <si>
    <t>-654.657056729696 -111.989500859699 782.169529542355</t>
  </si>
  <si>
    <t>-501.514328422297 -123.805384437836 830.039288801154</t>
  </si>
  <si>
    <t>9763-20170724T115551.925783400.bin</t>
  </si>
  <si>
    <t>-619.237974844168 23.4490785098474 -92.7511845276376</t>
  </si>
  <si>
    <t>-638.585771123619 20.4617515594891 -201.720206074369</t>
  </si>
  <si>
    <t>-650.44731579654 19.7326055201017 -293.831976005408</t>
  </si>
  <si>
    <t>-660.327285671473 19.6956645524369 -377.14181691535</t>
  </si>
  <si>
    <t>-668.805099835729 20.331203121229 -460.603573588929</t>
  </si>
  <si>
    <t>-679.658683049332 21.995356424512 -582.768909706317</t>
  </si>
  <si>
    <t>-669.620630648728 27.8886081527392 -660.259043229549</t>
  </si>
  <si>
    <t>-677.618342327256 52.5008152572102 -528.496479756123</t>
  </si>
  <si>
    <t>-658.05488880805 203.914086010766 -496.393357447805</t>
  </si>
  <si>
    <t>-567.250509749333 212.542562251856 -229.450013800476</t>
  </si>
  <si>
    <t>-348.582254486001 137.448517857572 -207.232676414058</t>
  </si>
  <si>
    <t>-628.051731633083 116.615969084644 -95.4128911713551</t>
  </si>
  <si>
    <t>-639.953027470148 138.612362532104 319.408966224799</t>
  </si>
  <si>
    <t>-667.020639001918 188.95024087976 778.966270051392</t>
  </si>
  <si>
    <t>-515.961355387664 192.721948156356 834.19933017166</t>
  </si>
  <si>
    <t>-611.103919614181 -85.2259912909994 321.771720603867</t>
  </si>
  <si>
    <t>-654.741944707556 -111.875760789336 782.193345874288</t>
  </si>
  <si>
    <t>-501.531376176069 -123.684644785876 829.847269812303</t>
  </si>
  <si>
    <t>9763-20170724T115551.958858500.bin</t>
  </si>
  <si>
    <t>-619.017394019033 23.4844060831424 -92.7640309327297</t>
  </si>
  <si>
    <t>-638.433775255571 20.4733192553726 -201.720179246251</t>
  </si>
  <si>
    <t>-650.370431080377 19.7413245327818 -293.822412920003</t>
  </si>
  <si>
    <t>-660.325349299243 19.7094940499965 -377.123161924733</t>
  </si>
  <si>
    <t>-668.885413796674 20.3577502769117 -460.576490338334</t>
  </si>
  <si>
    <t>-679.867284232444 22.049088430085 -582.729943467972</t>
  </si>
  <si>
    <t>-669.906205664515 27.9685990764667 -660.227925046748</t>
  </si>
  <si>
    <t>-677.775997653131 52.5419858014729 -528.452389256702</t>
  </si>
  <si>
    <t>-658.083553304511 203.904759211187 -496.234392275349</t>
  </si>
  <si>
    <t>-567.495815778198 212.592510782948 -229.219436576464</t>
  </si>
  <si>
    <t>-348.940495961648 137.033609438583 -207.471863963386</t>
  </si>
  <si>
    <t>-627.669281841308 116.805751601308 -95.429605022254</t>
  </si>
  <si>
    <t>-639.803537788217 138.560494730609 319.398166747443</t>
  </si>
  <si>
    <t>-667.03102220086 188.889782524243 778.95591358095</t>
  </si>
  <si>
    <t>-515.990780184632 192.826928942077 834.229459545449</t>
  </si>
  <si>
    <t>-611.143396455394 -85.2906040932517 321.750241131716</t>
  </si>
  <si>
    <t>-655.070393775101 -111.808464005039 782.14736595492</t>
  </si>
  <si>
    <t>-501.701072388542 -123.901898113823 829.215639247214</t>
  </si>
  <si>
    <t>9763-20170724T115552.029583000.bin</t>
  </si>
  <si>
    <t>-618.87801108181 23.6911307280614 -92.9646116208858</t>
  </si>
  <si>
    <t>-638.296776859925 20.6896668381553 -201.920606076854</t>
  </si>
  <si>
    <t>-650.223070032291 19.9538073206297 -294.024084948461</t>
  </si>
  <si>
    <t>-660.163803334818 19.9144147015697 -377.326733355957</t>
  </si>
  <si>
    <t>-668.704827077897 20.5507492263898 -460.781902239559</t>
  </si>
  <si>
    <t>-679.653608402436 22.2201119700715 -582.938663102017</t>
  </si>
  <si>
    <t>-669.780933912041 28.1578478106248 -660.446585199839</t>
  </si>
  <si>
    <t>-677.561670492147 52.7241872731931 -528.667391404617</t>
  </si>
  <si>
    <t>-657.611294941833 204.050365504974 -496.393490882244</t>
  </si>
  <si>
    <t>-568.153165001406 212.864300975644 -229.002114157442</t>
  </si>
  <si>
    <t>-349.800782955693 136.453712773142 -208.21290515632</t>
  </si>
  <si>
    <t>-627.193935343435 117.127720587229 -95.5700246994512</t>
  </si>
  <si>
    <t>-639.765257269729 138.525671834015 319.263341050735</t>
  </si>
  <si>
    <t>-667.0579493736 188.871375221419 778.864453801471</t>
  </si>
  <si>
    <t>-516.041189718958 192.710439493867 834.209055787831</t>
  </si>
  <si>
    <t>-611.535257847216 -85.2224274739776 321.535501167048</t>
  </si>
  <si>
    <t>-655.7714724513 -111.568481068015 781.898565583929</t>
  </si>
  <si>
    <t>-502.02718121824 -123.610867745813 827.740625041012</t>
  </si>
  <si>
    <t>9763-20170724T115552.059664700.bin</t>
  </si>
  <si>
    <t>-618.786168873304 23.7750713435773 -93.0527699070798</t>
  </si>
  <si>
    <t>-638.148418192462 20.7792481780789 -202.018879756585</t>
  </si>
  <si>
    <t>-650.040182117166 20.0264284097216 -294.126694382142</t>
  </si>
  <si>
    <t>-659.954957061252 19.9630996337935 -377.43235349012</t>
  </si>
  <si>
    <t>-668.475223965497 20.5664814042548 -460.890009024033</t>
  </si>
  <si>
    <t>-679.399223851784 22.1774914009711 -583.049754545715</t>
  </si>
  <si>
    <t>-669.54860433609 28.0920294384462 -660.562326555333</t>
  </si>
  <si>
    <t>-677.291405517454 52.7099262391612 -528.795002713336</t>
  </si>
  <si>
    <t>-657.184438007702 204.020623527568 -496.556863448934</t>
  </si>
  <si>
    <t>-568.398862654269 212.859157079591 -228.942209393252</t>
  </si>
  <si>
    <t>-350.183896381416 135.961229747713 -208.510053886859</t>
  </si>
  <si>
    <t>-626.950869192406 117.249133327089 -95.6484983514116</t>
  </si>
  <si>
    <t>-639.764798482803 138.566882806566 319.181496132227</t>
  </si>
  <si>
    <t>-667.064470997957 188.926314943803 778.795942301607</t>
  </si>
  <si>
    <t>-516.054011756961 192.627063204565 834.167084369653</t>
  </si>
  <si>
    <t>-611.636689435556 -85.2341549877879 321.439754088004</t>
  </si>
  <si>
    <t>-655.963428078206 -111.490837164221 781.83242845849</t>
  </si>
  <si>
    <t>-502.123010189323 -123.744017535653 827.294550465175</t>
  </si>
  <si>
    <t>9763-20170724T115552.128917000.bin</t>
  </si>
  <si>
    <t>-618.500311199288 23.7830538783255 -93.1701062301333</t>
  </si>
  <si>
    <t>-637.776326244613 20.8175143065514 -202.152308905186</t>
  </si>
  <si>
    <t>-649.644567874348 20.0262069827008 -294.262816058559</t>
  </si>
  <si>
    <t>-659.557978474761 19.9035091870387 -377.568661866454</t>
  </si>
  <si>
    <t>-668.096505738737 20.4219081506308 -461.025070894335</t>
  </si>
  <si>
    <t>-679.06894868211 21.8798414222294 -583.182319102952</t>
  </si>
  <si>
    <t>-669.213911094187 27.6867411137571 -660.702314475436</t>
  </si>
  <si>
    <t>-676.867465666732 52.4863353567916 -528.973090056071</t>
  </si>
  <si>
    <t>-656.138821406144 203.678574186687 -496.587615509301</t>
  </si>
  <si>
    <t>-568.520376136104 212.907720468192 -228.601806770725</t>
  </si>
  <si>
    <t>-350.509010273997 135.254703545854 -208.863872766705</t>
  </si>
  <si>
    <t>-626.453661113478 117.323036240085 -95.7865584343342</t>
  </si>
  <si>
    <t>-639.784557069831 138.42778352937 319.038109607491</t>
  </si>
  <si>
    <t>-667.153357377748 188.744417613063 778.669975265504</t>
  </si>
  <si>
    <t>-516.162678380075 192.739830236917 834.074511063891</t>
  </si>
  <si>
    <t>-611.789222269426 -85.401579817031 321.329128183796</t>
  </si>
  <si>
    <t>-656.18862698345 -111.361249996489 781.762168180341</t>
  </si>
  <si>
    <t>-502.199201111034 -123.573362867725 826.728222301031</t>
  </si>
  <si>
    <t>9763-20170724T115552.159999500.bin</t>
  </si>
  <si>
    <t>-618.38275992823 23.7970001586357 -93.2292302908781</t>
  </si>
  <si>
    <t>-637.638150458468 20.8512034394184 -202.215751223711</t>
  </si>
  <si>
    <t>-649.51742190577 20.030864443775 -294.324553335004</t>
  </si>
  <si>
    <t>-659.452416516942 19.8644588874786 -377.627600491988</t>
  </si>
  <si>
    <t>-668.024161193086 20.3210697196105 -461.08097389316</t>
  </si>
  <si>
    <t>-679.057978659978 21.668768748709 -583.233997368696</t>
  </si>
  <si>
    <t>-669.169437496555 27.3849564800412 -660.756614394893</t>
  </si>
  <si>
    <t>-676.793631411991 52.327300075299 -529.056703511387</t>
  </si>
  <si>
    <t>-655.842444526168 203.482312402959 -496.659158294682</t>
  </si>
  <si>
    <t>-568.828923466645 212.95837492478 -228.484864710807</t>
  </si>
  <si>
    <t>-350.900714301229 134.911873392177 -209.39102072679</t>
  </si>
  <si>
    <t>-626.223799635434 117.410837788001 -95.8486607858578</t>
  </si>
  <si>
    <t>-639.722101656923 138.444064284834 318.974133779112</t>
  </si>
  <si>
    <t>-667.182483755628 188.736719556806 778.604195119458</t>
  </si>
  <si>
    <t>-516.193912977166 192.572131454223 834.02583739309</t>
  </si>
  <si>
    <t>-611.859898290914 -85.4686286074766 321.287783196813</t>
  </si>
  <si>
    <t>-656.217452467972 -111.337855478486 781.739886243175</t>
  </si>
  <si>
    <t>-502.232128344655 -123.91494942455 826.619310561977</t>
  </si>
  <si>
    <t>9763-20170724T115552.226186800.bin</t>
  </si>
  <si>
    <t>-618.201814007132 23.8844016136122 -93.3150884161316</t>
  </si>
  <si>
    <t>-637.398368864729 20.9814625767146 -202.313080873068</t>
  </si>
  <si>
    <t>-649.29296377669 20.0913666766817 -294.419278081192</t>
  </si>
  <si>
    <t>-659.26843200621 19.8223407358846 -377.717306169348</t>
  </si>
  <si>
    <t>-667.907556605193 20.1354203767492 -461.164210330369</t>
  </si>
  <si>
    <t>-679.069678473678 21.2286567070755 -583.308126891642</t>
  </si>
  <si>
    <t>-669.083593875381 26.7180344300543 -660.834724452596</t>
  </si>
  <si>
    <t>-676.691124225669 52.0047038697444 -529.20257072599</t>
  </si>
  <si>
    <t>-655.535989891836 203.190824552307 -497.088063331896</t>
  </si>
  <si>
    <t>-569.764117354366 213.049560038535 -228.527965806657</t>
  </si>
  <si>
    <t>-351.874444597176 134.593193178516 -210.717278927433</t>
  </si>
  <si>
    <t>-625.805228415159 117.59262498542 -95.9574054984161</t>
  </si>
  <si>
    <t>-639.496435887122 138.439649975723 318.868489112704</t>
  </si>
  <si>
    <t>-667.235121796547 188.692646206851 778.482951384252</t>
  </si>
  <si>
    <t>-516.257656470061 192.445606795815 833.940523710884</t>
  </si>
  <si>
    <t>-611.998403191667 -85.5017493348573 321.232768505801</t>
  </si>
  <si>
    <t>-656.196342490896 -111.235209744664 781.736092984331</t>
  </si>
  <si>
    <t>-502.167016136372 -123.586145818109 826.527204454886</t>
  </si>
  <si>
    <t>9763-20170724T115552.259277100.bin</t>
  </si>
  <si>
    <t>-618.129224420044 23.9824267446597 -93.3299145596537</t>
  </si>
  <si>
    <t>-637.320999045078 21.091661470331 -202.329104325104</t>
  </si>
  <si>
    <t>-649.222208324919 20.1652298462393 -294.434061194513</t>
  </si>
  <si>
    <t>-659.20823126499 19.8462667711115 -377.730623580514</t>
  </si>
  <si>
    <t>-667.86270561068 20.0914591938724 -461.176311555921</t>
  </si>
  <si>
    <t>-679.052626109073 21.0663758366711 -583.318567580549</t>
  </si>
  <si>
    <t>-669.011023637297 26.4532871757426 -660.845214548953</t>
  </si>
  <si>
    <t>-676.650414317757 51.89560306409 -529.244459788877</t>
  </si>
  <si>
    <t>-655.508296555416 203.130945029297 -497.359666655421</t>
  </si>
  <si>
    <t>-570.203128565559 213.354031815918 -228.664476624603</t>
  </si>
  <si>
    <t>-352.3769333656 134.598754758041 -211.405208325799</t>
  </si>
  <si>
    <t>-625.636742640178 117.665756474978 -95.9843216423149</t>
  </si>
  <si>
    <t>-639.451402763497 138.472854423255 318.83946945735</t>
  </si>
  <si>
    <t>-667.278620267722 188.617662280672 778.440346463205</t>
  </si>
  <si>
    <t>-516.302827573653 192.405699689213 833.900028463004</t>
  </si>
  <si>
    <t>-612.040095332323 -85.4376886462908 321.223436792316</t>
  </si>
  <si>
    <t>-656.205942043792 -111.164806210798 781.727371205114</t>
  </si>
  <si>
    <t>-502.142040907532 -123.338392874978 826.448047770744</t>
  </si>
  <si>
    <t>9763-20170724T115552.329040600.bin</t>
  </si>
  <si>
    <t>-618.169763911568 24.1802765252492 -93.3785349876409</t>
  </si>
  <si>
    <t>-637.345431257547 21.2933190183467 -202.380579798191</t>
  </si>
  <si>
    <t>-649.264445175677 20.2950700044996 -294.482672583926</t>
  </si>
  <si>
    <t>-659.279723296571 19.8821131746256 -377.775185039635</t>
  </si>
  <si>
    <t>-667.976811730455 20.0041468537149 -461.216743940159</t>
  </si>
  <si>
    <t>-679.24369784904 20.767648096516 -583.353593102355</t>
  </si>
  <si>
    <t>-669.091615248853 25.967684649494 -660.878438864108</t>
  </si>
  <si>
    <t>-676.802014695548 51.6909165829395 -529.334720741465</t>
  </si>
  <si>
    <t>-655.770797995984 203.038040724368 -497.890588370231</t>
  </si>
  <si>
    <t>-571.067822385902 213.629695241333 -229.019264500276</t>
  </si>
  <si>
    <t>-353.336458880575 134.431624791999 -212.610426864534</t>
  </si>
  <si>
    <t>-625.591680146031 117.862338431006 -96.0645537471515</t>
  </si>
  <si>
    <t>-639.455806178398 138.568905298663 318.76268691236</t>
  </si>
  <si>
    <t>-667.367701584154 188.510540404865 778.379454989431</t>
  </si>
  <si>
    <t>-516.383373528028 192.331086424429 833.813681448922</t>
  </si>
  <si>
    <t>-612.122710252695 -85.2636359896255 321.199165585841</t>
  </si>
  <si>
    <t>-656.257104952645 -111.097242324574 781.694444304318</t>
  </si>
  <si>
    <t>-502.179233917624 -123.702159756915 826.247224695152</t>
  </si>
  <si>
    <t>9763-20170724T115552.362134400.bin</t>
  </si>
  <si>
    <t>-618.175474572521 24.3006612559345 -93.4074210677686</t>
  </si>
  <si>
    <t>-637.354306287191 21.4060053794071 -202.408678648621</t>
  </si>
  <si>
    <t>-649.299777816569 20.3692149908786 -294.506951161372</t>
  </si>
  <si>
    <t>-659.348588580649 19.9086143548695 -377.795173914526</t>
  </si>
  <si>
    <t>-668.088907761148 19.9707170007837 -461.23229300306</t>
  </si>
  <si>
    <t>-679.429877232468 20.6329032114129 -583.362736193244</t>
  </si>
  <si>
    <t>-669.23484476342 25.742955959993 -660.887985657156</t>
  </si>
  <si>
    <t>-676.96878833155 51.5999691153593 -529.369925159425</t>
  </si>
  <si>
    <t>-655.996687874076 203.007873897989 -498.151979140692</t>
  </si>
  <si>
    <t>-571.433003254157 213.640691632173 -229.238428099426</t>
  </si>
  <si>
    <t>-353.778700128742 134.179225056118 -213.082424107514</t>
  </si>
  <si>
    <t>-625.587290135325 117.956379124562 -96.091500208085</t>
  </si>
  <si>
    <t>-639.523325366431 138.60141020763 318.736334288754</t>
  </si>
  <si>
    <t>-667.401341735681 188.518010258301 778.356408961059</t>
  </si>
  <si>
    <t>-516.410724975721 192.327345840755 833.774269346837</t>
  </si>
  <si>
    <t>-612.11349861199 -85.1444135917156 321.182920933213</t>
  </si>
  <si>
    <t>-656.273246513336 -111.039593296897 781.677228715247</t>
  </si>
  <si>
    <t>-502.155029953446 -123.429314632232 826.150671041584</t>
  </si>
  <si>
    <t>9763-20170724T115552.424317400.bin</t>
  </si>
  <si>
    <t>-618.113621328641 24.5666665022241 -93.4360527675271</t>
  </si>
  <si>
    <t>-637.291301179903 21.6413812443038 -202.436786138333</t>
  </si>
  <si>
    <t>-649.306962040665 20.5118141682583 -294.524720845087</t>
  </si>
  <si>
    <t>-659.447951604846 19.9398890725536 -377.801140271384</t>
  </si>
  <si>
    <t>-668.309624012522 19.8639105720042 -461.225394322358</t>
  </si>
  <si>
    <t>-679.860189338435 20.2949253101197 -583.337372156478</t>
  </si>
  <si>
    <t>-669.619601772507 25.2195472641524 -660.868483697165</t>
  </si>
  <si>
    <t>-677.364501425534 51.3593027443947 -529.402027578006</t>
  </si>
  <si>
    <t>-656.581851616327 202.881222475368 -498.644777806812</t>
  </si>
  <si>
    <t>-572.169651282839 213.898332377973 -229.699027144352</t>
  </si>
  <si>
    <t>-354.758218355474 133.764610072282 -213.59363337731</t>
  </si>
  <si>
    <t>-625.653348350399 118.115055381532 -96.1318581257</t>
  </si>
  <si>
    <t>-639.704931117131 138.657329475325 318.697268623206</t>
  </si>
  <si>
    <t>-667.476733623834 188.463032538979 778.325571473825</t>
  </si>
  <si>
    <t>-516.476229625929 192.252391990698 833.717906447637</t>
  </si>
  <si>
    <t>-612.007510869284 -84.9256737661985 321.161964874359</t>
  </si>
  <si>
    <t>-656.282730984875 -110.95952242643 781.643502320145</t>
  </si>
  <si>
    <t>-502.163535055368 -123.684926169218 826.018757928356</t>
  </si>
  <si>
    <t>9763-20170724T115552.457407300.bin</t>
  </si>
  <si>
    <t>-618.087978069304 24.6739503994163 -93.4401176582816</t>
  </si>
  <si>
    <t>-637.283729073745 21.7238234993335 -202.436986244036</t>
  </si>
  <si>
    <t>-649.326468521288 20.5492868558342 -294.520799871861</t>
  </si>
  <si>
    <t>-659.49668136092 19.9261393726079 -377.793359358002</t>
  </si>
  <si>
    <t>-668.392392729323 19.7890230682701 -461.213831864305</t>
  </si>
  <si>
    <t>-679.998115280063 20.1197112247689 -583.320822269426</t>
  </si>
  <si>
    <t>-669.737819056731 24.9625269166229 -660.854657386413</t>
  </si>
  <si>
    <t>-677.508053765337 51.2259270938048 -529.409272517</t>
  </si>
  <si>
    <t>-656.892515405441 202.817090772479 -498.87733007166</t>
  </si>
  <si>
    <t>-572.454190004641 214.138775690308 -229.952512290948</t>
  </si>
  <si>
    <t>-355.096330424147 133.87316463134 -213.780447539007</t>
  </si>
  <si>
    <t>-625.734317511994 118.18508922391 -96.1488824452172</t>
  </si>
  <si>
    <t>-639.777801652209 138.673626450558 318.683105870429</t>
  </si>
  <si>
    <t>-667.513004879294 188.428072592534 778.316138574907</t>
  </si>
  <si>
    <t>-516.508873321952 192.156819639951 833.702711331834</t>
  </si>
  <si>
    <t>-611.901538167381 -84.792987698344 321.160093284157</t>
  </si>
  <si>
    <t>-656.274189491457 -110.914625916256 781.630126446481</t>
  </si>
  <si>
    <t>-502.113771649028 -123.300194770519 825.958288650515</t>
  </si>
  <si>
    <t>9763-20170724T115552.525281200.bin</t>
  </si>
  <si>
    <t>-618.025240615936 24.933053625939 -93.4326294096815</t>
  </si>
  <si>
    <t>-637.269853778169 21.9275295891321 -202.419351757086</t>
  </si>
  <si>
    <t>-649.379595853055 20.6709743854092 -294.49332374102</t>
  </si>
  <si>
    <t>-659.620600461401 19.9576163472004 -377.756442283577</t>
  </si>
  <si>
    <t>-668.597592286221 19.7150257235708 -461.16807871616</t>
  </si>
  <si>
    <t>-680.333529703032 19.8750752971205 -583.262932354664</t>
  </si>
  <si>
    <t>-670.07281497719 24.6161909058385 -660.802852052985</t>
  </si>
  <si>
    <t>-677.841328824097 51.0518257347621 -529.392277232151</t>
  </si>
  <si>
    <t>-657.496348276623 202.745321085462 -499.19511966981</t>
  </si>
  <si>
    <t>-572.988770300085 214.635709309174 -230.316661612628</t>
  </si>
  <si>
    <t>-355.578058557807 134.546448469562 -213.9821387446</t>
  </si>
  <si>
    <t>-625.867363428595 118.399669701518 -96.1643168847268</t>
  </si>
  <si>
    <t>-639.883849202409 138.7304078467 318.676444960303</t>
  </si>
  <si>
    <t>-667.58641962095 188.346495835581 778.309889940172</t>
  </si>
  <si>
    <t>-516.581503528734 192.126009522322 833.690877617551</t>
  </si>
  <si>
    <t>-611.637678235474 -84.5128583228486 321.182644034778</t>
  </si>
  <si>
    <t>-656.269604867841 -110.823272918817 781.604445336824</t>
  </si>
  <si>
    <t>-502.115920194635 -123.53641355567 825.863105619866</t>
  </si>
  <si>
    <t>9763-20170724T115552.563387500.bin</t>
  </si>
  <si>
    <t>-617.97986369069 25.0789393241487 -93.4298956987408</t>
  </si>
  <si>
    <t>-637.270543442763 22.0444041974301 -202.407641267514</t>
  </si>
  <si>
    <t>-649.433902643718 20.7578306039013 -294.474119674765</t>
  </si>
  <si>
    <t>-659.729278183092 20.0142744108455 -377.730324818161</t>
  </si>
  <si>
    <t>-668.766682430319 19.7390582596825 -461.13526621402</t>
  </si>
  <si>
    <t>-680.597671062679 19.8485149545111 -583.221042740925</t>
  </si>
  <si>
    <t>-670.357623698014 24.5752253560158 -660.764653672762</t>
  </si>
  <si>
    <t>-678.097516494199 51.0446727350645 -529.362013439216</t>
  </si>
  <si>
    <t>-657.888225539667 202.777928886096 -499.271781325115</t>
  </si>
  <si>
    <t>-573.242363074144 214.905156211519 -230.447433527953</t>
  </si>
  <si>
    <t>-355.810281946178 134.893691707565 -214.015978894795</t>
  </si>
  <si>
    <t>-625.889219022864 118.533571935495 -96.1648060558138</t>
  </si>
  <si>
    <t>-639.883506967859 138.859573534892 318.676823036093</t>
  </si>
  <si>
    <t>-667.605399155866 188.404131547735 778.312185373639</t>
  </si>
  <si>
    <t>-516.594102274762 192.059452512061 833.684097881892</t>
  </si>
  <si>
    <t>-611.534353980647 -84.3367645942883 321.190801615459</t>
  </si>
  <si>
    <t>-656.260816391814 -110.716530656669 781.591925938059</t>
  </si>
  <si>
    <t>-502.044319309821 -122.83545031205 825.798590073037</t>
  </si>
  <si>
    <t>9763-20170724T115552.625288000.bin</t>
  </si>
  <si>
    <t>-618.085385225741 25.2534616344453 -93.4482463479487</t>
  </si>
  <si>
    <t>-637.446574776831 22.186200099954 -202.412649260247</t>
  </si>
  <si>
    <t>-649.667071235311 20.8476289639657 -294.470730166797</t>
  </si>
  <si>
    <t>-660.013045480451 20.0463990415049 -377.720093888356</t>
  </si>
  <si>
    <t>-669.100253047923 19.70329847996 -461.119438563787</t>
  </si>
  <si>
    <t>-681.003153955498 19.7025398836793 -583.198301163083</t>
  </si>
  <si>
    <t>-670.788522610889 24.4115091138406 -660.746333409559</t>
  </si>
  <si>
    <t>-678.512914934116 50.9436464519661 -529.364947643046</t>
  </si>
  <si>
    <t>-658.508462977116 202.749230344898 -499.482407567709</t>
  </si>
  <si>
    <t>-573.836939354195 215.149352646937 -230.678447424845</t>
  </si>
  <si>
    <t>-356.398763791626 135.143681109723 -214.299762882607</t>
  </si>
  <si>
    <t>-626.122741839278 118.724738259556 -96.1936909886786</t>
  </si>
  <si>
    <t>-639.984675347676 138.921268391675 318.658753201793</t>
  </si>
  <si>
    <t>-667.67879933999 188.310127544126 778.318572267455</t>
  </si>
  <si>
    <t>-516.662573192801 192.017659691058 833.673702300303</t>
  </si>
  <si>
    <t>-611.481377640749 -84.1582084385213 321.183125367448</t>
  </si>
  <si>
    <t>-656.226985682341 -110.696013247545 781.579101539615</t>
  </si>
  <si>
    <t>-502.064697705612 -123.529560437555 825.773239135609</t>
  </si>
  <si>
    <t>9763-20170724T115552.663390400.bin</t>
  </si>
  <si>
    <t>-618.215534304137 25.3099024154048 -93.4604712866393</t>
  </si>
  <si>
    <t>-637.598490954242 22.2266737259986 -202.42054709897</t>
  </si>
  <si>
    <t>-649.840267285322 20.861892976214 -294.47541188219</t>
  </si>
  <si>
    <t>-660.206727746478 20.0315296065558 -377.722004560162</t>
  </si>
  <si>
    <t>-669.315636933441 19.6539170566 -461.118770964221</t>
  </si>
  <si>
    <t>-681.251525069403 19.5969132715804 -583.194374751977</t>
  </si>
  <si>
    <t>-671.052942278843 24.2776282724139 -660.746288082841</t>
  </si>
  <si>
    <t>-678.744299582838 50.8631679437228 -529.376279535072</t>
  </si>
  <si>
    <t>-658.779142829486 202.702648419059 -499.632602580629</t>
  </si>
  <si>
    <t>-574.118029857188 215.225716753267 -230.831035685297</t>
  </si>
  <si>
    <t>-356.731621644706 135.09999697331 -214.352065954953</t>
  </si>
  <si>
    <t>-626.271441542714 118.758922307911 -96.2050298395397</t>
  </si>
  <si>
    <t>-640.065538541852 138.945211457947 318.650181226536</t>
  </si>
  <si>
    <t>-667.722022455026 188.247387122404 778.322851306476</t>
  </si>
  <si>
    <t>-516.700927610766 191.968777690997 833.663706520084</t>
  </si>
  <si>
    <t>-611.532531173878 -84.0767256448733 321.177058928322</t>
  </si>
  <si>
    <t>-656.202438463964 -110.613942427246 781.576751902875</t>
  </si>
  <si>
    <t>-502.009970267341 -123.123956934634 825.758267528014</t>
  </si>
  <si>
    <t>9763-20170724T115552.725191500.bin</t>
  </si>
  <si>
    <t>-618.568956546221 25.2718999193876 -93.4798775731156</t>
  </si>
  <si>
    <t>-637.937686098694 22.174596998238 -202.442000740417</t>
  </si>
  <si>
    <t>-650.220559399485 20.7946299789635 -294.491271147435</t>
  </si>
  <si>
    <t>-660.645587600128 19.9494635769047 -377.730324340136</t>
  </si>
  <si>
    <t>-669.834619631031 19.5560658623365 -461.118285369519</t>
  </si>
  <si>
    <t>-681.91132249421 19.4751294217131 -583.179953992946</t>
  </si>
  <si>
    <t>-671.754988924424 24.1029349029388 -660.740584422241</t>
  </si>
  <si>
    <t>-679.343939781978 50.7515899776854 -529.370929930428</t>
  </si>
  <si>
    <t>-659.311063546796 202.602229564752 -499.75732662976</t>
  </si>
  <si>
    <t>-574.694309761543 215.191099815917 -230.944941961285</t>
  </si>
  <si>
    <t>-357.437520222783 134.728682733324 -214.397508901184</t>
  </si>
  <si>
    <t>-626.61989643534 118.710865508601 -96.2370710903266</t>
  </si>
  <si>
    <t>-640.393604336881 138.864346717605 318.620366614634</t>
  </si>
  <si>
    <t>-667.824345278465 188.144702507366 778.306574325267</t>
  </si>
  <si>
    <t>-516.795183228771 191.84110156975 833.627032769425</t>
  </si>
  <si>
    <t>-611.764562414127 -84.0130945270023 321.162659230086</t>
  </si>
  <si>
    <t>-656.154664025158 -110.519905956061 781.573596358152</t>
  </si>
  <si>
    <t>-501.954821845131 -122.970260014424 825.746257913437</t>
  </si>
  <si>
    <t>9763-20170724T115552.758282900.bin</t>
  </si>
  <si>
    <t>-618.755534818673 25.1902945158108 -93.5023388219206</t>
  </si>
  <si>
    <t>-638.106950581052 22.094137144732 -202.467721836266</t>
  </si>
  <si>
    <t>-650.391466712415 20.71822749591 -294.516789525756</t>
  </si>
  <si>
    <t>-660.824520960716 19.8780112840045 -377.754827845412</t>
  </si>
  <si>
    <t>-670.028126210826 19.4908825796399 -461.141088698024</t>
  </si>
  <si>
    <t>-682.133495320788 19.4201493412825 -583.200172017047</t>
  </si>
  <si>
    <t>-671.985563420094 24.0333032428177 -660.762716998174</t>
  </si>
  <si>
    <t>-679.548681543421 50.692675746029 -529.389339555806</t>
  </si>
  <si>
    <t>-659.497923742413 202.557977823016 -499.821315148077</t>
  </si>
  <si>
    <t>-574.951862723443 215.109448821065 -230.98502086625</t>
  </si>
  <si>
    <t>-357.709195716514 134.591298691259 -214.523337654259</t>
  </si>
  <si>
    <t>-626.799112621141 118.629447447444 -96.2612603360287</t>
  </si>
  <si>
    <t>-640.585762536758 138.799440816268 318.595004685145</t>
  </si>
  <si>
    <t>-667.875461065665 188.09456219948 778.291264935492</t>
  </si>
  <si>
    <t>-516.840222106965 191.694195322297 833.601447101695</t>
  </si>
  <si>
    <t>-611.932664836869 -84.0508081218909 321.145628491268</t>
  </si>
  <si>
    <t>-656.137249757978 -110.503777222117 781.57360975343</t>
  </si>
  <si>
    <t>-501.953402708542 -123.171965835535 825.740155195703</t>
  </si>
  <si>
    <t>9763-20170724T115552.827398300.bin</t>
  </si>
  <si>
    <t>-619.134485641607 25.0743513991335 -93.5518171058516</t>
  </si>
  <si>
    <t>-638.390232296427 22.0078032928839 -202.534889062525</t>
  </si>
  <si>
    <t>-650.606463307109 20.644787232078 -294.593255346819</t>
  </si>
  <si>
    <t>-660.982886639383 19.8119357759349 -377.83846170844</t>
  </si>
  <si>
    <t>-670.134818844504 19.4275660221103 -461.230627475585</t>
  </si>
  <si>
    <t>-682.170128419512 19.3557946934625 -583.296409846833</t>
  </si>
  <si>
    <t>-671.954210468067 23.9435476784952 -660.851424568554</t>
  </si>
  <si>
    <t>-679.594001444721 50.6305914000668 -529.486673263011</t>
  </si>
  <si>
    <t>-659.403960790955 202.492861663486 -499.999682773173</t>
  </si>
  <si>
    <t>-575.16354711045 215.009292687013 -231.065593114787</t>
  </si>
  <si>
    <t>-358.052538964083 134.12936240604 -214.640694021003</t>
  </si>
  <si>
    <t>-627.149450171449 118.463733769231 -96.309057255527</t>
  </si>
  <si>
    <t>-640.912249118983 138.721186008916 318.543750565182</t>
  </si>
  <si>
    <t>-667.942395464373 188.036718592966 778.260759336786</t>
  </si>
  <si>
    <t>-516.898719079367 191.730137169629 833.541696857961</t>
  </si>
  <si>
    <t>-612.244890955784 -84.1376992950418 321.095186538549</t>
  </si>
  <si>
    <t>-656.093951297185 -110.435802371022 781.566687947596</t>
  </si>
  <si>
    <t>-501.896831926643 -122.961659686715 825.727542465228</t>
  </si>
  <si>
    <t>9763-20170724T115552.859487500.bin</t>
  </si>
  <si>
    <t>-619.257335870892 25.0171075288142 -93.5597501645647</t>
  </si>
  <si>
    <t>-638.461191372559 21.963697793522 -202.552348023423</t>
  </si>
  <si>
    <t>-650.648246881383 20.6065800231409 -294.614687928972</t>
  </si>
  <si>
    <t>-661.004036466893 19.7774815164819 -377.862539619986</t>
  </si>
  <si>
    <t>-670.141149765008 19.3944211131532 -461.256110428703</t>
  </si>
  <si>
    <t>-682.160990467319 19.322099958925 -583.323641709825</t>
  </si>
  <si>
    <t>-671.89337652062 23.9004199443725 -660.872412943211</t>
  </si>
  <si>
    <t>-679.569985931711 50.5991938217355 -529.515702875078</t>
  </si>
  <si>
    <t>-659.262130139166 202.445581733406 -500.049791139434</t>
  </si>
  <si>
    <t>-575.175279447649 214.968224758857 -231.06809039625</t>
  </si>
  <si>
    <t>-358.162722911026 133.843497585382 -214.549470127633</t>
  </si>
  <si>
    <t>-627.273828999575 118.392486422 -96.3225208316644</t>
  </si>
  <si>
    <t>-640.996211080796 138.682445679585 318.529974963565</t>
  </si>
  <si>
    <t>-667.968517015178 188.02037028255 778.246447271103</t>
  </si>
  <si>
    <t>-516.92471540822 191.592917169143 833.535126771712</t>
  </si>
  <si>
    <t>-612.335063355983 -84.21200624276 321.07522642567</t>
  </si>
  <si>
    <t>-656.066121589625 -110.451381286073 781.567210727408</t>
  </si>
  <si>
    <t>-501.88153390561 -123.093384161943 825.73869609914</t>
  </si>
  <si>
    <t>9763-20170724T115552.928234400.bin</t>
  </si>
  <si>
    <t>-619.322086451721 24.9796467766348 -93.5861409597289</t>
  </si>
  <si>
    <t>-638.475210413661 21.9394705591105 -202.588043252011</t>
  </si>
  <si>
    <t>-650.645344766988 20.6088474679866 -294.653087392114</t>
  </si>
  <si>
    <t>-660.996199128072 19.8101011975373 -377.90173031596</t>
  </si>
  <si>
    <t>-670.138619944266 19.4635083314217 -461.295028470578</t>
  </si>
  <si>
    <t>-682.17746090832 19.450984081147 -583.360545443118</t>
  </si>
  <si>
    <t>-671.798972511622 24.0372327982368 -660.894079839211</t>
  </si>
  <si>
    <t>-679.547307288429 50.7041981393966 -529.540929137472</t>
  </si>
  <si>
    <t>-658.952099331155 202.485991673884 -499.952014380221</t>
  </si>
  <si>
    <t>-575.196431856044 215.087526730918 -230.870619689229</t>
  </si>
  <si>
    <t>-358.303844918366 133.620055943151 -214.463698496741</t>
  </si>
  <si>
    <t>-627.308518676666 118.371359963752 -96.3382037601093</t>
  </si>
  <si>
    <t>-641.136242291973 138.683073598361 318.509744443993</t>
  </si>
  <si>
    <t>-668.017792524842 187.990259767773 778.229500248264</t>
  </si>
  <si>
    <t>-516.985091543348 191.595328088832 833.546287740263</t>
  </si>
  <si>
    <t>-612.486417213331 -84.2954182771298 321.050662093676</t>
  </si>
  <si>
    <t>-656.018896545346 -110.368678687609 781.563045253583</t>
  </si>
  <si>
    <t>-501.838416861225 -123.06233730554 825.733945937595</t>
  </si>
  <si>
    <t>9763-20170724T115552.962332500.bin</t>
  </si>
  <si>
    <t>-619.346188696579 24.9826889648832 -93.6043111137346</t>
  </si>
  <si>
    <t>-638.50211267163 21.9420861851365 -202.605616428661</t>
  </si>
  <si>
    <t>-650.687164936385 20.6202600900619 -294.668765698985</t>
  </si>
  <si>
    <t>-661.056530263619 19.8331599399598 -377.915335575064</t>
  </si>
  <si>
    <t>-670.222421245611 19.5017339014551 -461.305984618787</t>
  </si>
  <si>
    <t>-682.301011405727 19.5152050119134 -583.367692731039</t>
  </si>
  <si>
    <t>-671.87243764248 24.1005302890478 -660.894646371922</t>
  </si>
  <si>
    <t>-679.641151310641 50.7580350387759 -529.543362793982</t>
  </si>
  <si>
    <t>-658.924300295071 202.51879545054 -499.911634060117</t>
  </si>
  <si>
    <t>-575.508976290862 215.167546509018 -230.726764072081</t>
  </si>
  <si>
    <t>-358.635977275813 133.612155869457 -214.498817676065</t>
  </si>
  <si>
    <t>-627.341676776659 118.369446616173 -96.3596630298887</t>
  </si>
  <si>
    <t>-641.167524811351 138.723069934292 318.48628017029</t>
  </si>
  <si>
    <t>-668.023662718785 188.00341015271 778.217273130109</t>
  </si>
  <si>
    <t>-517.000022527077 191.749216800893 833.549442395794</t>
  </si>
  <si>
    <t>-612.541353226448 -84.2770462392225 321.035944188568</t>
  </si>
  <si>
    <t>-655.996023591273 -110.297148568668 781.558300547088</t>
  </si>
  <si>
    <t>-501.768899061058 -122.478905933955 825.710584548549</t>
  </si>
  <si>
    <t>9763-20170724T115553.028007100.bin</t>
  </si>
  <si>
    <t>-619.450185319372 24.9585501582969 -93.6135278600452</t>
  </si>
  <si>
    <t>-638.639608683237 21.9350183954407 -202.609558661614</t>
  </si>
  <si>
    <t>-650.882913789078 20.6222417676709 -294.665028655164</t>
  </si>
  <si>
    <t>-661.317058779927 19.8420558055543 -377.903516883082</t>
  </si>
  <si>
    <t>-670.559944459986 19.5155571518189 -461.285731133986</t>
  </si>
  <si>
    <t>-682.764373660998 19.5345072735236 -583.334745373142</t>
  </si>
  <si>
    <t>-672.252512394815 24.080664888917 -660.852901174752</t>
  </si>
  <si>
    <t>-680.015220496262 50.7778158148794 -529.515379956156</t>
  </si>
  <si>
    <t>-658.915188586107 202.473370978103 -499.829470882409</t>
  </si>
  <si>
    <t>-576.690507716034 215.369710084422 -230.290392580993</t>
  </si>
  <si>
    <t>-359.911043889262 133.455010364766 -214.631988623244</t>
  </si>
  <si>
    <t>-627.37796000463 118.362685974531 -96.374907890028</t>
  </si>
  <si>
    <t>-641.150738359722 138.718665274898 318.472727753522</t>
  </si>
  <si>
    <t>-668.067813576071 187.969446871817 778.198927646278</t>
  </si>
  <si>
    <t>-517.051924344911 191.67532672656 833.554953601532</t>
  </si>
  <si>
    <t>-612.577902532413 -84.2631011981296 321.0242962233</t>
  </si>
  <si>
    <t>-655.947854376846 -110.271237903418 781.554915773768</t>
  </si>
  <si>
    <t>-501.748870247085 -122.76328613767 825.718762847814</t>
  </si>
  <si>
    <t>9763-20170724T115553.061094200.bin</t>
  </si>
  <si>
    <t>-619.521161698746 24.8902661905697 -93.6123131550698</t>
  </si>
  <si>
    <t>-638.749035555231 21.8751260990407 -202.601707108209</t>
  </si>
  <si>
    <t>-651.023032932313 20.5649244794156 -294.653112970411</t>
  </si>
  <si>
    <t>-661.484333470938 19.7857322373541 -377.888355133086</t>
  </si>
  <si>
    <t>-670.753679478953 19.4589951482826 -461.267561894137</t>
  </si>
  <si>
    <t>-682.996279244731 19.4754560859767 -583.312860150695</t>
  </si>
  <si>
    <t>-672.446678570459 23.9973667154059 -660.82722203545</t>
  </si>
  <si>
    <t>-680.213862693518 50.7213279989517 -529.496430152627</t>
  </si>
  <si>
    <t>-658.90024957356 202.38114303447 -499.798784466361</t>
  </si>
  <si>
    <t>-577.49222722689 215.549505132315 -230.025093376134</t>
  </si>
  <si>
    <t>-360.755525135025 133.449458654346 -214.75018402898</t>
  </si>
  <si>
    <t>-627.402484527619 118.274853815952 -96.3659198889573</t>
  </si>
  <si>
    <t>-641.157588093158 138.665693073306 318.480613688704</t>
  </si>
  <si>
    <t>-668.109542689394 187.915921463965 778.198897544123</t>
  </si>
  <si>
    <t>-517.092090430034 191.468599697664 833.560653498053</t>
  </si>
  <si>
    <t>-612.617343882198 -84.2473863313076 321.024374408538</t>
  </si>
  <si>
    <t>-655.924179025901 -110.235925408413 781.551821359141</t>
  </si>
  <si>
    <t>-501.731462711787 -122.782694201253 825.722156359997</t>
  </si>
  <si>
    <t>9763-20170724T115553.130222700.bin</t>
  </si>
  <si>
    <t>-619.670092971883 24.7217157221205 -93.6073929604677</t>
  </si>
  <si>
    <t>-638.93002240261 21.7341572780947 -202.59194161954</t>
  </si>
  <si>
    <t>-651.250157554194 20.4144814952542 -294.637105506646</t>
  </si>
  <si>
    <t>-661.761047216473 19.6144948844048 -377.865708744354</t>
  </si>
  <si>
    <t>-671.087893036378 19.2545160930847 -461.238551562643</t>
  </si>
  <si>
    <t>-683.423341862469 19.2085397988487 -583.274438328421</t>
  </si>
  <si>
    <t>-672.826109911659 23.6553457526763 -660.786676198692</t>
  </si>
  <si>
    <t>-680.571455216222 50.4842460661091 -529.479124740343</t>
  </si>
  <si>
    <t>-659.129450125545 202.149843368892 -499.880919124875</t>
  </si>
  <si>
    <t>-579.406057274894 216.012713129329 -229.639271668526</t>
  </si>
  <si>
    <t>-362.770129421988 133.514690731038 -215.096797162877</t>
  </si>
  <si>
    <t>-627.524490372663 118.104864564757 -96.3643490348441</t>
  </si>
  <si>
    <t>-641.173612571902 138.528042994332 318.484045241045</t>
  </si>
  <si>
    <t>-668.162518467561 187.841636891474 778.198591211637</t>
  </si>
  <si>
    <t>-517.143383501953 191.539521864573 833.54632187987</t>
  </si>
  <si>
    <t>-612.578277763105 -84.1936512133761 321.03348803065</t>
  </si>
  <si>
    <t>-655.707797097514 -110.258197937264 781.582802500414</t>
  </si>
  <si>
    <t>-501.607979914192 -122.870648332267 826.057441625889</t>
  </si>
  <si>
    <t>9763-20170724T115553.161307000.bin</t>
  </si>
  <si>
    <t>-619.776899303552 24.6485635068329 -93.5850751663578</t>
  </si>
  <si>
    <t>-639.052836859846 21.667726374852 -202.567090373627</t>
  </si>
  <si>
    <t>-651.392042476754 20.3419305978937 -294.60948359033</t>
  </si>
  <si>
    <t>-661.922348089081 19.5322194749547 -377.835704815943</t>
  </si>
  <si>
    <t>-671.271040885215 19.157768895662 -461.205842603429</t>
  </si>
  <si>
    <t>-683.640937684509 19.0860370689529 -583.23830856726</t>
  </si>
  <si>
    <t>-673.032225566276 23.4909729947408 -660.751269436053</t>
  </si>
  <si>
    <t>-680.779049738215 50.3725625607144 -529.44983980962</t>
  </si>
  <si>
    <t>-659.308068160656 202.034969111237 -499.86967417335</t>
  </si>
  <si>
    <t>-580.458390224348 216.132273102955 -229.383782648249</t>
  </si>
  <si>
    <t>-363.865057598391 133.463676695663 -215.179351272186</t>
  </si>
  <si>
    <t>-627.647029354381 118.0187048601 -96.3405530556656</t>
  </si>
  <si>
    <t>-641.252355168923 138.438949367015 318.509437018524</t>
  </si>
  <si>
    <t>-668.201717199664 187.786988677225 778.21339856694</t>
  </si>
  <si>
    <t>-517.174869761891 191.326993151752 833.55037675806</t>
  </si>
  <si>
    <t>-612.580211410987 -84.1467380480647 321.058862564185</t>
  </si>
  <si>
    <t>-655.614771505912 -110.263492992888 781.615648298402</t>
  </si>
  <si>
    <t>-501.549415603961 -122.85981991645 826.214134403982</t>
  </si>
  <si>
    <t>9763-20170724T115553.225133100.bin</t>
  </si>
  <si>
    <t>-620.088646493844 24.6628790532529 -93.588337892138</t>
  </si>
  <si>
    <t>-639.312300631163 21.6748358459006 -202.579334964953</t>
  </si>
  <si>
    <t>-651.629736549347 20.3249526930879 -294.624344466081</t>
  </si>
  <si>
    <t>-662.149431801585 19.4854619205505 -377.851553449794</t>
  </si>
  <si>
    <t>-671.496483644664 19.0739750900334 -461.221821888949</t>
  </si>
  <si>
    <t>-683.874014015275 18.939583098623 -583.253346712193</t>
  </si>
  <si>
    <t>-673.264615885094 23.2846044132179 -660.769633969353</t>
  </si>
  <si>
    <t>-681.026082335595 50.2523875650677 -529.479449192497</t>
  </si>
  <si>
    <t>-659.580423787398 201.930743628947 -499.944850366551</t>
  </si>
  <si>
    <t>-582.626416210517 216.607395944491 -228.94440690589</t>
  </si>
  <si>
    <t>-366.087795121446 133.67654131566 -215.452285947013</t>
  </si>
  <si>
    <t>-628.021036879692 117.883545582825 -96.3183200744099</t>
  </si>
  <si>
    <t>-641.648051333566 138.345751366023 318.528959864106</t>
  </si>
  <si>
    <t>-668.254292841108 187.732690030554 778.234628778704</t>
  </si>
  <si>
    <t>-517.21951079198 191.341904101381 833.545465468227</t>
  </si>
  <si>
    <t>-612.767600073695 -83.9497342009804 321.069337042855</t>
  </si>
  <si>
    <t>-655.557247337558 -110.182113228263 781.627894059729</t>
  </si>
  <si>
    <t>-501.480784582146 -122.513053028999 826.262181331003</t>
  </si>
  <si>
    <t>9763-20170724T115553.258225600.bin</t>
  </si>
  <si>
    <t>-620.16343629941 24.7364740334313 -93.5933247718402</t>
  </si>
  <si>
    <t>-639.324480769751 21.7304851772517 -202.594807441546</t>
  </si>
  <si>
    <t>-651.609666236644 20.3607579688876 -294.643880488641</t>
  </si>
  <si>
    <t>-662.108381035625 19.5011117548847 -377.87352980346</t>
  </si>
  <si>
    <t>-671.442647416535 19.0672172568088 -461.245041970508</t>
  </si>
  <si>
    <t>-683.810411723492 18.8979431677644 -583.277644850352</t>
  </si>
  <si>
    <t>-673.214677728842 23.2350788363337 -660.796072309407</t>
  </si>
  <si>
    <t>-680.974857615546 50.2254684660547 -529.511371608614</t>
  </si>
  <si>
    <t>-659.486333363964 201.899050805459 -500.028737079207</t>
  </si>
  <si>
    <t>-583.816891193209 217.013552181212 -228.690720764033</t>
  </si>
  <si>
    <t>-367.270072909756 134.089009751626 -215.29189801093</t>
  </si>
  <si>
    <t>-628.134809818252 117.86889997769 -96.3279156866436</t>
  </si>
  <si>
    <t>-641.791591497245 138.399713757923 318.514941904037</t>
  </si>
  <si>
    <t>-668.27513326122 187.731113841682 778.235861288533</t>
  </si>
  <si>
    <t>-517.238904449974 191.428954473403 833.536858986856</t>
  </si>
  <si>
    <t>-612.913465536161 -83.9105681508711 321.060526611018</t>
  </si>
  <si>
    <t>-655.595579184623 -110.147412997176 781.615717701357</t>
  </si>
  <si>
    <t>-501.508584052163 -122.651858884281 826.16527599861</t>
  </si>
  <si>
    <t>9763-20170724T115553.327106100.bin</t>
  </si>
  <si>
    <t>-620.255523052088 24.8149420185146 -93.6489590291635</t>
  </si>
  <si>
    <t>-639.241243015578 21.7845807391839 -202.680409218725</t>
  </si>
  <si>
    <t>-651.465407136894 20.3632301026673 -294.736829862523</t>
  </si>
  <si>
    <t>-661.943935586886 19.4440763048822 -377.968419812536</t>
  </si>
  <si>
    <t>-671.292988760022 18.9378273717523 -461.337893323423</t>
  </si>
  <si>
    <t>-683.720870014395 18.6485991731247 -583.364123231078</t>
  </si>
  <si>
    <t>-673.168366814625 22.9392316632852 -660.891145520532</t>
  </si>
  <si>
    <t>-680.859958056815 50.0287757920869 -529.63007795538</t>
  </si>
  <si>
    <t>-659.360931745309 201.737100938985 -500.31189257085</t>
  </si>
  <si>
    <t>-586.235018565906 217.590285727762 -228.31937254558</t>
  </si>
  <si>
    <t>-369.516619964312 135.281957366575 -213.932005461992</t>
  </si>
  <si>
    <t>-628.24427547741 117.889469567049 -96.3979626202693</t>
  </si>
  <si>
    <t>-642.021154420664 138.436958379861 318.440070620363</t>
  </si>
  <si>
    <t>-668.317353431639 187.73258521711 778.198202675518</t>
  </si>
  <si>
    <t>-517.28678252276 191.465029071862 833.512485804263</t>
  </si>
  <si>
    <t>-613.262027646594 -84.0008456464529 321.010887180255</t>
  </si>
  <si>
    <t>-655.667771775579 -110.047595093037 781.581172791953</t>
  </si>
  <si>
    <t>-501.488233804116 -122.102139555218 825.934139856662</t>
  </si>
  <si>
    <t>9763-20170724T115553.359172400.bin</t>
  </si>
  <si>
    <t>-620.312812659906 24.7567979253813 -93.6648423858949</t>
  </si>
  <si>
    <t>-639.229513700396 21.721071078347 -202.708103412689</t>
  </si>
  <si>
    <t>-651.432546932686 20.2902082545816 -294.767229469498</t>
  </si>
  <si>
    <t>-661.906717441298 19.3609682458946 -377.999214194765</t>
  </si>
  <si>
    <t>-671.266381058003 18.8427402985378 -461.367413610516</t>
  </si>
  <si>
    <t>-683.726212729979 18.5338922182546 -583.390337590612</t>
  </si>
  <si>
    <t>-673.184131989636 22.7891509135309 -660.920775025207</t>
  </si>
  <si>
    <t>-680.848019192285 49.923017152561 -529.662490595247</t>
  </si>
  <si>
    <t>-659.264238729667 201.632627074857 -500.415963906271</t>
  </si>
  <si>
    <t>-587.477050300654 217.661178400284 -228.077448606401</t>
  </si>
  <si>
    <t>-370.648218306922 135.783825093424 -212.915415466266</t>
  </si>
  <si>
    <t>-628.302348613304 117.826854220445 -96.4282490033437</t>
  </si>
  <si>
    <t>-642.111566630483 138.38878896506 318.407995783267</t>
  </si>
  <si>
    <t>-668.328235552419 187.721577054083 778.170116175999</t>
  </si>
  <si>
    <t>-517.306803614718 191.404973306636 833.512511405129</t>
  </si>
  <si>
    <t>-613.380481218272 -84.1446575760538 320.989702254378</t>
  </si>
  <si>
    <t>-655.698734518298 -110.047602937091 781.570899686932</t>
  </si>
  <si>
    <t>-501.543182266198 -122.66222532722 825.8514533512</t>
  </si>
  <si>
    <t>9763-20170724T115553.425358700.bin</t>
  </si>
  <si>
    <t>-620.312842002645 24.6041737964526 -93.7146919072117</t>
  </si>
  <si>
    <t>-639.13713188186 21.5425619382431 -202.773195848688</t>
  </si>
  <si>
    <t>-651.310129256979 20.0609561928206 -294.835553758596</t>
  </si>
  <si>
    <t>-661.776630013829 19.0743019915783 -378.067871050845</t>
  </si>
  <si>
    <t>-671.148087652711 18.4872869565038 -461.43422347205</t>
  </si>
  <si>
    <t>-683.646560584011 18.0658309899777 -583.452803861652</t>
  </si>
  <si>
    <t>-673.10945518483 22.2073254166858 -660.990186882694</t>
  </si>
  <si>
    <t>-680.764058361559 49.5034979936033 -529.753661020969</t>
  </si>
  <si>
    <t>-659.32961389364 201.274273325732 -500.700365373073</t>
  </si>
  <si>
    <t>-589.790548867169 217.361631906469 -227.782443941816</t>
  </si>
  <si>
    <t>-372.738353850694 136.481923529015 -210.596628010578</t>
  </si>
  <si>
    <t>-628.261676462728 117.746505564324 -96.5005897624727</t>
  </si>
  <si>
    <t>-642.11374647464 138.347325017624 318.332232229851</t>
  </si>
  <si>
    <t>-668.359241717348 187.711238196226 778.100327295402</t>
  </si>
  <si>
    <t>-517.346090806539 191.338269295283 833.469091384899</t>
  </si>
  <si>
    <t>-613.619269667166 -84.4248899287193 320.949844592045</t>
  </si>
  <si>
    <t>-655.722201888269 -109.992526620114 781.560371578239</t>
  </si>
  <si>
    <t>-501.516311035673 -122.38986833574 825.726831291427</t>
  </si>
  <si>
    <t>9763-20170724T115553.491535400.bin</t>
  </si>
  <si>
    <t>-620.285020125031 24.5161834881103 -93.7532249117317</t>
  </si>
  <si>
    <t>-639.094379295944 21.4149671297318 -202.813238634504</t>
  </si>
  <si>
    <t>-651.30935374192 19.9166670543202 -294.869568056736</t>
  </si>
  <si>
    <t>-661.835673730774 18.9209284090221 -378.094319555659</t>
  </si>
  <si>
    <t>-671.289192007046 18.3314465673359 -461.451513115579</t>
  </si>
  <si>
    <t>-683.932030545055 17.9141380866258 -583.455131407434</t>
  </si>
  <si>
    <t>-673.405799680149 22.0067444255192 -660.996561312581</t>
  </si>
  <si>
    <t>-681.038556655842 49.3454951404904 -529.752796831733</t>
  </si>
  <si>
    <t>-659.901194344594 201.187477192223 -500.817438390921</t>
  </si>
  <si>
    <t>-591.737918763378 217.208395122084 -227.548889310428</t>
  </si>
  <si>
    <t>-374.12260765113 138.533321492633 -207.490537942664</t>
  </si>
  <si>
    <t>-628.327980533223 117.653301261262 -96.5649077850277</t>
  </si>
  <si>
    <t>-642.071889632494 138.347604558505 318.266862077748</t>
  </si>
  <si>
    <t>-668.406125690944 187.656056258755 778.030790496239</t>
  </si>
  <si>
    <t>-517.395053519974 191.387185250766 833.398240956692</t>
  </si>
  <si>
    <t>-613.639842286545 -84.5003514421244 320.934261730194</t>
  </si>
  <si>
    <t>-655.696350781572 -109.96188176132 781.558697258969</t>
  </si>
  <si>
    <t>-501.49931930168 -122.544808339688 825.703575400739</t>
  </si>
  <si>
    <t>9763-20170724T115553.524645100.bin</t>
  </si>
  <si>
    <t>-620.276193420042 24.5273694093944 -93.7558224008027</t>
  </si>
  <si>
    <t>-639.108509931459 21.4096496927316 -202.811393253135</t>
  </si>
  <si>
    <t>-651.385898975634 19.9066172222124 -294.859561530834</t>
  </si>
  <si>
    <t>-661.985999460278 18.9092943040284 -378.074731954775</t>
  </si>
  <si>
    <t>-671.530752551474 18.3222624772764 -461.421466484943</t>
  </si>
  <si>
    <t>-684.326332441818 17.9126198834083 -583.40930499588</t>
  </si>
  <si>
    <t>-673.830531174093 21.9995339192053 -660.955152987146</t>
  </si>
  <si>
    <t>-681.409954023983 49.3368108999236 -529.704052568776</t>
  </si>
  <si>
    <t>-660.508945086294 201.195372250456 -500.740924563824</t>
  </si>
  <si>
    <t>-592.527710124128 217.085790071463 -227.419454426195</t>
  </si>
  <si>
    <t>-374.520310079969 139.71212983903 -206.571954491524</t>
  </si>
  <si>
    <t>-628.406106958314 117.63077587189 -96.5792220466199</t>
  </si>
  <si>
    <t>-642.072538237485 138.343154828445 318.254225438229</t>
  </si>
  <si>
    <t>-668.431178122018 187.620247211823 778.007882382921</t>
  </si>
  <si>
    <t>-517.419572128874 191.444798441546 833.367489577372</t>
  </si>
  <si>
    <t>-613.558725722118 -84.4440752638347 320.933780016182</t>
  </si>
  <si>
    <t>-655.675694903835 -109.919448149272 781.558993764109</t>
  </si>
  <si>
    <t>-501.456945196779 -122.262018307658 825.695756304069</t>
  </si>
  <si>
    <t>9763-20170724T115553.557717700.bin</t>
  </si>
  <si>
    <t>-620.272390033475 24.6118497631539 -93.7586896486657</t>
  </si>
  <si>
    <t>-639.118372983668 21.4801779727322 -202.811426371755</t>
  </si>
  <si>
    <t>-651.415330197505 19.9805925031035 -294.856917958313</t>
  </si>
  <si>
    <t>-662.036295780558 18.9915494975223 -378.069606536403</t>
  </si>
  <si>
    <t>-671.605282344827 18.4186296137239 -461.413883894085</t>
  </si>
  <si>
    <t>-684.439901172821 18.036438913743 -583.397607376633</t>
  </si>
  <si>
    <t>-673.95395242451 22.1453589846376 -660.943526131147</t>
  </si>
  <si>
    <t>-681.550212050042 49.4446861599065 -529.681503006441</t>
  </si>
  <si>
    <t>-660.876721447053 201.320820607212 -500.682263554014</t>
  </si>
  <si>
    <t>-593.093477533228 217.265141922871 -227.314749058169</t>
  </si>
  <si>
    <t>-374.736363589864 141.011266799058 -206.006229209415</t>
  </si>
  <si>
    <t>-628.500307685311 117.670996141195 -96.5880918813331</t>
  </si>
  <si>
    <t>-642.104543120999 138.363730091096 318.248426969777</t>
  </si>
  <si>
    <t>-668.463764548388 187.572146561513 777.9960528072</t>
  </si>
  <si>
    <t>-517.448334024417 191.333219156724 833.349708874458</t>
  </si>
  <si>
    <t>-613.430474623979 -84.3441987765323 320.93913960621</t>
  </si>
  <si>
    <t>-655.658331655927 -109.893943915264 781.553526275659</t>
  </si>
  <si>
    <t>-501.436954341513 -122.22218164009 825.685292047867</t>
  </si>
  <si>
    <t>9763-20170724T115553.626912200.bin</t>
  </si>
  <si>
    <t>-620.259916910186 24.8637717115223 -93.7690019861651</t>
  </si>
  <si>
    <t>-639.104363451109 21.6826573244052 -202.82064648296</t>
  </si>
  <si>
    <t>-651.323662044042 20.1531964262776 -294.875941923224</t>
  </si>
  <si>
    <t>-661.843538597381 19.1397478063361 -378.101219319165</t>
  </si>
  <si>
    <t>-671.280460980049 18.5463246354909 -461.460240556939</t>
  </si>
  <si>
    <t>-683.888025712366 18.1383428850027 -583.467640531034</t>
  </si>
  <si>
    <t>-673.397964715974 22.307050772863 -661.009786559153</t>
  </si>
  <si>
    <t>-681.176631265064 49.5509077451495 -529.744922780967</t>
  </si>
  <si>
    <t>-661.035119856519 201.49976609385 -500.674132849023</t>
  </si>
  <si>
    <t>-593.680641080079 217.895146644986 -227.227261812529</t>
  </si>
  <si>
    <t>-374.923931973305 142.908861188435 -205.5228198466</t>
  </si>
  <si>
    <t>-628.730369725199 117.785110308926 -96.6025098887172</t>
  </si>
  <si>
    <t>-642.273609011396 138.432742517496 318.238232428603</t>
  </si>
  <si>
    <t>-668.543079023511 187.495027015466 777.994689487589</t>
  </si>
  <si>
    <t>-517.515032633523 191.27837743319 833.312306336323</t>
  </si>
  <si>
    <t>-613.18720494714 -84.0369676381015 320.951118456732</t>
  </si>
  <si>
    <t>-655.58006986514 -109.85039751467 781.532585007248</t>
  </si>
  <si>
    <t>-501.380103164387 -122.144431997734 825.748641487513</t>
  </si>
  <si>
    <t>9763-20170724T115553.659997900.bin</t>
  </si>
  <si>
    <t>-620.25755466821 25.0109852757425 -93.7414610503961</t>
  </si>
  <si>
    <t>-639.077635775922 21.8160570832956 -202.796857511058</t>
  </si>
  <si>
    <t>-651.253460999243 20.2693719301303 -294.857772239399</t>
  </si>
  <si>
    <t>-661.724608334215 19.2370117855119 -378.088933566982</t>
  </si>
  <si>
    <t>-671.10327382687 18.6218483054406 -461.4543469623</t>
  </si>
  <si>
    <t>-683.615246973349 18.1785767085064 -583.47143432865</t>
  </si>
  <si>
    <t>-673.145912163813 22.3793377007944 -661.014738249843</t>
  </si>
  <si>
    <t>-680.967078009152 49.6046660027039 -529.753435267394</t>
  </si>
  <si>
    <t>-660.993464466498 201.564336575267 -500.668367655963</t>
  </si>
  <si>
    <t>-593.901345499184 218.106165617214 -227.165932154314</t>
  </si>
  <si>
    <t>-375.06874153609 143.365031345703 -205.380934577742</t>
  </si>
  <si>
    <t>-628.903744111107 117.832844972164 -96.5799618890408</t>
  </si>
  <si>
    <t>-642.421362238495 138.468000759223 318.262205727595</t>
  </si>
  <si>
    <t>-668.576109802642 187.468159875891 778.011146017405</t>
  </si>
  <si>
    <t>-517.541760484894 191.283108121981 833.309451716037</t>
  </si>
  <si>
    <t>-613.028825327728 -83.8469549731933 320.97344584051</t>
  </si>
  <si>
    <t>-655.500969489379 -109.835922251946 781.543381050523</t>
  </si>
  <si>
    <t>-501.321881382512 -122.038384246234 825.857448148144</t>
  </si>
  <si>
    <t>9763-20170724T115553.726716600.bin</t>
  </si>
  <si>
    <t>-620.138134113869 25.2836751470732 -93.6678636807462</t>
  </si>
  <si>
    <t>-638.930360392301 22.0965248576672 -202.72833313101</t>
  </si>
  <si>
    <t>-651.045937235771 20.5139847741571 -294.796464665886</t>
  </si>
  <si>
    <t>-661.447669903736 19.4309393190324 -378.035656318616</t>
  </si>
  <si>
    <t>-670.741704208485 18.7466836690405 -461.410159839264</t>
  </si>
  <si>
    <t>-683.113145473497 18.1814978432476 -583.44103311498</t>
  </si>
  <si>
    <t>-672.691982306965 22.3535340285023 -660.992337962235</t>
  </si>
  <si>
    <t>-680.508839410545 49.6630344274029 -529.753155893316</t>
  </si>
  <si>
    <t>-660.54514887697 201.644826525435 -500.73511467652</t>
  </si>
  <si>
    <t>-594.218745480801 218.309158643544 -227.053499311702</t>
  </si>
  <si>
    <t>-375.393220635948 143.64421956722 -204.938636981762</t>
  </si>
  <si>
    <t>-628.954043223659 117.936447277871 -96.488181246287</t>
  </si>
  <si>
    <t>-642.631769922025 138.469338636753 318.353891323082</t>
  </si>
  <si>
    <t>-668.639158274557 187.393342638409 778.089614412067</t>
  </si>
  <si>
    <t>-517.590199224052 191.201714001561 833.348323287509</t>
  </si>
  <si>
    <t>-612.802843511456 -83.4876402710688 321.02190036938</t>
  </si>
  <si>
    <t>-655.38120694844 -109.795868586568 781.547114767943</t>
  </si>
  <si>
    <t>-501.213033964472 -121.597303384464 826.007477923173</t>
  </si>
  <si>
    <t>9763-20170724T115553.759817100.bin</t>
  </si>
  <si>
    <t>-620.033217461317 25.4568882923147 -93.6484507543744</t>
  </si>
  <si>
    <t>-638.81766356348 22.2831719139474 -202.710680735677</t>
  </si>
  <si>
    <t>-650.924648893568 20.6750250954321 -294.779464811718</t>
  </si>
  <si>
    <t>-661.317855661492 19.5541649998422 -378.019375234503</t>
  </si>
  <si>
    <t>-670.602459931308 18.8169405166998 -461.394259170655</t>
  </si>
  <si>
    <t>-682.959209823716 18.1574758462398 -583.426276592634</t>
  </si>
  <si>
    <t>-672.56958584352 22.2532102383955 -660.98585735416</t>
  </si>
  <si>
    <t>-680.329113452873 49.6833035051231 -529.765673290936</t>
  </si>
  <si>
    <t>-660.254762720009 201.658915478113 -500.821479930429</t>
  </si>
  <si>
    <t>-594.506677613127 218.444986627513 -227.007656139366</t>
  </si>
  <si>
    <t>-375.741116050978 143.630247818854 -204.805791131251</t>
  </si>
  <si>
    <t>-628.868731548161 118.057261774697 -96.4573961576424</t>
  </si>
  <si>
    <t>-642.636718405773 138.484807185192 318.386919889214</t>
  </si>
  <si>
    <t>-668.656581798391 187.362041369187 778.132994775875</t>
  </si>
  <si>
    <t>-517.605562355357 191.056164542108 833.393931981735</t>
  </si>
  <si>
    <t>-612.701221327518 -83.2988155975052 321.041169481972</t>
  </si>
  <si>
    <t>-655.325409680806 -109.787274435073 781.553599587968</t>
  </si>
  <si>
    <t>-501.176635035844 -121.573124431743 826.085254999521</t>
  </si>
  <si>
    <t>9763-20170724T115553.823486300.bin</t>
  </si>
  <si>
    <t>-619.605182088241 25.8017819982363 -93.6150127478898</t>
  </si>
  <si>
    <t>-638.363634784599 22.633985529327 -202.681960956008</t>
  </si>
  <si>
    <t>-650.455281497674 20.9735256241647 -294.751714459746</t>
  </si>
  <si>
    <t>-660.837439656671 19.7845727747895 -377.992059190242</t>
  </si>
  <si>
    <t>-670.11372008485 18.9562563406059 -461.367087306338</t>
  </si>
  <si>
    <t>-682.46106976736 18.1389175245272 -583.39900021134</t>
  </si>
  <si>
    <t>-672.096491550355 22.0565736722858 -660.971196978389</t>
  </si>
  <si>
    <t>-679.735731861884 49.7428629592566 -529.78932766546</t>
  </si>
  <si>
    <t>-659.254775376801 201.704716660038 -501.065003681567</t>
  </si>
  <si>
    <t>-595.100031531991 219.180601201825 -226.916543879394</t>
  </si>
  <si>
    <t>-376.538087266192 143.818065892433 -204.562479768487</t>
  </si>
  <si>
    <t>-628.258151359482 118.368089682355 -96.4333538045477</t>
  </si>
  <si>
    <t>-642.314815267838 138.623276321733 318.40967889365</t>
  </si>
  <si>
    <t>-668.6748547616 187.383095784969 778.176997602466</t>
  </si>
  <si>
    <t>-517.632942667563 190.988898139498 833.468501268766</t>
  </si>
  <si>
    <t>-612.576655980011 -83.0432959217992 321.085743854578</t>
  </si>
  <si>
    <t>-655.3329828097 -109.785044088288 781.553481402307</t>
  </si>
  <si>
    <t>-501.185886725505 -121.795000554714 826.03104581268</t>
  </si>
  <si>
    <t>9763-20170724T115553.861581000.bin</t>
  </si>
  <si>
    <t>-619.353458169335 25.905060838902 -93.6067197935579</t>
  </si>
  <si>
    <t>-638.111700292855 22.7492915331904 -202.67390787861</t>
  </si>
  <si>
    <t>-650.201043158507 21.0630630665783 -294.743723722868</t>
  </si>
  <si>
    <t>-660.580384277498 19.837887904838 -377.983771345832</t>
  </si>
  <si>
    <t>-669.85315240772 18.9592577249011 -461.358671370103</t>
  </si>
  <si>
    <t>-682.194543907631 18.0529310513814 -583.390574977466</t>
  </si>
  <si>
    <t>-671.833045879919 21.8908572198313 -660.967315513029</t>
  </si>
  <si>
    <t>-679.420189288411 49.7003953284304 -529.809091268983</t>
  </si>
  <si>
    <t>-658.642213470803 201.639312721533 -501.176202964801</t>
  </si>
  <si>
    <t>-595.375348809049 219.586641116473 -226.851835564786</t>
  </si>
  <si>
    <t>-376.938501363334 143.91869076125 -204.307804276515</t>
  </si>
  <si>
    <t>-627.858570244879 118.564631543123 -96.4325651935474</t>
  </si>
  <si>
    <t>-642.09868634108 138.688031998448 318.410687020769</t>
  </si>
  <si>
    <t>-668.673445376248 187.404899434423 778.178775703515</t>
  </si>
  <si>
    <t>-517.642131417475 191.096015463521 833.493730591481</t>
  </si>
  <si>
    <t>-612.574284804078 -83.0802472302648 321.08692960622</t>
  </si>
  <si>
    <t>-655.371358192465 -109.758707658702 781.54577944826</t>
  </si>
  <si>
    <t>-501.226682655215 -122.112976720269 825.937448923021</t>
  </si>
  <si>
    <t>9763-20170724T115553.929770100.bin</t>
  </si>
  <si>
    <t>-618.863279247526 25.9371459705221 -93.629884918244</t>
  </si>
  <si>
    <t>-637.621884239278 22.7886092682579 -202.697236887581</t>
  </si>
  <si>
    <t>-649.734918697967 21.0620027675548 -294.763284273478</t>
  </si>
  <si>
    <t>-660.145419123367 19.7842994454725 -377.998517161661</t>
  </si>
  <si>
    <t>-669.459018328481 18.8356379032618 -461.368081566156</t>
  </si>
  <si>
    <t>-681.870904085861 17.8073818968182 -583.391979561257</t>
  </si>
  <si>
    <t>-671.528155540128 21.509940798117 -660.977711532798</t>
  </si>
  <si>
    <t>-678.980524670234 49.5154283286242 -529.852438975993</t>
  </si>
  <si>
    <t>-657.723859724847 201.428579679266 -501.400104089978</t>
  </si>
  <si>
    <t>-596.072273890411 219.776842231064 -226.734992482993</t>
  </si>
  <si>
    <t>-377.957782884658 143.442211242512 -203.333445504905</t>
  </si>
  <si>
    <t>-627.035830438849 118.794527888318 -96.481771048436</t>
  </si>
  <si>
    <t>-641.625490815018 138.722981995648 318.35872192218</t>
  </si>
  <si>
    <t>-668.677496203553 187.419031322851 778.133258321577</t>
  </si>
  <si>
    <t>-517.675666079186 190.925690772665 833.540596243763</t>
  </si>
  <si>
    <t>-612.583786493426 -83.2172152423566 321.073744310084</t>
  </si>
  <si>
    <t>-655.447809231921 -109.695525618366 781.53118523617</t>
  </si>
  <si>
    <t>-501.276019598616 -122.365208282803 825.739287154854</t>
  </si>
  <si>
    <t>9763-20170724T115553.959848700.bin</t>
  </si>
  <si>
    <t>-618.576634130099 25.9079801057655 -93.6368064731834</t>
  </si>
  <si>
    <t>-637.367790636451 22.7557467973522 -202.698471157339</t>
  </si>
  <si>
    <t>-649.48947179587 21.0073002740105 -294.76282797486</t>
  </si>
  <si>
    <t>-659.900399700299 19.7031185475382 -377.9977660731</t>
  </si>
  <si>
    <t>-669.207148985441 18.7212227288942 -461.367735958063</t>
  </si>
  <si>
    <t>-681.601001910318 17.6373029268843 -583.39286008755</t>
  </si>
  <si>
    <t>-671.276508301922 21.2834419023616 -660.983541177598</t>
  </si>
  <si>
    <t>-678.729548142346 49.3688241878726 -529.866182468461</t>
  </si>
  <si>
    <t>-657.569733578103 201.295355551589 -501.440724409729</t>
  </si>
  <si>
    <t>-596.384715400688 219.58701749553 -226.667391788377</t>
  </si>
  <si>
    <t>-378.320188140929 143.207450084458 -202.949118558741</t>
  </si>
  <si>
    <t>-626.630517815617 118.875945332889 -96.5058019398467</t>
  </si>
  <si>
    <t>-641.314750633871 138.724714695909 318.335175841353</t>
  </si>
  <si>
    <t>-668.651126808875 187.459536870065 778.097236627549</t>
  </si>
  <si>
    <t>-517.670065230593 191.067149554576 833.554613847361</t>
  </si>
  <si>
    <t>-612.477102920958 -83.2693329311753 321.077092434503</t>
  </si>
  <si>
    <t>-655.474756835352 -109.637878386821 781.528451568388</t>
  </si>
  <si>
    <t>-501.268740348635 -122.162849764876 825.658393917862</t>
  </si>
  <si>
    <t>9763-20170724T115554.028587500.bin</t>
  </si>
  <si>
    <t>-618.248822346282 25.7069760817255 -93.6768317151702</t>
  </si>
  <si>
    <t>-637.094889405792 22.5553510901191 -202.729139488208</t>
  </si>
  <si>
    <t>-649.202500579027 20.7830945413784 -294.794872864586</t>
  </si>
  <si>
    <t>-659.576491319684 19.4472481213418 -378.033749706297</t>
  </si>
  <si>
    <t>-668.821953077457 18.4243802543128 -461.410114701095</t>
  </si>
  <si>
    <t>-681.09975888866 17.26954177166 -583.446359566314</t>
  </si>
  <si>
    <t>-670.824802104792 20.885574514198 -661.045082337106</t>
  </si>
  <si>
    <t>-678.309813754972 49.0297671116004 -529.93231848369</t>
  </si>
  <si>
    <t>-657.536501452289 201.037060859827 -501.625327419326</t>
  </si>
  <si>
    <t>-596.88182360826 219.209403269369 -226.726452192336</t>
  </si>
  <si>
    <t>-378.755824816832 143.051645112706 -202.860571711531</t>
  </si>
  <si>
    <t>-626.316331987558 118.772208517937 -96.5375845280633</t>
  </si>
  <si>
    <t>-641.061433431424 138.527208757015 318.30567109455</t>
  </si>
  <si>
    <t>-668.721090671113 187.350320660712 778.024785419812</t>
  </si>
  <si>
    <t>-517.761028918269 191.048805737521 833.53330756427</t>
  </si>
  <si>
    <t>-612.277960717493 -83.4618487324628 321.057361742039</t>
  </si>
  <si>
    <t>-655.499044391273 -109.604674160042 781.519180970322</t>
  </si>
  <si>
    <t>-501.302389241438 -122.555603351787 825.558740270514</t>
  </si>
  <si>
    <t>9763-20170724T115554.061731400.bin</t>
  </si>
  <si>
    <t>-618.233815547743 25.6371097489996 -93.6947107594295</t>
  </si>
  <si>
    <t>-637.081739469053 22.4790491729755 -202.746429998831</t>
  </si>
  <si>
    <t>-649.175792392887 20.7020964128319 -294.813866481908</t>
  </si>
  <si>
    <t>-659.531366675247 19.3616255636366 -378.055106665171</t>
  </si>
  <si>
    <t>-668.752317664908 18.333724629545 -461.434160157213</t>
  </si>
  <si>
    <t>-680.987418263346 17.1716185192963 -583.474529996214</t>
  </si>
  <si>
    <t>-670.71623503696 20.7895147389688 -661.07365512578</t>
  </si>
  <si>
    <t>-678.231135480033 48.9336440572351 -529.959967520261</t>
  </si>
  <si>
    <t>-657.555775972957 200.949414340254 -501.658068992238</t>
  </si>
  <si>
    <t>-597.074245433073 219.073163827964 -226.717990946872</t>
  </si>
  <si>
    <t>-378.954171580353 142.923057470832 -202.773772108455</t>
  </si>
  <si>
    <t>-626.353547236439 118.673444091896 -96.5515282550823</t>
  </si>
  <si>
    <t>-641.071524026506 138.510243391217 318.28878266947</t>
  </si>
  <si>
    <t>-668.734793188614 187.34846635313 778.00164452424</t>
  </si>
  <si>
    <t>-517.774032445168 190.998787121312 833.51161776688</t>
  </si>
  <si>
    <t>-612.225205040498 -83.4759613986666 321.047859983368</t>
  </si>
  <si>
    <t>-655.490914636734 -109.58637265568 781.510210524569</t>
  </si>
  <si>
    <t>-501.280110525113 -122.417564603264 825.535294979911</t>
  </si>
  <si>
    <t>9763-20170724T115554.126920800.bin</t>
  </si>
  <si>
    <t>-618.397261966518 25.5502810642683 -93.7003808749761</t>
  </si>
  <si>
    <t>-637.250177213566 22.3852007526657 -202.75096016033</t>
  </si>
  <si>
    <t>-649.313513513935 20.6276817623589 -294.822876727329</t>
  </si>
  <si>
    <t>-659.627245449122 19.3135132208895 -378.069642155661</t>
  </si>
  <si>
    <t>-668.792111260015 18.3219404451834 -461.455207688038</t>
  </si>
  <si>
    <t>-680.929708010786 17.2237904389274 -583.506044014752</t>
  </si>
  <si>
    <t>-670.644686116225 20.8879117903496 -661.101283006925</t>
  </si>
  <si>
    <t>-678.26890413211 48.9534465281918 -529.967317349614</t>
  </si>
  <si>
    <t>-657.87920619142 200.989054174602 -501.581390865524</t>
  </si>
  <si>
    <t>-597.549585211994 219.080546674315 -226.605649419058</t>
  </si>
  <si>
    <t>-379.410382220184 142.977983939842 -202.684641347645</t>
  </si>
  <si>
    <t>-626.672699518467 118.49132651122 -96.5573731852194</t>
  </si>
  <si>
    <t>-641.269561149998 138.423034084496 318.282619994448</t>
  </si>
  <si>
    <t>-668.805272016494 187.221286605895 777.997933835451</t>
  </si>
  <si>
    <t>-517.84092120481 191.098252862123 833.482659639909</t>
  </si>
  <si>
    <t>-612.233801492422 -83.4455836637594 321.031840679433</t>
  </si>
  <si>
    <t>-655.412133981476 -109.564827099266 781.509199746498</t>
  </si>
  <si>
    <t>-501.21576851463 -122.292818377391 825.614818013438</t>
  </si>
  <si>
    <t>9763-20170724T115554.159006500.bin</t>
  </si>
  <si>
    <t>-618.537140243499 25.507064728039 -93.7057399325348</t>
  </si>
  <si>
    <t>-637.386690275175 22.339696841784 -202.756930777325</t>
  </si>
  <si>
    <t>-649.431604486333 20.596900034554 -294.831438813787</t>
  </si>
  <si>
    <t>-659.722348762728 19.3024512723644 -378.081443789716</t>
  </si>
  <si>
    <t>-668.85800855151 18.3372823454895 -461.470629327589</t>
  </si>
  <si>
    <t>-680.946040451944 17.2851985886159 -583.526643593736</t>
  </si>
  <si>
    <t>-670.631042084871 20.986904320082 -661.11602796156</t>
  </si>
  <si>
    <t>-678.337695771124 48.9919239092806 -529.971839793817</t>
  </si>
  <si>
    <t>-658.13595905161 201.04546913009 -501.511239744539</t>
  </si>
  <si>
    <t>-597.861039805641 218.971660670354 -226.512812704244</t>
  </si>
  <si>
    <t>-379.658897961613 143.030795015824 -202.651955326828</t>
  </si>
  <si>
    <t>-626.891428284143 118.392004969088 -96.5564080986724</t>
  </si>
  <si>
    <t>-641.429385022819 138.369236300098 318.283469991746</t>
  </si>
  <si>
    <t>-668.824012586763 187.218071939086 778.002828950242</t>
  </si>
  <si>
    <t>-517.854470872845 191.072443071733 833.475057765209</t>
  </si>
  <si>
    <t>-612.285527379152 -83.4075307754074 321.024410836345</t>
  </si>
  <si>
    <t>-655.385390751399 -109.514534066732 781.512512751128</t>
  </si>
  <si>
    <t>-501.148648317509 -121.747393556412 825.617083911662</t>
  </si>
  <si>
    <t>9763-20170724T115554.226214600.bin</t>
  </si>
  <si>
    <t>-618.824551073272 25.4519007977337 -93.6988100251418</t>
  </si>
  <si>
    <t>-637.647483708288 22.2802186240656 -202.754429970639</t>
  </si>
  <si>
    <t>-649.644295665517 20.5662862105858 -294.835844165422</t>
  </si>
  <si>
    <t>-659.88108391625 19.309792552461 -378.092937406927</t>
  </si>
  <si>
    <t>-668.952403195138 18.395286240949 -461.489762107202</t>
  </si>
  <si>
    <t>-680.93486675706 17.4318810471987 -583.556883821781</t>
  </si>
  <si>
    <t>-670.512843712238 21.2127872307599 -661.128238209881</t>
  </si>
  <si>
    <t>-678.437600829992 49.09403399695 -529.970475052473</t>
  </si>
  <si>
    <t>-658.611524125896 201.174958667517 -501.397594897393</t>
  </si>
  <si>
    <t>-598.464654628877 218.715567210026 -226.346304760608</t>
  </si>
  <si>
    <t>-380.104370546969 143.158810800706 -202.71380070321</t>
  </si>
  <si>
    <t>-627.364051661805 118.18988322313 -96.5317214285826</t>
  </si>
  <si>
    <t>-641.762890068854 138.317003313467 318.305867646581</t>
  </si>
  <si>
    <t>-668.867839078995 187.202642618 778.022239471239</t>
  </si>
  <si>
    <t>-517.88902239441 191.011101591168 833.472285409531</t>
  </si>
  <si>
    <t>-612.380008792928 -83.3869656660704 321.004545606384</t>
  </si>
  <si>
    <t>-655.392578060925 -109.476923355388 781.493060379938</t>
  </si>
  <si>
    <t>-501.135013763397 -121.650136566249 825.541271986261</t>
  </si>
  <si>
    <t>9763-20170724T115554.259303900.bin</t>
  </si>
  <si>
    <t>-618.92354629381 25.4426710085252 -93.6799140130623</t>
  </si>
  <si>
    <t>-637.751019716394 22.2673940907209 -202.734615540185</t>
  </si>
  <si>
    <t>-649.740878742415 20.5693225415237 -294.817270792081</t>
  </si>
  <si>
    <t>-659.966876545801 19.3337840986028 -378.075985728521</t>
  </si>
  <si>
    <t>-669.022991293392 18.4473239250053 -461.474759467821</t>
  </si>
  <si>
    <t>-680.978311350041 17.532724297135 -583.544998544492</t>
  </si>
  <si>
    <t>-670.490794173496 21.3546672936618 -661.105348063335</t>
  </si>
  <si>
    <t>-678.520929041707 49.1710358516455 -529.942563288415</t>
  </si>
  <si>
    <t>-658.827934690238 201.251825286051 -501.294164532606</t>
  </si>
  <si>
    <t>-598.686567959312 218.72573715932 -226.237388467989</t>
  </si>
  <si>
    <t>-380.296556540296 143.159911421786 -202.91054374664</t>
  </si>
  <si>
    <t>-627.578942050188 118.118430649257 -96.5170312495098</t>
  </si>
  <si>
    <t>-641.914155585886 138.30011275949 318.320118255329</t>
  </si>
  <si>
    <t>-668.897394744465 187.152490650673 778.039433186221</t>
  </si>
  <si>
    <t>-517.914559538487 190.9755256602 833.477644844495</t>
  </si>
  <si>
    <t>-612.377773445378 -83.3445729268435 321.001172246109</t>
  </si>
  <si>
    <t>-655.406723593537 -109.456065841884 781.478444833502</t>
  </si>
  <si>
    <t>-501.142614820573 -121.715100004267 825.479822192006</t>
  </si>
  <si>
    <t>9763-20170724T115554.327520800.bin</t>
  </si>
  <si>
    <t>-619.053468460704 25.5220185713902 -93.6649709625875</t>
  </si>
  <si>
    <t>-637.946531763541 22.3258825915443 -202.707829995318</t>
  </si>
  <si>
    <t>-649.985801993386 20.6443882098695 -294.784276136187</t>
  </si>
  <si>
    <t>-660.253947088741 19.4355846647625 -378.038261202546</t>
  </si>
  <si>
    <t>-669.349590121509 18.5888128526026 -461.433079352441</t>
  </si>
  <si>
    <t>-681.3597739048 17.7459620886716 -583.498510018525</t>
  </si>
  <si>
    <t>-670.774265268699 21.614408073159 -661.04338113218</t>
  </si>
  <si>
    <t>-678.907863906424 49.3500508805603 -529.875621289003</t>
  </si>
  <si>
    <t>-659.398200987541 201.439158010801 -501.137203256974</t>
  </si>
  <si>
    <t>-599.057219940348 218.85596716513 -226.120463294669</t>
  </si>
  <si>
    <t>-380.669031182621 143.14903422413 -203.238515000282</t>
  </si>
  <si>
    <t>-627.895096822334 118.094066567006 -96.4907885889722</t>
  </si>
  <si>
    <t>-642.058646299477 138.366373095672 318.347802517982</t>
  </si>
  <si>
    <t>-668.933878879396 187.139751826102 778.081361706507</t>
  </si>
  <si>
    <t>-517.940587506765 190.821768927129 833.500661768095</t>
  </si>
  <si>
    <t>-612.237227414555 -83.1279541893919 321.007406444354</t>
  </si>
  <si>
    <t>-655.375330403877 -109.406184451292 781.458070260371</t>
  </si>
  <si>
    <t>-501.084499019782 -121.304383317292 825.464863179333</t>
  </si>
  <si>
    <t>9763-20170724T115554.361629800.bin</t>
  </si>
  <si>
    <t>-619.123709055872 25.5703886758931 -93.6499520226998</t>
  </si>
  <si>
    <t>-638.066320590506 22.3682924399266 -202.684030978972</t>
  </si>
  <si>
    <t>-650.130581748546 20.700010291225 -294.757360610296</t>
  </si>
  <si>
    <t>-660.414548772216 19.5103187107691 -378.009793210575</t>
  </si>
  <si>
    <t>-669.519132968009 18.6898975506319 -461.403842581177</t>
  </si>
  <si>
    <t>-681.534861590174 17.8936404199001 -583.469117319761</t>
  </si>
  <si>
    <t>-670.897718728654 21.7825380580184 -661.005784351483</t>
  </si>
  <si>
    <t>-679.080840261759 49.4772764660565 -529.834195858616</t>
  </si>
  <si>
    <t>-659.511368976187 201.540933662026 -501.019783535321</t>
  </si>
  <si>
    <t>-599.158300003621 218.922198852011 -226.003453516637</t>
  </si>
  <si>
    <t>-380.802186937667 143.106178342107 -203.176368306267</t>
  </si>
  <si>
    <t>-628.017268807878 118.108405434321 -96.4668319304024</t>
  </si>
  <si>
    <t>-642.128945172672 138.354813222597 318.374733006253</t>
  </si>
  <si>
    <t>-668.965837688845 187.082098710584 778.111491171781</t>
  </si>
  <si>
    <t>-517.969312859937 190.899298332317 833.512640042652</t>
  </si>
  <si>
    <t>-612.198426282891 -83.0465816024864 321.025384764614</t>
  </si>
  <si>
    <t>-655.348154160965 -109.450885380786 781.465183865759</t>
  </si>
  <si>
    <t>-501.11535973356 -121.917415960124 825.517985171434</t>
  </si>
  <si>
    <t>9763-20170724T115554.423653400.bin</t>
  </si>
  <si>
    <t>-619.225206557753 25.7031672116095 -93.6407276407758</t>
  </si>
  <si>
    <t>-638.201341271348 22.4998313562764 -202.668962068233</t>
  </si>
  <si>
    <t>-650.268606495792 20.8358865236753 -294.741926070008</t>
  </si>
  <si>
    <t>-660.545150578015 19.6533961365951 -377.9952825679</t>
  </si>
  <si>
    <t>-669.632315265441 18.8429172305796 -461.391405143223</t>
  </si>
  <si>
    <t>-681.611589005994 18.0644291855253 -583.460342386804</t>
  </si>
  <si>
    <t>-670.91625099281 21.9517119544912 -660.989106804923</t>
  </si>
  <si>
    <t>-679.165813648309 49.6409761185146 -529.820927751879</t>
  </si>
  <si>
    <t>-659.52675849672 201.682154903298 -500.912241541601</t>
  </si>
  <si>
    <t>-599.283046537352 218.835326666407 -225.857565119696</t>
  </si>
  <si>
    <t>-381.00191375613 142.891862375673 -202.738966997918</t>
  </si>
  <si>
    <t>-628.062967320127 118.197868692124 -96.4497639291077</t>
  </si>
  <si>
    <t>-642.181182037427 138.353771020574 318.395949447874</t>
  </si>
  <si>
    <t>-669.0062955445 187.053512508096 778.143689832129</t>
  </si>
  <si>
    <t>-518.003982961909 190.815111045833 833.53305406126</t>
  </si>
  <si>
    <t>-612.259820517695 -82.8420934528388 321.04941787957</t>
  </si>
  <si>
    <t>-655.329007159539 -109.420120315871 781.465016135887</t>
  </si>
  <si>
    <t>-501.075848086604 -121.658085626595 825.510693708987</t>
  </si>
  <si>
    <t>9763-20170724T115554.460752600.bin</t>
  </si>
  <si>
    <t>-619.244701746064 25.7761647260215 -93.6258227290806</t>
  </si>
  <si>
    <t>-638.247718987727 22.5667946844328 -202.649182890681</t>
  </si>
  <si>
    <t>-650.326721408091 20.8838374252784 -294.720295181218</t>
  </si>
  <si>
    <t>-660.609472058296 19.6787677513967 -377.972517052585</t>
  </si>
  <si>
    <t>-669.69851409493 18.8400766161292 -461.368251849419</t>
  </si>
  <si>
    <t>-681.675667021445 18.0143629065683 -583.436965584993</t>
  </si>
  <si>
    <t>-670.986263529581 21.8798977744304 -660.967679707504</t>
  </si>
  <si>
    <t>-679.228584242262 49.6118689420223 -529.809959864944</t>
  </si>
  <si>
    <t>-659.61383972364 201.666796925549 -500.917254285634</t>
  </si>
  <si>
    <t>-599.402620379523 218.728633798152 -225.849804855912</t>
  </si>
  <si>
    <t>-381.139463165785 142.778955800118 -202.582465549502</t>
  </si>
  <si>
    <t>-628.091134061871 118.23636106887 -96.4423885276302</t>
  </si>
  <si>
    <t>-642.17980000399 138.337448785701 318.407051559936</t>
  </si>
  <si>
    <t>-669.030089510882 187.039560479851 778.15215453997</t>
  </si>
  <si>
    <t>-518.025974761161 190.75866081528 833.539488378878</t>
  </si>
  <si>
    <t>-612.255840908747 -82.722713928337 321.059254616982</t>
  </si>
  <si>
    <t>-655.319361130853 -109.381409978238 781.466238788795</t>
  </si>
  <si>
    <t>-501.043280072841 -121.347835293552 825.506246693152</t>
  </si>
  <si>
    <t>9763-20170724T115554.525570000.bin</t>
  </si>
  <si>
    <t>-619.277019153381 25.9510010513454 -93.6035479380043</t>
  </si>
  <si>
    <t>-638.31654635154 22.7163585417652 -202.619761604754</t>
  </si>
  <si>
    <t>-650.414800351988 20.9735015525332 -294.68715055781</t>
  </si>
  <si>
    <t>-660.710354886197 19.6974159667402 -377.936947012409</t>
  </si>
  <si>
    <t>-669.807471324536 18.7714011835021 -461.330634450298</t>
  </si>
  <si>
    <t>-681.791262040933 17.79985558518 -583.397755427902</t>
  </si>
  <si>
    <t>-671.167795900853 21.612109081382 -660.940137465053</t>
  </si>
  <si>
    <t>-679.350595617963 49.4606231007933 -529.807746755117</t>
  </si>
  <si>
    <t>-659.839047283782 201.534038202422 -500.999123904237</t>
  </si>
  <si>
    <t>-599.417304875902 218.638778024564 -225.980519991188</t>
  </si>
  <si>
    <t>-381.154600744241 142.760752779012 -202.476172070117</t>
  </si>
  <si>
    <t>-628.221845406525 118.358477056064 -96.4273623424533</t>
  </si>
  <si>
    <t>-642.269567791512 138.400007247417 318.426377346883</t>
  </si>
  <si>
    <t>-669.049363917282 187.039414188795 778.178535468083</t>
  </si>
  <si>
    <t>-518.04879475793 190.784411473098 833.573747588183</t>
  </si>
  <si>
    <t>-612.157154425449 -82.4703547389011 321.082634535315</t>
  </si>
  <si>
    <t>-655.304174042617 -109.360948374142 781.469423851406</t>
  </si>
  <si>
    <t>-501.027390787214 -121.337826020226 825.50410314096</t>
  </si>
  <si>
    <t>9763-20170724T115554.561666400.bin</t>
  </si>
  <si>
    <t>-619.342578691311 26.0298367776513 -93.5882144872791</t>
  </si>
  <si>
    <t>-638.406481792011 22.7764473527461 -202.599636583023</t>
  </si>
  <si>
    <t>-650.514158032282 20.9927588663861 -294.66508860699</t>
  </si>
  <si>
    <t>-660.813589750186 19.6690897638923 -377.913587964606</t>
  </si>
  <si>
    <t>-669.909941796866 18.6847953966787 -461.306856828337</t>
  </si>
  <si>
    <t>-681.887591568441 17.6158145344589 -583.373646493488</t>
  </si>
  <si>
    <t>-671.304518706985 21.3913448052399 -660.923250724882</t>
  </si>
  <si>
    <t>-679.451035953323 49.3190788224354 -529.808601307132</t>
  </si>
  <si>
    <t>-659.932706082902 201.407970011882 -501.068770312048</t>
  </si>
  <si>
    <t>-599.420512741964 218.666588955399 -226.079687021811</t>
  </si>
  <si>
    <t>-381.155682894742 142.820348202224 -202.492739576511</t>
  </si>
  <si>
    <t>-628.393322230073 118.380728952091 -96.4111007026629</t>
  </si>
  <si>
    <t>-642.386525804362 138.429909644953 318.444090452343</t>
  </si>
  <si>
    <t>-669.120570853652 187.008508393421 778.194378025504</t>
  </si>
  <si>
    <t>-518.118314565315 190.601020866145 833.595013855981</t>
  </si>
  <si>
    <t>-612.101936941991 -82.3304804146899 321.09854998057</t>
  </si>
  <si>
    <t>-655.310040203482 -109.313399635925 781.465016442303</t>
  </si>
  <si>
    <t>-501.018897021243 -121.207360286046 825.47182481955</t>
  </si>
  <si>
    <t>9763-20170724T115554.624572500.bin</t>
  </si>
  <si>
    <t>-619.564147521704 26.2646532580993 -93.5750251354526</t>
  </si>
  <si>
    <t>-638.67879586043 22.9760289806993 -202.576421946282</t>
  </si>
  <si>
    <t>-650.811459827008 21.1104856401 -294.637047681132</t>
  </si>
  <si>
    <t>-661.126149565162 19.6916016311959 -377.88207857408</t>
  </si>
  <si>
    <t>-670.230526303584 18.5900558339201 -461.272937756171</t>
  </si>
  <si>
    <t>-682.211884189497 17.3251187556384 -583.337502112743</t>
  </si>
  <si>
    <t>-671.682760379468 21.0010212049453 -660.899405733396</t>
  </si>
  <si>
    <t>-679.747035438473 49.1167333810677 -529.82618538503</t>
  </si>
  <si>
    <t>-660.102096880214 201.228083723085 -501.329457767396</t>
  </si>
  <si>
    <t>-599.444185335583 218.938744441645 -226.401219873019</t>
  </si>
  <si>
    <t>-381.335743255984 142.643625700321 -202.815321655772</t>
  </si>
  <si>
    <t>-628.702097593239 118.575502703824 -96.4034167375951</t>
  </si>
  <si>
    <t>-642.642340308159 138.531975708005 318.457990637942</t>
  </si>
  <si>
    <t>-669.246015896753 186.971078212289 778.225249183216</t>
  </si>
  <si>
    <t>-518.244478000354 190.761561879208 833.614737145955</t>
  </si>
  <si>
    <t>-612.167816108136 -82.0917255025297 321.121475648842</t>
  </si>
  <si>
    <t>-655.340783846768 -109.328205430837 781.45585292794</t>
  </si>
  <si>
    <t>-501.051338596134 -121.46224576256 825.403145862666</t>
  </si>
  <si>
    <t>9763-20170724T115554.662672100.bin</t>
  </si>
  <si>
    <t>-619.693146664909 26.3861313715579 -93.5821579966989</t>
  </si>
  <si>
    <t>-638.819531106949 23.0800466032849 -202.581007933688</t>
  </si>
  <si>
    <t>-650.967201686003 21.1758591827768 -294.638821920356</t>
  </si>
  <si>
    <t>-661.297572093581 19.7130510174277 -377.881132975908</t>
  </si>
  <si>
    <t>-670.419819277896 18.5580377050155 -461.269329373434</t>
  </si>
  <si>
    <t>-682.429642505542 17.2047174270926 -583.330252726988</t>
  </si>
  <si>
    <t>-671.916094937154 20.8158916497955 -660.897240604787</t>
  </si>
  <si>
    <t>-679.938232546061 49.0363996921367 -529.843934492191</t>
  </si>
  <si>
    <t>-660.208369889594 201.159350429737 -501.443070842672</t>
  </si>
  <si>
    <t>-599.414669550527 219.028986899578 -226.555103614052</t>
  </si>
  <si>
    <t>-381.421988176485 142.412871566943 -202.939607928206</t>
  </si>
  <si>
    <t>-628.789511286947 118.695859627652 -96.4305468629283</t>
  </si>
  <si>
    <t>-642.678849993306 138.60828644096 318.43473885854</t>
  </si>
  <si>
    <t>-669.269925059213 186.954192947351 778.225275023557</t>
  </si>
  <si>
    <t>-518.263967587448 190.58884992306 833.613174111367</t>
  </si>
  <si>
    <t>-612.267230513736 -81.9823684211394 321.130343743459</t>
  </si>
  <si>
    <t>-655.35195037424 -109.281001623166 781.455151855613</t>
  </si>
  <si>
    <t>-501.020636952852 -121.05946841969 825.352012241423</t>
  </si>
  <si>
    <t>9763-20170724T115554.726616400.bin</t>
  </si>
  <si>
    <t>-619.830667813785 26.547616009171 -93.6060976384117</t>
  </si>
  <si>
    <t>-639.024009008405 23.2137183225279 -202.59227665434</t>
  </si>
  <si>
    <t>-651.236429688273 21.2341191859293 -294.639878087815</t>
  </si>
  <si>
    <t>-661.628864300861 19.6836106605383 -377.872992260719</t>
  </si>
  <si>
    <t>-670.816729582547 18.4201577966473 -461.252338753664</t>
  </si>
  <si>
    <t>-682.926304766313 16.8858073847234 -583.30120302252</t>
  </si>
  <si>
    <t>-672.442186883395 20.3523576657262 -660.878782428545</t>
  </si>
  <si>
    <t>-680.332551716078 48.8018901796352 -529.870249043634</t>
  </si>
  <si>
    <t>-660.290830344995 200.927652436984 -501.694412536136</t>
  </si>
  <si>
    <t>-599.353065739414 218.948929201739 -226.848292238012</t>
  </si>
  <si>
    <t>-381.646752356709 141.475546774394 -203.388432994411</t>
  </si>
  <si>
    <t>-628.800326353542 118.905898265652 -96.4880176341336</t>
  </si>
  <si>
    <t>-642.647418938119 138.707657387313 318.383991697726</t>
  </si>
  <si>
    <t>-669.312401905274 186.941636280268 778.19952159072</t>
  </si>
  <si>
    <t>-518.296066746031 190.486872622543 833.564842961103</t>
  </si>
  <si>
    <t>-612.443008900847 -81.7818563152739 321.135134186745</t>
  </si>
  <si>
    <t>-655.360448397755 -109.278794162409 781.457517806261</t>
  </si>
  <si>
    <t>-501.044954698647 -121.384973910689 825.320958121963</t>
  </si>
  <si>
    <t>9763-20170724T115554.758698900.bin</t>
  </si>
  <si>
    <t>-619.855895830248 26.5836124105749 -93.6199624220892</t>
  </si>
  <si>
    <t>-639.105656083749 23.2177116507044 -202.595263703649</t>
  </si>
  <si>
    <t>-651.367303644208 21.1946987046083 -294.635442317079</t>
  </si>
  <si>
    <t>-661.805014804616 19.598818177159 -377.861956987507</t>
  </si>
  <si>
    <t>-671.038904731901 18.2834416024084 -461.235373164039</t>
  </si>
  <si>
    <t>-683.216711144726 16.66558295461 -583.27639357205</t>
  </si>
  <si>
    <t>-672.761109429002 20.049999838744 -660.861479074862</t>
  </si>
  <si>
    <t>-680.560931333121 48.6208965761832 -529.871901274238</t>
  </si>
  <si>
    <t>-660.366643612934 200.755842222537 -501.833209107935</t>
  </si>
  <si>
    <t>-599.325611580904 218.776676081301 -227.009868859196</t>
  </si>
  <si>
    <t>-381.792126991117 140.752040044362 -203.774875550939</t>
  </si>
  <si>
    <t>-628.778264291431 118.992084904909 -96.5286465212871</t>
  </si>
  <si>
    <t>-642.612169327884 138.696655437421 318.34832912173</t>
  </si>
  <si>
    <t>-669.34120452448 186.920235073917 778.174605891654</t>
  </si>
  <si>
    <t>-518.322068533082 190.354731038844 833.539447736585</t>
  </si>
  <si>
    <t>-612.471332587563 -81.6499521022033 321.143167031158</t>
  </si>
  <si>
    <t>-655.353844044768 -109.25649206048 781.462782921359</t>
  </si>
  <si>
    <t>-501.043849714798 -121.42696266558 825.32767560918</t>
  </si>
  <si>
    <t>9763-20170724T115554.829167400.bin</t>
  </si>
  <si>
    <t>-619.779185236183 26.5108661214026 -93.6512290009595</t>
  </si>
  <si>
    <t>-639.183675520089 23.1107421102101 -202.598112286503</t>
  </si>
  <si>
    <t>-651.585687230006 21.0203393236602 -294.617812442037</t>
  </si>
  <si>
    <t>-662.154348007361 19.3489849455539 -377.826301715163</t>
  </si>
  <si>
    <t>-671.523260370689 17.9428546808631 -461.183254245132</t>
  </si>
  <si>
    <t>-683.903106209433 16.1747572740273 -583.201940025487</t>
  </si>
  <si>
    <t>-673.546024882976 19.4129861373174 -660.806283158992</t>
  </si>
  <si>
    <t>-681.104951047773 48.2004497625076 -529.84678200298</t>
  </si>
  <si>
    <t>-660.628882875915 200.330077349229 -502.005720740694</t>
  </si>
  <si>
    <t>-599.162816684026 218.481316033401 -227.2856981569</t>
  </si>
  <si>
    <t>-381.950579393783 139.332665579563 -204.861076874782</t>
  </si>
  <si>
    <t>-628.674843314607 118.971303236017 -96.5894224871099</t>
  </si>
  <si>
    <t>-642.44367292755 138.644705541149 318.291293934373</t>
  </si>
  <si>
    <t>-669.351351070292 186.907257521093 778.121723718564</t>
  </si>
  <si>
    <t>-518.339910022301 190.3090375011 833.509522631478</t>
  </si>
  <si>
    <t>-612.393646522149 -81.5067450375229 321.15992654517</t>
  </si>
  <si>
    <t>-655.341959600369 -109.211001222782 781.472925418435</t>
  </si>
  <si>
    <t>-501.000155152701 -121.025636042181 825.323163144612</t>
  </si>
  <si>
    <t>9763-20170724T115554.861249500.bin</t>
  </si>
  <si>
    <t>-619.711454414735 26.4389240202374 -93.6549550378861</t>
  </si>
  <si>
    <t>-639.213639646959 23.0487414469678 -202.584555388446</t>
  </si>
  <si>
    <t>-651.70245093874 20.9452635612358 -294.592472859556</t>
  </si>
  <si>
    <t>-662.351393806843 19.2539087309608 -377.79021557168</t>
  </si>
  <si>
    <t>-671.802575725233 17.8189042715346 -461.137479458842</t>
  </si>
  <si>
    <t>-684.304668060927 15.999472080392 -583.142820854242</t>
  </si>
  <si>
    <t>-674.006452002041 19.1758795242954 -660.757648725545</t>
  </si>
  <si>
    <t>-681.425187535712 48.0499118551493 -529.80687004677</t>
  </si>
  <si>
    <t>-660.792360195401 200.172131677005 -502.042703657486</t>
  </si>
  <si>
    <t>-599.070056645134 218.368425419769 -227.383195353845</t>
  </si>
  <si>
    <t>-382.006285134482 138.620081888623 -205.656316425437</t>
  </si>
  <si>
    <t>-628.577570246561 118.91194082998 -96.5886232058001</t>
  </si>
  <si>
    <t>-642.362615037954 138.583743099853 318.291599244153</t>
  </si>
  <si>
    <t>-669.382046885521 186.858197047748 778.105651534264</t>
  </si>
  <si>
    <t>-518.370335084231 190.03633257457 833.505905057441</t>
  </si>
  <si>
    <t>-612.309100990303 -81.4980373181004 321.164579334348</t>
  </si>
  <si>
    <t>-655.327523313577 -109.203722068442 781.471494918997</t>
  </si>
  <si>
    <t>-500.987169513058 -120.980084768651 825.337068576398</t>
  </si>
  <si>
    <t>9763-20170724T115554.925437500.bin</t>
  </si>
  <si>
    <t>-619.524869837207 26.2397534333202 -93.664981981453</t>
  </si>
  <si>
    <t>-639.26009108668 22.8396974716886 -202.552293173395</t>
  </si>
  <si>
    <t>-651.929477388568 20.7303798702023 -294.535431172067</t>
  </si>
  <si>
    <t>-662.735195288612 19.0354327455086 -377.712824160077</t>
  </si>
  <si>
    <t>-672.336834487656 17.5979220212039 -461.04279576004</t>
  </si>
  <si>
    <t>-685.051972568945 15.7757686690329 -583.026086821776</t>
  </si>
  <si>
    <t>-674.873554953302 18.888318329874 -660.65936159881</t>
  </si>
  <si>
    <t>-682.046016911402 47.8302067315119 -529.699540222171</t>
  </si>
  <si>
    <t>-661.23718971845 199.925279187823 -501.933163563735</t>
  </si>
  <si>
    <t>-598.807340240047 218.237190574069 -227.441342938835</t>
  </si>
  <si>
    <t>-382.103651160398 136.978068617805 -207.820031686316</t>
  </si>
  <si>
    <t>-628.341512949978 118.831318080202 -96.6076102940266</t>
  </si>
  <si>
    <t>-642.102087676046 138.396904548129 318.27850423258</t>
  </si>
  <si>
    <t>-669.364546280246 186.908938490922 778.065344789454</t>
  </si>
  <si>
    <t>-518.36261159377 189.891458949231 833.503095260655</t>
  </si>
  <si>
    <t>-612.094984367967 -81.4960027895506 321.175863800199</t>
  </si>
  <si>
    <t>-655.305473616419 -109.255327926089 781.478238408811</t>
  </si>
  <si>
    <t>-501.010159697818 -121.464363381079 825.384004216011</t>
  </si>
  <si>
    <t>9763-20170724T115554.958525700.bin</t>
  </si>
  <si>
    <t>-619.468767129743 26.048320771011 -93.6770529758361</t>
  </si>
  <si>
    <t>-639.326436573818 22.6411105730961 -202.541950243424</t>
  </si>
  <si>
    <t>-652.084646171635 20.5441617562515 -294.512878536133</t>
  </si>
  <si>
    <t>-662.96475409349 18.8680412360584 -377.681167425341</t>
  </si>
  <si>
    <t>-672.634897700372 17.4568607091026 -461.003645575276</t>
  </si>
  <si>
    <t>-685.443815695727 15.6809036471393 -582.977823161719</t>
  </si>
  <si>
    <t>-675.335010536729 18.8086054876371 -660.619542984829</t>
  </si>
  <si>
    <t>-682.381909815183 47.7163196818103 -529.64299273917</t>
  </si>
  <si>
    <t>-661.48768859161 199.790078659974 -501.81249091912</t>
  </si>
  <si>
    <t>-598.750517481985 218.129408714374 -227.392680078445</t>
  </si>
  <si>
    <t>-382.362085280273 135.611126184314 -209.635762343597</t>
  </si>
  <si>
    <t>-628.273868109795 118.669463078123 -96.6196459340281</t>
  </si>
  <si>
    <t>-641.974519528684 138.18822113299 318.270527336105</t>
  </si>
  <si>
    <t>-669.382298172309 186.774639919359 778.033261257539</t>
  </si>
  <si>
    <t>-518.393341475187 189.981195820949 833.493868589492</t>
  </si>
  <si>
    <t>-612.006289252348 -81.5069088964131 321.179017692009</t>
  </si>
  <si>
    <t>-655.288223021224 -109.217766093579 781.474328494185</t>
  </si>
  <si>
    <t>-500.98151521023 -121.214820258768 825.39858710994</t>
  </si>
  <si>
    <t>9763-20170724T115555.025278900.bin</t>
  </si>
  <si>
    <t>-619.405903699866 25.7016553593812 -93.7050585277171</t>
  </si>
  <si>
    <t>-639.458982691248 22.2867512948601 -202.533921852063</t>
  </si>
  <si>
    <t>-652.341388873704 20.2410114010813 -294.488809328281</t>
  </si>
  <si>
    <t>-663.317165259503 18.6343916222343 -377.645677497975</t>
  </si>
  <si>
    <t>-673.066554601994 17.3156260768442 -460.960433970687</t>
  </si>
  <si>
    <t>-685.972976446729 15.7005168377409 -582.926578499996</t>
  </si>
  <si>
    <t>-675.988737569211 18.9571724123045 -660.579189648359</t>
  </si>
  <si>
    <t>-682.868452831795 47.6656493400014 -529.552056956322</t>
  </si>
  <si>
    <t>-662.004998521653 199.706600445196 -501.523211847994</t>
  </si>
  <si>
    <t>-598.425609164662 217.756102105215 -227.277870392234</t>
  </si>
  <si>
    <t>-382.652053436136 132.997168871664 -212.917034480703</t>
  </si>
  <si>
    <t>-628.213406840958 118.410473971794 -96.6368788987265</t>
  </si>
  <si>
    <t>-641.675429474608 137.950494794287 318.26013729828</t>
  </si>
  <si>
    <t>-669.354958054708 186.796754211132 777.978265992492</t>
  </si>
  <si>
    <t>-518.384210295925 189.932480315188 833.492417334372</t>
  </si>
  <si>
    <t>-611.821961876222 -81.5376407810702 321.170761265524</t>
  </si>
  <si>
    <t>-655.156430369173 -109.197331802076 781.484688039192</t>
  </si>
  <si>
    <t>-500.879903751736 -120.784124624286 825.624467028913</t>
  </si>
  <si>
    <t>9763-20170724T115555.058368200.bin</t>
  </si>
  <si>
    <t>-619.396982149077 25.5016254562033 -93.6981656557267</t>
  </si>
  <si>
    <t>-639.546625790573 22.0848876462442 -202.509192629418</t>
  </si>
  <si>
    <t>-652.496412881926 20.0715622613557 -294.45518608984</t>
  </si>
  <si>
    <t>-663.527417144483 18.5073059276017 -377.605782674809</t>
  </si>
  <si>
    <t>-673.326282841688 17.2446986093844 -460.915538383231</t>
  </si>
  <si>
    <t>-686.298783597142 15.7263304944049 -582.875870920231</t>
  </si>
  <si>
    <t>-676.373745462278 19.0693404691892 -660.532309165239</t>
  </si>
  <si>
    <t>-683.183238625398 47.6474592311345 -529.475735304692</t>
  </si>
  <si>
    <t>-662.382195006332 199.67284213827 -501.303332300728</t>
  </si>
  <si>
    <t>-598.272459236376 217.544027798135 -227.169792121849</t>
  </si>
  <si>
    <t>-382.937210890776 131.422029979914 -214.431436962636</t>
  </si>
  <si>
    <t>-628.262716656527 118.237686171773 -96.6262948763123</t>
  </si>
  <si>
    <t>-641.569250015227 137.84370462375 318.272657307678</t>
  </si>
  <si>
    <t>-669.33907251036 186.8306919051 777.96840610036</t>
  </si>
  <si>
    <t>-518.372603174171 189.853817719375 833.500386681753</t>
  </si>
  <si>
    <t>-611.735005219199 -81.6038971609262 321.175082763293</t>
  </si>
  <si>
    <t>-655.027383999263 -109.257663364665 781.503850455097</t>
  </si>
  <si>
    <t>-500.834993271662 -121.057946061566 825.88044315886</t>
  </si>
  <si>
    <t>9763-20170724T115555.127559000.bin</t>
  </si>
  <si>
    <t>-619.46628479888 25.010605970584 -93.6631085650909</t>
  </si>
  <si>
    <t>-639.809079394871 21.5794090142138 -202.437709908073</t>
  </si>
  <si>
    <t>-652.896976335244 19.6454033883476 -294.365785555871</t>
  </si>
  <si>
    <t>-664.042539188033 18.1885063923412 -377.503026304474</t>
  </si>
  <si>
    <t>-673.945825881463 17.0698914660315 -460.802507420207</t>
  </si>
  <si>
    <t>-687.059755930125 15.8022619816072 -582.750701403885</t>
  </si>
  <si>
    <t>-677.257422213728 19.3228128337539 -660.414883629847</t>
  </si>
  <si>
    <t>-683.923800494235 47.6101602472129 -529.28412530427</t>
  </si>
  <si>
    <t>-663.171700747617 199.569177911051 -500.713991177159</t>
  </si>
  <si>
    <t>-598.573931173021 217.163627253496 -226.677252625336</t>
  </si>
  <si>
    <t>-384.224970130173 128.167692575774 -217.579249709912</t>
  </si>
  <si>
    <t>-628.493458236186 117.781207102205 -96.5795366817215</t>
  </si>
  <si>
    <t>-641.565315473089 137.420445826902 318.325310458394</t>
  </si>
  <si>
    <t>-669.357221328678 186.654884313893 777.995439269491</t>
  </si>
  <si>
    <t>-518.403265319247 189.94112724166 833.54652296589</t>
  </si>
  <si>
    <t>-611.560851200279 -81.6843346152446 321.229546911731</t>
  </si>
  <si>
    <t>-654.74696775389 -109.310037704588 781.586111190928</t>
  </si>
  <si>
    <t>-500.704077478707 -121.264920116652 826.437922324415</t>
  </si>
  <si>
    <t>9763-20170724T115555.159642600.bin</t>
  </si>
  <si>
    <t>-619.566759757564 24.741967590568 -93.64607533975</t>
  </si>
  <si>
    <t>-639.965675950963 21.3037639838767 -202.409869744997</t>
  </si>
  <si>
    <t>-653.078438183034 19.4155099370878 -294.335505449339</t>
  </si>
  <si>
    <t>-664.23730993346 18.0203810521773 -377.471956330509</t>
  </si>
  <si>
    <t>-674.144683283491 16.9843259602346 -460.771966123211</t>
  </si>
  <si>
    <t>-687.254429883982 15.8604429815164 -582.721982738756</t>
  </si>
  <si>
    <t>-677.479167123728 19.4707602014776 -660.385455534893</t>
  </si>
  <si>
    <t>-684.142806110946 47.6034301166653 -529.215462190921</t>
  </si>
  <si>
    <t>-663.433816772198 199.529633862036 -500.460359786627</t>
  </si>
  <si>
    <t>-598.876789416237 217.1557248099 -226.416005716047</t>
  </si>
  <si>
    <t>-385.05396280693 126.702337690673 -219.595866149954</t>
  </si>
  <si>
    <t>-628.679796626583 117.534526527914 -96.5533803406342</t>
  </si>
  <si>
    <t>-641.609813715009 137.215539945832 318.353982331419</t>
  </si>
  <si>
    <t>-669.363921884531 186.588716043327 778.016967519829</t>
  </si>
  <si>
    <t>-518.41494792292 189.934845408201 833.57807082577</t>
  </si>
  <si>
    <t>-611.539358799729 -81.7289355422915 321.249922431056</t>
  </si>
  <si>
    <t>-654.568974718616 -109.341842663602 781.603149435698</t>
  </si>
  <si>
    <t>-500.60304729629 -121.06589230051 826.779021122259</t>
  </si>
  <si>
    <t>9763-20170724T115555.224440600.bin</t>
  </si>
  <si>
    <t>-619.86883773467 24.3345266261238 -93.5890412877918</t>
  </si>
  <si>
    <t>-640.262317578563 20.9088030279725 -202.354307766362</t>
  </si>
  <si>
    <t>-653.318823421797 19.0894539328626 -294.28933384461</t>
  </si>
  <si>
    <t>-664.406023629438 17.7792578890501 -377.436715925281</t>
  </si>
  <si>
    <t>-674.220814335356 16.8515873383628 -460.749082292053</t>
  </si>
  <si>
    <t>-687.172031730541 15.9125671627369 -582.717459538321</t>
  </si>
  <si>
    <t>-677.390839284658 19.669756968264 -660.373239987136</t>
  </si>
  <si>
    <t>-684.170523243601 47.5710581513229 -529.154689914804</t>
  </si>
  <si>
    <t>-663.581294270973 199.468173378919 -500.131514455382</t>
  </si>
  <si>
    <t>-599.581975927301 217.478085960475 -225.981252554003</t>
  </si>
  <si>
    <t>-386.445743752868 125.219875590145 -222.834859953796</t>
  </si>
  <si>
    <t>-629.127440642425 117.135415982655 -96.4774734718227</t>
  </si>
  <si>
    <t>-641.74694440869 136.993417173997 318.430968527683</t>
  </si>
  <si>
    <t>-669.348539466966 186.585934373576 778.085904461336</t>
  </si>
  <si>
    <t>-518.401978693963 189.790922882432 833.661898588317</t>
  </si>
  <si>
    <t>-611.587602053529 -81.8623701329147 321.310030395752</t>
  </si>
  <si>
    <t>-654.1984131011 -109.38278295001 781.735481213382</t>
  </si>
  <si>
    <t>-500.385897245102 -120.734385765958 827.52491099214</t>
  </si>
  <si>
    <t>9763-20170724T115555.256522100.bin</t>
  </si>
  <si>
    <t>-620.106169048806 24.1647807110012 -93.5335356129956</t>
  </si>
  <si>
    <t>-640.450296460619 20.7668029333111 -202.308962428079</t>
  </si>
  <si>
    <t>-653.451549945078 18.9842151720763 -294.252436919181</t>
  </si>
  <si>
    <t>-664.483206236036 17.7127468811352 -377.407836880448</t>
  </si>
  <si>
    <t>-674.236880381845 16.8294281323645 -460.727942239431</t>
  </si>
  <si>
    <t>-687.092694595866 15.9612161861271 -582.70700202757</t>
  </si>
  <si>
    <t>-677.285612930298 19.7886782911537 -660.356116843589</t>
  </si>
  <si>
    <t>-684.156193565706 47.5864651189829 -529.120989479333</t>
  </si>
  <si>
    <t>-663.578559425515 199.459061107125 -499.992956313938</t>
  </si>
  <si>
    <t>-600.018970549128 217.868003244874 -225.76693838168</t>
  </si>
  <si>
    <t>-387.188174584809 124.863477701346 -224.444531159514</t>
  </si>
  <si>
    <t>-629.42973015651 116.928412194774 -96.4149397432302</t>
  </si>
  <si>
    <t>-641.920486143679 136.895588095287 318.492141899515</t>
  </si>
  <si>
    <t>-669.348879301589 186.563351327794 778.136783366463</t>
  </si>
  <si>
    <t>-518.403165182003 189.91862182353 833.706066652198</t>
  </si>
  <si>
    <t>-611.742805310545 -81.9853588636106 321.326886508203</t>
  </si>
  <si>
    <t>-654.143259992782 -109.39486575875 781.753466707464</t>
  </si>
  <si>
    <t>-500.352127137239 -120.565484158397 827.659111876555</t>
  </si>
  <si>
    <t>9763-20170724T115555.326712600.bin</t>
  </si>
  <si>
    <t>-620.490806193843 24.0295671017052 -93.4674944781251</t>
  </si>
  <si>
    <t>-640.766428030891 20.6347457069767 -202.255716409924</t>
  </si>
  <si>
    <t>-653.663628602923 18.8853567060319 -294.214633526851</t>
  </si>
  <si>
    <t>-664.582534617512 17.6545812120662 -377.385474242715</t>
  </si>
  <si>
    <t>-674.204583689127 16.8236933167584 -460.721355534546</t>
  </si>
  <si>
    <t>-686.847227487437 16.0452371222023 -582.723372907336</t>
  </si>
  <si>
    <t>-676.954356898396 19.9379087169152 -660.35838359103</t>
  </si>
  <si>
    <t>-684.056309126324 47.6264912733086 -529.103586388374</t>
  </si>
  <si>
    <t>-663.711302220515 199.506732224016 -499.839687608028</t>
  </si>
  <si>
    <t>-600.962784588813 218.114008170371 -225.440376501708</t>
  </si>
  <si>
    <t>-388.213771174859 124.923623843191 -226.831915324727</t>
  </si>
  <si>
    <t>-629.976722398889 116.720973177154 -96.3281445911769</t>
  </si>
  <si>
    <t>-642.179444943213 136.876299589567 318.578452294937</t>
  </si>
  <si>
    <t>-669.340347057693 186.564917786329 778.236062814156</t>
  </si>
  <si>
    <t>-518.389213555607 189.817055900832 833.796838480569</t>
  </si>
  <si>
    <t>-611.84175532539 -82.0692786970433 321.347909742274</t>
  </si>
  <si>
    <t>-653.835354658819 -109.41714387769 781.788160802449</t>
  </si>
  <si>
    <t>-500.192999552604 -120.204646795306 828.279912937893</t>
  </si>
  <si>
    <t>9763-20170724T115555.360803600.bin</t>
  </si>
  <si>
    <t>-620.637330912426 24.0318253057246 -93.4189331765773</t>
  </si>
  <si>
    <t>-640.898995842902 20.6185585347246 -202.209025222345</t>
  </si>
  <si>
    <t>-653.75697510921 18.8738288146997 -294.173580731597</t>
  </si>
  <si>
    <t>-664.629152337522 17.6542610702998 -377.350726394637</t>
  </si>
  <si>
    <t>-674.19323562935 16.841942422488 -460.693484992438</t>
  </si>
  <si>
    <t>-686.738653414749 16.0988838624262 -582.705628512962</t>
  </si>
  <si>
    <t>-676.787231927054 20.00129919713 -660.332659758956</t>
  </si>
  <si>
    <t>-684.021160745039 47.6619334550085 -529.071469057217</t>
  </si>
  <si>
    <t>-663.866796629517 199.553844437649 -499.745479028169</t>
  </si>
  <si>
    <t>-601.354449186548 218.155773156706 -225.291844896933</t>
  </si>
  <si>
    <t>-388.558867076249 125.095185704439 -227.801372112574</t>
  </si>
  <si>
    <t>-630.30213606331 116.652009237642 -96.2750759400734</t>
  </si>
  <si>
    <t>-642.288343180712 136.873577923066 318.634617447074</t>
  </si>
  <si>
    <t>-669.355713214045 186.488541136333 778.304381003434</t>
  </si>
  <si>
    <t>-518.401266501472 189.79111657655 833.853237123305</t>
  </si>
  <si>
    <t>-611.713764008221 -82.001207265221 321.403293848286</t>
  </si>
  <si>
    <t>-653.588855991251 -109.447791557771 781.881530432217</t>
  </si>
  <si>
    <t>-500.047785201363 -119.977227035484 828.7652508402</t>
  </si>
  <si>
    <t>9763-20170724T115555.425537800.bin</t>
  </si>
  <si>
    <t>-621.041826104274 24.128045363798 -93.2891210566479</t>
  </si>
  <si>
    <t>-641.284064038156 20.6775032955634 -202.081792124257</t>
  </si>
  <si>
    <t>-654.05974884433 18.9330591011749 -294.057660676122</t>
  </si>
  <si>
    <t>-664.830608328119 17.7233758735872 -377.248118065439</t>
  </si>
  <si>
    <t>-674.266097313909 16.9321946329189 -460.605782751504</t>
  </si>
  <si>
    <t>-686.593601360143 16.2311528138939 -582.64049509142</t>
  </si>
  <si>
    <t>-676.460829455663 20.1448223863185 -660.243470440173</t>
  </si>
  <si>
    <t>-684.029081553702 47.7704289647886 -528.984770834332</t>
  </si>
  <si>
    <t>-664.23555306349 199.703629125102 -499.62140004985</t>
  </si>
  <si>
    <t>-602.142193311878 218.410581311656 -225.079936986473</t>
  </si>
  <si>
    <t>-389.425232668134 125.226094844559 -229.163250347769</t>
  </si>
  <si>
    <t>-631.034915903221 116.618046176423 -96.1266437964596</t>
  </si>
  <si>
    <t>-642.635475243903 136.945821455174 318.788729610991</t>
  </si>
  <si>
    <t>-669.366267205547 186.457445248563 778.467062942641</t>
  </si>
  <si>
    <t>-518.397162414113 189.790158508131 833.974211996954</t>
  </si>
  <si>
    <t>-611.563007429559 -81.8550713595148 321.523848387481</t>
  </si>
  <si>
    <t>-653.425331806174 -109.441339335041 781.967890481394</t>
  </si>
  <si>
    <t>-499.98704138802 -120.051552350757 829.168972929336</t>
  </si>
  <si>
    <t>9763-20170724T115555.459639100.bin</t>
  </si>
  <si>
    <t>-621.269649861912 24.2092841054248 -93.2484440977837</t>
  </si>
  <si>
    <t>-641.483523697266 20.7386233658794 -202.045769295542</t>
  </si>
  <si>
    <t>-654.212635854531 18.989002800341 -294.028026090874</t>
  </si>
  <si>
    <t>-664.932171392098 17.7780764134002 -377.22525594529</t>
  </si>
  <si>
    <t>-674.30699265097 16.9893963465875 -460.58950009294</t>
  </si>
  <si>
    <t>-686.535483524488 16.2966097200074 -582.63434932731</t>
  </si>
  <si>
    <t>-676.30308550463 20.2176443041913 -660.223880293304</t>
  </si>
  <si>
    <t>-684.044492745613 47.8295619054836 -528.971380698995</t>
  </si>
  <si>
    <t>-664.434177719979 199.776826483268 -499.564197347454</t>
  </si>
  <si>
    <t>-602.496142632763 218.444075633767 -224.984814877787</t>
  </si>
  <si>
    <t>-389.781454465524 125.266726529736 -229.340320512839</t>
  </si>
  <si>
    <t>-631.378484688513 116.656028408773 -96.0707864871542</t>
  </si>
  <si>
    <t>-642.867924775393 137.011947916742 318.846309405234</t>
  </si>
  <si>
    <t>-669.369080770913 186.445130066281 778.539579325404</t>
  </si>
  <si>
    <t>-518.3918212032 189.723970055717 834.027801068279</t>
  </si>
  <si>
    <t>-611.602428090564 -81.7869995212427 321.557652602701</t>
  </si>
  <si>
    <t>-653.421221123104 -109.414501084826 781.972582178898</t>
  </si>
  <si>
    <t>-499.990796013412 -120.020970627353 829.199971932814</t>
  </si>
  <si>
    <t>9763-20170724T115555.528853200.bin</t>
  </si>
  <si>
    <t>-621.663738186392 24.4968006783533 -93.1981350057457</t>
  </si>
  <si>
    <t>-641.727663469667 21.0118937582852 -202.022772239418</t>
  </si>
  <si>
    <t>-654.305737413109 19.2732680605213 -294.025969919159</t>
  </si>
  <si>
    <t>-664.878711976764 18.0804552785501 -377.24220309766</t>
  </si>
  <si>
    <t>-674.097017440689 17.3190930259004 -460.624190393167</t>
  </si>
  <si>
    <t>-686.085704367138 16.6765857389607 -582.693063777918</t>
  </si>
  <si>
    <t>-675.664328216499 20.6233904892074 -660.256105214747</t>
  </si>
  <si>
    <t>-683.772147617492 48.1807439759468 -529.005231610854</t>
  </si>
  <si>
    <t>-664.578671928749 200.161983820898 -499.502695257119</t>
  </si>
  <si>
    <t>-603.116072364509 218.736195978215 -224.810226980591</t>
  </si>
  <si>
    <t>-390.389340568819 125.629328158782 -230.004204086343</t>
  </si>
  <si>
    <t>-631.844585141077 116.852620487993 -96.0089603912115</t>
  </si>
  <si>
    <t>-643.304978864658 137.241075026022 318.907364837294</t>
  </si>
  <si>
    <t>-669.369525617916 186.503601204823 778.653750836373</t>
  </si>
  <si>
    <t>-518.375214596279 189.710361827467 834.09973724603</t>
  </si>
  <si>
    <t>-611.903785955627 -81.6893667014454 321.566654628846</t>
  </si>
  <si>
    <t>-653.499756750383 -109.359542189313 781.971174573806</t>
  </si>
  <si>
    <t>-500.013580144738 -119.702750681977 829.075724794412</t>
  </si>
  <si>
    <t>9763-20170724T115555.558931800.bin</t>
  </si>
  <si>
    <t>-621.816784081533 24.6457352461828 -93.1909859626431</t>
  </si>
  <si>
    <t>-641.816783145866 21.1738904678366 -202.027767033455</t>
  </si>
  <si>
    <t>-654.321305472051 19.4455518551413 -294.041238970068</t>
  </si>
  <si>
    <t>-664.820074441961 18.2613354182386 -377.266872714195</t>
  </si>
  <si>
    <t>-673.956215478559 17.5088940226799 -460.658302236427</t>
  </si>
  <si>
    <t>-685.816272281049 16.8791922929679 -582.739680301318</t>
  </si>
  <si>
    <t>-675.298692310934 20.8254431760902 -660.289697541547</t>
  </si>
  <si>
    <t>-683.581194287848 48.3755780436461 -529.044028902171</t>
  </si>
  <si>
    <t>-664.551876265967 200.385871752262 -499.553204560483</t>
  </si>
  <si>
    <t>-603.460107961964 218.835548765121 -224.769596930668</t>
  </si>
  <si>
    <t>-390.674299103087 125.86425783677 -229.972613501047</t>
  </si>
  <si>
    <t>-631.991795022941 116.98508932424 -95.9973369674904</t>
  </si>
  <si>
    <t>-643.46855184239 137.339447105949 318.920209133404</t>
  </si>
  <si>
    <t>-669.371575919213 186.529165166637 778.690417841836</t>
  </si>
  <si>
    <t>-518.370149670908 189.734937921478 834.117069846987</t>
  </si>
  <si>
    <t>-612.080293654769 -81.6550219457952 321.547364310432</t>
  </si>
  <si>
    <t>-653.600452745214 -109.343767126626 781.958592485721</t>
  </si>
  <si>
    <t>-500.079479419853 -119.914463082718 828.898885566701</t>
  </si>
  <si>
    <t>9763-20170724T115555.627421700.bin</t>
  </si>
  <si>
    <t>-622.156677178943 24.8392201028323 -93.2354541873643</t>
  </si>
  <si>
    <t>-642.090786416274 21.3790843235045 -202.084659037767</t>
  </si>
  <si>
    <t>-654.522101824009 19.6822644074894 -294.108667134764</t>
  </si>
  <si>
    <t>-664.947766477156 18.5356067802668 -377.344125638484</t>
  </si>
  <si>
    <t>-674.003875506111 17.8301713382284 -460.744508623861</t>
  </si>
  <si>
    <t>-685.739332155978 17.2800494916528 -582.838292305194</t>
  </si>
  <si>
    <t>-675.090360259579 21.2332450325027 -660.370100181404</t>
  </si>
  <si>
    <t>-683.583159747728 48.739083518733 -529.117468027488</t>
  </si>
  <si>
    <t>-664.602529812085 200.731838854154 -499.533244927346</t>
  </si>
  <si>
    <t>-604.051050739808 218.958598413142 -224.615231122268</t>
  </si>
  <si>
    <t>-391.327175222855 125.835298188695 -229.628245699576</t>
  </si>
  <si>
    <t>-632.225911199131 117.167348748829 -96.0237233783957</t>
  </si>
  <si>
    <t>-643.830894392142 137.464770967813 318.893095409757</t>
  </si>
  <si>
    <t>-669.384029725611 186.539913278126 778.714431222221</t>
  </si>
  <si>
    <t>-518.372267592607 189.745481348421 834.112991939675</t>
  </si>
  <si>
    <t>-612.529472540688 -81.5970886752293 321.478440085498</t>
  </si>
  <si>
    <t>-654.009653370689 -109.205591623898 781.877759750344</t>
  </si>
  <si>
    <t>-500.29403496213 -119.978455342387 828.130047967493</t>
  </si>
  <si>
    <t>9763-20170724T115555.660513800.bin</t>
  </si>
  <si>
    <t>-622.301243532871 24.8858445881892 -93.2971521696243</t>
  </si>
  <si>
    <t>-642.210371432791 21.4354866591395 -202.151256244667</t>
  </si>
  <si>
    <t>-654.61266309944 19.7757869017296 -294.179872673518</t>
  </si>
  <si>
    <t>-665.008811190294 18.6750312334495 -377.419560206803</t>
  </si>
  <si>
    <t>-674.032231680205 18.0274307896009 -460.823963464481</t>
  </si>
  <si>
    <t>-685.716350114729 17.5756911512594 -582.923164568511</t>
  </si>
  <si>
    <t>-675.012421279283 21.5607432555598 -660.445818892887</t>
  </si>
  <si>
    <t>-683.591259299061 48.9907110779284 -529.175376966433</t>
  </si>
  <si>
    <t>-664.591292230373 200.958337054092 -499.494082069202</t>
  </si>
  <si>
    <t>-604.327429853765 219.095348299053 -224.507013030987</t>
  </si>
  <si>
    <t>-391.592032160907 125.986823482051 -229.300987017029</t>
  </si>
  <si>
    <t>-632.280352468726 117.194455896751 -96.0650629446961</t>
  </si>
  <si>
    <t>-643.975589462077 137.467015275311 318.850445973529</t>
  </si>
  <si>
    <t>-669.398342382011 186.519793003408 778.695499356946</t>
  </si>
  <si>
    <t>-518.38312943385 189.740790545282 834.0836432441</t>
  </si>
  <si>
    <t>-612.788192575372 -81.6114063427203 321.412871789367</t>
  </si>
  <si>
    <t>-654.275389800124 -109.163785596939 781.81024943478</t>
  </si>
  <si>
    <t>-500.446293031578 -120.20593866608 827.619700605437</t>
  </si>
  <si>
    <t>9763-20170724T115555.730703600.bin</t>
  </si>
  <si>
    <t>-622.493672655596 25.097403824481 -93.4200954477583</t>
  </si>
  <si>
    <t>-642.329543765802 21.6789273696209 -202.288533897937</t>
  </si>
  <si>
    <t>-654.677575950722 20.089003576488 -294.325759100197</t>
  </si>
  <si>
    <t>-665.027872116167 19.0689737387472 -377.572196219042</t>
  </si>
  <si>
    <t>-674.008496891011 18.5202441800284 -460.981852514131</t>
  </si>
  <si>
    <t>-685.633591951395 18.232598013303 -583.087121924609</t>
  </si>
  <si>
    <t>-674.861827544599 22.2719176134499 -660.597587830511</t>
  </si>
  <si>
    <t>-683.538837298558 49.5749287609997 -529.295691291596</t>
  </si>
  <si>
    <t>-664.616262718217 201.533245452171 -499.491238588502</t>
  </si>
  <si>
    <t>-604.757156330323 219.176631098743 -224.383652029049</t>
  </si>
  <si>
    <t>-392.06717042908 125.968900382104 -229.262931806969</t>
  </si>
  <si>
    <t>-632.281554174292 117.423441132288 -96.1773362310314</t>
  </si>
  <si>
    <t>-644.182359278952 137.635320264197 318.735229874873</t>
  </si>
  <si>
    <t>-669.413606779983 186.522470279542 778.613556182917</t>
  </si>
  <si>
    <t>-518.397250706334 189.751035337793 833.998306312861</t>
  </si>
  <si>
    <t>-613.198833664778 -81.5834024010703 321.256888429316</t>
  </si>
  <si>
    <t>-654.724035360097 -109.037144922135 781.66716821129</t>
  </si>
  <si>
    <t>-500.677576737279 -120.218068977714 826.706003879483</t>
  </si>
  <si>
    <t>9763-20170724T115555.761785000.bin</t>
  </si>
  <si>
    <t>-622.511743847082 25.2079375759058 -93.4709737411778</t>
  </si>
  <si>
    <t>-642.314415143843 21.816864909739 -202.346311780108</t>
  </si>
  <si>
    <t>-654.652695456663 20.2717465757185 -294.385582442801</t>
  </si>
  <si>
    <t>-665.001561354165 19.3011908852984 -377.632666405998</t>
  </si>
  <si>
    <t>-673.988178642772 18.8107743883534 -461.042192865495</t>
  </si>
  <si>
    <t>-685.630045874446 18.6185361890036 -583.146150804665</t>
  </si>
  <si>
    <t>-674.847713759295 22.6930635918236 -660.653080407388</t>
  </si>
  <si>
    <t>-683.519346782168 49.9196640664507 -529.331301399065</t>
  </si>
  <si>
    <t>-664.557884453591 201.85282347067 -499.418485610465</t>
  </si>
  <si>
    <t>-604.822256825057 219.250139888849 -224.268443659902</t>
  </si>
  <si>
    <t>-392.19104182388 125.914480042309 -229.264239239074</t>
  </si>
  <si>
    <t>-632.23381968582 117.520422324543 -96.2133831807438</t>
  </si>
  <si>
    <t>-644.212481334345 137.701128721512 318.698510261508</t>
  </si>
  <si>
    <t>-669.434136525499 186.467370811835 778.57962865498</t>
  </si>
  <si>
    <t>-518.418255663665 189.727129824653 833.963859148291</t>
  </si>
  <si>
    <t>-613.274264959614 -81.5719342380107 321.195587838697</t>
  </si>
  <si>
    <t>-654.831177342593 -109.031456229187 781.62106068504</t>
  </si>
  <si>
    <t>-500.755457484122 -120.541022208752 826.476679793622</t>
  </si>
  <si>
    <t>9763-20170724T115555.827478000.bin</t>
  </si>
  <si>
    <t>-622.335750727027 25.4724042742205 -93.5238993746248</t>
  </si>
  <si>
    <t>-642.117802397934 22.1184965793925 -202.40428626573</t>
  </si>
  <si>
    <t>-654.457104811361 20.664688118208 -294.444772839785</t>
  </si>
  <si>
    <t>-664.814336245497 19.8015228696866 -377.692109048216</t>
  </si>
  <si>
    <t>-673.81665353955 19.443120704115 -461.100522055656</t>
  </si>
  <si>
    <t>-685.489543307203 19.4710134507754 -583.20168336518</t>
  </si>
  <si>
    <t>-674.705605403614 23.667677973179 -660.701876221852</t>
  </si>
  <si>
    <t>-683.345024935511 50.6769324546751 -529.332909169771</t>
  </si>
  <si>
    <t>-664.264043577996 202.554083925693 -499.221670026247</t>
  </si>
  <si>
    <t>-604.579221062669 219.554789424346 -224.035734440177</t>
  </si>
  <si>
    <t>-392.080873961647 125.91982821893 -229.083603606779</t>
  </si>
  <si>
    <t>-631.960499238622 117.814609341015 -96.2667086853073</t>
  </si>
  <si>
    <t>-644.026209225192 137.863991799735 318.649049815893</t>
  </si>
  <si>
    <t>-669.425058390251 186.55386046197 778.529083571695</t>
  </si>
  <si>
    <t>-518.411549910977 189.638266010508 833.929783206836</t>
  </si>
  <si>
    <t>-613.182271483759 -81.4394692732405 321.152912883184</t>
  </si>
  <si>
    <t>-654.838675371965 -109.013469076403 781.59493535507</t>
  </si>
  <si>
    <t>-500.733571665088 -120.294424922919 826.407670491967</t>
  </si>
  <si>
    <t>9763-20170724T115555.861569700.bin</t>
  </si>
  <si>
    <t>-622.186731813628 25.5516432195545 -93.5183340215507</t>
  </si>
  <si>
    <t>-641.964427012126 22.2163965022773 -202.400061781165</t>
  </si>
  <si>
    <t>-654.299755528447 20.8036539170994 -294.441689721626</t>
  </si>
  <si>
    <t>-664.653262142471 19.9881257643144 -377.690074648743</t>
  </si>
  <si>
    <t>-673.651650552927 19.6876318002996 -461.099061158742</t>
  </si>
  <si>
    <t>-685.318585642911 19.8112963696999 -583.200691461154</t>
  </si>
  <si>
    <t>-674.533409717091 24.0808268427793 -660.696963881466</t>
  </si>
  <si>
    <t>-683.156310276475 50.976845884325 -529.309437441111</t>
  </si>
  <si>
    <t>-664.026708556552 202.830268654297 -499.116356936679</t>
  </si>
  <si>
    <t>-604.230754069764 219.544539914935 -223.937086578336</t>
  </si>
  <si>
    <t>-391.746056903089 125.886953690898 -229.13640854216</t>
  </si>
  <si>
    <t>-631.783934716141 117.898085043119 -96.2608041893119</t>
  </si>
  <si>
    <t>-643.899154821012 137.899196686501 318.655785635444</t>
  </si>
  <si>
    <t>-669.434113039236 186.533798052559 778.523490493023</t>
  </si>
  <si>
    <t>-518.421581491447 189.67946052899 833.923360753553</t>
  </si>
  <si>
    <t>-613.057341699954 -81.3727299539803 321.158586573718</t>
  </si>
  <si>
    <t>-654.750383347076 -109.015950776462 781.595232596991</t>
  </si>
  <si>
    <t>-500.695627683863 -120.329821690377 826.572531310923</t>
  </si>
  <si>
    <t>9763-20170724T115555.926794400.bin</t>
  </si>
  <si>
    <t>-621.727064370438 25.7105423932665 -93.4529314806565</t>
  </si>
  <si>
    <t>-641.499110543263 22.4080682961887 -202.336695223007</t>
  </si>
  <si>
    <t>-653.852632973073 21.0815949110881 -294.377227640137</t>
  </si>
  <si>
    <t>-664.23178422817 20.3688384712173 -377.623315567023</t>
  </si>
  <si>
    <t>-673.265020169645 20.1955212942573 -461.028813112788</t>
  </si>
  <si>
    <t>-684.993058138401 20.5317566362589 -583.124211882483</t>
  </si>
  <si>
    <t>-674.265769194785 24.9486478971555 -660.62022627263</t>
  </si>
  <si>
    <t>-682.778829325851 51.6060599969642 -529.182207087249</t>
  </si>
  <si>
    <t>-663.647911368467 203.423866413726 -498.800755022727</t>
  </si>
  <si>
    <t>-603.179778985077 219.439644292765 -223.726765019283</t>
  </si>
  <si>
    <t>-390.691148793863 125.812383489545 -229.299250714396</t>
  </si>
  <si>
    <t>-631.326277149332 118.098201355378 -96.2026910398693</t>
  </si>
  <si>
    <t>-643.5747325985 138.018285809685 318.713934627721</t>
  </si>
  <si>
    <t>-669.428118122595 186.570372318818 778.56053158784</t>
  </si>
  <si>
    <t>-518.41332932027 189.624917591913 833.959324818111</t>
  </si>
  <si>
    <t>-612.574892963759 -81.2326429109623 321.238863879674</t>
  </si>
  <si>
    <t>-654.286040910856 -109.088855208017 781.68824540901</t>
  </si>
  <si>
    <t>-500.445921896235 -120.126340873108 827.46171913943</t>
  </si>
  <si>
    <t>9763-20170724T115555.957874700.bin</t>
  </si>
  <si>
    <t>-621.425696143009 25.7284812671421 -93.37544080162</t>
  </si>
  <si>
    <t>-641.208100064758 22.4415931379406 -202.2577569325</t>
  </si>
  <si>
    <t>-653.581097299279 21.1536688408858 -294.296106296773</t>
  </si>
  <si>
    <t>-663.982207338484 20.4860580894747 -377.539841049655</t>
  </si>
  <si>
    <t>-673.041680772193 20.3679408803089 -460.942836997564</t>
  </si>
  <si>
    <t>-684.812698533384 20.7960943004271 -583.033724079979</t>
  </si>
  <si>
    <t>-674.132470604915 25.2663592840868 -660.533062446701</t>
  </si>
  <si>
    <t>-682.563782210236 51.8310984057712 -529.070590268007</t>
  </si>
  <si>
    <t>-663.392113616189 203.623221602742 -498.583759720551</t>
  </si>
  <si>
    <t>-602.531184868395 219.357279610242 -223.580151794609</t>
  </si>
  <si>
    <t>-390.080781545091 125.658364809706 -229.399290805009</t>
  </si>
  <si>
    <t>-631.05901695211 118.160363586605 -96.1389556929656</t>
  </si>
  <si>
    <t>-643.31930382842 138.013107646035 318.780521499081</t>
  </si>
  <si>
    <t>-669.420669523688 186.561972110915 778.601949250074</t>
  </si>
  <si>
    <t>-518.40878366343 189.647643370399 834.006975843359</t>
  </si>
  <si>
    <t>-612.20373444025 -81.2135442211709 321.322990095524</t>
  </si>
  <si>
    <t>-653.989771047298 -109.188953479947 781.785053515008</t>
  </si>
  <si>
    <t>-500.332011176521 -120.614740612158 828.07283574954</t>
  </si>
  <si>
    <t>9763-20170724T115556.026567000.bin</t>
  </si>
  <si>
    <t>-620.714930812513 25.8716864577145 -93.1943541514131</t>
  </si>
  <si>
    <t>-640.559151616506 22.5987070730305 -202.065686203472</t>
  </si>
  <si>
    <t>-652.972054176235 21.3812804203064 -294.099841476895</t>
  </si>
  <si>
    <t>-663.40409527842 20.8009693816475 -377.340350259745</t>
  </si>
  <si>
    <t>-672.489261016342 20.7934247946446 -460.7405048924</t>
  </si>
  <si>
    <t>-684.291810445003 21.40865563374 -582.827648464208</t>
  </si>
  <si>
    <t>-673.696879937057 25.9763335812979 -660.333104356731</t>
  </si>
  <si>
    <t>-681.995172326001 52.3641123799082 -528.82086593214</t>
  </si>
  <si>
    <t>-662.741261310949 204.117438544011 -498.206083445567</t>
  </si>
  <si>
    <t>-601.272172261673 219.365868593415 -223.310471093235</t>
  </si>
  <si>
    <t>-388.89937131256 125.489057774079 -229.095797976471</t>
  </si>
  <si>
    <t>-630.431089286324 118.330272031255 -95.966072863918</t>
  </si>
  <si>
    <t>-642.709080602257 138.041371835663 318.959557893447</t>
  </si>
  <si>
    <t>-669.396616844341 186.528369485441 778.722445544697</t>
  </si>
  <si>
    <t>-518.392315816555 189.545307226291 834.151959440492</t>
  </si>
  <si>
    <t>-611.423605697404 -80.9738553103452 321.512798653919</t>
  </si>
  <si>
    <t>-653.517404292129 -109.230709400713 781.922790013944</t>
  </si>
  <si>
    <t>-500.085563117991 -120.3337795356 829.031294291097</t>
  </si>
  <si>
    <t>9763-20170724T115556.059654100.bin</t>
  </si>
  <si>
    <t>-620.389562818724 25.9187068656981 -93.1169458541505</t>
  </si>
  <si>
    <t>-640.254705452703 22.6544355649135 -201.984949262509</t>
  </si>
  <si>
    <t>-652.657587211291 21.466597975 -294.020665746463</t>
  </si>
  <si>
    <t>-663.069391174456 20.9219916032685 -377.263852925181</t>
  </si>
  <si>
    <t>-672.12294026701 20.9589893444627 -460.667543690969</t>
  </si>
  <si>
    <t>-683.866754961881 21.6487828909862 -582.759781651611</t>
  </si>
  <si>
    <t>-673.289699944081 26.2646644875279 -660.264812238321</t>
  </si>
  <si>
    <t>-681.578559932397 52.5729829676116 -528.734713509432</t>
  </si>
  <si>
    <t>-662.254389945526 204.302965031849 -498.026514860488</t>
  </si>
  <si>
    <t>-600.579636060707 219.270237736062 -223.161526203667</t>
  </si>
  <si>
    <t>-388.228687550188 125.342846997353 -228.927871560089</t>
  </si>
  <si>
    <t>-630.124789117897 118.378218364102 -95.8846609115906</t>
  </si>
  <si>
    <t>-642.449858060066 137.996348317517 319.044090276234</t>
  </si>
  <si>
    <t>-669.390085620734 186.456269463605 778.79193308143</t>
  </si>
  <si>
    <t>-518.395569053472 189.63486085192 834.238907343923</t>
  </si>
  <si>
    <t>-611.084414666086 -80.8537224881809 321.598141231509</t>
  </si>
  <si>
    <t>-653.367730637232 -109.243663915718 781.978019969364</t>
  </si>
  <si>
    <t>-500.018496430392 -120.368621434866 829.349580020676</t>
  </si>
  <si>
    <t>9763-20170724T115556.123413300.bin</t>
  </si>
  <si>
    <t>-619.725221932714 26.0392789102127 -92.9992957761675</t>
  </si>
  <si>
    <t>-639.609588508554 22.7699890795325 -201.863450410011</t>
  </si>
  <si>
    <t>-652.012882625105 21.6067112531068 -293.899507680827</t>
  </si>
  <si>
    <t>-662.418411703412 21.0959963858247 -377.143863667092</t>
  </si>
  <si>
    <t>-671.458811516297 21.1779687033359 -460.548867467563</t>
  </si>
  <si>
    <t>-683.17584133949 21.9451068431226 -582.64319642312</t>
  </si>
  <si>
    <t>-672.646937803237 26.6386730550364 -660.150151466765</t>
  </si>
  <si>
    <t>-680.866417326629 52.8380292516754 -528.601367698592</t>
  </si>
  <si>
    <t>-661.410239186609 204.530273519734 -497.795938841487</t>
  </si>
  <si>
    <t>-599.542501396493 219.148776097107 -222.955448221704</t>
  </si>
  <si>
    <t>-387.229268893961 125.125524323134 -228.546348798628</t>
  </si>
  <si>
    <t>-629.464672673354 118.564831190416 -95.7603503752096</t>
  </si>
  <si>
    <t>-642.063008281126 137.965929653876 319.170418622575</t>
  </si>
  <si>
    <t>-669.351500578245 186.436844579831 778.905115140558</t>
  </si>
  <si>
    <t>-518.371157493166 189.625901274557 834.390020156877</t>
  </si>
  <si>
    <t>-610.666354347548 -80.6978672180862 321.69909938959</t>
  </si>
  <si>
    <t>-653.307815037129 -109.237179272288 782.013758769504</t>
  </si>
  <si>
    <t>-500.017532637012 -120.566345896354 829.527622298697</t>
  </si>
  <si>
    <t>9763-20170724T115556.160513900.bin</t>
  </si>
  <si>
    <t>-619.381456486097 26.1084581393504 -92.9709052009025</t>
  </si>
  <si>
    <t>-639.276554271521 22.8267478913504 -201.83285438543</t>
  </si>
  <si>
    <t>-651.692376923601 21.6617499239499 -293.86721007415</t>
  </si>
  <si>
    <t>-662.110467489061 21.1530187391027 -377.109831564244</t>
  </si>
  <si>
    <t>-671.16468679707 21.2400105934519 -460.513375384849</t>
  </si>
  <si>
    <t>-682.903142119164 22.0179950512941 -582.605754289025</t>
  </si>
  <si>
    <t>-672.397178305843 26.7281955359638 -660.114635283215</t>
  </si>
  <si>
    <t>-680.56792315397 52.9076714293078 -528.562914943895</t>
  </si>
  <si>
    <t>-661.069041606994 204.589208645151 -497.743322040852</t>
  </si>
  <si>
    <t>-599.12222881361 219.132192880292 -222.916824312338</t>
  </si>
  <si>
    <t>-386.858465567094 124.990617069833 -228.393266898338</t>
  </si>
  <si>
    <t>-629.073927595897 118.648606538882 -95.7229003132243</t>
  </si>
  <si>
    <t>-641.893978072833 137.964754422273 319.204921851318</t>
  </si>
  <si>
    <t>-669.334513809703 186.446078061744 778.944967224401</t>
  </si>
  <si>
    <t>-518.358424742333 189.523298007393 834.447893895702</t>
  </si>
  <si>
    <t>-610.533139911379 -80.6275920701019 321.722968812625</t>
  </si>
  <si>
    <t>-653.358804139212 -109.181001370075 782.006471615571</t>
  </si>
  <si>
    <t>-500.022252846402 -120.253502678741 829.431362520725</t>
  </si>
  <si>
    <t>9763-20170724T115556.226248100.bin</t>
  </si>
  <si>
    <t>-618.821042724011 26.2664187235507 -92.963981594487</t>
  </si>
  <si>
    <t>-638.656231586568 23.0048380532353 -201.83737368662</t>
  </si>
  <si>
    <t>-651.049331604944 21.8555583010575 -293.875106337618</t>
  </si>
  <si>
    <t>-661.458245397142 21.3608888150798 -377.118880488623</t>
  </si>
  <si>
    <t>-670.514488049436 21.461729054887 -460.522202953558</t>
  </si>
  <si>
    <t>-682.268290616514 22.2594526173216 -582.612939106976</t>
  </si>
  <si>
    <t>-671.78628278645 26.950457618882 -660.12637911131</t>
  </si>
  <si>
    <t>-679.899020701543 53.1429725345151 -528.56808476464</t>
  </si>
  <si>
    <t>-660.254337712885 204.794238817633 -497.707762697348</t>
  </si>
  <si>
    <t>-598.321111242151 219.219183358618 -222.871799561866</t>
  </si>
  <si>
    <t>-386.15199018143 124.859806528532 -228.26618723568</t>
  </si>
  <si>
    <t>-628.37116410629 118.867596188531 -95.6973934754778</t>
  </si>
  <si>
    <t>-641.66947923182 138.012870847874 319.223271257119</t>
  </si>
  <si>
    <t>-669.3102844236 186.453933654612 778.97367229315</t>
  </si>
  <si>
    <t>-518.34716262927 189.44861901815 834.51631499601</t>
  </si>
  <si>
    <t>-610.491685713914 -80.5678391548508 321.716640527371</t>
  </si>
  <si>
    <t>-653.627242680428 -109.101994103408 781.960499069948</t>
  </si>
  <si>
    <t>-500.140870728676 -120.033520402115 828.931259944527</t>
  </si>
  <si>
    <t>9763-20170724T115556.259335200.bin</t>
  </si>
  <si>
    <t>-618.605625342517 26.3416574832681 -92.9788437077306</t>
  </si>
  <si>
    <t>-638.37339413981 23.0962886705272 -201.865006246217</t>
  </si>
  <si>
    <t>-650.724271939248 21.9518020154314 -293.908363234472</t>
  </si>
  <si>
    <t>-661.100884710989 21.4589205010764 -377.156242059307</t>
  </si>
  <si>
    <t>-670.130922659322 21.5580433142388 -460.562393153897</t>
  </si>
  <si>
    <t>-681.852875921164 22.3500798620098 -582.656302629244</t>
  </si>
  <si>
    <t>-671.376995187258 27.0164548332998 -660.171981793275</t>
  </si>
  <si>
    <t>-679.483876552789 53.2372976356103 -528.61360618587</t>
  </si>
  <si>
    <t>-659.792630312826 204.883873333588 -497.734758936355</t>
  </si>
  <si>
    <t>-597.911659965278 219.301095329917 -222.886762463078</t>
  </si>
  <si>
    <t>-385.796443407597 124.815199028652 -228.18735225815</t>
  </si>
  <si>
    <t>-628.057175993458 118.913270720005 -95.7077694779146</t>
  </si>
  <si>
    <t>-641.612867187665 137.998291121014 319.2074149103</t>
  </si>
  <si>
    <t>-669.323633936487 186.347233274378 778.977980634026</t>
  </si>
  <si>
    <t>-518.368659993862 189.579326697644 834.529556492605</t>
  </si>
  <si>
    <t>-610.57889376699 -80.6034721916756 321.684086597888</t>
  </si>
  <si>
    <t>-653.852734917072 -109.059227034561 781.906892796869</t>
  </si>
  <si>
    <t>-500.277270713103 -120.327181623632 828.50549246857</t>
  </si>
  <si>
    <t>9763-20170724T115556.326019000.bin</t>
  </si>
  <si>
    <t>-618.138034882587 26.6456183257078 -93.0436557008239</t>
  </si>
  <si>
    <t>-637.722955288559 23.4308211439713 -201.963833591039</t>
  </si>
  <si>
    <t>-649.992478385363 22.3056272506801 -294.018201706049</t>
  </si>
  <si>
    <t>-660.325158240371 21.8283691250535 -377.271662491988</t>
  </si>
  <si>
    <t>-669.340636691643 21.9412241630064 -460.679390652322</t>
  </si>
  <si>
    <t>-681.073750428437 22.7509885896106 -582.771998936892</t>
  </si>
  <si>
    <t>-670.62924857292 27.4063242215768 -660.292787751971</t>
  </si>
  <si>
    <t>-678.664429988582 53.6335995579329 -528.728399688521</t>
  </si>
  <si>
    <t>-658.702790788084 205.229542562637 -497.783967163296</t>
  </si>
  <si>
    <t>-597.047345919265 219.592792415944 -222.882298750126</t>
  </si>
  <si>
    <t>-384.98393680884 124.95618500542 -227.524707323073</t>
  </si>
  <si>
    <t>-627.337036205558 119.159701183478 -95.7602083790937</t>
  </si>
  <si>
    <t>-641.384600098725 138.132479700994 319.143747136297</t>
  </si>
  <si>
    <t>-669.320786187742 186.382544416385 778.929895358046</t>
  </si>
  <si>
    <t>-518.370847020995 189.511743895027 834.50102192128</t>
  </si>
  <si>
    <t>-610.747843148692 -80.5896406122044 321.585676282277</t>
  </si>
  <si>
    <t>-654.309565862363 -108.895823133285 781.781153113632</t>
  </si>
  <si>
    <t>-500.485390065517 -120.046635413013 827.580779278078</t>
  </si>
  <si>
    <t>9763-20170724T115556.363118900.bin</t>
  </si>
  <si>
    <t>-617.884267403918 26.7959259753936 -93.0865543244771</t>
  </si>
  <si>
    <t>-637.367877076759 23.5843504642744 -202.0249515593</t>
  </si>
  <si>
    <t>-649.62234287094 22.4621512183048 -294.081507274782</t>
  </si>
  <si>
    <t>-659.969698525489 21.9880115795074 -377.333187388315</t>
  </si>
  <si>
    <t>-669.028185422757 22.104042188211 -460.736191358379</t>
  </si>
  <si>
    <t>-680.855287171856 22.9184245740823 -582.819641326709</t>
  </si>
  <si>
    <t>-670.506890398945 27.5680418270256 -660.353549031457</t>
  </si>
  <si>
    <t>-678.382945624139 53.8008084848211 -528.778849554812</t>
  </si>
  <si>
    <t>-658.305501997693 205.378511617116 -497.812115841951</t>
  </si>
  <si>
    <t>-596.656439469785 219.584160868297 -222.900878883572</t>
  </si>
  <si>
    <t>-384.63227559453 124.8385169267 -227.089138919078</t>
  </si>
  <si>
    <t>-627.021843178738 119.252472047811 -95.7976175246707</t>
  </si>
  <si>
    <t>-641.300492598921 138.15510396668 319.101707748001</t>
  </si>
  <si>
    <t>-669.348252886038 186.261726024383 778.888085893518</t>
  </si>
  <si>
    <t>-518.407526212143 189.617157832992 834.470979442443</t>
  </si>
  <si>
    <t>-610.774754539156 -80.6336280606447 321.538817999986</t>
  </si>
  <si>
    <t>-654.516977333407 -108.882781973262 781.725571285414</t>
  </si>
  <si>
    <t>-500.617962108939 -120.455848095692 827.167733038046</t>
  </si>
  <si>
    <t>9763-20170724T115556.425837200.bin</t>
  </si>
  <si>
    <t>-617.233996889304 27.0953912705509 -93.1845197200449</t>
  </si>
  <si>
    <t>-636.477323468755 23.889238849506 -202.165778336743</t>
  </si>
  <si>
    <t>-648.634411835119 22.7812798681052 -294.235370065163</t>
  </si>
  <si>
    <t>-658.935976548849 22.3237362079055 -377.492842987987</t>
  </si>
  <si>
    <t>-667.990678321121 22.4599031855503 -460.896226430551</t>
  </si>
  <si>
    <t>-679.858339224969 23.3071496540192 -582.975640373802</t>
  </si>
  <si>
    <t>-669.75202117841 27.909575321039 -660.544288958068</t>
  </si>
  <si>
    <t>-677.334830438123 54.177899023327 -528.930487791573</t>
  </si>
  <si>
    <t>-657.206810983149 205.74004125379 -497.949135715722</t>
  </si>
  <si>
    <t>-595.273469661288 219.733012368257 -223.090901778198</t>
  </si>
  <si>
    <t>-383.349074526003 124.73848477784 -226.643177046161</t>
  </si>
  <si>
    <t>-626.31081870797 119.440507587775 -95.9039047925385</t>
  </si>
  <si>
    <t>-641.032188459397 138.284594916259 318.982568315783</t>
  </si>
  <si>
    <t>-669.333506833364 186.314534008632 778.766528662151</t>
  </si>
  <si>
    <t>-518.413303901755 189.488203259909 834.415823710422</t>
  </si>
  <si>
    <t>-610.680925615284 -80.7025974512528 321.442715953396</t>
  </si>
  <si>
    <t>-654.892706200189 -108.759891479651 781.613648813545</t>
  </si>
  <si>
    <t>-500.810263677569 -120.527089317306 826.379226895892</t>
  </si>
  <si>
    <t>9763-20170724T115556.459930700.bin</t>
  </si>
  <si>
    <t>-616.904415215372 27.1805945793933 -93.2112505955804</t>
  </si>
  <si>
    <t>-636.035534178385 23.9803759010406 -202.212397340237</t>
  </si>
  <si>
    <t>-648.112124012752 22.8878915812361 -294.292877070443</t>
  </si>
  <si>
    <t>-658.34643733404 22.4484206045975 -377.558639269759</t>
  </si>
  <si>
    <t>-667.339378975953 22.6063766190425 -460.968622479825</t>
  </si>
  <si>
    <t>-679.122679583231 23.4897118242068 -583.055897164749</t>
  </si>
  <si>
    <t>-669.103508024381 28.0840768340615 -660.636332138945</t>
  </si>
  <si>
    <t>-676.629801549077 54.3451455290926 -529.0006255167</t>
  </si>
  <si>
    <t>-656.537947775005 205.90462021704 -497.988987667088</t>
  </si>
  <si>
    <t>-594.309545556903 219.732484373371 -223.189082437094</t>
  </si>
  <si>
    <t>-382.376908356026 124.750752592311 -226.588865085031</t>
  </si>
  <si>
    <t>-625.985947068166 119.514398742196 -95.9407025128438</t>
  </si>
  <si>
    <t>-640.877244339707 138.349085886829 318.940147281437</t>
  </si>
  <si>
    <t>-669.326797269293 186.347900130683 778.706244719622</t>
  </si>
  <si>
    <t>-518.417304961873 189.452519632135 834.388368332471</t>
  </si>
  <si>
    <t>-610.563001112289 -80.8459488377518 321.407945268636</t>
  </si>
  <si>
    <t>-655.028508622921 -108.72303227042 781.565231281353</t>
  </si>
  <si>
    <t>-500.875806574936 -120.522994143229 826.079583874392</t>
  </si>
  <si>
    <t>9763-20170724T115556.531128700.bin</t>
  </si>
  <si>
    <t>-616.133856019403 27.2890793921542 -93.2066134721015</t>
  </si>
  <si>
    <t>-635.03477510954 24.108155639917 -202.248530828332</t>
  </si>
  <si>
    <t>-646.98043223548 23.0301831601782 -294.346158053691</t>
  </si>
  <si>
    <t>-657.121758420742 22.6029905306391 -377.623410970793</t>
  </si>
  <si>
    <t>-666.046892878713 22.772263892374 -461.040804878474</t>
  </si>
  <si>
    <t>-677.758645647867 23.6709324972494 -583.134741560162</t>
  </si>
  <si>
    <t>-667.828028196378 28.2942760908657 -660.72476341915</t>
  </si>
  <si>
    <t>-675.278515774221 54.5212078207185 -529.075966184519</t>
  </si>
  <si>
    <t>-655.068654231502 206.082361488287 -498.109790038043</t>
  </si>
  <si>
    <t>-591.999436027195 219.474516902712 -223.48001084654</t>
  </si>
  <si>
    <t>-379.691288197466 125.330060812189 -226.736802737625</t>
  </si>
  <si>
    <t>-625.174842349026 119.596379214839 -95.9551012042716</t>
  </si>
  <si>
    <t>-640.667020891584 138.406429420443 318.904888359691</t>
  </si>
  <si>
    <t>-669.356188177693 186.303818691181 778.639277299524</t>
  </si>
  <si>
    <t>-518.453766788965 189.444235345714 834.338727094383</t>
  </si>
  <si>
    <t>-610.296748726132 -81.1002518808168 321.378275446601</t>
  </si>
  <si>
    <t>-655.176656823868 -108.680728111012 781.510040983427</t>
  </si>
  <si>
    <t>-500.946948311995 -120.563257582282 825.734790541398</t>
  </si>
  <si>
    <t>9763-20170724T115556.560205500.bin</t>
  </si>
  <si>
    <t>-615.607640691748 27.3476515545201 -93.198634401435</t>
  </si>
  <si>
    <t>-634.420894705115 24.1656759837674 -202.255746340758</t>
  </si>
  <si>
    <t>-646.346198542714 23.0718137257402 -294.355651754454</t>
  </si>
  <si>
    <t>-656.490778041312 22.6244545400591 -377.632543044936</t>
  </si>
  <si>
    <t>-665.440711697075 22.7677754440613 -461.047215038887</t>
  </si>
  <si>
    <t>-677.212549221338 23.6220879899749 -583.135770120284</t>
  </si>
  <si>
    <t>-667.32936850107 28.2616704932041 -660.730884270209</t>
  </si>
  <si>
    <t>-674.693650397026 54.4929211314898 -529.090702861924</t>
  </si>
  <si>
    <t>-654.407936554882 206.055351995393 -498.176691731274</t>
  </si>
  <si>
    <t>-590.608538812878 219.465583366997 -223.716553138848</t>
  </si>
  <si>
    <t>-378.078981059046 125.812049779337 -226.672218418826</t>
  </si>
  <si>
    <t>-624.61085185175 119.623187341844 -95.9651385672017</t>
  </si>
  <si>
    <t>-640.411670970907 138.441875062513 318.882821288025</t>
  </si>
  <si>
    <t>-669.372254985459 186.252834827457 778.604100632599</t>
  </si>
  <si>
    <t>-518.474867607237 189.489123338264 834.311609011478</t>
  </si>
  <si>
    <t>-610.091571792791 -81.1257661857787 321.389384094105</t>
  </si>
  <si>
    <t>-655.207270166513 -108.685148699788 781.500344482645</t>
  </si>
  <si>
    <t>-500.977564127863 -120.806148710219 825.660314099736</t>
  </si>
  <si>
    <t>9763-20170724T115556.626479500.bin</t>
  </si>
  <si>
    <t>-614.249321695047 27.6614469241688 -93.1753786561799</t>
  </si>
  <si>
    <t>-632.96446367711 24.4901712789108 -202.249558918647</t>
  </si>
  <si>
    <t>-644.917168459367 23.3635180124509 -294.345751476074</t>
  </si>
  <si>
    <t>-655.130888573819 22.8711582617841 -377.613752288107</t>
  </si>
  <si>
    <t>-664.194609234301 22.9528407519067 -461.01622358883</t>
  </si>
  <si>
    <t>-676.181716101691 23.6993280189488 -583.084605518136</t>
  </si>
  <si>
    <t>-666.394436839036 28.322813072908 -660.692958840375</t>
  </si>
  <si>
    <t>-673.521072887437 54.6219550662597 -529.075689947356</t>
  </si>
  <si>
    <t>-653.048213930839 206.181123663552 -498.286409853415</t>
  </si>
  <si>
    <t>-587.761228302896 220.059538087149 -224.199532067314</t>
  </si>
  <si>
    <t>-374.902313639393 127.134074187646 -226.313572379574</t>
  </si>
  <si>
    <t>-623.123418188753 119.975639614116 -95.9832593692598</t>
  </si>
  <si>
    <t>-639.564612534945 138.508369657334 318.852638227688</t>
  </si>
  <si>
    <t>-669.364670897285 186.229062736911 778.519362595659</t>
  </si>
  <si>
    <t>-518.491527563177 189.548725737551 834.287565614267</t>
  </si>
  <si>
    <t>-609.357384116972 -81.026461989064 321.433025863491</t>
  </si>
  <si>
    <t>-655.258460022728 -108.653609757284 781.485907331309</t>
  </si>
  <si>
    <t>-501.003011322391 -120.876210214031 825.527777463636</t>
  </si>
  <si>
    <t>9763-20170724T115556.658560600.bin</t>
  </si>
  <si>
    <t>-613.402828551342 27.814874433054 -93.1785850721227</t>
  </si>
  <si>
    <t>-632.105472615261 24.6400922604041 -202.254888067554</t>
  </si>
  <si>
    <t>-644.119816491779 23.4881151156471 -294.34256607612</t>
  </si>
  <si>
    <t>-654.418364512169 22.9643515432538 -377.600116190659</t>
  </si>
  <si>
    <t>-663.59602720275 23.0062242182566 -460.990181178466</t>
  </si>
  <si>
    <t>-675.781940649151 23.6844436622898 -583.039197803226</t>
  </si>
  <si>
    <t>-666.081388621859 28.2553515416687 -660.661564310041</t>
  </si>
  <si>
    <t>-673.00808315149 54.6392966464464 -529.054573911633</t>
  </si>
  <si>
    <t>-652.510772831982 206.22353490616 -498.391751540227</t>
  </si>
  <si>
    <t>-586.563152513141 220.186000441475 -224.467341462698</t>
  </si>
  <si>
    <t>-373.512702814336 127.690323100144 -226.075997704587</t>
  </si>
  <si>
    <t>-622.220870366216 120.134488121657 -95.988495722519</t>
  </si>
  <si>
    <t>-639.066818371609 138.511763000771 318.838032484487</t>
  </si>
  <si>
    <t>-669.356597529844 186.200178667233 778.471264423295</t>
  </si>
  <si>
    <t>-518.502456949011 189.507773407644 834.291553145802</t>
  </si>
  <si>
    <t>-608.856142556377 -80.9958075925997 321.458992479564</t>
  </si>
  <si>
    <t>-655.284322171178 -108.657086500719 781.470416710017</t>
  </si>
  <si>
    <t>-501.024272803705 -121.041845942367 825.450893457451</t>
  </si>
  <si>
    <t>9763-20170724T115556.725941900.bin</t>
  </si>
  <si>
    <t>-611.516953788386 28.11023264755 -93.1570021561183</t>
  </si>
  <si>
    <t>-630.164504418921 24.9215555275541 -202.242344097003</t>
  </si>
  <si>
    <t>-642.277922761998 23.7128178960497 -294.316377506136</t>
  </si>
  <si>
    <t>-652.724645412641 23.1211179560676 -377.55487343952</t>
  </si>
  <si>
    <t>-662.109313220249 23.077398423553 -460.922053552464</t>
  </si>
  <si>
    <t>-674.662480621221 23.6113254947081 -582.934432846705</t>
  </si>
  <si>
    <t>-665.20157294014 28.0207169476289 -660.595676519735</t>
  </si>
  <si>
    <t>-671.672808167721 54.6344507484796 -529.000558335086</t>
  </si>
  <si>
    <t>-651.064054002981 206.233722326004 -498.512806344383</t>
  </si>
  <si>
    <t>-584.240472509247 220.197016582008 -224.800830316043</t>
  </si>
  <si>
    <t>-370.990004554246 128.152655754219 -225.578700811657</t>
  </si>
  <si>
    <t>-620.193191347992 120.424476593683 -95.9911635155534</t>
  </si>
  <si>
    <t>-637.943172070622 138.509099074217 318.810625012859</t>
  </si>
  <si>
    <t>-669.330407098433 186.138895871292 778.377529094552</t>
  </si>
  <si>
    <t>-518.524465147732 189.456681413703 834.327470888482</t>
  </si>
  <si>
    <t>-607.819092578319 -81.1147112568083 321.510635080555</t>
  </si>
  <si>
    <t>-655.327961536751 -108.620794347223 781.436982335375</t>
  </si>
  <si>
    <t>-501.042566617874 -121.105354806746 825.300131359902</t>
  </si>
  <si>
    <t>9763-20170724T115556.761055100.bin</t>
  </si>
  <si>
    <t>-610.572326893151 28.2380590841988 -93.1443189125356</t>
  </si>
  <si>
    <t>-629.179434759401 25.0376034937617 -202.236223546943</t>
  </si>
  <si>
    <t>-641.322987412822 23.7921974424528 -294.305743027279</t>
  </si>
  <si>
    <t>-651.822782122159 23.1576917765442 -377.537307531024</t>
  </si>
  <si>
    <t>-661.286603575391 23.060726214441 -460.895412538952</t>
  </si>
  <si>
    <t>-673.9839741827 23.5057732656096 -582.893374570204</t>
  </si>
  <si>
    <t>-664.661525562954 27.82498798389 -660.576413481124</t>
  </si>
  <si>
    <t>-670.901174365155 54.5705737536027 -528.988696500219</t>
  </si>
  <si>
    <t>-650.178169627466 206.177137439541 -498.600049484549</t>
  </si>
  <si>
    <t>-583.113203356629 220.288346721379 -224.954733948413</t>
  </si>
  <si>
    <t>-369.82534802186 128.327388103601 -224.934682843302</t>
  </si>
  <si>
    <t>-619.143076507231 120.629268147135 -96.0012116232134</t>
  </si>
  <si>
    <t>-637.322526706987 138.525322609585 318.790130428886</t>
  </si>
  <si>
    <t>-669.314599989199 186.115686505658 778.323860000083</t>
  </si>
  <si>
    <t>-518.536746686857 189.481977177976 834.346491679579</t>
  </si>
  <si>
    <t>-607.337724136571 -81.2533032573297 321.53990052594</t>
  </si>
  <si>
    <t>-655.348802056258 -108.608962872573 781.428265771778</t>
  </si>
  <si>
    <t>-501.082072671589 -121.475161646492 825.246780125633</t>
  </si>
  <si>
    <t>9763-20170724T115556.828217400.bin</t>
  </si>
  <si>
    <t>-608.678041595678 28.5120735052801 -93.1231808287534</t>
  </si>
  <si>
    <t>-627.171824872194 25.3059182509917 -202.234117718031</t>
  </si>
  <si>
    <t>-639.359295742622 23.9788365000466 -294.296809811812</t>
  </si>
  <si>
    <t>-649.9553565624 23.2418927881004 -377.515423293315</t>
  </si>
  <si>
    <t>-659.572349774002 23.0131007473058 -460.855549976197</t>
  </si>
  <si>
    <t>-672.556470582106 23.2334395737707 -582.82407796953</t>
  </si>
  <si>
    <t>-663.465829995423 27.3607203617396 -660.54491440272</t>
  </si>
  <si>
    <t>-669.309999745353 54.400511605342 -528.987850955751</t>
  </si>
  <si>
    <t>-648.421853536287 206.036904602719 -498.874745503502</t>
  </si>
  <si>
    <t>-580.829663940041 220.378071561241 -225.371126686706</t>
  </si>
  <si>
    <t>-367.588873718744 128.316343459711 -224.131146292056</t>
  </si>
  <si>
    <t>-616.965495705108 121.082333179962 -96.0261717984707</t>
  </si>
  <si>
    <t>-636.127962006933 138.565583151515 318.738487305306</t>
  </si>
  <si>
    <t>-669.278307364395 186.102603398517 778.200447530486</t>
  </si>
  <si>
    <t>-518.561375543151 189.431374060744 834.388890207249</t>
  </si>
  <si>
    <t>-606.486180701705 -81.499311118266 321.580784915957</t>
  </si>
  <si>
    <t>-655.319416628494 -108.582373217245 781.420518983665</t>
  </si>
  <si>
    <t>-501.054185127518 -121.468396668736 825.238485283601</t>
  </si>
  <si>
    <t>9763-20170724T115556.860302800.bin</t>
  </si>
  <si>
    <t>-607.733234060357 28.6571035878917 -93.0976061297962</t>
  </si>
  <si>
    <t>-626.196487848139 25.4453318285796 -202.213565752602</t>
  </si>
  <si>
    <t>-638.423357312367 24.0729024719003 -294.270353054389</t>
  </si>
  <si>
    <t>-649.081530521637 23.2798313148569 -377.48041655288</t>
  </si>
  <si>
    <t>-658.787277825823 22.9795351887333 -460.810076042143</t>
  </si>
  <si>
    <t>-671.930598704226 23.0785815708964 -582.761527493398</t>
  </si>
  <si>
    <t>-662.943869460189 27.1067907042807 -660.499773231763</t>
  </si>
  <si>
    <t>-668.599131607035 54.3004024780203 -528.962473732094</t>
  </si>
  <si>
    <t>-647.625350052312 205.957593512264 -499.008038388788</t>
  </si>
  <si>
    <t>-579.790146780616 220.457585178202 -225.573113847552</t>
  </si>
  <si>
    <t>-366.577933302835 128.336664872981 -223.893159168315</t>
  </si>
  <si>
    <t>-615.883333142727 121.329541910393 -96.042285026846</t>
  </si>
  <si>
    <t>-635.479037485616 138.628193762841 318.709885289889</t>
  </si>
  <si>
    <t>-669.262657331832 186.086661910607 778.134709109391</t>
  </si>
  <si>
    <t>-518.579929372333 189.496159865288 834.41001638608</t>
  </si>
  <si>
    <t>-606.035961653937 -81.5887116298193 321.61781861037</t>
  </si>
  <si>
    <t>-655.275688318681 -108.588029549224 781.427483228455</t>
  </si>
  <si>
    <t>-501.050541888439 -121.797363544368 825.290328185983</t>
  </si>
  <si>
    <t>9763-20170724T115556.925042200.bin</t>
  </si>
  <si>
    <t>-606.064740204322 29.0576048213247 -93.0540109781758</t>
  </si>
  <si>
    <t>-624.441306800623 25.8520877384608 -202.184759566779</t>
  </si>
  <si>
    <t>-636.668983552179 24.393606222478 -294.240151023922</t>
  </si>
  <si>
    <t>-647.358248138174 23.4884024171413 -377.445046714698</t>
  </si>
  <si>
    <t>-657.125688613657 23.041288555318 -460.766889267295</t>
  </si>
  <si>
    <t>-670.393159022326 22.8877255982666 -582.7049035275</t>
  </si>
  <si>
    <t>-661.491763927064 26.7642656588646 -660.460534591045</t>
  </si>
  <si>
    <t>-666.986225271115 54.2224940399676 -528.976244433022</t>
  </si>
  <si>
    <t>-645.964358272902 205.959215348995 -499.458440850903</t>
  </si>
  <si>
    <t>-577.656910947766 220.950698402783 -226.16747727081</t>
  </si>
  <si>
    <t>-364.400557256074 128.959083560789 -223.373775262656</t>
  </si>
  <si>
    <t>-613.872517687855 121.864802382372 -96.0559715289193</t>
  </si>
  <si>
    <t>-634.234700198222 138.745073574464 318.676564061475</t>
  </si>
  <si>
    <t>-669.265504236802 185.919786322083 778.02455900528</t>
  </si>
  <si>
    <t>-518.650523965205 189.642669046378 834.461140878384</t>
  </si>
  <si>
    <t>-605.202388485318 -81.4657766845046 321.697547236416</t>
  </si>
  <si>
    <t>-655.200012295357 -108.548770109667 781.437144803268</t>
  </si>
  <si>
    <t>-500.999686264091 -121.824989698087 825.366936615043</t>
  </si>
  <si>
    <t>9763-20170724T115556.957132100.bin</t>
  </si>
  <si>
    <t>-605.252004142517 29.354263396852 -93.0405352540263</t>
  </si>
  <si>
    <t>-623.550346234499 26.1488964203586 -202.184406263562</t>
  </si>
  <si>
    <t>-635.757340582796 24.6432380425822 -294.241812347063</t>
  </si>
  <si>
    <t>-646.446335509376 23.6780010445616 -377.445985004737</t>
  </si>
  <si>
    <t>-656.232198927695 23.1524923801371 -460.765270024051</t>
  </si>
  <si>
    <t>-669.547128944389 22.8647656012772 -582.697861968566</t>
  </si>
  <si>
    <t>-660.696609851922 26.6706684593521 -660.462942091477</t>
  </si>
  <si>
    <t>-666.104610601478 54.2596848347448 -529.006614150502</t>
  </si>
  <si>
    <t>-645.082502873078 206.043900595247 -499.747291945104</t>
  </si>
  <si>
    <t>-576.498495440951 221.262040526673 -226.538236167379</t>
  </si>
  <si>
    <t>-363.178730700135 129.428204897845 -223.414725631029</t>
  </si>
  <si>
    <t>-612.899259762186 122.202231371639 -96.0605240704842</t>
  </si>
  <si>
    <t>-633.674810644232 138.911358342907 318.658377816903</t>
  </si>
  <si>
    <t>-669.242469459194 185.982175207617 777.977970937973</t>
  </si>
  <si>
    <t>-518.651845896068 189.589963355249 834.486999690651</t>
  </si>
  <si>
    <t>-604.835694620709 -81.3485737992053 321.734166399365</t>
  </si>
  <si>
    <t>-655.158580007578 -108.489351496686 781.439339944163</t>
  </si>
  <si>
    <t>-500.935720307475 -121.428925986646 825.390442324524</t>
  </si>
  <si>
    <t>9763-20170724T115557.024307100.bin</t>
  </si>
  <si>
    <t>-603.733571860016 29.8424235743807 -92.9944474331559</t>
  </si>
  <si>
    <t>-621.973493996084 26.6579174286367 -202.148688633752</t>
  </si>
  <si>
    <t>-634.150007486915 25.0562073107901 -294.208480393905</t>
  </si>
  <si>
    <t>-644.819642261828 23.9611933737572 -377.41358247442</t>
  </si>
  <si>
    <t>-654.59433367049 23.2617506376314 -460.732799373094</t>
  </si>
  <si>
    <t>-667.902191584562 22.6716716642607 -582.665099495456</t>
  </si>
  <si>
    <t>-659.053601679797 26.2504579182526 -660.441062247062</t>
  </si>
  <si>
    <t>-664.413044676634 54.2035172734807 -529.057141792654</t>
  </si>
  <si>
    <t>-643.231769430507 206.065440424818 -500.267245265392</t>
  </si>
  <si>
    <t>-573.893418926886 221.714211908441 -227.272956536863</t>
  </si>
  <si>
    <t>-360.235386115555 130.703906248613 -223.284804763432</t>
  </si>
  <si>
    <t>-611.120204723793 122.804850949791 -96.0669624961733</t>
  </si>
  <si>
    <t>-632.706151908756 139.117135205973 318.626349158539</t>
  </si>
  <si>
    <t>-669.228998159115 185.950579617184 777.893981808392</t>
  </si>
  <si>
    <t>-518.689055366884 189.57986816018 834.536553977786</t>
  </si>
  <si>
    <t>-604.180685306366 -81.2544644372788 321.798906666933</t>
  </si>
  <si>
    <t>-655.094479202544 -108.469003592322 781.444132779915</t>
  </si>
  <si>
    <t>-500.9458836089 -122.09115716997 825.449467749716</t>
  </si>
  <si>
    <t>9763-20170724T115557.062445100.bin</t>
  </si>
  <si>
    <t>-603.090471955424 30.0028839607803 -92.9830821509981</t>
  </si>
  <si>
    <t>-621.328002232288 26.8195656122514 -202.137802469307</t>
  </si>
  <si>
    <t>-633.504312978682 25.165107251268 -294.19668015639</t>
  </si>
  <si>
    <t>-644.174664223374 24.0023404278172 -377.400714110098</t>
  </si>
  <si>
    <t>-653.95110467339 23.2143039273753 -460.71905111652</t>
  </si>
  <si>
    <t>-667.262661978184 22.4717849477959 -582.650066380617</t>
  </si>
  <si>
    <t>-658.379026569674 25.9028593686257 -660.428779346036</t>
  </si>
  <si>
    <t>-663.742398253768 54.072805961717 -529.084960120791</t>
  </si>
  <si>
    <t>-642.39666035347 205.942759176341 -500.51103576991</t>
  </si>
  <si>
    <t>-572.502192376644 221.864236959026 -227.674425634099</t>
  </si>
  <si>
    <t>-358.715801748195 131.165778131792 -223.468915653246</t>
  </si>
  <si>
    <t>-610.354146459051 122.982058564442 -96.072459545858</t>
  </si>
  <si>
    <t>-632.262123039583 139.106452247384 318.611338846587</t>
  </si>
  <si>
    <t>-669.239048615295 185.841203118499 777.852918628364</t>
  </si>
  <si>
    <t>-518.72871389943 189.736414621382 834.556498252797</t>
  </si>
  <si>
    <t>-603.864912098956 -81.1980566091313 321.82675442107</t>
  </si>
  <si>
    <t>-655.066687199219 -108.434859341127 781.442373939924</t>
  </si>
  <si>
    <t>-500.917987750605 -121.995526603602 825.466337428322</t>
  </si>
  <si>
    <t>9763-20170724T115557.127475500.bin</t>
  </si>
  <si>
    <t>-602.016871904523 30.4054339758618 -92.9477679763975</t>
  </si>
  <si>
    <t>-620.283410916914 27.2080609273428 -202.097282844885</t>
  </si>
  <si>
    <t>-632.428611651618 25.4073567844721 -294.157465026734</t>
  </si>
  <si>
    <t>-643.048987781445 24.0612436867609 -377.365122768157</t>
  </si>
  <si>
    <t>-652.753625864848 23.0369927910751 -460.689243618624</t>
  </si>
  <si>
    <t>-665.936355498246 21.8916231489277 -582.631298242974</t>
  </si>
  <si>
    <t>-656.976326594954 24.9902828047966 -660.415073188565</t>
  </si>
  <si>
    <t>-662.416765066189 53.6736514223537 -529.173097235367</t>
  </si>
  <si>
    <t>-640.72970796019 205.582503686833 -501.045547786694</t>
  </si>
  <si>
    <t>-569.666633082578 222.147902501605 -228.549318036049</t>
  </si>
  <si>
    <t>-355.695981435123 131.884977179987 -224.34352920052</t>
  </si>
  <si>
    <t>-608.985999856738 123.489507729618 -96.1024140943229</t>
  </si>
  <si>
    <t>-631.460219390759 139.247984584599 318.565140400118</t>
  </si>
  <si>
    <t>-669.230007729524 185.778831328817 777.765467646899</t>
  </si>
  <si>
    <t>-518.771399985461 189.637230707545 834.608680302572</t>
  </si>
  <si>
    <t>-603.384394166525 -80.9530922926886 321.896413861495</t>
  </si>
  <si>
    <t>-654.983291266694 -108.35293949083 781.455298484415</t>
  </si>
  <si>
    <t>-500.823577618207 -121.589795042059 825.539198874191</t>
  </si>
  <si>
    <t>9763-20170724T115557.158555800.bin</t>
  </si>
  <si>
    <t>-601.578713690836 30.6224331050105 -92.9395409837771</t>
  </si>
  <si>
    <t>-619.837577365266 27.4185553799368 -202.090142703362</t>
  </si>
  <si>
    <t>-631.948820347297 25.55550983377 -294.1535328157</t>
  </si>
  <si>
    <t>-642.52770904694 24.1314328148731 -377.365257662357</t>
  </si>
  <si>
    <t>-652.180013005037 23.0071467131718 -460.694141087837</t>
  </si>
  <si>
    <t>-665.27436422204 21.691152927506 -582.643915604854</t>
  </si>
  <si>
    <t>-656.278973495954 24.6350303553197 -660.429668307502</t>
  </si>
  <si>
    <t>-661.76758446326 53.5497741032007 -529.230511073657</t>
  </si>
  <si>
    <t>-639.868841069269 205.452978035313 -501.282251651904</t>
  </si>
  <si>
    <t>-568.244843119235 222.413991162453 -228.957254267682</t>
  </si>
  <si>
    <t>-354.318066075222 132.040887763575 -224.886651357304</t>
  </si>
  <si>
    <t>-608.396377288934 123.777543228885 -96.1207016908149</t>
  </si>
  <si>
    <t>-631.128756434091 139.393877930274 318.538206203013</t>
  </si>
  <si>
    <t>-669.213513565986 185.843714268895 777.720459959131</t>
  </si>
  <si>
    <t>-518.773510244107 189.499019983485 834.626180811164</t>
  </si>
  <si>
    <t>-603.259306315508 -80.8441112995838 321.920721982944</t>
  </si>
  <si>
    <t>-654.948472331045 -108.356097166666 781.462184685241</t>
  </si>
  <si>
    <t>-500.827743405163 -121.918373177778 825.583558104183</t>
  </si>
  <si>
    <t>9763-20170724T115557.227386400.bin</t>
  </si>
  <si>
    <t>-600.98709937544 30.8344492549181 -92.9407697320361</t>
  </si>
  <si>
    <t>-619.246984957327 27.6247730793446 -202.09101091894</t>
  </si>
  <si>
    <t>-631.369507589888 25.6733550583738 -294.151116438391</t>
  </si>
  <si>
    <t>-641.963175524626 24.138653142481 -377.359013358466</t>
  </si>
  <si>
    <t>-651.634656905609 22.8713096888034 -460.683612150671</t>
  </si>
  <si>
    <t>-664.762007321105 21.3104603277445 -582.626989216313</t>
  </si>
  <si>
    <t>-655.641493712919 23.9904133907978 -660.407738698889</t>
  </si>
  <si>
    <t>-661.143684918315 53.2829158946893 -529.289293564789</t>
  </si>
  <si>
    <t>-638.529665215856 205.135745696019 -501.606227895905</t>
  </si>
  <si>
    <t>-566.105506127086 222.501757680991 -229.518476691047</t>
  </si>
  <si>
    <t>-352.359678768787 131.687142576261 -225.782898775959</t>
  </si>
  <si>
    <t>-607.52117105445 124.048089610573 -96.1670517858539</t>
  </si>
  <si>
    <t>-630.663446239391 139.451977988668 318.477154449949</t>
  </si>
  <si>
    <t>-669.241560760544 185.739993143303 777.641667775826</t>
  </si>
  <si>
    <t>-518.837704937811 189.643404767818 834.626495173209</t>
  </si>
  <si>
    <t>-603.158859778719 -80.7752844350262 321.947176836691</t>
  </si>
  <si>
    <t>-654.881269814161 -108.289437349118 781.481148662235</t>
  </si>
  <si>
    <t>-500.788459891609 -122.0053763238 825.652513193362</t>
  </si>
  <si>
    <t>9763-20170724T115557.264485900.bin</t>
  </si>
  <si>
    <t>-600.781587909676 30.9201079642576 -92.9487590276688</t>
  </si>
  <si>
    <t>-619.078882219102 27.7038639236803 -202.09258438794</t>
  </si>
  <si>
    <t>-631.242690973458 25.7128906403764 -294.146371839732</t>
  </si>
  <si>
    <t>-641.877698705028 24.1302390888929 -377.348110434922</t>
  </si>
  <si>
    <t>-651.594550037918 22.8018716395072 -460.666579629312</t>
  </si>
  <si>
    <t>-664.792765860629 21.1371981250963 -582.600791746096</t>
  </si>
  <si>
    <t>-655.546003337048 23.7115305681973 -660.370178681158</t>
  </si>
  <si>
    <t>-661.091422977757 53.1584389952475 -529.29809982589</t>
  </si>
  <si>
    <t>-638.092268019971 204.982773326453 -501.766960439825</t>
  </si>
  <si>
    <t>-565.377226207738 222.395146759054 -229.759781900329</t>
  </si>
  <si>
    <t>-351.728446932373 131.341917189744 -226.290628474028</t>
  </si>
  <si>
    <t>-607.185543848737 124.195386276574 -96.1988697249011</t>
  </si>
  <si>
    <t>-630.44983299585 139.491147662285 318.442404016092</t>
  </si>
  <si>
    <t>-669.251697082721 185.739084020875 777.602701824544</t>
  </si>
  <si>
    <t>-518.858262021094 189.59620314617 834.618081567073</t>
  </si>
  <si>
    <t>-603.107868240492 -80.6978447680362 321.962809216069</t>
  </si>
  <si>
    <t>-654.850637686508 -108.282769772624 781.493370729679</t>
  </si>
  <si>
    <t>-500.76561458246 -122.013071247627 825.68737348942</t>
  </si>
  <si>
    <t>9763-20170724T115557.328216900.bin</t>
  </si>
  <si>
    <t>-600.523949948545 31.0408475612355 -92.9888107227559</t>
  </si>
  <si>
    <t>-618.912088507508 27.8318109506745 -202.117541774393</t>
  </si>
  <si>
    <t>-631.247919871659 25.7958946338301 -294.147482352647</t>
  </si>
  <si>
    <t>-642.076956914695 24.1550037062239 -377.323180882144</t>
  </si>
  <si>
    <t>-652.026698857261 22.749020212595 -460.612679443164</t>
  </si>
  <si>
    <t>-665.608253987718 20.9495106401396 -582.502958690774</t>
  </si>
  <si>
    <t>-656.106459272387 23.4048310027169 -660.245485003408</t>
  </si>
  <si>
    <t>-661.660909120486 53.0347661669182 -529.256487725271</t>
  </si>
  <si>
    <t>-638.160154433476 204.839079423443 -502.037209854466</t>
  </si>
  <si>
    <t>-564.787350877762 222.415338424833 -230.217195447517</t>
  </si>
  <si>
    <t>-351.333242671365 130.892499154318 -227.14335874629</t>
  </si>
  <si>
    <t>-606.701549241015 124.414008636882 -96.2715184776762</t>
  </si>
  <si>
    <t>-630.136957941534 139.496848978397 318.367920183306</t>
  </si>
  <si>
    <t>-669.294513032427 185.630890010945 777.518983284697</t>
  </si>
  <si>
    <t>-518.920238510484 189.555621006428 834.580379735517</t>
  </si>
  <si>
    <t>-603.136563117658 -80.567503742358 321.966677941664</t>
  </si>
  <si>
    <t>-654.79584062101 -108.219150855765 781.502716655426</t>
  </si>
  <si>
    <t>-500.727684502293 -122.031314789672 825.729989976114</t>
  </si>
  <si>
    <t>9763-20170724T115557.360301500.bin</t>
  </si>
  <si>
    <t>-600.475549460969 31.0863744743335 -93.0084132774144</t>
  </si>
  <si>
    <t>-618.898505498876 27.8795329064635 -202.131399512444</t>
  </si>
  <si>
    <t>-631.302875338046 25.8343690701465 -294.151877289321</t>
  </si>
  <si>
    <t>-642.209696220376 24.1813944327148 -377.31698763689</t>
  </si>
  <si>
    <t>-652.253192883584 22.7591525561429 -460.595115859683</t>
  </si>
  <si>
    <t>-665.989221433101 20.9315933658193 -582.467705460168</t>
  </si>
  <si>
    <t>-656.359253276726 23.3768879136974 -660.19467237041</t>
  </si>
  <si>
    <t>-661.946068069197 53.0309598622034 -529.236656152065</t>
  </si>
  <si>
    <t>-638.413645593645 204.847637243197 -502.125695181865</t>
  </si>
  <si>
    <t>-564.469889719295 222.361623654068 -230.456555428583</t>
  </si>
  <si>
    <t>-351.045661814673 130.756952013582 -227.770900997865</t>
  </si>
  <si>
    <t>-606.57450674147 124.444401821325 -96.29710387558</t>
  </si>
  <si>
    <t>-630.006178822559 139.499950990142 318.343603543325</t>
  </si>
  <si>
    <t>-669.318463301086 185.563512617939 777.480137220166</t>
  </si>
  <si>
    <t>-518.952637833884 189.52681584532 834.561056705276</t>
  </si>
  <si>
    <t>-603.192457278444 -80.5196943325213 321.959094479615</t>
  </si>
  <si>
    <t>-654.771599563638 -108.212168919764 781.502691890282</t>
  </si>
  <si>
    <t>-500.707042196507 -122.02925872793 825.740894426804</t>
  </si>
  <si>
    <t>9763-20170724T115557.425479300.bin</t>
  </si>
  <si>
    <t>-600.558882744715 31.2900164206303 -93.0374747911296</t>
  </si>
  <si>
    <t>-619.107572429334 28.0630905666949 -202.13859409821</t>
  </si>
  <si>
    <t>-631.573701926812 26.0094505863981 -294.150475679132</t>
  </si>
  <si>
    <t>-642.518595835441 24.3528551603399 -377.310624015786</t>
  </si>
  <si>
    <t>-652.582299503976 22.9306783152358 -460.586215025924</t>
  </si>
  <si>
    <t>-666.328319963096 21.1067427011308 -582.457688675704</t>
  </si>
  <si>
    <t>-656.642606929465 23.578897754182 -660.176995956892</t>
  </si>
  <si>
    <t>-662.245397033725 53.2067297056999 -529.230243423589</t>
  </si>
  <si>
    <t>-638.877053928272 205.050244809271 -502.11713662947</t>
  </si>
  <si>
    <t>-563.52356597395 222.176059668146 -230.810827268524</t>
  </si>
  <si>
    <t>-350.091366541 130.57008309958 -228.920207965441</t>
  </si>
  <si>
    <t>-606.609721896954 124.638453330868 -96.3548590306489</t>
  </si>
  <si>
    <t>-629.900515157547 139.652508206658 318.29525644674</t>
  </si>
  <si>
    <t>-669.329161000481 185.637850653903 777.421362760065</t>
  </si>
  <si>
    <t>-518.966245105458 189.360377550915 834.526100243245</t>
  </si>
  <si>
    <t>-603.281839478493 -80.2544425619992 321.954948156937</t>
  </si>
  <si>
    <t>-654.74821046018 -108.139724162322 781.4993348122</t>
  </si>
  <si>
    <t>-500.663622401479 -121.811403517582 825.712917746811</t>
  </si>
  <si>
    <t>9763-20170724T115557.458568900.bin</t>
  </si>
  <si>
    <t>-600.731125380479 31.3580738909588 -93.0728265162647</t>
  </si>
  <si>
    <t>-619.320920347868 28.1209899958887 -202.166641189423</t>
  </si>
  <si>
    <t>-631.766151588251 26.0801729090617 -294.181765303196</t>
  </si>
  <si>
    <t>-642.6696925232 24.4441591002519 -377.347648673802</t>
  </si>
  <si>
    <t>-652.669635391682 23.0508938104647 -460.63142722893</t>
  </si>
  <si>
    <t>-666.297628706735 21.2790033469789 -582.516970438742</t>
  </si>
  <si>
    <t>-656.635356869544 23.7880697624462 -660.237948069269</t>
  </si>
  <si>
    <t>-662.260405911893 53.3566459162887 -529.272476732366</t>
  </si>
  <si>
    <t>-638.946576015997 205.197219153793 -502.076509366987</t>
  </si>
  <si>
    <t>-563.008898344808 221.966741657411 -230.910816282736</t>
  </si>
  <si>
    <t>-349.639242973109 130.203694707487 -229.703645380652</t>
  </si>
  <si>
    <t>-606.774700977957 124.710487080651 -96.3900118169192</t>
  </si>
  <si>
    <t>-629.965335495654 139.690769008729 318.266897377782</t>
  </si>
  <si>
    <t>-669.33160972151 185.701197280889 777.398527827091</t>
  </si>
  <si>
    <t>-518.965874112171 189.189095498886 834.510765484942</t>
  </si>
  <si>
    <t>-603.350437911809 -80.1366676659761 321.947322413425</t>
  </si>
  <si>
    <t>-654.749807855624 -108.127914948039 781.488457306719</t>
  </si>
  <si>
    <t>-500.681663762426 -122.048476892941 825.681791661328</t>
  </si>
  <si>
    <t>9763-20170724T115557.524243800.bin</t>
  </si>
  <si>
    <t>-601.1950962404 31.3325591916591 -93.1328433037414</t>
  </si>
  <si>
    <t>-619.810521838402 28.1117099813032 -202.222615450008</t>
  </si>
  <si>
    <t>-632.182154324302 26.1026730707426 -294.24841798034</t>
  </si>
  <si>
    <t>-642.980942554133 24.5024924446334 -377.428610929733</t>
  </si>
  <si>
    <t>-652.837626882954 23.1521664700106 -460.730295108978</t>
  </si>
  <si>
    <t>-666.213830805089 21.4507921479258 -582.644685092391</t>
  </si>
  <si>
    <t>-656.668418964541 23.996168552 -660.378960208446</t>
  </si>
  <si>
    <t>-662.279707131193 53.4979985818034 -529.374097587807</t>
  </si>
  <si>
    <t>-639.032820917244 205.3144630247 -502.010991017867</t>
  </si>
  <si>
    <t>-562.087926291723 221.333964387595 -231.083941722962</t>
  </si>
  <si>
    <t>-348.930146649787 129.072113696229 -231.292085989091</t>
  </si>
  <si>
    <t>-607.252719957009 124.535147739824 -96.4210163125581</t>
  </si>
  <si>
    <t>-630.384446837057 139.600567372066 318.23609353536</t>
  </si>
  <si>
    <t>-669.387727603797 185.636155193867 777.388315892696</t>
  </si>
  <si>
    <t>-519.01481550224 189.163852992742 834.479154117639</t>
  </si>
  <si>
    <t>-603.667676103502 -80.0543914841228 321.892559303272</t>
  </si>
  <si>
    <t>-654.747789679958 -108.076100488089 781.46851979998</t>
  </si>
  <si>
    <t>-500.681384181119 -122.166023967998 825.614221673589</t>
  </si>
  <si>
    <t>9763-20170724T115557.589476200.bin</t>
  </si>
  <si>
    <t>-601.736922183988 31.2321991430142 -93.1566675814987</t>
  </si>
  <si>
    <t>-620.339984836223 28.0449067803731 -202.249523633761</t>
  </si>
  <si>
    <t>-632.651312200873 26.1073934134101 -294.284921936345</t>
  </si>
  <si>
    <t>-643.375747092936 24.5893032994672 -377.476436949759</t>
  </si>
  <si>
    <t>-653.137925364061 23.3394043735691 -460.790595014286</t>
  </si>
  <si>
    <t>-666.354072460231 21.8045683422699 -582.724662201742</t>
  </si>
  <si>
    <t>-656.944868516459 24.4451875973407 -660.472386515097</t>
  </si>
  <si>
    <t>-662.507779601146 53.7779565879885 -529.40338567151</t>
  </si>
  <si>
    <t>-639.314003044764 205.563862292314 -501.820317030606</t>
  </si>
  <si>
    <t>-561.383092872266 221.172946039475 -231.15131273873</t>
  </si>
  <si>
    <t>-348.627561646959 128.013479680728 -233.372100162421</t>
  </si>
  <si>
    <t>-607.770532656457 124.311716894926 -96.4368105473909</t>
  </si>
  <si>
    <t>-630.882263946775 139.435257331864 318.219342469073</t>
  </si>
  <si>
    <t>-669.443608177275 185.611626204156 777.391638573686</t>
  </si>
  <si>
    <t>-519.051316999678 189.032092755933 834.437868284441</t>
  </si>
  <si>
    <t>-604.180020345789 -80.0775279938887 321.827393690457</t>
  </si>
  <si>
    <t>-654.735269680394 -108.043762320631 781.453677311294</t>
  </si>
  <si>
    <t>-500.635680765385 -121.891554727837 825.560091076325</t>
  </si>
  <si>
    <t>9763-20170724T115557.627583200.bin</t>
  </si>
  <si>
    <t>-601.983887619658 31.1480032293193 -93.1764056979209</t>
  </si>
  <si>
    <t>-620.586924789938 27.9780031178498 -202.269806963731</t>
  </si>
  <si>
    <t>-632.912471405068 26.0698193271721 -294.303836055043</t>
  </si>
  <si>
    <t>-643.65548388474 24.5847833407533 -377.493431765962</t>
  </si>
  <si>
    <t>-653.442119721957 23.3742595670162 -460.805619377128</t>
  </si>
  <si>
    <t>-666.700304079848 21.9044237596243 -582.735894680229</t>
  </si>
  <si>
    <t>-657.336715354934 24.5882934307056 -660.487479444573</t>
  </si>
  <si>
    <t>-662.839138505557 53.849153850706 -529.398432498941</t>
  </si>
  <si>
    <t>-639.661820209701 205.630150209138 -501.762864106288</t>
  </si>
  <si>
    <t>-561.210149756535 220.923716374707 -231.226290785535</t>
  </si>
  <si>
    <t>-348.609668221428 127.435035067955 -234.296100326899</t>
  </si>
  <si>
    <t>-607.98142404884 124.207681593728 -96.4536594222969</t>
  </si>
  <si>
    <t>-631.04541783506 139.34509984821 318.204640898769</t>
  </si>
  <si>
    <t>-669.475635166944 185.582367107907 777.391746146251</t>
  </si>
  <si>
    <t>-519.075550835341 189.022959291142 834.416332619237</t>
  </si>
  <si>
    <t>-604.409122168957 -80.1536368989739 321.792599848424</t>
  </si>
  <si>
    <t>-654.722627601426 -108.094980340276 781.453997185906</t>
  </si>
  <si>
    <t>-500.66483441145 -122.369425162669 825.570503842183</t>
  </si>
  <si>
    <t>9763-20170724T115557.659669200.bin</t>
  </si>
  <si>
    <t>-602.18421630333 31.076142632385 -93.1890942351122</t>
  </si>
  <si>
    <t>-620.82620932085 27.9186174880479 -202.276246129303</t>
  </si>
  <si>
    <t>-633.216954874341 26.0449760654992 -294.302242480967</t>
  </si>
  <si>
    <t>-644.03196020158 24.6009594872844 -377.483359631572</t>
  </si>
  <si>
    <t>-653.903693048659 23.4414668519962 -460.786122111985</t>
  </si>
  <si>
    <t>-667.300788517653 22.0572996036699 -582.702149846198</t>
  </si>
  <si>
    <t>-657.952565655203 24.7974050565563 -660.453715260574</t>
  </si>
  <si>
    <t>-663.384044568068 53.9642400359387 -529.34628037787</t>
  </si>
  <si>
    <t>-640.224689072985 205.727870178792 -501.629998257208</t>
  </si>
  <si>
    <t>-561.252148559124 220.765190814916 -231.23060559636</t>
  </si>
  <si>
    <t>-348.845620350182 126.879484387151 -235.41216649078</t>
  </si>
  <si>
    <t>-608.166790813715 124.12281417636 -96.460749635782</t>
  </si>
  <si>
    <t>-631.166021138743 139.266710105786 318.200933160206</t>
  </si>
  <si>
    <t>-669.517631884304 185.50219297396 777.392131586698</t>
  </si>
  <si>
    <t>-519.111546224323 188.980243759807 834.398597366649</t>
  </si>
  <si>
    <t>-604.575291290728 -80.1874758889276 321.775223695891</t>
  </si>
  <si>
    <t>-654.711696322005 -108.078414617235 781.455516983462</t>
  </si>
  <si>
    <t>-500.661665122206 -122.445804904299 825.568851897492</t>
  </si>
  <si>
    <t>9763-20170724T115557.723850100.bin</t>
  </si>
  <si>
    <t>-602.354935616235 31.1192111469613 -93.1903504252778</t>
  </si>
  <si>
    <t>-621.210768951557 27.9701441314344 -202.24097430295</t>
  </si>
  <si>
    <t>-633.851826514072 26.1714840206866 -294.234518729786</t>
  </si>
  <si>
    <t>-644.921212970903 24.8227343552294 -377.383659167823</t>
  </si>
  <si>
    <t>-655.075904728349 23.7865707544267 -460.65388705316</t>
  </si>
  <si>
    <t>-668.91824782697 22.6133547320553 -582.522485625491</t>
  </si>
  <si>
    <t>-659.6240057709 25.494265700441 -660.275357827577</t>
  </si>
  <si>
    <t>-664.835770491465 54.4260580298051 -529.122700466361</t>
  </si>
  <si>
    <t>-641.805731171176 206.1633484758 -501.17705428142</t>
  </si>
  <si>
    <t>-561.790703207735 220.693657073415 -231.056581330572</t>
  </si>
  <si>
    <t>-349.488625964927 126.692094755517 -237.38657325176</t>
  </si>
  <si>
    <t>-608.310793386177 124.225440762798 -96.4598115254706</t>
  </si>
  <si>
    <t>-631.22131473884 139.216308556286 318.212281806214</t>
  </si>
  <si>
    <t>-669.553513822357 185.536602814005 777.388742481867</t>
  </si>
  <si>
    <t>-519.135946968753 188.864587133744 834.373797576061</t>
  </si>
  <si>
    <t>-604.664006496681 -80.0040195151496 321.757228412722</t>
  </si>
  <si>
    <t>-654.711449268259 -107.963816522681 781.44263081297</t>
  </si>
  <si>
    <t>-500.596136529092 -121.846551947176 825.483145087403</t>
  </si>
  <si>
    <t>9763-20170724T115557.760953200.bin</t>
  </si>
  <si>
    <t>-602.374487396126 31.2228535808595 -93.1992227946567</t>
  </si>
  <si>
    <t>-621.402254725676 28.0725755836381 -202.220045074428</t>
  </si>
  <si>
    <t>-634.184707121884 26.3264702805488 -294.19490351165</t>
  </si>
  <si>
    <t>-645.380387484373 25.0466041713803 -377.328239143218</t>
  </si>
  <si>
    <t>-655.660113669942 24.1010521404446 -460.584336290511</t>
  </si>
  <si>
    <t>-669.683774877068 23.084390811787 -582.433560004273</t>
  </si>
  <si>
    <t>-660.492407851644 26.0741949322558 -660.1946594068</t>
  </si>
  <si>
    <t>-665.538790528374 54.8273315836154 -528.997112865636</t>
  </si>
  <si>
    <t>-642.665358819319 206.568268802295 -500.931233159103</t>
  </si>
  <si>
    <t>-562.047065401608 220.911770100929 -230.980250230774</t>
  </si>
  <si>
    <t>-349.728813637511 127.035575812815 -238.513320277131</t>
  </si>
  <si>
    <t>-608.353880160294 124.363469063939 -96.4668682413054</t>
  </si>
  <si>
    <t>-631.173804915945 139.199867790379 318.215849206419</t>
  </si>
  <si>
    <t>-669.570089815235 185.506917941641 777.386854378549</t>
  </si>
  <si>
    <t>-519.151135989863 188.844919920959 834.367802112295</t>
  </si>
  <si>
    <t>-604.605283900367 -79.7717491148437 321.75366042642</t>
  </si>
  <si>
    <t>-654.722588819344 -107.89497473998 781.427189371285</t>
  </si>
  <si>
    <t>-500.580800466985 -121.650846815303 825.414793771853</t>
  </si>
  <si>
    <t>9763-20170724T115557.829703300.bin</t>
  </si>
  <si>
    <t>-602.382101124411 31.5884008948526 -93.2105074631144</t>
  </si>
  <si>
    <t>-621.757776426955 28.3744941105156 -202.168075197346</t>
  </si>
  <si>
    <t>-634.765167993962 26.7110768487032 -294.113022611742</t>
  </si>
  <si>
    <t>-646.136359297909 25.5600352153053 -377.224432266071</t>
  </si>
  <si>
    <t>-656.563990273295 24.797757052484 -460.463951822178</t>
  </si>
  <si>
    <t>-670.773411734488 24.1088331929639 -582.293914609768</t>
  </si>
  <si>
    <t>-661.820504228537 27.3110711011145 -660.074471137497</t>
  </si>
  <si>
    <t>-666.565471375414 55.7066263580532 -528.77658400248</t>
  </si>
  <si>
    <t>-643.844879049254 207.399432651411 -500.307588685298</t>
  </si>
  <si>
    <t>-562.305270439709 221.287601061086 -230.609582952187</t>
  </si>
  <si>
    <t>-349.913049048855 127.744169129944 -239.974593498594</t>
  </si>
  <si>
    <t>-608.523334439438 124.815380510398 -96.4956823887748</t>
  </si>
  <si>
    <t>-630.896001852377 139.196108917182 318.227371181951</t>
  </si>
  <si>
    <t>-669.604331191441 185.369255148197 777.378154853702</t>
  </si>
  <si>
    <t>-519.198267077016 188.946049014509 834.378598869646</t>
  </si>
  <si>
    <t>-604.350147688961 -78.8822583640278 321.805442095939</t>
  </si>
  <si>
    <t>-654.76954856179 -107.813545202273 781.389210589495</t>
  </si>
  <si>
    <t>-500.565511958028 -121.337675842817 825.230268765448</t>
  </si>
  <si>
    <t>9763-20170724T115557.862790100.bin</t>
  </si>
  <si>
    <t>-602.237296233989 31.7471415524449 -93.2176097969018</t>
  </si>
  <si>
    <t>-621.855279409247 28.4702983076011 -202.129863920975</t>
  </si>
  <si>
    <t>-635.035220496165 26.8195407925593 -294.050519543803</t>
  </si>
  <si>
    <t>-646.549481279685 25.7053950081058 -377.142680241367</t>
  </si>
  <si>
    <t>-657.107401030424 25.0059220285996 -460.366351376191</t>
  </si>
  <si>
    <t>-671.493173993897 24.4373473854093 -582.176228995191</t>
  </si>
  <si>
    <t>-662.699335054488 27.737990198784 -659.970734916083</t>
  </si>
  <si>
    <t>-667.222701553703 55.9813303668504 -528.632034665425</t>
  </si>
  <si>
    <t>-644.534160686693 207.660824968668 -500.011922503408</t>
  </si>
  <si>
    <t>-562.566722103194 221.283869453447 -230.430157732108</t>
  </si>
  <si>
    <t>-350.122132882727 127.912325762932 -240.30812393966</t>
  </si>
  <si>
    <t>-608.516933415765 125.04860442821 -96.5092969795737</t>
  </si>
  <si>
    <t>-630.815937298076 139.203621807523 318.225550842839</t>
  </si>
  <si>
    <t>-669.602365427354 185.415306105668 777.378825222281</t>
  </si>
  <si>
    <t>-519.195053569894 188.855267562028 834.38431473771</t>
  </si>
  <si>
    <t>-604.201838584166 -78.2657044675016 321.843183327977</t>
  </si>
  <si>
    <t>-654.78902054936 -107.77694705039 781.375572892551</t>
  </si>
  <si>
    <t>-500.59911248689 -121.624048802326 825.165442058675</t>
  </si>
  <si>
    <t>9763-20170724T115557.924457600.bin</t>
  </si>
  <si>
    <t>-601.824411695719 31.9778617161239 -93.2563631109789</t>
  </si>
  <si>
    <t>-621.859089742908 28.614404179086 -202.09024095265</t>
  </si>
  <si>
    <t>-635.375713248457 26.9843202085199 -293.96224930976</t>
  </si>
  <si>
    <t>-647.187784818898 25.925214249377 -377.013335940424</t>
  </si>
  <si>
    <t>-658.037309401993 25.3172589806356 -460.200217075538</t>
  </si>
  <si>
    <t>-672.842429199416 24.9220130847305 -581.960575043257</t>
  </si>
  <si>
    <t>-664.393296402791 28.3976676965574 -659.785673385306</t>
  </si>
  <si>
    <t>-668.383664874089 56.3900664211749 -528.38701794506</t>
  </si>
  <si>
    <t>-645.582260519991 208.011316827263 -499.61242485443</t>
  </si>
  <si>
    <t>-562.987558294812 221.407759418246 -230.210769129946</t>
  </si>
  <si>
    <t>-350.62171415945 127.997297759567 -241.335924420843</t>
  </si>
  <si>
    <t>-608.296570864053 125.388160134032 -96.5605355610663</t>
  </si>
  <si>
    <t>-630.631789548728 139.152993197705 318.185530589939</t>
  </si>
  <si>
    <t>-669.616067701557 185.32744902955 777.369032138393</t>
  </si>
  <si>
    <t>-519.214728691706 188.7950058546 834.388684071732</t>
  </si>
  <si>
    <t>-603.882968031087 -77.2193230042158 321.886525380806</t>
  </si>
  <si>
    <t>-654.827007686292 -107.653717662409 781.348722637379</t>
  </si>
  <si>
    <t>-500.573924270786 -121.161989318412 825.02172346614</t>
  </si>
  <si>
    <t>9763-20170724T115557.957115200.bin</t>
  </si>
  <si>
    <t>-601.638541641084 32.2818131962192 -93.2471246675251</t>
  </si>
  <si>
    <t>-621.865738454843 28.8802916806121 -202.044205994429</t>
  </si>
  <si>
    <t>-635.543593641602 27.2611585841807 -293.892642859424</t>
  </si>
  <si>
    <t>-647.500753799291 26.228251863206 -376.923293584727</t>
  </si>
  <si>
    <t>-658.494772014177 25.6630724215524 -460.09138608638</t>
  </si>
  <si>
    <t>-673.51033412402 25.3483779188016 -581.826197224217</t>
  </si>
  <si>
    <t>-665.234782259432 28.8769715342112 -659.667659916742</t>
  </si>
  <si>
    <t>-668.953382690054 56.7813947923803 -528.240309608158</t>
  </si>
  <si>
    <t>-646.047661578235 208.381325208971 -499.439028932766</t>
  </si>
  <si>
    <t>-563.164572571367 221.697764159289 -230.121982497155</t>
  </si>
  <si>
    <t>-350.877592474226 128.191759143059 -241.929318678095</t>
  </si>
  <si>
    <t>-608.225491733045 125.711304758349 -96.574206806212</t>
  </si>
  <si>
    <t>-630.459971899133 139.277079676686 318.183767409912</t>
  </si>
  <si>
    <t>-669.606564596423 185.34605202576 777.373079728292</t>
  </si>
  <si>
    <t>-519.212116664989 188.765561178068 834.413730660596</t>
  </si>
  <si>
    <t>-603.681758785874 -76.7019857676294 321.918547918653</t>
  </si>
  <si>
    <t>-654.831900328494 -107.608056031636 781.331246259247</t>
  </si>
  <si>
    <t>-500.577516412035 -121.158067549062 824.986786524995</t>
  </si>
  <si>
    <t>9763-20170724T115558.028848800.bin</t>
  </si>
  <si>
    <t>-601.421097494549 32.8631043730347 -93.1900453662098</t>
  </si>
  <si>
    <t>-622.053293733701 29.4398468890893 -201.910315267495</t>
  </si>
  <si>
    <t>-636.049312327394 27.8612168779823 -293.711480412064</t>
  </si>
  <si>
    <t>-648.284223907838 26.8882102313733 -376.702365368386</t>
  </si>
  <si>
    <t>-659.546489391261 26.4059464045624 -459.83525149462</t>
  </si>
  <si>
    <t>-674.943627457563 26.2374447013992 -581.522666514802</t>
  </si>
  <si>
    <t>-666.96994616887 29.8304328124789 -659.392540547749</t>
  </si>
  <si>
    <t>-670.204434079185 57.6069937604973 -527.91532854533</t>
  </si>
  <si>
    <t>-647.167194172291 209.175291051532 -499.065211148644</t>
  </si>
  <si>
    <t>-563.538425346535 222.158573992656 -229.962677025291</t>
  </si>
  <si>
    <t>-351.494894149641 128.338253287633 -243.520572917514</t>
  </si>
  <si>
    <t>-608.149741593398 126.246604425685 -96.5078158103418</t>
  </si>
  <si>
    <t>-630.24561585411 139.49461696468 318.267856372695</t>
  </si>
  <si>
    <t>-669.634085472345 185.252466300868 777.443960917604</t>
  </si>
  <si>
    <t>-519.247267972266 188.706944055205 834.502661260292</t>
  </si>
  <si>
    <t>-603.283002272086 -75.8400437634646 321.986571189902</t>
  </si>
  <si>
    <t>-654.830697559055 -107.531823522979 781.307129165894</t>
  </si>
  <si>
    <t>-500.559187629946 -121.015051778858 824.922747792105</t>
  </si>
  <si>
    <t>9763-20170724T115558.061935200.bin</t>
  </si>
  <si>
    <t>-601.401415772926 33.1460301573129 -93.1593972339091</t>
  </si>
  <si>
    <t>-622.184482491582 29.7209144011017 -201.850891199793</t>
  </si>
  <si>
    <t>-636.299889969657 28.1759621274052 -293.63428937202</t>
  </si>
  <si>
    <t>-648.639470859982 27.2478539563704 -376.610272697069</t>
  </si>
  <si>
    <t>-660.003248400256 26.8246653770918 -459.729568868654</t>
  </si>
  <si>
    <t>-675.545240731447 26.7583719228962 -581.398656081172</t>
  </si>
  <si>
    <t>-667.678252130948 30.3951402436455 -659.277355807649</t>
  </si>
  <si>
    <t>-670.728017206092 58.0837737062759 -527.772562692469</t>
  </si>
  <si>
    <t>-647.537603226911 209.616041787222 -498.852876242598</t>
  </si>
  <si>
    <t>-563.619270747229 222.458790310536 -229.833514841192</t>
  </si>
  <si>
    <t>-351.694191917486 128.502049632091 -244.270610072198</t>
  </si>
  <si>
    <t>-608.098919578281 126.503818165848 -96.4689532470678</t>
  </si>
  <si>
    <t>-630.205202294095 139.621191424738 318.310394007263</t>
  </si>
  <si>
    <t>-669.641904222619 185.242703028948 777.49242857199</t>
  </si>
  <si>
    <t>-519.255055541315 188.712925843851 834.550082911588</t>
  </si>
  <si>
    <t>-603.158668768443 -75.469591369251 322.023827199707</t>
  </si>
  <si>
    <t>-654.833747797018 -107.455370909327 781.29722141583</t>
  </si>
  <si>
    <t>-500.540340922986 -120.760822316747 824.890018715568</t>
  </si>
  <si>
    <t>9763-20170724T115558.125104500.bin</t>
  </si>
  <si>
    <t>-601.565488256306 33.5494017698088 -93.1321107675869</t>
  </si>
  <si>
    <t>-622.573056012011 30.1054543781818 -201.779745671997</t>
  </si>
  <si>
    <t>-636.892337001202 28.5985462768001 -293.532390327812</t>
  </si>
  <si>
    <t>-649.421914106698 27.7269587730166 -376.480388812925</t>
  </si>
  <si>
    <t>-660.98147050305 27.3820718977011 -459.573007257183</t>
  </si>
  <si>
    <t>-676.815995861156 27.4538252312659 -581.20445301541</t>
  </si>
  <si>
    <t>-669.132767029441 31.1599519732617 -659.098218260033</t>
  </si>
  <si>
    <t>-671.825366834669 58.7211783878872 -527.560276054005</t>
  </si>
  <si>
    <t>-648.229255637001 210.182780360024 -498.574355888226</t>
  </si>
  <si>
    <t>-563.948576912717 222.594351299638 -229.648154730099</t>
  </si>
  <si>
    <t>-352.214673480174 128.383153193276 -245.189704650527</t>
  </si>
  <si>
    <t>-608.203723959736 126.968370511913 -96.4425433262049</t>
  </si>
  <si>
    <t>-630.230148765531 139.859333654374 318.348093346254</t>
  </si>
  <si>
    <t>-669.673732470702 185.193131870634 777.573053721362</t>
  </si>
  <si>
    <t>-519.284521706809 188.700569165193 834.622309803665</t>
  </si>
  <si>
    <t>-603.197206889146 -74.9413008212568 322.061454996291</t>
  </si>
  <si>
    <t>-654.823804822749 -107.342289912771 781.293693429438</t>
  </si>
  <si>
    <t>-500.516657041225 -120.554960203772 824.866052237083</t>
  </si>
  <si>
    <t>9763-20170724T115558.162240300.bin</t>
  </si>
  <si>
    <t>-601.755397307541 33.6536400660739 -93.1264312064249</t>
  </si>
  <si>
    <t>-622.834765749055 30.2300599264995 -201.760935941049</t>
  </si>
  <si>
    <t>-637.218283357906 28.7497030715904 -293.503798047047</t>
  </si>
  <si>
    <t>-649.807503867707 27.9065813802349 -376.443198668716</t>
  </si>
  <si>
    <t>-661.428392615245 27.5944730935273 -459.527387699078</t>
  </si>
  <si>
    <t>-677.354443624324 27.7191180617374 -581.14678548954</t>
  </si>
  <si>
    <t>-669.738612362169 31.464577639847 -659.045264955311</t>
  </si>
  <si>
    <t>-672.314111974514 58.9636959538714 -527.494136954954</t>
  </si>
  <si>
    <t>-648.572131110284 210.395003136558 -498.49693508578</t>
  </si>
  <si>
    <t>-564.214547157274 222.588430872114 -229.584834648985</t>
  </si>
  <si>
    <t>-352.593792739306 128.222403993194 -245.716850104851</t>
  </si>
  <si>
    <t>-608.290967084376 127.154193902614 -96.4275367375749</t>
  </si>
  <si>
    <t>-630.286861704718 139.953787676849 318.367623644205</t>
  </si>
  <si>
    <t>-669.693509868729 185.175764785628 777.608982755469</t>
  </si>
  <si>
    <t>-519.297683483839 188.552047666833 834.648706871142</t>
  </si>
  <si>
    <t>-603.285686653962 -74.8438429237433 322.058929735585</t>
  </si>
  <si>
    <t>-654.807341668566 -107.332531337052 781.303876241991</t>
  </si>
  <si>
    <t>-500.520338299077 -120.727046187164 824.892153022964</t>
  </si>
  <si>
    <t>9763-20170724T115558.226448800.bin</t>
  </si>
  <si>
    <t>-602.370186471133 33.9542660431159 -93.1179693167576</t>
  </si>
  <si>
    <t>-623.466258673537 30.5883885886153 -201.750916497784</t>
  </si>
  <si>
    <t>-637.883997379499 29.189578808378 -293.489808512589</t>
  </si>
  <si>
    <t>-650.512409829838 28.4352436088786 -376.424020268029</t>
  </si>
  <si>
    <t>-662.181020372837 28.2264492832862 -459.501855213869</t>
  </si>
  <si>
    <t>-678.186302476612 28.5183574712694 -581.110593984057</t>
  </si>
  <si>
    <t>-670.652629162763 32.3656317952193 -659.012109242479</t>
  </si>
  <si>
    <t>-673.097878148201 59.6899581923328 -527.419968233868</t>
  </si>
  <si>
    <t>-649.150702751733 211.074421542874 -498.321639932425</t>
  </si>
  <si>
    <t>-564.94416348814 222.763313199656 -229.339773426749</t>
  </si>
  <si>
    <t>-353.534917807445 128.040557611986 -246.14063728579</t>
  </si>
  <si>
    <t>-608.723408426306 127.55199618185 -96.4168836067088</t>
  </si>
  <si>
    <t>-630.587047435982 140.198744881387 318.38991029048</t>
  </si>
  <si>
    <t>-669.700646516458 185.260295049293 777.668625680416</t>
  </si>
  <si>
    <t>-519.2930761321 188.458948542991 834.6875378902</t>
  </si>
  <si>
    <t>-603.645577981034 -74.6409207646755 322.039305054401</t>
  </si>
  <si>
    <t>-654.770498600866 -107.262728170303 781.316760719023</t>
  </si>
  <si>
    <t>-500.487638372793 -120.60027881249 824.937047833882</t>
  </si>
  <si>
    <t>9763-20170724T115558.259545800.bin</t>
  </si>
  <si>
    <t>-602.821546083512 34.0428437870648 -93.133378096894</t>
  </si>
  <si>
    <t>-623.857343980971 30.7140034043173 -201.779171151369</t>
  </si>
  <si>
    <t>-638.23791990604 29.3592733307644 -293.524469786909</t>
  </si>
  <si>
    <t>-650.838394943746 28.6506544049691 -376.463339584162</t>
  </si>
  <si>
    <t>-662.484707139112 28.4933595100292 -459.544554896938</t>
  </si>
  <si>
    <t>-678.463658840303 28.8670389176709 -581.156454294749</t>
  </si>
  <si>
    <t>-670.929387667535 32.7526631306987 -659.055994301394</t>
  </si>
  <si>
    <t>-673.383420239845 60.0028365159687 -527.444264228219</t>
  </si>
  <si>
    <t>-649.373512792473 211.372410973456 -498.307689049221</t>
  </si>
  <si>
    <t>-565.371508916075 222.783633122926 -229.250195560068</t>
  </si>
  <si>
    <t>-353.977924944704 128.065997265954 -246.275083933057</t>
  </si>
  <si>
    <t>-609.05566849497 127.661049931829 -96.418565620036</t>
  </si>
  <si>
    <t>-630.85258886698 140.309751129221 318.391591812337</t>
  </si>
  <si>
    <t>-669.731754296749 185.229895268728 777.706040051558</t>
  </si>
  <si>
    <t>-519.314500086665 188.366216380743 834.702779863213</t>
  </si>
  <si>
    <t>-603.920413901502 -74.707149931148 322.010449882294</t>
  </si>
  <si>
    <t>-654.735640673238 -107.223007693012 781.326592603729</t>
  </si>
  <si>
    <t>-500.468025893334 -120.603675166325 824.987551525628</t>
  </si>
  <si>
    <t>9763-20170724T115558.325715400.bin</t>
  </si>
  <si>
    <t>-603.730379914223 34.2375819518718 -93.1498716716903</t>
  </si>
  <si>
    <t>-624.65636816947 30.9847858043347 -201.819196603821</t>
  </si>
  <si>
    <t>-638.959502415244 29.7120591232713 -293.577755808289</t>
  </si>
  <si>
    <t>-651.496402314937 29.0854342581556 -376.526957792171</t>
  </si>
  <si>
    <t>-663.085454870696 29.0183179665019 -459.616162973128</t>
  </si>
  <si>
    <t>-678.98788626497 29.5325981728208 -581.237589628066</t>
  </si>
  <si>
    <t>-671.396312571972 33.481333464581 -659.128454491461</t>
  </si>
  <si>
    <t>-673.943653894247 60.6061473701573 -527.485967446234</t>
  </si>
  <si>
    <t>-649.868743456149 211.939025377563 -498.234084784735</t>
  </si>
  <si>
    <t>-566.366885465186 223.028824536038 -229.007461091043</t>
  </si>
  <si>
    <t>-354.976249956349 128.333821912591 -246.19407809438</t>
  </si>
  <si>
    <t>-609.799719286434 127.854763252406 -96.4066424698731</t>
  </si>
  <si>
    <t>-631.448642496476 140.486065083786 318.411841715872</t>
  </si>
  <si>
    <t>-669.811561955424 185.109539621037 777.790252997637</t>
  </si>
  <si>
    <t>-519.370892980966 188.312321501975 834.721539161838</t>
  </si>
  <si>
    <t>-604.434027031576 -74.7678841757638 321.94093157077</t>
  </si>
  <si>
    <t>-654.683789736278 -107.183433536816 781.344577871793</t>
  </si>
  <si>
    <t>-500.47161481472 -120.983794559333 825.070765358568</t>
  </si>
  <si>
    <t>9763-20170724T115558.358827600.bin</t>
  </si>
  <si>
    <t>-604.149189383309 34.3812320959034 -93.1620197587488</t>
  </si>
  <si>
    <t>-625.039388412293 31.1525030958951 -201.838986392315</t>
  </si>
  <si>
    <t>-639.30974091285 29.9174127876856 -293.603030931493</t>
  </si>
  <si>
    <t>-651.815943897153 29.3319848029232 -376.557243596171</t>
  </si>
  <si>
    <t>-663.373319296602 29.3133075576616 -459.650937420261</t>
  </si>
  <si>
    <t>-679.22827401325 29.9067214384527 -581.278154116313</t>
  </si>
  <si>
    <t>-671.57538749502 33.8944359254647 -659.161116665548</t>
  </si>
  <si>
    <t>-674.209127108722 60.9450337529747 -527.503902197945</t>
  </si>
  <si>
    <t>-650.091977978902 212.257896230058 -498.190816627857</t>
  </si>
  <si>
    <t>-566.927384832081 223.17487074199 -228.852643367842</t>
  </si>
  <si>
    <t>-355.458031832902 128.673882643022 -246.138505328086</t>
  </si>
  <si>
    <t>-610.186704143847 127.984524555082 -96.4053294254526</t>
  </si>
  <si>
    <t>-631.703809424184 140.639162464947 318.41928078729</t>
  </si>
  <si>
    <t>-669.848885294587 185.084974551552 777.832866089994</t>
  </si>
  <si>
    <t>-519.395222414759 188.319979256576 834.728009773068</t>
  </si>
  <si>
    <t>-604.619954712466 -74.7093095029563 321.912276407806</t>
  </si>
  <si>
    <t>-654.662154677191 -107.155686464479 781.344648877517</t>
  </si>
  <si>
    <t>-500.457295140522 -120.978837260048 825.08949441611</t>
  </si>
  <si>
    <t>9763-20170724T115558.429479400.bin</t>
  </si>
  <si>
    <t>-604.970630187765 34.7559974838432 -93.1777757862938</t>
  </si>
  <si>
    <t>-625.832346581613 31.5490897348448 -201.860791081442</t>
  </si>
  <si>
    <t>-640.093274461271 30.3742972559708 -293.627247849008</t>
  </si>
  <si>
    <t>-652.59694761121 29.8599194007952 -376.582183772285</t>
  </si>
  <si>
    <t>-664.157769374787 29.9292532068971 -459.67533991139</t>
  </si>
  <si>
    <t>-680.024299273205 30.6701833803122 -581.300377368937</t>
  </si>
  <si>
    <t>-672.231819496029 34.7304052334534 -659.165673666586</t>
  </si>
  <si>
    <t>-675.015867330767 61.6422173236051 -527.486867788566</t>
  </si>
  <si>
    <t>-650.948383149795 212.93293478166 -498.004973273736</t>
  </si>
  <si>
    <t>-568.104279514257 223.399037573099 -228.550026326116</t>
  </si>
  <si>
    <t>-356.543283067296 129.163981287071 -246.1636200742</t>
  </si>
  <si>
    <t>-611.017631571072 128.321456400825 -96.3920341530372</t>
  </si>
  <si>
    <t>-632.288814658616 140.964731479723 318.445642023549</t>
  </si>
  <si>
    <t>-669.923279000707 185.051480288752 777.926788952708</t>
  </si>
  <si>
    <t>-519.439724630062 188.277863394566 834.743278772444</t>
  </si>
  <si>
    <t>-604.974692291818 -74.4226332438043 321.887677943546</t>
  </si>
  <si>
    <t>-654.62135038553 -107.040501751422 781.344878410229</t>
  </si>
  <si>
    <t>-500.381380416214 -120.416188730259 825.105075740004</t>
  </si>
  <si>
    <t>9763-20170724T115558.462567500.bin</t>
  </si>
  <si>
    <t>-605.339987704635 34.9148923541406 -93.1778509900396</t>
  </si>
  <si>
    <t>-626.202932066918 31.7096268123025 -201.860680195088</t>
  </si>
  <si>
    <t>-640.497683084972 30.5605217262889 -293.622183662582</t>
  </si>
  <si>
    <t>-653.044897916785 30.0792037029059 -376.570784861702</t>
  </si>
  <si>
    <t>-664.662472965634 30.1910258911344 -459.65603080945</t>
  </si>
  <si>
    <t>-680.626452296409 31.004723760979 -581.267710171069</t>
  </si>
  <si>
    <t>-672.771891873379 35.0982263970488 -659.124991873301</t>
  </si>
  <si>
    <t>-675.584061121107 61.9438492985562 -527.438578111859</t>
  </si>
  <si>
    <t>-651.621964506441 213.232255478691 -497.855199743808</t>
  </si>
  <si>
    <t>-568.716342747978 223.481431969456 -228.411035394559</t>
  </si>
  <si>
    <t>-357.124955837741 129.338458070929 -246.151097603079</t>
  </si>
  <si>
    <t>-611.424369963207 128.449797729377 -96.390423840527</t>
  </si>
  <si>
    <t>-632.547231835006 141.076584805736 318.4552400649</t>
  </si>
  <si>
    <t>-669.960401742957 185.010503918256 777.971567298565</t>
  </si>
  <si>
    <t>-519.462003282268 188.255047591755 834.747729847366</t>
  </si>
  <si>
    <t>-605.126502236049 -74.2726201457192 321.881378633256</t>
  </si>
  <si>
    <t>-654.608585137272 -107.057680227523 781.347364075392</t>
  </si>
  <si>
    <t>-500.402644243711 -120.782795844207 825.119182233314</t>
  </si>
  <si>
    <t>9763-20170724T115558.527342600.bin</t>
  </si>
  <si>
    <t>-605.883504700459 35.2105610277117 -93.1869700620805</t>
  </si>
  <si>
    <t>-626.768554386849 31.9923633445999 -201.865290077797</t>
  </si>
  <si>
    <t>-641.102325813501 30.8907484672832 -293.621213445266</t>
  </si>
  <si>
    <t>-653.692936576674 30.4746631550868 -376.563537337095</t>
  </si>
  <si>
    <t>-665.361937658043 30.6748810813278 -459.64144685374</t>
  </si>
  <si>
    <t>-681.409916907299 31.6430373311152 -581.241010516916</t>
  </si>
  <si>
    <t>-673.465480947276 35.8303425563495 -659.084173635726</t>
  </si>
  <si>
    <t>-676.348619811919 62.5125832444076 -527.373697413008</t>
  </si>
  <si>
    <t>-652.556856675648 213.776590952042 -497.541852855985</t>
  </si>
  <si>
    <t>-569.508599196961 223.667832426851 -228.128145293618</t>
  </si>
  <si>
    <t>-357.887710985416 129.797099518389 -246.927375407411</t>
  </si>
  <si>
    <t>-612.057525760993 128.810521302412 -96.40624607252</t>
  </si>
  <si>
    <t>-632.902133290665 141.293579756403 318.457884263509</t>
  </si>
  <si>
    <t>-669.985186200908 185.066809653179 778.025597396592</t>
  </si>
  <si>
    <t>-519.462123355685 187.986350820681 834.753980434545</t>
  </si>
  <si>
    <t>-605.32123404913 -73.8790732195059 321.878636787514</t>
  </si>
  <si>
    <t>-654.602759348672 -106.996942415752 781.3453799474</t>
  </si>
  <si>
    <t>-500.407418113478 -120.915482437437 825.093436555615</t>
  </si>
  <si>
    <t>9763-20170724T115558.561434300.bin</t>
  </si>
  <si>
    <t>-606.090341519186 35.3544118572513 -93.1818493038134</t>
  </si>
  <si>
    <t>-626.98973785813 32.1269294120552 -201.857058817826</t>
  </si>
  <si>
    <t>-641.331699181063 31.0566679371841 -293.612117422976</t>
  </si>
  <si>
    <t>-653.927967545838 30.6842916975547 -376.553966666292</t>
  </si>
  <si>
    <t>-665.600971915169 30.9436631128222 -459.630981104393</t>
  </si>
  <si>
    <t>-681.652891190547 32.0154101928276 -581.229270539139</t>
  </si>
  <si>
    <t>-673.710270271064 36.268698312171 -659.068971596376</t>
  </si>
  <si>
    <t>-676.601463501828 62.8382721615808 -527.33432614766</t>
  </si>
  <si>
    <t>-652.910458023851 214.085619046838 -497.349493127098</t>
  </si>
  <si>
    <t>-569.700396438431 223.748625945609 -227.97753146699</t>
  </si>
  <si>
    <t>-358.031457624023 130.091409921801 -247.293759344464</t>
  </si>
  <si>
    <t>-672.617492512743 0.251868534270443 -528.411646162229</t>
  </si>
  <si>
    <t>-612.355188949761 128.945458105016 -96.4027434323062</t>
  </si>
  <si>
    <t>-633.077367119343 141.300545295501 318.471412555339</t>
  </si>
  <si>
    <t>-670.008260419418 184.984221307231 778.047564090953</t>
  </si>
  <si>
    <t>-519.484885031626 188.12963763323 834.763011046234</t>
  </si>
  <si>
    <t>-605.363218168165 -73.6518698482091 321.88194924143</t>
  </si>
  <si>
    <t>-654.609671096853 -106.960573975867 781.336501671603</t>
  </si>
  <si>
    <t>-500.422936320112 -121.053965521256 825.058841867321</t>
  </si>
  <si>
    <t>9763-20170724T115558.626113500.bin</t>
  </si>
  <si>
    <t>-606.260919807632 35.6861724489706 -93.2074466659636</t>
  </si>
  <si>
    <t>-627.218259827571 32.432017694834 -201.870572405078</t>
  </si>
  <si>
    <t>-641.530773806404 31.4166784811753 -293.63105527588</t>
  </si>
  <si>
    <t>-654.068558546479 31.1244062417841 -376.581913024761</t>
  </si>
  <si>
    <t>-665.651037771628 31.4942980698111 -459.67126428412</t>
  </si>
  <si>
    <t>-681.535079549669 32.7610806201533 -581.289588969747</t>
  </si>
  <si>
    <t>-673.613210439239 37.1477596361806 -659.124123860299</t>
  </si>
  <si>
    <t>-676.559044856063 63.4976123927436 -527.338220019519</t>
  </si>
  <si>
    <t>-652.806386203345 214.663185642195 -496.969407475171</t>
  </si>
  <si>
    <t>-569.625265035884 223.777437648979 -227.56923177712</t>
  </si>
  <si>
    <t>-357.912963660024 130.408434119272 -247.784955763438</t>
  </si>
  <si>
    <t>-672.571529529574 0.912964895627283 -528.510885875838</t>
  </si>
  <si>
    <t>-612.604264610704 129.26411820889 -96.4090890864131</t>
  </si>
  <si>
    <t>-633.29972343232 141.414831690179 318.472421365247</t>
  </si>
  <si>
    <t>-670.027699581705 184.95142210994 778.08935619031</t>
  </si>
  <si>
    <t>-519.499275898777 187.952275714291 834.79921752508</t>
  </si>
  <si>
    <t>-605.356712198016 -73.1245534486418 321.88552667871</t>
  </si>
  <si>
    <t>-654.625593778603 -106.784450726486 781.315103315169</t>
  </si>
  <si>
    <t>-500.345798299384 -120.113111731043 824.948987703056</t>
  </si>
  <si>
    <t>9763-20170724T115558.659421000.bin</t>
  </si>
  <si>
    <t>-606.277764476973 35.7913247621341 -93.2048432778765</t>
  </si>
  <si>
    <t>-627.216091239308 32.5162969730118 -201.871117268899</t>
  </si>
  <si>
    <t>-641.501349896804 31.5183624639601 -293.635909743195</t>
  </si>
  <si>
    <t>-654.009846512654 31.2554937515918 -376.591318863295</t>
  </si>
  <si>
    <t>-665.558136859672 31.6684964076421 -459.685238639169</t>
  </si>
  <si>
    <t>-681.386779574169 33.0132041518837 -581.309845054346</t>
  </si>
  <si>
    <t>-673.508253110723 37.4497980760661 -659.146038876952</t>
  </si>
  <si>
    <t>-676.426874516933 63.7156142075628 -527.337652704031</t>
  </si>
  <si>
    <t>-652.641871091771 214.840928970274 -496.800866293038</t>
  </si>
  <si>
    <t>-569.539298479819 223.666649634332 -227.36683253916</t>
  </si>
  <si>
    <t>-357.825639274084 130.320245863371 -247.671981383912</t>
  </si>
  <si>
    <t>-672.455694547802 1.13084071132698 -528.546399034254</t>
  </si>
  <si>
    <t>-612.669913508319 129.31086864659 -96.4127014977546</t>
  </si>
  <si>
    <t>-633.364351780252 141.363709450985 318.471712396467</t>
  </si>
  <si>
    <t>-670.068508892118 184.816090920259 778.114001430419</t>
  </si>
  <si>
    <t>-519.539314590071 188.039966904889 834.809676416739</t>
  </si>
  <si>
    <t>-605.366233404867 -72.9577265463338 321.892844155565</t>
  </si>
  <si>
    <t>-654.626628367152 -106.733482334312 781.307205796952</t>
  </si>
  <si>
    <t>-500.347788342235 -120.127644897896 824.924280889608</t>
  </si>
  <si>
    <t>9763-20170724T115558.725932000.bin</t>
  </si>
  <si>
    <t>-606.092270383495 36.1861376819973 -93.1675699886928</t>
  </si>
  <si>
    <t>-627.027748686264 32.8882422500144 -201.833751805835</t>
  </si>
  <si>
    <t>-641.283873843588 31.9357887161482 -293.603482734368</t>
  </si>
  <si>
    <t>-653.755129334401 31.7391536519431 -376.56474240888</t>
  </si>
  <si>
    <t>-665.254966345369 32.2439789043519 -459.664796117299</t>
  </si>
  <si>
    <t>-681.000430188984 33.7507701575801 -581.298465085071</t>
  </si>
  <si>
    <t>-673.229374496542 38.2944281908915 -659.139259798141</t>
  </si>
  <si>
    <t>-676.081330971023 64.3809436725983 -527.281541830332</t>
  </si>
  <si>
    <t>-652.230415134059 215.419924367012 -496.360569031316</t>
  </si>
  <si>
    <t>-569.41265926597 223.68223894558 -226.82096771322</t>
  </si>
  <si>
    <t>-357.727751659977 130.26081927795 -247.08100592138</t>
  </si>
  <si>
    <t>-672.101621788638 1.79820629862752 -528.571886369323</t>
  </si>
  <si>
    <t>-612.562185028784 129.642543892723 -96.3863811097765</t>
  </si>
  <si>
    <t>-633.349560750342 141.512201889547 318.498665638289</t>
  </si>
  <si>
    <t>-670.079896776355 184.833321828403 778.139400024223</t>
  </si>
  <si>
    <t>-519.550950420788 187.951420442265 834.841598639351</t>
  </si>
  <si>
    <t>-605.261925438385 -72.6263261220747 321.926194009232</t>
  </si>
  <si>
    <t>-654.616231778505 -106.65676640778 781.301785362983</t>
  </si>
  <si>
    <t>-500.330633980589 -120.027906847783 824.902155841872</t>
  </si>
  <si>
    <t>9763-20170724T115558.759076200.bin</t>
  </si>
  <si>
    <t>-605.906871593154 36.3610951897999 -93.1548605978671</t>
  </si>
  <si>
    <t>-626.842785507923 33.0551898687443 -201.820709473432</t>
  </si>
  <si>
    <t>-641.0894911707 32.1235841879056 -293.592133752623</t>
  </si>
  <si>
    <t>-653.5482350181 31.9568102735561 -376.555292678429</t>
  </si>
  <si>
    <t>-665.031597953831 32.5028013077826 -459.657415704007</t>
  </si>
  <si>
    <t>-680.748683975095 34.081732473941 -581.293837357566</t>
  </si>
  <si>
    <t>-673.050906730002 38.6781952569049 -659.138736591508</t>
  </si>
  <si>
    <t>-675.849532011285 64.6794020817174 -527.256607705813</t>
  </si>
  <si>
    <t>-651.996572934838 215.681155797156 -496.143461815106</t>
  </si>
  <si>
    <t>-569.314164267004 223.676060888862 -226.554360372452</t>
  </si>
  <si>
    <t>-357.660336683815 130.218264397381 -246.970893492253</t>
  </si>
  <si>
    <t>-671.854794099748 2.09841737350712 -528.585151969224</t>
  </si>
  <si>
    <t>-612.372383333821 129.842050358554 -96.3810837347121</t>
  </si>
  <si>
    <t>-633.26418701349 141.588502184861 318.502250309888</t>
  </si>
  <si>
    <t>-670.066317903888 184.873018621202 778.136436830356</t>
  </si>
  <si>
    <t>-519.542888895242 187.79458393776 834.863879482628</t>
  </si>
  <si>
    <t>-605.179399656043 -72.5420238416045 321.937991168121</t>
  </si>
  <si>
    <t>-654.606131512196 -106.650996032282 781.300741751847</t>
  </si>
  <si>
    <t>-500.360646303353 -120.464136837685 824.905247747473</t>
  </si>
  <si>
    <t>9763-20170724T115558.827847900.bin</t>
  </si>
  <si>
    <t>-605.447719884576 36.6162468250309 -93.1384018829107</t>
  </si>
  <si>
    <t>-626.34941334556 33.316438710267 -201.810971323162</t>
  </si>
  <si>
    <t>-640.590929778438 32.4448831923851 -293.58392070265</t>
  </si>
  <si>
    <t>-653.05446417394 32.3542993739957 -376.546328579921</t>
  </si>
  <si>
    <t>-664.552001815005 32.9985429543556 -459.64583416462</t>
  </si>
  <si>
    <t>-680.300138714467 34.7453959488118 -581.275984397627</t>
  </si>
  <si>
    <t>-672.729696585577 39.4454299596082 -659.127148766837</t>
  </si>
  <si>
    <t>-675.386701326498 65.26858089298 -527.197726702436</t>
  </si>
  <si>
    <t>-651.396917833055 216.178537634396 -495.750267374114</t>
  </si>
  <si>
    <t>-569.258942348384 223.989595268941 -225.989326038302</t>
  </si>
  <si>
    <t>-357.776121569869 130.178763183939 -246.558164842367</t>
  </si>
  <si>
    <t>-671.393285043569 2.68927844577956 -528.613747562366</t>
  </si>
  <si>
    <t>-611.897666639863 130.08625617696 -96.3678951257762</t>
  </si>
  <si>
    <t>-632.984136234655 141.703115318274 318.509215667889</t>
  </si>
  <si>
    <t>-670.059953518481 184.881678207718 778.139179753489</t>
  </si>
  <si>
    <t>-519.553352127292 187.605198834021 834.920934757342</t>
  </si>
  <si>
    <t>-604.882664653482 -72.4466677867399 321.950219616755</t>
  </si>
  <si>
    <t>-654.568760019451 -106.531238594934 781.29713853459</t>
  </si>
  <si>
    <t>-500.277041297048 -119.808949059147 824.90435734196</t>
  </si>
  <si>
    <t>9763-20170724T115558.860934300.bin</t>
  </si>
  <si>
    <t>-605.18180572274 36.6657072716923 -93.1145070249121</t>
  </si>
  <si>
    <t>-626.073220070342 33.3739959176924 -201.789282748285</t>
  </si>
  <si>
    <t>-640.33176600311 32.541546480729 -293.559903755032</t>
  </si>
  <si>
    <t>-652.820988020172 32.4996762339076 -376.518571270624</t>
  </si>
  <si>
    <t>-664.35468260062 33.2057161462985 -459.61257951255</t>
  </si>
  <si>
    <t>-680.167055438025 35.0575693349481 -581.232785251675</t>
  </si>
  <si>
    <t>-672.645741031002 39.8131792470106 -659.085422424255</t>
  </si>
  <si>
    <t>-675.220176574565 65.5343763116064 -527.131471656993</t>
  </si>
  <si>
    <t>-651.031996741351 216.369268571949 -495.488857379332</t>
  </si>
  <si>
    <t>-569.369951745302 224.202345723827 -225.584144086939</t>
  </si>
  <si>
    <t>-358.042432655068 130.037031995709 -246.129128093872</t>
  </si>
  <si>
    <t>-671.237215722836 2.95574816829321 -528.602247342175</t>
  </si>
  <si>
    <t>-611.562864771502 130.14583823784 -96.3473264622234</t>
  </si>
  <si>
    <t>-632.7604780654 141.709261780421 318.525625589814</t>
  </si>
  <si>
    <t>-670.060550409224 184.838509844045 778.134137751017</t>
  </si>
  <si>
    <t>-519.567769455134 187.656999464607 834.947981635012</t>
  </si>
  <si>
    <t>-604.731256105436 -72.4713095308764 321.965995930382</t>
  </si>
  <si>
    <t>-654.553276547932 -106.541145721819 781.30108515382</t>
  </si>
  <si>
    <t>-500.310726341675 -120.302703254219 824.932261203207</t>
  </si>
  <si>
    <t>9763-20170724T115558.925109500.bin</t>
  </si>
  <si>
    <t>-604.726857688853 36.7048657034431 -93.1013034150068</t>
  </si>
  <si>
    <t>-625.541801427456 33.4548571267235 -201.791987383581</t>
  </si>
  <si>
    <t>-639.755619217082 32.6979611352704 -293.570169888097</t>
  </si>
  <si>
    <t>-652.212719821084 32.7414451643447 -376.533631846619</t>
  </si>
  <si>
    <t>-663.72273734546 33.5501830830403 -459.630119240248</t>
  </si>
  <si>
    <t>-679.509901101521 35.5714610707512 -581.25082117723</t>
  </si>
  <si>
    <t>-672.003918511648 40.4399036396885 -659.097857517942</t>
  </si>
  <si>
    <t>-674.586535077799 65.9719516461882 -527.104670434185</t>
  </si>
  <si>
    <t>-650.387793648767 216.742291205857 -495.181298839432</t>
  </si>
  <si>
    <t>-569.696463629231 224.872363959869 -224.99370278797</t>
  </si>
  <si>
    <t>-358.72222924405 129.91942228328 -245.544624032608</t>
  </si>
  <si>
    <t>-670.578732876253 3.39715166482119 -528.664866750621</t>
  </si>
  <si>
    <t>-610.950443909539 130.228675010422 -96.3163164865134</t>
  </si>
  <si>
    <t>-632.418958403682 141.632163797262 318.547096917456</t>
  </si>
  <si>
    <t>-670.073380866681 184.745090810492 778.125603068026</t>
  </si>
  <si>
    <t>-519.605107993385 187.6528766413 834.999738984304</t>
  </si>
  <si>
    <t>-604.562770832982 -72.6863858174086 321.963892950063</t>
  </si>
  <si>
    <t>-654.499871249762 -106.49362490616 781.308085443829</t>
  </si>
  <si>
    <t>-500.284257295406 -120.396514557784 824.989650329481</t>
  </si>
  <si>
    <t>9763-20170724T115558.958202300.bin</t>
  </si>
  <si>
    <t>-604.509482086658 36.7585642752629 -93.0854071824293</t>
  </si>
  <si>
    <t>-625.289787753385 33.5276260674564 -201.783387374128</t>
  </si>
  <si>
    <t>-639.46329642807 32.8000012784414 -293.567969294159</t>
  </si>
  <si>
    <t>-651.879666780642 32.875185036698 -376.537660307123</t>
  </si>
  <si>
    <t>-663.344465762478 33.7213217216142 -459.639817445156</t>
  </si>
  <si>
    <t>-679.060884570167 35.8030679633491 -581.26874388991</t>
  </si>
  <si>
    <t>-671.532999032912 40.7231734884358 -659.110475911028</t>
  </si>
  <si>
    <t>-674.173233889596 66.1764092933761 -527.104065753717</t>
  </si>
  <si>
    <t>-650.101912307539 216.952533212779 -495.095621256728</t>
  </si>
  <si>
    <t>-569.806364896421 225.032509275778 -224.788507718715</t>
  </si>
  <si>
    <t>-358.901102028081 129.914299724867 -245.283012280388</t>
  </si>
  <si>
    <t>-670.156038800536 3.60289677859282 -528.694067370117</t>
  </si>
  <si>
    <t>-610.692406656175 130.288069459378 -96.2933052594117</t>
  </si>
  <si>
    <t>-632.281264666575 141.636997048623 318.565381986993</t>
  </si>
  <si>
    <t>-670.063508470433 184.789274293134 778.121338773847</t>
  </si>
  <si>
    <t>-519.607375797719 187.664122150736 835.029277629796</t>
  </si>
  <si>
    <t>-604.429235393139 -72.7976937807209 321.957728913805</t>
  </si>
  <si>
    <t>-654.465532937821 -106.483514844912 781.311579469854</t>
  </si>
  <si>
    <t>-500.288141931552 -120.685005252833 825.031990209008</t>
  </si>
  <si>
    <t>9763-20170724T115559.027125900.bin</t>
  </si>
  <si>
    <t>-604.16223208843 36.9176002343388 -93.0397829815395</t>
  </si>
  <si>
    <t>-624.909140428834 33.6820712294254 -201.743888605182</t>
  </si>
  <si>
    <t>-639.002683495545 33.0245102308279 -293.541405633285</t>
  </si>
  <si>
    <t>-651.325735580675 33.1924059340877 -376.524806858409</t>
  </si>
  <si>
    <t>-662.676022426523 34.1605008289546 -459.641517834909</t>
  </si>
  <si>
    <t>-678.201490182389 36.4529986101027 -581.290936354657</t>
  </si>
  <si>
    <t>-670.570620511285 41.5008704060147 -659.114583177741</t>
  </si>
  <si>
    <t>-673.399867688432 66.7323300812498 -527.065975670981</t>
  </si>
  <si>
    <t>-649.42659845743 217.446197401224 -494.709378285577</t>
  </si>
  <si>
    <t>-569.866379468742 225.293880097348 -224.178097888424</t>
  </si>
  <si>
    <t>-359.048917970357 129.995294704143 -244.738195413638</t>
  </si>
  <si>
    <t>-669.378204651894 4.16183574516913 -528.75847271896</t>
  </si>
  <si>
    <t>-610.37185826769 130.407911222635 -96.2537329966959</t>
  </si>
  <si>
    <t>-632.032704748147 141.748665806467 318.601376896618</t>
  </si>
  <si>
    <t>-670.102741866142 184.646419918124 778.140751906788</t>
  </si>
  <si>
    <t>-519.666643457132 187.695778083457 835.092601826498</t>
  </si>
  <si>
    <t>-604.125305117587 -72.6608262585837 321.990685163919</t>
  </si>
  <si>
    <t>-654.419776544626 -106.4110582121 781.311587056427</t>
  </si>
  <si>
    <t>-500.235336639024 -120.461365020185 825.05599825012</t>
  </si>
  <si>
    <t>9763-20170724T115559.060210200.bin</t>
  </si>
  <si>
    <t>-604.084963135026 37.0093114349427 -93.0279830041013</t>
  </si>
  <si>
    <t>-624.80847114481 33.7804656825845 -201.736857062135</t>
  </si>
  <si>
    <t>-638.855916510891 33.1612646987116 -293.541564194707</t>
  </si>
  <si>
    <t>-651.126652516298 33.3771266601318 -376.532729500618</t>
  </si>
  <si>
    <t>-662.413781594013 34.4064173580184 -459.657173268771</t>
  </si>
  <si>
    <t>-677.835092979086 36.8026437486124 -581.318017304122</t>
  </si>
  <si>
    <t>-670.130787464211 41.9109927007926 -659.130433893426</t>
  </si>
  <si>
    <t>-673.074766910457 67.0360904689512 -527.063735799263</t>
  </si>
  <si>
    <t>-649.162710181218 217.728169289037 -494.560171643352</t>
  </si>
  <si>
    <t>-570.031141437799 225.498429158622 -223.901082590327</t>
  </si>
  <si>
    <t>-359.245577051342 130.095856462273 -244.305289267998</t>
  </si>
  <si>
    <t>-669.061960829883 4.46626367859153 -528.804934304252</t>
  </si>
  <si>
    <t>-610.30296934952 130.482758759038 -96.2303543976863</t>
  </si>
  <si>
    <t>-632.015537202423 141.807750549123 318.622487960785</t>
  </si>
  <si>
    <t>-670.117422782611 184.618591844723 778.16443320859</t>
  </si>
  <si>
    <t>-519.682122395051 187.589323310348 835.122564077263</t>
  </si>
  <si>
    <t>-604.075109342322 -72.5767575405869 322.010765312932</t>
  </si>
  <si>
    <t>-654.409211942181 -106.395282544664 781.312909863912</t>
  </si>
  <si>
    <t>-500.237549247929 -120.570654750124 825.062031004288</t>
  </si>
  <si>
    <t>9763-20170724T115559.129413100.bin</t>
  </si>
  <si>
    <t>-604.081736117291 37.20346082694 -93.0093155058157</t>
  </si>
  <si>
    <t>-624.702974162778 33.9936650876073 -201.738172823863</t>
  </si>
  <si>
    <t>-638.618310679988 33.4399546504874 -293.563512312363</t>
  </si>
  <si>
    <t>-650.751228670764 33.7356912413184 -376.574638802188</t>
  </si>
  <si>
    <t>-661.881856472161 34.8652015357304 -459.718849266476</t>
  </si>
  <si>
    <t>-677.05380477302 37.4303621491761 -581.407681186467</t>
  </si>
  <si>
    <t>-669.178680073402 42.6399166907531 -659.196159265827</t>
  </si>
  <si>
    <t>-672.377929882746 67.5901820863219 -527.105154863468</t>
  </si>
  <si>
    <t>-648.427228872174 218.227595030631 -494.358588194795</t>
  </si>
  <si>
    <t>-570.582173961826 225.863957816467 -223.322731301414</t>
  </si>
  <si>
    <t>-359.849975623507 130.145545375503 -242.776567968675</t>
  </si>
  <si>
    <t>-668.415055726077 5.01935151391422 -528.918137176464</t>
  </si>
  <si>
    <t>-610.241694042111 130.593079161139 -96.2109357130028</t>
  </si>
  <si>
    <t>-632.030272392754 141.890467880633 318.638699800412</t>
  </si>
  <si>
    <t>-670.150665214632 184.549534995893 778.199971707836</t>
  </si>
  <si>
    <t>-519.71580767202 187.567084314549 835.156725034009</t>
  </si>
  <si>
    <t>-604.163380301385 -72.4300601260602 322.023464076714</t>
  </si>
  <si>
    <t>-654.391520603653 -106.28540177477 781.312396510487</t>
  </si>
  <si>
    <t>-500.184023822529 -120.118553444279 825.044683381922</t>
  </si>
  <si>
    <t>9763-20170724T115559.163499200.bin</t>
  </si>
  <si>
    <t>-604.09327303105 37.2611140455826 -92.9982849755183</t>
  </si>
  <si>
    <t>-624.659316553666 34.0654722202823 -201.738030226908</t>
  </si>
  <si>
    <t>-638.497495472231 33.5455082407989 -293.575197937335</t>
  </si>
  <si>
    <t>-650.548603833444 33.8807521377462 -376.598089294113</t>
  </si>
  <si>
    <t>-661.585137989644 35.0590055028968 -459.754108418883</t>
  </si>
  <si>
    <t>-676.606198716829 37.7053801041445 -581.459969829805</t>
  </si>
  <si>
    <t>-668.642932701653 42.9496832329385 -659.237103429895</t>
  </si>
  <si>
    <t>-671.989687863685 67.82946039745 -527.132504088134</t>
  </si>
  <si>
    <t>-648.034838457337 218.444391060353 -494.297685279347</t>
  </si>
  <si>
    <t>-571.036775459121 226.100774612093 -223.020614649125</t>
  </si>
  <si>
    <t>-360.385741357653 130.128481190748 -242.099362690079</t>
  </si>
  <si>
    <t>-668.040523588441 5.25878268632687 -528.980565792835</t>
  </si>
  <si>
    <t>-610.175887097541 130.614575559518 -96.2062458039102</t>
  </si>
  <si>
    <t>-632.057744942674 141.919445524463 318.63834144539</t>
  </si>
  <si>
    <t>-670.158379838972 184.558397175314 778.202606007564</t>
  </si>
  <si>
    <t>-519.723938386589 187.503906641439 835.16420996257</t>
  </si>
  <si>
    <t>-604.233562224455 -72.4276582035509 322.024391596862</t>
  </si>
  <si>
    <t>-654.383841428646 -106.268825307463 781.315931126624</t>
  </si>
  <si>
    <t>-500.147570886299 -119.824708234379 825.033544412767</t>
  </si>
  <si>
    <t>9763-20170724T115559.229319400.bin</t>
  </si>
  <si>
    <t>-604.057529865101 37.3276574420174 -93.0006085861355</t>
  </si>
  <si>
    <t>-624.511943841619 34.1720372593168 -201.762642282151</t>
  </si>
  <si>
    <t>-638.185343249812 33.6959328441615 -293.624721317151</t>
  </si>
  <si>
    <t>-650.059348912466 34.075718738467 -376.672849079766</t>
  </si>
  <si>
    <t>-660.890500926637 35.3033755366175 -459.85521144256</t>
  </si>
  <si>
    <t>-675.580265928478 38.0272850634883 -581.59971126423</t>
  </si>
  <si>
    <t>-667.437334238788 43.2841979449661 -659.357406073158</t>
  </si>
  <si>
    <t>-671.116195743458 68.1164664735275 -527.240164503519</t>
  </si>
  <si>
    <t>-647.346028489058 218.734511337485 -494.278620025728</t>
  </si>
  <si>
    <t>-571.902811023607 226.468437321682 -222.567296100305</t>
  </si>
  <si>
    <t>-361.332653528106 130.14561278331 -240.751291095589</t>
  </si>
  <si>
    <t>-667.152868775727 5.54756860281486 -529.118332378078</t>
  </si>
  <si>
    <t>-610.070352520055 130.673286962034 -96.1931617256578</t>
  </si>
  <si>
    <t>-632.100294685945 141.946091708262 318.644431536569</t>
  </si>
  <si>
    <t>-670.186302133653 184.535218165945 778.214655112126</t>
  </si>
  <si>
    <t>-519.753633531459 187.362684052609 835.186974586161</t>
  </si>
  <si>
    <t>-604.260562893413 -72.543874678559 322.005385381439</t>
  </si>
  <si>
    <t>-654.348584377669 -106.265150938648 781.317923622397</t>
  </si>
  <si>
    <t>-500.161034939866 -120.285349028162 825.061021507282</t>
  </si>
  <si>
    <t>9763-20170724T115559.260401900.bin</t>
  </si>
  <si>
    <t>-603.9947146498 37.3843654714494 -92.9974679097086</t>
  </si>
  <si>
    <t>-624.386453738662 34.2373450088064 -201.771431690114</t>
  </si>
  <si>
    <t>-637.97720476074 33.7702981689633 -293.645905547968</t>
  </si>
  <si>
    <t>-649.764552937266 34.1588540223997 -376.706316837661</t>
  </si>
  <si>
    <t>-660.497075484799 35.3958084646147 -459.901393940148</t>
  </si>
  <si>
    <t>-675.029411949219 38.1343856267308 -581.664459614824</t>
  </si>
  <si>
    <t>-666.784284144924 43.3919524422872 -659.411446177583</t>
  </si>
  <si>
    <t>-670.641902437833 68.2165796667136 -527.294858368995</t>
  </si>
  <si>
    <t>-646.926416716158 218.837226039343 -494.312284249578</t>
  </si>
  <si>
    <t>-572.221822182993 226.641759849044 -222.398856753</t>
  </si>
  <si>
    <t>-361.614261658926 130.283273418376 -239.949778808274</t>
  </si>
  <si>
    <t>-666.66359315137 5.64885799906278 -529.176877367893</t>
  </si>
  <si>
    <t>-610.000592726364 130.70902134072 -96.1812601063926</t>
  </si>
  <si>
    <t>-632.11626069833 141.992434315537 318.651494425792</t>
  </si>
  <si>
    <t>-670.208648723471 184.51360162411 778.227395239481</t>
  </si>
  <si>
    <t>-519.774778737355 187.295730981452 835.198855145593</t>
  </si>
  <si>
    <t>-604.222798244521 -72.6062062551089 321.998134391586</t>
  </si>
  <si>
    <t>-654.326128528246 -106.235727965194 781.318222851806</t>
  </si>
  <si>
    <t>-500.135877910606 -120.176583770339 825.077150788813</t>
  </si>
  <si>
    <t>9763-20170724T115559.325577900.bin</t>
  </si>
  <si>
    <t>-603.956868081502 37.6580636241943 -92.9865338584333</t>
  </si>
  <si>
    <t>-624.192270985989 34.5110205698936 -201.789663005792</t>
  </si>
  <si>
    <t>-637.630481688092 34.0200983020859 -293.68635605425</t>
  </si>
  <si>
    <t>-649.271740666079 34.3770523476487 -376.767595049136</t>
  </si>
  <si>
    <t>-659.849925459361 35.5725963641503 -459.983182088321</t>
  </si>
  <si>
    <t>-674.147532416935 38.2402619005768 -581.775566561106</t>
  </si>
  <si>
    <t>-665.705914206725 43.4703241800551 -659.50321167689</t>
  </si>
  <si>
    <t>-669.896898896846 68.3520859676676 -527.411313812549</t>
  </si>
  <si>
    <t>-646.436977383022 219.023428930076 -494.502175551593</t>
  </si>
  <si>
    <t>-572.602248520153 227.174645893228 -222.361429565396</t>
  </si>
  <si>
    <t>-362.019216885112 130.594119015101 -238.960514034548</t>
  </si>
  <si>
    <t>-665.850799400123 5.78741125691886 -529.256677981435</t>
  </si>
  <si>
    <t>-609.994924119667 130.850989659695 -96.1593269885062</t>
  </si>
  <si>
    <t>-632.237994013666 142.093352337907 318.667762925299</t>
  </si>
  <si>
    <t>-670.266624919919 184.400018356113 778.263067541084</t>
  </si>
  <si>
    <t>-519.830053595883 187.41360018445 835.2154745896</t>
  </si>
  <si>
    <t>-604.205886701802 -72.6585797105115 321.986787167772</t>
  </si>
  <si>
    <t>-654.285912752606 -106.163775171632 781.318986156327</t>
  </si>
  <si>
    <t>-500.047415557646 -119.552745905467 825.080185412681</t>
  </si>
  <si>
    <t>9763-20170724T115559.363682400.bin</t>
  </si>
  <si>
    <t>-603.932000524865 37.8873583577149 -92.9857306036253</t>
  </si>
  <si>
    <t>-624.112116399729 34.7314206798292 -201.798943888793</t>
  </si>
  <si>
    <t>-637.508703432046 34.2257175073948 -293.701617783281</t>
  </si>
  <si>
    <t>-649.114506661592 34.5660520303852 -376.787844130073</t>
  </si>
  <si>
    <t>-659.659330284776 35.7423053762204 -460.007791398155</t>
  </si>
  <si>
    <t>-673.910604819256 38.3788968855526 -581.806290044905</t>
  </si>
  <si>
    <t>-665.397258476288 43.591458837019 -659.527461616641</t>
  </si>
  <si>
    <t>-669.703583382397 68.5029564065999 -527.445577141716</t>
  </si>
  <si>
    <t>-646.366392261986 219.203521621173 -494.572694814159</t>
  </si>
  <si>
    <t>-572.751942926224 227.589645533812 -222.379525493538</t>
  </si>
  <si>
    <t>-362.162278981001 130.999145234703 -238.835401920572</t>
  </si>
  <si>
    <t>-665.610929050151 5.94114303066749 -529.278709251277</t>
  </si>
  <si>
    <t>-609.975871742632 131.023492390738 -96.1638373543715</t>
  </si>
  <si>
    <t>-632.290459876216 142.236421770577 318.660177785962</t>
  </si>
  <si>
    <t>-670.285601520049 184.384230468015 778.27426472019</t>
  </si>
  <si>
    <t>-519.84805066424 187.433154193632 835.222277332112</t>
  </si>
  <si>
    <t>-604.197626290676 -72.6528224035408 321.984403081438</t>
  </si>
  <si>
    <t>-654.262287835567 -106.13299140249 781.31706550899</t>
  </si>
  <si>
    <t>-500.032064944083 -119.565320837504 825.094190111047</t>
  </si>
  <si>
    <t>9763-20170724T115559.428871800.bin</t>
  </si>
  <si>
    <t>-603.860683259207 38.2641209991266 -92.9678523720733</t>
  </si>
  <si>
    <t>-623.954865989766 35.049868645486 -201.795107262592</t>
  </si>
  <si>
    <t>-637.283063561221 34.4725862390478 -293.707464853097</t>
  </si>
  <si>
    <t>-648.828887814609 34.7386399097568 -376.802281973317</t>
  </si>
  <si>
    <t>-659.315614726524 35.8314954371428 -460.030653859737</t>
  </si>
  <si>
    <t>-673.484097659281 38.3362567006363 -581.841656204846</t>
  </si>
  <si>
    <t>-664.824815118357 43.4740608174175 -659.551562587401</t>
  </si>
  <si>
    <t>-669.345052551017 68.5170272794501 -527.507198880738</t>
  </si>
  <si>
    <t>-646.270854777426 219.31195722742 -494.859208223769</t>
  </si>
  <si>
    <t>-572.997316923598 228.10424010898 -222.586823354985</t>
  </si>
  <si>
    <t>-362.325877744662 131.571216909976 -238.31717229176</t>
  </si>
  <si>
    <t>-665.189089816801 5.95745369239194 -529.276986538561</t>
  </si>
  <si>
    <t>-609.970274026156 131.405253581127 -96.1863648784311</t>
  </si>
  <si>
    <t>-632.416732014898 142.443322610076 318.635164000373</t>
  </si>
  <si>
    <t>-670.359076114804 184.2723750894 778.294018299408</t>
  </si>
  <si>
    <t>-519.91970119035 187.467400057507 835.229296114907</t>
  </si>
  <si>
    <t>-604.110535297909 -72.5472578989034 322.016536822119</t>
  </si>
  <si>
    <t>-654.210553087026 -106.150295335161 781.32433978549</t>
  </si>
  <si>
    <t>-500.061664569113 -120.327005393146 825.153145855552</t>
  </si>
  <si>
    <t>9763-20170724T115559.461960000.bin</t>
  </si>
  <si>
    <t>-603.783451498541 38.4300745837365 -92.9600016856292</t>
  </si>
  <si>
    <t>-623.848750593959 35.1830785676782 -201.791681746899</t>
  </si>
  <si>
    <t>-637.127076072726 34.5438630843103 -293.710623489165</t>
  </si>
  <si>
    <t>-648.617531215838 34.7400710872359 -376.813489850676</t>
  </si>
  <si>
    <t>-659.038615261358 35.7489236715332 -460.051268351318</t>
  </si>
  <si>
    <t>-673.099692761739 38.1156502333101 -581.877315715947</t>
  </si>
  <si>
    <t>-664.342422017843 43.1881015271736 -659.580497961443</t>
  </si>
  <si>
    <t>-669.012743820062 68.3576091341849 -527.572954873155</t>
  </si>
  <si>
    <t>-645.950149565941 219.195640762813 -495.095198416141</t>
  </si>
  <si>
    <t>-572.952291956696 228.323845535606 -222.759801886632</t>
  </si>
  <si>
    <t>-362.270101032742 131.711552922949 -237.846773746945</t>
  </si>
  <si>
    <t>-664.84691736385 5.79666234183514 -529.26913406974</t>
  </si>
  <si>
    <t>-609.930409889003 131.569863298014 -96.1936701243179</t>
  </si>
  <si>
    <t>-632.430942053355 142.561046510655 318.626127761135</t>
  </si>
  <si>
    <t>-670.393110817543 184.230544902807 778.292769469289</t>
  </si>
  <si>
    <t>-519.951124385855 187.5337262327 835.214768026587</t>
  </si>
  <si>
    <t>-604.049338089439 -72.4222760780988 322.043114459485</t>
  </si>
  <si>
    <t>-654.187410068264 -106.120901452446 781.32964041383</t>
  </si>
  <si>
    <t>-500.059486505408 -120.472820538385 825.175120772641</t>
  </si>
  <si>
    <t>9763-20170724T115559.526635300.bin</t>
  </si>
  <si>
    <t>-603.575271800943 38.8012778747964 -92.9404777208629</t>
  </si>
  <si>
    <t>-623.601573893844 35.5060288071418 -201.777901713353</t>
  </si>
  <si>
    <t>-636.806361569834 34.70827573011 -293.706294738354</t>
  </si>
  <si>
    <t>-648.21393995316 34.713319564401 -376.82070802659</t>
  </si>
  <si>
    <t>-658.535396657178 35.4834172936166 -460.073366764262</t>
  </si>
  <si>
    <t>-672.432633372242 37.4480283359601 -581.925501351521</t>
  </si>
  <si>
    <t>-663.521664994445 42.3021930868426 -659.62518206365</t>
  </si>
  <si>
    <t>-668.42006129581 67.8689760030979 -527.715646606911</t>
  </si>
  <si>
    <t>-645.423335120078 218.830428992123 -495.763858345877</t>
  </si>
  <si>
    <t>-572.902361877795 228.721340926026 -223.327785485309</t>
  </si>
  <si>
    <t>-362.182762817173 131.91448549831 -236.526670394685</t>
  </si>
  <si>
    <t>-664.249209523176 5.30307667714578 -529.200018368647</t>
  </si>
  <si>
    <t>-609.768032481691 132.025567888955 -96.2238475841751</t>
  </si>
  <si>
    <t>-632.40205553205 142.843636592798 318.59329479099</t>
  </si>
  <si>
    <t>-670.394852428061 184.400576155008 778.271436671587</t>
  </si>
  <si>
    <t>-519.940795598599 187.215717174837 835.187904327733</t>
  </si>
  <si>
    <t>-603.918420257631 -72.1277072409591 322.085352863394</t>
  </si>
  <si>
    <t>-654.152377880356 -106.068911712465 781.342228854986</t>
  </si>
  <si>
    <t>-500.020741304233 -120.361344333475 825.194080505935</t>
  </si>
  <si>
    <t>9763-20170724T115559.559074300.bin</t>
  </si>
  <si>
    <t>-603.437132804869 38.9050304665925 -92.9448440308253</t>
  </si>
  <si>
    <t>-623.471025346708 35.587007370933 -201.780163927807</t>
  </si>
  <si>
    <t>-636.663869096546 34.6984691507046 -293.709446023126</t>
  </si>
  <si>
    <t>-648.053312605789 34.5922595145346 -376.826175567955</t>
  </si>
  <si>
    <t>-658.349172872639 35.2218278728312 -460.083384583928</t>
  </si>
  <si>
    <t>-672.200777387909 36.948674608924 -581.944260525103</t>
  </si>
  <si>
    <t>-663.231920557379 41.640981835309 -659.647266493918</t>
  </si>
  <si>
    <t>-668.203384830482 67.4757312483521 -527.792791238771</t>
  </si>
  <si>
    <t>-645.272649142888 218.507155972155 -496.13596149439</t>
  </si>
  <si>
    <t>-572.94243229314 228.906507937329 -223.668003478302</t>
  </si>
  <si>
    <t>-362.263196274018 131.918413460122 -236.161810785549</t>
  </si>
  <si>
    <t>-664.042224522578 4.90619229252115 -529.15259944785</t>
  </si>
  <si>
    <t>-609.664807327967 132.132812525674 -96.2409467280372</t>
  </si>
  <si>
    <t>-632.377806516697 142.874775920348 318.573909932031</t>
  </si>
  <si>
    <t>-670.413637035058 184.38080731478 778.253965935514</t>
  </si>
  <si>
    <t>-519.962774890091 187.287946018686 835.174232778033</t>
  </si>
  <si>
    <t>-603.817190146333 -72.0078446639463 322.099293776196</t>
  </si>
  <si>
    <t>-654.134123570087 -105.986797103474 781.342679116051</t>
  </si>
  <si>
    <t>-499.957402925452 -119.810181600682 825.186430346824</t>
  </si>
  <si>
    <t>9763-20170724T115559.628269000.bin</t>
  </si>
  <si>
    <t>-603.211885917378 38.9431628848881 -92.9582884956259</t>
  </si>
  <si>
    <t>-623.284828574806 35.5955552505279 -201.785534784195</t>
  </si>
  <si>
    <t>-636.458291827567 34.5400473820077 -293.715816506491</t>
  </si>
  <si>
    <t>-647.809142272126 34.2259198167942 -376.837371534581</t>
  </si>
  <si>
    <t>-658.04516201985 34.5902254523778 -460.10339144368</t>
  </si>
  <si>
    <t>-671.786012251456 35.8658231130435 -581.982412928774</t>
  </si>
  <si>
    <t>-662.685478951609 40.2129815553276 -659.690146837831</t>
  </si>
  <si>
    <t>-667.823434976961 66.5941172684852 -527.942403543926</t>
  </si>
  <si>
    <t>-644.942910286206 217.761147332264 -496.932734972106</t>
  </si>
  <si>
    <t>-573.237418686768 229.26830486722 -224.344144891193</t>
  </si>
  <si>
    <t>-362.379096736394 132.422434215043 -234.744577613102</t>
  </si>
  <si>
    <t>-663.689846517162 4.01820494034109 -529.063572563279</t>
  </si>
  <si>
    <t>-609.460563594753 132.19667820547 -96.2675421519949</t>
  </si>
  <si>
    <t>-632.299015983 142.85515184712 318.542556746644</t>
  </si>
  <si>
    <t>-670.456373949474 184.312797447723 778.220640827764</t>
  </si>
  <si>
    <t>-520.010535110914 187.299668047392 835.149997525229</t>
  </si>
  <si>
    <t>-603.668104198868 -71.881981129442 322.10958327352</t>
  </si>
  <si>
    <t>-654.095373509242 -105.951318283201 781.344109138794</t>
  </si>
  <si>
    <t>-499.94098275607 -119.969630722071 825.204494828725</t>
  </si>
  <si>
    <t>9763-20170724T115559.661351200.bin</t>
  </si>
  <si>
    <t>-603.155395518619 39.0347289318522 -92.9548614168259</t>
  </si>
  <si>
    <t>-623.232737280405 35.6851386753683 -201.781233593237</t>
  </si>
  <si>
    <t>-636.373027555358 34.5501795245557 -293.715377764595</t>
  </si>
  <si>
    <t>-647.679119807826 34.1332547482475 -376.842585030775</t>
  </si>
  <si>
    <t>-657.855633781584 34.36308876713 -460.116320694943</t>
  </si>
  <si>
    <t>-671.493067133563 35.4078944116279 -582.009083049469</t>
  </si>
  <si>
    <t>-662.308417966823 39.5826578736878 -659.716402901792</t>
  </si>
  <si>
    <t>-667.564766226668 66.2392178139871 -528.025372656058</t>
  </si>
  <si>
    <t>-644.734962178474 217.480330952063 -497.341230917931</t>
  </si>
  <si>
    <t>-573.373543956824 229.523664047574 -224.685652383025</t>
  </si>
  <si>
    <t>-362.400370465573 132.837838168397 -234.209902482154</t>
  </si>
  <si>
    <t>-663.453399240715 3.65954510903885 -529.021903888968</t>
  </si>
  <si>
    <t>-609.371559642826 132.285378379897 -96.2757498852797</t>
  </si>
  <si>
    <t>-632.277963218228 142.911458537892 318.531344044047</t>
  </si>
  <si>
    <t>-670.466138630635 184.325121380709 778.206531070067</t>
  </si>
  <si>
    <t>-520.020097498115 187.16369507675 835.142948752912</t>
  </si>
  <si>
    <t>-603.655666329208 -71.8127274012199 322.115644164955</t>
  </si>
  <si>
    <t>-654.072891988454 -105.952493481892 781.343596630265</t>
  </si>
  <si>
    <t>-499.940043610104 -120.152833237433 825.221095233527</t>
  </si>
  <si>
    <t>9763-20170724T115559.727029300.bin</t>
  </si>
  <si>
    <t>-603.138663071487 39.121097416928 -92.9731937235176</t>
  </si>
  <si>
    <t>-623.188403004324 35.768413459778 -201.80448683041</t>
  </si>
  <si>
    <t>-636.245695760505 34.5137352606753 -293.74899393324</t>
  </si>
  <si>
    <t>-647.452793427493 33.9423752214639 -376.888597050701</t>
  </si>
  <si>
    <t>-657.506137053493 33.9705512516193 -460.177719407597</t>
  </si>
  <si>
    <t>-670.936894265648 34.6688827613609 -582.095880833467</t>
  </si>
  <si>
    <t>-661.585281613889 38.5829567572907 -659.796928284406</t>
  </si>
  <si>
    <t>-667.062081576123 65.6561527464899 -528.197680341917</t>
  </si>
  <si>
    <t>-644.183383763457 216.990753172951 -498.003443773015</t>
  </si>
  <si>
    <t>-573.69204490351 230.02268566928 -225.166999524841</t>
  </si>
  <si>
    <t>-362.37962938233 133.926510224949 -232.984358509033</t>
  </si>
  <si>
    <t>-663.025091350731 3.0688468362996 -529.000823715224</t>
  </si>
  <si>
    <t>-609.302962919878 132.289820622186 -96.2984151608944</t>
  </si>
  <si>
    <t>-632.311062707608 142.923676562406 318.502939965728</t>
  </si>
  <si>
    <t>-670.505116457092 184.267934930685 778.179453987508</t>
  </si>
  <si>
    <t>-520.065660456584 187.257651519195 835.125535059965</t>
  </si>
  <si>
    <t>-603.732633498398 -71.7643612880561 322.113731792613</t>
  </si>
  <si>
    <t>-654.029733019458 -105.927617025923 781.348537221733</t>
  </si>
  <si>
    <t>-499.923956559913 -120.333825075686 825.254042092355</t>
  </si>
  <si>
    <t>9763-20170724T115559.758615700.bin</t>
  </si>
  <si>
    <t>-603.190060155579 39.1383922172388 -92.9888642579408</t>
  </si>
  <si>
    <t>-623.198274371111 35.7955870598778 -201.828264050415</t>
  </si>
  <si>
    <t>-636.201559595658 34.4943049795263 -293.779507483486</t>
  </si>
  <si>
    <t>-647.352253818307 33.8593160196078 -376.926370299666</t>
  </si>
  <si>
    <t>-657.341481694006 33.801710254909 -460.223091947645</t>
  </si>
  <si>
    <t>-670.670007452411 34.3500091969004 -582.153381083856</t>
  </si>
  <si>
    <t>-661.231510152407 38.1649153184742 -659.848690172905</t>
  </si>
  <si>
    <t>-666.811056405305 65.4054571984161 -528.293189432949</t>
  </si>
  <si>
    <t>-643.835987309209 216.770911416087 -498.320555987452</t>
  </si>
  <si>
    <t>-573.949973015889 230.298519105136 -225.352390840114</t>
  </si>
  <si>
    <t>-362.486377715828 134.477167823196 -232.420064139439</t>
  </si>
  <si>
    <t>-662.832039205807 2.81343431600726 -529.009642571418</t>
  </si>
  <si>
    <t>-609.312540120341 132.320162212495 -96.320141827146</t>
  </si>
  <si>
    <t>-632.394079592691 142.949315661041 318.477235389047</t>
  </si>
  <si>
    <t>-670.526159100276 184.233027281664 778.165234254855</t>
  </si>
  <si>
    <t>-520.089925739954 187.20441177707 835.120760322316</t>
  </si>
  <si>
    <t>-603.79937989989 -71.8159293294329 322.100523057516</t>
  </si>
  <si>
    <t>-654.007930431967 -105.886429133194 781.348373525725</t>
  </si>
  <si>
    <t>-499.89026369107 -120.149141535648 825.258974553889</t>
  </si>
  <si>
    <t>9763-20170724T115559.826804800.bin</t>
  </si>
  <si>
    <t>-603.30590308518 39.1385339420017 -93.0266058351283</t>
  </si>
  <si>
    <t>-623.196592002066 35.7948187868387 -201.887439762242</t>
  </si>
  <si>
    <t>-636.075940343466 34.3947761799161 -293.854775909273</t>
  </si>
  <si>
    <t>-647.104769217946 33.6323799585002 -377.016837543716</t>
  </si>
  <si>
    <t>-656.962084702057 33.4083555567468 -460.329011992951</t>
  </si>
  <si>
    <t>-670.086834902749 33.6703348981112 -582.28227973589</t>
  </si>
  <si>
    <t>-660.467982839064 37.3010723455054 -659.964244440054</t>
  </si>
  <si>
    <t>-666.279831194649 64.854532418397 -528.492937055365</t>
  </si>
  <si>
    <t>-643.144003196609 216.267762068286 -498.906704088673</t>
  </si>
  <si>
    <t>-574.609860497803 230.931728327488 -225.654886551406</t>
  </si>
  <si>
    <t>-362.965749651147 135.418034842284 -231.35011068723</t>
  </si>
  <si>
    <t>-662.375801429209 2.2561307355893 -529.047412176419</t>
  </si>
  <si>
    <t>-609.318550015068 132.280433768917 -96.3711333224775</t>
  </si>
  <si>
    <t>-632.584717472539 142.931086342586 318.415431593134</t>
  </si>
  <si>
    <t>-670.551351820643 184.23729189554 778.121658681602</t>
  </si>
  <si>
    <t>-520.121778980463 187.055910927553 835.102614437433</t>
  </si>
  <si>
    <t>-604.043470046176 -72.0000437396693 322.066201611696</t>
  </si>
  <si>
    <t>-653.963614784232 -105.83374104482 781.353602751253</t>
  </si>
  <si>
    <t>-499.828921121414 -119.833060275096 825.289216999156</t>
  </si>
  <si>
    <t>9763-20170724T115559.859916600.bin</t>
  </si>
  <si>
    <t>-603.378223322931 39.0495016741536 -93.0475633562112</t>
  </si>
  <si>
    <t>-623.206844927005 35.701728015792 -201.919630578924</t>
  </si>
  <si>
    <t>-636.039126158414 34.2683581369158 -293.893051565024</t>
  </si>
  <si>
    <t>-647.027682275178 33.4639835023054 -377.060016346644</t>
  </si>
  <si>
    <t>-656.846876654345 33.186029762292 -460.376482648224</t>
  </si>
  <si>
    <t>-669.918243219729 33.3560311038207 -582.33560160094</t>
  </si>
  <si>
    <t>-660.229036999149 36.905306544026 -660.012782196584</t>
  </si>
  <si>
    <t>-666.114341735929 64.5820748082797 -528.570386498848</t>
  </si>
  <si>
    <t>-642.832760662253 216.003175341372 -499.121638665328</t>
  </si>
  <si>
    <t>-575.128358992645 231.329198108357 -225.69925430387</t>
  </si>
  <si>
    <t>-363.406761131927 135.944403557205 -230.621550028156</t>
  </si>
  <si>
    <t>-662.250962819379 1.98070418498878 -529.071686069909</t>
  </si>
  <si>
    <t>-609.346095576418 132.158059416221 -96.3997446633507</t>
  </si>
  <si>
    <t>-632.668847245987 142.857980991397 318.382401980595</t>
  </si>
  <si>
    <t>-670.584567324868 184.171457142422 778.096187364767</t>
  </si>
  <si>
    <t>-520.16053162301 187.262585969715 835.077623544876</t>
  </si>
  <si>
    <t>-604.197863225349 -72.1023223295408 322.051917457498</t>
  </si>
  <si>
    <t>-653.940865337653 -105.864799013936 781.360270713838</t>
  </si>
  <si>
    <t>-499.841610574653 -120.178095361405 825.318972627467</t>
  </si>
  <si>
    <t>9763-20170724T115559.927142700.bin</t>
  </si>
  <si>
    <t>-603.528403433324 38.8075317066664 -93.0956054420399</t>
  </si>
  <si>
    <t>-623.221078060578 35.4446560977017 -201.991908755364</t>
  </si>
  <si>
    <t>-635.954088083325 33.9279573184858 -293.97763840438</t>
  </si>
  <si>
    <t>-646.859244240169 33.0215871546116 -377.154557581835</t>
  </si>
  <si>
    <t>-656.601321457011 32.6136142741518 -460.479585899951</t>
  </si>
  <si>
    <t>-669.566862294758 32.562891589293 -582.450087689555</t>
  </si>
  <si>
    <t>-659.735258636023 35.9180411004863 -660.118097013234</t>
  </si>
  <si>
    <t>-665.765563406457 63.888929300799 -528.742815147869</t>
  </si>
  <si>
    <t>-642.196232387819 215.330222650004 -499.637802981958</t>
  </si>
  <si>
    <t>-576.403599250769 231.629442903924 -225.805342386633</t>
  </si>
  <si>
    <t>-364.437606843843 136.725491875562 -229.296526325724</t>
  </si>
  <si>
    <t>-661.98982811369 1.28137286796027 -529.118109159583</t>
  </si>
  <si>
    <t>-609.353958406725 131.91988614334 -96.4934164980153</t>
  </si>
  <si>
    <t>-632.790026282538 142.730852191194 318.279410184227</t>
  </si>
  <si>
    <t>-670.59228519282 184.242867998076 778.000435712966</t>
  </si>
  <si>
    <t>-520.173687883919 187.011310591961 835.012731919956</t>
  </si>
  <si>
    <t>-604.516167188454 -72.33228939674 322.024851844399</t>
  </si>
  <si>
    <t>-653.901788831891 -105.849982644361 781.378199477596</t>
  </si>
  <si>
    <t>-499.816063540214 -120.227644863626 825.363312962235</t>
  </si>
  <si>
    <t>9763-20170724T115559.958566900.bin</t>
  </si>
  <si>
    <t>-603.61784095238 38.6506777166132 -93.1321476143016</t>
  </si>
  <si>
    <t>-623.278121091032 35.2776701637965 -202.033978412266</t>
  </si>
  <si>
    <t>-635.975977328475 33.7149226023873 -294.02396642872</t>
  </si>
  <si>
    <t>-646.846345083099 32.7521869777595 -377.204634991031</t>
  </si>
  <si>
    <t>-656.550524327215 32.2731655339562 -460.53377380898</t>
  </si>
  <si>
    <t>-669.457354032339 32.1021387110443 -582.510476728927</t>
  </si>
  <si>
    <t>-659.560862526403 35.3597204208422 -660.174217390157</t>
  </si>
  <si>
    <t>-665.670278194603 63.4817503456675 -528.833460715526</t>
  </si>
  <si>
    <t>-642.037061378796 214.949356098328 -499.927790525015</t>
  </si>
  <si>
    <t>-577.160872120825 231.727907129987 -225.905665544971</t>
  </si>
  <si>
    <t>-364.99289645118 137.247529137909 -228.501187830922</t>
  </si>
  <si>
    <t>-661.917691683021 0.87236324717469 -529.142778603173</t>
  </si>
  <si>
    <t>-609.411891627579 131.770544264125 -96.5446828231882</t>
  </si>
  <si>
    <t>-632.821053498482 142.640041173707 318.228035180607</t>
  </si>
  <si>
    <t>-670.61272709143 184.207046201735 777.942988083866</t>
  </si>
  <si>
    <t>-520.197151632883 187.034879247997 834.960341177159</t>
  </si>
  <si>
    <t>-604.672440072426 -72.4446590877117 322.012040438786</t>
  </si>
  <si>
    <t>-653.888601285175 -105.855610537364 781.3868563765</t>
  </si>
  <si>
    <t>-499.809743080605 -120.297488533822 825.37496491105</t>
  </si>
  <si>
    <t>9763-20170724T115600.027757100.bin</t>
  </si>
  <si>
    <t>-603.765486024145 38.5311450921647 -93.2045878584477</t>
  </si>
  <si>
    <t>-623.37385645217 35.1437896606431 -202.115213116493</t>
  </si>
  <si>
    <t>-636.059914467622 33.506111202958 -294.105494699858</t>
  </si>
  <si>
    <t>-646.932570569891 32.4512601022609 -377.284934190151</t>
  </si>
  <si>
    <t>-656.652016297911 31.8549678830711 -460.611409808037</t>
  </si>
  <si>
    <t>-669.595448351597 31.4850280563876 -582.583810563538</t>
  </si>
  <si>
    <t>-659.629863306347 34.531091920622 -660.247245530335</t>
  </si>
  <si>
    <t>-665.764308947056 62.9538820031901 -528.962195472211</t>
  </si>
  <si>
    <t>-641.879359601352 214.444236879821 -500.379638012429</t>
  </si>
  <si>
    <t>-578.793891400807 232.287589783329 -226.006807204083</t>
  </si>
  <si>
    <t>-366.221048264946 138.693627122629 -227.22374681967</t>
  </si>
  <si>
    <t>-662.067674398473 0.34077819797858 -529.16451391111</t>
  </si>
  <si>
    <t>-609.50091707937 131.628015104624 -96.6492774568541</t>
  </si>
  <si>
    <t>-632.907502782867 142.595108864868 318.121151246653</t>
  </si>
  <si>
    <t>-670.648820864562 184.162775940503 777.842965122215</t>
  </si>
  <si>
    <t>-520.233407677443 186.908288930437 834.864654941808</t>
  </si>
  <si>
    <t>-604.838953987181 -72.544165829087 321.978257707861</t>
  </si>
  <si>
    <t>-653.870870853677 -105.829931453682 781.385877219516</t>
  </si>
  <si>
    <t>-499.776744809164 -120.148536403364 825.360824942881</t>
  </si>
  <si>
    <t>9763-20170724T115600.058840000.bin</t>
  </si>
  <si>
    <t>-603.826024707034 38.4908132484932 -93.2338659047423</t>
  </si>
  <si>
    <t>-623.435618776337 35.0839797636254 -202.143728541174</t>
  </si>
  <si>
    <t>-636.113632967477 33.3965462286126 -294.134298376118</t>
  </si>
  <si>
    <t>-646.975366046389 32.2835681595895 -377.314288891494</t>
  </si>
  <si>
    <t>-656.680354692993 31.6156040937976 -460.641963630971</t>
  </si>
  <si>
    <t>-669.598660826875 31.1262382949105 -582.616603237577</t>
  </si>
  <si>
    <t>-659.576478461913 34.0503799780399 -660.277451110573</t>
  </si>
  <si>
    <t>-665.773104033835 62.6478855482294 -529.02564971747</t>
  </si>
  <si>
    <t>-641.806574945116 214.170457621634 -500.685104789936</t>
  </si>
  <si>
    <t>-579.472616535874 232.564205286496 -226.176903014977</t>
  </si>
  <si>
    <t>-366.745924419294 139.314509480695 -226.800015904902</t>
  </si>
  <si>
    <t>-662.087344590379 0.0340723331632944 -529.1647697193</t>
  </si>
  <si>
    <t>-609.553128884299 131.546443716746 -96.6952505318245</t>
  </si>
  <si>
    <t>-632.958728774478 142.522915564976 318.074914785114</t>
  </si>
  <si>
    <t>-670.673897934833 184.133251814142 777.799141280384</t>
  </si>
  <si>
    <t>-520.259820683065 187.009973290373 834.818104235501</t>
  </si>
  <si>
    <t>-604.866910391106 -72.5402946738809 321.969548849469</t>
  </si>
  <si>
    <t>-653.861447757418 -105.818065790627 781.378584140376</t>
  </si>
  <si>
    <t>-499.772988588551 -120.210919233905 825.349177573137</t>
  </si>
  <si>
    <t>9763-20170724T115600.126530100.bin</t>
  </si>
  <si>
    <t>-603.961496119296 38.5341576553933 -93.272403920914</t>
  </si>
  <si>
    <t>-623.582521900489 35.0943844343694 -202.179169165444</t>
  </si>
  <si>
    <t>-636.275127702722 33.2787204369336 -294.165243476858</t>
  </si>
  <si>
    <t>-647.15218912347 32.0094497875123 -377.341005116592</t>
  </si>
  <si>
    <t>-656.874595731866 31.1450454573942 -460.664864044335</t>
  </si>
  <si>
    <t>-669.82091375503 30.3239770449561 -582.634703594392</t>
  </si>
  <si>
    <t>-659.731507186001 33.0013501775438 -660.29578608021</t>
  </si>
  <si>
    <t>-665.990199602443 61.9908697107915 -529.129826147154</t>
  </si>
  <si>
    <t>-642.157852006174 213.628909868773 -501.277602226037</t>
  </si>
  <si>
    <t>-580.473995698488 233.225615895315 -226.705919154158</t>
  </si>
  <si>
    <t>-367.499673857349 140.542238646032 -226.196042705039</t>
  </si>
  <si>
    <t>-609.747174391689 131.562011789106 -96.7625253908292</t>
  </si>
  <si>
    <t>-632.975248977958 142.55036785986 318.017335635619</t>
  </si>
  <si>
    <t>-670.721521226915 184.056489324411 777.728942968446</t>
  </si>
  <si>
    <t>-520.305518352357 186.911869549299 834.74377401292</t>
  </si>
  <si>
    <t>-604.848820391843 -72.3978527787499 321.967638680149</t>
  </si>
  <si>
    <t>-653.849166092135 -105.792731205258 781.369060197561</t>
  </si>
  <si>
    <t>-499.758407848383 -120.219528685817 825.320478778527</t>
  </si>
  <si>
    <t>9763-20170724T115600.160117900.bin</t>
  </si>
  <si>
    <t>-604.034792927229 38.6071540718051 -93.2929453645755</t>
  </si>
  <si>
    <t>-623.643423379801 35.1390980003637 -202.201102731494</t>
  </si>
  <si>
    <t>-636.366447097406 33.2528903618472 -294.181459691917</t>
  </si>
  <si>
    <t>-647.287411429016 31.9007986009372 -377.350244336743</t>
  </si>
  <si>
    <t>-657.070364242083 30.9343335029373 -460.665830666896</t>
  </si>
  <si>
    <t>-670.123395602428 29.943091817293 -582.623144199631</t>
  </si>
  <si>
    <t>-660.048805017759 32.5142407375668 -660.289668492094</t>
  </si>
  <si>
    <t>-666.25082403998 61.684255162025 -529.165161138801</t>
  </si>
  <si>
    <t>-642.48184123334 213.37492670315 -501.542197246497</t>
  </si>
  <si>
    <t>-581.01570402245 233.504730816103 -226.9600370792</t>
  </si>
  <si>
    <t>-367.867838318847 141.226449056811 -225.851542727453</t>
  </si>
  <si>
    <t>-609.877863788057 131.605543713253 -96.7953703845654</t>
  </si>
  <si>
    <t>-633.048504867634 142.578987446784 317.98804051515</t>
  </si>
  <si>
    <t>-670.742695522203 184.029866727256 777.706492168457</t>
  </si>
  <si>
    <t>-520.324273092377 186.849862735413 834.716707412638</t>
  </si>
  <si>
    <t>-604.835961827686 -72.3074179509968 321.971151805004</t>
  </si>
  <si>
    <t>-653.852225279919 -105.785835896555 781.361942801542</t>
  </si>
  <si>
    <t>-499.773190207801 -120.376958404751 825.300264831818</t>
  </si>
  <si>
    <t>9763-20170724T115600.223291100.bin</t>
  </si>
  <si>
    <t>-604.217895534058 38.8106491642125 -93.3194945551904</t>
  </si>
  <si>
    <t>-623.781565627319 35.2666081685177 -202.23323268452</t>
  </si>
  <si>
    <t>-636.548518885849 33.2417520948477 -294.204637945634</t>
  </si>
  <si>
    <t>-647.542023791482 31.7338473556263 -377.36109722787</t>
  </si>
  <si>
    <t>-657.430696212658 30.5809467326162 -460.661962549244</t>
  </si>
  <si>
    <t>-670.674688061665 29.2838137913698 -582.595605838843</t>
  </si>
  <si>
    <t>-660.659190869442 31.6693154623583 -660.275937456541</t>
  </si>
  <si>
    <t>-666.742077025855 61.1575520128372 -529.221275273954</t>
  </si>
  <si>
    <t>-643.125140380325 212.973392386644 -502.175437214956</t>
  </si>
  <si>
    <t>-582.158296004847 234.303972721346 -227.572766107417</t>
  </si>
  <si>
    <t>-368.645095355227 142.907140742878 -224.878799972895</t>
  </si>
  <si>
    <t>-610.164577703212 131.689881813818 -96.8724488556276</t>
  </si>
  <si>
    <t>-633.198692349434 142.737084505397 317.916608969306</t>
  </si>
  <si>
    <t>-670.788248215977 184.0265462513 777.66754735356</t>
  </si>
  <si>
    <t>-520.358163407155 186.870264593438 834.645883228433</t>
  </si>
  <si>
    <t>-604.812013441012 -72.0553244447942 321.989941055147</t>
  </si>
  <si>
    <t>-653.852290812936 -105.678424190435 781.348479356953</t>
  </si>
  <si>
    <t>-499.70630620622 -119.733500397784 825.226562174071</t>
  </si>
  <si>
    <t>9763-20170724T115600.262407600.bin</t>
  </si>
  <si>
    <t>-604.352218598745 38.9083707074994 -93.329893413406</t>
  </si>
  <si>
    <t>-623.880331845 35.3242434914976 -202.248782640386</t>
  </si>
  <si>
    <t>-636.623534581165 33.2188530548613 -294.221617586533</t>
  </si>
  <si>
    <t>-647.598186420172 31.6187626378473 -377.378928809118</t>
  </si>
  <si>
    <t>-657.470550023477 30.3545849608367 -460.67996892473</t>
  </si>
  <si>
    <t>-670.693639197943 28.8736268815976 -582.614009187966</t>
  </si>
  <si>
    <t>-660.692451388209 31.1588955959048 -660.298969124724</t>
  </si>
  <si>
    <t>-666.783036174353 60.8270198486409 -529.285450279612</t>
  </si>
  <si>
    <t>-643.310881807501 212.718923314365 -502.529889180644</t>
  </si>
  <si>
    <t>-582.576118640604 234.580190221261 -227.917524252286</t>
  </si>
  <si>
    <t>-368.804309748302 143.827829322852 -224.156027929962</t>
  </si>
  <si>
    <t>-610.364764839193 131.771750289853 -96.9125372587873</t>
  </si>
  <si>
    <t>-633.298506240768 142.802537210094 317.882577608385</t>
  </si>
  <si>
    <t>-670.817124231164 183.967919272385 777.648147684761</t>
  </si>
  <si>
    <t>-520.381588395149 186.905633992772 834.607276791308</t>
  </si>
  <si>
    <t>-604.832128193257 -71.9603606781836 321.997733588701</t>
  </si>
  <si>
    <t>-653.856801858352 -105.65584416819 781.344313412636</t>
  </si>
  <si>
    <t>-499.707489190761 -119.755976463572 825.196339639796</t>
  </si>
  <si>
    <t>9763-20170724T115600.327113200.bin</t>
  </si>
  <si>
    <t>-604.556862063374 39.0863468827615 -93.3832296971678</t>
  </si>
  <si>
    <t>-623.959405543828 35.3835406129961 -202.320531515975</t>
  </si>
  <si>
    <t>-636.62611231503 33.1073832242662 -294.29981239811</t>
  </si>
  <si>
    <t>-647.543500483172 31.3233158579694 -377.460986692446</t>
  </si>
  <si>
    <t>-657.370427519581 29.8457336274782 -460.764025131824</t>
  </si>
  <si>
    <t>-670.539969029871 28.0207802444484 -582.698991849841</t>
  </si>
  <si>
    <t>-660.603518518005 30.1261523890146 -660.397457924247</t>
  </si>
  <si>
    <t>-666.669732202229 60.1236526561743 -529.457343112616</t>
  </si>
  <si>
    <t>-643.480910472671 212.151900510051 -503.2547998444</t>
  </si>
  <si>
    <t>-583.167636134727 234.728602275045 -228.607296235402</t>
  </si>
  <si>
    <t>-368.723540359598 145.700359866268 -222.587372992924</t>
  </si>
  <si>
    <t>-610.678645205575 131.913063554133 -97.035569837829</t>
  </si>
  <si>
    <t>-633.460337164314 142.950590530012 317.767690704681</t>
  </si>
  <si>
    <t>-670.853991505899 183.985795611038 777.570979211536</t>
  </si>
  <si>
    <t>-520.408134795501 186.819863354479 834.50808797205</t>
  </si>
  <si>
    <t>-604.94178671468 -71.7803308708401 322.014825581988</t>
  </si>
  <si>
    <t>-653.863301936823 -105.646243015895 781.345543240417</t>
  </si>
  <si>
    <t>-499.733417946942 -120.102683309305 825.149800198777</t>
  </si>
  <si>
    <t>9763-20170724T115600.359386500.bin</t>
  </si>
  <si>
    <t>-604.601311076406 39.183382727708 -93.4088481727526</t>
  </si>
  <si>
    <t>-623.943373659511 35.4282944917195 -202.355050982362</t>
  </si>
  <si>
    <t>-636.583983136944 33.0694999986149 -294.336036581301</t>
  </si>
  <si>
    <t>-647.48767741093 31.1946850459601 -377.496818018269</t>
  </si>
  <si>
    <t>-657.310888558538 29.6102362262823 -460.798354900167</t>
  </si>
  <si>
    <t>-670.48590269074 27.6112796171471 -582.729982219169</t>
  </si>
  <si>
    <t>-660.592431485735 29.6419678026252 -660.435997413109</t>
  </si>
  <si>
    <t>-666.62231675719 59.789426264754 -529.533435185905</t>
  </si>
  <si>
    <t>-643.600456821391 211.891819502528 -503.582470895758</t>
  </si>
  <si>
    <t>-583.400785498943 234.8042486961 -228.937971751243</t>
  </si>
  <si>
    <t>-368.623817539558 146.649121557131 -222.006167654813</t>
  </si>
  <si>
    <t>-610.82390388352 131.967516366703 -97.0904093186649</t>
  </si>
  <si>
    <t>-633.562484961899 143.029950000975 317.714585502919</t>
  </si>
  <si>
    <t>-670.865960847682 184.015334276574 777.527806031886</t>
  </si>
  <si>
    <t>-520.416224922063 186.799724079123 834.457131947998</t>
  </si>
  <si>
    <t>-604.959116675513 -71.6812970709914 322.020466551001</t>
  </si>
  <si>
    <t>-653.868271973264 -105.600971274143 781.34552044512</t>
  </si>
  <si>
    <t>-499.721280036522 -119.961711169157 825.120998218382</t>
  </si>
  <si>
    <t>9763-20170724T115600.428072400.bin</t>
  </si>
  <si>
    <t>-604.552863417177 39.4584627836327 -93.4477405639529</t>
  </si>
  <si>
    <t>-623.774367738816 35.5925746473133 -202.41139574925</t>
  </si>
  <si>
    <t>-636.39229176802 33.0790222358694 -294.391350950429</t>
  </si>
  <si>
    <t>-647.307075543116 31.0380418480399 -377.546833159923</t>
  </si>
  <si>
    <t>-657.173166948092 29.2615343861103 -460.839372957728</t>
  </si>
  <si>
    <t>-670.445880484935 26.9529707847648 -582.755018800497</t>
  </si>
  <si>
    <t>-660.648883157884 28.8460345210749 -660.476662393889</t>
  </si>
  <si>
    <t>-666.571518631537 59.264300206604 -529.639806806878</t>
  </si>
  <si>
    <t>-643.843099235647 211.484843481932 -504.15492527105</t>
  </si>
  <si>
    <t>-583.781117650953 235.247609544986 -229.55264245334</t>
  </si>
  <si>
    <t>-368.590889531988 148.238172590567 -221.123154006445</t>
  </si>
  <si>
    <t>-610.95380178416 132.162450529758 -97.2011419952321</t>
  </si>
  <si>
    <t>-633.714678637739 143.255207090793 317.601875657344</t>
  </si>
  <si>
    <t>-670.881740885722 184.105084483758 777.436951270043</t>
  </si>
  <si>
    <t>-520.426532852948 186.671098257262 834.361946068725</t>
  </si>
  <si>
    <t>-604.905187829014 -71.4670878487404 322.039133048513</t>
  </si>
  <si>
    <t>-653.868041826381 -105.578601559447 781.338910705461</t>
  </si>
  <si>
    <t>-499.714245993334 -119.981886271583 825.076499918929</t>
  </si>
  <si>
    <t>9763-20170724T115600.460454300.bin</t>
  </si>
  <si>
    <t>-604.493508268826 39.577438076667 -93.4631044276859</t>
  </si>
  <si>
    <t>-623.673917754666 35.6733658089452 -202.432761561663</t>
  </si>
  <si>
    <t>-636.299566064885 33.0916495408414 -294.409683196832</t>
  </si>
  <si>
    <t>-647.238422162982 30.9736497047923 -377.560000421958</t>
  </si>
  <si>
    <t>-657.145647141092 29.1053498217632 -460.845685345242</t>
  </si>
  <si>
    <t>-670.497399867643 26.6460438897732 -582.749879982652</t>
  </si>
  <si>
    <t>-660.752637080257 28.4733766761472 -660.479578763304</t>
  </si>
  <si>
    <t>-666.606159954458 59.0217891817601 -529.675195167611</t>
  </si>
  <si>
    <t>-644.050687185515 211.305427512894 -504.400238671514</t>
  </si>
  <si>
    <t>-584.089348215049 235.429420944623 -229.807289486427</t>
  </si>
  <si>
    <t>-368.8270977823 148.651063839685 -220.851538457175</t>
  </si>
  <si>
    <t>-610.993653172229 132.238894142091 -97.2452954104697</t>
  </si>
  <si>
    <t>-633.732361109878 143.302892154687 317.559665653967</t>
  </si>
  <si>
    <t>-670.909103597656 184.05279187906 777.396458744781</t>
  </si>
  <si>
    <t>-520.45526279095 186.732366405984 834.319987133425</t>
  </si>
  <si>
    <t>-604.828501450673 -71.3586189275741 322.044496322285</t>
  </si>
  <si>
    <t>-653.859536591973 -105.516243322796 781.333013413244</t>
  </si>
  <si>
    <t>-499.664536433419 -119.529285363096 825.052118201836</t>
  </si>
  <si>
    <t>9763-20170724T115600.529657200.bin</t>
  </si>
  <si>
    <t>-604.254743551845 39.9059452401898 -93.4744576152766</t>
  </si>
  <si>
    <t>-623.402951361523 35.95161710669 -202.447922896178</t>
  </si>
  <si>
    <t>-636.054935627933 33.2691434243422 -294.418410048132</t>
  </si>
  <si>
    <t>-647.039149622226 31.0355828442705 -377.559800560496</t>
  </si>
  <si>
    <t>-657.013430952639 29.0277740806887 -460.834116315944</t>
  </si>
  <si>
    <t>-670.487110927958 26.338171131847 -582.719875774008</t>
  </si>
  <si>
    <t>-660.82863301508 28.0736114930705 -660.462521243293</t>
  </si>
  <si>
    <t>-666.569561490019 58.8126130660185 -529.707533181403</t>
  </si>
  <si>
    <t>-644.272036552431 211.196212596895 -504.809163736709</t>
  </si>
  <si>
    <t>-585.013410982858 235.916844224977 -230.116788650092</t>
  </si>
  <si>
    <t>-369.380963813651 150.236953483653 -219.621597719205</t>
  </si>
  <si>
    <t>-610.897747049141 132.517900106992 -97.2886299435763</t>
  </si>
  <si>
    <t>-633.717591819919 143.484796003097 317.514450212424</t>
  </si>
  <si>
    <t>-670.941260879978 184.020354118923 777.344255660075</t>
  </si>
  <si>
    <t>-520.488916537102 186.709918051814 834.271368636887</t>
  </si>
  <si>
    <t>-604.642112249525 -70.9784930932585 322.080813976168</t>
  </si>
  <si>
    <t>-653.852050003424 -105.521000759398 781.321963284375</t>
  </si>
  <si>
    <t>-499.66302054727 -119.637248136527 825.029027526386</t>
  </si>
  <si>
    <t>9763-20170724T115600.562745000.bin</t>
  </si>
  <si>
    <t>-604.073248735327 40.0449590131072 -93.4811996882192</t>
  </si>
  <si>
    <t>-623.201540020272 36.067598888608 -202.457303353907</t>
  </si>
  <si>
    <t>-635.857923618973 33.3478962886975 -294.426117036518</t>
  </si>
  <si>
    <t>-646.854716994701 31.0731918412234 -377.564719588841</t>
  </si>
  <si>
    <t>-656.850250330703 29.0168989960398 -460.835276425822</t>
  </si>
  <si>
    <t>-670.364488624184 26.2485488842603 -582.715008298354</t>
  </si>
  <si>
    <t>-660.737726940443 27.9442860573629 -660.462296245373</t>
  </si>
  <si>
    <t>-666.442663692232 58.7564142557849 -529.723302208506</t>
  </si>
  <si>
    <t>-644.229965214929 211.170627140075 -504.968478179191</t>
  </si>
  <si>
    <t>-585.462229467858 236.105044849269 -230.190127393297</t>
  </si>
  <si>
    <t>-369.581684254024 151.165736404466 -218.813023590869</t>
  </si>
  <si>
    <t>-610.738435356009 132.639560435048 -97.3125004212067</t>
  </si>
  <si>
    <t>-633.676085591373 143.533833448227 317.486022545248</t>
  </si>
  <si>
    <t>-670.959804888091 183.993101619041 777.322346870767</t>
  </si>
  <si>
    <t>-520.508190873817 186.71955802567 834.249520189926</t>
  </si>
  <si>
    <t>-604.564411440495 -70.8126974993684 322.091767749355</t>
  </si>
  <si>
    <t>-653.847991471534 -105.507085069214 781.313455981652</t>
  </si>
  <si>
    <t>-499.642536394379 -119.481272014355 825.008150853725</t>
  </si>
  <si>
    <t>9763-20170724T115600.623423000.bin</t>
  </si>
  <si>
    <t>-603.719471496826 40.1807456377981 -93.4922335083953</t>
  </si>
  <si>
    <t>-622.794350238558 36.2010533828102 -202.477721840088</t>
  </si>
  <si>
    <t>-635.45074601417 33.4468862734459 -294.44532719905</t>
  </si>
  <si>
    <t>-646.465556947428 31.1280842008216 -377.58039093561</t>
  </si>
  <si>
    <t>-656.49740630497 29.0144490629416 -460.845224420024</t>
  </si>
  <si>
    <t>-670.08481684914 26.1482251739342 -582.714389824768</t>
  </si>
  <si>
    <t>-660.523031172078 27.769707878449 -660.471401104753</t>
  </si>
  <si>
    <t>-666.153752725398 58.6971590719622 -529.748689742577</t>
  </si>
  <si>
    <t>-644.073088186946 211.172514223018 -505.216779881895</t>
  </si>
  <si>
    <t>-586.255623699443 236.327147724129 -230.256651956592</t>
  </si>
  <si>
    <t>-369.61127479034 153.657805149185 -216.857814844883</t>
  </si>
  <si>
    <t>-610.420710107736 132.800369096372 -97.331010385683</t>
  </si>
  <si>
    <t>-633.569580289951 143.570870012201 317.458915508684</t>
  </si>
  <si>
    <t>-670.978245910633 184.002775511594 777.286551280078</t>
  </si>
  <si>
    <t>-520.531276242356 186.825607717849 834.221270449491</t>
  </si>
  <si>
    <t>-604.364348318856 -70.6352437150035 322.088264604152</t>
  </si>
  <si>
    <t>-653.83873722609 -105.451333687434 781.29601786803</t>
  </si>
  <si>
    <t>-499.622386530821 -119.36251587054 824.972402568923</t>
  </si>
  <si>
    <t>9763-20170724T115600.661016900.bin</t>
  </si>
  <si>
    <t>-603.538335244445 40.1950007903406 -93.493595977147</t>
  </si>
  <si>
    <t>-622.580892409158 36.2188187347574 -202.484759008832</t>
  </si>
  <si>
    <t>-635.24451652792 33.4605779557314 -294.451401438521</t>
  </si>
  <si>
    <t>-646.279683146368 31.1352771553034 -377.583518169026</t>
  </si>
  <si>
    <t>-656.345745357265 29.0124041328736 -460.843998306628</t>
  </si>
  <si>
    <t>-669.998479389305 26.1291782226765 -582.705334481348</t>
  </si>
  <si>
    <t>-660.465729297484 27.7220225733233 -660.466618937458</t>
  </si>
  <si>
    <t>-666.030779006293 58.6860092583875 -529.74733858648</t>
  </si>
  <si>
    <t>-643.911881764697 211.169074566418 -505.295637559462</t>
  </si>
  <si>
    <t>-586.697910987451 236.377737327502 -230.214452861292</t>
  </si>
  <si>
    <t>-369.426618226498 155.639453536448 -215.279692420846</t>
  </si>
  <si>
    <t>-610.257365461099 132.827762357121 -97.3288951917107</t>
  </si>
  <si>
    <t>-633.546386964964 143.537526869496 317.454887077843</t>
  </si>
  <si>
    <t>-670.994498361695 183.952046859032 777.271817304876</t>
  </si>
  <si>
    <t>-520.552187506407 186.803503406517 834.217489328564</t>
  </si>
  <si>
    <t>-604.290004918429 -70.6218830278308 322.085218516545</t>
  </si>
  <si>
    <t>-653.831330871921 -105.456007308192 781.29036737658</t>
  </si>
  <si>
    <t>-499.638521201683 -119.60424438086 824.973777871415</t>
  </si>
  <si>
    <t>9763-20170724T115600.729210300.bin</t>
  </si>
  <si>
    <t>-603.156208900848 40.2909193055646 -93.4803941567741</t>
  </si>
  <si>
    <t>-622.087592969862 36.3197175844011 -202.491019349425</t>
  </si>
  <si>
    <t>-634.753699583275 33.5422483912209 -294.456739083129</t>
  </si>
  <si>
    <t>-645.829868181376 31.1904177179247 -377.582743471929</t>
  </si>
  <si>
    <t>-655.975685274772 29.0312123150482 -460.83258549674</t>
  </si>
  <si>
    <t>-669.787545278725 26.0844368877649 -582.674591915989</t>
  </si>
  <si>
    <t>-660.287602160227 27.61801827 -660.440980688428</t>
  </si>
  <si>
    <t>-665.712241808735 58.6712530012353 -529.743080550067</t>
  </si>
  <si>
    <t>-643.441285653165 211.140974019644 -505.414149711929</t>
  </si>
  <si>
    <t>-587.497505972358 236.084607344966 -230.047645792744</t>
  </si>
  <si>
    <t>-369.137266751181 158.94221814587 -212.260187264184</t>
  </si>
  <si>
    <t>-609.853585132249 132.898838903201 -97.3190202781159</t>
  </si>
  <si>
    <t>-633.4783935552 143.619521452838 317.445439032944</t>
  </si>
  <si>
    <t>-671.002234804164 184.005957358158 777.262363970174</t>
  </si>
  <si>
    <t>-520.560738085945 186.746998126728 834.215526908769</t>
  </si>
  <si>
    <t>-604.194252591791 -70.5747509950872 322.092451487408</t>
  </si>
  <si>
    <t>-653.813511841243 -105.44752395103 781.282680220497</t>
  </si>
  <si>
    <t>-499.621433556063 -119.599191437719 824.967437099943</t>
  </si>
  <si>
    <t>9763-20170724T115600.756284600.bin</t>
  </si>
  <si>
    <t>-602.945757559109 40.353729006903 -93.4589802439925</t>
  </si>
  <si>
    <t>-621.810834534545 36.3889151862825 -202.481364081599</t>
  </si>
  <si>
    <t>-634.462255386255 33.6206621655815 -294.449288133205</t>
  </si>
  <si>
    <t>-645.54180522918 31.2787473470748 -377.575172078498</t>
  </si>
  <si>
    <t>-655.707469533996 29.1314563739043 -460.822900913845</t>
  </si>
  <si>
    <t>-669.566639595076 26.2032657075729 -582.660042462711</t>
  </si>
  <si>
    <t>-660.078706458212 27.7283657524135 -660.428003789346</t>
  </si>
  <si>
    <t>-665.444694751902 58.7835914130528 -529.728169699374</t>
  </si>
  <si>
    <t>-642.972123491482 211.227497315263 -505.383050074218</t>
  </si>
  <si>
    <t>-588.038984956598 235.874084534155 -229.786432219862</t>
  </si>
  <si>
    <t>-369.080246328567 160.687292824291 -211.010271441428</t>
  </si>
  <si>
    <t>-609.613665799419 132.923708461798 -97.3110275937254</t>
  </si>
  <si>
    <t>-633.396218509095 143.613734804203 317.445274702422</t>
  </si>
  <si>
    <t>-671.014008808957 183.960627632545 777.250464963125</t>
  </si>
  <si>
    <t>-520.579876215529 186.809644361599 834.21774565671</t>
  </si>
  <si>
    <t>-604.1263784985 -70.5493413392987 322.106381583197</t>
  </si>
  <si>
    <t>-653.809550469165 -105.407861304041 781.277694295864</t>
  </si>
  <si>
    <t>-499.589451266555 -119.28186950052 824.952628154219</t>
  </si>
  <si>
    <t>9763-20170724T115600.825473700.bin</t>
  </si>
  <si>
    <t>-602.507931291848 40.3941323382944 -93.449057454391</t>
  </si>
  <si>
    <t>-621.264965244266 36.4176923204561 -202.489655591455</t>
  </si>
  <si>
    <t>-633.839610594036 33.6675301337473 -294.468767962967</t>
  </si>
  <si>
    <t>-644.855436117124 31.3537403457015 -377.603796427006</t>
  </si>
  <si>
    <t>-654.962958836853 29.2456805392392 -460.859646201363</t>
  </si>
  <si>
    <t>-668.743093724227 26.3874049166402 -582.707243092209</t>
  </si>
  <si>
    <t>-659.240608947085 27.9416561335627 -660.472881279998</t>
  </si>
  <si>
    <t>-664.622763124411 58.9393977616369 -529.757883436829</t>
  </si>
  <si>
    <t>-642.002911429556 211.360056139658 -505.421252428718</t>
  </si>
  <si>
    <t>-589.057099600164 235.681460238064 -229.407101671761</t>
  </si>
  <si>
    <t>-368.812967120446 164.681586901325 -209.40536232953</t>
  </si>
  <si>
    <t>-609.164056582071 132.959905423322 -97.3221235492687</t>
  </si>
  <si>
    <t>-633.221089091371 143.614640245854 317.41915652334</t>
  </si>
  <si>
    <t>-671.015719119037 183.966951287682 777.220008333235</t>
  </si>
  <si>
    <t>-520.597829468936 186.819695847051 834.229977272276</t>
  </si>
  <si>
    <t>-603.956084047151 -70.6521360179238 322.125971666388</t>
  </si>
  <si>
    <t>-653.801873070494 -105.412862619773 781.279579383446</t>
  </si>
  <si>
    <t>-499.60494760378 -119.562196852295 824.948027835437</t>
  </si>
  <si>
    <t>9763-20170724T115600.858130600.bin</t>
  </si>
  <si>
    <t>-602.330711818868 40.4287974037281 -93.4386853774149</t>
  </si>
  <si>
    <t>-621.010102835428 36.4540686375683 -202.492729177866</t>
  </si>
  <si>
    <t>-633.522188654954 33.7167220635158 -294.480693811998</t>
  </si>
  <si>
    <t>-644.482607724739 31.4191715517186 -377.623430722333</t>
  </si>
  <si>
    <t>-654.535771880042 29.3318811759773 -460.886452012419</t>
  </si>
  <si>
    <t>-668.237687738804 26.5086409392479 -582.743746418905</t>
  </si>
  <si>
    <t>-658.686614487489 28.0863448117491 -660.502980077126</t>
  </si>
  <si>
    <t>-664.148073478634 59.0455257942617 -529.782681421809</t>
  </si>
  <si>
    <t>-641.555582773988 211.476039223873 -505.446068023405</t>
  </si>
  <si>
    <t>-589.236993093354 235.783711737765 -229.311187338158</t>
  </si>
  <si>
    <t>-368.529684829388 166.286857960607 -209.136900289236</t>
  </si>
  <si>
    <t>-609.015231400293 132.96427284547 -97.3216879737967</t>
  </si>
  <si>
    <t>-633.142626282455 143.657549224353 317.414573158066</t>
  </si>
  <si>
    <t>-671.015014859986 183.967656081661 777.202280796348</t>
  </si>
  <si>
    <t>-520.605974420645 186.763688840193 834.23847700376</t>
  </si>
  <si>
    <t>-603.855745091002 -70.7502776468323 322.12889340649</t>
  </si>
  <si>
    <t>-653.805240420713 -105.416883060895 781.274541405006</t>
  </si>
  <si>
    <t>-499.609623203667 -119.62426993418 824.928664666834</t>
  </si>
  <si>
    <t>9763-20170724T115600.925314100.bin</t>
  </si>
  <si>
    <t>-601.952974577216 40.5821684058878 -93.4255109212614</t>
  </si>
  <si>
    <t>-620.497115258015 36.5709816826798 -202.501290224202</t>
  </si>
  <si>
    <t>-632.935458625578 33.8456470018023 -294.499577889813</t>
  </si>
  <si>
    <t>-643.845271033149 31.574930237887 -377.64974762079</t>
  </si>
  <si>
    <t>-653.863763864808 29.531095628666 -460.917973611736</t>
  </si>
  <si>
    <t>-667.532437141756 26.7896629895768 -582.7809925046</t>
  </si>
  <si>
    <t>-657.844528800061 28.4241542988125 -660.521957594689</t>
  </si>
  <si>
    <t>-663.480883212809 59.2895150952668 -529.794234751637</t>
  </si>
  <si>
    <t>-641.02839505213 211.716639090107 -505.32191273383</t>
  </si>
  <si>
    <t>-588.979268637053 236.157645766444 -229.147760221317</t>
  </si>
  <si>
    <t>-367.551154238675 169.141456106353 -208.484966959345</t>
  </si>
  <si>
    <t>-608.743985517004 133.058119578774 -97.3348009754852</t>
  </si>
  <si>
    <t>-632.890316602337 143.956814153417 317.394968952788</t>
  </si>
  <si>
    <t>-671.019756740951 183.95895849141 777.179222943229</t>
  </si>
  <si>
    <t>-520.631240114652 186.748163348049 834.26980497171</t>
  </si>
  <si>
    <t>-603.652887113554 -70.9090460944315 322.129774002902</t>
  </si>
  <si>
    <t>-653.81932123142 -105.379106556315 781.263634181257</t>
  </si>
  <si>
    <t>-499.598067933622 -119.462477151577 824.867405303673</t>
  </si>
  <si>
    <t>9763-20170724T115600.990488600.bin</t>
  </si>
  <si>
    <t>-601.578175534998 40.6014675676936 -93.4183687570876</t>
  </si>
  <si>
    <t>-620.048782564028 36.5580066386301 -202.505398663292</t>
  </si>
  <si>
    <t>-632.46615882151 33.8425480525666 -294.506859329793</t>
  </si>
  <si>
    <t>-643.373380880798 31.5943359007561 -377.658035504646</t>
  </si>
  <si>
    <t>-653.405691046739 29.5875877826318 -460.925462235141</t>
  </si>
  <si>
    <t>-667.112550851686 26.9163518474484 -582.785683742317</t>
  </si>
  <si>
    <t>-657.269775325626 28.6012367682301 -660.506288458604</t>
  </si>
  <si>
    <t>-663.097865193997 59.3824361108427 -529.775431670297</t>
  </si>
  <si>
    <t>-640.934493179867 211.834016499988 -505.214430861524</t>
  </si>
  <si>
    <t>-588.929769794543 236.254979589193 -229.030295713641</t>
  </si>
  <si>
    <t>-366.933173128974 171.291266805536 -207.917102561559</t>
  </si>
  <si>
    <t>-608.543115712221 133.044954183357 -97.3347174134981</t>
  </si>
  <si>
    <t>-632.655420649807 144.158113342275 317.391315988906</t>
  </si>
  <si>
    <t>-671.013907186576 183.951619074941 777.164253433645</t>
  </si>
  <si>
    <t>-520.647342968814 186.807896271499 834.309267397003</t>
  </si>
  <si>
    <t>-603.443865768192 -70.9507759115404 322.146642325688</t>
  </si>
  <si>
    <t>-653.831297675648 -105.371507643885 781.252351587452</t>
  </si>
  <si>
    <t>-499.61221774177 -119.580694111579 824.822967018647</t>
  </si>
  <si>
    <t>9763-20170724T115601.025086400.bin</t>
  </si>
  <si>
    <t>-601.409945106565 40.5390240288179 -93.4131315396114</t>
  </si>
  <si>
    <t>-619.812398660221 36.4804211822475 -202.51115356469</t>
  </si>
  <si>
    <t>-632.180041037521 33.774877900807 -294.519603538158</t>
  </si>
  <si>
    <t>-643.045323254919 31.5441387512092 -377.676703727761</t>
  </si>
  <si>
    <t>-653.038694513537 29.5639204555107 -460.949437622919</t>
  </si>
  <si>
    <t>-666.691897833146 26.941556028891 -582.816636879022</t>
  </si>
  <si>
    <t>-656.757980323508 28.6493760015667 -660.525224847728</t>
  </si>
  <si>
    <t>-662.733177553161 59.3844241027919 -529.787978928995</t>
  </si>
  <si>
    <t>-640.833055282877 211.868968133663 -505.183273882182</t>
  </si>
  <si>
    <t>-588.926490973072 236.2205492281 -228.974466060065</t>
  </si>
  <si>
    <t>-366.695620354213 172.110625546408 -207.716682468352</t>
  </si>
  <si>
    <t>-608.443920929579 132.943845239208 -97.331622163851</t>
  </si>
  <si>
    <t>-632.607739011095 144.120305633975 317.389778666313</t>
  </si>
  <si>
    <t>-671.024572795985 183.898330875919 777.163620829543</t>
  </si>
  <si>
    <t>-520.667167681548 186.862001305017 834.327392197215</t>
  </si>
  <si>
    <t>-603.342044132642 -71.0248870124726 322.153751774893</t>
  </si>
  <si>
    <t>-653.84128903137 -105.372029080451 781.247788011623</t>
  </si>
  <si>
    <t>-499.605016024743 -119.474628232955 824.792154221734</t>
  </si>
  <si>
    <t>9763-20170724T115601.062695800.bin</t>
  </si>
  <si>
    <t>-601.205422425033 40.4307160771534 -93.3971686887734</t>
  </si>
  <si>
    <t>-619.552933260308 36.3625952631132 -202.504147972944</t>
  </si>
  <si>
    <t>-631.854015594588 33.6644761435127 -294.521702741974</t>
  </si>
  <si>
    <t>-642.651079868256 31.4456368216165 -377.687952738012</t>
  </si>
  <si>
    <t>-652.567987070003 29.4832749489601 -460.970269992859</t>
  </si>
  <si>
    <t>-666.100385694974 26.8935359019461 -582.851772689851</t>
  </si>
  <si>
    <t>-656.068381474795 28.6187149954192 -660.547228644579</t>
  </si>
  <si>
    <t>-662.220305383735 59.320540230447 -529.807639298411</t>
  </si>
  <si>
    <t>-640.517556103564 211.829001511015 -505.131376684236</t>
  </si>
  <si>
    <t>-588.826815758136 236.022785811571 -228.868289683551</t>
  </si>
  <si>
    <t>-366.313278414305 173.02063219695 -207.258401467811</t>
  </si>
  <si>
    <t>-608.328659526907 132.777927037196 -97.3127833551566</t>
  </si>
  <si>
    <t>-632.590121838389 144.0378034449 317.400585088263</t>
  </si>
  <si>
    <t>-671.042055173413 183.81227223725 777.162499154418</t>
  </si>
  <si>
    <t>-520.69226494061 186.88564936643 834.340425423957</t>
  </si>
  <si>
    <t>-603.237234389456 -71.1093128951045 322.160580984726</t>
  </si>
  <si>
    <t>-653.850365285904 -105.304711442496 781.242658897876</t>
  </si>
  <si>
    <t>-499.573678194611 -119.045289111391 824.759570562517</t>
  </si>
  <si>
    <t>9763-20170724T115601.127367900.bin</t>
  </si>
  <si>
    <t>-600.695475303935 40.0556546247087 -93.3889093369837</t>
  </si>
  <si>
    <t>-618.892781895015 35.953978110125 -202.519683674644</t>
  </si>
  <si>
    <t>-631.028058941142 33.2531647586302 -294.55921641325</t>
  </si>
  <si>
    <t>-641.659233441456 31.0409155842237 -377.747063077367</t>
  </si>
  <si>
    <t>-651.394163563403 29.0947763908741 -461.051285557347</t>
  </si>
  <si>
    <t>-664.642778047027 26.5391426983074 -582.964552121613</t>
  </si>
  <si>
    <t>-654.41286512893 28.3005748551857 -660.633475608166</t>
  </si>
  <si>
    <t>-660.933484203927 58.9481937205408 -529.897273929251</t>
  </si>
  <si>
    <t>-639.507970229017 211.464432785723 -505.064285602973</t>
  </si>
  <si>
    <t>-588.29921208574 235.224544678101 -228.673825862086</t>
  </si>
  <si>
    <t>-365.352881204221 174.089813947668 -206.179210627861</t>
  </si>
  <si>
    <t>-607.975662480458 132.39168731161 -97.3134286316605</t>
  </si>
  <si>
    <t>-632.418727267699 143.879656625432 317.3830620239</t>
  </si>
  <si>
    <t>-671.025730617541 183.820697415831 777.13310212032</t>
  </si>
  <si>
    <t>-520.69481487869 186.872120714217 834.361896221215</t>
  </si>
  <si>
    <t>-603.066183550998 -71.50710793698 322.151486077159</t>
  </si>
  <si>
    <t>-653.851532968283 -105.346389478647 781.239013177747</t>
  </si>
  <si>
    <t>-499.605802326103 -119.4345708283 824.754526550819</t>
  </si>
  <si>
    <t>9763-20170724T115601.161961100.bin</t>
  </si>
  <si>
    <t>-600.417136933428 39.848044158568 -93.3904513204093</t>
  </si>
  <si>
    <t>-618.553370225168 35.7256025650008 -202.53061129269</t>
  </si>
  <si>
    <t>-630.610404546209 33.021341587664 -294.580369093674</t>
  </si>
  <si>
    <t>-641.160031446588 30.8109052842099 -377.778562539854</t>
  </si>
  <si>
    <t>-650.802456760019 28.871860275379 -461.093643602425</t>
  </si>
  <si>
    <t>-663.90383643 26.3324484398468 -583.023325050328</t>
  </si>
  <si>
    <t>-653.573758491561 28.1105184708338 -660.678560631181</t>
  </si>
  <si>
    <t>-660.288235441017 58.7323776273659 -529.943997632276</t>
  </si>
  <si>
    <t>-639.010848889104 211.253057544352 -505.013206278182</t>
  </si>
  <si>
    <t>-588.070125021069 234.959281661856 -228.568446562456</t>
  </si>
  <si>
    <t>-364.91947787795 174.760662549163 -205.580643471074</t>
  </si>
  <si>
    <t>-607.791340598643 132.181438380922 -97.3206624410518</t>
  </si>
  <si>
    <t>-632.344406478485 143.742697664014 317.367252994629</t>
  </si>
  <si>
    <t>-671.040197761039 183.719810363081 777.111962643679</t>
  </si>
  <si>
    <t>-520.725781987901 186.896432732415 834.377180153472</t>
  </si>
  <si>
    <t>-602.972369623531 -71.7546455653335 322.1533345668</t>
  </si>
  <si>
    <t>-653.850485028746 -105.351642600194 781.24332768673</t>
  </si>
  <si>
    <t>-499.602145850597 -119.423023358715 824.755082880095</t>
  </si>
  <si>
    <t>9763-20170724T115601.227160000.bin</t>
  </si>
  <si>
    <t>-599.898267528847 39.3846424344447 -93.3970248826579</t>
  </si>
  <si>
    <t>-617.937869909193 35.2157460052142 -202.551523248152</t>
  </si>
  <si>
    <t>-629.847567516377 32.4993287014911 -294.619939067195</t>
  </si>
  <si>
    <t>-640.237427026287 30.2867682062451 -377.838325064716</t>
  </si>
  <si>
    <t>-649.693335439846 28.3554853221503 -461.175019081868</t>
  </si>
  <si>
    <t>-662.492524659022 25.8384830914022 -583.137188583538</t>
  </si>
  <si>
    <t>-651.988280679692 27.6533665555328 -660.768130277787</t>
  </si>
  <si>
    <t>-659.070176333478 58.2244797541327 -530.036473119358</t>
  </si>
  <si>
    <t>-638.232707820706 210.784358214004 -504.964320637748</t>
  </si>
  <si>
    <t>-587.639701671262 234.487539759389 -228.455531716119</t>
  </si>
  <si>
    <t>-364.256238253543 175.03613260409 -205.786362226079</t>
  </si>
  <si>
    <t>-607.446526657426 131.705871921625 -97.3448657038755</t>
  </si>
  <si>
    <t>-632.144971751165 143.508018891719 317.327648393582</t>
  </si>
  <si>
    <t>-671.00688658465 183.748339720379 777.043070565795</t>
  </si>
  <si>
    <t>-520.722143384787 186.865855411473 834.389332227455</t>
  </si>
  <si>
    <t>-602.792283721207 -72.3042309059085 322.147751668806</t>
  </si>
  <si>
    <t>-653.847327004877 -105.35279910649 781.247857909171</t>
  </si>
  <si>
    <t>-499.592338702702 -119.370971239404 824.753164034129</t>
  </si>
  <si>
    <t>9763-20170724T115601.260250600.bin</t>
  </si>
  <si>
    <t>-599.700402339614 39.1386902269455 -93.4078923112882</t>
  </si>
  <si>
    <t>-617.707150098312 34.9542050696339 -202.567129031101</t>
  </si>
  <si>
    <t>-629.560661684558 32.2302577064404 -294.642700274562</t>
  </si>
  <si>
    <t>-639.888296466564 30.012060973816 -377.868743298575</t>
  </si>
  <si>
    <t>-649.270350342494 28.077043179364 -461.213547132173</t>
  </si>
  <si>
    <t>-661.948764025118 25.5566969740821 -583.188285696506</t>
  </si>
  <si>
    <t>-651.359048708522 27.3840855007365 -660.807368783494</t>
  </si>
  <si>
    <t>-658.603935053951 57.9425639802241 -530.082536906792</t>
  </si>
  <si>
    <t>-637.941186019664 210.517542124055 -504.952598736585</t>
  </si>
  <si>
    <t>-587.579083440291 234.197171013993 -228.399611782605</t>
  </si>
  <si>
    <t>-364.160778959009 174.725826595024 -206.129605772356</t>
  </si>
  <si>
    <t>-607.327662354425 131.428585326076 -97.3597829361424</t>
  </si>
  <si>
    <t>-632.04121574346 143.341251152529 317.308606175034</t>
  </si>
  <si>
    <t>-671.011822486194 183.665499015211 777.006518662699</t>
  </si>
  <si>
    <t>-520.748286027846 186.997589173403 834.396319390777</t>
  </si>
  <si>
    <t>-602.707622954805 -72.5180663843294 322.13657367998</t>
  </si>
  <si>
    <t>-653.840279516684 -105.351131571785 781.249411297979</t>
  </si>
  <si>
    <t>-499.564286364394 -119.131327670242 824.756337170306</t>
  </si>
  <si>
    <t>9763-20170724T115601.330443300.bin</t>
  </si>
  <si>
    <t>-599.321173146341 38.7525552834763 -93.4246683162464</t>
  </si>
  <si>
    <t>-617.272253379558 34.5191723750952 -202.591254277971</t>
  </si>
  <si>
    <t>-629.027667399886 31.7749069896013 -294.678798691468</t>
  </si>
  <si>
    <t>-639.245906763094 29.545245588811 -377.917914515025</t>
  </si>
  <si>
    <t>-648.497658540211 27.606171741219 -461.277191264631</t>
  </si>
  <si>
    <t>-660.962603697267 25.0877811324788 -583.27409842765</t>
  </si>
  <si>
    <t>-650.215296948981 26.9129719970269 -660.871632463819</t>
  </si>
  <si>
    <t>-657.739386659561 57.4707592342315 -530.159020263623</t>
  </si>
  <si>
    <t>-637.194416144288 210.042398541655 -504.904781032554</t>
  </si>
  <si>
    <t>-587.521666705147 233.832632264239 -228.236815711999</t>
  </si>
  <si>
    <t>-364.392927460267 172.9104005538 -207.009906342623</t>
  </si>
  <si>
    <t>-607.07080369723 131.036571523936 -97.382769256298</t>
  </si>
  <si>
    <t>-631.891938591786 143.161753227056 317.273072552563</t>
  </si>
  <si>
    <t>-670.982049778375 183.694461276234 776.942031272747</t>
  </si>
  <si>
    <t>-520.748976302457 186.977917442574 834.414373919046</t>
  </si>
  <si>
    <t>-602.515038470918 -72.9706213255695 322.134355473078</t>
  </si>
  <si>
    <t>-653.837168922838 -105.372108211057 781.25484702863</t>
  </si>
  <si>
    <t>-499.563230540639 -119.14319747065 824.771870326401</t>
  </si>
  <si>
    <t>9763-20170724T115601.361525400.bin</t>
  </si>
  <si>
    <t>-599.139332154388 38.4870338494241 -93.4348035446424</t>
  </si>
  <si>
    <t>-617.038984260312 34.2380756974278 -202.609281907935</t>
  </si>
  <si>
    <t>-628.745044156822 31.4800661776999 -294.702613873898</t>
  </si>
  <si>
    <t>-638.91609470145 29.2376960223744 -377.947100321214</t>
  </si>
  <si>
    <t>-648.118216118757 27.2850676975127 -461.311690180965</t>
  </si>
  <si>
    <t>-660.507702725154 24.7463296517958 -583.315746754413</t>
  </si>
  <si>
    <t>-649.685966687431 26.5513077690139 -660.903292161895</t>
  </si>
  <si>
    <t>-657.315464747349 57.13831685947 -530.20444892146</t>
  </si>
  <si>
    <t>-636.74736737758 209.69913571324 -504.918620004052</t>
  </si>
  <si>
    <t>-587.665836393234 233.519161752094 -228.147517972747</t>
  </si>
  <si>
    <t>-364.66259575908 172.051689304157 -207.175254645414</t>
  </si>
  <si>
    <t>-606.913438680418 130.747498063437 -97.398988417849</t>
  </si>
  <si>
    <t>-631.814670644278 142.98364564593 317.248818212172</t>
  </si>
  <si>
    <t>-670.995622139608 183.61425170474 776.91153579487</t>
  </si>
  <si>
    <t>-520.773223757891 186.957990052601 834.408264151459</t>
  </si>
  <si>
    <t>-602.464527482857 -73.249805156463 322.129448222545</t>
  </si>
  <si>
    <t>-653.826452840457 -105.374212949288 781.259617390526</t>
  </si>
  <si>
    <t>-499.559015299903 -119.163926082077 824.793836040888</t>
  </si>
  <si>
    <t>9763-20170724T115601.428714200.bin</t>
  </si>
  <si>
    <t>-598.813707046034 38.1488187660279 -93.4328545985788</t>
  </si>
  <si>
    <t>-616.649680466746 33.9108796512057 -202.618074280134</t>
  </si>
  <si>
    <t>-628.296609712034 31.1489174305232 -294.718874075561</t>
  </si>
  <si>
    <t>-638.412173368684 28.8978415318254 -377.969974092185</t>
  </si>
  <si>
    <t>-647.556484724461 26.9313877260163 -461.340522808804</t>
  </si>
  <si>
    <t>-659.859059971614 24.3663419289271 -583.352716564724</t>
  </si>
  <si>
    <t>-648.93449127065 26.1199116043126 -660.927205380786</t>
  </si>
  <si>
    <t>-656.684244347573 56.7712563553982 -530.248212040701</t>
  </si>
  <si>
    <t>-635.894120376966 209.29746505293 -504.923356256839</t>
  </si>
  <si>
    <t>-588.289469505369 233.267071256389 -227.90746610981</t>
  </si>
  <si>
    <t>-365.459902844707 171.270707305419 -206.647912950573</t>
  </si>
  <si>
    <t>-606.549921099354 130.417686340007 -97.4124973253341</t>
  </si>
  <si>
    <t>-631.603826572466 142.809699034927 317.221505348808</t>
  </si>
  <si>
    <t>-670.990260804428 183.59725644258 776.845380797451</t>
  </si>
  <si>
    <t>-520.787552027724 186.981743896391 834.391157843051</t>
  </si>
  <si>
    <t>-602.377035100828 -73.5620027106372 322.118800898434</t>
  </si>
  <si>
    <t>-653.782995905733 -105.420341322277 781.268610033136</t>
  </si>
  <si>
    <t>-499.541788393053 -119.286529218874 824.871360879446</t>
  </si>
  <si>
    <t>9763-20170724T115601.461805500.bin</t>
  </si>
  <si>
    <t>-598.652012325481 38.0207990329241 -93.4426491476933</t>
  </si>
  <si>
    <t>-616.483919546311 33.796769750096 -202.629144659554</t>
  </si>
  <si>
    <t>-628.114860425518 31.0269744986517 -294.7316558993</t>
  </si>
  <si>
    <t>-638.210960049866 28.7618115950675 -377.984680497648</t>
  </si>
  <si>
    <t>-647.330774379057 26.7736651733953 -461.357388353864</t>
  </si>
  <si>
    <t>-659.59204898478 24.1686820407695 -583.372982645906</t>
  </si>
  <si>
    <t>-648.62403770408 25.8859340732115 -660.942115982798</t>
  </si>
  <si>
    <t>-656.412402218704 56.5923843407447 -530.280468435162</t>
  </si>
  <si>
    <t>-635.464238763022 209.092402314272 -504.957441040174</t>
  </si>
  <si>
    <t>-588.713808625912 233.182095860569 -227.806503575411</t>
  </si>
  <si>
    <t>-366.052578146839 170.600087284119 -206.499158514165</t>
  </si>
  <si>
    <t>-606.326448698597 130.322823013045 -97.4204338048752</t>
  </si>
  <si>
    <t>-631.464281449827 142.743341628589 317.207680556853</t>
  </si>
  <si>
    <t>-670.984279917035 183.603613518399 776.815227326375</t>
  </si>
  <si>
    <t>-520.792510149263 186.992817548745 834.389218497041</t>
  </si>
  <si>
    <t>-602.336614099399 -73.7566906218922 322.114443836738</t>
  </si>
  <si>
    <t>-653.7670868028 -105.420011669159 781.273926050376</t>
  </si>
  <si>
    <t>-499.526088658716 -119.213617283755 824.900471090159</t>
  </si>
  <si>
    <t>9763-20170724T115601.525487100.bin</t>
  </si>
  <si>
    <t>-598.465054343034 37.5498307138262 -93.4948653299122</t>
  </si>
  <si>
    <t>-616.289469872666 33.3444080391939 -202.683298659954</t>
  </si>
  <si>
    <t>-627.870758319692 30.5624301737942 -294.79176817711</t>
  </si>
  <si>
    <t>-637.904789272628 28.2766761505222 -378.051712723817</t>
  </si>
  <si>
    <t>-646.945142943225 26.2574210436812 -461.432424577501</t>
  </si>
  <si>
    <t>-659.071173564907 23.5951722854079 -583.460265873829</t>
  </si>
  <si>
    <t>-648.0321866192 25.2547324555285 -661.02057421685</t>
  </si>
  <si>
    <t>-655.889074458613 56.0479687657082 -530.385530788122</t>
  </si>
  <si>
    <t>-634.566632240851 208.511464220545 -505.134436611917</t>
  </si>
  <si>
    <t>-589.321669479313 232.709985534386 -227.743315048336</t>
  </si>
  <si>
    <t>-366.897131385177 169.454560691648 -205.957723330621</t>
  </si>
  <si>
    <t>-605.926639795599 129.990026394328 -97.4682490472611</t>
  </si>
  <si>
    <t>-631.249143352103 142.44753715791 317.147454479683</t>
  </si>
  <si>
    <t>-670.977379114794 183.560495850072 776.728656355013</t>
  </si>
  <si>
    <t>-520.814528788998 187.087396793736 834.369758455253</t>
  </si>
  <si>
    <t>-602.308337722966 -74.4061997025569 322.081661087115</t>
  </si>
  <si>
    <t>-653.716943487012 -105.491159738018 781.293986691623</t>
  </si>
  <si>
    <t>-499.554185561516 -119.852887433796 825.013616338702</t>
  </si>
  <si>
    <t>9763-20170724T115601.558655700.bin</t>
  </si>
  <si>
    <t>-598.449126591822 37.3838665262069 -93.5145847533821</t>
  </si>
  <si>
    <t>-616.28315179957 33.1892151857312 -202.701845619051</t>
  </si>
  <si>
    <t>-627.848516551803 30.3943340116127 -294.811900544084</t>
  </si>
  <si>
    <t>-637.858540783504 28.0890640386413 -378.074162416284</t>
  </si>
  <si>
    <t>-646.865367786279 26.0414779365053 -461.457797775915</t>
  </si>
  <si>
    <t>-658.93177314309 23.328358253636 -583.490512633521</t>
  </si>
  <si>
    <t>-647.864308343286 24.9393839329243 -661.047698881555</t>
  </si>
  <si>
    <t>-655.741422962604 55.8055677797729 -530.43107921383</t>
  </si>
  <si>
    <t>-634.311539750934 208.271631961182 -505.285945449305</t>
  </si>
  <si>
    <t>-589.500501879235 232.461469014637 -227.823612683368</t>
  </si>
  <si>
    <t>-367.151952474679 169.044854655083 -205.733064350875</t>
  </si>
  <si>
    <t>-605.803903819487 129.917511915741 -97.4978306347323</t>
  </si>
  <si>
    <t>-631.149963147092 142.354947362526 317.117047901691</t>
  </si>
  <si>
    <t>-670.977014197279 183.562752054793 776.686710932734</t>
  </si>
  <si>
    <t>-520.822456336248 187.007834321301 834.354521125724</t>
  </si>
  <si>
    <t>-602.341868320917 -74.5648248594009 322.065751050421</t>
  </si>
  <si>
    <t>-653.690116902217 -105.450463595598 781.30401430263</t>
  </si>
  <si>
    <t>-499.497250189046 -119.40246933373 825.050118364126</t>
  </si>
  <si>
    <t>9763-20170724T115601.627842400.bin</t>
  </si>
  <si>
    <t>-598.522446374817 37.2303205492822 -93.5316109839481</t>
  </si>
  <si>
    <t>-616.384109731987 33.0540164924455 -202.715055110561</t>
  </si>
  <si>
    <t>-627.952352294164 30.230739966958 -294.823827560002</t>
  </si>
  <si>
    <t>-637.956918152906 27.8836351032621 -378.085625422814</t>
  </si>
  <si>
    <t>-646.9500868434 25.7766246056713 -461.469264806447</t>
  </si>
  <si>
    <t>-658.987526118206 22.9571458970643 -583.5023502509</t>
  </si>
  <si>
    <t>-647.883037314499 24.4336875079766 -661.056936250884</t>
  </si>
  <si>
    <t>-655.735157390689 55.485387820406 -530.477974646424</t>
  </si>
  <si>
    <t>-633.970965989507 207.933862966274 -505.503539463608</t>
  </si>
  <si>
    <t>-589.615139885908 232.175841637011 -227.972447109085</t>
  </si>
  <si>
    <t>-367.403751228773 168.416850610301 -205.490963727334</t>
  </si>
  <si>
    <t>-605.728515119426 129.773584706554 -97.5218762785463</t>
  </si>
  <si>
    <t>-631.125959957082 142.216007613047 317.089727703088</t>
  </si>
  <si>
    <t>-671.020045407994 183.459876908619 776.640654592846</t>
  </si>
  <si>
    <t>-520.867866208718 187.080470145222 834.303837567364</t>
  </si>
  <si>
    <t>-602.419383003258 -74.6066146874855 322.059277660569</t>
  </si>
  <si>
    <t>-653.66842259516 -105.419520201883 781.31229061867</t>
  </si>
  <si>
    <t>-499.485322922939 -119.390069207522 825.086832134038</t>
  </si>
  <si>
    <t>9763-20170724T115601.659789500.bin</t>
  </si>
  <si>
    <t>-598.608119104062 37.2204346476883 -93.5430988595112</t>
  </si>
  <si>
    <t>-616.476245950758 33.053196604656 -202.725744279643</t>
  </si>
  <si>
    <t>-628.03971737377 30.2101731302496 -294.834567921413</t>
  </si>
  <si>
    <t>-638.035985267945 27.8345032502662 -378.096691487579</t>
  </si>
  <si>
    <t>-647.016673532728 25.688147011673 -461.480539538856</t>
  </si>
  <si>
    <t>-659.03139291412 22.7987790074956 -583.514301075912</t>
  </si>
  <si>
    <t>-647.905286148685 24.1999809714023 -661.067192348318</t>
  </si>
  <si>
    <t>-655.754879498825 55.3595165528948 -530.511477965353</t>
  </si>
  <si>
    <t>-633.837926787245 207.79766628439 -505.621912871862</t>
  </si>
  <si>
    <t>-589.590353369864 232.128071223608 -228.081376986315</t>
  </si>
  <si>
    <t>-367.492098714852 168.014554083214 -205.49039599892</t>
  </si>
  <si>
    <t>-605.769380825456 129.733534247272 -97.5335825333486</t>
  </si>
  <si>
    <t>-631.164328407614 142.186673372719 317.077794762613</t>
  </si>
  <si>
    <t>-671.048921445725 183.393901391907 776.629666274432</t>
  </si>
  <si>
    <t>-520.892593636081 187.168928465783 834.272119033687</t>
  </si>
  <si>
    <t>-602.47770381065 -74.5683888003132 322.052135127647</t>
  </si>
  <si>
    <t>-653.671212550546 -105.416767985958 781.309167117799</t>
  </si>
  <si>
    <t>-499.47815847337 -119.308457910745 825.073906263604</t>
  </si>
  <si>
    <t>9763-20170724T115601.728481100.bin</t>
  </si>
  <si>
    <t>-598.780455097391 37.4764144159976 -93.5619586703021</t>
  </si>
  <si>
    <t>-616.695078184367 33.2993566013563 -202.736691706948</t>
  </si>
  <si>
    <t>-628.2847373084 30.3902628899641 -294.840055017557</t>
  </si>
  <si>
    <t>-638.29954213809 27.9326099405096 -378.097574571203</t>
  </si>
  <si>
    <t>-647.293712763126 25.6807329973221 -461.477275891875</t>
  </si>
  <si>
    <t>-659.322591539019 22.6112259648951 -583.505167624395</t>
  </si>
  <si>
    <t>-648.176839540324 23.8624845813395 -661.057895068801</t>
  </si>
  <si>
    <t>-655.985022006199 55.2535674556636 -530.556320010971</t>
  </si>
  <si>
    <t>-633.863345767462 207.702657405547 -505.918904400957</t>
  </si>
  <si>
    <t>-589.645751441381 232.513425297136 -228.41604972681</t>
  </si>
  <si>
    <t>-367.717382858963 167.846564245996 -205.733048545568</t>
  </si>
  <si>
    <t>-605.868435162141 129.980798089971 -97.5768439110128</t>
  </si>
  <si>
    <t>-631.234066169773 142.354630640765 317.03874393087</t>
  </si>
  <si>
    <t>-671.048110276455 183.518282474043 776.595254410068</t>
  </si>
  <si>
    <t>-520.877916716977 186.971707055423 834.221759999348</t>
  </si>
  <si>
    <t>-602.507057527419 -74.2951666099068 322.054127185472</t>
  </si>
  <si>
    <t>-653.684736364877 -105.437490974364 781.301585249778</t>
  </si>
  <si>
    <t>-499.539226461174 -119.933250390352 825.037773526904</t>
  </si>
  <si>
    <t>9763-20170724T115601.759064300.bin</t>
  </si>
  <si>
    <t>-598.889017096195 37.6598013531725 -93.5635584833318</t>
  </si>
  <si>
    <t>-616.849673251127 33.4819433820928 -202.730737690737</t>
  </si>
  <si>
    <t>-628.485818978865 30.5423576661783 -294.827333745438</t>
  </si>
  <si>
    <t>-638.54585402642 28.0451803126546 -378.078153805936</t>
  </si>
  <si>
    <t>-647.588428869528 25.7416005316038 -461.45111396708</t>
  </si>
  <si>
    <t>-659.691766477138 22.5827139684884 -583.469456906885</t>
  </si>
  <si>
    <t>-648.577116535442 23.7717789877538 -661.027521060828</t>
  </si>
  <si>
    <t>-656.3020604507 55.2649915787651 -530.548453138054</t>
  </si>
  <si>
    <t>-634.110080575413 207.720925459486 -506.022402418185</t>
  </si>
  <si>
    <t>-589.78684548977 232.779955209656 -228.558745372681</t>
  </si>
  <si>
    <t>-367.859844447351 168.116751481584 -205.851716001214</t>
  </si>
  <si>
    <t>-605.987694403094 130.13742378257 -97.5855416819702</t>
  </si>
  <si>
    <t>-631.274965441238 142.442020492883 317.03687895273</t>
  </si>
  <si>
    <t>-671.052675243111 183.572353056401 776.59168849759</t>
  </si>
  <si>
    <t>-520.871723324901 186.897602999485 834.197652587161</t>
  </si>
  <si>
    <t>-602.481382415519 -74.0515574698777 322.063288728931</t>
  </si>
  <si>
    <t>-653.701780707635 -105.371864089261 781.290078781007</t>
  </si>
  <si>
    <t>-499.499934566847 -119.42205063196 824.973147149461</t>
  </si>
  <si>
    <t>9763-20170724T115601.824751200.bin</t>
  </si>
  <si>
    <t>-599.066547377237 38.1714495091546 -93.5396057584325</t>
  </si>
  <si>
    <t>-617.153638229985 33.9850238986794 -202.685602322225</t>
  </si>
  <si>
    <t>-628.90646672351 31.0073259966243 -294.766194485172</t>
  </si>
  <si>
    <t>-639.075953120381 28.4636189404439 -378.002279658972</t>
  </si>
  <si>
    <t>-648.232278225016 26.1008751647232 -461.361145918274</t>
  </si>
  <si>
    <t>-660.506431680166 22.8419178004513 -583.359714332418</t>
  </si>
  <si>
    <t>-649.476771130845 23.9472232194237 -660.931213344857</t>
  </si>
  <si>
    <t>-657.021320364127 55.5688523437095 -530.472702275466</t>
  </si>
  <si>
    <t>-634.659989218222 208.017838255029 -506.083011152233</t>
  </si>
  <si>
    <t>-590.025337588239 233.323370035413 -228.691723676698</t>
  </si>
  <si>
    <t>-368.061159615837 168.816830754369 -205.902580536441</t>
  </si>
  <si>
    <t>-606.157077154453 130.505263485078 -97.566793470423</t>
  </si>
  <si>
    <t>-631.391185857506 142.590378989744 317.065297709345</t>
  </si>
  <si>
    <t>-671.106232670486 183.527287595868 776.624770093429</t>
  </si>
  <si>
    <t>-520.902239581955 186.999091699956 834.161944704673</t>
  </si>
  <si>
    <t>-602.36271608611 -73.3725715115297 322.095837674058</t>
  </si>
  <si>
    <t>-653.75907185116 -105.315458439394 781.261471846933</t>
  </si>
  <si>
    <t>-499.505007150486 -119.174072287409 824.82119166986</t>
  </si>
  <si>
    <t>9763-20170724T115601.856332300.bin</t>
  </si>
  <si>
    <t>-599.159497275626 38.5367123379003 -93.5287191828066</t>
  </si>
  <si>
    <t>-617.3180836842 34.3385745529718 -202.662340373752</t>
  </si>
  <si>
    <t>-629.114104501502 31.3332180878917 -294.736593923968</t>
  </si>
  <si>
    <t>-639.315861893579 28.7571861211234 -377.967585636753</t>
  </si>
  <si>
    <t>-648.497667050726 26.3548481881978 -461.322640080652</t>
  </si>
  <si>
    <t>-660.801678236415 23.0298594046924 -583.31647613945</t>
  </si>
  <si>
    <t>-649.815418629386 24.0987126807997 -660.894610143998</t>
  </si>
  <si>
    <t>-657.300287691626 55.7855910728515 -530.448330007296</t>
  </si>
  <si>
    <t>-634.954088962735 208.257256511672 -506.120853987098</t>
  </si>
  <si>
    <t>-590.113395170181 233.668985443523 -228.772347554803</t>
  </si>
  <si>
    <t>-368.139340070588 169.155635524682 -206.099088840663</t>
  </si>
  <si>
    <t>-606.282844486375 130.759856854799 -97.5562737367892</t>
  </si>
  <si>
    <t>-631.495929532131 142.713258760066 317.080925138648</t>
  </si>
  <si>
    <t>-671.132843120862 183.491208963198 776.654208902048</t>
  </si>
  <si>
    <t>-520.917550985523 187.079256556788 834.154761116833</t>
  </si>
  <si>
    <t>-602.348102856464 -72.882305846349 322.120807110756</t>
  </si>
  <si>
    <t>-653.784811633188 -105.255776406471 781.243251474864</t>
  </si>
  <si>
    <t>-499.468593997749 -118.623897845673 824.735989803964</t>
  </si>
  <si>
    <t>9763-20170724T115601.927528200.bin</t>
  </si>
  <si>
    <t>-599.315134052472 39.1528038488959 -93.5161451203019</t>
  </si>
  <si>
    <t>-617.553447058871 34.9389395149794 -202.635905695234</t>
  </si>
  <si>
    <t>-629.433621534467 31.8758327038738 -294.697256213695</t>
  </si>
  <si>
    <t>-639.718279181286 29.2293036111066 -377.916054964014</t>
  </si>
  <si>
    <t>-648.989965165583 26.7381687233949 -461.258470150093</t>
  </si>
  <si>
    <t>-661.433143746952 23.26297033535 -583.234001914857</t>
  </si>
  <si>
    <t>-650.584418172014 24.263075157264 -660.832409511988</t>
  </si>
  <si>
    <t>-657.866538118623 56.083984536396 -530.410781119299</t>
  </si>
  <si>
    <t>-635.607511750033 208.592043215035 -506.241693562926</t>
  </si>
  <si>
    <t>-590.351167504632 233.920309973088 -228.953201962405</t>
  </si>
  <si>
    <t>-368.380749978451 169.412917386737 -206.227301494561</t>
  </si>
  <si>
    <t>-606.485674150713 131.286308113324 -97.5446884773994</t>
  </si>
  <si>
    <t>-631.622882312388 143.01611968002 317.103503542604</t>
  </si>
  <si>
    <t>-671.155593123503 183.562892371424 776.698964919516</t>
  </si>
  <si>
    <t>-520.91927000819 186.867973079927 834.161559798098</t>
  </si>
  <si>
    <t>-602.334417311017 -72.2314445609757 322.14201065095</t>
  </si>
  <si>
    <t>-653.809924165737 -105.260445026842 781.218141990213</t>
  </si>
  <si>
    <t>-499.512589540787 -119.04812206721 824.646954092427</t>
  </si>
  <si>
    <t>9763-20170724T115601.961621300.bin</t>
  </si>
  <si>
    <t>-599.326606595421 39.312879574728 -93.5071284739158</t>
  </si>
  <si>
    <t>-617.608987219354 35.0902578647613 -202.619087462877</t>
  </si>
  <si>
    <t>-629.540008627697 32.0059825535939 -294.6732572474</t>
  </si>
  <si>
    <t>-639.876188773915 29.3342819252612 -377.884876116041</t>
  </si>
  <si>
    <t>-649.204972936224 26.8119833611177 -461.220014673362</t>
  </si>
  <si>
    <t>-661.737756417452 23.28464350017 -583.184789112309</t>
  </si>
  <si>
    <t>-650.975720527413 24.2502910599228 -660.795820835759</t>
  </si>
  <si>
    <t>-658.122571044027 56.1289140790245 -530.379228378905</t>
  </si>
  <si>
    <t>-635.817692624376 208.636366238117 -506.259745395783</t>
  </si>
  <si>
    <t>-590.442493031027 233.992852170727 -228.993323331295</t>
  </si>
  <si>
    <t>-368.479100901089 169.547415662165 -206.024449726484</t>
  </si>
  <si>
    <t>-606.525797607921 131.413296915656 -97.5290979071144</t>
  </si>
  <si>
    <t>-631.692995441976 143.054690946489 317.119795779625</t>
  </si>
  <si>
    <t>-671.16882941785 183.584075059834 776.723445816276</t>
  </si>
  <si>
    <t>-520.927854763687 186.960562573926 834.16960876662</t>
  </si>
  <si>
    <t>-602.312555964435 -72.0936499791774 322.148329380806</t>
  </si>
  <si>
    <t>-653.817556114215 -105.280939169898 781.212204285534</t>
  </si>
  <si>
    <t>-499.536078108234 -119.293058919373 824.625469351595</t>
  </si>
  <si>
    <t>9763-20170724T115602.027799400.bin</t>
  </si>
  <si>
    <t>-599.328872933961 39.4665678733018 -93.4974834064033</t>
  </si>
  <si>
    <t>-617.720434376349 35.2234662195415 -202.59034346623</t>
  </si>
  <si>
    <t>-629.756062623897 32.0903619555661 -294.629158426521</t>
  </si>
  <si>
    <t>-640.191729437498 29.3621712863844 -377.826513988797</t>
  </si>
  <si>
    <t>-649.625326221279 26.770424706177 -461.147742073082</t>
  </si>
  <si>
    <t>-662.317176155452 23.1271984717641 -583.092644265169</t>
  </si>
  <si>
    <t>-651.681735331594 24.0213259921984 -660.721820532091</t>
  </si>
  <si>
    <t>-658.629722131637 56.0218550959721 -530.323339000226</t>
  </si>
  <si>
    <t>-636.189441140037 208.523921232908 -506.30497894933</t>
  </si>
  <si>
    <t>-590.639007352325 234.125801101378 -229.089768579764</t>
  </si>
  <si>
    <t>-368.62205318784 170.090570751713 -205.49976001768</t>
  </si>
  <si>
    <t>-606.52907729653 131.655639841587 -97.5310507254196</t>
  </si>
  <si>
    <t>-631.733763332601 143.194649527615 317.118353428334</t>
  </si>
  <si>
    <t>-671.175446577956 183.632051395017 776.739641735642</t>
  </si>
  <si>
    <t>-520.929991361993 186.908705690252 834.179983134987</t>
  </si>
  <si>
    <t>-602.328913935922 -72.0424453390201 322.149056034</t>
  </si>
  <si>
    <t>-653.800863237156 -105.282802704148 781.212361393372</t>
  </si>
  <si>
    <t>-499.526944873991 -119.3536731936 824.633430086994</t>
  </si>
  <si>
    <t>9763-20170724T115602.061717000.bin</t>
  </si>
  <si>
    <t>-599.308989825705 39.5184702609547 -93.4877769225338</t>
  </si>
  <si>
    <t>-617.770118641602 35.2759279788581 -202.568872922802</t>
  </si>
  <si>
    <t>-629.852408245691 32.1192626358411 -294.600839357746</t>
  </si>
  <si>
    <t>-640.325530614282 29.3604259396411 -377.792472558257</t>
  </si>
  <si>
    <t>-649.79186549551 26.7285956360056 -461.108645812404</t>
  </si>
  <si>
    <t>-662.526465837683 23.0164490376972 -583.047194991109</t>
  </si>
  <si>
    <t>-651.947945164179 23.8798439815407 -660.684506200125</t>
  </si>
  <si>
    <t>-658.806296717062 55.9417174711741 -530.299206978749</t>
  </si>
  <si>
    <t>-636.308715227546 208.447397124731 -506.34268394985</t>
  </si>
  <si>
    <t>-590.752536239665 234.230978144364 -229.145183441621</t>
  </si>
  <si>
    <t>-368.714723318942 170.319889393914 -205.415127082302</t>
  </si>
  <si>
    <t>-606.483233854521 131.795288689148 -97.5316021329023</t>
  </si>
  <si>
    <t>-631.670540491429 143.219930594753 317.12206379102</t>
  </si>
  <si>
    <t>-671.177472567457 183.661249629547 776.741817538417</t>
  </si>
  <si>
    <t>-520.933671905665 186.914901540722 834.187783900261</t>
  </si>
  <si>
    <t>-602.288193575951 -71.986949997487 322.160573595656</t>
  </si>
  <si>
    <t>-653.791550062324 -105.265557912875 781.216021142628</t>
  </si>
  <si>
    <t>-499.502801751107 -119.177475178664 824.635570135952</t>
  </si>
  <si>
    <t>9763-20170724T115602.126894700.bin</t>
  </si>
  <si>
    <t>-599.240152589133 39.5189708965556 -93.4935544696257</t>
  </si>
  <si>
    <t>-617.855362726074 35.2817871947366 -202.548687595096</t>
  </si>
  <si>
    <t>-630.023883187277 32.1128962873652 -294.568911957287</t>
  </si>
  <si>
    <t>-640.557480438383 29.3374248150633 -377.752283409527</t>
  </si>
  <si>
    <t>-650.066936221648 26.6826013276427 -461.062845344585</t>
  </si>
  <si>
    <t>-662.845502371688 22.9298944341356 -582.995447010328</t>
  </si>
  <si>
    <t>-652.415958279568 23.7906975650315 -660.653025198821</t>
  </si>
  <si>
    <t>-659.076444536578 55.874324070011 -530.263074985471</t>
  </si>
  <si>
    <t>-636.369045402864 208.357496148188 -506.367460298777</t>
  </si>
  <si>
    <t>-591.070912739381 234.470516336374 -229.158477769562</t>
  </si>
  <si>
    <t>-369.159935381873 169.962271140288 -205.861970568355</t>
  </si>
  <si>
    <t>-606.287835789198 131.909031777281 -97.5318596863967</t>
  </si>
  <si>
    <t>-631.558541747927 143.217630062952 317.119978065284</t>
  </si>
  <si>
    <t>-671.180357458685 183.696064763181 776.73342447072</t>
  </si>
  <si>
    <t>-520.944980379421 186.945586720984 834.201583877064</t>
  </si>
  <si>
    <t>-602.253400973115 -71.9453054313315 322.173919317974</t>
  </si>
  <si>
    <t>-653.774316136858 -105.283725825782 781.224315874325</t>
  </si>
  <si>
    <t>-499.525412804404 -119.563358005306 824.66621908995</t>
  </si>
  <si>
    <t>9763-20170724T115602.158619000.bin</t>
  </si>
  <si>
    <t>-599.228435694437 39.5057056331025 -93.5046363569263</t>
  </si>
  <si>
    <t>-617.902462593917 35.2830228036539 -202.550248683086</t>
  </si>
  <si>
    <t>-630.103754433238 32.1168176420508 -294.566216786974</t>
  </si>
  <si>
    <t>-640.660266037292 29.3405670247139 -377.746691454597</t>
  </si>
  <si>
    <t>-650.185933436858 26.6812965670551 -461.055356543675</t>
  </si>
  <si>
    <t>-662.980803252709 22.9183213552012 -582.985793853895</t>
  </si>
  <si>
    <t>-652.62304144144 23.7815083635385 -660.652895740923</t>
  </si>
  <si>
    <t>-659.18925584874 55.8680413006921 -530.258368796666</t>
  </si>
  <si>
    <t>-636.385344826014 208.332873957958 -506.342219986275</t>
  </si>
  <si>
    <t>-591.319403939506 234.613088732564 -229.11136724044</t>
  </si>
  <si>
    <t>-369.553306569272 169.475743054628 -206.18847408096</t>
  </si>
  <si>
    <t>-606.225040656337 131.979752401648 -97.5360858032221</t>
  </si>
  <si>
    <t>-631.525481399928 143.245779133255 317.115020054377</t>
  </si>
  <si>
    <t>-671.168015028193 183.776210797814 776.725966136072</t>
  </si>
  <si>
    <t>-520.935131907708 186.856635581005 834.210035750261</t>
  </si>
  <si>
    <t>-602.253393326894 -71.9461282592515 322.168624257426</t>
  </si>
  <si>
    <t>-653.763417140907 -105.243596076828 781.225719729453</t>
  </si>
  <si>
    <t>-499.494019532775 -119.302892927089 824.666632834565</t>
  </si>
  <si>
    <t>9763-20170724T115602.227301700.bin</t>
  </si>
  <si>
    <t>-599.260150817406 39.3203092397914 -93.5206282822683</t>
  </si>
  <si>
    <t>-618.066596260871 35.1408654189388 -202.545197230238</t>
  </si>
  <si>
    <t>-630.328445754116 32.0247129259783 -294.554773043525</t>
  </si>
  <si>
    <t>-640.919203033356 29.3000442484877 -377.732622325816</t>
  </si>
  <si>
    <t>-650.458645619951 26.6983157720351 -461.041477715433</t>
  </si>
  <si>
    <t>-663.251059564411 23.026320742433 -582.975077134883</t>
  </si>
  <si>
    <t>-653.019580948852 23.941619128311 -660.658220969763</t>
  </si>
  <si>
    <t>-659.452007972594 55.9372132383123 -530.223874189861</t>
  </si>
  <si>
    <t>-636.268224919954 208.3124681862 -506.13273035491</t>
  </si>
  <si>
    <t>-592.045189937382 235.040594532225 -228.808828390627</t>
  </si>
  <si>
    <t>-370.694786192454 168.259627925301 -206.608968530999</t>
  </si>
  <si>
    <t>-606.184348511624 131.82867447481 -97.5254501328293</t>
  </si>
  <si>
    <t>-631.505114448168 143.071262720853 317.125105405108</t>
  </si>
  <si>
    <t>-671.220972655735 183.614117326324 776.734820558542</t>
  </si>
  <si>
    <t>-520.992691927087 186.986854122358 834.21448654242</t>
  </si>
  <si>
    <t>-602.25114526948 -72.0115029652102 322.138679997048</t>
  </si>
  <si>
    <t>-653.76010250025 -105.247601087939 781.219226077426</t>
  </si>
  <si>
    <t>-499.498144755085 -119.421341734228 824.649355958977</t>
  </si>
  <si>
    <t>9763-20170724T115602.260892700.bin</t>
  </si>
  <si>
    <t>-599.278137852792 39.1855261745691 -93.520985759391</t>
  </si>
  <si>
    <t>-618.132076173083 35.0419828044826 -202.5386625398</t>
  </si>
  <si>
    <t>-630.416314640593 31.9706877246772 -294.546840559007</t>
  </si>
  <si>
    <t>-641.020207552987 29.292942637459 -377.724521089936</t>
  </si>
  <si>
    <t>-650.565666263402 26.7446568734854 -461.034348734589</t>
  </si>
  <si>
    <t>-663.359109782752 23.157819996899 -582.970357619932</t>
  </si>
  <si>
    <t>-653.171575728609 24.1160778695423 -660.658879354395</t>
  </si>
  <si>
    <t>-659.560531243106 56.0318307866535 -530.196122991747</t>
  </si>
  <si>
    <t>-636.254497622489 208.384600209639 -506.051154647432</t>
  </si>
  <si>
    <t>-592.471108873246 235.47832873665 -228.692958205715</t>
  </si>
  <si>
    <t>-371.277699260859 168.117640216823 -206.680801718476</t>
  </si>
  <si>
    <t>-606.106485803023 131.716230158256 -97.5092979220681</t>
  </si>
  <si>
    <t>-631.452789053526 143.015781250478 317.13813246928</t>
  </si>
  <si>
    <t>-671.209571679194 183.679339407351 776.733318689978</t>
  </si>
  <si>
    <t>-520.981028897847 186.908358183857 834.220395697048</t>
  </si>
  <si>
    <t>-602.258310283254 -72.0878499690555 322.123505525123</t>
  </si>
  <si>
    <t>-653.762137246895 -105.24677999956 781.214580793641</t>
  </si>
  <si>
    <t>-499.469829581634 -119.131871254761 824.630116549688</t>
  </si>
  <si>
    <t>9763-20170724T115602.327758100.bin</t>
  </si>
  <si>
    <t>-599.394393851563 38.8673592445643 -93.5167926527719</t>
  </si>
  <si>
    <t>-618.336714428804 34.7921034431863 -202.521746431085</t>
  </si>
  <si>
    <t>-630.755536040952 31.8159217256411 -294.514959049321</t>
  </si>
  <si>
    <t>-641.505272230504 29.240961861786 -377.677101465919</t>
  </si>
  <si>
    <t>-651.220915477116 26.812463766965 -460.970955519539</t>
  </si>
  <si>
    <t>-664.289995600988 23.4195842592105 -582.883252007611</t>
  </si>
  <si>
    <t>-654.218813451664 24.4749772123619 -660.585718588106</t>
  </si>
  <si>
    <t>-660.37263080428 56.2095014248573 -530.065541582465</t>
  </si>
  <si>
    <t>-636.855824625335 208.515552982862 -505.823432406996</t>
  </si>
  <si>
    <t>-593.691005674746 235.981456781808 -228.405056571056</t>
  </si>
  <si>
    <t>-372.763632356727 167.64738083638 -206.723697074185</t>
  </si>
  <si>
    <t>-606.071666541234 131.418747882972 -97.4777165327555</t>
  </si>
  <si>
    <t>-631.387607465967 142.819077403044 317.168758504371</t>
  </si>
  <si>
    <t>-671.224266894927 183.638754032246 776.73421204994</t>
  </si>
  <si>
    <t>-520.999727868832 186.854958598293 834.232644540629</t>
  </si>
  <si>
    <t>-602.354075801717 -72.3053439273185 322.098500407486</t>
  </si>
  <si>
    <t>-653.758081325617 -105.244014239252 781.211339931388</t>
  </si>
  <si>
    <t>-499.480254231063 -119.309456027579 824.620257399979</t>
  </si>
  <si>
    <t>9763-20170724T115602.359685100.bin</t>
  </si>
  <si>
    <t>-599.460961112179 38.7160636436201 -93.5106509873257</t>
  </si>
  <si>
    <t>-618.438461572659 34.6758033356523 -202.510831288802</t>
  </si>
  <si>
    <t>-630.931914731469 31.7523728470892 -294.495515181338</t>
  </si>
  <si>
    <t>-641.767288699562 29.2349659726146 -377.648372784151</t>
  </si>
  <si>
    <t>-651.586787420801 26.8740152005664 -460.93193853047</t>
  </si>
  <si>
    <t>-664.827773175713 23.5908468448522 -582.82868838514</t>
  </si>
  <si>
    <t>-654.815289220752 24.691458712221 -660.538149574036</t>
  </si>
  <si>
    <t>-660.827266081306 56.3338564809546 -529.98793526637</t>
  </si>
  <si>
    <t>-637.221017126037 208.615013023021 -505.706435563363</t>
  </si>
  <si>
    <t>-594.172704487362 236.089150914064 -228.270749793084</t>
  </si>
  <si>
    <t>-373.332409449935 167.477555593555 -206.57859525611</t>
  </si>
  <si>
    <t>-606.060998490453 131.275832045493 -97.4578005007653</t>
  </si>
  <si>
    <t>-631.358676228817 142.762926952611 317.187445505425</t>
  </si>
  <si>
    <t>-671.222873434066 183.663038948705 776.737633034134</t>
  </si>
  <si>
    <t>-520.995979433901 186.723273558939 834.238479268395</t>
  </si>
  <si>
    <t>-602.416775048763 -72.4126940929648 322.090177454222</t>
  </si>
  <si>
    <t>-653.758250192588 -105.228937213118 781.211359584683</t>
  </si>
  <si>
    <t>-499.457004972506 -119.07093378562 824.609002184272</t>
  </si>
  <si>
    <t>9763-20170724T115602.426867200.bin</t>
  </si>
  <si>
    <t>-599.584460108074 38.429523416045 -93.5116808446124</t>
  </si>
  <si>
    <t>-618.613994917118 34.4086015894859 -202.503428524785</t>
  </si>
  <si>
    <t>-631.256296659634 31.5765549500047 -294.470724783538</t>
  </si>
  <si>
    <t>-642.26821729038 29.172671626422 -377.603690312306</t>
  </si>
  <si>
    <t>-652.306643963948 26.9560395696201 -460.86504650012</t>
  </si>
  <si>
    <t>-665.914016258778 23.9184133689255 -582.727741728351</t>
  </si>
  <si>
    <t>-656.002022962713 25.160361717305 -660.448015982976</t>
  </si>
  <si>
    <t>-661.759184187003 56.5545988970948 -529.833081236861</t>
  </si>
  <si>
    <t>-638.103055044566 208.808196250716 -505.418985502741</t>
  </si>
  <si>
    <t>-594.995442289763 236.039823700975 -227.968577487637</t>
  </si>
  <si>
    <t>-374.194187344772 167.316611453333 -206.232258557636</t>
  </si>
  <si>
    <t>-606.17605931835 130.93960629976 -97.4427618117721</t>
  </si>
  <si>
    <t>-631.370002295446 142.571015229663 317.204744370527</t>
  </si>
  <si>
    <t>-671.251054824819 183.573323111697 776.745649351604</t>
  </si>
  <si>
    <t>-521.028250293457 186.849289415763 834.245098520989</t>
  </si>
  <si>
    <t>-602.503446281151 -72.6300830083994 322.06479090479</t>
  </si>
  <si>
    <t>-653.746458088859 -105.268597151969 781.210923004014</t>
  </si>
  <si>
    <t>-499.468535042754 -119.316175095607 824.625353537313</t>
  </si>
  <si>
    <t>9763-20170724T115602.457951800.bin</t>
  </si>
  <si>
    <t>-599.623324319979 38.3406686744681 -93.514629293987</t>
  </si>
  <si>
    <t>-618.680784630286 34.2991475530412 -202.500744154337</t>
  </si>
  <si>
    <t>-631.363967070568 31.5024946071128 -294.463566181248</t>
  </si>
  <si>
    <t>-642.419672359267 29.1514136819706 -377.592136629169</t>
  </si>
  <si>
    <t>-652.508722228955 27.0088208802613 -460.849377219173</t>
  </si>
  <si>
    <t>-666.197525076845 24.1027706121945 -582.706330062854</t>
  </si>
  <si>
    <t>-656.296501944339 25.4337950733789 -660.426318457433</t>
  </si>
  <si>
    <t>-662.016712511344 56.681269859612 -529.777935869628</t>
  </si>
  <si>
    <t>-638.397076343402 208.924500337323 -505.28668176488</t>
  </si>
  <si>
    <t>-595.256703494949 235.968643990783 -227.822944901807</t>
  </si>
  <si>
    <t>-374.403200935996 167.430801676357 -206.032619429242</t>
  </si>
  <si>
    <t>-606.28118264022 130.812316131146 -97.4506428477893</t>
  </si>
  <si>
    <t>-631.396768045947 142.524604549843 317.199359568514</t>
  </si>
  <si>
    <t>-671.261673019215 183.540157207425 776.745478401418</t>
  </si>
  <si>
    <t>-521.03909979057 186.828414936484 834.244876136459</t>
  </si>
  <si>
    <t>-602.517828894659 -72.6912162396302 322.070695663018</t>
  </si>
  <si>
    <t>-653.744359464673 -105.299315968883 781.213249032596</t>
  </si>
  <si>
    <t>-499.462519031861 -119.293299778137 824.631125396204</t>
  </si>
  <si>
    <t>9763-20170724T115602.529647000.bin</t>
  </si>
  <si>
    <t>-599.705994236886 38.1639238048756 -93.5310679244747</t>
  </si>
  <si>
    <t>-618.85686178565 34.0842352745399 -202.499363954637</t>
  </si>
  <si>
    <t>-631.628525189735 31.3615378199213 -294.452102610639</t>
  </si>
  <si>
    <t>-642.767796348607 29.1187997306315 -377.572700534545</t>
  </si>
  <si>
    <t>-652.944060941311 27.1268499446542 -460.822995922408</t>
  </si>
  <si>
    <t>-666.764255889144 24.4875677303939 -582.670995873918</t>
  </si>
  <si>
    <t>-656.887906177314 25.9835109106664 -660.391337981017</t>
  </si>
  <si>
    <t>-662.5650317443 56.9479781946204 -529.671696407955</t>
  </si>
  <si>
    <t>-639.139526642063 209.192363721149 -504.963046762067</t>
  </si>
  <si>
    <t>-595.89776255474 235.830343337869 -227.475832037999</t>
  </si>
  <si>
    <t>-374.91078742343 167.631391245976 -205.977138709021</t>
  </si>
  <si>
    <t>-606.491465131348 130.587513234659 -97.4709793067296</t>
  </si>
  <si>
    <t>-631.438274262229 142.426221773115 317.185617552206</t>
  </si>
  <si>
    <t>-671.265376230554 183.552023795979 776.736696703174</t>
  </si>
  <si>
    <t>-521.041971213764 186.633555933803 834.245468522996</t>
  </si>
  <si>
    <t>-602.49630035628 -72.8141049098163 322.073859744683</t>
  </si>
  <si>
    <t>-653.73858933097 -105.30008990259 781.214318660135</t>
  </si>
  <si>
    <t>-499.436016143632 -119.0738881874 824.628916976847</t>
  </si>
  <si>
    <t>9763-20170724T115602.591028800.bin</t>
  </si>
  <si>
    <t>-599.780886838832 37.939617006135 -93.5492441169554</t>
  </si>
  <si>
    <t>-619.082742269402 33.8058917596522 -202.488830311255</t>
  </si>
  <si>
    <t>-631.997058397149 31.1339457430113 -294.423161543095</t>
  </si>
  <si>
    <t>-643.271127711065 28.974958896099 -377.527776091675</t>
  </si>
  <si>
    <t>-653.588150326675 27.1053931801046 -460.763678232295</t>
  </si>
  <si>
    <t>-667.620716530988 24.6869761898697 -582.59205512622</t>
  </si>
  <si>
    <t>-657.758023314371 26.3366331654036 -660.310785287908</t>
  </si>
  <si>
    <t>-663.356092683766 57.0496324165615 -529.538161694499</t>
  </si>
  <si>
    <t>-640.157668246093 209.301403039504 -504.66133371237</t>
  </si>
  <si>
    <t>-597.020014880164 235.584209748553 -227.123934388541</t>
  </si>
  <si>
    <t>-375.850783681789 167.812535257812 -206.154834650672</t>
  </si>
  <si>
    <t>-606.671160308522 130.359428562481 -97.5019567583788</t>
  </si>
  <si>
    <t>-631.443812236393 142.286087288743 317.162596561898</t>
  </si>
  <si>
    <t>-671.267473766331 183.545593583986 776.717057260955</t>
  </si>
  <si>
    <t>-521.048346368227 186.69575828266 834.233331121404</t>
  </si>
  <si>
    <t>-602.460403123064 -72.9662042006678 322.080350463769</t>
  </si>
  <si>
    <t>-653.743329104067 -105.317153051995 781.218077538789</t>
  </si>
  <si>
    <t>-499.479155170957 -119.520812072274 824.630575180663</t>
  </si>
  <si>
    <t>9763-20170724T115602.622615200.bin</t>
  </si>
  <si>
    <t>-599.864227545495 37.8243809830872 -93.5529878605396</t>
  </si>
  <si>
    <t>-619.241703348943 33.6774077642867 -202.478795246862</t>
  </si>
  <si>
    <t>-632.216445606435 31.0350202336531 -294.405383207577</t>
  </si>
  <si>
    <t>-643.543726091862 28.918817746777 -377.503806915572</t>
  </si>
  <si>
    <t>-653.912594618593 27.108028686147 -460.73444505302</t>
  </si>
  <si>
    <t>-668.019260856413 24.7938335467554 -582.556423573131</t>
  </si>
  <si>
    <t>-658.15182679436 26.5300450065499 -660.272667312345</t>
  </si>
  <si>
    <t>-663.724121430471 57.1110499662962 -529.477317826698</t>
  </si>
  <si>
    <t>-640.505588192452 209.351387595151 -504.553507101612</t>
  </si>
  <si>
    <t>-597.602632291383 235.612574872018 -226.977811248378</t>
  </si>
  <si>
    <t>-376.399037728046 167.876779790108 -206.256738820047</t>
  </si>
  <si>
    <t>-606.767557602815 130.245400554599 -97.5158424330031</t>
  </si>
  <si>
    <t>-631.430307561407 142.193447056491 317.154550644167</t>
  </si>
  <si>
    <t>-671.285940108721 183.465128269328 776.699957508291</t>
  </si>
  <si>
    <t>-521.073871451742 186.807251356416 834.223759917394</t>
  </si>
  <si>
    <t>-602.458400317076 -73.0116645733694 322.082734261465</t>
  </si>
  <si>
    <t>-653.751745184813 -105.322472962818 781.21706585964</t>
  </si>
  <si>
    <t>-499.482565599901 -119.511504128158 824.616607196841</t>
  </si>
  <si>
    <t>9763-20170724T115602.655940000.bin</t>
  </si>
  <si>
    <t>-599.969449037526 37.7171427685055 -93.57467272499</t>
  </si>
  <si>
    <t>-619.422546102482 33.5594771481026 -202.486458206505</t>
  </si>
  <si>
    <t>-632.442420159821 30.9253935971819 -294.407028984729</t>
  </si>
  <si>
    <t>-643.802879899528 28.8238389748128 -377.501229841597</t>
  </si>
  <si>
    <t>-654.197311929252 27.0346934685731 -460.729181651785</t>
  </si>
  <si>
    <t>-668.333096655998 24.7591113611161 -582.548397343514</t>
  </si>
  <si>
    <t>-658.456713182845 26.5634462434723 -660.262096137421</t>
  </si>
  <si>
    <t>-664.010297063232 57.0602767190412 -529.461802313541</t>
  </si>
  <si>
    <t>-640.688271044407 209.284381621365 -504.50748960612</t>
  </si>
  <si>
    <t>-598.160399267296 235.574229488235 -226.876745827998</t>
  </si>
  <si>
    <t>-377.027702596379 167.561324078099 -206.307343763738</t>
  </si>
  <si>
    <t>-606.880056923183 130.138092055188 -97.5317120335601</t>
  </si>
  <si>
    <t>-631.450500760715 142.105431627452 317.143720605505</t>
  </si>
  <si>
    <t>-671.309125465585 183.386335818768 776.694604294127</t>
  </si>
  <si>
    <t>-521.098797904382 186.882773906534 834.213889012696</t>
  </si>
  <si>
    <t>-602.493853853383 -73.0381126347686 322.079670414433</t>
  </si>
  <si>
    <t>-653.756605520117 -105.330824757493 781.217630485585</t>
  </si>
  <si>
    <t>-499.474749571283 -119.42553330933 824.602742682896</t>
  </si>
  <si>
    <t>9763-20170724T115602.726631600.bin</t>
  </si>
  <si>
    <t>-600.193830766246 37.6257447433613 -93.6135956888228</t>
  </si>
  <si>
    <t>-619.729759393627 33.4505254842913 -202.509840191393</t>
  </si>
  <si>
    <t>-632.825954166338 30.8391863196566 -294.420235418861</t>
  </si>
  <si>
    <t>-644.257881938604 28.7736692810315 -377.505610074113</t>
  </si>
  <si>
    <t>-654.726061532249 27.0353465557964 -460.725383512958</t>
  </si>
  <si>
    <t>-668.97203947274 24.8499695993578 -582.533420757043</t>
  </si>
  <si>
    <t>-659.096847207899 26.7605636143801 -660.244662519425</t>
  </si>
  <si>
    <t>-664.536662002045 57.115549675661 -529.434373754672</t>
  </si>
  <si>
    <t>-640.739838548385 209.252330195595 -504.43477327855</t>
  </si>
  <si>
    <t>-598.995527669651 235.742451195521 -226.704198376463</t>
  </si>
  <si>
    <t>-378.33107814463 166.090669671469 -206.59561886239</t>
  </si>
  <si>
    <t>-607.058508129637 130.095755142662 -97.5717881679491</t>
  </si>
  <si>
    <t>-631.469813733084 142.085337293687 317.112385807335</t>
  </si>
  <si>
    <t>-671.307946591621 183.451693426699 776.665156091706</t>
  </si>
  <si>
    <t>-521.095731378339 186.794900435044 834.188413376177</t>
  </si>
  <si>
    <t>-602.599275652851 -73.0713870004361 322.066633417646</t>
  </si>
  <si>
    <t>-653.757626339018 -105.316509790738 781.221470855023</t>
  </si>
  <si>
    <t>-499.439232896721 -119.054772376612 824.590992012701</t>
  </si>
  <si>
    <t>9763-20170724T115602.759221900.bin</t>
  </si>
  <si>
    <t>-600.306410261801 37.6093399154774 -93.6233733281433</t>
  </si>
  <si>
    <t>-619.86594865372 33.4323195134962 -202.515388895302</t>
  </si>
  <si>
    <t>-632.986522961281 30.8317256010766 -294.422506571225</t>
  </si>
  <si>
    <t>-644.442199624221 28.7815936091176 -377.504983341133</t>
  </si>
  <si>
    <t>-654.935923335247 27.0635133477754 -460.721914745232</t>
  </si>
  <si>
    <t>-669.221047971375 24.9132543150729 -582.526020340292</t>
  </si>
  <si>
    <t>-659.342545333541 26.8437816738165 -660.236520399439</t>
  </si>
  <si>
    <t>-664.734807422068 57.1654831549893 -529.423293078112</t>
  </si>
  <si>
    <t>-640.695360913437 209.256721405817 -504.36679137585</t>
  </si>
  <si>
    <t>-599.259745637882 235.834020718521 -226.598234621265</t>
  </si>
  <si>
    <t>-378.963040442745 164.860671630495 -207.087582269945</t>
  </si>
  <si>
    <t>-607.110832579774 130.092892518039 -97.5854069462227</t>
  </si>
  <si>
    <t>-631.523837410635 142.108923113532 317.097875286524</t>
  </si>
  <si>
    <t>-671.308897482259 183.495989606579 776.652852011478</t>
  </si>
  <si>
    <t>-521.094745318162 186.805794107167 834.173120972214</t>
  </si>
  <si>
    <t>-602.711758103826 -73.073415387051 322.057295604245</t>
  </si>
  <si>
    <t>-653.758990477905 -105.307622078493 781.223790993873</t>
  </si>
  <si>
    <t>-499.423884666105 -118.865497576697 824.590607793745</t>
  </si>
  <si>
    <t>9763-20170724T115602.826903600.bin</t>
  </si>
  <si>
    <t>-600.594633395499 37.6580777303104 -93.6383172212614</t>
  </si>
  <si>
    <t>-620.195037390676 33.4960209752987 -202.523649805301</t>
  </si>
  <si>
    <t>-633.357825234293 30.9066800282303 -294.425046442502</t>
  </si>
  <si>
    <t>-644.854803708124 28.86714093569 -377.502062280278</t>
  </si>
  <si>
    <t>-655.392860589216 27.1591470633718 -460.713536645168</t>
  </si>
  <si>
    <t>-669.746103679844 25.0228893696508 -582.509861301744</t>
  </si>
  <si>
    <t>-659.857221395185 26.9463193157658 -660.219206795226</t>
  </si>
  <si>
    <t>-665.162280444949 57.2725788503892 -529.413902901469</t>
  </si>
  <si>
    <t>-640.777062766618 209.302535686551 -504.33939689492</t>
  </si>
  <si>
    <t>-599.918010138747 235.583107374233 -226.457189938987</t>
  </si>
  <si>
    <t>-380.48719799059 161.569985411348 -208.548944370045</t>
  </si>
  <si>
    <t>-607.307073034151 130.178673672081 -97.6259731356329</t>
  </si>
  <si>
    <t>-631.627163259719 142.161398297678 317.063672546211</t>
  </si>
  <si>
    <t>-671.337068605375 183.468080683861 776.632922178828</t>
  </si>
  <si>
    <t>-521.117502872416 186.76792107762 834.139610568171</t>
  </si>
  <si>
    <t>-602.921119074088 -72.9950897762028 322.046265728507</t>
  </si>
  <si>
    <t>-653.743666691999 -105.373051087446 781.233710943247</t>
  </si>
  <si>
    <t>-499.470989648982 -119.491950309686 824.643647565581</t>
  </si>
  <si>
    <t>9763-20170724T115602.857400000.bin</t>
  </si>
  <si>
    <t>-600.758008424383 37.7033133077557 -93.6504516119386</t>
  </si>
  <si>
    <t>-620.369588034328 33.5574663254913 -202.534323234702</t>
  </si>
  <si>
    <t>-633.530541405398 30.9814383092858 -294.436475514397</t>
  </si>
  <si>
    <t>-645.021343521203 28.9544273611475 -377.514623914853</t>
  </si>
  <si>
    <t>-655.548478582329 27.2590710287277 -460.727765874682</t>
  </si>
  <si>
    <t>-669.880668567968 25.1406967681726 -582.526973289176</t>
  </si>
  <si>
    <t>-659.962239384009 27.0559232519768 -660.232508075882</t>
  </si>
  <si>
    <t>-665.265137552862 57.3848767682928 -529.430277802506</t>
  </si>
  <si>
    <t>-640.690823400068 209.38106920716 -504.330154474052</t>
  </si>
  <si>
    <t>-600.232842671955 235.455661063594 -226.370135512843</t>
  </si>
  <si>
    <t>-381.199233443595 160.106287065047 -209.186597305916</t>
  </si>
  <si>
    <t>-607.410623325738 130.27467219072 -97.6408873709836</t>
  </si>
  <si>
    <t>-631.694875692496 142.224263372223 317.051858161327</t>
  </si>
  <si>
    <t>-671.336262851042 183.527770782501 776.624121259942</t>
  </si>
  <si>
    <t>-521.112274176879 186.652293072173 834.129022579665</t>
  </si>
  <si>
    <t>-603.004360903743 -72.9386359123496 322.040587552591</t>
  </si>
  <si>
    <t>-653.731838925808 -105.329735208737 781.235745287665</t>
  </si>
  <si>
    <t>-499.437420287044 -119.183911038001 824.653713277022</t>
  </si>
  <si>
    <t>9763-20170724T115602.928107100.bin</t>
  </si>
  <si>
    <t>-601.055856171275 37.9076678331653 -93.6810762602029</t>
  </si>
  <si>
    <t>-620.673763995664 33.7695723468803 -202.564182903632</t>
  </si>
  <si>
    <t>-633.774830231385 31.2178387898471 -294.475374289806</t>
  </si>
  <si>
    <t>-645.185120304094 29.220527690014 -377.565369338132</t>
  </si>
  <si>
    <t>-655.605141214307 27.5610731755385 -460.792782885894</t>
  </si>
  <si>
    <t>-669.751219287993 25.5021155520108 -582.614727923087</t>
  </si>
  <si>
    <t>-659.734473134454 27.4211163588454 -660.307662374877</t>
  </si>
  <si>
    <t>-665.148458004279 57.7238308289388 -529.503353527129</t>
  </si>
  <si>
    <t>-640.228403030389 209.644914196768 -504.288608517106</t>
  </si>
  <si>
    <t>-600.617023542432 235.687242676629 -226.203529192619</t>
  </si>
  <si>
    <t>-382.30713613092 157.967317355597 -210.425609388329</t>
  </si>
  <si>
    <t>-607.634817558648 130.525206375329 -97.677778807174</t>
  </si>
  <si>
    <t>-631.90715598183 142.388366299395 317.018187664515</t>
  </si>
  <si>
    <t>-671.352358013959 183.56421361642 776.623702379001</t>
  </si>
  <si>
    <t>-521.12212054581 186.794744464602 834.10638018882</t>
  </si>
  <si>
    <t>-603.203671628882 -72.7631361661026 322.030927330269</t>
  </si>
  <si>
    <t>-653.708642223456 -105.311260529353 781.242433141398</t>
  </si>
  <si>
    <t>-499.405608015553 -118.975814903127 824.689807727346</t>
  </si>
  <si>
    <t>9763-20170724T115602.960287300.bin</t>
  </si>
  <si>
    <t>-601.198261960702 38.0543416902221 -93.6926320842406</t>
  </si>
  <si>
    <t>-620.793481623918 33.9285011149668 -202.58012956893</t>
  </si>
  <si>
    <t>-633.857735379525 31.3882471863451 -294.497041676817</t>
  </si>
  <si>
    <t>-645.227544715287 29.4019660438489 -377.592874647377</t>
  </si>
  <si>
    <t>-655.5997783071 27.7537918859089 -460.826509721387</t>
  </si>
  <si>
    <t>-669.667890068172 25.7114953025232 -582.657694885398</t>
  </si>
  <si>
    <t>-659.594829642741 27.6420300828568 -660.34310417439</t>
  </si>
  <si>
    <t>-665.071559597572 57.9272297419077 -529.542162159535</t>
  </si>
  <si>
    <t>-640.018103524521 209.821950417753 -504.29050425475</t>
  </si>
  <si>
    <t>-600.813088728703 235.949602740302 -226.15592104961</t>
  </si>
  <si>
    <t>-382.776767355369 157.393079560261 -210.742786295973</t>
  </si>
  <si>
    <t>-607.748138015675 130.704793911283 -97.6898715381069</t>
  </si>
  <si>
    <t>-631.985722380479 142.523558536828 317.009385400265</t>
  </si>
  <si>
    <t>-671.357702344217 183.613215900048 776.628916472118</t>
  </si>
  <si>
    <t>-521.120436405788 186.647337519728 834.103986446863</t>
  </si>
  <si>
    <t>-603.309609819696 -72.6375207814021 322.016167698553</t>
  </si>
  <si>
    <t>-653.692530150048 -105.33259277285 781.241749461656</t>
  </si>
  <si>
    <t>-499.427184767376 -119.307108095737 824.72440658551</t>
  </si>
  <si>
    <t>9763-20170724T115603.024978100.bin</t>
  </si>
  <si>
    <t>-601.506022841818 38.2717791460605 -93.6910960814176</t>
  </si>
  <si>
    <t>-621.085956387384 34.1886435823474 -202.583102572254</t>
  </si>
  <si>
    <t>-634.082152091033 31.6641284447558 -294.509985704078</t>
  </si>
  <si>
    <t>-645.368367736711 29.6847461944767 -377.617338562426</t>
  </si>
  <si>
    <t>-655.634635294315 28.0350332343401 -460.864046735904</t>
  </si>
  <si>
    <t>-669.523207627634 25.9810741032456 -582.715760301765</t>
  </si>
  <si>
    <t>-659.294364306877 27.9042931025792 -660.381020755694</t>
  </si>
  <si>
    <t>-664.940660128683 58.2050745988543 -529.603979735629</t>
  </si>
  <si>
    <t>-639.515562568728 210.033934944024 -504.330711196379</t>
  </si>
  <si>
    <t>-601.484859678639 236.488342050297 -226.063738146336</t>
  </si>
  <si>
    <t>-383.944689299649 156.486694370567 -211.079015194422</t>
  </si>
  <si>
    <t>-607.968900499444 130.911360666472 -97.6692396696163</t>
  </si>
  <si>
    <t>-632.203068145466 142.635619095787 317.032876981173</t>
  </si>
  <si>
    <t>-671.408421548366 183.522816074356 776.660439800896</t>
  </si>
  <si>
    <t>-521.161532503672 186.754307450818 834.099561819233</t>
  </si>
  <si>
    <t>-603.505099165928 -72.4216224154145 321.999523032757</t>
  </si>
  <si>
    <t>-653.659194677074 -105.311617891673 781.245227112173</t>
  </si>
  <si>
    <t>-499.395995310674 -119.172292791578 824.771864784573</t>
  </si>
  <si>
    <t>9763-20170724T115603.058570200.bin</t>
  </si>
  <si>
    <t>-601.64280067908 38.3541404781049 -93.6989571074653</t>
  </si>
  <si>
    <t>-621.218052863736 34.297958788814 -202.592762629438</t>
  </si>
  <si>
    <t>-634.198314981112 31.7864807475491 -294.522231320741</t>
  </si>
  <si>
    <t>-645.465339057698 29.8158503506775 -377.632545511808</t>
  </si>
  <si>
    <t>-655.707561082108 28.1712894072668 -460.882296747585</t>
  </si>
  <si>
    <t>-669.555658100322 26.1206386197412 -582.738559914176</t>
  </si>
  <si>
    <t>-659.254696789478 28.0274802614915 -660.394699875326</t>
  </si>
  <si>
    <t>-664.95821788396 58.3447857360181 -529.628036402773</t>
  </si>
  <si>
    <t>-639.312279829321 210.124389755593 -504.292860673044</t>
  </si>
  <si>
    <t>-601.874698498929 236.778715824141 -225.964713738926</t>
  </si>
  <si>
    <t>-384.493180346252 156.353551913409 -210.944681315692</t>
  </si>
  <si>
    <t>-608.043299391125 131.027779769352 -97.6735140132882</t>
  </si>
  <si>
    <t>-632.314527032735 142.683757697547 317.028387773048</t>
  </si>
  <si>
    <t>-671.421982165822 183.525419970842 776.67521399811</t>
  </si>
  <si>
    <t>-521.171900026972 186.864087433185 834.099771737444</t>
  </si>
  <si>
    <t>-603.598861349979 -72.3520811362332 321.987967185211</t>
  </si>
  <si>
    <t>-653.646036444957 -105.312854453684 781.244408065703</t>
  </si>
  <si>
    <t>-499.393074513697 -119.235002884888 824.787703356793</t>
  </si>
  <si>
    <t>9763-20170724T115603.128258300.bin</t>
  </si>
  <si>
    <t>-601.881939134568 38.5859495117199 -93.712632262336</t>
  </si>
  <si>
    <t>-621.440606383146 34.5698023670059 -202.610804801244</t>
  </si>
  <si>
    <t>-634.393587192667 32.0729179174475 -294.544637559767</t>
  </si>
  <si>
    <t>-645.630706338025 30.10872906545 -377.659086303356</t>
  </si>
  <si>
    <t>-655.837600624347 28.4630201409766 -460.913098482056</t>
  </si>
  <si>
    <t>-669.62814761715 26.4021707250436 -582.775766502155</t>
  </si>
  <si>
    <t>-659.185294136637 28.2585956206824 -660.414129859348</t>
  </si>
  <si>
    <t>-664.99570450132 58.633303121303 -529.67274566282</t>
  </si>
  <si>
    <t>-639.129134715509 210.365396345248 -504.274842792021</t>
  </si>
  <si>
    <t>-602.752173701174 237.235960336926 -225.826943566326</t>
  </si>
  <si>
    <t>-385.594965412672 156.177046839681 -210.969806061878</t>
  </si>
  <si>
    <t>-608.159765231777 131.396010989286 -97.6852758892855</t>
  </si>
  <si>
    <t>-632.441937220624 142.92822631873 317.019418731832</t>
  </si>
  <si>
    <t>-671.406210023226 183.707411006739 776.699711555078</t>
  </si>
  <si>
    <t>-521.142287430759 186.55736902274 834.114508173522</t>
  </si>
  <si>
    <t>-603.745192711499 -72.2099218264161 321.963402084698</t>
  </si>
  <si>
    <t>-653.624120183154 -105.278849435836 781.240055407339</t>
  </si>
  <si>
    <t>-499.360933268549 -119.009596283714 824.808018535376</t>
  </si>
  <si>
    <t>9763-20170724T115603.159848500.bin</t>
  </si>
  <si>
    <t>-601.92205185598 38.6829161715079 -93.7033956676974</t>
  </si>
  <si>
    <t>-621.50206226381 34.6773852461899 -202.598210331832</t>
  </si>
  <si>
    <t>-634.451873960867 32.1838802313687 -294.53248068877</t>
  </si>
  <si>
    <t>-645.677466622015 30.2210762008542 -377.648465633252</t>
  </si>
  <si>
    <t>-655.864239967596 28.5743098367902 -460.904987790426</t>
  </si>
  <si>
    <t>-669.615799322291 26.5091932961789 -582.771968494249</t>
  </si>
  <si>
    <t>-659.119682073088 28.356255486993 -660.403411774093</t>
  </si>
  <si>
    <t>-664.974893284299 58.7433426298567 -529.671516281339</t>
  </si>
  <si>
    <t>-639.021699705365 210.451502165895 -504.215820675042</t>
  </si>
  <si>
    <t>-603.178166457937 237.448199991199 -225.710819772513</t>
  </si>
  <si>
    <t>-386.09348157758 156.193156468527 -210.865420414845</t>
  </si>
  <si>
    <t>-608.176706694915 131.511489411105 -97.6758346948496</t>
  </si>
  <si>
    <t>-632.44465183649 142.969694095639 317.031696832518</t>
  </si>
  <si>
    <t>-671.41850020001 183.683456013264 776.708553029019</t>
  </si>
  <si>
    <t>-521.152285213223 186.555539237223 834.116219455532</t>
  </si>
  <si>
    <t>-603.743074690352 -72.127786417273 321.966698940316</t>
  </si>
  <si>
    <t>-653.622419810917 -105.290218459927 781.242480432253</t>
  </si>
  <si>
    <t>-499.40374806994 -119.456985891983 824.828359042102</t>
  </si>
  <si>
    <t>9763-20170724T115603.228531700.bin</t>
  </si>
  <si>
    <t>-601.991901952263 38.7871630857776 -93.7041718257132</t>
  </si>
  <si>
    <t>-621.627816729853 34.7753055468193 -202.588753558995</t>
  </si>
  <si>
    <t>-634.55404231264 32.2643006650183 -294.525864486038</t>
  </si>
  <si>
    <t>-645.729912425114 30.2797336448837 -377.648065004514</t>
  </si>
  <si>
    <t>-655.838190995514 28.6050370160231 -460.913612450318</t>
  </si>
  <si>
    <t>-669.443377057398 26.491736268071 -582.796138726994</t>
  </si>
  <si>
    <t>-658.850386776771 28.3490141856453 -660.414111016744</t>
  </si>
  <si>
    <t>-664.826395830762 58.7487111504615 -529.707381497455</t>
  </si>
  <si>
    <t>-638.768580557081 210.42779949564 -504.155909564094</t>
  </si>
  <si>
    <t>-604.093051990151 237.543102374719 -225.514635262072</t>
  </si>
  <si>
    <t>-387.105086095408 156.103608303486 -210.271473380598</t>
  </si>
  <si>
    <t>-608.285422864649 131.660173822681 -97.669617629527</t>
  </si>
  <si>
    <t>-632.492829237019 143.000281394175 317.044790592164</t>
  </si>
  <si>
    <t>-671.440038059352 183.643098783021 776.731221983967</t>
  </si>
  <si>
    <t>-521.170179924302 186.467001087744 834.131871446775</t>
  </si>
  <si>
    <t>-603.609003746737 -72.0293083364647 321.977570732599</t>
  </si>
  <si>
    <t>-653.62198036879 -105.275574767719 781.235189084112</t>
  </si>
  <si>
    <t>-499.412311222764 -119.574422115208 824.809868526647</t>
  </si>
  <si>
    <t>9763-20170724T115603.260127600.bin</t>
  </si>
  <si>
    <t>-602.018194719307 38.8121906832887 -93.7019091715932</t>
  </si>
  <si>
    <t>-621.686666493347 34.7979253519622 -202.580407256875</t>
  </si>
  <si>
    <t>-634.60061992455 32.2798057775994 -294.519117310713</t>
  </si>
  <si>
    <t>-645.749234242671 30.2866957502313 -377.644749646025</t>
  </si>
  <si>
    <t>-655.81409715522 28.6009246881245 -460.915331407074</t>
  </si>
  <si>
    <t>-669.338124677976 26.4680830824823 -582.806692130185</t>
  </si>
  <si>
    <t>-658.713762270418 28.3433960536056 -660.419847494945</t>
  </si>
  <si>
    <t>-664.75844817069 58.7333269397689 -529.719765593049</t>
  </si>
  <si>
    <t>-638.701596980964 210.397626446668 -504.114627958756</t>
  </si>
  <si>
    <t>-604.600624420385 237.470482332902 -225.398359130517</t>
  </si>
  <si>
    <t>-387.677905218591 155.862315415515 -210.128517619401</t>
  </si>
  <si>
    <t>-608.362964481119 131.67590630765 -97.6590449697494</t>
  </si>
  <si>
    <t>-632.539182510746 142.994668868578 317.057726880565</t>
  </si>
  <si>
    <t>-671.449444415202 183.624808417891 776.748002905315</t>
  </si>
  <si>
    <t>-521.178355612298 186.553107649734 834.140062475051</t>
  </si>
  <si>
    <t>-603.545256131705 -71.9763773692662 321.978877227125</t>
  </si>
  <si>
    <t>-653.632915223092 -105.213703457036 781.229784419314</t>
  </si>
  <si>
    <t>-499.383990291947 -119.170458625852 824.776333587736</t>
  </si>
  <si>
    <t>9763-20170724T115603.329318100.bin</t>
  </si>
  <si>
    <t>-602.137343800615 38.8043020570635 -93.7019517504383</t>
  </si>
  <si>
    <t>-621.863189392984 34.7877140399733 -202.570080031665</t>
  </si>
  <si>
    <t>-634.762475152038 32.2728316838402 -294.510969993011</t>
  </si>
  <si>
    <t>-645.872289402148 30.2831229931071 -377.64170656773</t>
  </si>
  <si>
    <t>-655.872858068688 28.6014134082347 -460.920132230802</t>
  </si>
  <si>
    <t>-669.274570539642 26.4756889362118 -582.825104276728</t>
  </si>
  <si>
    <t>-658.651124088238 28.3967639483963 -660.437389889508</t>
  </si>
  <si>
    <t>-664.776200731012 58.7367287017287 -529.728636268356</t>
  </si>
  <si>
    <t>-639.015302828145 210.441945871415 -504.055264864721</t>
  </si>
  <si>
    <t>-605.725170917248 237.382735555408 -225.228143655795</t>
  </si>
  <si>
    <t>-388.776099842277 155.820035751651 -210.089967106559</t>
  </si>
  <si>
    <t>-608.61153046036 131.625959995999 -97.6302020793211</t>
  </si>
  <si>
    <t>-632.627432305235 142.951984361266 317.095635660439</t>
  </si>
  <si>
    <t>-671.466680952943 183.565995366678 776.781808050252</t>
  </si>
  <si>
    <t>-521.191540725861 186.479764888175 834.163922537545</t>
  </si>
  <si>
    <t>-603.433670182509 -71.9070068054411 321.968947217999</t>
  </si>
  <si>
    <t>-653.656126800021 -105.136346950531 781.213953671464</t>
  </si>
  <si>
    <t>-499.352402207001 -118.678373729028 824.697204754988</t>
  </si>
  <si>
    <t>9763-20170724T115603.358398800.bin</t>
  </si>
  <si>
    <t>-602.234907492809 38.7674776976835 -93.6991098433882</t>
  </si>
  <si>
    <t>-621.983483250639 34.7378880289068 -202.562705404876</t>
  </si>
  <si>
    <t>-634.901923790282 32.2386763912448 -294.501109346665</t>
  </si>
  <si>
    <t>-646.029062674101 30.2728504925144 -377.63035741347</t>
  </si>
  <si>
    <t>-656.046728146683 28.6256482836939 -460.907439717861</t>
  </si>
  <si>
    <t>-669.473278917674 26.5616906008879 -582.810608092402</t>
  </si>
  <si>
    <t>-658.882907476838 28.5222021716429 -660.426366150496</t>
  </si>
  <si>
    <t>-664.98642402077 58.7947877525473 -529.696194583726</t>
  </si>
  <si>
    <t>-639.366542759142 210.509415509335 -503.941517855787</t>
  </si>
  <si>
    <t>-606.287116201789 237.319224653728 -225.076834519802</t>
  </si>
  <si>
    <t>-389.270622761506 155.920216100908 -210.024305511629</t>
  </si>
  <si>
    <t>-608.795988845122 131.519244150326 -97.6169973177939</t>
  </si>
  <si>
    <t>-632.710084089803 142.894978997121 317.11341636329</t>
  </si>
  <si>
    <t>-671.487304462165 183.487084681909 776.805821500767</t>
  </si>
  <si>
    <t>-521.212795864396 186.510416445622 834.18392031925</t>
  </si>
  <si>
    <t>-603.388576211304 -71.8674634811352 321.972637422272</t>
  </si>
  <si>
    <t>-653.668453055914 -105.174090696535 781.206791289948</t>
  </si>
  <si>
    <t>-499.406707522452 -119.210959074316 824.682165697944</t>
  </si>
  <si>
    <t>9763-20170724T115603.423573700.bin</t>
  </si>
  <si>
    <t>-602.373480775741 38.7615954792768 -93.6707264596843</t>
  </si>
  <si>
    <t>-622.132593460735 34.7243713111463 -202.531995833059</t>
  </si>
  <si>
    <t>-635.00106157142 32.2715040085291 -294.478775454905</t>
  </si>
  <si>
    <t>-646.059220348142 30.3673474160089 -377.618659305067</t>
  </si>
  <si>
    <t>-655.983914696257 28.8029337360588 -460.908464352156</t>
  </si>
  <si>
    <t>-669.248185055623 26.8833236585047 -582.831701172874</t>
  </si>
  <si>
    <t>-658.640825226305 28.9462143011651 -660.442610370943</t>
  </si>
  <si>
    <t>-664.901674116932 59.0504875879803 -529.66568927557</t>
  </si>
  <si>
    <t>-639.624529229696 210.776045012413 -503.651642097654</t>
  </si>
  <si>
    <t>-606.933236562455 237.198207386367 -224.704064321464</t>
  </si>
  <si>
    <t>-389.730427482051 156.26833241539 -209.810373104942</t>
  </si>
  <si>
    <t>-609.061622950743 131.388516729738 -97.5657926319788</t>
  </si>
  <si>
    <t>-632.824887574094 142.887389107801 317.169906703436</t>
  </si>
  <si>
    <t>-671.485843083109 183.529202786371 776.861312117335</t>
  </si>
  <si>
    <t>-521.205490734044 186.396727081917 834.232140039583</t>
  </si>
  <si>
    <t>-603.396640565116 -71.7178567020624 321.98783851553</t>
  </si>
  <si>
    <t>-653.702869606057 -105.177345606602 781.1910138047</t>
  </si>
  <si>
    <t>-499.410838851977 -119.064891920654 824.60684062346</t>
  </si>
  <si>
    <t>9763-20170724T115603.460673600.bin</t>
  </si>
  <si>
    <t>-602.413210801464 38.7253647244149 -93.6581294135921</t>
  </si>
  <si>
    <t>-622.124326211239 34.6850172492525 -202.527902919352</t>
  </si>
  <si>
    <t>-634.941340654158 32.2510776444815 -294.482562859991</t>
  </si>
  <si>
    <t>-645.948459591645 30.3722354608219 -377.62961321434</t>
  </si>
  <si>
    <t>-655.817613587789 28.8417368324594 -460.926707623021</t>
  </si>
  <si>
    <t>-668.995670672389 26.981269215509 -582.860265442686</t>
  </si>
  <si>
    <t>-658.374438549777 29.1042437099172 -660.467628000225</t>
  </si>
  <si>
    <t>-664.718900811771 59.1211346291773 -529.672089941552</t>
  </si>
  <si>
    <t>-639.65468533031 210.864609883314 -503.517373708494</t>
  </si>
  <si>
    <t>-607.138783268425 237.035703404982 -224.525648923147</t>
  </si>
  <si>
    <t>-389.86332662858 156.243429530256 -209.947828938771</t>
  </si>
  <si>
    <t>-609.158025200586 131.245382128431 -97.5377925267496</t>
  </si>
  <si>
    <t>-632.893992905663 142.832570004099 317.197057362091</t>
  </si>
  <si>
    <t>-671.50365516522 183.465131507402 776.889156680208</t>
  </si>
  <si>
    <t>-521.221618318747 186.413239335074 834.251578372821</t>
  </si>
  <si>
    <t>-603.420745984567 -71.6918882973905 321.991773397932</t>
  </si>
  <si>
    <t>-653.728670265013 -105.192127834372 781.184189344971</t>
  </si>
  <si>
    <t>-499.424046432299 -119.059764463326 824.561595747896</t>
  </si>
  <si>
    <t>9763-20170724T115603.526350300.bin</t>
  </si>
  <si>
    <t>-602.274932178225 38.587299686995 -93.5950790873449</t>
  </si>
  <si>
    <t>-621.944926029096 34.535208206476 -202.471989661977</t>
  </si>
  <si>
    <t>-634.701946517121 32.1444980134365 -294.435910323265</t>
  </si>
  <si>
    <t>-645.644420283658 30.3242950380541 -377.593004472712</t>
  </si>
  <si>
    <t>-655.438332086317 28.8732444835457 -460.900287866059</t>
  </si>
  <si>
    <t>-668.494655662465 27.1518142669763 -582.84894661638</t>
  </si>
  <si>
    <t>-657.8359672772 29.4189071223948 -660.447085402278</t>
  </si>
  <si>
    <t>-664.335218363055 59.2278625579418 -529.613082989473</t>
  </si>
  <si>
    <t>-639.66822084365 210.994854303465 -503.248105037859</t>
  </si>
  <si>
    <t>-607.586107130822 236.601949951126 -224.153778942092</t>
  </si>
  <si>
    <t>-390.049955454877 156.403690624315 -210.196913179303</t>
  </si>
  <si>
    <t>-609.211088946234 130.936551121487 -97.4795877290679</t>
  </si>
  <si>
    <t>-632.923887137525 142.692898150405 317.251789185486</t>
  </si>
  <si>
    <t>-671.500862794954 183.441012496214 776.922415365686</t>
  </si>
  <si>
    <t>-521.225168858441 186.383428056829 834.301720748745</t>
  </si>
  <si>
    <t>-603.257644545127 -71.7489712385855 322.00512292747</t>
  </si>
  <si>
    <t>-653.767647604602 -105.16895060433 781.168407046489</t>
  </si>
  <si>
    <t>-499.410406798793 -118.686243984146 824.469093134032</t>
  </si>
  <si>
    <t>9763-20170724T115603.556936700.bin</t>
  </si>
  <si>
    <t>-602.145831654225 38.424628423428 -93.5705107870815</t>
  </si>
  <si>
    <t>-621.799371332351 34.3602124674039 -202.449833613933</t>
  </si>
  <si>
    <t>-634.538520699018 31.9946809127396 -294.416948301112</t>
  </si>
  <si>
    <t>-645.46295383869 30.2105571337031 -377.577264143733</t>
  </si>
  <si>
    <t>-655.237003395319 28.8093138892193 -460.887679291034</t>
  </si>
  <si>
    <t>-668.262193979618 27.1756977761709 -582.841035815058</t>
  </si>
  <si>
    <t>-657.581730728009 29.5235308749843 -660.433720378485</t>
  </si>
  <si>
    <t>-664.151401077308 59.2118068450989 -529.577083746846</t>
  </si>
  <si>
    <t>-639.684523052125 210.988840421165 -503.079389492642</t>
  </si>
  <si>
    <t>-607.603356911783 236.363913855508 -223.963849105257</t>
  </si>
  <si>
    <t>-389.926337736417 156.531756062227 -210.10490358506</t>
  </si>
  <si>
    <t>-609.192639422257 130.71215519557 -97.4516621627004</t>
  </si>
  <si>
    <t>-632.908001201975 142.558940937035 317.276985615774</t>
  </si>
  <si>
    <t>-671.508734491067 183.368113345299 776.934519451611</t>
  </si>
  <si>
    <t>-521.244001656572 186.555617380734 834.3293391241</t>
  </si>
  <si>
    <t>-603.141103013245 -71.9184044669589 322.01062397792</t>
  </si>
  <si>
    <t>-653.781364810431 -105.187342074444 781.163982273966</t>
  </si>
  <si>
    <t>-499.442131070787 -118.948070654524 824.452325192432</t>
  </si>
  <si>
    <t>9763-20170724T115603.625621200.bin</t>
  </si>
  <si>
    <t>-601.786065106184 38.1128633473752 -93.5399163313675</t>
  </si>
  <si>
    <t>-621.456187119079 34.015278556931 -202.415162020465</t>
  </si>
  <si>
    <t>-634.195493414984 31.7134112233216 -294.383825408182</t>
  </si>
  <si>
    <t>-645.114259833058 30.0216370868218 -377.546593718527</t>
  </si>
  <si>
    <t>-654.876672858825 28.749147009386 -460.860558623794</t>
  </si>
  <si>
    <t>-667.878175735995 27.3438199403392 -582.819094082413</t>
  </si>
  <si>
    <t>-657.153022935889 29.8647859384141 -660.400339221859</t>
  </si>
  <si>
    <t>-663.85069086512 59.2762285132817 -529.486776170525</t>
  </si>
  <si>
    <t>-639.789106207956 211.066435163668 -502.686894010571</t>
  </si>
  <si>
    <t>-607.412661505485 235.907518310674 -223.557272659455</t>
  </si>
  <si>
    <t>-389.452153672871 156.766869474463 -210.196733467432</t>
  </si>
  <si>
    <t>-609.014794781908 130.399797273853 -97.4216607581774</t>
  </si>
  <si>
    <t>-632.756280195892 142.354350685298 317.302397741086</t>
  </si>
  <si>
    <t>-671.481782697067 183.383901357043 776.943417304705</t>
  </si>
  <si>
    <t>-521.236594269041 186.443952362294 834.396386659799</t>
  </si>
  <si>
    <t>-602.836595964019 -72.2563574003555 322.038718122692</t>
  </si>
  <si>
    <t>-653.78384479721 -105.221072108228 781.165373443671</t>
  </si>
  <si>
    <t>-499.449382358557 -119.040438524836 824.451790399315</t>
  </si>
  <si>
    <t>9763-20170724T115603.662740500.bin</t>
  </si>
  <si>
    <t>-601.621128316985 37.9118108801636 -93.5240326785651</t>
  </si>
  <si>
    <t>-621.316958709004 33.8046676914323 -202.394236914532</t>
  </si>
  <si>
    <t>-634.068312783124 31.5361821503407 -294.36207243461</t>
  </si>
  <si>
    <t>-644.993916771347 29.8907396560237 -377.524877612761</t>
  </si>
  <si>
    <t>-654.759108988564 28.6811928662503 -460.839426722539</t>
  </si>
  <si>
    <t>-667.760077790368 27.3863220118812 -582.799333330115</t>
  </si>
  <si>
    <t>-657.030731325725 29.983329397732 -660.377449735884</t>
  </si>
  <si>
    <t>-663.754789350173 59.2693167856123 -529.43571004199</t>
  </si>
  <si>
    <t>-639.977038387318 211.083717898111 -502.531810271512</t>
  </si>
  <si>
    <t>-607.229293597779 235.64548630531 -223.420929036001</t>
  </si>
  <si>
    <t>-389.108398845293 156.898445448109 -210.355520034246</t>
  </si>
  <si>
    <t>-608.894723222124 130.229725964728 -97.4008726526648</t>
  </si>
  <si>
    <t>-632.648187458033 142.24083372617 317.320818716587</t>
  </si>
  <si>
    <t>-671.470111419121 183.388236760831 776.943736003714</t>
  </si>
  <si>
    <t>-521.235522720615 186.43152496392 834.425334624501</t>
  </si>
  <si>
    <t>-602.718631034802 -72.4388338668127 322.0510856329</t>
  </si>
  <si>
    <t>-653.784473262746 -105.224277866201 781.174064526173</t>
  </si>
  <si>
    <t>-499.454102693642 -119.087494553529 824.461114583183</t>
  </si>
  <si>
    <t>9763-20170724T115603.726914400.bin</t>
  </si>
  <si>
    <t>-601.372056722559 37.4097164858727 -93.5121092163793</t>
  </si>
  <si>
    <t>-621.09104344612 33.3251859134582 -202.378940717027</t>
  </si>
  <si>
    <t>-633.830714137116 31.1282685270467 -294.350153431532</t>
  </si>
  <si>
    <t>-644.7329945049 29.5679769031731 -377.517685032683</t>
  </si>
  <si>
    <t>-654.462016947431 28.4645892950875 -460.837922301127</t>
  </si>
  <si>
    <t>-667.396065694381 27.3476842491646 -582.806711059935</t>
  </si>
  <si>
    <t>-656.650337292912 30.0810693717765 -660.377855049328</t>
  </si>
  <si>
    <t>-663.449582281643 59.1510128532188 -529.391193137261</t>
  </si>
  <si>
    <t>-640.231408564399 211.012649926694 -502.236382739898</t>
  </si>
  <si>
    <t>-606.274017511374 234.942390212704 -223.215263638554</t>
  </si>
  <si>
    <t>-387.766384808979 157.137356725401 -210.995448330726</t>
  </si>
  <si>
    <t>-608.70097463811 129.742251269506 -97.3499855318843</t>
  </si>
  <si>
    <t>-632.512193053256 141.871276526639 317.364980589746</t>
  </si>
  <si>
    <t>-671.456887941191 183.342565351117 776.943701613442</t>
  </si>
  <si>
    <t>-521.242852906645 186.513116509111 834.47204757749</t>
  </si>
  <si>
    <t>-602.563266613601 -72.8363116904848 322.049861973157</t>
  </si>
  <si>
    <t>-653.791664290956 -105.220183477608 781.175865291107</t>
  </si>
  <si>
    <t>-499.442802502633 -118.920487710758 824.448830763332</t>
  </si>
  <si>
    <t>9763-20170724T115603.759150300.bin</t>
  </si>
  <si>
    <t>-601.310489731523 37.1782112368928 -93.5095864151974</t>
  </si>
  <si>
    <t>-621.032584397882 33.1022475019524 -202.376151908541</t>
  </si>
  <si>
    <t>-633.739373358049 30.9205476758468 -294.352183977689</t>
  </si>
  <si>
    <t>-644.597646699594 29.3767269582449 -377.52593172508</t>
  </si>
  <si>
    <t>-654.268212029485 28.2927768026502 -460.853206843838</t>
  </si>
  <si>
    <t>-667.100840562958 27.2077121843854 -582.832914553831</t>
  </si>
  <si>
    <t>-656.343520292276 30.0044136191407 -660.400144587036</t>
  </si>
  <si>
    <t>-663.210496193222 58.9965917484919 -529.404696862461</t>
  </si>
  <si>
    <t>-640.242833735236 210.881860708336 -502.164980119666</t>
  </si>
  <si>
    <t>-605.588813175237 234.346975440913 -223.189849357836</t>
  </si>
  <si>
    <t>-386.782629116619 157.324403938458 -211.361590570629</t>
  </si>
  <si>
    <t>-608.696074488891 129.515983761994 -97.329726965006</t>
  </si>
  <si>
    <t>-632.510747868612 141.732653698237 317.382487194794</t>
  </si>
  <si>
    <t>-671.45281539493 183.331031809047 776.954210993647</t>
  </si>
  <si>
    <t>-521.243705257694 186.43141769675 834.499414854002</t>
  </si>
  <si>
    <t>-602.532028569168 -73.006008685308 322.041733540319</t>
  </si>
  <si>
    <t>-653.798945688545 -105.256984157861 781.176384292178</t>
  </si>
  <si>
    <t>-499.456923873408 -119.05302042643 824.443441845892</t>
  </si>
  <si>
    <t>9763-20170724T115603.826848200.bin</t>
  </si>
  <si>
    <t>-601.339391505357 36.633272929711 -93.49948861977</t>
  </si>
  <si>
    <t>-620.986322527395 32.5844168471031 -202.380644031852</t>
  </si>
  <si>
    <t>-633.566228799425 30.4502069290504 -294.375342413889</t>
  </si>
  <si>
    <t>-644.284059634199 28.9585227418484 -377.568099359808</t>
  </si>
  <si>
    <t>-653.788092282148 27.9356624394425 -460.915269540493</t>
  </si>
  <si>
    <t>-666.348469006988 26.9495715785295 -582.924256295482</t>
  </si>
  <si>
    <t>-655.587962852586 29.8768022663653 -660.486353658314</t>
  </si>
  <si>
    <t>-662.569261053433 58.695613484153 -529.462641250627</t>
  </si>
  <si>
    <t>-639.736467308579 210.572274447138 -502.058188764764</t>
  </si>
  <si>
    <t>-604.498452908723 233.582931190219 -223.118516640924</t>
  </si>
  <si>
    <t>-385.150068422384 157.997589984955 -212.087884174381</t>
  </si>
  <si>
    <t>-608.788583820948 128.852811074167 -97.2823865571239</t>
  </si>
  <si>
    <t>-632.641708672038 141.344700943084 317.419381948765</t>
  </si>
  <si>
    <t>-671.458776820371 183.247543717648 776.978320220175</t>
  </si>
  <si>
    <t>-521.25974249385 186.462506440195 834.54333514284</t>
  </si>
  <si>
    <t>-602.587893878169 -73.3785171520074 322.017285739122</t>
  </si>
  <si>
    <t>-653.821401316829 -105.260081747836 781.167752617686</t>
  </si>
  <si>
    <t>-499.428508258683 -118.595901618619 824.397571474028</t>
  </si>
  <si>
    <t>9763-20170724T115603.857981800.bin</t>
  </si>
  <si>
    <t>-601.358164967049 36.2577746525503 -93.4965691229569</t>
  </si>
  <si>
    <t>-620.932323721766 32.2305165128703 -202.391607664347</t>
  </si>
  <si>
    <t>-633.428507143237 30.1130873870025 -294.398193867489</t>
  </si>
  <si>
    <t>-644.061482752371 28.6363474013888 -377.602100280325</t>
  </si>
  <si>
    <t>-653.471429022936 27.6273740229494 -460.960105770967</t>
  </si>
  <si>
    <t>-665.883928451874 26.6605381126765 -582.98438209243</t>
  </si>
  <si>
    <t>-655.115241154676 29.6193146596788 -660.543992175043</t>
  </si>
  <si>
    <t>-662.144336792261 58.3995395745492 -529.515712731199</t>
  </si>
  <si>
    <t>-639.259010545523 210.258473473202 -502.058048126333</t>
  </si>
  <si>
    <t>-604.253904565513 233.276326131615 -223.089520295217</t>
  </si>
  <si>
    <t>-384.642232445672 158.413844999546 -212.372493539445</t>
  </si>
  <si>
    <t>-608.79246719613 128.435964167822 -97.2655380181196</t>
  </si>
  <si>
    <t>-632.704673319328 141.075540941234 317.428397241085</t>
  </si>
  <si>
    <t>-671.455247117117 183.215385061312 776.97701177613</t>
  </si>
  <si>
    <t>-521.266225083798 186.548715994815 834.56154444141</t>
  </si>
  <si>
    <t>-602.662020028426 -73.6879678699461 322.003360576615</t>
  </si>
  <si>
    <t>-653.830564182629 -105.310901943248 781.170283236912</t>
  </si>
  <si>
    <t>-499.469387460363 -119.004057191267 824.401705547775</t>
  </si>
  <si>
    <t>9763-20170724T115603.926170200.bin</t>
  </si>
  <si>
    <t>-601.502550310955 35.3563538450962 -93.5339688328363</t>
  </si>
  <si>
    <t>-620.886895748443 31.3365926954459 -202.463252610067</t>
  </si>
  <si>
    <t>-633.19515107649 29.2163249543232 -294.495029906876</t>
  </si>
  <si>
    <t>-643.647240580435 27.7338135056327 -377.721732671877</t>
  </si>
  <si>
    <t>-652.864667786466 26.7154300381192 -461.101141635998</t>
  </si>
  <si>
    <t>-664.983102808653 25.729826694755 -583.154906308588</t>
  </si>
  <si>
    <t>-654.142975165384 28.6779145582359 -660.705022368304</t>
  </si>
  <si>
    <t>-661.311265276429 57.4800880696318 -529.688298488984</t>
  </si>
  <si>
    <t>-638.388749782028 209.337951596167 -502.282856781706</t>
  </si>
  <si>
    <t>-604.63359241473 232.972906970372 -223.212042248439</t>
  </si>
  <si>
    <t>-384.682037475791 159.102575517257 -212.58071795265</t>
  </si>
  <si>
    <t>-608.813724874907 127.527945339128 -97.2975489110432</t>
  </si>
  <si>
    <t>-632.787975524342 140.513114679027 317.382114795045</t>
  </si>
  <si>
    <t>-671.449558884248 183.157411338198 776.918054060836</t>
  </si>
  <si>
    <t>-521.284433329516 186.606813431276 834.55801904725</t>
  </si>
  <si>
    <t>-602.940612949953 -74.5197101649464 321.959419275474</t>
  </si>
  <si>
    <t>-653.835766962502 -105.371047802524 781.187274699764</t>
  </si>
  <si>
    <t>-499.475688542834 -119.055242360289 824.425377873538</t>
  </si>
  <si>
    <t>9763-20170724T115603.990343400.bin</t>
  </si>
  <si>
    <t>-601.798063600259 34.3883566605764 -93.5602472316903</t>
  </si>
  <si>
    <t>-621.11012429646 30.3853861785401 -202.502974293772</t>
  </si>
  <si>
    <t>-633.350297854683 28.2658533695153 -294.543868441358</t>
  </si>
  <si>
    <t>-643.738124500632 26.7798930763242 -377.778597211569</t>
  </si>
  <si>
    <t>-652.888408690792 25.7531578591911 -461.165402224231</t>
  </si>
  <si>
    <t>-664.905627848917 24.74970633876 -583.228865699111</t>
  </si>
  <si>
    <t>-653.978068550936 27.6489259054565 -660.768625738684</t>
  </si>
  <si>
    <t>-661.227161866526 56.5105129874714 -529.768978166474</t>
  </si>
  <si>
    <t>-638.294128896335 208.387446965978 -502.484107053401</t>
  </si>
  <si>
    <t>-606.348722951254 233.074057746705 -223.29117918716</t>
  </si>
  <si>
    <t>-386.357400846793 159.389245561639 -212.205150419945</t>
  </si>
  <si>
    <t>-609.036668852491 126.570511394913 -97.3454979224978</t>
  </si>
  <si>
    <t>-632.862327374133 140.02837139678 317.327636311777</t>
  </si>
  <si>
    <t>-671.43189538653 183.187784784541 776.824318779178</t>
  </si>
  <si>
    <t>-521.276073197592 186.45280918933 834.499368841863</t>
  </si>
  <si>
    <t>-603.269092151326 -75.3289667493973 321.926446691485</t>
  </si>
  <si>
    <t>-653.831229394012 -105.441437269167 781.219402706688</t>
  </si>
  <si>
    <t>-499.47775313212 -119.110990826093 824.485656459065</t>
  </si>
  <si>
    <t>9763-20170724T115604.023437500.bin</t>
  </si>
  <si>
    <t>-601.975484075153 33.889976095048 -93.5923419706696</t>
  </si>
  <si>
    <t>-621.265987608327 29.8951463082967 -202.539197735896</t>
  </si>
  <si>
    <t>-633.471212282918 27.7839846158681 -294.584816332776</t>
  </si>
  <si>
    <t>-643.820749515225 26.3070564248453 -377.824524595951</t>
  </si>
  <si>
    <t>-652.926149943832 25.2900774875227 -461.216435022045</t>
  </si>
  <si>
    <t>-664.870284547764 24.3023739349683 -583.287235216675</t>
  </si>
  <si>
    <t>-653.859255246556 27.178369512761 -660.815905028704</t>
  </si>
  <si>
    <t>-661.216208810133 56.0565655581588 -529.821691057055</t>
  </si>
  <si>
    <t>-638.186923310459 207.915114397849 -502.541811503763</t>
  </si>
  <si>
    <t>-607.224621126122 232.839253340132 -223.259239563085</t>
  </si>
  <si>
    <t>-387.209419425159 159.308993339203 -211.634112010534</t>
  </si>
  <si>
    <t>-609.151467410861 126.046258752347 -97.3742008950048</t>
  </si>
  <si>
    <t>-632.956172105333 139.713968464442 317.293261538165</t>
  </si>
  <si>
    <t>-671.44695359161 183.112516789542 776.780482657197</t>
  </si>
  <si>
    <t>-521.29507733278 186.591159461765 834.453168511003</t>
  </si>
  <si>
    <t>-603.440871066587 -75.6901039928371 321.908337406588</t>
  </si>
  <si>
    <t>-653.83356210065 -105.460186123969 781.228074601522</t>
  </si>
  <si>
    <t>-499.483449803945 -119.140547548879 824.502888244395</t>
  </si>
  <si>
    <t>9763-20170724T115604.060541000.bin</t>
  </si>
  <si>
    <t>-602.186608319624 33.4496802940484 -93.6389721892239</t>
  </si>
  <si>
    <t>-621.4634920324 29.4563494175088 -202.588295354967</t>
  </si>
  <si>
    <t>-633.639658197885 27.3540428253393 -294.638077848493</t>
  </si>
  <si>
    <t>-643.955915893174 25.8879096248022 -377.881900496167</t>
  </si>
  <si>
    <t>-653.02094531695 24.8849661707568 -461.278374388951</t>
  </si>
  <si>
    <t>-664.898345354407 23.9214004661155 -583.355883328705</t>
  </si>
  <si>
    <t>-653.801293608724 26.7854147906755 -660.872726931354</t>
  </si>
  <si>
    <t>-661.289723437823 55.6643843301333 -529.880535518509</t>
  </si>
  <si>
    <t>-638.342325961107 207.531026609898 -502.586629325744</t>
  </si>
  <si>
    <t>-608.051686731812 232.485160437707 -223.233180681937</t>
  </si>
  <si>
    <t>-387.899976644632 159.47151625801 -210.954660239567</t>
  </si>
  <si>
    <t>-609.396812050667 125.576604865735 -97.409205270411</t>
  </si>
  <si>
    <t>-633.072889407435 139.425315380793 317.259668284053</t>
  </si>
  <si>
    <t>-671.477968168118 182.964157706428 776.74053857847</t>
  </si>
  <si>
    <t>-521.331945861624 186.686480491095 834.41323800206</t>
  </si>
  <si>
    <t>-603.574821388367 -75.9894755589658 321.878051601855</t>
  </si>
  <si>
    <t>-653.841105624552 -105.501592962786 781.236740983302</t>
  </si>
  <si>
    <t>-499.492151701368 -119.201546868687 824.509576320849</t>
  </si>
  <si>
    <t>9763-20170724T115604.127237500.bin</t>
  </si>
  <si>
    <t>-602.669975546369 32.8675347800693 -93.695474575855</t>
  </si>
  <si>
    <t>-621.912274039856 28.8499365098451 -202.650056698295</t>
  </si>
  <si>
    <t>-634.034162084779 26.7717185683664 -294.707455469596</t>
  </si>
  <si>
    <t>-644.290985329929 25.3431614753549 -377.959403828544</t>
  </si>
  <si>
    <t>-653.286156106057 24.3948370866412 -461.364050649121</t>
  </si>
  <si>
    <t>-665.049860376421 23.5298817353832 -583.453315667862</t>
  </si>
  <si>
    <t>-653.797785310563 26.4464233404333 -660.945702280642</t>
  </si>
  <si>
    <t>-661.566132449707 55.2256561063646 -529.941661612326</t>
  </si>
  <si>
    <t>-639.182186917369 207.169232084376 -502.568365829707</t>
  </si>
  <si>
    <t>-609.448033851262 231.655624574674 -223.113799416627</t>
  </si>
  <si>
    <t>-388.711571740491 160.568765208214 -210.052367859021</t>
  </si>
  <si>
    <t>-610.117462567506 124.886577042626 -97.4655346878841</t>
  </si>
  <si>
    <t>-633.389203853291 139.141087622941 317.212476072598</t>
  </si>
  <si>
    <t>-671.477776337593 182.957676525925 776.676537350583</t>
  </si>
  <si>
    <t>-521.329480762618 186.666801221222 834.344195199883</t>
  </si>
  <si>
    <t>-603.744544510242 -76.4202437433992 321.823144352785</t>
  </si>
  <si>
    <t>-653.864310219731 -105.554982416982 781.229332669593</t>
  </si>
  <si>
    <t>-499.491944220283 -119.048303337318 824.48342308838</t>
  </si>
  <si>
    <t>9763-20170724T115604.159824600.bin</t>
  </si>
  <si>
    <t>-602.888351988952 32.6599041414063 -93.7191241348928</t>
  </si>
  <si>
    <t>-622.131859185866 28.6070567865111 -202.672253699133</t>
  </si>
  <si>
    <t>-634.238829657596 26.5374816951171 -294.731728711182</t>
  </si>
  <si>
    <t>-644.475534474253 25.1306473059251 -377.986620893199</t>
  </si>
  <si>
    <t>-653.44395032572 24.2186344732747 -461.394433035042</t>
  </si>
  <si>
    <t>-665.161000424842 23.4234033227733 -583.488740923847</t>
  </si>
  <si>
    <t>-653.846327852559 26.3859022368008 -660.970385934582</t>
  </si>
  <si>
    <t>-661.747411797479 55.085949093464 -529.953054046981</t>
  </si>
  <si>
    <t>-639.685860303095 207.058017874873 -502.510908177242</t>
  </si>
  <si>
    <t>-610.116823267062 231.405058305924 -223.02652169403</t>
  </si>
  <si>
    <t>-389.156710812809 160.985324813173 -210.133853539515</t>
  </si>
  <si>
    <t>-610.484425283683 124.570764601352 -97.4847723904505</t>
  </si>
  <si>
    <t>-633.593162650312 139.018960033862 317.195582265961</t>
  </si>
  <si>
    <t>-671.498107478398 182.910844309381 776.666012570037</t>
  </si>
  <si>
    <t>-521.345266077948 186.687340069259 834.317470523806</t>
  </si>
  <si>
    <t>-603.787973758683 -76.5661204488117 321.807879887445</t>
  </si>
  <si>
    <t>-653.883124565867 -105.575457000766 781.220623790621</t>
  </si>
  <si>
    <t>-499.506958977362 -119.08325777741 824.456729934896</t>
  </si>
  <si>
    <t>9763-20170724T115604.230013700.bin</t>
  </si>
  <si>
    <t>-603.407541069689 32.3649421397797 -93.7529173900177</t>
  </si>
  <si>
    <t>-622.61086431875 28.249140319467 -202.710679288824</t>
  </si>
  <si>
    <t>-634.597663766058 26.1961387319043 -294.786365180087</t>
  </si>
  <si>
    <t>-644.6906413772 24.8287883255712 -378.059339372604</t>
  </si>
  <si>
    <t>-653.479877464986 23.9830493371148 -461.487004143604</t>
  </si>
  <si>
    <t>-664.896054484027 23.313241578406 -583.610526333225</t>
  </si>
  <si>
    <t>-653.415048418322 26.3965320923312 -661.063056078405</t>
  </si>
  <si>
    <t>-661.716875516107 54.914902438873 -530.024353760055</t>
  </si>
  <si>
    <t>-640.321969263212 206.974424043071 -502.47527739654</t>
  </si>
  <si>
    <t>-611.048852436956 231.483730552885 -222.974004421163</t>
  </si>
  <si>
    <t>-389.898811925863 161.585751438334 -210.505740540385</t>
  </si>
  <si>
    <t>-611.297486243248 124.136913514053 -97.5242721588293</t>
  </si>
  <si>
    <t>-633.973164731504 138.947991581336 317.167157574631</t>
  </si>
  <si>
    <t>-671.497379740863 182.998394339563 776.65206700626</t>
  </si>
  <si>
    <t>-521.326974413785 186.618965531555 834.267778178307</t>
  </si>
  <si>
    <t>-603.918364681212 -76.7561540854404 321.780726314711</t>
  </si>
  <si>
    <t>-653.927151864529 -105.600602173462 781.20790050654</t>
  </si>
  <si>
    <t>-499.508320988327 -118.79295214648 824.389069580639</t>
  </si>
  <si>
    <t>9763-20170724T115604.263103000.bin</t>
  </si>
  <si>
    <t>-603.676900461654 32.2235661640239 -93.753982658253</t>
  </si>
  <si>
    <t>-622.838983941866 28.0710726143495 -202.717543640566</t>
  </si>
  <si>
    <t>-634.741144324058 25.9962996670158 -294.803719500058</t>
  </si>
  <si>
    <t>-644.737487757148 24.6113758525789 -378.088071824503</t>
  </si>
  <si>
    <t>-653.409652380118 23.7513019640558 -461.527907915993</t>
  </si>
  <si>
    <t>-664.632403488568 23.0634095836556 -583.669232429619</t>
  </si>
  <si>
    <t>-653.070802893182 26.1787797824338 -661.108378302114</t>
  </si>
  <si>
    <t>-661.580688763907 54.6704793495203 -530.078860164443</t>
  </si>
  <si>
    <t>-640.388351243597 206.7597965191 -502.538461205519</t>
  </si>
  <si>
    <t>-611.413163339756 231.43310035338 -223.020518174422</t>
  </si>
  <si>
    <t>-390.18029523397 161.832734163533 -210.357882622784</t>
  </si>
  <si>
    <t>-611.698888455685 123.878003525212 -97.5323327266359</t>
  </si>
  <si>
    <t>-634.173062512901 138.886360231484 317.16300130561</t>
  </si>
  <si>
    <t>-671.527931264001 182.904342016006 776.650749511154</t>
  </si>
  <si>
    <t>-521.352495386234 186.74431019616 834.239073784178</t>
  </si>
  <si>
    <t>-604.020310499686 -76.8390233540442 321.777209079454</t>
  </si>
  <si>
    <t>-653.950831516431 -105.631520409796 781.201815846857</t>
  </si>
  <si>
    <t>-499.523392475594 -118.791482150666 824.36201611489</t>
  </si>
  <si>
    <t>9763-20170724T115604.326773600.bin</t>
  </si>
  <si>
    <t>-604.090957483664 32.1024748589414 -93.78427011677</t>
  </si>
  <si>
    <t>-623.244657541627 27.8771321043776 -202.746528898622</t>
  </si>
  <si>
    <t>-635.055245104666 25.723293904932 -294.842649244421</t>
  </si>
  <si>
    <t>-644.934581934551 24.2578198522115 -378.139631240202</t>
  </si>
  <si>
    <t>-653.455696823683 23.3083612275109 -461.593926152896</t>
  </si>
  <si>
    <t>-664.419974439236 22.4807684672553 -583.757855157517</t>
  </si>
  <si>
    <t>-652.747682437431 25.5675753104761 -661.181722212511</t>
  </si>
  <si>
    <t>-661.554644311251 54.1446946574686 -530.190826353467</t>
  </si>
  <si>
    <t>-640.673161480435 206.29947770377 -502.801343027278</t>
  </si>
  <si>
    <t>-612.258215331698 231.195799117412 -223.245809329575</t>
  </si>
  <si>
    <t>-390.926134683798 162.061622789039 -209.788204511171</t>
  </si>
  <si>
    <t>-612.356969754683 123.682565335657 -97.5854505855463</t>
  </si>
  <si>
    <t>-634.514140861119 138.862133374509 317.120773699983</t>
  </si>
  <si>
    <t>-671.520856817272 182.991225584366 776.620195626849</t>
  </si>
  <si>
    <t>-521.33452560221 186.744928289292 834.185854706431</t>
  </si>
  <si>
    <t>-604.193886571693 -76.9479738982775 321.763513737863</t>
  </si>
  <si>
    <t>-653.99671489065 -105.673223548878 781.191562351606</t>
  </si>
  <si>
    <t>-499.539249648723 -118.689668324703 824.287864184375</t>
  </si>
  <si>
    <t>9763-20170724T115604.359363200.bin</t>
  </si>
  <si>
    <t>-604.284241012098 32.0359153346792 -93.8228090116528</t>
  </si>
  <si>
    <t>-623.391788961041 27.7600679360373 -202.791190047274</t>
  </si>
  <si>
    <t>-635.180942671978 25.5643142811678 -294.889113175972</t>
  </si>
  <si>
    <t>-645.047974803592 24.0600342531618 -378.186921781711</t>
  </si>
  <si>
    <t>-653.563648168168 23.07190965836 -461.641318181268</t>
  </si>
  <si>
    <t>-664.52776683203 22.1874888871043 -583.804842892255</t>
  </si>
  <si>
    <t>-652.826966744818 25.2266217455174 -661.226220821263</t>
  </si>
  <si>
    <t>-661.688279120579 53.8746555923406 -530.250185282895</t>
  </si>
  <si>
    <t>-640.884789751254 206.058236680327 -502.980127767603</t>
  </si>
  <si>
    <t>-612.740336407037 231.312955106279 -223.429389794708</t>
  </si>
  <si>
    <t>-391.424814019371 162.187703166639 -209.657418675218</t>
  </si>
  <si>
    <t>-612.627435456148 123.584570161514 -97.6411737463922</t>
  </si>
  <si>
    <t>-634.671076856911 138.838236723968 317.068438208481</t>
  </si>
  <si>
    <t>-671.529502907437 182.993894851228 776.59792833776</t>
  </si>
  <si>
    <t>-521.340939126558 186.79730217063 834.15439050391</t>
  </si>
  <si>
    <t>-604.25966512438 -77.0471177385564 321.756319860257</t>
  </si>
  <si>
    <t>-654.011009223591 -105.707267027865 781.189891832697</t>
  </si>
  <si>
    <t>-499.550271031691 -118.740160623516 824.2693754902</t>
  </si>
  <si>
    <t>9763-20170724T115604.428557600.bin</t>
  </si>
  <si>
    <t>-604.579000953056 31.8977477082974 -93.8556263235109</t>
  </si>
  <si>
    <t>-623.683722094205 27.5554290779146 -202.82193361023</t>
  </si>
  <si>
    <t>-635.531695687985 25.2524595096897 -294.909685897446</t>
  </si>
  <si>
    <t>-645.476658459898 23.6304786276019 -378.195911199326</t>
  </si>
  <si>
    <t>-654.095454806863 22.5039659330178 -461.638072077838</t>
  </si>
  <si>
    <t>-665.237920195899 21.3953079116384 -583.783659547474</t>
  </si>
  <si>
    <t>-653.534819974679 24.265584411507 -661.211136728966</t>
  </si>
  <si>
    <t>-662.349924032166 53.1789133255197 -530.288765833651</t>
  </si>
  <si>
    <t>-641.611627373654 205.46358434059 -503.492594504751</t>
  </si>
  <si>
    <t>-613.925789874551 231.712110394374 -223.987479828387</t>
  </si>
  <si>
    <t>-392.679126046394 162.451335829521 -209.796577534561</t>
  </si>
  <si>
    <t>-612.979217458665 123.490216436518 -97.7255449678539</t>
  </si>
  <si>
    <t>-634.917905255192 138.835750268517 316.986220921892</t>
  </si>
  <si>
    <t>-671.529075816668 183.106463370532 776.53912239801</t>
  </si>
  <si>
    <t>-521.330733896143 186.808401785753 834.076668539585</t>
  </si>
  <si>
    <t>-604.437701066661 -77.2490318306777 321.748654146988</t>
  </si>
  <si>
    <t>-654.026465991914 -105.769168747308 781.204879018164</t>
  </si>
  <si>
    <t>-499.5804749709 -119.006499101622 824.274951174604</t>
  </si>
  <si>
    <t>9763-20170724T115604.459640500.bin</t>
  </si>
  <si>
    <t>-604.758322313814 31.8358831379094 -93.8896971872081</t>
  </si>
  <si>
    <t>-623.86895238856 27.4746144999269 -202.854174668662</t>
  </si>
  <si>
    <t>-635.780980987923 25.1185439100714 -294.932405525446</t>
  </si>
  <si>
    <t>-645.807721374247 23.4341014606948 -378.207528526516</t>
  </si>
  <si>
    <t>-654.532480754422 22.2306520977868 -461.637510817782</t>
  </si>
  <si>
    <t>-665.856585959676 20.9935983938535 -583.765186420468</t>
  </si>
  <si>
    <t>-654.188606045826 23.7670879627208 -661.201536107186</t>
  </si>
  <si>
    <t>-662.892877918211 52.8331529534598 -530.307781746821</t>
  </si>
  <si>
    <t>-642.221835496012 205.175646034601 -503.829809139549</t>
  </si>
  <si>
    <t>-614.745842348291 232.043165184392 -224.362773895567</t>
  </si>
  <si>
    <t>-393.533140523416 162.732908952887 -209.886749726825</t>
  </si>
  <si>
    <t>-613.152286340991 123.515825002347 -97.7801747134785</t>
  </si>
  <si>
    <t>-635.005424364675 138.794842391106 316.938472896536</t>
  </si>
  <si>
    <t>-671.536491358863 183.11353917066 776.503852606677</t>
  </si>
  <si>
    <t>-521.334890911227 186.762381102956 834.036244850942</t>
  </si>
  <si>
    <t>-604.555733633014 -77.3233007492188 321.735103670538</t>
  </si>
  <si>
    <t>-654.034841893507 -105.752997095629 781.210695057124</t>
  </si>
  <si>
    <t>-499.568257771005 -118.781032233761 824.27073066813</t>
  </si>
  <si>
    <t>9763-20170724T115604.526329200.bin</t>
  </si>
  <si>
    <t>-605.118019837401 31.703755160775 -93.9739692983841</t>
  </si>
  <si>
    <t>-624.253358977637 27.2879853586223 -202.931976549698</t>
  </si>
  <si>
    <t>-636.338255602395 24.8088491370486 -294.984301665966</t>
  </si>
  <si>
    <t>-646.582590514188 22.9826953911538 -378.230034716085</t>
  </si>
  <si>
    <t>-655.586800521475 21.6067319751539 -461.627713687733</t>
  </si>
  <si>
    <t>-667.387563991719 20.0837380553587 -583.707072644283</t>
  </si>
  <si>
    <t>-655.841449275348 22.6234565522418 -661.169500633544</t>
  </si>
  <si>
    <t>-664.195372391003 52.0496774485468 -530.338199939569</t>
  </si>
  <si>
    <t>-643.515246080969 204.523619234607 -504.596351927574</t>
  </si>
  <si>
    <t>-616.773727678038 232.708605889018 -225.187863777106</t>
  </si>
  <si>
    <t>-395.656430329326 163.286232281603 -209.818733693339</t>
  </si>
  <si>
    <t>-613.496689364031 123.478235789149 -97.8944133693942</t>
  </si>
  <si>
    <t>-635.237961896942 138.714830023921 316.831746424459</t>
  </si>
  <si>
    <t>-671.557053079203 183.105470970255 776.412170000869</t>
  </si>
  <si>
    <t>-521.358198211363 186.946337192778 833.939294631567</t>
  </si>
  <si>
    <t>-604.781964512822 -77.4598949503697 321.710116590062</t>
  </si>
  <si>
    <t>-654.04579557007 -105.788420910045 781.219662901132</t>
  </si>
  <si>
    <t>-499.577098128862 -118.81979964736 824.271042884376</t>
  </si>
  <si>
    <t>9763-20170724T115604.557925800.bin</t>
  </si>
  <si>
    <t>-605.305143936656 31.6410976085865 -93.9944915008867</t>
  </si>
  <si>
    <t>-624.445438458039 27.2137233096837 -202.951064858277</t>
  </si>
  <si>
    <t>-636.592906104293 24.6740530733821 -294.993616761283</t>
  </si>
  <si>
    <t>-646.917464615368 22.7725171477816 -378.22774202877</t>
  </si>
  <si>
    <t>-656.02562397922 21.3009662608144 -461.612490925323</t>
  </si>
  <si>
    <t>-668.004576234004 19.6156350173637 -583.672252562938</t>
  </si>
  <si>
    <t>-656.526479500848 22.0286073535417 -661.149003029793</t>
  </si>
  <si>
    <t>-664.727629208967 51.6528251323559 -530.351455121416</t>
  </si>
  <si>
    <t>-643.975077650652 204.159162829052 -504.894922797479</t>
  </si>
  <si>
    <t>-617.610037950042 233.082923028361 -225.526258451253</t>
  </si>
  <si>
    <t>-396.54467645952 163.626111703676 -209.576800379864</t>
  </si>
  <si>
    <t>-613.712474246468 123.437316156665 -97.928515596956</t>
  </si>
  <si>
    <t>-635.406683109392 138.710236935812 316.798778299369</t>
  </si>
  <si>
    <t>-671.566377541928 183.125641319276 776.378388326647</t>
  </si>
  <si>
    <t>-521.365019872414 186.991591136487 833.897352470374</t>
  </si>
  <si>
    <t>-604.888615003056 -77.4994368365556 321.704178766252</t>
  </si>
  <si>
    <t>-654.050599221995 -105.791850153396 781.223114087124</t>
  </si>
  <si>
    <t>-499.572631105674 -118.732056535527 824.268760065304</t>
  </si>
  <si>
    <t>9763-20170724T115604.629119200.bin</t>
  </si>
  <si>
    <t>-605.770685972527 31.5612582985707 -94.0553875554742</t>
  </si>
  <si>
    <t>-624.937346829845 27.0978114989705 -203.005943748484</t>
  </si>
  <si>
    <t>-637.157181151242 24.4571661896014 -295.036048905652</t>
  </si>
  <si>
    <t>-647.56736334915 22.4353038024933 -378.256547422081</t>
  </si>
  <si>
    <t>-656.78177411339 20.8140083615112 -461.626963710596</t>
  </si>
  <si>
    <t>-668.938599964029 18.8778050807343 -583.665344258622</t>
  </si>
  <si>
    <t>-657.568121588527 21.0595409954001 -661.164822927224</t>
  </si>
  <si>
    <t>-665.590634514376 51.0241742777825 -530.414571874373</t>
  </si>
  <si>
    <t>-644.830672204563 203.612227707265 -505.482984359613</t>
  </si>
  <si>
    <t>-619.066977945351 233.790500750923 -226.190888213912</t>
  </si>
  <si>
    <t>-398.033842660336 164.465257837753 -209.252993298661</t>
  </si>
  <si>
    <t>-614.309087610632 123.393307186141 -98.008920812381</t>
  </si>
  <si>
    <t>-635.734328576402 138.762328388344 316.728804536293</t>
  </si>
  <si>
    <t>-671.565356570156 183.24068631229 776.322601525947</t>
  </si>
  <si>
    <t>-521.351863325985 186.904397755465 833.82316783095</t>
  </si>
  <si>
    <t>-605.091527441065 -77.550539026774 321.658573565076</t>
  </si>
  <si>
    <t>-654.071061517312 -105.812442105739 781.215359106531</t>
  </si>
  <si>
    <t>-499.587289252249 -118.717787911577 824.250738026812</t>
  </si>
  <si>
    <t>9763-20170724T115604.663211300.bin</t>
  </si>
  <si>
    <t>-606.058545847421 31.5362680992384 -94.0744700645461</t>
  </si>
  <si>
    <t>-625.256510869384 27.051973088252 -203.018597305888</t>
  </si>
  <si>
    <t>-637.528484135586 24.3693061119409 -295.040600967747</t>
  </si>
  <si>
    <t>-647.996118699459 22.2992292888637 -378.252783326776</t>
  </si>
  <si>
    <t>-657.278357957086 20.619681373156 -461.614398020788</t>
  </si>
  <si>
    <t>-669.54597041659 18.5867124491722 -583.640191727196</t>
  </si>
  <si>
    <t>-658.223244071152 20.6619857413725 -661.149453667435</t>
  </si>
  <si>
    <t>-666.149902264793 50.7753272655718 -530.418033884969</t>
  </si>
  <si>
    <t>-645.308867581085 203.383515357787 -505.669987980769</t>
  </si>
  <si>
    <t>-619.730636229837 233.900690477808 -226.39764527897</t>
  </si>
  <si>
    <t>-398.679907199822 164.756154669137 -208.95796914444</t>
  </si>
  <si>
    <t>-614.675132217005 123.348989745243 -98.042393619516</t>
  </si>
  <si>
    <t>-635.904955215624 138.791261666858 316.702659770844</t>
  </si>
  <si>
    <t>-671.56818495723 183.273239926662 776.308236634127</t>
  </si>
  <si>
    <t>-521.346803325731 186.973433119866 833.785918998361</t>
  </si>
  <si>
    <t>-605.187461171189 -77.5248131303304 321.646635962362</t>
  </si>
  <si>
    <t>-654.080887955847 -105.843810247572 781.211344259805</t>
  </si>
  <si>
    <t>-499.604963556562 -118.857404102482 824.242206017668</t>
  </si>
  <si>
    <t>9763-20170724T115604.731895800.bin</t>
  </si>
  <si>
    <t>-606.793771870013 31.5588359460908 -94.101135187963</t>
  </si>
  <si>
    <t>-626.092941770081 27.0257566826615 -203.025384685218</t>
  </si>
  <si>
    <t>-638.510945195082 24.2742343343571 -295.025576497488</t>
  </si>
  <si>
    <t>-649.134942681736 22.1303194919781 -378.216197404099</t>
  </si>
  <si>
    <t>-658.598371970698 20.3655578661446 -461.555716325101</t>
  </si>
  <si>
    <t>-671.158128321431 18.1958998439293 -583.549515562786</t>
  </si>
  <si>
    <t>-659.899893796101 20.1264905332835 -661.071930057273</t>
  </si>
  <si>
    <t>-667.657977967831 50.4426434209654 -530.369068009489</t>
  </si>
  <si>
    <t>-646.723131531043 203.081586939873 -505.878210289475</t>
  </si>
  <si>
    <t>-620.919346464765 233.680428776015 -226.635536005715</t>
  </si>
  <si>
    <t>-399.808203537701 165.06139054573 -207.932051427807</t>
  </si>
  <si>
    <t>-615.566575575981 123.349118793604 -98.0989736023149</t>
  </si>
  <si>
    <t>-636.240779690544 138.917587310791 316.669341194416</t>
  </si>
  <si>
    <t>-671.603188595423 183.28790007933 776.311980754874</t>
  </si>
  <si>
    <t>-521.349777353955 186.94259591532 833.708722961772</t>
  </si>
  <si>
    <t>-605.41221686032 -77.3668151907855 321.650204770821</t>
  </si>
  <si>
    <t>-654.02918000211 -105.892225753743 781.209909934884</t>
  </si>
  <si>
    <t>-499.579168872913 -118.781329604212 824.371162648732</t>
  </si>
  <si>
    <t>9763-20170724T115604.761506800.bin</t>
  </si>
  <si>
    <t>-607.210484080276 31.5933905870895 -94.1090438509796</t>
  </si>
  <si>
    <t>-626.563640680343 27.0390373214086 -203.022823617375</t>
  </si>
  <si>
    <t>-639.06746278559 24.2438801738085 -295.010154447205</t>
  </si>
  <si>
    <t>-649.78536537274 22.0499449591407 -378.187475925899</t>
  </si>
  <si>
    <t>-659.359307289427 20.2251881950874 -461.512993785959</t>
  </si>
  <si>
    <t>-672.098934001497 17.9572701633538 -583.486135410459</t>
  </si>
  <si>
    <t>-660.859865972341 19.8294374748812 -661.012929538012</t>
  </si>
  <si>
    <t>-668.557541565481 50.244498553428 -530.333286600014</t>
  </si>
  <si>
    <t>-647.878554084963 202.948889690425 -506.017991449743</t>
  </si>
  <si>
    <t>-621.51471884554 233.323201227038 -226.803089716689</t>
  </si>
  <si>
    <t>-400.345914238286 164.980297886013 -207.773095942247</t>
  </si>
  <si>
    <t>-616.065983474295 123.385640298713 -98.1111271958065</t>
  </si>
  <si>
    <t>-636.435465235682 138.994308367015 316.670788896527</t>
  </si>
  <si>
    <t>-671.618860860581 183.287806354545 776.326474595441</t>
  </si>
  <si>
    <t>-521.346568014418 186.872459306312 833.678166455028</t>
  </si>
  <si>
    <t>-605.475494445049 -77.248026401656 321.65831299355</t>
  </si>
  <si>
    <t>-653.889862964251 -105.938593034465 781.227074394474</t>
  </si>
  <si>
    <t>-499.489646787154 -118.541843315269 824.650088947019</t>
  </si>
  <si>
    <t>9763-20170724T115604.824677100.bin</t>
  </si>
  <si>
    <t>-608.006240940824 31.683055593913 -94.0599682726835</t>
  </si>
  <si>
    <t>-627.41235482712 27.1055925417393 -202.963391644104</t>
  </si>
  <si>
    <t>-640.012501182829 24.2412017671243 -294.935525484257</t>
  </si>
  <si>
    <t>-650.838213522284 21.9622371631995 -378.096374307354</t>
  </si>
  <si>
    <t>-660.541109828454 20.0313374849497 -461.404653962736</t>
  </si>
  <si>
    <t>-673.492591160833 17.5852484129102 -583.352114661765</t>
  </si>
  <si>
    <t>-662.252201029302 19.4135692277212 -660.879839495715</t>
  </si>
  <si>
    <t>-669.934896134101 49.9451764940427 -530.244495850799</t>
  </si>
  <si>
    <t>-649.84259840383 202.76453866161 -506.213416647151</t>
  </si>
  <si>
    <t>-622.270828757531 232.521052496265 -227.048733569855</t>
  </si>
  <si>
    <t>-400.851882746964 165.055193451649 -207.799397014683</t>
  </si>
  <si>
    <t>-617.275555416962 123.406708723701 -98.0417631400003</t>
  </si>
  <si>
    <t>-637.077139770812 139.063921623071 316.765858416758</t>
  </si>
  <si>
    <t>-671.630668026263 183.408524968704 776.438775176226</t>
  </si>
  <si>
    <t>-521.304539457718 186.810412142152 833.660326405013</t>
  </si>
  <si>
    <t>-605.424881760695 -76.9988200979951 321.7251745642</t>
  </si>
  <si>
    <t>-653.392357291516 -106.053383877141 781.345440984791</t>
  </si>
  <si>
    <t>-499.192047537297 -118.044402748532 825.643322444394</t>
  </si>
  <si>
    <t>9763-20170724T115604.862645200.bin</t>
  </si>
  <si>
    <t>-608.302851993216 31.6944756011892 -93.9996662788477</t>
  </si>
  <si>
    <t>-627.71361529134 27.1078579535608 -202.901848436324</t>
  </si>
  <si>
    <t>-640.332769244311 24.229571446187 -294.87090179875</t>
  </si>
  <si>
    <t>-651.181425996115 21.9341908630051 -378.028348876115</t>
  </si>
  <si>
    <t>-660.913193370495 19.9831626786297 -461.332806881597</t>
  </si>
  <si>
    <t>-673.913219449464 17.5035900934402 -583.274455009214</t>
  </si>
  <si>
    <t>-662.637901916126 19.3526215366373 -660.796452834539</t>
  </si>
  <si>
    <t>-670.351577083901 49.8768335157367 -530.17524096022</t>
  </si>
  <si>
    <t>-650.237757093146 202.719655072409 -506.246530311538</t>
  </si>
  <si>
    <t>-622.244421116664 232.158957614069 -227.090055790709</t>
  </si>
  <si>
    <t>-400.758111398214 164.962755422421 -207.673348596508</t>
  </si>
  <si>
    <t>-617.774140743723 123.322291538333 -97.9651608318909</t>
  </si>
  <si>
    <t>-637.425930402006 139.029722481262 316.847668894551</t>
  </si>
  <si>
    <t>-671.643068125168 183.467010657574 776.53612889838</t>
  </si>
  <si>
    <t>-521.281714495628 186.747292235355 833.672127135291</t>
  </si>
  <si>
    <t>-605.316337494614 -76.8824870274461 321.783969822414</t>
  </si>
  <si>
    <t>-653.109805191967 -106.115671280604 781.417078964729</t>
  </si>
  <si>
    <t>-499.045734142741 -117.91438092673 826.237591248548</t>
  </si>
  <si>
    <t>9763-20170724T115604.927336700.bin</t>
  </si>
  <si>
    <t>-608.887398864432 31.4831375416827 -93.8161623868363</t>
  </si>
  <si>
    <t>-628.332491161733 26.8994737058661 -202.712268776148</t>
  </si>
  <si>
    <t>-641.042481246078 23.9677433346446 -294.667191104951</t>
  </si>
  <si>
    <t>-651.99807892962 21.599668260026 -377.80861918868</t>
  </si>
  <si>
    <t>-661.861867097419 19.5524640101517 -461.095242067535</t>
  </si>
  <si>
    <t>-675.082729019417 16.9059588211471 -583.00958144346</t>
  </si>
  <si>
    <t>-663.811725433231 18.8060756828502 -660.530965100281</t>
  </si>
  <si>
    <t>-671.459704591894 49.349487401068 -529.957480181754</t>
  </si>
  <si>
    <t>-651.292105230356 202.205024585482 -506.170123474074</t>
  </si>
  <si>
    <t>-622.128663536857 231.400361894928 -227.107959660049</t>
  </si>
  <si>
    <t>-400.702602277131 164.207585913165 -207.004283299787</t>
  </si>
  <si>
    <t>-618.702452679788 122.952551632561 -97.7720703280714</t>
  </si>
  <si>
    <t>-637.853503209153 138.801427701779 317.058846225357</t>
  </si>
  <si>
    <t>-671.690482201979 183.35188153079 776.745394750916</t>
  </si>
  <si>
    <t>-521.281746569102 186.952165665403 833.737234010965</t>
  </si>
  <si>
    <t>-605.10602524939 -76.7957821234263 321.938593630011</t>
  </si>
  <si>
    <t>-652.612005749122 -106.212838174762 781.576073192588</t>
  </si>
  <si>
    <t>-498.782531775286 -117.596533913038 827.300487314442</t>
  </si>
  <si>
    <t>9763-20170724T115604.961933000.bin</t>
  </si>
  <si>
    <t>-609.13489390036 31.4218567724788 -93.7379023022457</t>
  </si>
  <si>
    <t>-628.60788729529 26.8624772490086 -202.630144428666</t>
  </si>
  <si>
    <t>-641.370865692692 23.9204165279762 -294.577342694591</t>
  </si>
  <si>
    <t>-652.386366679907 21.5300748324494 -377.71014715436</t>
  </si>
  <si>
    <t>-662.322233118544 19.4484349327081 -460.987301731745</t>
  </si>
  <si>
    <t>-675.661914839659 16.7378961396155 -582.887495548038</t>
  </si>
  <si>
    <t>-664.461503257158 18.6935555266316 -660.41766513475</t>
  </si>
  <si>
    <t>-672.002583923434 49.2083905010977 -529.854182219131</t>
  </si>
  <si>
    <t>-651.779459622595 202.073751083197 -506.18495542103</t>
  </si>
  <si>
    <t>-622.175712211648 231.149716414071 -227.156644549274</t>
  </si>
  <si>
    <t>-400.81833554715 163.819176090144 -206.759468418389</t>
  </si>
  <si>
    <t>-619.017016632296 122.902501374618 -97.6725584089547</t>
  </si>
  <si>
    <t>-637.981969507146 138.76678482522 317.166324313988</t>
  </si>
  <si>
    <t>-671.666663357342 183.44782332245 776.846608838419</t>
  </si>
  <si>
    <t>-521.236721588131 186.82517569342 833.796268067002</t>
  </si>
  <si>
    <t>-605.122107350776 -76.7484284748532 321.992125824897</t>
  </si>
  <si>
    <t>-652.47406117453 -106.284940805343 781.621572625942</t>
  </si>
  <si>
    <t>-498.720343412928 -117.541372415161 827.63151497097</t>
  </si>
  <si>
    <t>9763-20170724T115605.028108700.bin</t>
  </si>
  <si>
    <t>-609.690748814625 31.281135844481 -93.6386808217979</t>
  </si>
  <si>
    <t>-629.205485138142 26.7676307148583 -202.525330452153</t>
  </si>
  <si>
    <t>-642.005184055208 23.7902658599569 -294.466351782132</t>
  </si>
  <si>
    <t>-653.0549149752 21.3379097819779 -377.592903001795</t>
  </si>
  <si>
    <t>-663.026325940222 19.1649860392588 -460.863410415314</t>
  </si>
  <si>
    <t>-676.419636428839 16.2895244850158 -582.753916565367</t>
  </si>
  <si>
    <t>-665.425422002226 18.390960189183 -660.309763312087</t>
  </si>
  <si>
    <t>-672.792788860684 48.8278326130119 -529.759977279925</t>
  </si>
  <si>
    <t>-652.776560923075 201.774029982577 -506.448616818869</t>
  </si>
  <si>
    <t>-622.256944053033 230.466296773644 -227.479229571923</t>
  </si>
  <si>
    <t>-401.204578563124 162.392940387991 -206.256396298131</t>
  </si>
  <si>
    <t>-619.664386296192 122.723598918555 -97.5031681647067</t>
  </si>
  <si>
    <t>-638.210034894079 138.703819967491 317.350183108509</t>
  </si>
  <si>
    <t>-671.645067354702 183.46096302262 777.027125198984</t>
  </si>
  <si>
    <t>-521.197516017016 186.895818948939 833.926772939604</t>
  </si>
  <si>
    <t>-605.220939876329 -76.6861436950967 322.054904986533</t>
  </si>
  <si>
    <t>-652.262507354215 -106.39852277226 781.699425479872</t>
  </si>
  <si>
    <t>-498.620870872004 -117.328494882479 828.16020653537</t>
  </si>
  <si>
    <t>9763-20170724T115605.090807900.bin</t>
  </si>
  <si>
    <t>-610.288765504454 31.1816251868761 -93.5433906597514</t>
  </si>
  <si>
    <t>-629.783385070939 26.6882613252913 -202.434533803502</t>
  </si>
  <si>
    <t>-642.513381074425 23.6975288442395 -294.384628718807</t>
  </si>
  <si>
    <t>-653.478845245945 21.2198217862067 -377.521569510608</t>
  </si>
  <si>
    <t>-663.344686726617 19.0083408034357 -460.80374374082</t>
  </si>
  <si>
    <t>-676.560276259627 16.0616192093685 -582.71191585184</t>
  </si>
  <si>
    <t>-665.832775325062 18.4604184873319 -660.296491920977</t>
  </si>
  <si>
    <t>-673.027418284601 48.6297939379449 -529.729838823477</t>
  </si>
  <si>
    <t>-652.642377143779 201.559942034479 -506.658719491643</t>
  </si>
  <si>
    <t>-621.466188846927 229.749704140931 -227.710636990428</t>
  </si>
  <si>
    <t>-401.061043938116 159.731230413066 -206.08866976106</t>
  </si>
  <si>
    <t>-620.405953403126 122.556366758917 -97.3690140288263</t>
  </si>
  <si>
    <t>-638.57829315752 138.707577084574 317.494181809838</t>
  </si>
  <si>
    <t>-671.622290273725 183.499744513987 777.215328453818</t>
  </si>
  <si>
    <t>-521.152955766356 186.960239716127 834.055600801774</t>
  </si>
  <si>
    <t>-605.386983466022 -76.6465087470606 322.10451877922</t>
  </si>
  <si>
    <t>-652.11413552496 -106.519750332503 781.746363076453</t>
  </si>
  <si>
    <t>-498.608392543468 -117.767919795279 828.579048729336</t>
  </si>
  <si>
    <t>9763-20170724T115605.123901700.bin</t>
  </si>
  <si>
    <t>-610.566986358692 31.2019410821838 -93.4923789332152</t>
  </si>
  <si>
    <t>-630.088019754839 26.6983412342991 -202.378317251068</t>
  </si>
  <si>
    <t>-642.856713482009 23.717036388153 -294.323380324301</t>
  </si>
  <si>
    <t>-653.863570952858 21.2543898386632 -377.455332594804</t>
  </si>
  <si>
    <t>-663.777275845166 19.064596550194 -460.732331825024</t>
  </si>
  <si>
    <t>-677.069860469389 16.1567701066515 -582.633020538718</t>
  </si>
  <si>
    <t>-666.50265120892 18.7261905123005 -660.234243669129</t>
  </si>
  <si>
    <t>-673.500582459737 48.7080947597631 -529.643374269135</t>
  </si>
  <si>
    <t>-652.849476237478 201.615142175089 -506.619719399279</t>
  </si>
  <si>
    <t>-621.194391845413 229.410964509137 -227.686084645121</t>
  </si>
  <si>
    <t>-401.168905367513 158.256975529412 -205.904981597384</t>
  </si>
  <si>
    <t>-620.772395644944 122.578013955449 -97.3178233856579</t>
  </si>
  <si>
    <t>-638.730279709415 138.823923816514 317.551022931955</t>
  </si>
  <si>
    <t>-671.574110570842 183.664879615676 777.286480845236</t>
  </si>
  <si>
    <t>-521.094686360195 186.810627788632 834.118454660111</t>
  </si>
  <si>
    <t>-605.427589709701 -76.5739615843331 322.147113303118</t>
  </si>
  <si>
    <t>-652.025725440634 -106.532604968648 781.778997246195</t>
  </si>
  <si>
    <t>-498.558525148508 -117.512980273252 828.801027544165</t>
  </si>
  <si>
    <t>9763-20170724T115605.158038200.bin</t>
  </si>
  <si>
    <t>-610.818253440205 31.174875800803 -93.4509879425627</t>
  </si>
  <si>
    <t>-630.364434361239 26.6696840123068 -202.33240433662</t>
  </si>
  <si>
    <t>-643.225130418232 23.7125040041763 -294.265433611757</t>
  </si>
  <si>
    <t>-654.343394119234 21.2819357144981 -377.383524231627</t>
  </si>
  <si>
    <t>-664.396913889349 19.1344494384884 -460.644819218658</t>
  </si>
  <si>
    <t>-677.925043390239 16.299888191 -582.521349707718</t>
  </si>
  <si>
    <t>-667.558042123846 19.0626623374278 -660.142778599223</t>
  </si>
  <si>
    <t>-674.253370129969 48.819277922026 -529.518984772836</t>
  </si>
  <si>
    <t>-653.302591526945 201.693852743052 -506.516126956279</t>
  </si>
  <si>
    <t>-620.82333117985 228.987446815705 -227.627620843803</t>
  </si>
  <si>
    <t>-401.211556437541 156.6659511935 -205.519122533156</t>
  </si>
  <si>
    <t>-621.068565752564 122.550651603303 -97.2667921633762</t>
  </si>
  <si>
    <t>-638.879810294048 138.84361014949 317.606533585805</t>
  </si>
  <si>
    <t>-671.561685970308 183.673334798947 777.36417368476</t>
  </si>
  <si>
    <t>-521.076609093722 186.871043062482 834.178280609578</t>
  </si>
  <si>
    <t>-605.46211565213 -76.5264770297867 322.183387236021</t>
  </si>
  <si>
    <t>-651.944167050351 -106.577173354229 781.819273361536</t>
  </si>
  <si>
    <t>-498.539914947978 -117.669534146171 829.020108463411</t>
  </si>
  <si>
    <t>9763-20170724T115605.223715300.bin</t>
  </si>
  <si>
    <t>-611.346508548811 31.1195606972685 -93.371493540422</t>
  </si>
  <si>
    <t>-630.992437403741 26.6131021057111 -202.234792920577</t>
  </si>
  <si>
    <t>-644.110340198405 23.6726855543343 -294.132241951848</t>
  </si>
  <si>
    <t>-655.53036568244 21.2639179341088 -377.209897361196</t>
  </si>
  <si>
    <t>-665.955411976005 19.1458545792466 -460.426306199931</t>
  </si>
  <si>
    <t>-680.103454142548 16.3625115321097 -582.23355329016</t>
  </si>
  <si>
    <t>-670.160272512925 19.4940252203585 -659.896580908526</t>
  </si>
  <si>
    <t>-676.179426868191 48.8585069179881 -529.234914419344</t>
  </si>
  <si>
    <t>-655.042811378791 201.72819703759 -506.388958145512</t>
  </si>
  <si>
    <t>-620.215714221985 227.853467705266 -227.67187473591</t>
  </si>
  <si>
    <t>-401.862301407294 152.21031235833 -204.253526404438</t>
  </si>
  <si>
    <t>-621.769336250906 122.506989308832 -97.1550408053596</t>
  </si>
  <si>
    <t>-639.066197603866 138.904116026892 317.73594975811</t>
  </si>
  <si>
    <t>-671.5241918037 183.730359369314 777.506011761179</t>
  </si>
  <si>
    <t>-521.026612641007 186.939635055365 834.286391435133</t>
  </si>
  <si>
    <t>-605.471109497814 -76.4036525658094 322.240877308018</t>
  </si>
  <si>
    <t>-651.873088904478 -106.640525055381 781.875013054844</t>
  </si>
  <si>
    <t>-498.523110921659 -117.61172965475 829.279990195513</t>
  </si>
  <si>
    <t>9763-20170724T115605.260313800.bin</t>
  </si>
  <si>
    <t>-611.661461235766 31.1146830964367 -93.3422864286745</t>
  </si>
  <si>
    <t>-631.365568105623 26.589870677599 -202.194307823999</t>
  </si>
  <si>
    <t>-644.604250663807 23.6715368138543 -294.075002214178</t>
  </si>
  <si>
    <t>-656.162005352983 21.2966422775364 -377.13474328841</t>
  </si>
  <si>
    <t>-666.753553395077 19.2268684915189 -460.331240353515</t>
  </si>
  <si>
    <t>-681.176367638872 16.5303574575892 -582.108280291939</t>
  </si>
  <si>
    <t>-671.414931429193 19.8948433627604 -659.784573292731</t>
  </si>
  <si>
    <t>-677.152855488865 48.987132042588 -529.093099942133</t>
  </si>
  <si>
    <t>-655.961734985324 201.833133912696 -506.220490440736</t>
  </si>
  <si>
    <t>-619.781164637242 227.114527878392 -227.598154752145</t>
  </si>
  <si>
    <t>-402.095986797174 149.793255287906 -203.450580225434</t>
  </si>
  <si>
    <t>-622.21648300633 122.498516840277 -97.1093973554194</t>
  </si>
  <si>
    <t>-639.212669910426 138.926639887545 317.792811542325</t>
  </si>
  <si>
    <t>-671.509357402922 183.746187145314 777.578125534652</t>
  </si>
  <si>
    <t>-521.007049816008 187.019850181844 834.342278226712</t>
  </si>
  <si>
    <t>-605.449207909082 -76.3261925453849 322.262962727007</t>
  </si>
  <si>
    <t>-651.874145500831 -106.678877659277 781.880064042758</t>
  </si>
  <si>
    <t>-498.516798378637 -117.345042934121 829.330817988989</t>
  </si>
  <si>
    <t>9763-20170724T115605.324557400.bin</t>
  </si>
  <si>
    <t>-612.402146824057 31.0929944539671 -93.2632765825284</t>
  </si>
  <si>
    <t>-632.218490065099 26.507346156686 -202.092480207857</t>
  </si>
  <si>
    <t>-645.636861371171 23.6946527049731 -293.950292301447</t>
  </si>
  <si>
    <t>-657.390122782674 21.4743885320518 -376.986939044508</t>
  </si>
  <si>
    <t>-668.210473375429 19.6209410479853 -460.159096118557</t>
  </si>
  <si>
    <t>-683.003885314244 17.3088323239949 -581.899581650487</t>
  </si>
  <si>
    <t>-673.57555928857 21.2478858304357 -659.589990809601</t>
  </si>
  <si>
    <t>-678.934549145221 49.589514013232 -528.780415508767</t>
  </si>
  <si>
    <t>-657.873468871012 202.39709498637 -505.445733149804</t>
  </si>
  <si>
    <t>-619.263461211496 225.780226878971 -226.98376187227</t>
  </si>
  <si>
    <t>-403.068413469604 144.341440903828 -202.984777482622</t>
  </si>
  <si>
    <t>-623.360781778822 122.405313171741 -96.9927901788076</t>
  </si>
  <si>
    <t>-639.772911676171 139.017595775923 317.92556744851</t>
  </si>
  <si>
    <t>-671.495140931307 183.776038068065 777.748121670655</t>
  </si>
  <si>
    <t>-520.969175118167 187.093166215437 834.446762677031</t>
  </si>
  <si>
    <t>-605.387097210461 -76.1825046090428 322.322590515357</t>
  </si>
  <si>
    <t>-651.850868978584 -106.73149202536 781.908529894145</t>
  </si>
  <si>
    <t>-498.544255587444 -117.508912804462 829.497866416778</t>
  </si>
  <si>
    <t>9763-20170724T115605.359663600.bin</t>
  </si>
  <si>
    <t>-612.808400200704 31.0660535113293 -93.2369994568019</t>
  </si>
  <si>
    <t>-632.624428037293 26.4579332318424 -202.065237878444</t>
  </si>
  <si>
    <t>-646.046457073355 23.7020516776552 -293.924309065591</t>
  </si>
  <si>
    <t>-657.803923108814 21.5609129891716 -376.962373972767</t>
  </si>
  <si>
    <t>-668.629227200998 19.8160895554709 -460.136276624935</t>
  </si>
  <si>
    <t>-683.430622321751 17.6943386580699 -581.879175360506</t>
  </si>
  <si>
    <t>-674.150924432448 21.9479288042314 -659.570969986872</t>
  </si>
  <si>
    <t>-679.425625047315 49.8866436592068 -528.701599516297</t>
  </si>
  <si>
    <t>-658.727654697317 202.705761122957 -505.131163669563</t>
  </si>
  <si>
    <t>-618.856036055887 224.824699928782 -226.743749406227</t>
  </si>
  <si>
    <t>-403.222551608941 141.861463401363 -202.91457345367</t>
  </si>
  <si>
    <t>-624.032801270913 122.327467213107 -96.9317308627766</t>
  </si>
  <si>
    <t>-640.12768241734 139.060473518436 317.9942202405</t>
  </si>
  <si>
    <t>-671.493383825511 183.783071781378 777.840929517098</t>
  </si>
  <si>
    <t>-520.953194432556 187.138807343352 834.499708867901</t>
  </si>
  <si>
    <t>-605.41664633971 -76.128775886086 322.33159716661</t>
  </si>
  <si>
    <t>-651.86025897599 -106.763531175568 781.918238649292</t>
  </si>
  <si>
    <t>-498.561560859804 -117.526665534155 829.536360650688</t>
  </si>
  <si>
    <t>9763-20170724T115605.426842800.bin</t>
  </si>
  <si>
    <t>-613.654075420519 31.0405134445293 -93.1928362372614</t>
  </si>
  <si>
    <t>-633.328364874656 26.3737248739046 -202.04420520281</t>
  </si>
  <si>
    <t>-646.574581623263 23.770332260088 -293.933302189427</t>
  </si>
  <si>
    <t>-658.148926656906 21.8418941275736 -377.002262910868</t>
  </si>
  <si>
    <t>-668.766179965718 20.3876819275174 -460.208612645506</t>
  </si>
  <si>
    <t>-683.235415583329 18.7761164263843 -581.999275752561</t>
  </si>
  <si>
    <t>-674.176703370397 23.6658017178402 -659.67969463518</t>
  </si>
  <si>
    <t>-679.517895254751 50.7337680806916 -528.659431136356</t>
  </si>
  <si>
    <t>-659.624796812887 203.557855159427 -504.406223559481</t>
  </si>
  <si>
    <t>-617.562640469742 223.021026141827 -226.142681265485</t>
  </si>
  <si>
    <t>-402.848060341257 137.638678295696 -202.562248661321</t>
  </si>
  <si>
    <t>-625.418608974435 122.121747667728 -96.8266026100322</t>
  </si>
  <si>
    <t>-640.940637884115 139.213567871984 318.106554529496</t>
  </si>
  <si>
    <t>-671.477180879785 183.922788809014 778.026906065796</t>
  </si>
  <si>
    <t>-520.903191173556 187.146250223918 834.603510544342</t>
  </si>
  <si>
    <t>-605.732128476494 -76.1366768577227 322.320576803348</t>
  </si>
  <si>
    <t>-651.974905341704 -106.757127712953 781.909633512834</t>
  </si>
  <si>
    <t>-498.585641150782 -116.702319751728 829.413922715661</t>
  </si>
  <si>
    <t>9763-20170724T115605.457945400.bin</t>
  </si>
  <si>
    <t>-614.120219395972 30.9910965394311 -93.1638566072342</t>
  </si>
  <si>
    <t>-633.692683482878 26.2965926598679 -202.032524388347</t>
  </si>
  <si>
    <t>-646.765008776278 23.7703403488806 -293.948518817798</t>
  </si>
  <si>
    <t>-658.145844815295 21.9489590025175 -377.046648062952</t>
  </si>
  <si>
    <t>-668.532709256719 20.6398681391925 -460.284506416215</t>
  </si>
  <si>
    <t>-682.624100430326 19.281923738924 -582.122543280094</t>
  </si>
  <si>
    <t>-673.603492702525 24.4628740617754 -659.788459046949</t>
  </si>
  <si>
    <t>-679.118637459022 51.1244532786027 -528.699658498997</t>
  </si>
  <si>
    <t>-659.506425769501 203.906842078179 -503.970596605201</t>
  </si>
  <si>
    <t>-616.682097701807 222.216884342561 -225.745000579024</t>
  </si>
  <si>
    <t>-402.360862254095 135.834201605976 -202.229768416889</t>
  </si>
  <si>
    <t>-626.17642779169 121.944496419084 -96.7743526556665</t>
  </si>
  <si>
    <t>-641.44648118486 139.252073644399 318.159211197645</t>
  </si>
  <si>
    <t>-671.491208918029 183.926854313813 778.109143096112</t>
  </si>
  <si>
    <t>-520.900959195013 187.296908228472 834.633789748431</t>
  </si>
  <si>
    <t>-605.985867315727 -76.230310626426 322.308880997136</t>
  </si>
  <si>
    <t>-652.048013467761 -106.77500174721 781.903216487252</t>
  </si>
  <si>
    <t>-498.619475935611 -116.494270573788 829.3272635851</t>
  </si>
  <si>
    <t>9763-20170724T115605.525126400.bin</t>
  </si>
  <si>
    <t>-615.197753437243 30.758000321689 -93.1567412189571</t>
  </si>
  <si>
    <t>-634.437079421279 26.0182236813052 -202.082800937312</t>
  </si>
  <si>
    <t>-647.052769325183 23.5942072203404 -294.065386517844</t>
  </si>
  <si>
    <t>-657.948390843333 21.9158632989981 -377.231490690369</t>
  </si>
  <si>
    <t>-667.775850173089 20.8005381812638 -460.540055133811</t>
  </si>
  <si>
    <t>-680.966942249414 19.7801377631249 -582.482180342541</t>
  </si>
  <si>
    <t>-671.861482348505 25.41209357921 -660.106845209409</t>
  </si>
  <si>
    <t>-677.8438094201 51.4756007511751 -528.948266287765</t>
  </si>
  <si>
    <t>-658.648826958036 204.199175250619 -503.597781941724</t>
  </si>
  <si>
    <t>-614.382996644918 220.744321888405 -225.487478725727</t>
  </si>
  <si>
    <t>-400.964262803475 132.323865752227 -201.346036409965</t>
  </si>
  <si>
    <t>-627.746933293836 121.555823738033 -96.722877057207</t>
  </si>
  <si>
    <t>-642.575067551602 139.346019268553 318.20631114616</t>
  </si>
  <si>
    <t>-671.481101159758 184.077343106443 778.238148515805</t>
  </si>
  <si>
    <t>-520.847019283884 187.285560214539 834.655293314181</t>
  </si>
  <si>
    <t>-606.577335922409 -76.5802412810417 322.25995610356</t>
  </si>
  <si>
    <t>-652.211708992839 -106.863726881512 781.892156674718</t>
  </si>
  <si>
    <t>-498.735838643685 -116.666172779255 829.145652759216</t>
  </si>
  <si>
    <t>9763-20170724T115605.591371900.bin</t>
  </si>
  <si>
    <t>-616.411383303853 30.2211268853594 -93.1746585964148</t>
  </si>
  <si>
    <t>-635.323080855028 25.4682852107421 -202.157543271113</t>
  </si>
  <si>
    <t>-647.552796155622 23.0948414778991 -294.193581779807</t>
  </si>
  <si>
    <t>-658.054023226365 21.4836080622747 -377.411759734629</t>
  </si>
  <si>
    <t>-667.440149697261 20.4558017653221 -460.772337055877</t>
  </si>
  <si>
    <t>-679.933710865832 19.584077161288 -582.789016248827</t>
  </si>
  <si>
    <t>-670.560734016701 25.4819612774324 -660.361954536049</t>
  </si>
  <si>
    <t>-677.041865541635 51.2205726851234 -529.207216025821</t>
  </si>
  <si>
    <t>-657.532230939102 203.840538761221 -503.418747140334</t>
  </si>
  <si>
    <t>-611.909852286887 218.078220535438 -225.399947691092</t>
  </si>
  <si>
    <t>-399.613002244768 127.422264774039 -199.708086723155</t>
  </si>
  <si>
    <t>-629.25329909041 120.873456004545 -96.7216987989034</t>
  </si>
  <si>
    <t>-643.615735582035 139.220252560087 318.199682611368</t>
  </si>
  <si>
    <t>-671.498190427806 184.115467107521 778.303372794321</t>
  </si>
  <si>
    <t>-520.821846233701 187.434286643649 834.601165960308</t>
  </si>
  <si>
    <t>-607.36014545237 -77.1073128262437 322.20597471331</t>
  </si>
  <si>
    <t>-652.391081742192 -106.955733229314 781.888101094133</t>
  </si>
  <si>
    <t>-498.864806149384 -116.901018182512 828.947596330587</t>
  </si>
  <si>
    <t>9763-20170724T115605.623960100.bin</t>
  </si>
  <si>
    <t>-617.036226862392 29.8764629202547 -93.2014696080705</t>
  </si>
  <si>
    <t>-635.817127534677 25.1182568009847 -202.20663214107</t>
  </si>
  <si>
    <t>-647.847258675449 22.7775599920276 -294.269870843711</t>
  </si>
  <si>
    <t>-658.131418187013 21.2098068816783 -377.515999750123</t>
  </si>
  <si>
    <t>-667.262852300759 20.2379074978503 -460.905413000573</t>
  </si>
  <si>
    <t>-679.34230054672 19.4605417520575 -582.964401695112</t>
  </si>
  <si>
    <t>-669.774847332914 25.4588927122115 -660.506023940819</t>
  </si>
  <si>
    <t>-676.551052836595 51.0622853525731 -529.356856268322</t>
  </si>
  <si>
    <t>-656.635103266738 203.583082738963 -503.433913260857</t>
  </si>
  <si>
    <t>-610.553962572492 216.915437075852 -225.445941764772</t>
  </si>
  <si>
    <t>-398.84447247424 125.091338800852 -199.064810777456</t>
  </si>
  <si>
    <t>-629.944053336165 120.501806331779 -96.7471363022732</t>
  </si>
  <si>
    <t>-644.091812959663 139.126876123351 318.169175180462</t>
  </si>
  <si>
    <t>-671.510501541904 184.103499525479 778.305194760651</t>
  </si>
  <si>
    <t>-520.81427429723 187.429871011821 834.549339906733</t>
  </si>
  <si>
    <t>-607.823437047123 -77.4210583481006 322.168548638399</t>
  </si>
  <si>
    <t>-652.482834777569 -107.010932415769 781.887897277519</t>
  </si>
  <si>
    <t>-498.918257018623 -116.838948872116 828.847008059561</t>
  </si>
  <si>
    <t>9763-20170724T115605.664373500.bin</t>
  </si>
  <si>
    <t>-617.670962137237 29.532320939554 -93.2679620509907</t>
  </si>
  <si>
    <t>-636.321951000883 24.7766443799994 -202.295625316378</t>
  </si>
  <si>
    <t>-648.170156319698 22.4635645623164 -294.383122693062</t>
  </si>
  <si>
    <t>-658.260042911962 20.9309914729383 -377.653515436127</t>
  </si>
  <si>
    <t>-667.166584759991 20.0022749271157 -461.067969080837</t>
  </si>
  <si>
    <t>-678.883092269796 19.2958801462444 -583.162754084524</t>
  </si>
  <si>
    <t>-669.115782086659 25.3505110648293 -660.67497976771</t>
  </si>
  <si>
    <t>-676.138962342164 50.8753978549496 -529.539457553997</t>
  </si>
  <si>
    <t>-655.719043074574 203.329183707303 -503.464489503586</t>
  </si>
  <si>
    <t>-609.422412676024 215.852426103461 -225.474680943395</t>
  </si>
  <si>
    <t>-398.376724470385 122.664017888542 -198.56408599271</t>
  </si>
  <si>
    <t>-630.577427595924 120.181813549357 -96.8070571492417</t>
  </si>
  <si>
    <t>-644.495825859272 139.059608080272 318.105638981317</t>
  </si>
  <si>
    <t>-671.499586430054 184.194239584848 778.278979049356</t>
  </si>
  <si>
    <t>-520.785636826615 187.436735467626 834.48059975792</t>
  </si>
  <si>
    <t>-608.32186349882 -77.6861543012337 322.126092101089</t>
  </si>
  <si>
    <t>-652.564079914866 -107.048376572136 781.89052773895</t>
  </si>
  <si>
    <t>-498.957648087134 -116.671082727878 828.75513243391</t>
  </si>
  <si>
    <t>9763-20170724T115605.725536700.bin</t>
  </si>
  <si>
    <t>-618.787681032198 28.4902849751693 -93.3936777039338</t>
  </si>
  <si>
    <t>-637.17501154074 23.7451550119347 -202.466427119011</t>
  </si>
  <si>
    <t>-648.70989918661 21.3862925489493 -294.592711870818</t>
  </si>
  <si>
    <t>-658.480101005827 19.7914750924547 -377.900124249262</t>
  </si>
  <si>
    <t>-667.02931040379 18.7764470874552 -461.350737146606</t>
  </si>
  <si>
    <t>-678.18203754826 17.9156616804667 -583.49737427819</t>
  </si>
  <si>
    <t>-668.048275620803 23.918674660883 -660.966651788684</t>
  </si>
  <si>
    <t>-675.485382494158 49.5774868205342 -529.920490460783</t>
  </si>
  <si>
    <t>-654.189638818222 201.919344868526 -503.917745241363</t>
  </si>
  <si>
    <t>-607.675236903019 213.041014540231 -225.904751748907</t>
  </si>
  <si>
    <t>-398.011031769349 116.911398564631 -198.544926947012</t>
  </si>
  <si>
    <t>-631.469040403425 119.241930251321 -96.9630478673879</t>
  </si>
  <si>
    <t>-645.103476796751 138.661928128798 317.934003693738</t>
  </si>
  <si>
    <t>-671.483428025149 184.245793926403 778.13331811013</t>
  </si>
  <si>
    <t>-520.751230132359 187.519471271029 834.284113873054</t>
  </si>
  <si>
    <t>-609.387995383203 -78.6228704098878 322.027010646508</t>
  </si>
  <si>
    <t>-652.819048260705 -107.172785019085 781.898946068264</t>
  </si>
  <si>
    <t>-499.143528387947 -117.197396943732 828.451795602114</t>
  </si>
  <si>
    <t>9763-20170724T115605.761634800.bin</t>
  </si>
  <si>
    <t>-619.272708070521 27.9326346609948 -93.4959881938667</t>
  </si>
  <si>
    <t>-637.51826880499 23.1700853382686 -202.591898777867</t>
  </si>
  <si>
    <t>-648.930217015581 20.7610985594522 -294.732007635045</t>
  </si>
  <si>
    <t>-658.588019185871 19.1074861753348 -378.051442352266</t>
  </si>
  <si>
    <t>-667.023475904326 18.018537317193 -461.512778160157</t>
  </si>
  <si>
    <t>-678.008247048091 17.0330764164837 -583.673725515739</t>
  </si>
  <si>
    <t>-667.728532362173 22.9645965628563 -661.129252317245</t>
  </si>
  <si>
    <t>-675.31758301981 48.7544278399705 -530.131440981285</t>
  </si>
  <si>
    <t>-653.668361218342 201.070391748579 -504.247323544395</t>
  </si>
  <si>
    <t>-607.034559582867 211.732841116313 -226.236210818269</t>
  </si>
  <si>
    <t>-397.866693982093 114.598615351782 -198.626932153899</t>
  </si>
  <si>
    <t>-631.889422139523 118.748946019873 -97.0852015978572</t>
  </si>
  <si>
    <t>-645.318385542483 138.469968510136 317.804346969884</t>
  </si>
  <si>
    <t>-671.454571575313 184.342881521745 778.0169373726</t>
  </si>
  <si>
    <t>-520.715443028392 187.523507497535 834.154331451857</t>
  </si>
  <si>
    <t>-609.962759893836 -79.1105769557394 321.955268530973</t>
  </si>
  <si>
    <t>-652.962281030715 -107.229183309661 781.885198436846</t>
  </si>
  <si>
    <t>-499.224699345315 -117.112766247024 828.262978917487</t>
  </si>
  <si>
    <t>9763-20170724T115605.825810100.bin</t>
  </si>
  <si>
    <t>-620.089912719785 26.6044345449677 -93.6922000843122</t>
  </si>
  <si>
    <t>-638.024174570447 21.8396805582404 -202.839620727825</t>
  </si>
  <si>
    <t>-649.244561010708 19.3837145251869 -295.002015179461</t>
  </si>
  <si>
    <t>-658.757426090125 17.6701199779864 -378.336901633282</t>
  </si>
  <si>
    <t>-667.075566342256 16.5014876275077 -461.808944200531</t>
  </si>
  <si>
    <t>-677.919045030352 15.3770370916245 -583.981210113799</t>
  </si>
  <si>
    <t>-667.325749456139 21.1018443002642 -661.410025520387</t>
  </si>
  <si>
    <t>-675.14396440104 47.1686537558141 -530.485254409218</t>
  </si>
  <si>
    <t>-652.454099793497 199.369428298271 -504.771408300739</t>
  </si>
  <si>
    <t>-605.481772138807 209.738115708192 -226.806128185823</t>
  </si>
  <si>
    <t>-397.1290584123 110.632670524074 -200.052242162486</t>
  </si>
  <si>
    <t>-632.610488286429 117.443907718738 -97.3120959105614</t>
  </si>
  <si>
    <t>-645.817292913049 137.862645372997 317.550824395899</t>
  </si>
  <si>
    <t>-671.455640795384 184.278501337684 777.752726012165</t>
  </si>
  <si>
    <t>-520.707910764517 187.633848533198 833.857028721529</t>
  </si>
  <si>
    <t>-610.882574133698 -80.3048025862076 321.796942167583</t>
  </si>
  <si>
    <t>-653.163149182955 -107.320463581985 781.869765026413</t>
  </si>
  <si>
    <t>-499.357171646091 -117.313420842733 827.996605919567</t>
  </si>
  <si>
    <t>9763-20170724T115605.890546000.bin</t>
  </si>
  <si>
    <t>-620.288398317472 25.4802272725428 -93.7840332642041</t>
  </si>
  <si>
    <t>-638.133231562445 20.7046387991545 -202.945677118843</t>
  </si>
  <si>
    <t>-649.416374920866 18.1515372282988 -295.097764881108</t>
  </si>
  <si>
    <t>-659.041980427545 16.3161301116686 -378.417185510489</t>
  </si>
  <si>
    <t>-667.529225221663 14.9911318849781 -461.86984959863</t>
  </si>
  <si>
    <t>-678.682152369717 13.5998124461137 -584.011470011226</t>
  </si>
  <si>
    <t>-667.825726946952 18.9647800849243 -661.429576863761</t>
  </si>
  <si>
    <t>-675.689543539742 45.5133039012915 -530.599643571035</t>
  </si>
  <si>
    <t>-652.15416412399 197.590337642214 -505.009332899209</t>
  </si>
  <si>
    <t>-604.105606721135 207.527143217857 -227.21235714997</t>
  </si>
  <si>
    <t>-396.148556503932 107.208372787883 -201.942778929603</t>
  </si>
  <si>
    <t>-632.806181431989 116.339901160908 -97.4879084506126</t>
  </si>
  <si>
    <t>-645.799970048466 137.4137390659 317.349010302526</t>
  </si>
  <si>
    <t>-671.405837020569 184.350093718349 777.465166822464</t>
  </si>
  <si>
    <t>-520.654607692498 187.538486766914 833.569663996904</t>
  </si>
  <si>
    <t>-611.217603677101 -81.2263765461241 321.708293427314</t>
  </si>
  <si>
    <t>-653.217348771129 -107.494377055622 781.868726362647</t>
  </si>
  <si>
    <t>-499.419254590848 -117.480992706349 828.023197758691</t>
  </si>
  <si>
    <t>9763-20170724T115605.929164300.bin</t>
  </si>
  <si>
    <t>-620.198336825369 25.0840324789415 -93.8301072361669</t>
  </si>
  <si>
    <t>-638.109209859504 20.3136550969111 -202.981079120633</t>
  </si>
  <si>
    <t>-649.50781615435 17.738340971508 -295.118326847028</t>
  </si>
  <si>
    <t>-659.262100520941 15.8729361830717 -378.422011229229</t>
  </si>
  <si>
    <t>-667.902842246636 14.5080929839344 -461.858320195585</t>
  </si>
  <si>
    <t>-679.307486876524 13.0487385122315 -583.976044163021</t>
  </si>
  <si>
    <t>-668.380340468292 18.2381765338891 -661.396124732891</t>
  </si>
  <si>
    <t>-676.225348800998 44.9908215670332 -530.586371254334</t>
  </si>
  <si>
    <t>-652.68088302564 197.065526219606 -505.000597564805</t>
  </si>
  <si>
    <t>-603.624838764944 206.665880305287 -227.367821821243</t>
  </si>
  <si>
    <t>-395.677851385236 106.041522988554 -203.257261998395</t>
  </si>
  <si>
    <t>-632.754879315354 115.968914983559 -97.5480884826885</t>
  </si>
  <si>
    <t>-645.619303620872 137.158094157246 317.286931287746</t>
  </si>
  <si>
    <t>-671.389526636564 184.301809686592 777.357439110569</t>
  </si>
  <si>
    <t>-520.644696030696 187.691573459842 833.467419368389</t>
  </si>
  <si>
    <t>-611.116826686869 -81.4774190631326 321.690374096343</t>
  </si>
  <si>
    <t>-653.165125203452 -107.572667921397 781.880458186197</t>
  </si>
  <si>
    <t>-499.408587709207 -117.521306511134 828.181411420835</t>
  </si>
  <si>
    <t>9763-20170724T115605.960753100.bin</t>
  </si>
  <si>
    <t>-620.026394173027 24.8035547144243 -93.8819894277714</t>
  </si>
  <si>
    <t>-638.015462013788 20.015334815005 -203.019346927667</t>
  </si>
  <si>
    <t>-649.535709901686 17.4341631377772 -295.141327076509</t>
  </si>
  <si>
    <t>-659.422491105557 15.5670089697137 -378.429342680414</t>
  </si>
  <si>
    <t>-668.218544821192 14.2058933602154 -461.849441536567</t>
  </si>
  <si>
    <t>-679.875598800033 12.7580357387124 -583.943475895721</t>
  </si>
  <si>
    <t>-668.919088458377 17.7933007391728 -661.369615854179</t>
  </si>
  <si>
    <t>-676.749118548604 44.6909541532714 -530.550974524043</t>
  </si>
  <si>
    <t>-653.338179111403 196.774116410604 -504.902705511715</t>
  </si>
  <si>
    <t>-603.16423232651 205.921575851717 -227.454572140863</t>
  </si>
  <si>
    <t>-394.964310844571 105.529348170228 -204.591325152174</t>
  </si>
  <si>
    <t>-632.6647312152 115.707873940818 -97.6032073965323</t>
  </si>
  <si>
    <t>-645.356044419626 136.994219593131 317.232249529116</t>
  </si>
  <si>
    <t>-671.356124606933 184.268843585643 777.263974693012</t>
  </si>
  <si>
    <t>-520.620173629335 187.642096288177 833.398778077695</t>
  </si>
  <si>
    <t>-610.87849685619 -81.614223475621 321.690028842996</t>
  </si>
  <si>
    <t>-653.086947762416 -107.570402004011 781.902199024324</t>
  </si>
  <si>
    <t>-499.354835566429 -117.138092359522 828.364197947472</t>
  </si>
  <si>
    <t>9763-20170724T115606.024470000.bin</t>
  </si>
  <si>
    <t>-619.404788923674 24.4612769707264 -93.8768436551973</t>
  </si>
  <si>
    <t>-637.580515839492 19.6177358893622 -202.980853540842</t>
  </si>
  <si>
    <t>-649.396922081244 17.0611722305016 -295.06596170173</t>
  </si>
  <si>
    <t>-659.606686331101 15.2430010948492 -378.316152138525</t>
  </si>
  <si>
    <t>-668.781764394712 13.961220058344 -461.69659764787</t>
  </si>
  <si>
    <t>-681.054494177496 12.6639444952655 -583.73198630203</t>
  </si>
  <si>
    <t>-670.20473424471 17.5196664707362 -661.184712544662</t>
  </si>
  <si>
    <t>-677.848543471877 44.5183381582538 -530.297337094623</t>
  </si>
  <si>
    <t>-654.990424490267 196.644114625953 -504.367491075219</t>
  </si>
  <si>
    <t>-602.306736900025 204.254760116073 -227.338524348746</t>
  </si>
  <si>
    <t>-393.120843453655 105.18847617122 -207.95645136048</t>
  </si>
  <si>
    <t>-632.3479603715 115.148514546481 -97.576001454778</t>
  </si>
  <si>
    <t>-644.897549279505 136.657034143991 317.252317317559</t>
  </si>
  <si>
    <t>-671.311679767369 184.204204133856 777.184673554327</t>
  </si>
  <si>
    <t>-520.582541369468 187.69370053075 833.330670329889</t>
  </si>
  <si>
    <t>-610.14188943519 -81.8089768290019 321.727935632081</t>
  </si>
  <si>
    <t>-652.905015525102 -107.680334955937 781.925122878009</t>
  </si>
  <si>
    <t>-499.29447242836 -117.172634717164 828.802852864053</t>
  </si>
  <si>
    <t>9763-20170724T115606.060596700.bin</t>
  </si>
  <si>
    <t>-619.002478305823 24.3193817736442 -93.8113185482846</t>
  </si>
  <si>
    <t>-637.298019662406 19.4243541303656 -202.893023920056</t>
  </si>
  <si>
    <t>-649.280640723154 16.8771967447326 -294.95703674403</t>
  </si>
  <si>
    <t>-659.666376229763 15.0872370652155 -378.185883462312</t>
  </si>
  <si>
    <t>-669.043503713709 13.8552513739405 -461.544723108986</t>
  </si>
  <si>
    <t>-681.640042857625 12.6551416405016 -583.547954673756</t>
  </si>
  <si>
    <t>-670.867741110573 17.4795350297061 -661.013459629721</t>
  </si>
  <si>
    <t>-678.383802335016 44.460583185667 -530.08723219536</t>
  </si>
  <si>
    <t>-655.79271883768 196.59054484877 -503.96244210278</t>
  </si>
  <si>
    <t>-601.833802617787 203.586993571373 -227.16268514035</t>
  </si>
  <si>
    <t>-392.165884077441 105.264892852581 -209.255893958352</t>
  </si>
  <si>
    <t>-632.178136434907 114.829089411086 -97.5169568695316</t>
  </si>
  <si>
    <t>-644.769095380515 136.40821807849 317.306318686113</t>
  </si>
  <si>
    <t>-671.301143886395 184.134885744304 777.188593968925</t>
  </si>
  <si>
    <t>-520.573018200571 187.899600104044 833.319482681024</t>
  </si>
  <si>
    <t>-609.654143552197 -81.849995336406 321.797542927088</t>
  </si>
  <si>
    <t>-652.800678259581 -107.740291271008 781.950507865293</t>
  </si>
  <si>
    <t>-499.2863691914 -117.571745389672 829.072948209516</t>
  </si>
  <si>
    <t>9763-20170724T115606.126273400.bin</t>
  </si>
  <si>
    <t>-618.237229379122 24.1345146607969 -93.6744042684026</t>
  </si>
  <si>
    <t>-636.744605792784 19.1559031244199 -202.716427294428</t>
  </si>
  <si>
    <t>-649.064428497444 16.6537096553247 -294.737132756414</t>
  </si>
  <si>
    <t>-659.81768000621 14.9481432317625 -377.921231418302</t>
  </si>
  <si>
    <t>-669.625754629961 13.848150238327 -461.232313676274</t>
  </si>
  <si>
    <t>-682.921580724028 12.8946877475753 -583.163494096749</t>
  </si>
  <si>
    <t>-672.296507443916 17.7146867889426 -660.649649655268</t>
  </si>
  <si>
    <t>-679.549735469305 44.5775043180638 -529.637106675292</t>
  </si>
  <si>
    <t>-657.430062860382 196.690771830238 -503.025772402292</t>
  </si>
  <si>
    <t>-600.609418372511 202.769215056967 -226.777541492858</t>
  </si>
  <si>
    <t>-390.162943545783 105.670589849278 -211.523927996855</t>
  </si>
  <si>
    <t>-631.8305531165 114.508803317918 -97.3915270112319</t>
  </si>
  <si>
    <t>-644.376098235642 136.107402602182 317.432191065858</t>
  </si>
  <si>
    <t>-671.229187890005 184.179806389776 777.226998082136</t>
  </si>
  <si>
    <t>-520.499566777284 187.919675823904 833.355550711698</t>
  </si>
  <si>
    <t>-608.612218110899 -81.7501927582719 321.943620253635</t>
  </si>
  <si>
    <t>-652.616249475717 -107.741849498071 781.998472122115</t>
  </si>
  <si>
    <t>-499.203952609944 -117.254649944347 829.516856554726</t>
  </si>
  <si>
    <t>9763-20170724T115606.157356600.bin</t>
  </si>
  <si>
    <t>-617.890078014898 24.1001790327352 -93.5911281717822</t>
  </si>
  <si>
    <t>-636.514259054002 19.0802510064957 -202.611444490544</t>
  </si>
  <si>
    <t>-649.008316006628 16.5807445212477 -294.608655465684</t>
  </si>
  <si>
    <t>-659.949231944894 14.8908912572226 -377.768619629946</t>
  </si>
  <si>
    <t>-669.975494622493 13.8220382366089 -461.054022153651</t>
  </si>
  <si>
    <t>-683.623854850682 12.9316416756787 -582.946932975681</t>
  </si>
  <si>
    <t>-673.080950008121 17.7463264629157 -660.444505009496</t>
  </si>
  <si>
    <t>-680.197426687861 44.5785918870822 -529.402883522034</t>
  </si>
  <si>
    <t>-658.493480899593 196.738668651914 -502.628860064754</t>
  </si>
  <si>
    <t>-600.037762891043 202.261473723371 -226.710346596822</t>
  </si>
  <si>
    <t>-389.24734287401 105.7151370957 -212.755361656223</t>
  </si>
  <si>
    <t>-631.739055868021 114.409299214644 -97.3122663780975</t>
  </si>
  <si>
    <t>-644.134955603252 136.022199782547 317.515220451292</t>
  </si>
  <si>
    <t>-671.187095929942 184.221148936973 777.267999241947</t>
  </si>
  <si>
    <t>-520.459321469184 188.046722533152 833.395589437485</t>
  </si>
  <si>
    <t>-608.169037514484 -81.669875549818 322.011639426031</t>
  </si>
  <si>
    <t>-652.567946713303 -107.766651584414 782.013693325936</t>
  </si>
  <si>
    <t>-499.195194592275 -117.2273402039 829.669973369119</t>
  </si>
  <si>
    <t>9763-20170724T115606.229564100.bin</t>
  </si>
  <si>
    <t>-617.201799718506 24.1049367294031 -93.4991612750906</t>
  </si>
  <si>
    <t>-635.942491403444 19.0194537531602 -202.496517448325</t>
  </si>
  <si>
    <t>-648.728510200522 16.5598197056161 -294.454687724588</t>
  </si>
  <si>
    <t>-660.010039232866 14.9419428649221 -377.570540764454</t>
  </si>
  <si>
    <t>-670.454139997216 13.984097364437 -460.806054588083</t>
  </si>
  <si>
    <t>-684.797978325656 13.2993448476495 -582.620181682342</t>
  </si>
  <si>
    <t>-674.45118869083 18.1055004431039 -660.144781291851</t>
  </si>
  <si>
    <t>-681.193060151293 44.8452492766326 -529.028219731327</t>
  </si>
  <si>
    <t>-660.051741294909 197.024438305949 -502.013977551055</t>
  </si>
  <si>
    <t>-598.839042455577 202.0051211734 -226.683540155587</t>
  </si>
  <si>
    <t>-387.647963828583 105.968690081227 -215.554417851594</t>
  </si>
  <si>
    <t>-631.39004995727 114.250963274549 -97.1719628000271</t>
  </si>
  <si>
    <t>-643.83931346153 135.918802159587 317.651038098678</t>
  </si>
  <si>
    <t>-671.124949137468 184.196063724981 777.367033339797</t>
  </si>
  <si>
    <t>-520.403152520002 188.098022939602 833.505586697414</t>
  </si>
  <si>
    <t>-607.461856198022 -81.5504800346973 322.10002506125</t>
  </si>
  <si>
    <t>-652.566036265554 -107.789269260761 782.020348866042</t>
  </si>
  <si>
    <t>-499.228658865825 -117.258045215811 829.788598186552</t>
  </si>
  <si>
    <t>9763-20170724T115606.260653300.bin</t>
  </si>
  <si>
    <t>-616.884807402263 24.0347381216186 -93.450732381025</t>
  </si>
  <si>
    <t>-635.660829637227 18.9176619660436 -202.440584605973</t>
  </si>
  <si>
    <t>-648.605037777873 16.4764206648599 -294.377059724515</t>
  </si>
  <si>
    <t>-660.080840721825 14.8925716788708 -377.466917337471</t>
  </si>
  <si>
    <t>-670.770742387579 13.988065399056 -460.671807795238</t>
  </si>
  <si>
    <t>-685.530536976373 13.4027871924973 -582.436807843282</t>
  </si>
  <si>
    <t>-675.289658966695 18.1736653204496 -659.977616234433</t>
  </si>
  <si>
    <t>-681.805084288981 44.8994608819876 -528.824030509886</t>
  </si>
  <si>
    <t>-660.876914922725 197.103973895483 -501.644733971796</t>
  </si>
  <si>
    <t>-598.337242255921 201.820716996674 -226.608113426176</t>
  </si>
  <si>
    <t>-387.088773358145 105.809197270749 -216.390021538489</t>
  </si>
  <si>
    <t>-631.171127421412 114.098999917721 -97.1173168694778</t>
  </si>
  <si>
    <t>-643.642420248854 135.88478000392 317.698809518348</t>
  </si>
  <si>
    <t>-671.097713203001 184.179419552595 777.405181215488</t>
  </si>
  <si>
    <t>-520.384863610971 188.184946007715 833.560462706481</t>
  </si>
  <si>
    <t>-607.17097089101 -81.5817161920122 322.135524927296</t>
  </si>
  <si>
    <t>-652.626140103824 -107.766286760128 782.017481831502</t>
  </si>
  <si>
    <t>-499.249796924415 -116.887151361843 829.728351655082</t>
  </si>
  <si>
    <t>9763-20170724T115606.326337100.bin</t>
  </si>
  <si>
    <t>-616.492686369711 23.9833921099762 -93.3431986940024</t>
  </si>
  <si>
    <t>-635.391560844772 18.8251821968165 -202.309793361196</t>
  </si>
  <si>
    <t>-648.570608021517 16.3954150104007 -294.213295592826</t>
  </si>
  <si>
    <t>-660.3108132508 14.8382504901745 -377.266708457249</t>
  </si>
  <si>
    <t>-671.318288960263 13.9794592616499 -460.430584081931</t>
  </si>
  <si>
    <t>-686.600670979669 13.4831000742308 -582.131599325396</t>
  </si>
  <si>
    <t>-676.562998238142 18.1833532962371 -659.703291987951</t>
  </si>
  <si>
    <t>-682.810201439258 44.9254994834769 -528.49154503935</t>
  </si>
  <si>
    <t>-662.669355834868 197.163119519108 -501.081991862927</t>
  </si>
  <si>
    <t>-597.129042566356 201.553397307482 -226.739595082329</t>
  </si>
  <si>
    <t>-385.893986794045 105.385094202538 -217.798765254815</t>
  </si>
  <si>
    <t>-631.098582097677 114.018216928404 -97.0120097176989</t>
  </si>
  <si>
    <t>-643.444026591966 135.84409495741 317.805826845562</t>
  </si>
  <si>
    <t>-671.009811885163 184.281966541108 777.474656104391</t>
  </si>
  <si>
    <t>-520.304392276788 188.214658462334 833.654991144829</t>
  </si>
  <si>
    <t>-606.984204699255 -81.6879256534753 322.15639443625</t>
  </si>
  <si>
    <t>-652.930901433343 -107.739805087497 781.969196422293</t>
  </si>
  <si>
    <t>-499.42040588083 -116.762082355815 829.265677183887</t>
  </si>
  <si>
    <t>9763-20170724T115606.357920600.bin</t>
  </si>
  <si>
    <t>-616.450028850609 23.9544240001101 -93.3602321721045</t>
  </si>
  <si>
    <t>-635.430322390852 18.7680550114242 -202.311320676723</t>
  </si>
  <si>
    <t>-648.699684785313 16.3394095224776 -294.201797780109</t>
  </si>
  <si>
    <t>-660.52974343592 14.7917463057242 -377.242650579579</t>
  </si>
  <si>
    <t>-671.635194546474 13.951612546701 -460.393661497098</t>
  </si>
  <si>
    <t>-687.069537729946 13.492728531573 -582.075619953507</t>
  </si>
  <si>
    <t>-677.153678761943 18.1686036694023 -659.664453626813</t>
  </si>
  <si>
    <t>-683.233105128794 44.9164793750981 -528.428041615786</t>
  </si>
  <si>
    <t>-663.188086282657 197.184380938884 -500.945991630975</t>
  </si>
  <si>
    <t>-596.502832615844 201.43146502528 -226.877504222441</t>
  </si>
  <si>
    <t>-385.364336985219 105.006433445787 -218.434573570314</t>
  </si>
  <si>
    <t>-631.155141944622 113.922870967073 -96.9965261952862</t>
  </si>
  <si>
    <t>-643.387156644527 135.87320097686 317.818035227961</t>
  </si>
  <si>
    <t>-670.975330314656 184.308452782732 777.496232882541</t>
  </si>
  <si>
    <t>-520.274193709915 188.250174140041 833.687506821159</t>
  </si>
  <si>
    <t>-606.950753517262 -81.6747085317813 322.135476105712</t>
  </si>
  <si>
    <t>-653.190316699674 -107.732164666426 781.913975224412</t>
  </si>
  <si>
    <t>-499.575652293125 -117.015728783135 828.819962232629</t>
  </si>
  <si>
    <t>9763-20170724T115606.425599500.bin</t>
  </si>
  <si>
    <t>-616.797026549516 23.7145552545928 -93.424845951138</t>
  </si>
  <si>
    <t>-635.904709665617 18.5006271816253 -202.352361015323</t>
  </si>
  <si>
    <t>-649.238577947645 16.0450083359992 -294.232839136835</t>
  </si>
  <si>
    <t>-661.10931373672 14.4703416215964 -377.26745720197</t>
  </si>
  <si>
    <t>-672.237949705671 13.6004948494235 -460.414977724373</t>
  </si>
  <si>
    <t>-687.686724470487 13.094874024689 -582.094924413505</t>
  </si>
  <si>
    <t>-677.991583542097 17.7400901784231 -659.713662082131</t>
  </si>
  <si>
    <t>-683.848911284957 44.5388158554708 -528.459250071131</t>
  </si>
  <si>
    <t>-663.644682538243 196.76426832895 -501.030232918905</t>
  </si>
  <si>
    <t>-595.787011072906 200.962623753092 -227.248573422378</t>
  </si>
  <si>
    <t>-385.063676191958 103.645296030996 -218.673318717492</t>
  </si>
  <si>
    <t>-631.468351920287 113.709741103601 -97.0161779722912</t>
  </si>
  <si>
    <t>-643.485624860763 135.784531287795 317.798043621264</t>
  </si>
  <si>
    <t>-670.913854770689 184.404207254383 777.486607951901</t>
  </si>
  <si>
    <t>-520.222042525014 188.463611338005 833.694505799324</t>
  </si>
  <si>
    <t>-607.181999423647 -81.786507244494 322.037483341729</t>
  </si>
  <si>
    <t>-653.763822178548 -107.697198891935 781.755494657407</t>
  </si>
  <si>
    <t>-499.893151734683 -117.020777766945 827.806690688958</t>
  </si>
  <si>
    <t>9763-20170724T115606.460875700.bin</t>
  </si>
  <si>
    <t>-617.130897539497 23.6295268497215 -93.4772039476317</t>
  </si>
  <si>
    <t>-636.267202925524 18.4169587718143 -202.399720101023</t>
  </si>
  <si>
    <t>-649.599098042266 15.9443339834786 -294.280096379572</t>
  </si>
  <si>
    <t>-661.457682563293 14.3473200951737 -377.315937489071</t>
  </si>
  <si>
    <t>-672.563578486088 13.4478693391557 -460.466340073154</t>
  </si>
  <si>
    <t>-687.967677661883 12.8902935991173 -582.151711112675</t>
  </si>
  <si>
    <t>-678.409493148838 17.5279516835408 -659.787593465442</t>
  </si>
  <si>
    <t>-684.117506893888 44.3602151258924 -528.532008897911</t>
  </si>
  <si>
    <t>-663.729438805044 196.591105656755 -501.155610599684</t>
  </si>
  <si>
    <t>-595.519804360722 200.626625919521 -227.459126345274</t>
  </si>
  <si>
    <t>-384.851530078182 103.206309990036 -218.70165993115</t>
  </si>
  <si>
    <t>-631.725783331221 113.692628246088 -97.0559428348414</t>
  </si>
  <si>
    <t>-643.605461585721 135.810036334727 317.760005694293</t>
  </si>
  <si>
    <t>-670.897828778023 184.446864081276 777.475995756324</t>
  </si>
  <si>
    <t>-520.202451622808 188.549726487903 833.671162003953</t>
  </si>
  <si>
    <t>-607.46546420137 -81.8427468935072 321.984616128814</t>
  </si>
  <si>
    <t>-653.941159041152 -107.732897188047 781.718035324794</t>
  </si>
  <si>
    <t>-500.016338404691 -117.380844226465 827.520834583971</t>
  </si>
  <si>
    <t>9763-20170724T115606.525056900.bin</t>
  </si>
  <si>
    <t>-617.869156441065 23.4856968562181 -93.6091752749084</t>
  </si>
  <si>
    <t>-636.988999593548 18.2821626510638 -202.535053000622</t>
  </si>
  <si>
    <t>-650.283783767276 15.7579602684109 -294.419254520575</t>
  </si>
  <si>
    <t>-662.100101036102 14.0927862743374 -377.459918041612</t>
  </si>
  <si>
    <t>-673.154735114833 13.1018625978079 -460.615987843769</t>
  </si>
  <si>
    <t>-688.474139171669 12.3846053277953 -582.311294285449</t>
  </si>
  <si>
    <t>-679.202850436503 16.968315686506 -659.985195994156</t>
  </si>
  <si>
    <t>-684.548567021762 43.9351204192724 -528.744455806213</t>
  </si>
  <si>
    <t>-663.453714723997 196.10532932231 -501.624516759475</t>
  </si>
  <si>
    <t>-595.215821088059 200.141688010503 -227.935149476997</t>
  </si>
  <si>
    <t>-384.803660182006 102.145388391159 -219.450839924107</t>
  </si>
  <si>
    <t>-632.120222821065 113.670633213678 -97.1829257048323</t>
  </si>
  <si>
    <t>-643.87461824869 135.934938570929 317.628724480411</t>
  </si>
  <si>
    <t>-670.867869341605 184.595381624127 777.401511998956</t>
  </si>
  <si>
    <t>-520.160718279461 188.651386376219 833.568499619054</t>
  </si>
  <si>
    <t>-608.256334651709 -82.0101647975357 321.885176667996</t>
  </si>
  <si>
    <t>-654.163171511023 -107.842848678088 781.689356269087</t>
  </si>
  <si>
    <t>-500.153109336892 -117.49578620996 827.203566712041</t>
  </si>
  <si>
    <t>9763-20170724T115606.562156100.bin</t>
  </si>
  <si>
    <t>-618.25805570938 23.4295622162319 -93.6564060104489</t>
  </si>
  <si>
    <t>-637.378848662401 18.2312713495303 -202.582378549233</t>
  </si>
  <si>
    <t>-650.636462077022 15.6510161837223 -294.470420332643</t>
  </si>
  <si>
    <t>-662.404372775901 13.9125439306852 -377.516361898018</t>
  </si>
  <si>
    <t>-673.395914526592 12.8237995577615 -460.679701334212</t>
  </si>
  <si>
    <t>-688.606948287552 11.9369898532275 -582.387362194227</t>
  </si>
  <si>
    <t>-679.422173424434 16.448940638561 -660.075793707566</t>
  </si>
  <si>
    <t>-684.662532720969 43.5681130864923 -528.869456632398</t>
  </si>
  <si>
    <t>-663.215980242663 195.739565996427 -502.003878106164</t>
  </si>
  <si>
    <t>-595.097221614263 199.9062726889 -228.286772359778</t>
  </si>
  <si>
    <t>-384.894171590753 101.442959153055 -220.029339244396</t>
  </si>
  <si>
    <t>-632.35511346006 113.702953175714 -97.2578571465917</t>
  </si>
  <si>
    <t>-644.005699275899 136.03033816957 317.55332973519</t>
  </si>
  <si>
    <t>-670.861397076599 184.652262492087 777.352620782371</t>
  </si>
  <si>
    <t>-520.144908445719 188.623225499936 833.500612202229</t>
  </si>
  <si>
    <t>-608.630315971006 -82.0839289701505 321.849401157644</t>
  </si>
  <si>
    <t>-654.198133430305 -107.939808187492 781.709867011131</t>
  </si>
  <si>
    <t>-500.207580784482 -117.956596481052 827.211446593678</t>
  </si>
  <si>
    <t>9763-20170724T115606.627355400.bin</t>
  </si>
  <si>
    <t>-619.131636526386 23.5366218881029 -93.7493316611251</t>
  </si>
  <si>
    <t>-638.24912913569 18.360604272307 -202.676940710541</t>
  </si>
  <si>
    <t>-651.419484755775 15.6675586655099 -294.574319439849</t>
  </si>
  <si>
    <t>-663.07572610911 13.7760056425893 -377.632644085551</t>
  </si>
  <si>
    <t>-673.922866053937 12.4808495756456 -460.811873864637</t>
  </si>
  <si>
    <t>-688.88735585293 11.2330542795673 -582.54707225025</t>
  </si>
  <si>
    <t>-679.814238152199 15.6027523878413 -660.25671987532</t>
  </si>
  <si>
    <t>-684.952983986367 43.0311802472493 -529.127583039866</t>
  </si>
  <si>
    <t>-662.906188936467 195.196854029597 -502.741138922197</t>
  </si>
  <si>
    <t>-594.800911818046 199.466926533773 -229.022297869937</t>
  </si>
  <si>
    <t>-384.89689601627 100.31094883408 -221.477068853194</t>
  </si>
  <si>
    <t>-633.054820711801 114.012218406142 -97.3884301466934</t>
  </si>
  <si>
    <t>-644.389250178891 136.268535402832 317.435375893495</t>
  </si>
  <si>
    <t>-670.827363058065 184.817782462631 777.259641860857</t>
  </si>
  <si>
    <t>-520.091953337334 188.629607008625 833.36787601094</t>
  </si>
  <si>
    <t>-609.276873918773 -81.9873206308062 321.803901608181</t>
  </si>
  <si>
    <t>-654.272150643736 -108.000671516799 781.726584913998</t>
  </si>
  <si>
    <t>-500.253157571497 -117.803834559019 827.178462979671</t>
  </si>
  <si>
    <t>9763-20170724T115606.657057100.bin</t>
  </si>
  <si>
    <t>-619.5304879155 23.6731390457367 -93.7899824864147</t>
  </si>
  <si>
    <t>-638.652128741351 18.4761191634102 -202.715895335373</t>
  </si>
  <si>
    <t>-651.795208363633 15.7110382751393 -294.615034419885</t>
  </si>
  <si>
    <t>-663.414801007835 13.7322870603236 -377.676420759212</t>
  </si>
  <si>
    <t>-674.213232163816 12.3274726685704 -460.860295875839</t>
  </si>
  <si>
    <t>-689.093395523088 10.8944415467672 -582.603693313899</t>
  </si>
  <si>
    <t>-680.05597687713 15.1828092597832 -660.322081824816</t>
  </si>
  <si>
    <t>-685.16524045696 42.7763441480624 -529.233804878626</t>
  </si>
  <si>
    <t>-662.883802730639 194.952643018718 -503.078066667374</t>
  </si>
  <si>
    <t>-594.633015719904 199.312316151804 -229.396798367641</t>
  </si>
  <si>
    <t>-384.816405811445 99.9502077115583 -222.138428384131</t>
  </si>
  <si>
    <t>-633.441939178689 114.164428992569 -97.4605415314534</t>
  </si>
  <si>
    <t>-644.592637931636 136.422480709228 317.368103911219</t>
  </si>
  <si>
    <t>-670.820968833109 184.859005247836 777.221238474094</t>
  </si>
  <si>
    <t>-520.081293789892 188.793163343463 833.309453242614</t>
  </si>
  <si>
    <t>-609.527746790913 -81.8390457630735 321.782290337599</t>
  </si>
  <si>
    <t>-654.293300523106 -108.009007746407 781.728543079818</t>
  </si>
  <si>
    <t>-500.25207447319 -117.457210041241 827.180211209352</t>
  </si>
  <si>
    <t>9763-20170724T115606.728749400.bin</t>
  </si>
  <si>
    <t>-620.275694836412 24.1874031591851 -93.8494395832092</t>
  </si>
  <si>
    <t>-639.386375849399 18.9500880649043 -202.775484787151</t>
  </si>
  <si>
    <t>-652.474453198873 16.0294920797587 -294.677514386081</t>
  </si>
  <si>
    <t>-664.026394180779 13.8604826224453 -377.743706526052</t>
  </si>
  <si>
    <t>-674.739664827341 12.2145920584146 -460.934202291267</t>
  </si>
  <si>
    <t>-689.476336573102 10.3732074934187 -582.689505873678</t>
  </si>
  <si>
    <t>-680.466023647605 14.4918850573306 -660.420154457375</t>
  </si>
  <si>
    <t>-685.583622926866 42.4362260622761 -529.425432641066</t>
  </si>
  <si>
    <t>-663.075029523793 194.641605445517 -503.699988910897</t>
  </si>
  <si>
    <t>-594.475658496298 199.360002286564 -230.111745120957</t>
  </si>
  <si>
    <t>-384.714971105021 99.7897935873693 -224.216724758484</t>
  </si>
  <si>
    <t>-634.248893119909 114.771964439325 -97.5626370366139</t>
  </si>
  <si>
    <t>-645.06674677539 136.889081860441 317.282376903571</t>
  </si>
  <si>
    <t>-670.796047484524 185.056787060788 777.187788974485</t>
  </si>
  <si>
    <t>-520.032037353541 188.868582945473 833.219155682602</t>
  </si>
  <si>
    <t>-609.900135910689 -81.4236963633475 321.759688169654</t>
  </si>
  <si>
    <t>-654.315515322649 -108.066171142329 781.734548238373</t>
  </si>
  <si>
    <t>-500.30174242694 -117.734502883696 827.233025821431</t>
  </si>
  <si>
    <t>9763-20170724T115606.763344700.bin</t>
  </si>
  <si>
    <t>-620.59994465502 24.5378079633954 -93.8773922066466</t>
  </si>
  <si>
    <t>-639.693944490636 19.2802253105656 -202.805297143261</t>
  </si>
  <si>
    <t>-652.765137564778 16.2917261538146 -294.707725228347</t>
  </si>
  <si>
    <t>-664.300928073712 14.0404028914613 -377.773816237101</t>
  </si>
  <si>
    <t>-674.997349487731 12.2912310947481 -460.964334332137</t>
  </si>
  <si>
    <t>-689.708752384342 10.275556687742 -582.720053687269</t>
  </si>
  <si>
    <t>-680.713676260209 14.3176617282541 -660.456608874022</t>
  </si>
  <si>
    <t>-685.821036587684 42.4153705070537 -529.501910138362</t>
  </si>
  <si>
    <t>-663.24422010011 194.659435932321 -504.022690847358</t>
  </si>
  <si>
    <t>-594.575149464394 199.647599248222 -230.456785875309</t>
  </si>
  <si>
    <t>-384.799630445769 100.036290331255 -225.945837312715</t>
  </si>
  <si>
    <t>-634.62390192148 115.133282932461 -97.6012394679506</t>
  </si>
  <si>
    <t>-645.281085290859 137.179585341387 317.251740577381</t>
  </si>
  <si>
    <t>-670.795989810289 185.096634112777 777.191617451602</t>
  </si>
  <si>
    <t>-520.019352692204 188.883838993335 833.190520892709</t>
  </si>
  <si>
    <t>-610.033470340773 -81.1315506154119 321.753183304784</t>
  </si>
  <si>
    <t>-654.274949872425 -108.113940480749 781.737725644702</t>
  </si>
  <si>
    <t>-500.312519752761 -118.026395110985 827.357218783975</t>
  </si>
  <si>
    <t>9763-20170724T115606.828519600.bin</t>
  </si>
  <si>
    <t>-621.129955010181 25.2948610855055 -93.8738715048441</t>
  </si>
  <si>
    <t>-640.21838918277 20.0212427160156 -202.801884905205</t>
  </si>
  <si>
    <t>-653.29941682895 16.8881462661236 -294.697995783994</t>
  </si>
  <si>
    <t>-664.850857165816 14.4533504836913 -377.7568617193</t>
  </si>
  <si>
    <t>-675.570377167433 12.4678011483163 -460.93909165923</t>
  </si>
  <si>
    <t>-690.324353279126 10.0484566455564 -582.682247111909</t>
  </si>
  <si>
    <t>-681.373660751953 13.9301381452324 -660.432028850722</t>
  </si>
  <si>
    <t>-686.425536658226 42.3638754316805 -529.571532712467</t>
  </si>
  <si>
    <t>-663.92625024356 194.696833311395 -504.556551518047</t>
  </si>
  <si>
    <t>-594.762462354263 200.575369021326 -231.133156587868</t>
  </si>
  <si>
    <t>-384.841640762982 101.182094467576 -229.472464633878</t>
  </si>
  <si>
    <t>-635.186991952471 116.024407850306 -97.619018310467</t>
  </si>
  <si>
    <t>-645.532031156914 137.810631793144 317.255550501266</t>
  </si>
  <si>
    <t>-670.769002488936 185.305666564979 777.232015617632</t>
  </si>
  <si>
    <t>-519.960566759842 188.83939665656 833.161946396433</t>
  </si>
  <si>
    <t>-610.216624613038 -80.564045875801 321.771998075819</t>
  </si>
  <si>
    <t>-654.157035955022 -108.162577132848 781.775387458267</t>
  </si>
  <si>
    <t>-500.237524752496 -117.494202743713 827.661446012327</t>
  </si>
  <si>
    <t>9763-20170724T115606.860147200.bin</t>
  </si>
  <si>
    <t>-621.321648855069 25.6752495452592 -93.8740157449382</t>
  </si>
  <si>
    <t>-640.425250174819 20.3943684682113 -202.79900042687</t>
  </si>
  <si>
    <t>-653.519286624046 17.1948335903871 -294.690957757606</t>
  </si>
  <si>
    <t>-665.083037636143 14.6759487408845 -377.745630191625</t>
  </si>
  <si>
    <t>-675.815678441615 12.582103968331 -460.923536116126</t>
  </si>
  <si>
    <t>-690.590056605837 9.97772909558512 -582.660362040733</t>
  </si>
  <si>
    <t>-681.66033182464 13.7812051835197 -660.416421172586</t>
  </si>
  <si>
    <t>-686.678971446112 42.3741288145209 -529.599703909575</t>
  </si>
  <si>
    <t>-664.133523987071 194.736576306218 -504.79183122525</t>
  </si>
  <si>
    <t>-594.83571946678 201.147535394985 -231.414218463586</t>
  </si>
  <si>
    <t>-384.826267847543 101.928269559097 -231.103886697898</t>
  </si>
  <si>
    <t>-635.405181518435 116.457907665417 -97.620327467262</t>
  </si>
  <si>
    <t>-645.659203247259 138.09792066567 317.264221520883</t>
  </si>
  <si>
    <t>-670.75428225843 185.413992726661 777.267840201831</t>
  </si>
  <si>
    <t>-519.92717527849 188.841744015606 833.153878257149</t>
  </si>
  <si>
    <t>-610.270258425892 -80.2992464721492 321.790866619241</t>
  </si>
  <si>
    <t>-654.068430539103 -108.236618136495 781.800573999556</t>
  </si>
  <si>
    <t>-500.249016865548 -118.178426964993 827.893631836877</t>
  </si>
  <si>
    <t>9763-20170724T115606.925326400.bin</t>
  </si>
  <si>
    <t>-621.609573010848 26.3381522906366 -93.8244232709849</t>
  </si>
  <si>
    <t>-640.726130625879 21.0703140201551 -202.747929638782</t>
  </si>
  <si>
    <t>-653.874818574555 17.7403811705792 -294.627463139126</t>
  </si>
  <si>
    <t>-665.506851718678 15.0473307701911 -377.667067361123</t>
  </si>
  <si>
    <t>-676.327427838592 12.7231870386267 -460.827481458954</t>
  </si>
  <si>
    <t>-691.252630471854 9.72098774070491 -582.536740772014</t>
  </si>
  <si>
    <t>-682.392451347509 13.3540488905387 -660.308813116254</t>
  </si>
  <si>
    <t>-687.279093749434 42.2903331956372 -529.58682954973</t>
  </si>
  <si>
    <t>-664.708870649273 194.733185117282 -505.260124674362</t>
  </si>
  <si>
    <t>-595.039830246317 202.053874406076 -231.999675892283</t>
  </si>
  <si>
    <t>-384.828382232676 103.2800544659 -233.845813522544</t>
  </si>
  <si>
    <t>-635.679731299339 117.194724108379 -97.587546281376</t>
  </si>
  <si>
    <t>-645.883911170327 138.475745195775 317.316792824146</t>
  </si>
  <si>
    <t>-670.71473292888 185.613041857276 777.351180720493</t>
  </si>
  <si>
    <t>-519.858449552149 188.868973110899 833.168765081767</t>
  </si>
  <si>
    <t>-610.305471616829 -79.8119156320956 321.839702459269</t>
  </si>
  <si>
    <t>-653.890249724044 -108.300251124978 781.852440673277</t>
  </si>
  <si>
    <t>-500.144748968833 -117.611840278697 828.322244057149</t>
  </si>
  <si>
    <t>9763-20170724T115606.961815900.bin</t>
  </si>
  <si>
    <t>-621.713467738194 26.6311463761283 -93.7800505492552</t>
  </si>
  <si>
    <t>-640.827491826584 21.3631858509902 -202.703886822562</t>
  </si>
  <si>
    <t>-654.001987181797 17.9634015559668 -294.577270066745</t>
  </si>
  <si>
    <t>-665.669067452645 15.1796028804806 -377.608913586897</t>
  </si>
  <si>
    <t>-676.536794173019 12.7370106628546 -460.75977910965</t>
  </si>
  <si>
    <t>-691.544646182025 9.53089713378108 -582.453597220818</t>
  </si>
  <si>
    <t>-682.719233721388 13.0702645132949 -660.234141213708</t>
  </si>
  <si>
    <t>-687.531591758326 42.1890874562041 -529.561484178638</t>
  </si>
  <si>
    <t>-664.921359128733 194.650306015351 -505.451420182888</t>
  </si>
  <si>
    <t>-595.040414994643 202.440343733639 -232.258217411352</t>
  </si>
  <si>
    <t>-384.80069222001 103.752779164535 -235.183131638886</t>
  </si>
  <si>
    <t>-635.814492801941 117.52584386065 -97.5546329397439</t>
  </si>
  <si>
    <t>-645.973175758353 138.637785982027 317.35951376024</t>
  </si>
  <si>
    <t>-670.690637991584 185.718741204313 777.398349065646</t>
  </si>
  <si>
    <t>-519.82038401844 188.85016818728 833.185362134927</t>
  </si>
  <si>
    <t>-610.260639671978 -79.5840844371555 321.876314913034</t>
  </si>
  <si>
    <t>-653.769765963509 -108.305230563521 781.889313464773</t>
  </si>
  <si>
    <t>-500.103831331228 -117.676975243647 828.609461378236</t>
  </si>
  <si>
    <t>9763-20170724T115607.027983500.bin</t>
  </si>
  <si>
    <t>-621.74072164303 27.0564449349502 -93.6970506592877</t>
  </si>
  <si>
    <t>-640.886919742534 21.7991766703733 -202.615686283447</t>
  </si>
  <si>
    <t>-654.145224425004 18.3188242850622 -294.473910959974</t>
  </si>
  <si>
    <t>-665.911544877946 15.4266225665517 -377.487955395998</t>
  </si>
  <si>
    <t>-676.902613600147 12.8401802216179 -460.618292504239</t>
  </si>
  <si>
    <t>-692.117570341776 9.38558299889405 -582.279625386018</t>
  </si>
  <si>
    <t>-683.355080793505 12.770099548761 -660.074105975111</t>
  </si>
  <si>
    <t>-688.012104878519 42.1519766095146 -529.461559982094</t>
  </si>
  <si>
    <t>-665.278198829177 194.649184756308 -505.677299388293</t>
  </si>
  <si>
    <t>-594.888857025466 203.146707527638 -232.635693386952</t>
  </si>
  <si>
    <t>-384.618642668112 104.624633876301 -237.962052134336</t>
  </si>
  <si>
    <t>-635.816978832406 117.979920141867 -97.4666032457579</t>
  </si>
  <si>
    <t>-646.046917413692 138.854223417621 317.457728398555</t>
  </si>
  <si>
    <t>-670.66987672935 185.745255100795 777.505847401951</t>
  </si>
  <si>
    <t>-519.781133979951 188.921102416667 833.24027212189</t>
  </si>
  <si>
    <t>-610.143922252928 -79.2176130686571 321.961584885306</t>
  </si>
  <si>
    <t>-653.67588098012 -108.351079474831 781.949777644147</t>
  </si>
  <si>
    <t>-500.084975997708 -117.761816329526 828.908174807305</t>
  </si>
  <si>
    <t>9763-20170724T115607.059637600.bin</t>
  </si>
  <si>
    <t>-621.709170192675 27.2924445286351 -93.6737356694096</t>
  </si>
  <si>
    <t>-640.875815273514 22.0484387854688 -202.589536969597</t>
  </si>
  <si>
    <t>-654.190409395067 18.5443852797673 -294.438740555615</t>
  </si>
  <si>
    <t>-666.023610296723 15.617278042288 -377.442020670505</t>
  </si>
  <si>
    <t>-677.097865569434 12.9827234474524 -460.559723827315</t>
  </si>
  <si>
    <t>-692.452661174507 9.44298847898904 -582.201140789756</t>
  </si>
  <si>
    <t>-683.728204008979 12.7563358609279 -660.002940435337</t>
  </si>
  <si>
    <t>-688.290682061539 42.2460164204083 -529.410136307048</t>
  </si>
  <si>
    <t>-665.610702440471 194.76127603039 -505.721932631085</t>
  </si>
  <si>
    <t>-594.759381481621 203.425947234744 -232.805136859965</t>
  </si>
  <si>
    <t>-384.501038370259 104.938300269448 -239.140648876076</t>
  </si>
  <si>
    <t>-635.722018617212 118.296970448739 -97.4455276433357</t>
  </si>
  <si>
    <t>-646.021088848335 139.002926358354 317.485512634308</t>
  </si>
  <si>
    <t>-670.624281225073 185.874613245015 777.544226213592</t>
  </si>
  <si>
    <t>-519.728982346736 188.852054838126 833.271877701547</t>
  </si>
  <si>
    <t>-610.124208486264 -79.0811232452584 321.974425019799</t>
  </si>
  <si>
    <t>-653.706971580062 -108.353915293583 781.944992196478</t>
  </si>
  <si>
    <t>-500.118713061085 -117.826913465346 828.89951507201</t>
  </si>
  <si>
    <t>9763-20170724T115607.127324200.bin</t>
  </si>
  <si>
    <t>-621.623504076042 27.6768583411122 -93.6546517962577</t>
  </si>
  <si>
    <t>-640.847507719884 22.4600207275305 -202.561475757661</t>
  </si>
  <si>
    <t>-654.273037127482 18.958306823077 -294.394764170015</t>
  </si>
  <si>
    <t>-666.232008539057 16.0266617354209 -377.379854482939</t>
  </si>
  <si>
    <t>-677.457726363595 13.3809791721835 -460.476720859798</t>
  </si>
  <si>
    <t>-693.06235781226 9.81802842632283 -582.08574895149</t>
  </si>
  <si>
    <t>-684.377383339113 13.0770832440671 -659.894251521988</t>
  </si>
  <si>
    <t>-688.772521458662 42.6326403238018 -529.31232392916</t>
  </si>
  <si>
    <t>-665.920374037843 195.136096121972 -505.685684855251</t>
  </si>
  <si>
    <t>-594.508143034368 203.916585784752 -232.918873184752</t>
  </si>
  <si>
    <t>-384.216441232677 105.650863360884 -241.271459473853</t>
  </si>
  <si>
    <t>-635.454878214264 118.79359732068 -97.4130429663819</t>
  </si>
  <si>
    <t>-645.872586375752 139.231329269837 317.528324209404</t>
  </si>
  <si>
    <t>-670.570818106368 185.99045391727 777.612235579376</t>
  </si>
  <si>
    <t>-519.670453220549 188.826101692173 833.333511600398</t>
  </si>
  <si>
    <t>-610.129832357716 -78.8276384794726 321.983706054528</t>
  </si>
  <si>
    <t>-653.772913825367 -108.406639383069 781.934662477412</t>
  </si>
  <si>
    <t>-500.198350118874 -118.195282335888 828.869305983875</t>
  </si>
  <si>
    <t>9763-20170724T115607.157640800.bin</t>
  </si>
  <si>
    <t>-621.537767040577 27.7788311634979 -93.6531116255404</t>
  </si>
  <si>
    <t>-640.798665284915 22.577404002775 -202.55431862671</t>
  </si>
  <si>
    <t>-654.26727609131 19.0846679672393 -294.381433591469</t>
  </si>
  <si>
    <t>-666.270102755555 16.1606945146928 -377.360535890698</t>
  </si>
  <si>
    <t>-677.544755172774 13.5215194256673 -460.451086168242</t>
  </si>
  <si>
    <t>-693.226382019932 9.967236967801 -582.050304592432</t>
  </si>
  <si>
    <t>-684.543886863284 13.2271402126639 -659.859107784922</t>
  </si>
  <si>
    <t>-688.876187129596 42.7802045693174 -529.280781223417</t>
  </si>
  <si>
    <t>-665.866421488326 195.26044891759 -505.66910193301</t>
  </si>
  <si>
    <t>-594.214379530424 204.0325737739 -232.964836263785</t>
  </si>
  <si>
    <t>-383.914673692984 105.877411198886 -242.352587674116</t>
  </si>
  <si>
    <t>-635.246562532278 118.944880685805 -97.403305486576</t>
  </si>
  <si>
    <t>-645.716474858735 139.302217077261 317.540687743928</t>
  </si>
  <si>
    <t>-670.547891714751 186.012487804369 777.627444489387</t>
  </si>
  <si>
    <t>-519.649433679602 188.869216868997 833.352860020425</t>
  </si>
  <si>
    <t>-610.098397709555 -78.7680540616477 321.986406852831</t>
  </si>
  <si>
    <t>-653.774155347251 -108.427997820965 781.932462917113</t>
  </si>
  <si>
    <t>-500.218057144405 -118.281133711781 828.913929828199</t>
  </si>
  <si>
    <t>9763-20170724T115607.225321800.bin</t>
  </si>
  <si>
    <t>-621.274920593052 27.8086934314251 -93.6219111754993</t>
  </si>
  <si>
    <t>-640.595753254788 22.6607627498131 -202.514937926542</t>
  </si>
  <si>
    <t>-654.169572947925 19.2330100250201 -294.329088894902</t>
  </si>
  <si>
    <t>-666.28960157719 16.3785114947314 -377.293451606097</t>
  </si>
  <si>
    <t>-677.703482867154 13.8186778342035 -460.367633853621</t>
  </si>
  <si>
    <t>-693.612797086347 10.3916872092107 -581.940988631915</t>
  </si>
  <si>
    <t>-684.952185288901 13.6941946099698 -659.750311589333</t>
  </si>
  <si>
    <t>-689.098840048449 43.1545247229974 -529.153971123485</t>
  </si>
  <si>
    <t>-665.755236562502 195.5714410921 -505.431573812701</t>
  </si>
  <si>
    <t>-593.526952051352 204.147470246769 -232.873145835244</t>
  </si>
  <si>
    <t>-383.212398438679 106.197485148116 -243.923690138063</t>
  </si>
  <si>
    <t>-634.712373653423 119.067409196558 -97.3633832566056</t>
  </si>
  <si>
    <t>-645.296020343698 139.329622504147 317.582446686316</t>
  </si>
  <si>
    <t>-670.489249335679 186.074985007346 777.644495391708</t>
  </si>
  <si>
    <t>-519.596695310233 188.89866586466 833.387515822662</t>
  </si>
  <si>
    <t>-610.039511582894 -78.7823744855723 322.001010003511</t>
  </si>
  <si>
    <t>-653.757887628911 -108.454768028563 781.959863127875</t>
  </si>
  <si>
    <t>-500.229857910233 -118.306107184093 829.033295740638</t>
  </si>
  <si>
    <t>9763-20170724T115607.260763000.bin</t>
  </si>
  <si>
    <t>-621.077702095051 27.7564043407567 -93.609687537243</t>
  </si>
  <si>
    <t>-640.432012277689 22.642439335285 -202.498463880731</t>
  </si>
  <si>
    <t>-654.080568088728 19.2632954538128 -294.303248257692</t>
  </si>
  <si>
    <t>-666.286726095934 16.462724992801 -377.256876492358</t>
  </si>
  <si>
    <t>-677.805400323998 13.9660847388402 -460.318432125727</t>
  </si>
  <si>
    <t>-693.888322142378 10.6419462910483 -581.87185919753</t>
  </si>
  <si>
    <t>-685.26462533917 13.9700131391023 -659.684181650828</t>
  </si>
  <si>
    <t>-689.264169505125 43.3626554477569 -529.068359127157</t>
  </si>
  <si>
    <t>-665.774022713561 195.74093281537 -505.246529516547</t>
  </si>
  <si>
    <t>-593.227921873233 203.926516119686 -232.760418075846</t>
  </si>
  <si>
    <t>-382.886677425443 106.116568130386 -244.520543286596</t>
  </si>
  <si>
    <t>-634.365856410336 119.059496481264 -97.3497013080098</t>
  </si>
  <si>
    <t>-645.07164582386 139.27647095523 317.595208654301</t>
  </si>
  <si>
    <t>-670.451019936207 186.127796408841 777.641900864286</t>
  </si>
  <si>
    <t>-519.565780008559 188.87270479486 833.408651488666</t>
  </si>
  <si>
    <t>-610.013911740667 -78.84392367603 322.00827690623</t>
  </si>
  <si>
    <t>-653.770954112131 -108.47654249778 781.966227236979</t>
  </si>
  <si>
    <t>-500.234247934949 -118.141867213211 829.050053931502</t>
  </si>
  <si>
    <t>9763-20170724T115607.325938300.bin</t>
  </si>
  <si>
    <t>-620.645770661042 27.6007627460315 -93.589335817008</t>
  </si>
  <si>
    <t>-640.136521181316 22.5467796559831 -202.456481714037</t>
  </si>
  <si>
    <t>-653.923909217586 19.2817562376476 -294.244783504487</t>
  </si>
  <si>
    <t>-666.264876458935 16.6126832960763 -377.182738300501</t>
  </si>
  <si>
    <t>-677.927459150353 14.2747947416231 -460.228845699085</t>
  </si>
  <si>
    <t>-694.230641167068 11.2124090361269 -581.75970677385</t>
  </si>
  <si>
    <t>-685.673187133928 14.6106777409318 -659.576437750289</t>
  </si>
  <si>
    <t>-689.438048302949 43.8247368798409 -528.904220711645</t>
  </si>
  <si>
    <t>-665.616272136097 196.103234337509 -504.778637257405</t>
  </si>
  <si>
    <t>-592.681895689083 203.447925716932 -232.372191543812</t>
  </si>
  <si>
    <t>-382.285942509219 105.890835308131 -245.20545438679</t>
  </si>
  <si>
    <t>-633.668228085791 118.993210945688 -97.3172341102263</t>
  </si>
  <si>
    <t>-644.663481522261 139.08109912336 317.626341074916</t>
  </si>
  <si>
    <t>-670.402341307552 186.087096148829 777.638879689796</t>
  </si>
  <si>
    <t>-519.535970984199 188.886239632157 833.453954584064</t>
  </si>
  <si>
    <t>-609.887324964944 -78.9988058974943 322.0157597143</t>
  </si>
  <si>
    <t>-653.805242113806 -108.526016829084 781.973726549307</t>
  </si>
  <si>
    <t>-500.289995307063 -118.394541901719 829.085393718649</t>
  </si>
  <si>
    <t>9763-20170724T115607.360947900.bin</t>
  </si>
  <si>
    <t>-620.433582376243 27.5114258280307 -93.5890100474992</t>
  </si>
  <si>
    <t>-640.024431167726 22.4833553755723 -202.439423286011</t>
  </si>
  <si>
    <t>-653.869691097863 19.303864452296 -294.2219262303</t>
  </si>
  <si>
    <t>-666.251994060931 16.7383909087696 -377.157055946468</t>
  </si>
  <si>
    <t>-677.944656530835 14.5297414091456 -460.202457126746</t>
  </si>
  <si>
    <t>-694.279068576395 11.6847362441281 -581.734479156331</t>
  </si>
  <si>
    <t>-685.740513200232 15.1788218211593 -659.54885688978</t>
  </si>
  <si>
    <t>-689.4426899477 44.204740892701 -528.825975728412</t>
  </si>
  <si>
    <t>-665.4163529319 196.403498691362 -504.488477596722</t>
  </si>
  <si>
    <t>-592.485073944875 203.273801620131 -232.068998789211</t>
  </si>
  <si>
    <t>-382.066790606789 105.814611265481 -245.274418959439</t>
  </si>
  <si>
    <t>-633.349236801708 118.955127159642 -97.3024646998443</t>
  </si>
  <si>
    <t>-644.395046850566 139.023535982588 317.640725697687</t>
  </si>
  <si>
    <t>-670.368630333208 186.088155857097 777.633116990519</t>
  </si>
  <si>
    <t>-519.513538771714 188.833074490839 833.481388570982</t>
  </si>
  <si>
    <t>-609.77807999826 -79.0276110327984 322.022786657558</t>
  </si>
  <si>
    <t>-653.801318952462 -108.547147560952 781.977961654923</t>
  </si>
  <si>
    <t>-500.281626985423 -118.140196865836 829.131991353567</t>
  </si>
  <si>
    <t>9763-20170724T115607.427625300.bin</t>
  </si>
  <si>
    <t>-620.022575895855 27.3709232000103 -93.5818588417441</t>
  </si>
  <si>
    <t>-639.74491113017 22.3933439333664 -202.410827407834</t>
  </si>
  <si>
    <t>-653.665862783954 19.369088199936 -294.187266440704</t>
  </si>
  <si>
    <t>-666.101840807842 16.991071663653 -377.119843066367</t>
  </si>
  <si>
    <t>-677.832864863042 15.0159350738329 -460.165816746972</t>
  </si>
  <si>
    <t>-694.205948750496 12.562985288678 -581.701048995486</t>
  </si>
  <si>
    <t>-685.683437594253 16.2908226329519 -659.506521666989</t>
  </si>
  <si>
    <t>-689.283013878272 44.9171783009342 -528.699153273316</t>
  </si>
  <si>
    <t>-664.818808144329 196.991512226476 -503.912561842271</t>
  </si>
  <si>
    <t>-591.987606850338 202.696816012996 -231.439397627696</t>
  </si>
  <si>
    <t>-381.35606879001 105.786221806676 -245.267892820467</t>
  </si>
  <si>
    <t>-632.678405975145 118.959560472484 -97.2690769979059</t>
  </si>
  <si>
    <t>-643.876515313113 138.918352549095 317.675330046329</t>
  </si>
  <si>
    <t>-670.277428088895 186.209411063694 777.627626774867</t>
  </si>
  <si>
    <t>-519.445235003727 188.929528310019 833.538925245264</t>
  </si>
  <si>
    <t>-609.600480741158 -79.1107937190238 322.038466010621</t>
  </si>
  <si>
    <t>-653.805470826054 -108.601196025749 781.99244610364</t>
  </si>
  <si>
    <t>-500.325900653724 -118.502004951331 829.213480352989</t>
  </si>
  <si>
    <t>9763-20170724T115607.463227600.bin</t>
  </si>
  <si>
    <t>-619.815672058303 27.3086822812782 -93.5722354009372</t>
  </si>
  <si>
    <t>-639.617715197073 22.3459328935342 -202.387356867043</t>
  </si>
  <si>
    <t>-653.583393133634 19.375542898084 -294.158782969031</t>
  </si>
  <si>
    <t>-666.050606738634 17.0638884419373 -377.088589299531</t>
  </si>
  <si>
    <t>-677.803483809264 15.172159889368 -460.133269751422</t>
  </si>
  <si>
    <t>-694.198174792324 12.8595511051819 -581.668485042309</t>
  </si>
  <si>
    <t>-685.673877270629 16.697974291222 -659.468289278152</t>
  </si>
  <si>
    <t>-689.242735189378 45.154249579733 -528.633161629028</t>
  </si>
  <si>
    <t>-664.650055415161 197.166667304374 -503.635853041288</t>
  </si>
  <si>
    <t>-591.803377664927 202.453942343371 -231.158400579832</t>
  </si>
  <si>
    <t>-381.087810457836 105.766796966378 -245.267873003459</t>
  </si>
  <si>
    <t>-632.35927263041 118.92667043842 -97.2575549619675</t>
  </si>
  <si>
    <t>-643.731128179675 138.799176060588 317.686293695153</t>
  </si>
  <si>
    <t>-670.255657196423 186.165606932099 777.621971433575</t>
  </si>
  <si>
    <t>-519.437383282974 188.963968636651 833.566961783252</t>
  </si>
  <si>
    <t>-609.574342386147 -79.1683628860376 322.043906398994</t>
  </si>
  <si>
    <t>-653.812432594949 -108.611712308097 781.997168977043</t>
  </si>
  <si>
    <t>-500.341229027893 -118.508061747785 829.246202014889</t>
  </si>
  <si>
    <t>9763-20170724T115607.524389400.bin</t>
  </si>
  <si>
    <t>-619.497030619737 27.2301119427054 -93.5638573601698</t>
  </si>
  <si>
    <t>-639.413681861007 22.2942175762571 -202.359379631367</t>
  </si>
  <si>
    <t>-653.440352495203 19.4436365374293 -294.12524587796</t>
  </si>
  <si>
    <t>-665.947875874617 17.2802046470194 -377.052985784207</t>
  </si>
  <si>
    <t>-677.725742128476 15.5762761604158 -460.098200955752</t>
  </si>
  <si>
    <t>-694.139779998044 13.5812654726562 -581.636339329014</t>
  </si>
  <si>
    <t>-685.612426320638 17.6467600478061 -659.424321762149</t>
  </si>
  <si>
    <t>-689.133830200593 45.7401073670676 -528.523345446338</t>
  </si>
  <si>
    <t>-664.324743568125 197.657692587858 -503.131018103196</t>
  </si>
  <si>
    <t>-591.615015737093 202.362908506794 -230.606224896646</t>
  </si>
  <si>
    <t>-380.694471396964 106.232715266558 -245.43985309104</t>
  </si>
  <si>
    <t>-631.83118462523 118.912607323042 -97.2534273827138</t>
  </si>
  <si>
    <t>-643.425335051485 138.742951600981 317.686266856727</t>
  </si>
  <si>
    <t>-670.184868757619 186.24516062411 777.613653668309</t>
  </si>
  <si>
    <t>-519.383514769528 188.794545571032 833.615991767647</t>
  </si>
  <si>
    <t>-609.455907429171 -79.2038454606734 322.054074123533</t>
  </si>
  <si>
    <t>-653.805643703498 -108.669794649001 782.01411868021</t>
  </si>
  <si>
    <t>-500.358307988886 -118.558905507321 829.342157678388</t>
  </si>
  <si>
    <t>9763-20170724T115607.561083800.bin</t>
  </si>
  <si>
    <t>-619.362564467368 27.1851273335878 -93.5480920534936</t>
  </si>
  <si>
    <t>-639.344170304659 22.2626772804676 -202.332325996848</t>
  </si>
  <si>
    <t>-653.397225183138 19.4500356169108 -294.095264148577</t>
  </si>
  <si>
    <t>-665.916990099243 17.3317570207755 -377.022212422784</t>
  </si>
  <si>
    <t>-677.695430188806 15.6832228580154 -460.068637659534</t>
  </si>
  <si>
    <t>-694.097170986279 13.7808724327294 -581.609956488949</t>
  </si>
  <si>
    <t>-685.545935945226 17.9296009369309 -659.390786464829</t>
  </si>
  <si>
    <t>-689.079165474039 45.9003963085756 -528.47430923351</t>
  </si>
  <si>
    <t>-664.230456699541 197.783148313622 -502.937975719551</t>
  </si>
  <si>
    <t>-591.676494613912 202.185108793385 -230.366614538018</t>
  </si>
  <si>
    <t>-380.692358643896 106.231118535979 -245.434878508636</t>
  </si>
  <si>
    <t>-631.656443910864 118.889437299673 -97.2317212264154</t>
  </si>
  <si>
    <t>-643.304835505948 138.671884849078 317.708716156606</t>
  </si>
  <si>
    <t>-670.180483147001 186.164102294534 777.623291194639</t>
  </si>
  <si>
    <t>-519.387108760383 188.928646171455 833.637027892352</t>
  </si>
  <si>
    <t>-609.376313467602 -79.2292427898938 322.057655432592</t>
  </si>
  <si>
    <t>-653.814778796776 -108.654611207607 782.018030473057</t>
  </si>
  <si>
    <t>-500.36452254646 -118.442816984552 829.357631301422</t>
  </si>
  <si>
    <t>9763-20170724T115607.625764400.bin</t>
  </si>
  <si>
    <t>-619.175442279621 27.2993113884343 -93.5179535366137</t>
  </si>
  <si>
    <t>-639.249003691043 22.4047893269783 -202.286582724232</t>
  </si>
  <si>
    <t>-653.320026192025 19.6789521460601 -294.049423776497</t>
  </si>
  <si>
    <t>-665.831504084684 17.6651874268448 -376.980312664484</t>
  </si>
  <si>
    <t>-677.576615129496 16.1461443549281 -460.033751649226</t>
  </si>
  <si>
    <t>-693.901880714851 14.4599096874038 -581.588638907587</t>
  </si>
  <si>
    <t>-685.27231541951 18.7960427433527 -659.350634127007</t>
  </si>
  <si>
    <t>-688.864680726314 46.4885114219828 -528.399882295661</t>
  </si>
  <si>
    <t>-663.680670703071 198.262024845954 -502.577286422294</t>
  </si>
  <si>
    <t>-592.028894321413 202.349284472009 -229.762431197362</t>
  </si>
  <si>
    <t>-380.974762719367 106.597543786583 -245.133634570317</t>
  </si>
  <si>
    <t>-631.384464875385 119.058694557736 -97.1829222185064</t>
  </si>
  <si>
    <t>-643.128664718952 138.7694700251 317.758214093957</t>
  </si>
  <si>
    <t>-670.124318033538 186.281737056956 777.655905447659</t>
  </si>
  <si>
    <t>-519.333624896847 188.892218817847 833.684206773104</t>
  </si>
  <si>
    <t>-609.286301923583 -79.1424530544675 322.076338984538</t>
  </si>
  <si>
    <t>-653.845290881058 -108.699403527132 782.016417776898</t>
  </si>
  <si>
    <t>-500.415946744362 -118.714278795551 829.376413843148</t>
  </si>
  <si>
    <t>9763-20170724T115607.689436500.bin</t>
  </si>
  <si>
    <t>-619.096701817348 27.5639748413209 -93.4967428334284</t>
  </si>
  <si>
    <t>-639.208699607477 22.7232379270454 -202.260576907598</t>
  </si>
  <si>
    <t>-653.308742472886 20.0697191042134 -294.020992656898</t>
  </si>
  <si>
    <t>-665.845161900028 18.1336688912274 -376.950097041698</t>
  </si>
  <si>
    <t>-677.613754298551 16.7040039477192 -460.001842918007</t>
  </si>
  <si>
    <t>-693.971603315303 15.1614399471994 -581.554089520845</t>
  </si>
  <si>
    <t>-685.27629365647 19.6172096214184 -659.302120162951</t>
  </si>
  <si>
    <t>-688.878168764912 47.1299397777964 -528.334796649454</t>
  </si>
  <si>
    <t>-663.485816202583 198.844954526676 -502.345899446006</t>
  </si>
  <si>
    <t>-592.665078969855 202.472674501419 -229.307882082938</t>
  </si>
  <si>
    <t>-381.555487073334 106.931384081021 -245.217771153583</t>
  </si>
  <si>
    <t>-631.103106696798 119.380097564965 -97.1432967630333</t>
  </si>
  <si>
    <t>-642.940779011791 138.934099314401 317.802672549921</t>
  </si>
  <si>
    <t>-670.103882979621 186.260702297417 777.711526418099</t>
  </si>
  <si>
    <t>-519.312967849751 188.853680851458 833.740067824854</t>
  </si>
  <si>
    <t>-609.321885842456 -79.0009606479653 322.082436551962</t>
  </si>
  <si>
    <t>-653.837130190216 -108.69281164713 782.026219644519</t>
  </si>
  <si>
    <t>-500.405592847989 -118.418443074514 829.439214033869</t>
  </si>
  <si>
    <t>9763-20170724T115607.727546600.bin</t>
  </si>
  <si>
    <t>-619.061973486322 27.7386587665544 -93.4776012436781</t>
  </si>
  <si>
    <t>-639.191964687706 22.9175769188844 -202.239026055557</t>
  </si>
  <si>
    <t>-653.315490611432 20.2990901999849 -293.996910655191</t>
  </si>
  <si>
    <t>-665.876438780209 18.4031062958966 -376.923081522969</t>
  </si>
  <si>
    <t>-677.672932508275 17.0215124204813 -459.971727087185</t>
  </si>
  <si>
    <t>-694.075276072576 15.5579593915438 -581.518971801353</t>
  </si>
  <si>
    <t>-685.353463498543 20.0537200581343 -659.261696100921</t>
  </si>
  <si>
    <t>-688.947804286017 47.4928151786203 -528.282575044303</t>
  </si>
  <si>
    <t>-663.469541073335 199.169045402913 -502.159867507328</t>
  </si>
  <si>
    <t>-593.044614285477 202.764312089483 -229.018890312385</t>
  </si>
  <si>
    <t>-382.011617571304 107.120681050319 -245.325336247957</t>
  </si>
  <si>
    <t>-630.989452994935 119.600836235997 -97.1295645836871</t>
  </si>
  <si>
    <t>-642.869496221083 139.035816628032 317.820729757116</t>
  </si>
  <si>
    <t>-670.075517738531 186.320594065604 777.730004335945</t>
  </si>
  <si>
    <t>-519.286532993834 188.850368158068 833.766601211566</t>
  </si>
  <si>
    <t>-609.355057869537 -78.8809174166445 322.092761079506</t>
  </si>
  <si>
    <t>-653.850503695989 -108.702611728645 782.033760698125</t>
  </si>
  <si>
    <t>-500.435078021731 -118.636601448819 829.455840899586</t>
  </si>
  <si>
    <t>9763-20170724T115607.790497300.bin</t>
  </si>
  <si>
    <t>-618.909344806775 28.1316240074964 -93.4427387937733</t>
  </si>
  <si>
    <t>-639.099985798118 23.3249854826022 -202.193538811059</t>
  </si>
  <si>
    <t>-653.240651464032 20.7481567557381 -293.949886570544</t>
  </si>
  <si>
    <t>-665.803396998373 18.9019535238317 -376.876965527587</t>
  </si>
  <si>
    <t>-677.587645646763 17.5819813528963 -459.92827637388</t>
  </si>
  <si>
    <t>-693.956491477265 16.2215486799128 -581.481408238023</t>
  </si>
  <si>
    <t>-685.159353619427 20.7583751522343 -659.213105357446</t>
  </si>
  <si>
    <t>-688.811279429932 48.1132958534986 -528.220875848484</t>
  </si>
  <si>
    <t>-663.073337509803 199.720857327161 -501.946241542061</t>
  </si>
  <si>
    <t>-593.7593844044 203.448949123099 -228.523002967973</t>
  </si>
  <si>
    <t>-382.822307068212 107.75879252024 -245.770521440188</t>
  </si>
  <si>
    <t>-630.722861923987 120.097350124125 -97.1013342940907</t>
  </si>
  <si>
    <t>-642.815864753189 139.230343263011 317.856809231646</t>
  </si>
  <si>
    <t>-670.017763641107 186.475704379006 777.773507413824</t>
  </si>
  <si>
    <t>-519.234196439665 188.801595914893 833.83358462493</t>
  </si>
  <si>
    <t>-609.235578963842 -78.5557063445383 322.124449016534</t>
  </si>
  <si>
    <t>-653.847095571589 -108.713876462326 782.042698377604</t>
  </si>
  <si>
    <t>-500.44561482737 -118.583780004604 829.523257043197</t>
  </si>
  <si>
    <t>9763-20170724T115607.829615500.bin</t>
  </si>
  <si>
    <t>-618.830998037231 28.3159489681286 -93.4317712101165</t>
  </si>
  <si>
    <t>-639.053860423597 23.5127833789516 -202.176642867688</t>
  </si>
  <si>
    <t>-653.207719485354 20.9465229325883 -293.931443619519</t>
  </si>
  <si>
    <t>-665.776572767326 19.113226831558 -376.857768980142</t>
  </si>
  <si>
    <t>-677.561040829059 17.8091010549115 -459.90933682386</t>
  </si>
  <si>
    <t>-693.923732942568 16.4748301470579 -581.463566742822</t>
  </si>
  <si>
    <t>-685.108267686024 21.0123005704181 -659.193354182892</t>
  </si>
  <si>
    <t>-688.764833093732 48.3562145808353 -528.198128052974</t>
  </si>
  <si>
    <t>-662.935217342421 199.940192589472 -501.875049608527</t>
  </si>
  <si>
    <t>-594.110090112693 203.678119521542 -228.328428373965</t>
  </si>
  <si>
    <t>-383.197235855116 108.001565894132 -245.943808704607</t>
  </si>
  <si>
    <t>-630.638525479432 120.309933676685 -97.0801473736037</t>
  </si>
  <si>
    <t>-642.754294462061 139.334040563063 317.882366170182</t>
  </si>
  <si>
    <t>-669.999165962517 186.496499786247 777.804285003521</t>
  </si>
  <si>
    <t>-519.2181344686 188.931713170052 833.866583368866</t>
  </si>
  <si>
    <t>-609.11181471007 -78.3516172546827 322.144343419086</t>
  </si>
  <si>
    <t>-653.847544695771 -108.679509353513 782.049435053409</t>
  </si>
  <si>
    <t>-500.459464702705 -118.653850352991 829.551361605902</t>
  </si>
  <si>
    <t>9763-20170724T115607.863367300.bin</t>
  </si>
  <si>
    <t>-618.747844986096 28.4926822262316 -93.4115615621469</t>
  </si>
  <si>
    <t>-638.989165979499 23.6999066939429 -202.153414979539</t>
  </si>
  <si>
    <t>-653.157445088604 21.1489163564493 -293.906374099995</t>
  </si>
  <si>
    <t>-665.738843744315 19.3321040192111 -376.831319506453</t>
  </si>
  <si>
    <t>-677.535175841856 18.0471909781309 -459.881475642703</t>
  </si>
  <si>
    <t>-693.914487357762 16.7434902568357 -581.433671863376</t>
  </si>
  <si>
    <t>-685.105382695056 21.2784793362994 -659.164276103892</t>
  </si>
  <si>
    <t>-688.727338415319 48.6128735770342 -528.163795684527</t>
  </si>
  <si>
    <t>-662.76039134781 200.157572050726 -501.746323384679</t>
  </si>
  <si>
    <t>-594.559252073123 203.95205273839 -228.044391067358</t>
  </si>
  <si>
    <t>-383.671465796292 108.295277803475 -246.062331764303</t>
  </si>
  <si>
    <t>-630.502976341667 120.541980476926 -97.0571320234795</t>
  </si>
  <si>
    <t>-642.680543784491 139.449968869579 317.908909446221</t>
  </si>
  <si>
    <t>-669.991158652729 186.49649991664 777.839323196348</t>
  </si>
  <si>
    <t>-519.210330101873 188.894914078584 833.903651451664</t>
  </si>
  <si>
    <t>-608.998544518591 -78.2022185908611 322.168688700159</t>
  </si>
  <si>
    <t>-653.865291295512 -108.68306248997 782.05302843335</t>
  </si>
  <si>
    <t>-500.495116280305 -118.939230868628 829.552701437899</t>
  </si>
  <si>
    <t>9763-20170724T115607.926536200.bin</t>
  </si>
  <si>
    <t>-618.529901967893 28.9421208620709 -93.3957548231973</t>
  </si>
  <si>
    <t>-638.817877167503 24.1785191084189 -202.130275712459</t>
  </si>
  <si>
    <t>-652.971276951702 21.6621220372358 -293.886431968696</t>
  </si>
  <si>
    <t>-665.517449832081 19.8816924740972 -376.817528413018</t>
  </si>
  <si>
    <t>-677.256776119008 18.6369617866076 -459.876399927867</t>
  </si>
  <si>
    <t>-693.528741449675 17.3963183642297 -581.443660950662</t>
  </si>
  <si>
    <t>-684.722318973125 21.9222661182118 -659.175050380685</t>
  </si>
  <si>
    <t>-688.357721343963 49.2398501128466 -528.156828726921</t>
  </si>
  <si>
    <t>-662.159698597009 200.73100259369 -501.662673876523</t>
  </si>
  <si>
    <t>-595.273177524188 204.879113550081 -227.64144432193</t>
  </si>
  <si>
    <t>-384.470897907455 109.174295859887 -246.390632770325</t>
  </si>
  <si>
    <t>-630.109479724382 121.088786924638 -97.0290046376605</t>
  </si>
  <si>
    <t>-642.502425521499 139.6294942334 317.947297587489</t>
  </si>
  <si>
    <t>-669.96256174185 186.520890961949 777.89725364359</t>
  </si>
  <si>
    <t>-519.179929670192 188.767415353226 833.963126855014</t>
  </si>
  <si>
    <t>-608.934197892202 -77.8622756195873 322.181844656836</t>
  </si>
  <si>
    <t>-653.902965920101 -108.628854708251 782.043460870897</t>
  </si>
  <si>
    <t>-500.512316079726 -118.700971439582 829.516570352042</t>
  </si>
  <si>
    <t>9763-20170724T115607.960548300.bin</t>
  </si>
  <si>
    <t>-618.449095735915 29.1225561944734 -93.3952247139376</t>
  </si>
  <si>
    <t>-638.724757028348 24.380041886287 -202.132951024114</t>
  </si>
  <si>
    <t>-652.854050372661 21.8790552096873 -293.893258168619</t>
  </si>
  <si>
    <t>-665.373140938828 20.112005787438 -376.82868210382</t>
  </si>
  <si>
    <t>-677.07981732219 18.8801438087646 -459.892307532048</t>
  </si>
  <si>
    <t>-693.298007487572 17.6572489056277 -581.467012481526</t>
  </si>
  <si>
    <t>-684.497233681612 22.1697871212627 -659.199832075143</t>
  </si>
  <si>
    <t>-688.120955792114 49.4949024268967 -528.177192987009</t>
  </si>
  <si>
    <t>-661.821631116512 200.969199138796 -501.692764173081</t>
  </si>
  <si>
    <t>-595.628878983617 205.307241864199 -227.506289324682</t>
  </si>
  <si>
    <t>-384.903559045147 109.474448041916 -246.465558539462</t>
  </si>
  <si>
    <t>-629.929102467102 121.294804760337 -97.0226205475986</t>
  </si>
  <si>
    <t>-642.447525545943 139.685565723893 317.956533986373</t>
  </si>
  <si>
    <t>-669.959844721174 186.495789303749 777.919909189723</t>
  </si>
  <si>
    <t>-519.179119230348 188.779420621652 833.989358863341</t>
  </si>
  <si>
    <t>-608.940728577318 -77.7315419455401 322.179980988296</t>
  </si>
  <si>
    <t>-653.929297892618 -108.592238589011 782.04173074088</t>
  </si>
  <si>
    <t>-500.53187446461 -118.705370444437 829.484074430392</t>
  </si>
  <si>
    <t>9763-20170724T115608.025724300.bin</t>
  </si>
  <si>
    <t>-618.176583551339 29.3561199766559 -93.3712897104236</t>
  </si>
  <si>
    <t>-638.409162272427 24.654671358757 -202.118915896565</t>
  </si>
  <si>
    <t>-652.482118788654 22.1921226194638 -293.888849907985</t>
  </si>
  <si>
    <t>-664.942284724849 20.4626221168485 -376.83384725027</t>
  </si>
  <si>
    <t>-676.582090927342 19.2700243762308 -459.907487778681</t>
  </si>
  <si>
    <t>-692.693677966967 18.1068483704444 -581.497027887038</t>
  </si>
  <si>
    <t>-683.901551721352 22.6060886261171 -659.231542122962</t>
  </si>
  <si>
    <t>-687.53703343081 49.9200312749856 -528.190503108069</t>
  </si>
  <si>
    <t>-661.151709684371 201.374498309888 -501.660089308512</t>
  </si>
  <si>
    <t>-596.383241675576 206.035520473054 -227.138862846279</t>
  </si>
  <si>
    <t>-385.799081618108 109.949178359288 -246.380977780519</t>
  </si>
  <si>
    <t>-629.490973681001 121.57525607331 -96.9952929185835</t>
  </si>
  <si>
    <t>-642.346395844042 139.801106365867 317.980847133043</t>
  </si>
  <si>
    <t>-669.963802875958 186.43307271147 777.954124553994</t>
  </si>
  <si>
    <t>-519.18316662656 188.792655952099 834.020740015487</t>
  </si>
  <si>
    <t>-608.971544348966 -77.6325725939457 322.17186065326</t>
  </si>
  <si>
    <t>-654.039450928453 -108.576179623804 782.026646735252</t>
  </si>
  <si>
    <t>-500.605346734528 -118.817657268305 829.322716347271</t>
  </si>
  <si>
    <t>9763-20170724T115608.056809600.bin</t>
  </si>
  <si>
    <t>-618.029433151621 29.4697650106421 -93.3589237634974</t>
  </si>
  <si>
    <t>-638.237361645736 24.7812416698382 -202.111636621248</t>
  </si>
  <si>
    <t>-652.285631359128 22.3433469602953 -293.885967457775</t>
  </si>
  <si>
    <t>-664.721911660484 20.6415410635013 -376.83528567638</t>
  </si>
  <si>
    <t>-676.335977175144 19.4823403067833 -459.912962384248</t>
  </si>
  <si>
    <t>-692.407864812523 18.3741097196262 -581.508163374735</t>
  </si>
  <si>
    <t>-683.62517639003 22.8759740627108 -659.243633701085</t>
  </si>
  <si>
    <t>-687.262518015878 50.1635184797885 -528.186490431026</t>
  </si>
  <si>
    <t>-660.84891387548 201.601024655713 -501.599836527628</t>
  </si>
  <si>
    <t>-596.770976137205 206.41706935235 -226.919345691039</t>
  </si>
  <si>
    <t>-386.23312660796 110.26478133335 -246.338083201653</t>
  </si>
  <si>
    <t>-629.313982751709 121.71372821241 -96.9898906384959</t>
  </si>
  <si>
    <t>-642.291289001283 139.839303718262 317.986847215835</t>
  </si>
  <si>
    <t>-669.960067527246 186.415047374006 777.965514373745</t>
  </si>
  <si>
    <t>-519.178126581511 188.807689411995 834.027092503073</t>
  </si>
  <si>
    <t>-608.967921875676 -77.5649525364045 322.169655686286</t>
  </si>
  <si>
    <t>-654.108186857751 -108.537684534517 782.008437622316</t>
  </si>
  <si>
    <t>-500.646958023725 -118.828160621632 829.205750671897</t>
  </si>
  <si>
    <t>9763-20170724T115608.128018100.bin</t>
  </si>
  <si>
    <t>-617.709452080232 29.6420522787439 -93.3577550600628</t>
  </si>
  <si>
    <t>-637.894731623375 24.9675661562276 -202.11520635192</t>
  </si>
  <si>
    <t>-651.894280512751 22.5744607838974 -293.898319898035</t>
  </si>
  <si>
    <t>-664.274306458923 20.9262794600918 -376.857021935221</t>
  </si>
  <si>
    <t>-675.81971476966 19.833559785257 -459.945196247146</t>
  </si>
  <si>
    <t>-691.777520953608 18.8362860607933 -581.556377996062</t>
  </si>
  <si>
    <t>-682.988173510912 23.3373540439698 -659.291206296062</t>
  </si>
  <si>
    <t>-686.675999785828 50.5773735458724 -528.201693119992</t>
  </si>
  <si>
    <t>-660.33642087106 201.994195476133 -501.490133028294</t>
  </si>
  <si>
    <t>-597.781303099129 206.822579381133 -226.459099013155</t>
  </si>
  <si>
    <t>-387.239919219261 110.737109782134 -246.167938742803</t>
  </si>
  <si>
    <t>-628.968108892492 121.881226162831 -96.9763142102508</t>
  </si>
  <si>
    <t>-642.149598995639 139.855915167161 318.000550954669</t>
  </si>
  <si>
    <t>-669.962244705455 186.327544424406 777.979501798907</t>
  </si>
  <si>
    <t>-519.179480118044 188.823622998388 834.034379511122</t>
  </si>
  <si>
    <t>-608.869472067323 -77.4819239304757 322.159057086007</t>
  </si>
  <si>
    <t>-654.262022493897 -108.495328801483 781.976086494456</t>
  </si>
  <si>
    <t>-500.749796973158 -119.067426938828 828.944695142975</t>
  </si>
  <si>
    <t>9763-20170724T115608.159785800.bin</t>
  </si>
  <si>
    <t>-617.55982385641 29.7235625349031 -93.365950735311</t>
  </si>
  <si>
    <t>-637.716466938448 25.0608005216759 -202.129209570315</t>
  </si>
  <si>
    <t>-651.664408379808 22.7146794247442 -293.921382456252</t>
  </si>
  <si>
    <t>-663.986591667245 21.1235883407724 -376.889852778169</t>
  </si>
  <si>
    <t>-675.462735562415 20.1028998436752 -459.988559220552</t>
  </si>
  <si>
    <t>-691.306550806766 19.2274417507922 -581.615494926978</t>
  </si>
  <si>
    <t>-682.483785954221 23.7686551047275 -659.344162632301</t>
  </si>
  <si>
    <t>-686.272604851361 50.9140394694055 -528.222174778738</t>
  </si>
  <si>
    <t>-659.99409051931 202.329489396583 -501.405204366303</t>
  </si>
  <si>
    <t>-598.172103566008 207.202146989596 -226.20900324833</t>
  </si>
  <si>
    <t>-387.614775562455 111.188527321583 -246.096950257405</t>
  </si>
  <si>
    <t>-628.791924917832 121.960988895906 -96.9668847027594</t>
  </si>
  <si>
    <t>-642.08551723661 139.851344777981 318.010030562612</t>
  </si>
  <si>
    <t>-669.952796504994 186.322464290218 777.979494217035</t>
  </si>
  <si>
    <t>-519.168824518794 188.764673481543 834.033539094262</t>
  </si>
  <si>
    <t>-608.841425690196 -77.486137291301 322.147672353862</t>
  </si>
  <si>
    <t>-654.377764142416 -108.463146043055 781.95245001471</t>
  </si>
  <si>
    <t>-500.803694579382 -118.993984096531 828.727768909902</t>
  </si>
  <si>
    <t>9763-20170724T115608.223955800.bin</t>
  </si>
  <si>
    <t>-617.319590630044 29.8485423029667 -93.4061086835641</t>
  </si>
  <si>
    <t>-637.383825970473 25.2020812653279 -202.187289612373</t>
  </si>
  <si>
    <t>-651.207227599743 22.9182201142812 -293.999751507249</t>
  </si>
  <si>
    <t>-663.397979517005 21.4022355486943 -376.989065259383</t>
  </si>
  <si>
    <t>-674.72343114787 20.4757715175547 -460.109510504289</t>
  </si>
  <si>
    <t>-690.325722700136 19.7589295695054 -581.768795526888</t>
  </si>
  <si>
    <t>-681.368886312464 24.3730717746917 -659.47790379107</t>
  </si>
  <si>
    <t>-685.420356873531 51.3745594976892 -528.321232794639</t>
  </si>
  <si>
    <t>-659.347537851462 202.788929491433 -501.266126124488</t>
  </si>
  <si>
    <t>-598.702178179952 207.691183430668 -225.808751891878</t>
  </si>
  <si>
    <t>-388.192871683245 111.63801098881 -246.011604172152</t>
  </si>
  <si>
    <t>-628.460972193997 122.023218896429 -96.9871157802688</t>
  </si>
  <si>
    <t>-642.012860582068 139.833110049638 317.984905760556</t>
  </si>
  <si>
    <t>-669.973578235386 186.179222774952 777.961174799638</t>
  </si>
  <si>
    <t>-519.190165501071 188.814143430229 834.007978447759</t>
  </si>
  <si>
    <t>-608.989727853417 -77.5221597344782 322.087206145128</t>
  </si>
  <si>
    <t>-654.715247760199 -108.362106668232 781.86627608618</t>
  </si>
  <si>
    <t>-500.978008853925 -118.936465699709 828.092554820696</t>
  </si>
  <si>
    <t>9763-20170724T115608.259696000.bin</t>
  </si>
  <si>
    <t>-617.177799974264 29.9181521549642 -93.427546450616</t>
  </si>
  <si>
    <t>-637.200036262536 25.2732930880786 -202.216465277112</t>
  </si>
  <si>
    <t>-650.972323873389 23.008578933207 -294.037045338465</t>
  </si>
  <si>
    <t>-663.110427845153 21.5171443761164 -377.034540574577</t>
  </si>
  <si>
    <t>-674.376685938359 20.622203504684 -460.163444071508</t>
  </si>
  <si>
    <t>-689.885046076534 19.9593565904067 -581.835026841308</t>
  </si>
  <si>
    <t>-680.850881773992 24.6036530033418 -659.533278069544</t>
  </si>
  <si>
    <t>-685.02275033108 51.5512655267842 -528.369374320169</t>
  </si>
  <si>
    <t>-659.008412553348 202.953884165516 -501.214436729123</t>
  </si>
  <si>
    <t>-598.956462716936 207.915104783818 -225.62817029371</t>
  </si>
  <si>
    <t>-388.458388708929 111.832875454636 -245.809760849077</t>
  </si>
  <si>
    <t>-628.270414920494 122.076781560712 -97.0086440149419</t>
  </si>
  <si>
    <t>-641.980786989871 139.855109258997 317.959483745149</t>
  </si>
  <si>
    <t>-669.974551344227 186.167429519764 777.935999021234</t>
  </si>
  <si>
    <t>-519.190818059745 188.712462764438 833.986016721986</t>
  </si>
  <si>
    <t>-609.056432115199 -77.5372422922574 322.050562822627</t>
  </si>
  <si>
    <t>-654.885578056587 -108.319608928374 781.822547011309</t>
  </si>
  <si>
    <t>-501.068857250678 -119.020734510383 827.754274147938</t>
  </si>
  <si>
    <t>9763-20170724T115608.323870900.bin</t>
  </si>
  <si>
    <t>-616.850369902086 29.9905127660343 -93.5050214402938</t>
  </si>
  <si>
    <t>-636.816296588974 25.3384942698203 -202.304041405128</t>
  </si>
  <si>
    <t>-650.482881777056 23.116122351805 -294.141444573142</t>
  </si>
  <si>
    <t>-662.50182247572 21.68210535348 -377.157334380183</t>
  </si>
  <si>
    <t>-673.624847344299 20.8636590845358 -460.306183586813</t>
  </si>
  <si>
    <t>-688.897225701511 20.3334925872432 -582.008311427097</t>
  </si>
  <si>
    <t>-679.699538387513 25.0210950061705 -659.684743358428</t>
  </si>
  <si>
    <t>-684.141034820054 51.8667984350684 -528.498789281106</t>
  </si>
  <si>
    <t>-658.148451103315 203.242296949474 -501.172842038629</t>
  </si>
  <si>
    <t>-599.525541799529 208.333052900093 -225.281512659449</t>
  </si>
  <si>
    <t>-388.981373636307 112.348993381592 -245.44951631349</t>
  </si>
  <si>
    <t>-627.837586639101 122.112170863068 -97.0939087555305</t>
  </si>
  <si>
    <t>-641.798784134529 139.809614325439 317.869379931218</t>
  </si>
  <si>
    <t>-669.998775009606 186.004769526624 777.857297886813</t>
  </si>
  <si>
    <t>-519.221666054901 188.75019437266 833.915690259543</t>
  </si>
  <si>
    <t>-609.142687298822 -77.5631451849229 321.972592125021</t>
  </si>
  <si>
    <t>-655.293051571732 -108.216400502862 781.724890554032</t>
  </si>
  <si>
    <t>-501.292257937706 -119.217985082225 826.963642340636</t>
  </si>
  <si>
    <t>9763-20170724T115608.360977800.bin</t>
  </si>
  <si>
    <t>-616.689072545362 30.0334546497727 -93.5492765820333</t>
  </si>
  <si>
    <t>-636.628953414433 25.3827537109516 -202.353087523263</t>
  </si>
  <si>
    <t>-650.236659915938 23.1768189745924 -294.199669290062</t>
  </si>
  <si>
    <t>-662.187468538589 21.7634810411855 -377.225653310603</t>
  </si>
  <si>
    <t>-673.227220768708 20.971767162875 -460.386006641482</t>
  </si>
  <si>
    <t>-688.361219872574 20.4868876740852 -582.105560380426</t>
  </si>
  <si>
    <t>-679.090586858483 25.1746628139497 -659.77330476513</t>
  </si>
  <si>
    <t>-683.664446217963 52.0002384961654 -528.579057526373</t>
  </si>
  <si>
    <t>-657.723552872979 203.374097193716 -501.174778657197</t>
  </si>
  <si>
    <t>-599.837945249433 208.503253439878 -225.12850063215</t>
  </si>
  <si>
    <t>-389.267641959629 112.56836076733 -245.257442732845</t>
  </si>
  <si>
    <t>-627.622662707482 122.135841488401 -97.1421330930872</t>
  </si>
  <si>
    <t>-641.684703215275 139.789506749474 317.819577872281</t>
  </si>
  <si>
    <t>-669.997504721569 185.983494315356 777.801821540157</t>
  </si>
  <si>
    <t>-519.226240940338 188.717587103855 833.876603166956</t>
  </si>
  <si>
    <t>-609.165793324116 -77.5717871205125 321.930785979294</t>
  </si>
  <si>
    <t>-655.48352840989 -108.170630402848 781.666558736788</t>
  </si>
  <si>
    <t>-501.397937321017 -119.317414024142 826.579840241943</t>
  </si>
  <si>
    <t>9763-20170724T115608.423143900.bin</t>
  </si>
  <si>
    <t>-616.299405446938 30.0499299903704 -93.6291503599822</t>
  </si>
  <si>
    <t>-636.146443919221 25.4068892993157 -202.450321100248</t>
  </si>
  <si>
    <t>-649.620139213335 23.2451256408783 -294.317569965482</t>
  </si>
  <si>
    <t>-661.427116324219 21.8869078126527 -377.365198063601</t>
  </si>
  <si>
    <t>-672.300009106416 21.1648857760208 -460.54798930995</t>
  </si>
  <si>
    <t>-687.164590623758 20.7976193397997 -582.301210063693</t>
  </si>
  <si>
    <t>-677.754858893313 25.498442662602 -659.951529922706</t>
  </si>
  <si>
    <t>-682.578430171611 52.2597920192934 -528.735015470981</t>
  </si>
  <si>
    <t>-656.690524134977 203.61679023757 -501.18833170319</t>
  </si>
  <si>
    <t>-600.299812037985 208.776477025354 -224.833494484034</t>
  </si>
  <si>
    <t>-389.760163751737 112.75917064695 -244.889832443213</t>
  </si>
  <si>
    <t>-627.150123731267 122.095788016363 -97.2179633840657</t>
  </si>
  <si>
    <t>-641.551217257295 139.698513292091 317.7342349768</t>
  </si>
  <si>
    <t>-670.027384112183 185.8468506449 777.701835754736</t>
  </si>
  <si>
    <t>-519.264529038496 188.859536119842 833.784852061214</t>
  </si>
  <si>
    <t>-609.153824147192 -77.6206435524143 321.854036494499</t>
  </si>
  <si>
    <t>-655.781184171873 -108.09794547952 781.575317342554</t>
  </si>
  <si>
    <t>-501.540698538836 -119.201787539769 825.964494761569</t>
  </si>
  <si>
    <t>9763-20170724T115608.458750800.bin</t>
  </si>
  <si>
    <t>-616.070939756341 30.0404568384288 -93.6549850682676</t>
  </si>
  <si>
    <t>-635.849666282649 25.3963186743133 -202.488412679317</t>
  </si>
  <si>
    <t>-649.250930594161 23.247311393912 -294.366690011511</t>
  </si>
  <si>
    <t>-660.98632613143 21.9060711134327 -377.424686857244</t>
  </si>
  <si>
    <t>-671.781337836976 21.2061725656545 -460.617826051744</t>
  </si>
  <si>
    <t>-686.525016689346 20.8770839171025 -582.385977940863</t>
  </si>
  <si>
    <t>-677.053517176791 25.5960250863122 -660.02753556803</t>
  </si>
  <si>
    <t>-681.988436553897 52.3227939622666 -528.805675246258</t>
  </si>
  <si>
    <t>-656.122042696436 203.671378304738 -501.196332903102</t>
  </si>
  <si>
    <t>-600.473516830563 208.920745289267 -224.692515461602</t>
  </si>
  <si>
    <t>-389.938575783398 112.87520172605 -244.663205881933</t>
  </si>
  <si>
    <t>-626.89914570058 122.050117673655 -97.2551250144004</t>
  </si>
  <si>
    <t>-641.490621503972 139.648685463943 317.690631703165</t>
  </si>
  <si>
    <t>-670.055024970143 185.724696281312 777.653077754764</t>
  </si>
  <si>
    <t>-519.296786922356 188.868052463147 833.741343204963</t>
  </si>
  <si>
    <t>-609.142134778248 -77.6907808776596 321.822168061118</t>
  </si>
  <si>
    <t>-655.8804701131 -108.107584162207 781.543291588174</t>
  </si>
  <si>
    <t>-501.611240435135 -119.510120091916 825.756504105746</t>
  </si>
  <si>
    <t>9763-20170724T115608.526438100.bin</t>
  </si>
  <si>
    <t>-615.587800128603 30.2115379872948 -93.7067721935222</t>
  </si>
  <si>
    <t>-635.241969269179 25.5414867708323 -202.561819093272</t>
  </si>
  <si>
    <t>-648.466491044857 23.3975069832557 -294.465821784035</t>
  </si>
  <si>
    <t>-660.013296323742 22.0702519690158 -377.550298837282</t>
  </si>
  <si>
    <t>-670.590320794074 21.3944464893161 -460.77180310203</t>
  </si>
  <si>
    <t>-684.983012976251 21.1109892714139 -582.581923690079</t>
  </si>
  <si>
    <t>-675.380035907672 25.8836257294711 -660.204094789327</t>
  </si>
  <si>
    <t>-680.623135126244 52.5351574384499 -528.974394260358</t>
  </si>
  <si>
    <t>-655.025379454804 203.91496267185 -501.321972117364</t>
  </si>
  <si>
    <t>-600.639135428051 209.165227175827 -224.567338810395</t>
  </si>
  <si>
    <t>-390.099073389808 113.116843144656 -244.469961742072</t>
  </si>
  <si>
    <t>-626.439983142106 122.194373834836 -97.3370032939255</t>
  </si>
  <si>
    <t>-641.300551063518 139.691201047603 317.60353451858</t>
  </si>
  <si>
    <t>-670.061317634326 185.70878451994 777.555773150987</t>
  </si>
  <si>
    <t>-519.312282757329 188.869052636511 833.667812741838</t>
  </si>
  <si>
    <t>-609.021443450136 -77.7026837605656 321.793438607437</t>
  </si>
  <si>
    <t>-656.017587297528 -108.069096407015 781.501264206169</t>
  </si>
  <si>
    <t>-501.68511535325 -119.554245064317 825.471650950294</t>
  </si>
  <si>
    <t>9763-20170724T115608.561535500.bin</t>
  </si>
  <si>
    <t>-615.33179027948 30.310970169031 -93.7325014569672</t>
  </si>
  <si>
    <t>-634.927970624398 25.6091067838888 -202.596556527314</t>
  </si>
  <si>
    <t>-648.075756460858 23.4732966919737 -294.511748321016</t>
  </si>
  <si>
    <t>-659.541657078305 22.1671005252986 -377.607874795306</t>
  </si>
  <si>
    <t>-670.02607023746 21.5255733924366 -460.841271532939</t>
  </si>
  <si>
    <t>-684.270170002953 21.3071805557913 -582.668924615209</t>
  </si>
  <si>
    <t>-674.606043869299 26.1213342185254 -660.281172556815</t>
  </si>
  <si>
    <t>-679.981231026141 52.7023817167394 -529.038782452725</t>
  </si>
  <si>
    <t>-654.494697942745 204.096138587282 -501.34286126819</t>
  </si>
  <si>
    <t>-600.645686365101 209.427004998267 -224.48479695698</t>
  </si>
  <si>
    <t>-390.163668267688 113.268925151511 -244.471417294165</t>
  </si>
  <si>
    <t>-626.223392213845 122.254298693326 -97.3831774878636</t>
  </si>
  <si>
    <t>-641.211539362587 139.725356017782 317.553833587044</t>
  </si>
  <si>
    <t>-670.072396155971 185.66043449525 777.510476481938</t>
  </si>
  <si>
    <t>-519.328879406158 188.854360432295 833.635434064198</t>
  </si>
  <si>
    <t>-608.89963559995 -77.6949608203945 321.792964693016</t>
  </si>
  <si>
    <t>-656.060769678239 -108.049677754781 781.488202402207</t>
  </si>
  <si>
    <t>-501.689677881833 -119.345860801801 825.371987040845</t>
  </si>
  <si>
    <t>9763-20170724T115608.627212200.bin</t>
  </si>
  <si>
    <t>-614.775639160874 30.4768072536237 -93.7550057546948</t>
  </si>
  <si>
    <t>-634.272077135214 25.722559190483 -202.634707172568</t>
  </si>
  <si>
    <t>-647.330642059248 23.5949935294341 -294.562870142305</t>
  </si>
  <si>
    <t>-658.713426513838 22.3165854788119 -377.670765408102</t>
  </si>
  <si>
    <t>-669.111925911618 21.723813764419 -460.915440919927</t>
  </si>
  <si>
    <t>-683.227246070001 21.5994687886666 -582.758075934079</t>
  </si>
  <si>
    <t>-673.398564709929 26.4519575821232 -660.347197485312</t>
  </si>
  <si>
    <t>-679.017153403281 52.9517827809536 -529.09664095504</t>
  </si>
  <si>
    <t>-653.710398035566 204.371237817967 -501.322733994515</t>
  </si>
  <si>
    <t>-600.605469536998 209.606179276869 -224.319033924728</t>
  </si>
  <si>
    <t>-390.167295086531 113.374309452804 -244.412161742065</t>
  </si>
  <si>
    <t>-625.704527947743 122.395927788582 -97.4551650975061</t>
  </si>
  <si>
    <t>-640.920381988472 139.885083564991 317.472805250231</t>
  </si>
  <si>
    <t>-670.076022107863 185.683318755299 777.423570811192</t>
  </si>
  <si>
    <t>-519.34502213066 188.844221537566 833.584013198325</t>
  </si>
  <si>
    <t>-608.657626122914 -77.7466293888522 321.807578962837</t>
  </si>
  <si>
    <t>-656.129123755541 -108.072346165013 781.468456734962</t>
  </si>
  <si>
    <t>-501.741655684592 -119.601725430341 825.233794828491</t>
  </si>
  <si>
    <t>9763-20170724T115608.689883200.bin</t>
  </si>
  <si>
    <t>-614.185992812623 30.7733561113712 -93.7662933236124</t>
  </si>
  <si>
    <t>-633.633392763077 25.9332831435809 -202.650927956764</t>
  </si>
  <si>
    <t>-646.650529974774 23.7835004034014 -294.584516848398</t>
  </si>
  <si>
    <t>-657.995502530785 22.5041972427578 -377.697621301093</t>
  </si>
  <si>
    <t>-668.355727012791 21.9306577200871 -460.947036081334</t>
  </si>
  <si>
    <t>-682.41442154619 21.8564810718069 -582.796417708241</t>
  </si>
  <si>
    <t>-672.397403316834 26.710784844307 -660.361252690756</t>
  </si>
  <si>
    <t>-678.282215777793 53.1833480029279 -529.114045862229</t>
  </si>
  <si>
    <t>-653.282624470074 204.622910381164 -501.233007033904</t>
  </si>
  <si>
    <t>-600.351724618066 209.700593615398 -224.193118002785</t>
  </si>
  <si>
    <t>-389.875023636192 113.541531283159 -244.23121119237</t>
  </si>
  <si>
    <t>-625.226939138517 122.687969814167 -97.5362244966512</t>
  </si>
  <si>
    <t>-640.59946319348 140.038325518575 317.391872752549</t>
  </si>
  <si>
    <t>-670.076669554945 185.641870234296 777.328265440582</t>
  </si>
  <si>
    <t>-519.3657943726 188.870299798507 833.538750285134</t>
  </si>
  <si>
    <t>-608.340303074895 -77.6603176658421 321.833298548935</t>
  </si>
  <si>
    <t>-656.178323592093 -108.022340368696 781.452651598992</t>
  </si>
  <si>
    <t>-501.744083076918 -119.311336700179 825.115464491706</t>
  </si>
  <si>
    <t>9763-20170724T115608.729494100.bin</t>
  </si>
  <si>
    <t>-613.852864408809 30.9071162073944 -93.7764339691506</t>
  </si>
  <si>
    <t>-633.293522323464 26.0180976019442 -202.660109314783</t>
  </si>
  <si>
    <t>-646.291567289979 23.8550928460588 -294.59587527559</t>
  </si>
  <si>
    <t>-657.613621461899 22.5741374456597 -377.712183841772</t>
  </si>
  <si>
    <t>-667.945028384404 22.0096685379201 -460.965270635835</t>
  </si>
  <si>
    <t>-681.95509696182 21.960422344117 -582.820381053947</t>
  </si>
  <si>
    <t>-671.841471700729 26.8145491195567 -660.372581672802</t>
  </si>
  <si>
    <t>-677.868770116998 53.2745914386342 -529.127054696717</t>
  </si>
  <si>
    <t>-652.996701488721 204.732447114727 -501.208651033366</t>
  </si>
  <si>
    <t>-600.159279161709 209.67732686498 -224.148447169043</t>
  </si>
  <si>
    <t>-389.645215627441 113.609350258486 -244.231122371619</t>
  </si>
  <si>
    <t>-624.977771000073 122.792052761935 -97.5741685262808</t>
  </si>
  <si>
    <t>-640.44278231068 140.084974967702 317.352820020674</t>
  </si>
  <si>
    <t>-670.072516989751 185.646702497527 777.286338598268</t>
  </si>
  <si>
    <t>-519.372693159328 188.957321045825 833.521787137556</t>
  </si>
  <si>
    <t>-608.092418452533 -77.5933247186661 321.856845581497</t>
  </si>
  <si>
    <t>-656.205187561623 -108.04684805921 781.446430075827</t>
  </si>
  <si>
    <t>-501.77373790415 -119.543750232048 825.064844741028</t>
  </si>
  <si>
    <t>9763-20170724T115608.762596800.bin</t>
  </si>
  <si>
    <t>-613.541259346587 31.0355247061907 -93.7788497466154</t>
  </si>
  <si>
    <t>-632.970510207368 26.1009890785463 -202.662545599037</t>
  </si>
  <si>
    <t>-645.937662756909 23.9161247866402 -294.602278450404</t>
  </si>
  <si>
    <t>-657.222923692962 22.6208386136766 -377.723310433574</t>
  </si>
  <si>
    <t>-667.508607273315 22.0476531065294 -460.981936282489</t>
  </si>
  <si>
    <t>-681.441771843021 21.9919668306393 -582.845807939672</t>
  </si>
  <si>
    <t>-671.230222256659 26.8405517718218 -660.385655800339</t>
  </si>
  <si>
    <t>-677.40965722054 53.3075937051838 -529.14940104911</t>
  </si>
  <si>
    <t>-652.655649777838 204.78709266563 -501.244139214492</t>
  </si>
  <si>
    <t>-599.883962185855 209.670720764789 -224.170368635063</t>
  </si>
  <si>
    <t>-389.355695472408 113.620626662748 -244.189465031363</t>
  </si>
  <si>
    <t>-624.766695500942 122.896577211657 -97.5966803588911</t>
  </si>
  <si>
    <t>-640.309192552086 140.129444733889 317.329838915046</t>
  </si>
  <si>
    <t>-670.069137646819 185.656451537921 777.254749961325</t>
  </si>
  <si>
    <t>-519.378286836959 188.969148147085 833.514141546002</t>
  </si>
  <si>
    <t>-607.828725518204 -77.5321350783586 321.876927375017</t>
  </si>
  <si>
    <t>-656.236004905865 -108.046016771789 781.435887042855</t>
  </si>
  <si>
    <t>-501.786447741973 -119.523052743129 824.995472502338</t>
  </si>
  <si>
    <t>9763-20170724T115608.823760000.bin</t>
  </si>
  <si>
    <t>-613.030960716362 31.2634722384303 -93.7665075580737</t>
  </si>
  <si>
    <t>-632.360544048566 26.2605614838776 -202.66490696552</t>
  </si>
  <si>
    <t>-645.182202766546 24.0182349616321 -294.623471415792</t>
  </si>
  <si>
    <t>-656.311105955128 22.6689802799287 -377.764777348728</t>
  </si>
  <si>
    <t>-666.415265785482 22.0405816902305 -461.045381395211</t>
  </si>
  <si>
    <t>-680.055438196202 21.902013405198 -582.94227036701</t>
  </si>
  <si>
    <t>-669.607672575193 26.7235828449213 -660.452203077434</t>
  </si>
  <si>
    <t>-676.193555262424 53.251448144541 -529.252958599894</t>
  </si>
  <si>
    <t>-651.663290721173 204.77136300618 -501.410141992329</t>
  </si>
  <si>
    <t>-598.884508879348 209.764718440837 -224.339664533284</t>
  </si>
  <si>
    <t>-388.454680770132 113.42549804508 -244.001268539049</t>
  </si>
  <si>
    <t>-624.432575731602 123.108328049458 -97.6297747305322</t>
  </si>
  <si>
    <t>-640.157594398938 140.241379694034 317.294073997661</t>
  </si>
  <si>
    <t>-670.076069873755 185.633200860811 777.20470951973</t>
  </si>
  <si>
    <t>-519.40122325132 189.079046629642 833.49898057212</t>
  </si>
  <si>
    <t>-607.471893467336 -77.4409250419119 321.910004974054</t>
  </si>
  <si>
    <t>-656.280535124111 -107.996704390326 781.410451354175</t>
  </si>
  <si>
    <t>-501.800286600444 -119.37951197907 824.885925221798</t>
  </si>
  <si>
    <t>9763-20170724T115608.860897600.bin</t>
  </si>
  <si>
    <t>-612.758551562424 31.3615440787053 -93.758077195789</t>
  </si>
  <si>
    <t>-632.020412675046 26.3530175381816 -202.668174931478</t>
  </si>
  <si>
    <t>-644.741122126298 24.0992708875858 -294.640617769559</t>
  </si>
  <si>
    <t>-655.761131888961 22.7367492129029 -377.796156774029</t>
  </si>
  <si>
    <t>-665.738942598332 22.0916893515721 -461.091765337772</t>
  </si>
  <si>
    <t>-679.175105355085 21.9256351484264 -583.011239833454</t>
  </si>
  <si>
    <t>-668.609471411238 26.7291130958947 -660.506400146895</t>
  </si>
  <si>
    <t>-675.430333499673 53.2852518680083 -529.319672834755</t>
  </si>
  <si>
    <t>-651.054818889422 204.842391266489 -501.514387932888</t>
  </si>
  <si>
    <t>-598.18915969394 209.78690303763 -224.459560273252</t>
  </si>
  <si>
    <t>-387.791889789712 113.384181822166 -244.158185296272</t>
  </si>
  <si>
    <t>-624.18847949765 123.210879234199 -97.6339043228323</t>
  </si>
  <si>
    <t>-640.044094914428 140.272114897904 317.287952647023</t>
  </si>
  <si>
    <t>-670.095051308396 185.573616405904 777.194135798147</t>
  </si>
  <si>
    <t>-519.425865052091 189.066635356707 833.500604692663</t>
  </si>
  <si>
    <t>-607.354501665548 -77.4180900223423 321.918480035041</t>
  </si>
  <si>
    <t>-656.290167289543 -108.007197373262 781.404156119919</t>
  </si>
  <si>
    <t>-501.806018580589 -119.401938359388 824.86248875564</t>
  </si>
  <si>
    <t>9763-20170724T115608.928580400.bin</t>
  </si>
  <si>
    <t>-612.223298113935 31.594003069815 -93.73382701282</t>
  </si>
  <si>
    <t>-631.380037482652 26.5875637360791 -202.66243283625</t>
  </si>
  <si>
    <t>-643.894981459267 24.2946953770111 -294.662247923153</t>
  </si>
  <si>
    <t>-654.682597132622 22.8792616604069 -377.847341348831</t>
  </si>
  <si>
    <t>-664.381514584091 22.1642894436932 -461.175302469868</t>
  </si>
  <si>
    <t>-677.359318107564 21.8769421330032 -583.144242125946</t>
  </si>
  <si>
    <t>-666.551142108062 26.5816628073594 -660.61211112054</t>
  </si>
  <si>
    <t>-673.86409781452 53.2865813697179 -529.465091866214</t>
  </si>
  <si>
    <t>-649.865109305678 204.911264809016 -501.696438485064</t>
  </si>
  <si>
    <t>-596.853505954979 209.883170292272 -224.66998273114</t>
  </si>
  <si>
    <t>-386.457110290088 113.558329118411 -244.755349080273</t>
  </si>
  <si>
    <t>-623.65121536327 123.508933429543 -97.6288587181085</t>
  </si>
  <si>
    <t>-639.800855102332 140.423313532696 317.287613725624</t>
  </si>
  <si>
    <t>-670.092401477777 185.649080501591 777.182189742794</t>
  </si>
  <si>
    <t>-519.428324978094 188.979899576406 833.512279009145</t>
  </si>
  <si>
    <t>-607.095230799703 -77.4110682089997 321.939977612122</t>
  </si>
  <si>
    <t>-656.282880845426 -107.996779920157 781.403013385743</t>
  </si>
  <si>
    <t>-501.825696215795 -119.737960310823 824.865056502854</t>
  </si>
  <si>
    <t>9763-20170724T115608.992761300.bin</t>
  </si>
  <si>
    <t>-611.839784216399 31.5388862539335 -93.7713571872363</t>
  </si>
  <si>
    <t>-630.892150415095 26.5332310069382 -202.718352038768</t>
  </si>
  <si>
    <t>-643.234440984207 24.2319175483626 -294.741221443414</t>
  </si>
  <si>
    <t>-653.832375142839 22.8046310729421 -377.950491908409</t>
  </si>
  <si>
    <t>-663.307944912719 22.0740623264162 -461.304081597817</t>
  </si>
  <si>
    <t>-675.922500078717 21.7597169556211 -583.311079556184</t>
  </si>
  <si>
    <t>-664.890851967994 26.3632204398389 -660.753496633159</t>
  </si>
  <si>
    <t>-672.641997410457 53.1773726412321 -529.622911693612</t>
  </si>
  <si>
    <t>-649.053918230589 204.884651291918 -501.899952504157</t>
  </si>
  <si>
    <t>-595.902568197881 209.793929435373 -224.899210126158</t>
  </si>
  <si>
    <t>-385.414004938387 113.636777915996 -244.821814540443</t>
  </si>
  <si>
    <t>-623.270644445238 123.579861962044 -97.662765319867</t>
  </si>
  <si>
    <t>-639.639632528676 140.407373785873 317.248647333949</t>
  </si>
  <si>
    <t>-670.096328720276 185.627129255276 777.147430312618</t>
  </si>
  <si>
    <t>-519.448393314897 189.056705865281 833.514646580192</t>
  </si>
  <si>
    <t>-606.912319947736 -77.7034453604483 321.920991567635</t>
  </si>
  <si>
    <t>-656.261803662534 -108.002721441872 781.407332097723</t>
  </si>
  <si>
    <t>-501.812268093066 -119.753656413864 824.893862493391</t>
  </si>
  <si>
    <t>9763-20170724T115609.024839600.bin</t>
  </si>
  <si>
    <t>-611.60471770481 31.4925620817141 -93.7645114662495</t>
  </si>
  <si>
    <t>-630.605654417059 26.4756402418943 -202.719992675145</t>
  </si>
  <si>
    <t>-642.874697955719 24.1641003504919 -294.752380551117</t>
  </si>
  <si>
    <t>-653.394416799034 22.7267708313102 -377.971347568553</t>
  </si>
  <si>
    <t>-662.779715098183 21.9855166893333 -461.335039401121</t>
  </si>
  <si>
    <t>-675.249024485642 21.6549261474843 -583.356857062603</t>
  </si>
  <si>
    <t>-664.104200036898 26.2127724982226 -660.785741934631</t>
  </si>
  <si>
    <t>-672.046577323304 53.0787097842622 -529.667699699125</t>
  </si>
  <si>
    <t>-648.541747829027 204.787393519607 -501.922194694018</t>
  </si>
  <si>
    <t>-595.347104168925 209.738851788849 -224.93047041394</t>
  </si>
  <si>
    <t>-384.781004109549 113.732872588416 -244.762218403298</t>
  </si>
  <si>
    <t>-623.027090275139 123.591714859494 -97.6723592389171</t>
  </si>
  <si>
    <t>-639.522380106873 140.384927093767 317.235445905518</t>
  </si>
  <si>
    <t>-670.096465895344 185.631895156551 777.129487946813</t>
  </si>
  <si>
    <t>-519.455084291048 189.053079303511 833.514715004127</t>
  </si>
  <si>
    <t>-606.811658803093 -77.8239993730713 321.919317576709</t>
  </si>
  <si>
    <t>-656.253055616761 -107.976136943003 781.407446518225</t>
  </si>
  <si>
    <t>-501.791252259981 -119.554738581938 824.896618625584</t>
  </si>
  <si>
    <t>9763-20170724T115609.056950600.bin</t>
  </si>
  <si>
    <t>-611.361113532294 31.4795975092979 -93.7622606167172</t>
  </si>
  <si>
    <t>-630.338633733918 26.4561449500738 -202.721516246803</t>
  </si>
  <si>
    <t>-642.559633589612 24.1280594649486 -294.759821857703</t>
  </si>
  <si>
    <t>-653.024592034778 22.6709068119662 -377.985350021391</t>
  </si>
  <si>
    <t>-662.34368066036 21.904900868278 -461.356249290087</t>
  </si>
  <si>
    <t>-674.703656872505 21.5324971777331 -583.389174891245</t>
  </si>
  <si>
    <t>-663.446860492965 26.0359837584788 -660.805006109757</t>
  </si>
  <si>
    <t>-671.55025125812 52.9745555782902 -529.707791427619</t>
  </si>
  <si>
    <t>-648.132819392641 204.702307684299 -501.98340117863</t>
  </si>
  <si>
    <t>-594.925254557689 209.730426118496 -224.995588195167</t>
  </si>
  <si>
    <t>-384.291319564304 113.847351661848 -244.701484316334</t>
  </si>
  <si>
    <t>-622.804001188132 123.608997970976 -97.6811262584403</t>
  </si>
  <si>
    <t>-639.399263904929 140.358791538836 317.224512167956</t>
  </si>
  <si>
    <t>-670.104858424334 185.599925205519 777.112990481658</t>
  </si>
  <si>
    <t>-519.469627223763 189.059194898921 833.512254162999</t>
  </si>
  <si>
    <t>-606.71671157858 -77.8846836369685 321.920963485174</t>
  </si>
  <si>
    <t>-656.249574875839 -107.956000618888 781.408146767894</t>
  </si>
  <si>
    <t>-501.775674725022 -119.380980938283 824.895055028716</t>
  </si>
  <si>
    <t>9763-20170724T115609.126133800.bin</t>
  </si>
  <si>
    <t>-610.889873031828 31.4967820240947 -93.7593530915403</t>
  </si>
  <si>
    <t>-629.841388087219 26.4798820766994 -202.723342804341</t>
  </si>
  <si>
    <t>-642.023499259937 24.1205509149247 -294.76627648455</t>
  </si>
  <si>
    <t>-652.446536248889 22.6204398268569 -377.996252755895</t>
  </si>
  <si>
    <t>-661.716985106909 21.7962372951215 -461.371951614409</t>
  </si>
  <si>
    <t>-673.998555318208 21.3217385841406 -583.412455420439</t>
  </si>
  <si>
    <t>-662.540294828235 25.7051943342819 -660.80551622189</t>
  </si>
  <si>
    <t>-670.858194431888 52.8102827931655 -529.757409006169</t>
  </si>
  <si>
    <t>-647.469581862335 204.543016677521 -502.072086594742</t>
  </si>
  <si>
    <t>-594.318188878196 209.81256220775 -225.077941378116</t>
  </si>
  <si>
    <t>-383.624313441054 114.021557735074 -244.589879577303</t>
  </si>
  <si>
    <t>-622.312363617255 123.618967793535 -97.6796716895849</t>
  </si>
  <si>
    <t>-639.118071606923 140.349975189778 317.218200730175</t>
  </si>
  <si>
    <t>-670.12409314807 185.462844606156 777.08353902907</t>
  </si>
  <si>
    <t>-519.506659102459 189.146030223375 833.516279280653</t>
  </si>
  <si>
    <t>-606.47000763849 -77.8967973415779 321.930049575647</t>
  </si>
  <si>
    <t>-656.249466259251 -107.990485904603 781.402448142432</t>
  </si>
  <si>
    <t>-501.796872989992 -119.684736125754 824.893444226218</t>
  </si>
  <si>
    <t>9763-20170724T115609.164249900.bin</t>
  </si>
  <si>
    <t>-610.648082814917 31.5113071444341 -93.7583208477223</t>
  </si>
  <si>
    <t>-629.614754380324 26.4908205743595 -202.719677408018</t>
  </si>
  <si>
    <t>-641.798937742133 24.1219409180446 -294.761816856362</t>
  </si>
  <si>
    <t>-652.219640973809 22.6106929790628 -377.991969343354</t>
  </si>
  <si>
    <t>-661.483375268299 21.7727717526432 -461.368301008717</t>
  </si>
  <si>
    <t>-673.750387377851 21.2747044734906 -583.410082142916</t>
  </si>
  <si>
    <t>-662.201976021536 25.5938167713798 -660.793603787974</t>
  </si>
  <si>
    <t>-670.589688873989 52.7754190869737 -529.7634965325</t>
  </si>
  <si>
    <t>-647.111815055673 204.501027966915 -502.082341004785</t>
  </si>
  <si>
    <t>-594.179656989752 209.878796959515 -225.048233338848</t>
  </si>
  <si>
    <t>-383.461396394217 114.09885376428 -244.349798059951</t>
  </si>
  <si>
    <t>-622.052690208958 123.641079876114 -97.6859251446857</t>
  </si>
  <si>
    <t>-638.919492507249 140.35694021668 317.210114403479</t>
  </si>
  <si>
    <t>-670.118408129095 185.473853220689 777.071143700223</t>
  </si>
  <si>
    <t>-519.507693059029 189.155691434773 833.521676982525</t>
  </si>
  <si>
    <t>-606.331016510237 -77.9025458346705 321.937001515322</t>
  </si>
  <si>
    <t>-656.248587893987 -108.00594011771 781.39759438602</t>
  </si>
  <si>
    <t>-501.822816236598 -120.033790925055 824.892853089918</t>
  </si>
  <si>
    <t>9763-20170724T115609.227417400.bin</t>
  </si>
  <si>
    <t>-610.24987912772 31.4608048887269 -93.7545077432826</t>
  </si>
  <si>
    <t>-629.257216006684 26.4491153716913 -202.709037778921</t>
  </si>
  <si>
    <t>-641.441037780547 24.0833053305612 -294.751386979278</t>
  </si>
  <si>
    <t>-651.847629280117 22.5744540068865 -377.983312883409</t>
  </si>
  <si>
    <t>-661.083271080678 21.7373017202826 -461.362844202492</t>
  </si>
  <si>
    <t>-673.293878098758 21.238819828257 -583.410373764653</t>
  </si>
  <si>
    <t>-661.618309638659 25.4189444768358 -660.782238758414</t>
  </si>
  <si>
    <t>-670.104262966875 52.7435965901559 -529.767830086681</t>
  </si>
  <si>
    <t>-646.452731966227 204.427274011056 -502.009368830676</t>
  </si>
  <si>
    <t>-594.136552657293 210.00598864906 -224.862364113883</t>
  </si>
  <si>
    <t>-383.370764453868 114.219268949488 -243.603146444541</t>
  </si>
  <si>
    <t>-621.509749875147 123.618447022503 -97.685039684199</t>
  </si>
  <si>
    <t>-638.590143917743 140.298508135988 317.203636947881</t>
  </si>
  <si>
    <t>-670.093471832938 185.554804880745 777.036200692521</t>
  </si>
  <si>
    <t>-519.494761477538 189.029222103753 833.532040474601</t>
  </si>
  <si>
    <t>-606.107366464862 -77.9045784076218 321.963508063273</t>
  </si>
  <si>
    <t>-656.257782720853 -107.975371697037 781.392984728798</t>
  </si>
  <si>
    <t>-501.79663638326 -119.656010207772 824.857233432593</t>
  </si>
  <si>
    <t>9763-20170724T115609.258031600.bin</t>
  </si>
  <si>
    <t>-610.079715059538 31.3807693672329 -93.7627151038384</t>
  </si>
  <si>
    <t>-629.095784491657 26.3785715409908 -202.716133175687</t>
  </si>
  <si>
    <t>-641.263026942574 24.0231899750704 -294.761026816968</t>
  </si>
  <si>
    <t>-651.64497829991 22.5252904880169 -377.996280328064</t>
  </si>
  <si>
    <t>-660.846236595101 21.6998914755011 -461.379621457375</t>
  </si>
  <si>
    <t>-672.995780608096 21.2193461570362 -583.433265837153</t>
  </si>
  <si>
    <t>-661.285317247236 25.3483794191441 -660.80278144977</t>
  </si>
  <si>
    <t>-669.802144124585 52.7183308044389 -529.787666747909</t>
  </si>
  <si>
    <t>-646.069498815656 204.381504025659 -501.989142411928</t>
  </si>
  <si>
    <t>-594.205683214001 210.052639442341 -224.759066101982</t>
  </si>
  <si>
    <t>-383.402333736942 114.299409141679 -243.246742025677</t>
  </si>
  <si>
    <t>-621.282282214557 123.54033475798 -97.6863771005951</t>
  </si>
  <si>
    <t>-638.468778957052 140.236501534296 317.197305529153</t>
  </si>
  <si>
    <t>-670.082045235673 185.57308552846 777.014301807027</t>
  </si>
  <si>
    <t>-519.491801590154 189.031209697931 833.533749880838</t>
  </si>
  <si>
    <t>-606.040681033766 -77.97820451347 321.964746911501</t>
  </si>
  <si>
    <t>-656.259168305908 -107.951258045896 781.389863400188</t>
  </si>
  <si>
    <t>-501.807619847164 -119.771945466375 824.850401875208</t>
  </si>
  <si>
    <t>9763-20170724T115609.326212300.bin</t>
  </si>
  <si>
    <t>-609.838363581293 31.0856886295271 -93.7590577045767</t>
  </si>
  <si>
    <t>-628.861532329864 26.0912160837897 -202.711683212898</t>
  </si>
  <si>
    <t>-640.955560424208 23.7405127921991 -294.766213678252</t>
  </si>
  <si>
    <t>-651.239642719763 22.2465503910648 -378.013657952088</t>
  </si>
  <si>
    <t>-660.311056837522 21.4239828366965 -461.411379773522</t>
  </si>
  <si>
    <t>-672.235630219898 20.9460726049078 -583.48724470841</t>
  </si>
  <si>
    <t>-660.48165538923 24.9969031737728 -660.854172358528</t>
  </si>
  <si>
    <t>-669.111565233084 52.4459763821776 -529.837893063935</t>
  </si>
  <si>
    <t>-645.41532117014 204.126665504367 -502.111955256518</t>
  </si>
  <si>
    <t>-594.642181904311 210.387358046237 -224.692604932271</t>
  </si>
  <si>
    <t>-383.810442163601 114.626620028295 -242.81417958191</t>
  </si>
  <si>
    <t>-620.942712315882 123.209313978655 -97.6998138785353</t>
  </si>
  <si>
    <t>-638.267504865961 140.001598171308 317.174197685968</t>
  </si>
  <si>
    <t>-670.113587286492 185.418671356184 776.975195974014</t>
  </si>
  <si>
    <t>-519.539368917953 189.068509746897 833.525305383385</t>
  </si>
  <si>
    <t>-606.00758313371 -78.2547488250634 321.957573514264</t>
  </si>
  <si>
    <t>-656.261330229893 -108.00240401295 781.391156983727</t>
  </si>
  <si>
    <t>-501.817145444811 -119.947899830188 824.843793308781</t>
  </si>
  <si>
    <t>9763-20170724T115609.356309200.bin</t>
  </si>
  <si>
    <t>-609.747732966963 30.933304893141 -93.7614368875538</t>
  </si>
  <si>
    <t>-628.784963717291 25.936577918292 -202.711438919405</t>
  </si>
  <si>
    <t>-640.858270972782 23.5936648554659 -294.768960678573</t>
  </si>
  <si>
    <t>-651.110497915084 22.1105330751918 -378.020592623375</t>
  </si>
  <si>
    <t>-660.1368350006 21.3023850213267 -461.423173907623</t>
  </si>
  <si>
    <t>-671.980984515937 20.8493699552541 -583.506977500465</t>
  </si>
  <si>
    <t>-660.228728285648 24.8776033207282 -660.87549271172</t>
  </si>
  <si>
    <t>-668.886089165618 52.3387931543966 -529.84987514117</t>
  </si>
  <si>
    <t>-645.285935093315 204.035410232112 -502.114981671133</t>
  </si>
  <si>
    <t>-595.017442446136 210.708521124436 -224.613535278166</t>
  </si>
  <si>
    <t>-384.164932027844 114.948568580269 -242.495646723428</t>
  </si>
  <si>
    <t>-620.844957872691 123.03495375609 -97.7061207412346</t>
  </si>
  <si>
    <t>-638.205578196318 139.875384320134 317.164485212315</t>
  </si>
  <si>
    <t>-670.119686037165 185.374728608997 776.94877724105</t>
  </si>
  <si>
    <t>-519.554779099558 189.061579755409 833.521181146667</t>
  </si>
  <si>
    <t>-605.97302374796 -78.3550743006258 321.958448546327</t>
  </si>
  <si>
    <t>-656.259436079881 -108.008981863964 781.390182292141</t>
  </si>
  <si>
    <t>-501.837572126453 -120.214946178366 824.849716628623</t>
  </si>
  <si>
    <t>9763-20170724T115609.428000800.bin</t>
  </si>
  <si>
    <t>-609.594789113139 30.6740469803462 -93.7633844151767</t>
  </si>
  <si>
    <t>-628.698799227753 25.6956156449892 -202.702580422887</t>
  </si>
  <si>
    <t>-640.769270779816 23.3881125908426 -294.761432248437</t>
  </si>
  <si>
    <t>-650.995073940448 21.9451862611877 -378.016923907897</t>
  </si>
  <si>
    <t>-659.970880374096 21.1850876134333 -461.425376198099</t>
  </si>
  <si>
    <t>-671.714508436282 20.8106920489738 -583.519132237868</t>
  </si>
  <si>
    <t>-659.960746272151 24.8105557143454 -660.888718039465</t>
  </si>
  <si>
    <t>-668.645787627899 52.2666724673159 -529.840994240084</t>
  </si>
  <si>
    <t>-644.914380139324 203.917665779541 -501.996677922032</t>
  </si>
  <si>
    <t>-595.911114289779 211.129887542147 -224.282376690681</t>
  </si>
  <si>
    <t>-384.701154617334 116.048159668104 -241.555138702981</t>
  </si>
  <si>
    <t>-620.640778224324 122.765552927153 -97.700508467173</t>
  </si>
  <si>
    <t>-638.08058627625 139.676123849344 317.163943532606</t>
  </si>
  <si>
    <t>-670.108453489478 185.386296360287 776.904269862917</t>
  </si>
  <si>
    <t>-519.560942930923 189.094990131081 833.521485809466</t>
  </si>
  <si>
    <t>-605.854536689872 -78.4839927084647 321.962709287417</t>
  </si>
  <si>
    <t>-656.269683364277 -108.001356599621 781.387017135225</t>
  </si>
  <si>
    <t>-501.849256878133 -120.299692066746 824.825642263722</t>
  </si>
  <si>
    <t>9763-20170724T115609.459700800.bin</t>
  </si>
  <si>
    <t>-609.560143843869 30.5756662219083 -93.7681191016617</t>
  </si>
  <si>
    <t>-628.706694550953 25.6064619288695 -202.70037246423</t>
  </si>
  <si>
    <t>-640.786774089324 23.3087118237945 -294.758027023498</t>
  </si>
  <si>
    <t>-651.010750272039 21.8755465260488 -378.013942991566</t>
  </si>
  <si>
    <t>-659.974300348033 21.1259133200347 -461.423934301897</t>
  </si>
  <si>
    <t>-671.688556607058 20.7679693532643 -583.520462277771</t>
  </si>
  <si>
    <t>-659.932665814772 24.7562394687418 -660.890450340584</t>
  </si>
  <si>
    <t>-668.640936190398 52.2162379127108 -529.836633651339</t>
  </si>
  <si>
    <t>-644.966777761017 203.882116948598 -502.017071432986</t>
  </si>
  <si>
    <t>-596.382641032269 211.128076133995 -224.230057077973</t>
  </si>
  <si>
    <t>-384.915489928777 116.573714627197 -241.249039477578</t>
  </si>
  <si>
    <t>-620.593385257469 122.665039896051 -97.698672210259</t>
  </si>
  <si>
    <t>-638.0401653388 139.574347425522 317.165504436489</t>
  </si>
  <si>
    <t>-670.111133214771 185.384643311967 776.8999060598</t>
  </si>
  <si>
    <t>-519.567953332131 189.048255848412 833.531619064503</t>
  </si>
  <si>
    <t>-605.808989667777 -78.5083028471558 321.957679247466</t>
  </si>
  <si>
    <t>-656.275526943263 -108.025591548661 781.383895519496</t>
  </si>
  <si>
    <t>-501.845890267127 -120.242555544113 824.812736404402</t>
  </si>
  <si>
    <t>9763-20170724T115609.524873600.bin</t>
  </si>
  <si>
    <t>-609.629273532136 30.5526336850421 -93.7499297097675</t>
  </si>
  <si>
    <t>-628.893093389443 25.583222369178 -202.661402615594</t>
  </si>
  <si>
    <t>-641.064285274199 23.3154197680115 -294.707807524903</t>
  </si>
  <si>
    <t>-651.367230273477 21.9212757907603 -377.95470803497</t>
  </si>
  <si>
    <t>-660.406568630024 21.2229252521097 -461.356949617739</t>
  </si>
  <si>
    <t>-672.227967471434 20.9536090855868 -583.443466866407</t>
  </si>
  <si>
    <t>-660.520637455613 24.9512578312945 -660.820295367227</t>
  </si>
  <si>
    <t>-669.162867922726 52.3608439484017 -529.736643766729</t>
  </si>
  <si>
    <t>-645.586267796152 204.010917749434 -501.770945728762</t>
  </si>
  <si>
    <t>-597.359363331129 211.24030105379 -223.921072045536</t>
  </si>
  <si>
    <t>-385.524827486873 117.435914060717 -240.516075493008</t>
  </si>
  <si>
    <t>-620.726226948824 122.614686675389 -97.6737408984715</t>
  </si>
  <si>
    <t>-638.027600054054 139.580931329601 317.194167034253</t>
  </si>
  <si>
    <t>-670.110172864142 185.430731512508 776.904108086505</t>
  </si>
  <si>
    <t>-519.566504064256 188.940916790987 833.544263024968</t>
  </si>
  <si>
    <t>-605.79292528361 -78.4568348295022 321.955433836211</t>
  </si>
  <si>
    <t>-656.281362079523 -107.960023684489 781.374251529226</t>
  </si>
  <si>
    <t>-501.795578433433 -119.578833080553 824.76740305748</t>
  </si>
  <si>
    <t>9763-20170724T115609.558490700.bin</t>
  </si>
  <si>
    <t>-609.733805549076 30.5588398302018 -93.7516213070435</t>
  </si>
  <si>
    <t>-629.062567259434 25.5820024276591 -202.651296837809</t>
  </si>
  <si>
    <t>-641.271876687026 23.3326124406187 -294.693031702317</t>
  </si>
  <si>
    <t>-651.602501145168 21.9644409133825 -377.936911082796</t>
  </si>
  <si>
    <t>-660.662627997119 21.3019577232606 -461.337346966561</t>
  </si>
  <si>
    <t>-672.506847704914 21.0958638846855 -583.421677846249</t>
  </si>
  <si>
    <t>-660.814604017442 25.1193242661823 -660.799464580441</t>
  </si>
  <si>
    <t>-669.452983662979 52.473796832229 -529.697008006981</t>
  </si>
  <si>
    <t>-645.932060843212 204.121935181071 -501.658696507446</t>
  </si>
  <si>
    <t>-597.832124363705 211.409862149782 -223.788465703604</t>
  </si>
  <si>
    <t>-385.901159031138 117.832925378441 -240.436498596199</t>
  </si>
  <si>
    <t>-620.856684167697 122.590368494827 -97.6599138773131</t>
  </si>
  <si>
    <t>-638.077196563998 139.574618349154 317.210715912041</t>
  </si>
  <si>
    <t>-670.136265534261 185.360139007224 776.926834312101</t>
  </si>
  <si>
    <t>-519.587667024947 188.97070501794 833.54751502473</t>
  </si>
  <si>
    <t>-605.795636206026 -78.4043853326682 321.953942701776</t>
  </si>
  <si>
    <t>-656.288320071272 -107.980657984056 781.370004232583</t>
  </si>
  <si>
    <t>-501.813565856474 -119.781968777285 824.75325831577</t>
  </si>
  <si>
    <t>9763-20170724T115609.625668100.bin</t>
  </si>
  <si>
    <t>-610.173004646357 30.6969725516997 -93.7621891505687</t>
  </si>
  <si>
    <t>-629.579657650354 25.7044039413438 -202.647212813552</t>
  </si>
  <si>
    <t>-641.853372866886 23.4664064276851 -294.680744056511</t>
  </si>
  <si>
    <t>-652.24142426034 22.1175792451834 -377.917835245865</t>
  </si>
  <si>
    <t>-661.358262003148 21.4841358586123 -461.31223337104</t>
  </si>
  <si>
    <t>-673.284524856383 21.331044729367 -583.388760133865</t>
  </si>
  <si>
    <t>-661.647195879751 25.4098728542383 -660.771844356346</t>
  </si>
  <si>
    <t>-670.221974557227 52.6837370307928 -529.649726800835</t>
  </si>
  <si>
    <t>-646.796798864679 204.338238776629 -501.552266033207</t>
  </si>
  <si>
    <t>-598.756555371399 211.933809478544 -223.680006619802</t>
  </si>
  <si>
    <t>-386.726044224848 118.5245847013 -239.999247378867</t>
  </si>
  <si>
    <t>-621.389887475213 122.675649465462 -97.6552159016225</t>
  </si>
  <si>
    <t>-638.330604752422 139.679462577109 317.226052548953</t>
  </si>
  <si>
    <t>-670.173033209556 185.319090648037 776.972556548745</t>
  </si>
  <si>
    <t>-519.610808587116 188.912448612664 833.558176315541</t>
  </si>
  <si>
    <t>-605.925733213542 -78.217325243653 321.944819567923</t>
  </si>
  <si>
    <t>-656.305312632241 -107.955109460545 781.359940171288</t>
  </si>
  <si>
    <t>-501.800385266955 -119.51015819962 824.701944132644</t>
  </si>
  <si>
    <t>9763-20170724T115609.661267700.bin</t>
  </si>
  <si>
    <t>-610.443927814455 30.743411427741 -93.7550168202008</t>
  </si>
  <si>
    <t>-629.906467905929 25.7348496647865 -202.629327812366</t>
  </si>
  <si>
    <t>-642.228343609492 23.4979095848653 -294.656559138832</t>
  </si>
  <si>
    <t>-652.660211367392 22.1557034479026 -377.888248931929</t>
  </si>
  <si>
    <t>-661.821079742886 21.5346574156752 -461.277745729695</t>
  </si>
  <si>
    <t>-673.812002485587 21.4058296616993 -583.347962554235</t>
  </si>
  <si>
    <t>-662.215004542045 25.4977711998185 -660.736433239252</t>
  </si>
  <si>
    <t>-670.72733156387 52.7473297837546 -529.603930792631</t>
  </si>
  <si>
    <t>-647.255078576392 204.392964159401 -501.501178586528</t>
  </si>
  <si>
    <t>-599.255314830055 212.079589898722 -223.624351593741</t>
  </si>
  <si>
    <t>-387.250057414322 118.596560654281 -239.848539238924</t>
  </si>
  <si>
    <t>-621.680436464254 122.678176425608 -97.6528225017419</t>
  </si>
  <si>
    <t>-638.511682261962 139.688039303387 317.232659193621</t>
  </si>
  <si>
    <t>-670.196342264511 185.28441230596 776.997027294792</t>
  </si>
  <si>
    <t>-519.624818178684 188.959430821693 833.552606841645</t>
  </si>
  <si>
    <t>-606.041650158522 -78.1218672256127 321.944951297386</t>
  </si>
  <si>
    <t>-656.314928697697 -107.95692320923 781.358021924993</t>
  </si>
  <si>
    <t>-501.819201921979 -119.688942032004 824.685263712455</t>
  </si>
  <si>
    <t>9763-20170724T115609.727444000.bin</t>
  </si>
  <si>
    <t>-611.151735838067 30.8128579138113 -93.7462747916069</t>
  </si>
  <si>
    <t>-630.730211549712 25.815902640179 -202.600323589496</t>
  </si>
  <si>
    <t>-643.201550190848 23.5998065013564 -294.607812874624</t>
  </si>
  <si>
    <t>-653.789124043334 22.2815435175689 -377.820229039403</t>
  </si>
  <si>
    <t>-663.126629323822 21.6893428643841 -461.190451414415</t>
  </si>
  <si>
    <t>-675.398581326684 21.6086197397583 -583.232718097281</t>
  </si>
  <si>
    <t>-663.931109191547 25.6629009990525 -660.642623314137</t>
  </si>
  <si>
    <t>-672.188550733269 52.9290985076111 -529.483634310991</t>
  </si>
  <si>
    <t>-648.698707173075 204.59586139751 -501.484766911372</t>
  </si>
  <si>
    <t>-600.399756091311 212.494646056944 -223.665726032317</t>
  </si>
  <si>
    <t>-388.602940393918 118.499540919029 -239.65215811804</t>
  </si>
  <si>
    <t>-622.405195866587 122.700210991489 -97.6315787784606</t>
  </si>
  <si>
    <t>-638.901787190533 139.662298076853 317.269339069149</t>
  </si>
  <si>
    <t>-670.226352278175 185.343460589341 777.052631572612</t>
  </si>
  <si>
    <t>-519.625250279579 188.936904408741 833.534649959676</t>
  </si>
  <si>
    <t>-606.318217511442 -77.8404710660084 321.937421437196</t>
  </si>
  <si>
    <t>-656.320115001964 -107.895079873137 781.352982162395</t>
  </si>
  <si>
    <t>-501.776631112106 -119.118017788334 824.644844979718</t>
  </si>
  <si>
    <t>9763-20170724T115609.758065300.bin</t>
  </si>
  <si>
    <t>-611.548251633864 30.8512269951689 -93.7514390326771</t>
  </si>
  <si>
    <t>-631.166727291585 25.8710064144457 -202.59912269311</t>
  </si>
  <si>
    <t>-643.678594238169 23.6692142708414 -294.601390851492</t>
  </si>
  <si>
    <t>-654.305624148418 22.3640302800143 -377.809082176147</t>
  </si>
  <si>
    <t>-663.685404419967 21.7852298774981 -461.174611234289</t>
  </si>
  <si>
    <t>-676.022308351403 21.7245348058273 -583.210332199583</t>
  </si>
  <si>
    <t>-664.594561075445 25.746729929768 -660.627596168507</t>
  </si>
  <si>
    <t>-672.779316915022 53.0365375229601 -529.458283430636</t>
  </si>
  <si>
    <t>-649.231475908512 204.707298113728 -501.570281429634</t>
  </si>
  <si>
    <t>-600.840626056039 212.837833892663 -223.773915748188</t>
  </si>
  <si>
    <t>-389.189658171567 118.529503981646 -239.846938324714</t>
  </si>
  <si>
    <t>-622.788421529775 122.741056121202 -97.6138701635581</t>
  </si>
  <si>
    <t>-639.148040490333 139.663736261811 317.294036573292</t>
  </si>
  <si>
    <t>-670.238083033218 185.396187109553 777.085163214268</t>
  </si>
  <si>
    <t>-519.617142567946 188.852092250592 833.522817726899</t>
  </si>
  <si>
    <t>-606.505503201215 -77.7370599655249 321.930567047071</t>
  </si>
  <si>
    <t>-656.308819700098 -107.891526473834 781.35325672617</t>
  </si>
  <si>
    <t>-501.781331902517 -119.244051758905 824.66828407698</t>
  </si>
  <si>
    <t>9763-20170724T115609.828754400.bin</t>
  </si>
  <si>
    <t>-612.349975591836 30.8962142810135 -93.7598334049628</t>
  </si>
  <si>
    <t>-631.981331108162 25.959287460721 -202.60702427696</t>
  </si>
  <si>
    <t>-644.556050192759 23.7554498661877 -294.60081505284</t>
  </si>
  <si>
    <t>-655.260997514899 22.4338829800881 -377.79817511909</t>
  </si>
  <si>
    <t>-664.739955221912 21.8236173384541 -461.152261847653</t>
  </si>
  <si>
    <t>-677.245358786272 21.7000226847358 -583.17090718922</t>
  </si>
  <si>
    <t>-665.898468575272 25.6137982899311 -660.605546929129</t>
  </si>
  <si>
    <t>-673.885524325055 53.0426470509638 -529.443848638269</t>
  </si>
  <si>
    <t>-650.154341968608 204.736436465952 -501.791904895676</t>
  </si>
  <si>
    <t>-601.487672908648 213.276693875584 -224.055987736373</t>
  </si>
  <si>
    <t>-390.103781763201 118.389841612307 -240.238365903241</t>
  </si>
  <si>
    <t>-623.588027265968 122.739436938454 -97.5822249953825</t>
  </si>
  <si>
    <t>-639.734185155005 139.64898202179 317.334610360856</t>
  </si>
  <si>
    <t>-670.285584824251 185.417802682844 777.161016775738</t>
  </si>
  <si>
    <t>-519.624230017096 188.807492244789 833.494740959498</t>
  </si>
  <si>
    <t>-606.883585052177 -77.5469880674489 321.907065535293</t>
  </si>
  <si>
    <t>-656.175551417586 -107.906012345921 781.371679329828</t>
  </si>
  <si>
    <t>-501.709911990088 -119.217759845933 824.917462192387</t>
  </si>
  <si>
    <t>9763-20170724T115609.860370800.bin</t>
  </si>
  <si>
    <t>-612.724125530572 30.9349388347259 -93.7297444004731</t>
  </si>
  <si>
    <t>-632.365995951504 26.0157947900868 -202.575902341991</t>
  </si>
  <si>
    <t>-644.981580130222 23.8012954836995 -294.563850754929</t>
  </si>
  <si>
    <t>-655.736387639932 22.4600408288829 -377.754345076797</t>
  </si>
  <si>
    <t>-665.278255710509 21.8196873333795 -461.101222709958</t>
  </si>
  <si>
    <t>-677.889918252144 21.6407294648891 -583.108694503473</t>
  </si>
  <si>
    <t>-666.571959981463 25.4931238591046 -660.550843694012</t>
  </si>
  <si>
    <t>-674.458519367317 53.0094339767634 -529.40138990228</t>
  </si>
  <si>
    <t>-650.616458632626 204.700156054517 -501.860154158544</t>
  </si>
  <si>
    <t>-601.632912714856 213.441474829882 -224.186280110023</t>
  </si>
  <si>
    <t>-390.408602878145 118.197930212614 -240.356818086783</t>
  </si>
  <si>
    <t>-624.006919318586 122.798338029085 -97.5566243870701</t>
  </si>
  <si>
    <t>-640.042911178298 139.655735430901 317.366614850236</t>
  </si>
  <si>
    <t>-670.29539390037 185.491511167836 777.205355168127</t>
  </si>
  <si>
    <t>-519.611898010404 188.723684371769 833.489048023062</t>
  </si>
  <si>
    <t>-607.015874070905 -77.4647067992557 321.916704790804</t>
  </si>
  <si>
    <t>-656.058848993816 -107.960701891406 781.404430177072</t>
  </si>
  <si>
    <t>-501.678797890963 -119.632313981369 825.158368281855</t>
  </si>
  <si>
    <t>9763-20170724T115609.925544300.bin</t>
  </si>
  <si>
    <t>-613.185642277386 31.0246215708553 -93.6639413132491</t>
  </si>
  <si>
    <t>-632.861205621283 26.1358277303914 -202.50544760599</t>
  </si>
  <si>
    <t>-645.564467427001 23.9062441911315 -294.480922700254</t>
  </si>
  <si>
    <t>-656.422443401977 22.5357998729889 -377.657691527036</t>
  </si>
  <si>
    <t>-666.091399169246 21.8503201826322 -460.989252278546</t>
  </si>
  <si>
    <t>-678.915322425891 21.5872919174888 -582.974670153613</t>
  </si>
  <si>
    <t>-667.639274486624 25.3470087330579 -660.427387624853</t>
  </si>
  <si>
    <t>-675.334262919019 52.9967567962751 -529.30095869541</t>
  </si>
  <si>
    <t>-651.149456588385 204.650273581728 -501.866214553902</t>
  </si>
  <si>
    <t>-601.656287097066 213.597100312507 -224.289206700431</t>
  </si>
  <si>
    <t>-390.644815426211 117.864439204008 -240.349953114528</t>
  </si>
  <si>
    <t>-624.5109956738 122.838780049599 -97.4735314387291</t>
  </si>
  <si>
    <t>-640.437625083206 139.668679906914 317.455049269846</t>
  </si>
  <si>
    <t>-670.342118445343 185.449028474469 777.319538152221</t>
  </si>
  <si>
    <t>-519.625124877074 188.85389685701 833.503293609839</t>
  </si>
  <si>
    <t>-607.03196125972 -77.2528024027843 321.978193870395</t>
  </si>
  <si>
    <t>-655.590194577596 -108.012059874389 781.498140859538</t>
  </si>
  <si>
    <t>-501.377676405059 -118.799648679242 826.062143930021</t>
  </si>
  <si>
    <t>9763-20170724T115609.963153400.bin</t>
  </si>
  <si>
    <t>-613.277025338825 31.1097072039379 -93.6000241749152</t>
  </si>
  <si>
    <t>-632.977876613026 26.2402190155644 -202.437819246967</t>
  </si>
  <si>
    <t>-645.713396208531 24.0092291308206 -294.408833950845</t>
  </si>
  <si>
    <t>-656.604958455375 22.6307737596012 -377.580934731309</t>
  </si>
  <si>
    <t>-666.312068714731 21.9298348191701 -460.908096890448</t>
  </si>
  <si>
    <t>-679.19667104658 21.6362957275519 -582.886862035798</t>
  </si>
  <si>
    <t>-667.934350345945 25.366320479241 -660.343140059748</t>
  </si>
  <si>
    <t>-675.558741873503 53.0611342539553 -529.226020628947</t>
  </si>
  <si>
    <t>-651.24100894322 204.699244980541 -501.813261444353</t>
  </si>
  <si>
    <t>-601.650234663301 213.7056127288 -224.255657229483</t>
  </si>
  <si>
    <t>-390.714363337233 117.800828991971 -240.282680232319</t>
  </si>
  <si>
    <t>-624.617321009014 122.936090486215 -97.4118953284991</t>
  </si>
  <si>
    <t>-640.458545677771 139.726442019305 317.521508733543</t>
  </si>
  <si>
    <t>-670.352316298212 185.447345157751 777.393450460006</t>
  </si>
  <si>
    <t>-519.618752858864 188.749089775934 833.539002165828</t>
  </si>
  <si>
    <t>-606.908975421288 -77.1601562910353 322.045981979793</t>
  </si>
  <si>
    <t>-655.328566416708 -108.074914215728 781.595700769003</t>
  </si>
  <si>
    <t>-501.260090740343 -119.028568514846 826.615145566838</t>
  </si>
  <si>
    <t>9763-20170724T115610.024313400.bin</t>
  </si>
  <si>
    <t>-613.371732688554 31.4255735429067 -93.4753414649595</t>
  </si>
  <si>
    <t>-633.110390477102 26.5906008431448 -202.307831927143</t>
  </si>
  <si>
    <t>-645.869242554793 24.3846656405835 -294.276321534309</t>
  </si>
  <si>
    <t>-656.778473463263 23.0285577909685 -377.4463955817</t>
  </si>
  <si>
    <t>-666.499609016749 22.3483577548973 -460.772229951954</t>
  </si>
  <si>
    <t>-679.400522458112 22.0835035775426 -582.749292691357</t>
  </si>
  <si>
    <t>-668.14443860253 25.7955724665242 -660.2072358843</t>
  </si>
  <si>
    <t>-675.683345058412 53.5003469828077 -529.089070336813</t>
  </si>
  <si>
    <t>-651.025247813112 205.084578903332 -501.667095676477</t>
  </si>
  <si>
    <t>-601.786369931374 214.203440991039 -224.050580376269</t>
  </si>
  <si>
    <t>-391.005762849779 117.923336678061 -239.868747616052</t>
  </si>
  <si>
    <t>-624.622445230097 123.349092848981 -97.2859331252489</t>
  </si>
  <si>
    <t>-640.427499368294 139.91837670989 317.657773946758</t>
  </si>
  <si>
    <t>-670.359473474321 185.487016631152 777.536294943066</t>
  </si>
  <si>
    <t>-519.602003847298 188.730945400542 833.620872051935</t>
  </si>
  <si>
    <t>-606.820099005832 -76.9022572591145 322.174889605431</t>
  </si>
  <si>
    <t>-655.049658048287 -108.114081730919 781.700761116145</t>
  </si>
  <si>
    <t>-501.144876784953 -119.223772068392 827.238825693813</t>
  </si>
  <si>
    <t>9763-20170724T115610.062927500.bin</t>
  </si>
  <si>
    <t>-613.390397717153 31.5682958098091 -93.4330885802468</t>
  </si>
  <si>
    <t>-633.133597671693 26.7619002900901 -202.265995778723</t>
  </si>
  <si>
    <t>-645.892527977496 24.5748233421357 -294.234820842829</t>
  </si>
  <si>
    <t>-656.800386114166 23.2345910451795 -377.405452596678</t>
  </si>
  <si>
    <t>-666.518720964268 22.5687114731159 -460.731490062237</t>
  </si>
  <si>
    <t>-679.41414283883 22.3227081687878 -582.709449244289</t>
  </si>
  <si>
    <t>-668.145994854566 26.0322958720881 -660.165676336864</t>
  </si>
  <si>
    <t>-675.676136152569 53.7327284074745 -529.04673361911</t>
  </si>
  <si>
    <t>-650.854670418268 205.282401538598 -501.602255222691</t>
  </si>
  <si>
    <t>-601.823602273862 214.338239107992 -223.9468834028</t>
  </si>
  <si>
    <t>-391.106189053695 117.883264740654 -239.539991435495</t>
  </si>
  <si>
    <t>-624.558406902046 123.522979989367 -97.2277208280103</t>
  </si>
  <si>
    <t>-640.394516941826 140.002562973409 317.718344851673</t>
  </si>
  <si>
    <t>-670.360475323226 185.494791910167 777.59400818984</t>
  </si>
  <si>
    <t>-519.596788242492 188.758169466206 833.660734441193</t>
  </si>
  <si>
    <t>-606.844231811618 -76.7979827245033 322.207642380932</t>
  </si>
  <si>
    <t>-654.994540790597 -108.132414431227 781.718152076974</t>
  </si>
  <si>
    <t>-501.135855415549 -119.404036034678 827.372060408918</t>
  </si>
  <si>
    <t>9763-20170724T115610.124090300.bin</t>
  </si>
  <si>
    <t>-613.325946247387 31.9946953259309 -93.3826434582234</t>
  </si>
  <si>
    <t>-633.079736026808 27.2289923199669 -202.215502019606</t>
  </si>
  <si>
    <t>-645.811101894342 25.0694116559109 -294.188771665063</t>
  </si>
  <si>
    <t>-656.67973851722 23.752054453849 -377.364875600903</t>
  </si>
  <si>
    <t>-666.344449970994 23.1069286540483 -460.697447605544</t>
  </si>
  <si>
    <t>-679.145817712745 22.8887413572584 -582.685114836589</t>
  </si>
  <si>
    <t>-667.84244772242 26.5971485792438 -660.136434797225</t>
  </si>
  <si>
    <t>-675.435221058882 54.2872766440739 -529.013952375585</t>
  </si>
  <si>
    <t>-650.566635466502 205.822555279418 -501.513954823465</t>
  </si>
  <si>
    <t>-601.748588731698 214.619259085066 -223.812679836288</t>
  </si>
  <si>
    <t>-391.10158896008 117.98726123918 -239.260085937423</t>
  </si>
  <si>
    <t>-624.36474703137 124.047138120716 -97.1624288247446</t>
  </si>
  <si>
    <t>-640.371446650824 140.233908816297 317.788620824145</t>
  </si>
  <si>
    <t>-670.337493140046 185.588935937429 777.687681986295</t>
  </si>
  <si>
    <t>-519.566342683987 188.573117333817 833.750100574125</t>
  </si>
  <si>
    <t>-606.826855719775 -76.4916947294166 322.238717113256</t>
  </si>
  <si>
    <t>-654.945572865026 -108.1013616443 781.744952973206</t>
  </si>
  <si>
    <t>-501.092548542503 -119.061503713996 827.493720844057</t>
  </si>
  <si>
    <t>9763-20170724T115610.160674400.bin</t>
  </si>
  <si>
    <t>-613.269795759308 32.1892508156484 -93.3720052993858</t>
  </si>
  <si>
    <t>-633.014309927371 27.4301666799463 -202.206815728738</t>
  </si>
  <si>
    <t>-645.726598782581 25.2852330917183 -294.182942257078</t>
  </si>
  <si>
    <t>-656.573412938594 23.9846282172366 -377.362294764942</t>
  </si>
  <si>
    <t>-666.211658251395 23.3593461209537 -460.697986526911</t>
  </si>
  <si>
    <t>-678.96906986869 23.173994528292 -582.690434908982</t>
  </si>
  <si>
    <t>-667.645088628211 26.8854741716473 -660.138518104103</t>
  </si>
  <si>
    <t>-675.272766438573 54.5584811098481 -529.009877366324</t>
  </si>
  <si>
    <t>-650.406397542756 206.083599738932 -501.450907372888</t>
  </si>
  <si>
    <t>-601.649018504094 214.716522733685 -223.73386194376</t>
  </si>
  <si>
    <t>-391.037457510946 118.009436908786 -239.195057662944</t>
  </si>
  <si>
    <t>-624.278965078948 124.242992800965 -97.1413116592751</t>
  </si>
  <si>
    <t>-640.358971619883 140.313283399751 317.811416525769</t>
  </si>
  <si>
    <t>-670.330836475148 185.605434650604 777.720631162019</t>
  </si>
  <si>
    <t>-519.5619179097 188.632294106266 833.786608484053</t>
  </si>
  <si>
    <t>-606.806009915197 -76.3305889050757 322.240286999844</t>
  </si>
  <si>
    <t>-655.003848684444 -108.014510924146 781.737606914481</t>
  </si>
  <si>
    <t>-501.092095008674 -118.573169123561 827.383095659224</t>
  </si>
  <si>
    <t>9763-20170724T115610.224845400.bin</t>
  </si>
  <si>
    <t>-613.165888628543 32.5111302403179 -93.3668772209605</t>
  </si>
  <si>
    <t>-632.87076565567 27.7542327106919 -202.20899074573</t>
  </si>
  <si>
    <t>-645.532548817062 25.6239439079711 -294.192371188335</t>
  </si>
  <si>
    <t>-656.326491374018 24.3412362613735 -377.378895318026</t>
  </si>
  <si>
    <t>-665.904499075768 23.7382999278161 -460.721758143603</t>
  </si>
  <si>
    <t>-678.565508135172 23.5905024941976 -582.72423436421</t>
  </si>
  <si>
    <t>-667.195503725303 27.3322420452855 -660.164034673153</t>
  </si>
  <si>
    <t>-674.907723220579 54.9587595042758 -529.031549291044</t>
  </si>
  <si>
    <t>-650.024011562541 206.466515765004 -501.403484725874</t>
  </si>
  <si>
    <t>-601.469291148052 214.987396683914 -223.647543592312</t>
  </si>
  <si>
    <t>-390.966092048471 118.031967285313 -239.029002641238</t>
  </si>
  <si>
    <t>-624.129152265078 124.537891556234 -97.112387296833</t>
  </si>
  <si>
    <t>-640.374085054701 140.488561776973 317.838577528111</t>
  </si>
  <si>
    <t>-670.338974496373 185.596134347205 777.768716854319</t>
  </si>
  <si>
    <t>-519.569681997421 188.675339196997 833.830745803476</t>
  </si>
  <si>
    <t>-606.865464439275 -76.1313797349121 322.224122516164</t>
  </si>
  <si>
    <t>-655.319432134725 -107.99432409878 781.672793783773</t>
  </si>
  <si>
    <t>-501.322969957883 -119.515759682391 826.796704502412</t>
  </si>
  <si>
    <t>9763-20170724T115610.257659600.bin</t>
  </si>
  <si>
    <t>-613.118034800334 32.6608529883088 -93.3829563567306</t>
  </si>
  <si>
    <t>-632.794865247393 27.9026386393045 -202.230049730278</t>
  </si>
  <si>
    <t>-645.419590898592 25.776767456171 -294.218742695027</t>
  </si>
  <si>
    <t>-656.174584872997 24.5000976079107 -377.410196253117</t>
  </si>
  <si>
    <t>-665.70816616692 23.905390396917 -460.758355592096</t>
  </si>
  <si>
    <t>-678.298272027694 23.7715649250556 -582.768171135418</t>
  </si>
  <si>
    <t>-666.891777897982 27.5337010687683 -660.201680454898</t>
  </si>
  <si>
    <t>-674.679187270758 55.1331295264381 -529.068960978885</t>
  </si>
  <si>
    <t>-649.814640590039 206.636943624443 -501.416549541364</t>
  </si>
  <si>
    <t>-601.384554453714 215.156135409723 -223.638740236116</t>
  </si>
  <si>
    <t>-390.90303567546 118.143716738734 -238.956959907614</t>
  </si>
  <si>
    <t>-624.014286259054 124.683938770534 -97.1233263161319</t>
  </si>
  <si>
    <t>-640.328651793606 140.610591415982 317.825885917732</t>
  </si>
  <si>
    <t>-670.340089837059 185.606412451676 777.769184548586</t>
  </si>
  <si>
    <t>-519.571396253077 188.746989515798 833.829581558692</t>
  </si>
  <si>
    <t>-606.966977570227 -76.041331938874 322.187167577868</t>
  </si>
  <si>
    <t>-655.552351534951 -107.927181415022 781.608947661481</t>
  </si>
  <si>
    <t>-501.44574198899 -119.519054986506 826.337034683544</t>
  </si>
  <si>
    <t>9763-20170724T115610.325841300.bin</t>
  </si>
  <si>
    <t>-613.074075957096 32.893936726952 -93.4592148305028</t>
  </si>
  <si>
    <t>-632.679041352741 28.1371187822481 -202.319238834822</t>
  </si>
  <si>
    <t>-645.227234191739 26.0283966267177 -294.318966466566</t>
  </si>
  <si>
    <t>-655.90673045811 24.7734148924387 -377.520551882384</t>
  </si>
  <si>
    <t>-665.358440318031 24.2070720247452 -460.878129143918</t>
  </si>
  <si>
    <t>-677.821897385652 24.1222730358775 -582.901020005129</t>
  </si>
  <si>
    <t>-666.365227220346 27.9268588624818 -660.324978592934</t>
  </si>
  <si>
    <t>-674.287603175993 55.4604977942295 -529.18251591025</t>
  </si>
  <si>
    <t>-649.580599493563 206.976107415567 -501.421522224308</t>
  </si>
  <si>
    <t>-601.384571883003 215.256324935141 -223.595734083232</t>
  </si>
  <si>
    <t>-390.826544226522 118.39970937394 -238.848832502866</t>
  </si>
  <si>
    <t>-623.869376312285 124.960847131575 -97.1957516272977</t>
  </si>
  <si>
    <t>-640.300607389154 140.778955688219 317.752924199791</t>
  </si>
  <si>
    <t>-670.338047724787 185.635282772191 777.719467213458</t>
  </si>
  <si>
    <t>-519.571656827277 188.663628350801 833.792096270597</t>
  </si>
  <si>
    <t>-607.214856315529 -75.9298985004239 322.083512239854</t>
  </si>
  <si>
    <t>-655.946807262552 -107.834597882709 781.491951447187</t>
  </si>
  <si>
    <t>-501.661429695879 -119.655819837815 825.538524808865</t>
  </si>
  <si>
    <t>9763-20170724T115610.358675600.bin</t>
  </si>
  <si>
    <t>-612.982083493602 32.9400981488611 -93.5008825212666</t>
  </si>
  <si>
    <t>-632.53201126827 28.1796930206694 -202.37062279012</t>
  </si>
  <si>
    <t>-645.016427427835 26.07820952981 -294.379109069093</t>
  </si>
  <si>
    <t>-655.631279253257 24.8339121390954 -377.589201027022</t>
  </si>
  <si>
    <t>-665.011308742162 24.282303632275 -460.954896466396</t>
  </si>
  <si>
    <t>-677.362205855926 24.2237446160832 -582.989325352941</t>
  </si>
  <si>
    <t>-665.864354391904 28.0548960327305 -660.405841311598</t>
  </si>
  <si>
    <t>-673.892474404766 55.5494540495104 -529.259340524031</t>
  </si>
  <si>
    <t>-649.251153333856 207.0608690151 -501.425450795401</t>
  </si>
  <si>
    <t>-601.247313099229 215.245594290533 -223.563613938841</t>
  </si>
  <si>
    <t>-390.62028880294 118.518495016377 -238.684953427568</t>
  </si>
  <si>
    <t>-623.744218009476 124.994315436436 -97.233136739007</t>
  </si>
  <si>
    <t>-640.295458410622 140.803110586804 317.711162828559</t>
  </si>
  <si>
    <t>-670.351205997288 185.605573148742 777.687228090237</t>
  </si>
  <si>
    <t>-519.586339140031 188.674934744891 833.761906366234</t>
  </si>
  <si>
    <t>-607.266938824078 -75.9186773020854 322.044799505681</t>
  </si>
  <si>
    <t>-656.067373458582 -107.797845632986 781.456230245057</t>
  </si>
  <si>
    <t>-501.703442336239 -119.434007254382 825.276313657436</t>
  </si>
  <si>
    <t>9763-20170724T115610.427848200.bin</t>
  </si>
  <si>
    <t>-612.56213431805 33.0327869894772 -93.5600329153741</t>
  </si>
  <si>
    <t>-631.967713786087 28.2632923628607 -202.455182702288</t>
  </si>
  <si>
    <t>-644.307925218528 26.1598466521291 -294.48307732636</t>
  </si>
  <si>
    <t>-654.783406101808 24.9153274760356 -377.71086285774</t>
  </si>
  <si>
    <t>-664.014759589773 24.3656285886782 -461.093162870761</t>
  </si>
  <si>
    <t>-676.138277199987 24.3116508333246 -583.150310538285</t>
  </si>
  <si>
    <t>-664.555552401508 28.1691790677817 -660.5529641921</t>
  </si>
  <si>
    <t>-672.789380262699 55.6339994819477 -529.41064543691</t>
  </si>
  <si>
    <t>-648.286039715231 207.159062932207 -501.523639415274</t>
  </si>
  <si>
    <t>-600.759425835867 215.258822706965 -223.57719724754</t>
  </si>
  <si>
    <t>-390.080300938542 118.594989738464 -238.373845318663</t>
  </si>
  <si>
    <t>-623.29867730873 125.047582129194 -97.3079803523483</t>
  </si>
  <si>
    <t>-640.11342800853 140.881002511516 317.624704779925</t>
  </si>
  <si>
    <t>-670.363284212515 185.584967408323 777.603619075232</t>
  </si>
  <si>
    <t>-519.610716767841 188.785046242777 833.703958419219</t>
  </si>
  <si>
    <t>-607.201729552216 -76.0050323031383 322.000643830952</t>
  </si>
  <si>
    <t>-656.192577232856 -107.771102584549 781.419243083464</t>
  </si>
  <si>
    <t>-501.76733557269 -119.503809572088 824.996919802692</t>
  </si>
  <si>
    <t>9763-20170724T115610.458582600.bin</t>
  </si>
  <si>
    <t>-612.252287210941 33.0815533822185 -93.567896076784</t>
  </si>
  <si>
    <t>-631.586521430242 28.3036931335689 -202.475475656368</t>
  </si>
  <si>
    <t>-643.870913275693 26.2017280810387 -294.510855053396</t>
  </si>
  <si>
    <t>-654.297701614083 24.9614778199834 -377.744722577132</t>
  </si>
  <si>
    <t>-663.481902790617 24.4195870998683 -461.132281895774</t>
  </si>
  <si>
    <t>-675.538288306918 24.3807145543697 -583.19617605472</t>
  </si>
  <si>
    <t>-663.918355547768 28.2472130911101 -660.592773599877</t>
  </si>
  <si>
    <t>-672.230207547255 55.6956018098913 -529.449770977233</t>
  </si>
  <si>
    <t>-647.799224024522 207.222395574318 -501.526312500478</t>
  </si>
  <si>
    <t>-600.543443317816 215.388065691431 -223.535605782101</t>
  </si>
  <si>
    <t>-389.85180155022 118.738525470023 -238.247024605272</t>
  </si>
  <si>
    <t>-623.010406707466 125.094632985766 -97.3322141499933</t>
  </si>
  <si>
    <t>-639.939718026113 140.945244012667 317.595196218579</t>
  </si>
  <si>
    <t>-670.355916909943 185.620861282452 777.563043789434</t>
  </si>
  <si>
    <t>-519.609873671116 188.729289492466 833.686016026743</t>
  </si>
  <si>
    <t>-607.05316365483 -76.0510454612077 322.000241287828</t>
  </si>
  <si>
    <t>-656.224765114287 -107.746986518177 781.407507511279</t>
  </si>
  <si>
    <t>-501.768811212242 -119.323117377718 824.918132853655</t>
  </si>
  <si>
    <t>9763-20170724T115610.529775000.bin</t>
  </si>
  <si>
    <t>-611.557775485417 33.0607279405726 -93.5802927945109</t>
  </si>
  <si>
    <t>-630.772874455434 28.2614075858339 -202.508005822824</t>
  </si>
  <si>
    <t>-642.932040123353 26.1590987176205 -294.560092836517</t>
  </si>
  <si>
    <t>-653.235711327871 24.9252871146034 -377.809293682943</t>
  </si>
  <si>
    <t>-662.287044533113 24.3967882098138 -461.211474973006</t>
  </si>
  <si>
    <t>-674.138270766983 24.3860814834502 -583.29544361125</t>
  </si>
  <si>
    <t>-662.418657182326 28.2460898350907 -660.677405181333</t>
  </si>
  <si>
    <t>-670.972091782759 55.6853821070526 -529.531359333033</t>
  </si>
  <si>
    <t>-646.917407782274 207.266380753709 -501.572005591025</t>
  </si>
  <si>
    <t>-599.828588400894 215.347523677895 -223.550553458358</t>
  </si>
  <si>
    <t>-388.946798649204 119.033728937836 -237.729807762292</t>
  </si>
  <si>
    <t>-622.366865319961 125.105001891544 -97.3744421032654</t>
  </si>
  <si>
    <t>-639.57252769872 140.928295171807 317.542642926635</t>
  </si>
  <si>
    <t>-670.347579868202 185.621455954587 777.474973701555</t>
  </si>
  <si>
    <t>-519.620078677655 188.693095188381 833.649815308848</t>
  </si>
  <si>
    <t>-606.76825458471 -76.3230841797674 321.999737090705</t>
  </si>
  <si>
    <t>-656.243693555335 -107.718046501515 781.401651186908</t>
  </si>
  <si>
    <t>-501.754401080986 -119.079233883281 824.850474287892</t>
  </si>
  <si>
    <t>9763-20170724T115610.559862400.bin</t>
  </si>
  <si>
    <t>-611.187837066796 32.9605524559249 -93.6005483476636</t>
  </si>
  <si>
    <t>-630.337676178 28.1530519158146 -202.539383426533</t>
  </si>
  <si>
    <t>-642.410013541448 26.059364878332 -294.602901051867</t>
  </si>
  <si>
    <t>-652.622454611724 24.8391108908068 -377.863684633003</t>
  </si>
  <si>
    <t>-661.569604963315 24.3305397141767 -461.277323679431</t>
  </si>
  <si>
    <t>-673.254375174714 24.3556128729247 -583.377267937503</t>
  </si>
  <si>
    <t>-661.455730142976 28.2139881792214 -660.747167275693</t>
  </si>
  <si>
    <t>-670.184161510189 55.6376722988241 -529.597557925171</t>
  </si>
  <si>
    <t>-646.374159124526 207.242469269205 -501.579652371066</t>
  </si>
  <si>
    <t>-599.249277705354 215.24929426187 -223.56204459247</t>
  </si>
  <si>
    <t>-388.242086358471 119.197507917079 -237.653110202841</t>
  </si>
  <si>
    <t>-622.002713049486 125.012926458967 -97.397625562014</t>
  </si>
  <si>
    <t>-639.368869131942 140.83813533947 317.512802635625</t>
  </si>
  <si>
    <t>-670.367144207535 185.522249572655 777.436919396692</t>
  </si>
  <si>
    <t>-519.652471163722 188.854822911795 833.631333136712</t>
  </si>
  <si>
    <t>-606.651053249169 -76.5683369643964 321.991060276732</t>
  </si>
  <si>
    <t>-656.244663981632 -107.727140762946 781.402884556256</t>
  </si>
  <si>
    <t>-501.769599137998 -119.295787959605 824.847666682038</t>
  </si>
  <si>
    <t>9763-20170724T115610.628043000.bin</t>
  </si>
  <si>
    <t>-610.375936171963 32.8570803148284 -93.6020170521988</t>
  </si>
  <si>
    <t>-629.383953497928 28.013678911427 -202.564052667761</t>
  </si>
  <si>
    <t>-641.293147098053 25.9020750021907 -294.648472738395</t>
  </si>
  <si>
    <t>-651.340626366325 24.6698973814216 -377.929146788186</t>
  </si>
  <si>
    <t>-660.105176367552 24.1540251089898 -461.362061491437</t>
  </si>
  <si>
    <t>-671.503680294538 24.1736662056328 -583.489103537555</t>
  </si>
  <si>
    <t>-659.546002428114 28.0411227741067 -660.834114099765</t>
  </si>
  <si>
    <t>-668.59914352677 55.455400553099 -529.699930993308</t>
  </si>
  <si>
    <t>-645.280653277669 207.15532423605 -501.739993010902</t>
  </si>
  <si>
    <t>-597.677313972013 214.983940906294 -223.798898386613</t>
  </si>
  <si>
    <t>-386.247069243484 119.840184104901 -237.707476172505</t>
  </si>
  <si>
    <t>-621.184213635996 124.980999502611 -97.4426740954939</t>
  </si>
  <si>
    <t>-638.899834482074 140.784032977355 317.453687853018</t>
  </si>
  <si>
    <t>-670.37211351714 185.489623157552 777.349919084994</t>
  </si>
  <si>
    <t>-519.67434953552 188.753893308831 833.593669028787</t>
  </si>
  <si>
    <t>-606.326958570286 -76.8675997836388 321.997915394173</t>
  </si>
  <si>
    <t>-656.2505381788 -107.722387027118 781.405524297777</t>
  </si>
  <si>
    <t>-501.783358727065 -119.485914555237 824.826015939204</t>
  </si>
  <si>
    <t>9763-20170724T115610.657129700.bin</t>
  </si>
  <si>
    <t>-609.924459206513 32.8733694741893 -93.5984581731198</t>
  </si>
  <si>
    <t>-628.873557312706 28.0159394538039 -202.570212968635</t>
  </si>
  <si>
    <t>-640.726016360025 25.8834106172135 -294.661480632485</t>
  </si>
  <si>
    <t>-650.719498006892 24.6282087719428 -377.94836666722</t>
  </si>
  <si>
    <t>-659.427404925967 24.0856197241496 -461.38700692642</t>
  </si>
  <si>
    <t>-670.740160773595 24.0623666105839 -583.52198495741</t>
  </si>
  <si>
    <t>-658.709541867965 27.9225624422743 -660.856049263333</t>
  </si>
  <si>
    <t>-667.896938364091 55.3614408603744 -529.739768105107</t>
  </si>
  <si>
    <t>-644.851756505077 207.110404398561 -501.835377967518</t>
  </si>
  <si>
    <t>-596.668729716964 215.118097708253 -223.999305918404</t>
  </si>
  <si>
    <t>-385.121156776905 120.262537508819 -238.091294391413</t>
  </si>
  <si>
    <t>-620.772227910887 124.999385308858 -97.4539143913839</t>
  </si>
  <si>
    <t>-638.685340051012 140.769260840066 317.435251749396</t>
  </si>
  <si>
    <t>-670.375221888859 185.458249891678 777.307488005291</t>
  </si>
  <si>
    <t>-519.689259193959 188.792277005731 833.578535876097</t>
  </si>
  <si>
    <t>-606.11107906719 -76.9611341542029 322.011410217608</t>
  </si>
  <si>
    <t>-656.252313081861 -107.730671280204 781.401244942327</t>
  </si>
  <si>
    <t>-501.779954875684 -119.507185329655 824.799799864873</t>
  </si>
  <si>
    <t>9763-20170724T115610.727315300.bin</t>
  </si>
  <si>
    <t>-608.937196721723 32.9096215478896 -93.5943149586046</t>
  </si>
  <si>
    <t>-627.747304315604 28.0185495403159 -202.588615597475</t>
  </si>
  <si>
    <t>-639.500311679437 25.8315717126907 -294.691437078846</t>
  </si>
  <si>
    <t>-649.411191649707 24.5160384870242 -377.987067468313</t>
  </si>
  <si>
    <t>-658.043839389768 23.9025976454902 -461.433083422586</t>
  </si>
  <si>
    <t>-669.254972724186 23.7637185050496 -583.577342390795</t>
  </si>
  <si>
    <t>-657.122865939498 27.5698460757774 -660.898360364314</t>
  </si>
  <si>
    <t>-666.486707338263 55.1115652026538 -529.819599403071</t>
  </si>
  <si>
    <t>-644.000309574995 206.981415873669 -502.110985940419</t>
  </si>
  <si>
    <t>-594.16311554066 215.319828237062 -224.576719992708</t>
  </si>
  <si>
    <t>-382.475769368281 120.898867300385 -239.465794888878</t>
  </si>
  <si>
    <t>-619.831443985713 125.003841691888 -97.4804819919801</t>
  </si>
  <si>
    <t>-638.204125481673 140.738660311907 317.389982649441</t>
  </si>
  <si>
    <t>-670.377723301927 185.396588497431 777.226768781967</t>
  </si>
  <si>
    <t>-519.713546458918 188.835251886283 833.549928302252</t>
  </si>
  <si>
    <t>-605.634069187951 -77.1484562713581 322.030532542637</t>
  </si>
  <si>
    <t>-656.263156183947 -107.751036506873 781.390070870474</t>
  </si>
  <si>
    <t>-501.815663169036 -119.957418748436 824.758282899994</t>
  </si>
  <si>
    <t>9763-20170724T115610.758183800.bin</t>
  </si>
  <si>
    <t>-608.408423441495 32.9815700500187 -93.57545005789</t>
  </si>
  <si>
    <t>-627.155939998151 28.0667241480912 -202.57954354714</t>
  </si>
  <si>
    <t>-638.875845776342 25.8473254268729 -294.685662562233</t>
  </si>
  <si>
    <t>-648.764764628748 24.4973463233009 -377.983540869748</t>
  </si>
  <si>
    <t>-657.383493894223 23.8442316248479 -461.430662998735</t>
  </si>
  <si>
    <t>-668.583029446906 23.6421738738843 -583.575861972665</t>
  </si>
  <si>
    <t>-656.416095923164 27.4074599430742 -660.893312231689</t>
  </si>
  <si>
    <t>-665.828714075121 55.0172943857599 -529.833325633385</t>
  </si>
  <si>
    <t>-643.578486836747 206.937381912558 -502.237301534471</t>
  </si>
  <si>
    <t>-592.811735803916 215.264769235181 -224.871112914602</t>
  </si>
  <si>
    <t>-381.018390640122 121.142559634819 -240.139316688979</t>
  </si>
  <si>
    <t>-619.339321963095 125.045502571902 -97.4864157822515</t>
  </si>
  <si>
    <t>-637.901461527173 140.767053653768 317.37614787254</t>
  </si>
  <si>
    <t>-670.388497516415 185.350083925566 777.196864708381</t>
  </si>
  <si>
    <t>-519.733687006564 188.844605525426 833.541812857192</t>
  </si>
  <si>
    <t>-605.342882013454 -77.1860734055492 322.057197319222</t>
  </si>
  <si>
    <t>-656.267128294778 -107.725301003883 781.386007606587</t>
  </si>
  <si>
    <t>-501.807966089083 -119.851742064687 824.735140617185</t>
  </si>
  <si>
    <t>9763-20170724T115610.824361200.bin</t>
  </si>
  <si>
    <t>-607.325020513864 33.0963786300367 -93.5542859047061</t>
  </si>
  <si>
    <t>-625.956037420041 28.1706795991406 -202.577824419923</t>
  </si>
  <si>
    <t>-637.614546260204 25.9210745081091 -294.691093906521</t>
  </si>
  <si>
    <t>-647.463015685403 24.5357148531277 -377.993065153568</t>
  </si>
  <si>
    <t>-656.056502400888 23.8392900908232 -461.442455648804</t>
  </si>
  <si>
    <t>-667.235860555016 23.5655127940418 -583.589296824254</t>
  </si>
  <si>
    <t>-655.065356086129 27.2675067598013 -660.90948092053</t>
  </si>
  <si>
    <t>-664.492902965023 54.9720171981444 -529.864601671684</t>
  </si>
  <si>
    <t>-642.426091980516 206.945259457143 -502.373307040528</t>
  </si>
  <si>
    <t>-590.207843363194 215.396600420828 -225.280545048094</t>
  </si>
  <si>
    <t>-378.320356749535 121.614478410583 -241.316153295203</t>
  </si>
  <si>
    <t>-618.216275841325 125.209938226959 -97.4925289609419</t>
  </si>
  <si>
    <t>-637.249712746391 140.818320612899 317.35291679332</t>
  </si>
  <si>
    <t>-670.382751703421 185.330770930365 777.122238357817</t>
  </si>
  <si>
    <t>-519.749450624447 188.754321013138 833.528945714489</t>
  </si>
  <si>
    <t>-604.83273686745 -77.3248688444219 322.086745103809</t>
  </si>
  <si>
    <t>-656.275717541289 -107.663761582346 781.376306196281</t>
  </si>
  <si>
    <t>-501.79810413075 -119.724330519535 824.677872454943</t>
  </si>
  <si>
    <t>9763-20170724T115610.860028100.bin</t>
  </si>
  <si>
    <t>-606.736296712364 33.1834103676135 -93.5598155568111</t>
  </si>
  <si>
    <t>-625.283218826257 28.2494799663243 -202.597271182569</t>
  </si>
  <si>
    <t>-636.900715950045 25.9706811786843 -294.715048653563</t>
  </si>
  <si>
    <t>-646.724301929894 24.5506467789064 -378.019364344875</t>
  </si>
  <si>
    <t>-655.305029227241 23.8108239561464 -461.46960741734</t>
  </si>
  <si>
    <t>-666.479218199043 23.4639380877973 -583.616921555073</t>
  </si>
  <si>
    <t>-654.33134424978 27.1166347554429 -660.942808842174</t>
  </si>
  <si>
    <t>-663.709424494772 54.9045758491941 -529.913424197623</t>
  </si>
  <si>
    <t>-641.618476220289 206.891121680685 -502.512367817588</t>
  </si>
  <si>
    <t>-588.989820475901 215.381634451544 -225.498436939872</t>
  </si>
  <si>
    <t>-377.077227030241 121.697516765386 -241.773246801475</t>
  </si>
  <si>
    <t>-617.561357179412 125.337587703065 -97.5078387954737</t>
  </si>
  <si>
    <t>-636.921824128493 140.783255249862 317.32850910449</t>
  </si>
  <si>
    <t>-670.382200254143 185.311580911578 777.084032495333</t>
  </si>
  <si>
    <t>-519.765418762538 188.856267184321 833.527345220883</t>
  </si>
  <si>
    <t>-604.573158190494 -77.3925784913672 322.096738538633</t>
  </si>
  <si>
    <t>-656.271186834098 -107.650045341814 781.36973452581</t>
  </si>
  <si>
    <t>-501.800936711422 -119.818856412384 824.667404178208</t>
  </si>
  <si>
    <t>9763-20170724T115610.925201200.bin</t>
  </si>
  <si>
    <t>-605.562152802334 33.2267625631455 -93.545575862604</t>
  </si>
  <si>
    <t>-623.955047153704 28.3004611020765 -202.609492817447</t>
  </si>
  <si>
    <t>-635.540888702793 25.9998525393883 -294.730654154603</t>
  </si>
  <si>
    <t>-645.375661125362 24.5508370695507 -378.033138385105</t>
  </si>
  <si>
    <t>-654.007445383518 23.7721458800563 -461.477960552812</t>
  </si>
  <si>
    <t>-665.300088595879 23.3578355787397 -583.613991474638</t>
  </si>
  <si>
    <t>-653.277715588091 26.9109680854019 -660.964219062684</t>
  </si>
  <si>
    <t>-662.416297365441 54.8321978597387 -529.936315922433</t>
  </si>
  <si>
    <t>-639.930222274895 206.763673054374 -502.553464371125</t>
  </si>
  <si>
    <t>-587.322765283302 215.521603338917 -225.543732652638</t>
  </si>
  <si>
    <t>-375.514957012707 121.585266973311 -241.728328643843</t>
  </si>
  <si>
    <t>-616.18235189843 125.463390172129 -97.5298333848547</t>
  </si>
  <si>
    <t>-636.228765590997 140.788420198453 317.278446700276</t>
  </si>
  <si>
    <t>-670.375463275815 185.304361571546 776.988374208087</t>
  </si>
  <si>
    <t>-519.796795048684 188.900763023128 833.529980330347</t>
  </si>
  <si>
    <t>-604.084504164468 -77.6132522242888 322.127142297959</t>
  </si>
  <si>
    <t>-656.226664071499 -107.689139223203 781.377662930188</t>
  </si>
  <si>
    <t>-501.778358891529 -120.004923018046 824.712042419723</t>
  </si>
  <si>
    <t>9763-20170724T115610.961296200.bin</t>
  </si>
  <si>
    <t>-604.94206249371 33.2975215693036 -93.5258407886507</t>
  </si>
  <si>
    <t>-623.282781902304 28.3856804230686 -202.599142561819</t>
  </si>
  <si>
    <t>-634.858526749313 26.0663992322632 -294.721178312002</t>
  </si>
  <si>
    <t>-644.698048288597 24.5894066275871 -378.022569250722</t>
  </si>
  <si>
    <t>-653.348577377427 23.7709937183486 -461.465033645872</t>
  </si>
  <si>
    <t>-664.684112179451 23.2858200135745 -583.596858448059</t>
  </si>
  <si>
    <t>-652.74386207184 26.7680137819698 -660.963011122158</t>
  </si>
  <si>
    <t>-661.744164151617 54.7938812492953 -529.942127710518</t>
  </si>
  <si>
    <t>-639.019117521035 206.701593876916 -502.595636711439</t>
  </si>
  <si>
    <t>-586.785911643776 215.447112229733 -225.514733040944</t>
  </si>
  <si>
    <t>-375.004521694065 121.407179325635 -241.441617898858</t>
  </si>
  <si>
    <t>-615.419363309931 125.593324448568 -97.5329084049987</t>
  </si>
  <si>
    <t>-635.80160990329 140.807407123798 317.263057309475</t>
  </si>
  <si>
    <t>-670.364811898516 185.296085445888 776.93955305083</t>
  </si>
  <si>
    <t>-519.809732441573 188.867428125952 833.545577641389</t>
  </si>
  <si>
    <t>-603.797809814708 -77.6067437080603 322.150504327936</t>
  </si>
  <si>
    <t>-656.19792702629 -107.693332254381 781.380067675378</t>
  </si>
  <si>
    <t>-501.772898174849 -120.172266680213 824.750693558142</t>
  </si>
  <si>
    <t>9763-20170724T115611.027471800.bin</t>
  </si>
  <si>
    <t>-603.860471312939 33.4424941200859 -93.5498847300203</t>
  </si>
  <si>
    <t>-622.095965016268 28.5440482052522 -202.641546643358</t>
  </si>
  <si>
    <t>-633.638308909218 26.1962060445514 -294.766862436029</t>
  </si>
  <si>
    <t>-643.470588906146 24.6801376393125 -378.068529934987</t>
  </si>
  <si>
    <t>-652.136829918636 23.8083732016946 -461.508654163496</t>
  </si>
  <si>
    <t>-663.520869709296 23.2298187373599 -583.635649182816</t>
  </si>
  <si>
    <t>-651.714486208661 26.590792391868 -661.027764794391</t>
  </si>
  <si>
    <t>-660.492250670643 54.7832112805957 -530.012369865718</t>
  </si>
  <si>
    <t>-637.106095793424 206.576228843879 -502.617880399489</t>
  </si>
  <si>
    <t>-586.18970705578 215.650790775255 -225.302651432474</t>
  </si>
  <si>
    <t>-374.701479584044 120.863030065197 -240.682255140301</t>
  </si>
  <si>
    <t>-614.102070407233 125.899236738591 -97.5938589271617</t>
  </si>
  <si>
    <t>-635.017020113094 140.962358919246 317.181153902249</t>
  </si>
  <si>
    <t>-670.325104001103 185.309754204343 776.827105198691</t>
  </si>
  <si>
    <t>-519.833935072489 188.861568514385 833.603924714197</t>
  </si>
  <si>
    <t>-603.306578569818 -77.6956369301172 322.176562440115</t>
  </si>
  <si>
    <t>-656.120397763884 -107.681489143855 781.382392011148</t>
  </si>
  <si>
    <t>-501.744868267071 -120.433186971334 824.849693621974</t>
  </si>
  <si>
    <t>9763-20170724T115611.059587100.bin</t>
  </si>
  <si>
    <t>-603.400243567969 33.4165148179397 -93.5597116823564</t>
  </si>
  <si>
    <t>-621.594981567488 28.5153651155213 -202.657985485382</t>
  </si>
  <si>
    <t>-633.157632256106 26.1528582032499 -294.780400991988</t>
  </si>
  <si>
    <t>-643.030439534588 24.6204000544767 -378.07695336624</t>
  </si>
  <si>
    <t>-651.759660412159 23.7284799917722 -461.510475081877</t>
  </si>
  <si>
    <t>-663.260455246396 23.1167588454889 -583.626349479739</t>
  </si>
  <si>
    <t>-651.514792383211 26.4184579122923 -661.0300468021</t>
  </si>
  <si>
    <t>-660.156146660905 54.6863116602067 -530.016739211634</t>
  </si>
  <si>
    <t>-636.415029726971 206.413626072568 -502.583810033289</t>
  </si>
  <si>
    <t>-586.17318262485 215.785376201858 -225.155376270496</t>
  </si>
  <si>
    <t>-374.94903848932 120.373078354169 -240.30108741702</t>
  </si>
  <si>
    <t>-613.523033597956 125.910986350173 -97.6273299447198</t>
  </si>
  <si>
    <t>-634.741453962509 140.945479528779 317.133205573948</t>
  </si>
  <si>
    <t>-670.321418004469 185.250501193993 776.76930248921</t>
  </si>
  <si>
    <t>-519.865305875747 188.927547280651 833.631181596212</t>
  </si>
  <si>
    <t>-603.149453064966 -77.8060014489979 322.188977881248</t>
  </si>
  <si>
    <t>-656.068577714561 -107.683361629356 781.391050581853</t>
  </si>
  <si>
    <t>-501.701461861827 -120.304009675688 824.926609860845</t>
  </si>
  <si>
    <t>9763-20170724T115611.124749000.bin</t>
  </si>
  <si>
    <t>-602.856878298275 33.2034794921028 -93.5449071578643</t>
  </si>
  <si>
    <t>-620.888619247245 28.3286453711221 -202.671389330515</t>
  </si>
  <si>
    <t>-632.41948619006 25.9383064346143 -294.797168346674</t>
  </si>
  <si>
    <t>-642.306802345135 24.3634815586927 -378.091202030319</t>
  </si>
  <si>
    <t>-651.094024655684 23.4117403395446 -461.517937774535</t>
  </si>
  <si>
    <t>-662.727798261644 22.6937783069889 -583.620585113522</t>
  </si>
  <si>
    <t>-651.023217675088 25.8505366126108 -661.036658320301</t>
  </si>
  <si>
    <t>-659.523875480048 54.3124465722728 -530.045833374959</t>
  </si>
  <si>
    <t>-635.256006396452 205.935215722151 -502.519405904189</t>
  </si>
  <si>
    <t>-586.370768763709 215.86053064448 -224.867946148638</t>
  </si>
  <si>
    <t>-375.719556190019 119.133623099599 -239.649860988616</t>
  </si>
  <si>
    <t>-612.767516680933 125.837038821208 -97.6500305475051</t>
  </si>
  <si>
    <t>-634.394130354904 140.838594498583 317.090628522351</t>
  </si>
  <si>
    <t>-670.319314148102 185.220527236458 776.679432103214</t>
  </si>
  <si>
    <t>-519.912281689393 188.965430608709 833.666567135797</t>
  </si>
  <si>
    <t>-603.107662708243 -78.1595204090377 322.213619705794</t>
  </si>
  <si>
    <t>-655.982514057261 -107.67795690451 781.427169696807</t>
  </si>
  <si>
    <t>-501.648411911315 -120.296504962635 825.080086663892</t>
  </si>
  <si>
    <t>9763-20170724T115611.161869700.bin</t>
  </si>
  <si>
    <t>-602.673045750116 33.1615144382686 -93.5251369443251</t>
  </si>
  <si>
    <t>-620.580970228248 28.3062039460794 -202.672916642533</t>
  </si>
  <si>
    <t>-632.022095805417 25.9137044056279 -294.809842655741</t>
  </si>
  <si>
    <t>-641.834424165253 24.3298257814736 -378.112506815892</t>
  </si>
  <si>
    <t>-650.552723886791 23.3618348538148 -461.546263622432</t>
  </si>
  <si>
    <t>-662.092548522833 22.612152533474 -583.657772829291</t>
  </si>
  <si>
    <t>-650.361431569584 25.6926072712743 -661.07278836295</t>
  </si>
  <si>
    <t>-658.91608757772 54.2455577519261 -530.089996499499</t>
  </si>
  <si>
    <t>-634.547851831179 205.843171253929 -502.519544418738</t>
  </si>
  <si>
    <t>-586.429846097669 215.990186606969 -224.742222985216</t>
  </si>
  <si>
    <t>-375.962881157076 118.86500062883 -239.536933836181</t>
  </si>
  <si>
    <t>-612.55453593736 125.803429767771 -97.651703814334</t>
  </si>
  <si>
    <t>-634.387470307662 140.843407083921 317.076777299916</t>
  </si>
  <si>
    <t>-670.325528440621 185.183440399143 776.651437320039</t>
  </si>
  <si>
    <t>-519.932579376398 188.952195795037 833.674052170716</t>
  </si>
  <si>
    <t>-603.163650295211 -78.277494560828 322.209414654252</t>
  </si>
  <si>
    <t>-655.954010436317 -107.670992610214 781.43351783716</t>
  </si>
  <si>
    <t>-501.625505686635 -120.220290969158 825.126168358084</t>
  </si>
  <si>
    <t>9763-20170724T115611.225038600.bin</t>
  </si>
  <si>
    <t>-602.33608645039 33.3475239303714 -93.5162827202996</t>
  </si>
  <si>
    <t>-620.179639044457 28.4689429920722 -202.673563242894</t>
  </si>
  <si>
    <t>-631.525403805009 26.0542847881195 -294.821710957432</t>
  </si>
  <si>
    <t>-641.234821396956 24.4482986236922 -378.135984062105</t>
  </si>
  <si>
    <t>-649.833308888003 23.4558690629849 -461.581883485034</t>
  </si>
  <si>
    <t>-661.179108848682 22.6679277062071 -583.711334342062</t>
  </si>
  <si>
    <t>-649.321038766707 25.5425886968546 -661.115010111399</t>
  </si>
  <si>
    <t>-658.088086065883 54.3180905484596 -530.148556913597</t>
  </si>
  <si>
    <t>-633.497550102888 205.862986326507 -502.460449539812</t>
  </si>
  <si>
    <t>-587.046296403574 215.980768919191 -224.398383242691</t>
  </si>
  <si>
    <t>-376.596403985834 118.783179537287 -238.958830170996</t>
  </si>
  <si>
    <t>-612.330102631617 125.915152436035 -97.6798064631292</t>
  </si>
  <si>
    <t>-634.30707925006 141.002654118596 317.039352104407</t>
  </si>
  <si>
    <t>-670.324308227196 185.195327047803 776.619054858199</t>
  </si>
  <si>
    <t>-519.954177076223 188.899574225912 833.706081203684</t>
  </si>
  <si>
    <t>-602.978407963774 -78.170489547538 322.218534592551</t>
  </si>
  <si>
    <t>-655.899543986402 -107.704236386433 781.441368331909</t>
  </si>
  <si>
    <t>-501.602336188359 -120.404340753184 825.200911617922</t>
  </si>
  <si>
    <t>9763-20170724T115611.261671300.bin</t>
  </si>
  <si>
    <t>-602.251816304873 33.4616814352967 -93.5283675846879</t>
  </si>
  <si>
    <t>-620.093267134251 28.5656874970232 -202.685174277259</t>
  </si>
  <si>
    <t>-631.433306566339 26.1428285585687 -294.83381057558</t>
  </si>
  <si>
    <t>-641.135730425807 24.5314428462098 -378.148807149517</t>
  </si>
  <si>
    <t>-649.725260196341 23.5357000806443 -461.595671781711</t>
  </si>
  <si>
    <t>-661.055860490104 22.7446335953346 -583.726310548435</t>
  </si>
  <si>
    <t>-649.114487065583 25.4917232815128 -661.121841070755</t>
  </si>
  <si>
    <t>-657.965768749411 54.3964334792947 -530.164640181281</t>
  </si>
  <si>
    <t>-633.250678502309 205.904114524783 -502.398237353771</t>
  </si>
  <si>
    <t>-587.637351880147 216.124560782182 -224.201389910425</t>
  </si>
  <si>
    <t>-377.158767041435 118.941925540453 -238.443089850146</t>
  </si>
  <si>
    <t>-612.341237492266 125.990080194591 -97.6923039302166</t>
  </si>
  <si>
    <t>-634.244073234626 141.05014704619 317.031775861038</t>
  </si>
  <si>
    <t>-670.347631102254 185.110298688552 776.623648446904</t>
  </si>
  <si>
    <t>-519.98639677914 188.939564692906 833.72582940597</t>
  </si>
  <si>
    <t>-602.815670841515 -78.0438830587527 322.237859077249</t>
  </si>
  <si>
    <t>-655.888680338691 -107.717474480025 781.434821026132</t>
  </si>
  <si>
    <t>-501.612804373328 -120.632042934158 825.206962113948</t>
  </si>
  <si>
    <t>9763-20170724T115611.328848100.bin</t>
  </si>
  <si>
    <t>-602.019368543848 33.7037839351387 -93.5036076233537</t>
  </si>
  <si>
    <t>-619.849189602155 28.8095111150612 -202.662389969718</t>
  </si>
  <si>
    <t>-631.116983769774 26.3619968667595 -294.8191800452</t>
  </si>
  <si>
    <t>-640.72921291207 24.7179240148453 -378.144105512721</t>
  </si>
  <si>
    <t>-649.203472336378 23.6784876288355 -461.602117456431</t>
  </si>
  <si>
    <t>-660.338158508158 22.8110471307843 -583.75044433044</t>
  </si>
  <si>
    <t>-648.148058697951 25.2977071630842 -661.115930299649</t>
  </si>
  <si>
    <t>-657.307918972327 54.4978641522978 -530.205986779503</t>
  </si>
  <si>
    <t>-632.575241988421 206.026088957726 -502.512664697248</t>
  </si>
  <si>
    <t>-588.471142254658 217.022197818788 -224.102043914653</t>
  </si>
  <si>
    <t>-378.085391982 119.608534382392 -238.135826969006</t>
  </si>
  <si>
    <t>-612.039635214424 126.140194857151 -97.6533584869001</t>
  </si>
  <si>
    <t>-634.069608192862 141.260384996609 317.061783389346</t>
  </si>
  <si>
    <t>-670.360691360589 185.132190826907 776.648052419035</t>
  </si>
  <si>
    <t>-519.998431482782 188.934890212999 833.749332191495</t>
  </si>
  <si>
    <t>-602.729178874337 -77.8272025168199 322.270661143727</t>
  </si>
  <si>
    <t>-655.884021841196 -107.638257699924 781.419658642706</t>
  </si>
  <si>
    <t>-501.572999698998 -120.206675321509 825.168620312776</t>
  </si>
  <si>
    <t>9763-20170724T115611.359278600.bin</t>
  </si>
  <si>
    <t>-601.959405522188 33.8180490988505 -93.4880880909913</t>
  </si>
  <si>
    <t>-619.776669109717 28.9337369705202 -202.649385106334</t>
  </si>
  <si>
    <t>-631.014384559277 26.4474569250656 -294.80884565249</t>
  </si>
  <si>
    <t>-640.591825716454 24.7498475891096 -378.136734283738</t>
  </si>
  <si>
    <t>-649.023816794949 23.6372122175035 -461.597979493124</t>
  </si>
  <si>
    <t>-660.088408626255 22.6414284472305 -583.75160937154</t>
  </si>
  <si>
    <t>-647.787440441751 24.9566128092329 -661.104931684761</t>
  </si>
  <si>
    <t>-657.052315192879 54.3866829855915 -530.242138415333</t>
  </si>
  <si>
    <t>-632.268251770737 205.930337347837 -502.665350136818</t>
  </si>
  <si>
    <t>-588.844386227874 216.859207947473 -224.145013852289</t>
  </si>
  <si>
    <t>-378.355443798107 119.520247640072 -237.108909984644</t>
  </si>
  <si>
    <t>-611.969103855239 126.228955381371 -97.6480931936089</t>
  </si>
  <si>
    <t>-633.964943825605 141.297819467693 317.070835498258</t>
  </si>
  <si>
    <t>-670.383428832505 185.063779358974 776.659413313073</t>
  </si>
  <si>
    <t>-520.022258554401 188.980099196215 833.755970080155</t>
  </si>
  <si>
    <t>-602.780045062359 -77.7938806668169 322.262644759342</t>
  </si>
  <si>
    <t>-655.870748695741 -107.652247520342 781.415603662432</t>
  </si>
  <si>
    <t>-501.608181070004 -120.733497928687 825.184986162768</t>
  </si>
  <si>
    <t>9763-20170724T115611.423448900.bin</t>
  </si>
  <si>
    <t>-602.017212640417 33.9608502016483 -93.482773202569</t>
  </si>
  <si>
    <t>-619.93463609813 29.0914800622809 -202.628411581995</t>
  </si>
  <si>
    <t>-631.167182726551 26.5118016868414 -294.785894861522</t>
  </si>
  <si>
    <t>-640.704067265816 24.6867887770668 -378.115633692898</t>
  </si>
  <si>
    <t>-649.059462137344 23.4013591609391 -461.582179219866</t>
  </si>
  <si>
    <t>-659.97252476325 22.1019834490944 -583.746643758204</t>
  </si>
  <si>
    <t>-647.466247504907 23.8946133843183 -661.080943445731</t>
  </si>
  <si>
    <t>-656.881470829759 53.9868256514508 -530.323384827968</t>
  </si>
  <si>
    <t>-631.582858363499 205.500624375441 -503.051950498733</t>
  </si>
  <si>
    <t>-588.879085020846 216.534380423591 -224.424463531693</t>
  </si>
  <si>
    <t>-378.048053988113 119.838609893278 -236.620248880169</t>
  </si>
  <si>
    <t>-612.054529392547 126.329153864041 -97.6190860695757</t>
  </si>
  <si>
    <t>-633.86698859568 141.271691780589 317.114051740622</t>
  </si>
  <si>
    <t>-670.418077277188 184.960424551175 776.685445195869</t>
  </si>
  <si>
    <t>-520.053843427682 188.793869242821 833.779426012571</t>
  </si>
  <si>
    <t>-602.849441102016 -77.6811498360701 322.249671870776</t>
  </si>
  <si>
    <t>-655.857155292413 -107.630555906973 781.411330789119</t>
  </si>
  <si>
    <t>-501.556387652863 -120.295497204356 825.168585466245</t>
  </si>
  <si>
    <t>9763-20170724T115611.459549500.bin</t>
  </si>
  <si>
    <t>-602.063428767508 34.0669185016543 -93.4796545888698</t>
  </si>
  <si>
    <t>-620.005488186239 29.198209751384 -202.621210472033</t>
  </si>
  <si>
    <t>-631.244025820945 26.5424663101733 -294.775772226843</t>
  </si>
  <si>
    <t>-640.7805297978 24.6170664304436 -378.10344023217</t>
  </si>
  <si>
    <t>-649.129803562374 23.1988486599489 -461.568424168005</t>
  </si>
  <si>
    <t>-660.027855662549 21.6688006995273 -583.731569608944</t>
  </si>
  <si>
    <t>-647.488150209274 23.0647354292084 -661.068471641095</t>
  </si>
  <si>
    <t>-656.891013370419 53.6572104914007 -530.372918624335</t>
  </si>
  <si>
    <t>-631.511437217447 205.195838005306 -503.330465911821</t>
  </si>
  <si>
    <t>-588.277995179676 216.748868850884 -224.805761683426</t>
  </si>
  <si>
    <t>-377.547801043697 119.857718837753 -237.191920461269</t>
  </si>
  <si>
    <t>-612.15685144323 126.380382884457 -97.5962959528459</t>
  </si>
  <si>
    <t>-633.946220722179 141.300387112793 317.138845486655</t>
  </si>
  <si>
    <t>-670.396102713399 185.107059111936 776.697928131808</t>
  </si>
  <si>
    <t>-520.023838428415 188.692440855035 833.786853894531</t>
  </si>
  <si>
    <t>-602.8498424336 -77.5873771326646 322.24397562336</t>
  </si>
  <si>
    <t>-655.857965099351 -107.657975172108 781.403284861323</t>
  </si>
  <si>
    <t>-501.568086165856 -120.475784838617 825.154411562444</t>
  </si>
  <si>
    <t>9763-20170724T115611.525724400.bin</t>
  </si>
  <si>
    <t>-602.218699083034 34.3642667128956 -93.4090345576634</t>
  </si>
  <si>
    <t>-620.201579959274 29.5066745207155 -202.544303808982</t>
  </si>
  <si>
    <t>-631.505302238776 26.6517417753912 -294.685005236872</t>
  </si>
  <si>
    <t>-641.113729371874 24.4606691219767 -377.99768753384</t>
  </si>
  <si>
    <t>-649.548438717374 22.6885751165196 -461.447503985892</t>
  </si>
  <si>
    <t>-660.586503395391 20.543123333709 -583.588778777466</t>
  </si>
  <si>
    <t>-648.125093931026 20.9255035375631 -660.950006664007</t>
  </si>
  <si>
    <t>-657.233179385039 52.8076702526573 -530.409744424733</t>
  </si>
  <si>
    <t>-631.282263612046 204.373265053644 -504.014459048091</t>
  </si>
  <si>
    <t>-586.891797973473 217.635852518646 -225.74810336936</t>
  </si>
  <si>
    <t>-376.682180611088 119.68280299843 -238.618459927377</t>
  </si>
  <si>
    <t>-612.466894219405 126.498522830531 -97.4959162999446</t>
  </si>
  <si>
    <t>-634.265661417128 141.301088330857 317.242909189095</t>
  </si>
  <si>
    <t>-670.446733185046 185.064792912486 776.799825653287</t>
  </si>
  <si>
    <t>-520.04814469444 188.770515230505 833.811735926232</t>
  </si>
  <si>
    <t>-602.898686480039 -77.3285525077572 322.252498350071</t>
  </si>
  <si>
    <t>-655.887343041923 -107.623901414562 781.383136420899</t>
  </si>
  <si>
    <t>-501.579300108114 -120.494659897794 825.054640366487</t>
  </si>
  <si>
    <t>9763-20170724T115611.560462500.bin</t>
  </si>
  <si>
    <t>-602.26314662038 34.6035313654231 -93.3873589321242</t>
  </si>
  <si>
    <t>-620.253897262458 29.7607611157257 -202.522043034254</t>
  </si>
  <si>
    <t>-631.597401714826 26.7646968634795 -294.653388340257</t>
  </si>
  <si>
    <t>-641.255827773801 24.3833546555691 -377.95503576741</t>
  </si>
  <si>
    <t>-649.755014132998 22.3560352218146 -461.392458820215</t>
  </si>
  <si>
    <t>-660.903672053058 19.7649274154153 -583.514957785318</t>
  </si>
  <si>
    <t>-648.625294994516 19.2998593677605 -660.905183137369</t>
  </si>
  <si>
    <t>-657.355470114731 52.2296206070416 -530.470777570333</t>
  </si>
  <si>
    <t>-630.838238494486 203.806565199325 -504.727356518816</t>
  </si>
  <si>
    <t>-586.538300086417 217.765645703856 -226.480583039885</t>
  </si>
  <si>
    <t>-376.674405185917 119.038904340184 -239.078297342016</t>
  </si>
  <si>
    <t>-612.635343945761 126.64818237723 -97.4520810841027</t>
  </si>
  <si>
    <t>-634.387324547407 141.385662749715 317.291524592628</t>
  </si>
  <si>
    <t>-670.476255255672 185.032304675053 776.863916910224</t>
  </si>
  <si>
    <t>-520.066157576146 188.742352207819 833.845134962063</t>
  </si>
  <si>
    <t>-602.811305446413 -77.1071678494702 322.241291476453</t>
  </si>
  <si>
    <t>-655.904827501288 -107.600956177809 781.363600060359</t>
  </si>
  <si>
    <t>-501.593052875395 -120.570947088453 824.992544153956</t>
  </si>
  <si>
    <t>9763-20170724T115611.626641400.bin</t>
  </si>
  <si>
    <t>-602.233646480061 34.9527489440641 -93.3078448464764</t>
  </si>
  <si>
    <t>-620.370741314891 30.1821592719248 -202.42146113895</t>
  </si>
  <si>
    <t>-631.706794323876 26.9088781315968 -294.544222261564</t>
  </si>
  <si>
    <t>-641.308570411919 24.1403078976584 -377.840595349858</t>
  </si>
  <si>
    <t>-649.702078551856 21.5818659655031 -461.27412116101</t>
  </si>
  <si>
    <t>-660.644047068124 18.0524182440504 -583.391809542501</t>
  </si>
  <si>
    <t>-649.066411945711 14.9094692491155 -660.827552979771</t>
  </si>
  <si>
    <t>-656.785259080007 50.9374380485676 -530.628744579396</t>
  </si>
  <si>
    <t>-628.663879693043 202.476241028131 -506.417493334862</t>
  </si>
  <si>
    <t>-586.137857990508 217.889153683286 -227.97072881428</t>
  </si>
  <si>
    <t>-377.172751772747 117.090991605866 -239.009299053736</t>
  </si>
  <si>
    <t>-612.568379260478 127.069442462056 -97.3192482140839</t>
  </si>
  <si>
    <t>-634.350420934699 141.498264693594 317.433614893279</t>
  </si>
  <si>
    <t>-670.49750683185 185.114054192687 777.002263417346</t>
  </si>
  <si>
    <t>-520.069668595949 188.706328986421 833.944093887164</t>
  </si>
  <si>
    <t>-602.371681185447 -76.7419328164933 322.276882490803</t>
  </si>
  <si>
    <t>-655.946326240884 -107.516582697875 781.33211673483</t>
  </si>
  <si>
    <t>-501.565988559666 -120.069497075892 824.840288073067</t>
  </si>
  <si>
    <t>9763-20170724T115611.658548600.bin</t>
  </si>
  <si>
    <t>-602.258234049888 35.0891517261914 -93.288872795193</t>
  </si>
  <si>
    <t>-620.507404220045 30.3187855468043 -202.383855524063</t>
  </si>
  <si>
    <t>-631.866002982416 26.8558749138067 -294.496923227527</t>
  </si>
  <si>
    <t>-641.461212249161 23.8406274695424 -377.785548943587</t>
  </si>
  <si>
    <t>-649.822207828332 20.9553886639155 -461.211499904852</t>
  </si>
  <si>
    <t>-660.689190569081 16.8586587239704 -583.318204227474</t>
  </si>
  <si>
    <t>-649.63305321401 11.9037823177027 -660.735477313936</t>
  </si>
  <si>
    <t>-656.62987000749 49.9938389780912 -530.727211025363</t>
  </si>
  <si>
    <t>-627.39354894111 201.473065849656 -507.409221058556</t>
  </si>
  <si>
    <t>-586.282240645135 217.506038966779 -228.785085852526</t>
  </si>
  <si>
    <t>-377.686420681448 115.801827571596 -238.406642564661</t>
  </si>
  <si>
    <t>-612.456811752231 127.279351423637 -97.2903948406426</t>
  </si>
  <si>
    <t>-634.182705282809 141.526891117284 317.471712872315</t>
  </si>
  <si>
    <t>-670.5203738558 185.110034366652 777.055263208601</t>
  </si>
  <si>
    <t>-520.084135065406 188.724868127101 833.973674549911</t>
  </si>
  <si>
    <t>-602.288593443988 -76.5389849742903 322.318019439597</t>
  </si>
  <si>
    <t>-655.975552025199 -107.473295939805 781.321871467829</t>
  </si>
  <si>
    <t>-501.597227143905 -120.268629430679 824.766490953191</t>
  </si>
  <si>
    <t>9763-20170724T115611.723722100.bin</t>
  </si>
  <si>
    <t>-602.377344484977 35.4401689216677 -93.3310949539988</t>
  </si>
  <si>
    <t>-620.670780262764 30.6317379975274 -202.416820634179</t>
  </si>
  <si>
    <t>-632.27353662978 26.7119151041456 -294.481245695428</t>
  </si>
  <si>
    <t>-642.178214251277 23.1212241274643 -377.710677069106</t>
  </si>
  <si>
    <t>-650.940678761427 19.4903054575586 -461.06639768086</t>
  </si>
  <si>
    <t>-662.498870504583 14.1150893364861 -583.06006927422</t>
  </si>
  <si>
    <t>-652.302114407664 5.62830253935135 -660.288393939174</t>
  </si>
  <si>
    <t>-657.597076419156 47.8047179130831 -530.894720880454</t>
  </si>
  <si>
    <t>-625.475021559299 198.968179292228 -509.764408677859</t>
  </si>
  <si>
    <t>-587.492393753973 217.017437413831 -230.819681356234</t>
  </si>
  <si>
    <t>-379.836035424717 113.101096581621 -236.183509770763</t>
  </si>
  <si>
    <t>-612.037943470832 127.847227133836 -97.38975930681</t>
  </si>
  <si>
    <t>-633.860040936122 141.926302974184 317.373041529838</t>
  </si>
  <si>
    <t>-670.564617536235 185.2030894782 777.045106653725</t>
  </si>
  <si>
    <t>-520.111117232422 188.72396082737 833.923644161657</t>
  </si>
  <si>
    <t>-602.53105995883 -75.8876918960207 322.401189649399</t>
  </si>
  <si>
    <t>-656.022704227372 -107.399276805525 781.336564759432</t>
  </si>
  <si>
    <t>-501.618360368905 -120.293879756726 824.659215311802</t>
  </si>
  <si>
    <t>9763-20170724T115611.762400400.bin</t>
  </si>
  <si>
    <t>-602.187913160023 35.6163504417818 -93.3295526550676</t>
  </si>
  <si>
    <t>-620.542715678047 30.8789934658798 -202.40814913737</t>
  </si>
  <si>
    <t>-632.350169379268 26.7861628408752 -294.439083276562</t>
  </si>
  <si>
    <t>-642.504700135634 22.9539122366336 -377.627496029106</t>
  </si>
  <si>
    <t>-651.584115537449 18.9921190536265 -460.934252012086</t>
  </si>
  <si>
    <t>-663.680901820952 13.0370432155055 -582.848763645218</t>
  </si>
  <si>
    <t>-653.868564172289 3.15525893599101 -659.960812819732</t>
  </si>
  <si>
    <t>-658.30459052846 46.9734708669353 -530.890636699192</t>
  </si>
  <si>
    <t>-624.80496015771 197.986372295697 -510.8735034949</t>
  </si>
  <si>
    <t>-588.152310843588 217.543668989531 -231.852529245124</t>
  </si>
  <si>
    <t>-380.96136592995 112.622463227005 -235.314134036466</t>
  </si>
  <si>
    <t>-611.251150213546 128.169217213885 -97.3916346630247</t>
  </si>
  <si>
    <t>-633.52732398428 142.107041669092 317.351749555219</t>
  </si>
  <si>
    <t>-670.585175612227 185.260790736741 777.013871099135</t>
  </si>
  <si>
    <t>-520.119228098803 188.585092966362 833.871228857883</t>
  </si>
  <si>
    <t>-602.725123726024 -75.6003959109612 322.413786211375</t>
  </si>
  <si>
    <t>-656.019211848388 -107.336338572896 781.356119969722</t>
  </si>
  <si>
    <t>-501.610621025405 -120.259247283822 824.655155622629</t>
  </si>
  <si>
    <t>9763-20170724T115611.826570700.bin</t>
  </si>
  <si>
    <t>-601.736116418308 36.1896777098987 -93.3478507066549</t>
  </si>
  <si>
    <t>-620.506823011995 31.6151934705515 -202.362741748623</t>
  </si>
  <si>
    <t>-632.719476990142 27.2874462921584 -294.329797137842</t>
  </si>
  <si>
    <t>-643.267575701089 23.1066286570442 -377.452574049585</t>
  </si>
  <si>
    <t>-652.770885673735 18.6535213171921 -460.687194833965</t>
  </si>
  <si>
    <t>-665.523833091895 11.8232272132566 -582.488746752003</t>
  </si>
  <si>
    <t>-656.072287047939 0.146932639249371 -659.394831281692</t>
  </si>
  <si>
    <t>-659.474771092903 46.1263005288135 -530.846293938145</t>
  </si>
  <si>
    <t>-624.461170484349 197.00938823906 -512.430349922069</t>
  </si>
  <si>
    <t>-588.89909601902 219.380034521304 -233.479779410494</t>
  </si>
  <si>
    <t>-382.20059202271 113.442269771277 -234.685071506052</t>
  </si>
  <si>
    <t>-609.744395156664 129.378231606458 -97.5338511651235</t>
  </si>
  <si>
    <t>-632.331934622182 142.327182603881 317.224821266645</t>
  </si>
  <si>
    <t>-670.57053709747 185.250214366984 776.833660211207</t>
  </si>
  <si>
    <t>-520.124407010258 188.4564764226 833.75021121533</t>
  </si>
  <si>
    <t>-602.849665073156 -74.8785560664705 322.428068143488</t>
  </si>
  <si>
    <t>-655.99739266928 -107.302663402678 781.389120372675</t>
  </si>
  <si>
    <t>-501.646274415218 -120.889461106607 824.689850070339</t>
  </si>
  <si>
    <t>9763-20170724T115611.860206500.bin</t>
  </si>
  <si>
    <t>-601.484049904917 36.4642451130217 -93.4243297292891</t>
  </si>
  <si>
    <t>-620.537612216916 31.9071482418906 -202.390907947097</t>
  </si>
  <si>
    <t>-632.942894284249 27.5419400667315 -294.33040239916</t>
  </si>
  <si>
    <t>-643.647315632429 23.3103529846921 -377.430716246978</t>
  </si>
  <si>
    <t>-653.28961939636 18.7870114925761 -460.645447927043</t>
  </si>
  <si>
    <t>-666.226939980157 11.8326041749667 -582.420666512672</t>
  </si>
  <si>
    <t>-659.993378489351 46.1859106500146 -530.833415341216</t>
  </si>
  <si>
    <t>-624.509564452471 197.003823631513 -512.712105542459</t>
  </si>
  <si>
    <t>-589.264865069164 219.778587229639 -233.753834952617</t>
  </si>
  <si>
    <t>-382.554803212394 113.860254796568 -234.635003411407</t>
  </si>
  <si>
    <t>-609.071921831584 129.909703729084 -97.6268933324197</t>
  </si>
  <si>
    <t>-631.687335117877 142.434184017003 317.143298617546</t>
  </si>
  <si>
    <t>-670.554822238946 185.234106776955 776.730681235344</t>
  </si>
  <si>
    <t>-520.134174255002 188.512484471781 833.7105607082</t>
  </si>
  <si>
    <t>-602.706398268894 -74.4872280441482 322.449918851725</t>
  </si>
  <si>
    <t>-655.985991519969 -107.294510135228 781.398075988395</t>
  </si>
  <si>
    <t>-501.665068348978 -121.206645754535 824.703320471784</t>
  </si>
  <si>
    <t>9763-20170724T115611.927384300.bin</t>
  </si>
  <si>
    <t>-600.940002357368 37.0601745101242 -93.5151299223121</t>
  </si>
  <si>
    <t>-620.381249582404 32.4499253787935 -202.410721662284</t>
  </si>
  <si>
    <t>-633.071749626221 28.0540049426277 -294.309932297089</t>
  </si>
  <si>
    <t>-644.017022586013 23.8030443696468 -377.377898460693</t>
  </si>
  <si>
    <t>-653.883250093775 19.2666086559727 -460.565670133037</t>
  </si>
  <si>
    <t>-667.129237396509 12.2997754920418 -582.306951919699</t>
  </si>
  <si>
    <t>-657.5410157376 0.260959084371052 -659.140174284109</t>
  </si>
  <si>
    <t>-660.66845448918 46.6559288704721 -530.749702535314</t>
  </si>
  <si>
    <t>-624.893164598138 197.419511579921 -512.702862585676</t>
  </si>
  <si>
    <t>-589.533759796481 220.284842466297 -233.766694585249</t>
  </si>
  <si>
    <t>-382.72415974321 114.561647349668 -234.728558314723</t>
  </si>
  <si>
    <t>-608.193050410327 130.537864712603 -97.7511340140362</t>
  </si>
  <si>
    <t>-631.008787064273 142.65223128757 317.020247050801</t>
  </si>
  <si>
    <t>-670.556082578692 185.125830768986 776.572287945464</t>
  </si>
  <si>
    <t>-520.171933437761 188.497845599649 833.642922576025</t>
  </si>
  <si>
    <t>-602.405458350546 -73.7457986909624 322.51061776695</t>
  </si>
  <si>
    <t>-655.982451610582 -107.187696094945 781.390701844872</t>
  </si>
  <si>
    <t>-501.647616986727 -121.037865637112 824.666013831573</t>
  </si>
  <si>
    <t>9763-20170724T115611.959475600.bin</t>
  </si>
  <si>
    <t>-600.696224106176 37.2067971236797 -93.5436608856302</t>
  </si>
  <si>
    <t>-620.214034445477 32.5516726348476 -202.423813513574</t>
  </si>
  <si>
    <t>-633.007403343925 28.1948120462155 -294.310608700024</t>
  </si>
  <si>
    <t>-644.059835544814 24.0106124087777 -377.367663192458</t>
  </si>
  <si>
    <t>-654.047070680749 19.5728464003967 -460.546406615181</t>
  </si>
  <si>
    <t>-667.484203076037 12.786691405968 -582.276867390153</t>
  </si>
  <si>
    <t>-657.793876884193 1.22489737255341 -659.170509736858</t>
  </si>
  <si>
    <t>-660.978121261449 47.0672294284243 -530.675003163539</t>
  </si>
  <si>
    <t>-625.375291264851 197.833940096479 -512.349505051519</t>
  </si>
  <si>
    <t>-589.6350332574 220.556723030432 -233.449922769662</t>
  </si>
  <si>
    <t>-382.675562612335 115.131698727551 -234.819924948682</t>
  </si>
  <si>
    <t>-607.920940419605 130.642271546319 -97.8085202223341</t>
  </si>
  <si>
    <t>-630.858670875282 142.736643358118 316.956737601315</t>
  </si>
  <si>
    <t>-670.56457203369 185.056859415349 776.505220703458</t>
  </si>
  <si>
    <t>-520.192063024377 188.566159489062 833.598232678711</t>
  </si>
  <si>
    <t>-602.31838125681 -73.5817669933815 322.51743826361</t>
  </si>
  <si>
    <t>-655.982600166088 -107.089329373099 781.380096640546</t>
  </si>
  <si>
    <t>-501.590166840799 -120.401145547977 824.618829890403</t>
  </si>
  <si>
    <t>9763-20170724T115612.023645900.bin</t>
  </si>
  <si>
    <t>-600.317728739637 37.1132779105776 -93.6002381041586</t>
  </si>
  <si>
    <t>-619.920974718485 32.3836586729708 -202.461841437695</t>
  </si>
  <si>
    <t>-632.843753745346 28.1293715059969 -294.335255909268</t>
  </si>
  <si>
    <t>-644.03382733171 24.104320599417 -377.381855911755</t>
  </si>
  <si>
    <t>-654.178037938478 19.8953496236109 -460.553368744361</t>
  </si>
  <si>
    <t>-667.864487507306 13.5211705085167 -582.278332854401</t>
  </si>
  <si>
    <t>-657.761721366297 3.83505117160644 -659.377816172012</t>
  </si>
  <si>
    <t>-661.418448732981 47.6306919012329 -530.5557119362</t>
  </si>
  <si>
    <t>-626.831037129354 198.547776211456 -511.4997716751</t>
  </si>
  <si>
    <t>-590.032154253532 220.474662100421 -232.674320643608</t>
  </si>
  <si>
    <t>-382.244897771822 116.703849086413 -234.817760675246</t>
  </si>
  <si>
    <t>-607.564019707793 130.505622128699 -97.9336059225302</t>
  </si>
  <si>
    <t>-630.49673500484 142.639612828738 316.830692746356</t>
  </si>
  <si>
    <t>-670.572347181378 184.929037652316 776.363026310311</t>
  </si>
  <si>
    <t>-520.223736879162 188.51617523056 833.514236769788</t>
  </si>
  <si>
    <t>-602.122685973457 -73.7139112171642 322.490733878421</t>
  </si>
  <si>
    <t>-655.974166914859 -107.039636750521 781.371899436898</t>
  </si>
  <si>
    <t>-501.629748191659 -120.868627337124 824.619777468021</t>
  </si>
  <si>
    <t>9763-20170724T115612.063670500.bin</t>
  </si>
  <si>
    <t>-600.227859126734 37.0062351426859 -93.6088902681458</t>
  </si>
  <si>
    <t>-619.849557515646 32.2510176647427 -202.465986118546</t>
  </si>
  <si>
    <t>-632.78736919221 28.0646751167258 -294.340411808919</t>
  </si>
  <si>
    <t>-643.98951415606 24.1366816939458 -377.389936844059</t>
  </si>
  <si>
    <t>-654.143501698971 20.062577805106 -460.56721061596</t>
  </si>
  <si>
    <t>-667.840919032773 13.9277266890545 -582.303254342673</t>
  </si>
  <si>
    <t>-657.501810341106 5.72834182664951 -659.543569275021</t>
  </si>
  <si>
    <t>-661.516040249676 47.9377498176564 -530.500173402139</t>
  </si>
  <si>
    <t>-627.549460003167 198.929545114625 -510.962885377859</t>
  </si>
  <si>
    <t>-590.418535341878 220.631603003511 -232.163830234134</t>
  </si>
  <si>
    <t>-382.09062301416 117.956611015491 -234.586279542006</t>
  </si>
  <si>
    <t>-607.50309615038 130.422374272401 -97.9760382503875</t>
  </si>
  <si>
    <t>-630.357750616827 142.565435744626 316.792275668175</t>
  </si>
  <si>
    <t>-670.561339388317 184.943183697147 776.295509058596</t>
  </si>
  <si>
    <t>-520.220993840813 188.344802527569 833.479772533033</t>
  </si>
  <si>
    <t>-602.076730389642 -73.8117107172782 322.496158461973</t>
  </si>
  <si>
    <t>-655.961835812251 -107.023045330219 781.371384250005</t>
  </si>
  <si>
    <t>-501.615503296339 -120.796574363794 824.630124494284</t>
  </si>
  <si>
    <t>9763-20170724T115612.125835400.bin</t>
  </si>
  <si>
    <t>-600.083681539602 36.6904087101298 -93.6641320398929</t>
  </si>
  <si>
    <t>-619.644763680302 31.8755064944733 -202.529464167977</t>
  </si>
  <si>
    <t>-632.509867463595 27.8266946377319 -294.420539821743</t>
  </si>
  <si>
    <t>-643.635112013625 24.0956483095456 -377.489289252037</t>
  </si>
  <si>
    <t>-653.699580056599 20.2958560859925 -460.69031626187</t>
  </si>
  <si>
    <t>-667.250857237902 14.6479027047956 -582.466322792935</t>
  </si>
  <si>
    <t>-656.694295097448 10.2017783994079 -659.984001584499</t>
  </si>
  <si>
    <t>-661.282652154393 48.4535821606814 -530.487443527952</t>
  </si>
  <si>
    <t>-628.754059148169 199.631676101285 -509.871170566272</t>
  </si>
  <si>
    <t>-591.01259285568 220.853536879543 -231.117159125512</t>
  </si>
  <si>
    <t>-381.511622086294 120.603955663165 -233.92778861906</t>
  </si>
  <si>
    <t>-607.575761712466 129.978356430876 -98.0462315936181</t>
  </si>
  <si>
    <t>-630.388634780354 142.347835099225 316.717721931202</t>
  </si>
  <si>
    <t>-670.559986215704 184.842970871037 776.175161944682</t>
  </si>
  <si>
    <t>-520.242412434826 188.310547841868 833.415148359618</t>
  </si>
  <si>
    <t>-602.058198662879 -74.1887233060188 322.464394843788</t>
  </si>
  <si>
    <t>-655.929924849169 -106.982466267715 781.366231684834</t>
  </si>
  <si>
    <t>-501.580618998421 -120.614200490785 824.659347577415</t>
  </si>
  <si>
    <t>9763-20170724T115612.160574900.bin</t>
  </si>
  <si>
    <t>-600.012074621252 36.4786705794102 -93.659815722679</t>
  </si>
  <si>
    <t>-619.525088136267 31.6254051252643 -202.532061104915</t>
  </si>
  <si>
    <t>-632.328742941204 27.6397030347903 -294.4342776375</t>
  </si>
  <si>
    <t>-643.388829935382 24.0012985426993 -377.515995925722</t>
  </si>
  <si>
    <t>-653.377960892882 20.3319520647794 -460.732003455224</t>
  </si>
  <si>
    <t>-666.807200706188 14.9168673017844 -582.532132125244</t>
  </si>
  <si>
    <t>-656.155554929674 12.5013279040916 -660.126651937408</t>
  </si>
  <si>
    <t>-661.038450218433 48.6235724148594 -530.466526566922</t>
  </si>
  <si>
    <t>-629.244712691248 199.896876183107 -509.366032884436</t>
  </si>
  <si>
    <t>-591.31294608059 220.737200193671 -230.60911249208</t>
  </si>
  <si>
    <t>-381.200337144552 121.786058516387 -233.755294750644</t>
  </si>
  <si>
    <t>-607.742614865989 129.632483916891 -98.0559664179419</t>
  </si>
  <si>
    <t>-630.515489906198 142.188701251461 316.704657668952</t>
  </si>
  <si>
    <t>-670.589655084501 184.670697434729 776.147407673727</t>
  </si>
  <si>
    <t>-520.283254043033 188.387316778289 833.401290076292</t>
  </si>
  <si>
    <t>-601.967962006268 -74.4099517979976 322.449048339904</t>
  </si>
  <si>
    <t>-655.924113251673 -106.98482392938 781.358717117791</t>
  </si>
  <si>
    <t>-501.575030355245 -120.61183127162 824.654043031221</t>
  </si>
  <si>
    <t>9763-20170724T115612.225746700.bin</t>
  </si>
  <si>
    <t>-599.667438337399 36.04605124567 -93.6442527046763</t>
  </si>
  <si>
    <t>-619.069836235626 31.0864049241743 -202.53151165944</t>
  </si>
  <si>
    <t>-631.717132011995 27.2362258802909 -294.461193897641</t>
  </si>
  <si>
    <t>-642.607877626502 23.8032472461903 -377.574004182682</t>
  </si>
  <si>
    <t>-652.398151602838 20.4276110194935 -460.826000810206</t>
  </si>
  <si>
    <t>-665.503023497467 15.5385518667238 -582.683660600555</t>
  </si>
  <si>
    <t>-654.642830513389 16.8570363391739 -660.275701688848</t>
  </si>
  <si>
    <t>-660.18410911704 49.0187241773576 -530.424286692405</t>
  </si>
  <si>
    <t>-630.099295577585 200.5114528371 -508.379101511983</t>
  </si>
  <si>
    <t>-591.438310762326 220.134143413752 -229.634064606088</t>
  </si>
  <si>
    <t>-380.302191616409 123.409241836945 -233.42347238415</t>
  </si>
  <si>
    <t>-608.031460398628 128.886911035369 -98.0415399226649</t>
  </si>
  <si>
    <t>-630.68536789933 141.908849285999 316.711194191459</t>
  </si>
  <si>
    <t>-670.590500521603 184.589744496112 776.130299740099</t>
  </si>
  <si>
    <t>-520.29304665236 188.245255742302 833.411325789363</t>
  </si>
  <si>
    <t>-601.512368800431 -74.8866351245401 322.42814903809</t>
  </si>
  <si>
    <t>-655.926821901544 -106.975632153602 781.325361734304</t>
  </si>
  <si>
    <t>-501.55441955807 -120.398292511371 824.601333593784</t>
  </si>
  <si>
    <t>9763-20170724T115612.290942800.bin</t>
  </si>
  <si>
    <t>-599.23990000398 35.6558802131162 -93.5721430726608</t>
  </si>
  <si>
    <t>-618.594559130629 30.6195770722729 -202.464391475629</t>
  </si>
  <si>
    <t>-631.107522633588 26.8960202583826 -294.41762011367</t>
  </si>
  <si>
    <t>-641.83679235342 23.6468118270868 -377.558886176312</t>
  </si>
  <si>
    <t>-651.424339733408 20.5286827332454 -460.844412781616</t>
  </si>
  <si>
    <t>-664.186426258263 16.0970545922337 -582.755884712751</t>
  </si>
  <si>
    <t>-653.135197505145 20.5744057722252 -660.202992837156</t>
  </si>
  <si>
    <t>-659.279967230385 49.3769645626614 -530.328759639189</t>
  </si>
  <si>
    <t>-630.667303633248 201.02527163206 -507.484762139231</t>
  </si>
  <si>
    <t>-590.979265460258 219.862615539502 -228.82962749245</t>
  </si>
  <si>
    <t>-379.304023563183 124.348303171325 -233.203557632884</t>
  </si>
  <si>
    <t>-608.251258448155 128.169745373442 -97.9425546188675</t>
  </si>
  <si>
    <t>-630.778790204491 141.571013487046 316.80505601627</t>
  </si>
  <si>
    <t>-670.599333763886 184.462357906732 776.175023051083</t>
  </si>
  <si>
    <t>-520.317358196663 188.288884815239 833.485705628761</t>
  </si>
  <si>
    <t>-600.922748137235 -75.3887510321742 322.439597335591</t>
  </si>
  <si>
    <t>-655.959241430426 -106.914730587992 781.289170550267</t>
  </si>
  <si>
    <t>-501.538419846399 -120.012814754683 824.491836153652</t>
  </si>
  <si>
    <t>9763-20170724T115612.329044100.bin</t>
  </si>
  <si>
    <t>-598.97664181276 35.4426177530918 -93.5381985093277</t>
  </si>
  <si>
    <t>-618.353994109415 30.3694008031584 -202.424781921559</t>
  </si>
  <si>
    <t>-630.804732676816 26.7185254378057 -294.389290036999</t>
  </si>
  <si>
    <t>-641.443938462866 23.57362495488 -377.5460240364</t>
  </si>
  <si>
    <t>-650.906829801905 20.5996228658723 -460.851276463078</t>
  </si>
  <si>
    <t>-663.448112912829 16.4218812592574 -582.794622373136</t>
  </si>
  <si>
    <t>-652.231974750393 22.2645099605325 -660.126874015762</t>
  </si>
  <si>
    <t>-658.721160582204 49.5908217150411 -530.280686482</t>
  </si>
  <si>
    <t>-630.665714609074 201.270822295327 -506.978873040945</t>
  </si>
  <si>
    <t>-590.422342002154 219.864051394233 -228.387155868409</t>
  </si>
  <si>
    <t>-378.567661807461 124.764207188497 -233.09306804294</t>
  </si>
  <si>
    <t>-608.176191554074 127.84026685429 -97.8889949682714</t>
  </si>
  <si>
    <t>-630.764639554048 141.383899495339 316.850609926118</t>
  </si>
  <si>
    <t>-670.616660394151 184.363099905994 776.202174735731</t>
  </si>
  <si>
    <t>-520.342061257746 188.23438996059 833.529083750464</t>
  </si>
  <si>
    <t>-600.672749227797 -75.6166009566175 322.454201432034</t>
  </si>
  <si>
    <t>-655.972221459084 -106.916487475786 781.274974709773</t>
  </si>
  <si>
    <t>-501.532187548748 -119.880375500482 824.449501093639</t>
  </si>
  <si>
    <t>9763-20170724T115612.357130100.bin</t>
  </si>
  <si>
    <t>-598.688457747998 35.3201774039776 -93.511740607512</t>
  </si>
  <si>
    <t>-618.078206364243 30.2124189143804 -202.394542912707</t>
  </si>
  <si>
    <t>-630.494945235959 26.6814631493057 -294.36829817233</t>
  </si>
  <si>
    <t>-641.083982060138 23.7029167836486 -377.537566234163</t>
  </si>
  <si>
    <t>-650.476452796807 20.9545119991935 -460.858484071892</t>
  </si>
  <si>
    <t>-662.891553488393 17.1717399935176 -582.827610578558</t>
  </si>
  <si>
    <t>-651.524816638151 24.126222070209 -660.045894276919</t>
  </si>
  <si>
    <t>-658.298213940903 50.1686789881378 -530.193622136122</t>
  </si>
  <si>
    <t>-630.60884767678 201.815520439818 -506.277809260558</t>
  </si>
  <si>
    <t>-589.851469082643 220.017900187827 -227.734953199771</t>
  </si>
  <si>
    <t>-377.828232882584 125.31796027533 -232.892337878371</t>
  </si>
  <si>
    <t>-608.031865068936 127.666652348577 -97.8558334181189</t>
  </si>
  <si>
    <t>-630.700673089024 141.286858472289 316.876890532729</t>
  </si>
  <si>
    <t>-670.614623312679 184.358310680515 776.22458725902</t>
  </si>
  <si>
    <t>-520.344422543678 188.09802161957 833.571839553837</t>
  </si>
  <si>
    <t>-600.457770172411 -75.773671010812 322.467629319849</t>
  </si>
  <si>
    <t>-655.973475006944 -106.906768126903 781.265510745666</t>
  </si>
  <si>
    <t>-501.53510264158 -119.946137476707 824.423209772867</t>
  </si>
  <si>
    <t>9763-20170724T115612.426313600.bin</t>
  </si>
  <si>
    <t>-598.250186173558 35.0856031335829 -93.4919438582504</t>
  </si>
  <si>
    <t>-617.656533990239 29.9711436741427 -202.371375665887</t>
  </si>
  <si>
    <t>-630.090228216787 26.7796201111132 -294.355390556337</t>
  </si>
  <si>
    <t>-640.692646979847 24.2451766645856 -377.537720537196</t>
  </si>
  <si>
    <t>-650.094828248725 22.0811678926962 -460.874642539999</t>
  </si>
  <si>
    <t>-662.518387949357 19.3075153598261 -582.87018537936</t>
  </si>
  <si>
    <t>-650.940212860845 27.5442382326194 -659.930570094462</t>
  </si>
  <si>
    <t>-658.064177457845 51.8640040180053 -529.95056269772</t>
  </si>
  <si>
    <t>-631.157467162356 203.443969656655 -504.621090223185</t>
  </si>
  <si>
    <t>-589.128962995809 220.06350780515 -226.168314784935</t>
  </si>
  <si>
    <t>-376.823076411468 126.091708191811 -232.804374922221</t>
  </si>
  <si>
    <t>-607.68975231897 127.38326513557 -97.7997789989611</t>
  </si>
  <si>
    <t>-630.523495165507 141.087127133392 316.921148951821</t>
  </si>
  <si>
    <t>-670.634997594391 184.23457329504 776.246998334031</t>
  </si>
  <si>
    <t>-520.391817481889 188.362762812032 833.638378894564</t>
  </si>
  <si>
    <t>-600.212891983307 -76.1448031298114 322.471126261064</t>
  </si>
  <si>
    <t>-655.950966082259 -106.936957744101 781.254800917084</t>
  </si>
  <si>
    <t>-501.517793062502 -120.000505052164 824.423829075347</t>
  </si>
  <si>
    <t>9763-20170724T115612.456397400.bin</t>
  </si>
  <si>
    <t>-598.056123094467 34.9687130179786 -93.4636155316028</t>
  </si>
  <si>
    <t>-617.461873494744 29.8983165335799 -202.345243519271</t>
  </si>
  <si>
    <t>-629.929063000883 26.8889170051091 -294.330823514756</t>
  </si>
  <si>
    <t>-640.574267744785 24.5775565638648 -377.514294228901</t>
  </si>
  <si>
    <t>-650.030972484318 22.6962669741702 -460.851936504699</t>
  </si>
  <si>
    <t>-662.546465339635 20.4015392178894 -582.847894625329</t>
  </si>
  <si>
    <t>-650.842934933443 28.7669382588697 -659.875603233564</t>
  </si>
  <si>
    <t>-658.073169571247 52.7493335363345 -529.802151707189</t>
  </si>
  <si>
    <t>-631.286771973053 204.24713621607 -503.856418903345</t>
  </si>
  <si>
    <t>-589.060463960664 219.782552438451 -225.370893849381</t>
  </si>
  <si>
    <t>-376.659229443627 126.083519168383 -232.770191352463</t>
  </si>
  <si>
    <t>-607.449164929173 127.279120799825 -97.7498676265017</t>
  </si>
  <si>
    <t>-630.420080206595 140.970104294111 316.963888655084</t>
  </si>
  <si>
    <t>-670.639650016133 184.186464828641 776.263264345289</t>
  </si>
  <si>
    <t>-520.409119469112 188.326384818815 833.686949463705</t>
  </si>
  <si>
    <t>-600.072109417551 -76.3172765922584 322.463025466859</t>
  </si>
  <si>
    <t>-655.920218894688 -106.980079005347 781.260735550748</t>
  </si>
  <si>
    <t>-501.528683467143 -120.364369536141 824.480376456054</t>
  </si>
  <si>
    <t>9763-20170724T115612.528589500.bin</t>
  </si>
  <si>
    <t>-597.674217133311 34.8521755895331 -93.3546221630618</t>
  </si>
  <si>
    <t>-617.083909080064 29.8990440750274 -202.240930018391</t>
  </si>
  <si>
    <t>-629.618502414446 27.2236480429951 -294.227665634995</t>
  </si>
  <si>
    <t>-640.348140926945 25.3105984232104 -377.410334437753</t>
  </si>
  <si>
    <t>-649.911823960637 23.9235996673376 -460.745431233057</t>
  </si>
  <si>
    <t>-662.607012137233 22.4578610083779 -582.73579882053</t>
  </si>
  <si>
    <t>-650.638171858162 30.3832575553199 -659.769123089082</t>
  </si>
  <si>
    <t>-658.026763597239 54.4454274178581 -529.480956604143</t>
  </si>
  <si>
    <t>-630.968920271656 205.706867585322 -502.497955182291</t>
  </si>
  <si>
    <t>-588.668279827254 219.517473810437 -223.932967832968</t>
  </si>
  <si>
    <t>-376.441135445348 125.496401555565 -232.191427075315</t>
  </si>
  <si>
    <t>-606.956397379099 127.189882613986 -97.5923267577148</t>
  </si>
  <si>
    <t>-630.211304044435 140.830837988698 317.107282683429</t>
  </si>
  <si>
    <t>-670.626894423168 184.241853278526 776.342144225565</t>
  </si>
  <si>
    <t>-520.405767390777 188.177562103987 833.804655171955</t>
  </si>
  <si>
    <t>-599.797276270488 -76.3816177448184 322.490608633007</t>
  </si>
  <si>
    <t>-655.874967262163 -106.928955098789 781.261877186952</t>
  </si>
  <si>
    <t>-501.450515235995 -119.788449169066 824.523251983485</t>
  </si>
  <si>
    <t>9763-20170724T115612.558476900.bin</t>
  </si>
  <si>
    <t>-597.495727021471 34.8218896184687 -93.3042829128349</t>
  </si>
  <si>
    <t>-616.916586627922 29.9534903717904 -202.19239122514</t>
  </si>
  <si>
    <t>-629.509850475167 27.4303904660837 -294.175418661965</t>
  </si>
  <si>
    <t>-640.311636632573 25.6885765074662 -377.352537998987</t>
  </si>
  <si>
    <t>-649.96594439023 24.5065969629666 -460.680309526053</t>
  </si>
  <si>
    <t>-662.813649412092 23.3772681975388 -582.658287659581</t>
  </si>
  <si>
    <t>-650.774057174458 30.8013699422556 -659.730596747658</t>
  </si>
  <si>
    <t>-658.119123905928 55.2191826344954 -529.326420022916</t>
  </si>
  <si>
    <t>-630.667171863453 206.324360842242 -501.870148553488</t>
  </si>
  <si>
    <t>-588.422768729307 219.54072184449 -223.267674137499</t>
  </si>
  <si>
    <t>-376.384443151935 125.115667145739 -231.764054653529</t>
  </si>
  <si>
    <t>-606.691495561679 127.165668690844 -97.4946943600223</t>
  </si>
  <si>
    <t>-630.140866554669 140.783546341575 317.194679437798</t>
  </si>
  <si>
    <t>-670.637630267179 184.218206342416 776.406073387521</t>
  </si>
  <si>
    <t>-520.417861218935 188.180993752988 833.870402905958</t>
  </si>
  <si>
    <t>-599.701352895159 -76.3975390566898 322.495098557635</t>
  </si>
  <si>
    <t>-655.864592173242 -106.972891040147 781.258280343007</t>
  </si>
  <si>
    <t>-501.452993541077 -119.945325757042 824.531834078082</t>
  </si>
  <si>
    <t>9763-20170724T115612.627660800.bin</t>
  </si>
  <si>
    <t>-597.219933412558 34.9753369558473 -93.2603017586392</t>
  </si>
  <si>
    <t>-616.683877047357 30.2701873607775 -202.14789645386</t>
  </si>
  <si>
    <t>-629.350054452071 27.9694355726094 -294.126839792162</t>
  </si>
  <si>
    <t>-640.231933567636 26.4670535386501 -377.297964138318</t>
  </si>
  <si>
    <t>-649.979936455767 25.560778022458 -460.618562507889</t>
  </si>
  <si>
    <t>-662.979056088426 24.8743979375872 -582.583491657723</t>
  </si>
  <si>
    <t>-650.771356579417 31.0875248162704 -659.736577154238</t>
  </si>
  <si>
    <t>-658.066258189278 56.5266563471807 -529.158464505323</t>
  </si>
  <si>
    <t>-629.696143554899 207.339364110271 -501.138711601811</t>
  </si>
  <si>
    <t>-587.971544143399 220.013189432266 -222.432742579676</t>
  </si>
  <si>
    <t>-376.392688443288 124.573636179324 -231.04725962058</t>
  </si>
  <si>
    <t>-605.957180585583 127.434587260628 -97.3694876167275</t>
  </si>
  <si>
    <t>-629.866243537395 140.872976926653 317.299461056968</t>
  </si>
  <si>
    <t>-670.632615626065 184.313852541756 776.522361496977</t>
  </si>
  <si>
    <t>-520.416018710177 188.111171792186 834.005999400302</t>
  </si>
  <si>
    <t>-599.686692107663 -76.3567460263009 322.481555581408</t>
  </si>
  <si>
    <t>-655.828549229558 -106.973261723177 781.253143074324</t>
  </si>
  <si>
    <t>-501.44217051196 -120.132690432173 824.560229385332</t>
  </si>
  <si>
    <t>9763-20170724T115612.658750300.bin</t>
  </si>
  <si>
    <t>-597.155973509427 35.1071120207746 -93.2456547954189</t>
  </si>
  <si>
    <t>-616.672014402481 30.4813386726066 -202.127318865223</t>
  </si>
  <si>
    <t>-629.341201071009 28.2518516310633 -294.107530238539</t>
  </si>
  <si>
    <t>-640.209458335501 26.8186911216828 -377.281797865262</t>
  </si>
  <si>
    <t>-649.92743874613 25.9841535281917 -460.606418387068</t>
  </si>
  <si>
    <t>-662.864447040122 25.4058980738046 -582.57872322598</t>
  </si>
  <si>
    <t>-650.567373395257 31.0084231604465 -659.76425511948</t>
  </si>
  <si>
    <t>-657.878897246775 57.013060834372 -529.133755617964</t>
  </si>
  <si>
    <t>-628.984637263752 207.709711970492 -500.992763736548</t>
  </si>
  <si>
    <t>-587.805770151122 220.5628798117 -222.213823209328</t>
  </si>
  <si>
    <t>-376.494251232203 124.520693116576 -230.691758382043</t>
  </si>
  <si>
    <t>-605.578472840819 127.658977481142 -97.3308344096531</t>
  </si>
  <si>
    <t>-629.674126093579 140.932818042807 317.332645466163</t>
  </si>
  <si>
    <t>-670.655346224579 184.253947010162 776.566037599422</t>
  </si>
  <si>
    <t>-520.447128432532 188.283301858883 834.055951090226</t>
  </si>
  <si>
    <t>-599.745282013419 -76.2311317609699 322.487683934447</t>
  </si>
  <si>
    <t>-655.80578202753 -106.934122795174 781.260845831502</t>
  </si>
  <si>
    <t>-501.412722091926 -119.950958166868 824.587130451839</t>
  </si>
  <si>
    <t>9763-20170724T115612.727934200.bin</t>
  </si>
  <si>
    <t>-597.062832090232 35.5262235690936 -93.2016545892575</t>
  </si>
  <si>
    <t>-616.720654244783 31.050172505785 -202.064119981868</t>
  </si>
  <si>
    <t>-629.396887552061 28.9389670712183 -294.046117374925</t>
  </si>
  <si>
    <t>-640.226972331937 27.6156650149667 -377.227210896605</t>
  </si>
  <si>
    <t>-649.862111142602 26.8898973464254 -460.562513031581</t>
  </si>
  <si>
    <t>-662.629098462793 26.4692972299204 -582.553282401331</t>
  </si>
  <si>
    <t>-650.334989310206 30.9980025601576 -659.809752602301</t>
  </si>
  <si>
    <t>-657.535500692785 58.0109365781493 -529.079701034284</t>
  </si>
  <si>
    <t>-627.612836250642 208.484790148865 -500.809636579251</t>
  </si>
  <si>
    <t>-587.520978797275 221.906353107142 -221.898947418542</t>
  </si>
  <si>
    <t>-376.678085342653 124.775518769082 -229.605609478292</t>
  </si>
  <si>
    <t>-604.781787356053 128.361108139585 -97.2737307739027</t>
  </si>
  <si>
    <t>-629.25241753013 141.236014615313 317.380395850038</t>
  </si>
  <si>
    <t>-670.662473806739 184.310841189478 776.611013493592</t>
  </si>
  <si>
    <t>-520.461581523073 188.267806073884 834.125001944585</t>
  </si>
  <si>
    <t>-599.953184787979 -75.9084924481654 322.505704862106</t>
  </si>
  <si>
    <t>-655.760705000863 -106.886029708121 781.286908514731</t>
  </si>
  <si>
    <t>-501.415245624741 -120.306804991868 824.659619292292</t>
  </si>
  <si>
    <t>9763-20170724T115612.760663400.bin</t>
  </si>
  <si>
    <t>-597.089884880372 35.7347312722356 -93.1991405574331</t>
  </si>
  <si>
    <t>-616.82237373724 31.3210798821403 -202.050562459644</t>
  </si>
  <si>
    <t>-629.532360507891 29.2577735243794 -294.029128672707</t>
  </si>
  <si>
    <t>-640.381580593683 27.978386949668 -377.208304191118</t>
  </si>
  <si>
    <t>-650.024524151958 27.2963277574145 -460.543056636422</t>
  </si>
  <si>
    <t>-662.790744142288 26.9389061867125 -582.534173334619</t>
  </si>
  <si>
    <t>-650.599201239389 30.9635376540048 -659.834745011114</t>
  </si>
  <si>
    <t>-657.647387287494 58.4535165632913 -529.049452720584</t>
  </si>
  <si>
    <t>-627.389954005155 208.854488295852 -500.741533878738</t>
  </si>
  <si>
    <t>-587.546525855458 222.334948287995 -221.798188108055</t>
  </si>
  <si>
    <t>-376.783728991493 124.996322622294 -229.062258186445</t>
  </si>
  <si>
    <t>-604.547312665998 128.699950356394 -97.2659428262338</t>
  </si>
  <si>
    <t>-629.119254019087 141.327960600301 317.389809367483</t>
  </si>
  <si>
    <t>-670.678260200998 184.281318502798 776.627841012005</t>
  </si>
  <si>
    <t>-520.480781154533 188.230324918364 834.151348600432</t>
  </si>
  <si>
    <t>-600.037904847065 -75.7115318567053 322.507155839778</t>
  </si>
  <si>
    <t>-655.731931001648 -106.887291581928 781.300694896292</t>
  </si>
  <si>
    <t>-501.411902488339 -120.505862771177 824.702119710467</t>
  </si>
  <si>
    <t>9763-20170724T115612.827841200.bin</t>
  </si>
  <si>
    <t>-597.305250393499 36.1217149511249 -93.1738158793684</t>
  </si>
  <si>
    <t>-617.142564152279 31.7766144883913 -202.0089532235</t>
  </si>
  <si>
    <t>-629.914789433469 29.7675863328836 -293.980071936832</t>
  </si>
  <si>
    <t>-640.810260692227 28.5381908740133 -377.154086652848</t>
  </si>
  <si>
    <t>-650.489627270453 27.9061060515635 -460.484998756239</t>
  </si>
  <si>
    <t>-663.298279629728 27.622733581529 -582.471797580139</t>
  </si>
  <si>
    <t>-651.36822092441 30.6631886873477 -659.858088703164</t>
  </si>
  <si>
    <t>-658.096752196278 59.1054796657454 -528.974036517008</t>
  </si>
  <si>
    <t>-627.659330459122 209.482315096641 -500.73767334204</t>
  </si>
  <si>
    <t>-587.673727632128 222.737118659852 -221.803927771969</t>
  </si>
  <si>
    <t>-377.045084733798 125.119070767174 -229.207626959242</t>
  </si>
  <si>
    <t>-604.492764046598 129.20041050139 -97.2351646500391</t>
  </si>
  <si>
    <t>-629.138881621595 141.565304581607 317.424043447727</t>
  </si>
  <si>
    <t>-670.717677182712 184.244965026934 776.672571396576</t>
  </si>
  <si>
    <t>-520.512811988967 188.070941187414 834.18501595452</t>
  </si>
  <si>
    <t>-600.205278012427 -75.3875976750746 322.510777749021</t>
  </si>
  <si>
    <t>-655.694336340284 -106.821028099595 781.317045322087</t>
  </si>
  <si>
    <t>-501.386910432076 -120.509326356835 824.741387309187</t>
  </si>
  <si>
    <t>9763-20170724T115612.857568600.bin</t>
  </si>
  <si>
    <t>-597.451244404744 36.3370364207681 -93.1899156000501</t>
  </si>
  <si>
    <t>-617.340635739258 31.9714900644503 -202.014853410552</t>
  </si>
  <si>
    <t>-630.123695122152 29.9626576700798 -293.984376520898</t>
  </si>
  <si>
    <t>-641.015548753733 28.7398212428423 -377.158799947357</t>
  </si>
  <si>
    <t>-650.677763156468 28.1209344579308 -460.491977576207</t>
  </si>
  <si>
    <t>-663.446497924526 27.8638444957398 -582.482889913325</t>
  </si>
  <si>
    <t>-651.697762088649 30.2885419711192 -659.918800417692</t>
  </si>
  <si>
    <t>-658.280744479343 59.3348416221197 -528.974672775835</t>
  </si>
  <si>
    <t>-627.956937435495 209.733225250547 -500.734743479846</t>
  </si>
  <si>
    <t>-587.43903536858 222.883235906413 -221.872876327747</t>
  </si>
  <si>
    <t>-376.891205338798 125.105194430272 -229.462281242281</t>
  </si>
  <si>
    <t>-604.634105667296 129.427532126158 -97.2496379248811</t>
  </si>
  <si>
    <t>-629.207826156099 141.705344224379 317.416558262653</t>
  </si>
  <si>
    <t>-670.736816489433 184.252441825756 776.695928431914</t>
  </si>
  <si>
    <t>-520.525080920325 188.073866811282 834.190691939024</t>
  </si>
  <si>
    <t>-600.254152939309 -75.2010271911961 322.513917839897</t>
  </si>
  <si>
    <t>-655.671600124545 -106.789637585868 781.321379791629</t>
  </si>
  <si>
    <t>-501.346002674402 -120.254660082816 824.750999014116</t>
  </si>
  <si>
    <t>9763-20170724T115612.927758100.bin</t>
  </si>
  <si>
    <t>-597.917942750825 36.7126659644748 -93.1957291518906</t>
  </si>
  <si>
    <t>-617.993752928067 32.2585208867793 -201.982788838983</t>
  </si>
  <si>
    <t>-630.733478297014 30.1674838905835 -293.956462235568</t>
  </si>
  <si>
    <t>-641.505235292057 28.8629917203004 -377.145429036358</t>
  </si>
  <si>
    <t>-650.966347353713 28.1557279945146 -460.500825927817</t>
  </si>
  <si>
    <t>-663.352161016436 27.7608600701265 -582.531078491357</t>
  </si>
  <si>
    <t>-651.772079588561 28.559214553989 -660.025980245907</t>
  </si>
  <si>
    <t>-658.462826956756 59.2904520673119 -529.031371824448</t>
  </si>
  <si>
    <t>-628.951034657032 209.839996701814 -500.745132829771</t>
  </si>
  <si>
    <t>-586.628856609269 222.614497190014 -222.133978366594</t>
  </si>
  <si>
    <t>-376.190505949679 124.679266922673 -230.673376399352</t>
  </si>
  <si>
    <t>-605.44484457691 129.783407592537 -97.2673838382066</t>
  </si>
  <si>
    <t>-629.495112140633 141.866015055778 317.435197986225</t>
  </si>
  <si>
    <t>-670.779806591931 184.229998729217 776.751501482025</t>
  </si>
  <si>
    <t>-520.553223523599 188.090178342552 834.204942309855</t>
  </si>
  <si>
    <t>-600.21598474752 -74.8434595303606 322.529818629841</t>
  </si>
  <si>
    <t>-655.646598004554 -106.729984933043 781.322730610216</t>
  </si>
  <si>
    <t>-501.337030110247 -120.353398517284 824.759865513262</t>
  </si>
  <si>
    <t>9763-20170724T115612.963871000.bin</t>
  </si>
  <si>
    <t>-598.225850168372 36.8730944113356 -93.1942624869986</t>
  </si>
  <si>
    <t>-618.386935630457 32.3727742843164 -201.963653100929</t>
  </si>
  <si>
    <t>-631.118601217813 30.2641807942305 -293.938034801633</t>
  </si>
  <si>
    <t>-641.85056454598 28.9498135797344 -377.131938636059</t>
  </si>
  <si>
    <t>-651.239332816336 28.2392579041489 -460.495525549546</t>
  </si>
  <si>
    <t>-663.483335561863 27.8468769805284 -582.540079819146</t>
  </si>
  <si>
    <t>-651.950842271688 27.7805962600478 -660.046177436334</t>
  </si>
  <si>
    <t>-658.727259587159 59.3742324609934 -529.02686514283</t>
  </si>
  <si>
    <t>-629.825568494334 210.023366616764 -500.658204697544</t>
  </si>
  <si>
    <t>-586.423621764527 222.588074562416 -222.203550223974</t>
  </si>
  <si>
    <t>-375.93117727277 124.808918071885 -231.186912351426</t>
  </si>
  <si>
    <t>-605.956140476112 129.897314208615 -97.2570025789774</t>
  </si>
  <si>
    <t>-629.754414164567 141.957416059004 317.46072105867</t>
  </si>
  <si>
    <t>-670.789685567817 184.269980238629 776.784791185353</t>
  </si>
  <si>
    <t>-520.551496343462 187.996987331793 834.216652722933</t>
  </si>
  <si>
    <t>-600.202956475803 -74.6346274202187 322.544852862684</t>
  </si>
  <si>
    <t>-655.645967143446 -106.69578648276 781.319116994378</t>
  </si>
  <si>
    <t>-501.332514612914 -120.330243114005 824.738948201464</t>
  </si>
  <si>
    <t>9763-20170724T115613.025040200.bin</t>
  </si>
  <si>
    <t>-599.037612198469 37.0216789376691 -93.179665822535</t>
  </si>
  <si>
    <t>-619.20024996211 32.4639685296654 -201.946379360293</t>
  </si>
  <si>
    <t>-631.810442087999 30.3641536736152 -293.937682428739</t>
  </si>
  <si>
    <t>-642.383020602004 29.0766579812912 -377.152473295664</t>
  </si>
  <si>
    <t>-651.562290625656 28.4146392845062 -460.539715955357</t>
  </si>
  <si>
    <t>-663.445131004144 28.1165436220626 -582.620207003393</t>
  </si>
  <si>
    <t>-651.558768710017 26.3930014377088 -660.053738331429</t>
  </si>
  <si>
    <t>-658.997656648396 59.5991230823881 -529.054307433416</t>
  </si>
  <si>
    <t>-630.890615964365 210.363136505841 -500.491463485105</t>
  </si>
  <si>
    <t>-586.257261630813 222.375862478397 -222.207237223246</t>
  </si>
  <si>
    <t>-375.534397117245 125.157152451702 -231.847308014266</t>
  </si>
  <si>
    <t>-607.020835817769 129.919555881474 -97.2467335843837</t>
  </si>
  <si>
    <t>-630.413295557605 142.064770529975 317.491630827321</t>
  </si>
  <si>
    <t>-670.847499827596 184.252073896366 776.885398144373</t>
  </si>
  <si>
    <t>-520.576295382528 187.937776456454 834.233418380132</t>
  </si>
  <si>
    <t>-600.46640034245 -74.4103556751884 322.544001482773</t>
  </si>
  <si>
    <t>-655.654713305063 -106.602009227016 781.308656979416</t>
  </si>
  <si>
    <t>-501.304962470368 -119.996412788281 824.674159500035</t>
  </si>
  <si>
    <t>9763-20170724T115613.061671100.bin</t>
  </si>
  <si>
    <t>-599.472178690353 37.0192997068418 -93.1817115443115</t>
  </si>
  <si>
    <t>-619.64492960523 32.450389758387 -201.946148852382</t>
  </si>
  <si>
    <t>-632.144127164083 30.3514283130462 -293.952591846268</t>
  </si>
  <si>
    <t>-642.568246494802 29.067997365735 -377.186109401763</t>
  </si>
  <si>
    <t>-651.550770494989 28.413274514201 -460.594822339415</t>
  </si>
  <si>
    <t>-663.092944934422 28.1289008605409 -582.708078518617</t>
  </si>
  <si>
    <t>-650.972872277118 25.5889011225115 -660.082804990204</t>
  </si>
  <si>
    <t>-658.829766369014 59.6046300070234 -529.123109487622</t>
  </si>
  <si>
    <t>-631.044814680128 210.43548099059 -500.565426524258</t>
  </si>
  <si>
    <t>-586.079253718716 222.396676266405 -222.332358914212</t>
  </si>
  <si>
    <t>-375.242399237776 125.432099577501 -232.039308810079</t>
  </si>
  <si>
    <t>-607.486201219284 129.923269738598 -97.2579928978533</t>
  </si>
  <si>
    <t>-630.673557395089 142.105112413451 317.490820961824</t>
  </si>
  <si>
    <t>-670.867862097193 184.287264156992 776.919003125812</t>
  </si>
  <si>
    <t>-520.576277096019 187.785318648425 834.225438817415</t>
  </si>
  <si>
    <t>-600.682905331973 -74.381977922917 322.530103143004</t>
  </si>
  <si>
    <t>-655.658255904923 -106.609335071287 781.309623966698</t>
  </si>
  <si>
    <t>-501.341909818526 -120.411882641729 824.666089899781</t>
  </si>
  <si>
    <t>9763-20170724T115613.127867200.bin</t>
  </si>
  <si>
    <t>-600.352752401677 36.7812028606743 -93.2293124664799</t>
  </si>
  <si>
    <t>-620.575686699181 32.2628838916257 -201.986389135298</t>
  </si>
  <si>
    <t>-632.777040076381 30.152976768034 -294.032662356328</t>
  </si>
  <si>
    <t>-642.795597560962 28.8370545332443 -377.315601505483</t>
  </si>
  <si>
    <t>-651.235519500637 28.1249630117804 -460.780483053996</t>
  </si>
  <si>
    <t>-661.834129410792 27.7278393895272 -582.978816580679</t>
  </si>
  <si>
    <t>-649.357442115259 23.7554336504686 -660.236589826095</t>
  </si>
  <si>
    <t>-657.940290862904 59.2541575439016 -529.395616811095</t>
  </si>
  <si>
    <t>-630.247703514228 210.11661753528 -500.90683185124</t>
  </si>
  <si>
    <t>-585.252029984021 222.234576891099 -222.68548555076</t>
  </si>
  <si>
    <t>-374.291017913751 125.503132395401 -232.013195919021</t>
  </si>
  <si>
    <t>-608.248050146639 129.746729241477 -97.2708642113375</t>
  </si>
  <si>
    <t>-630.979422366611 141.885496517048 317.504487417511</t>
  </si>
  <si>
    <t>-670.943019421401 184.165726093473 776.957333235364</t>
  </si>
  <si>
    <t>-520.626262468594 187.87390531275 834.184500689352</t>
  </si>
  <si>
    <t>-601.092972600248 -74.4248591470578 322.479317637055</t>
  </si>
  <si>
    <t>-655.650903706533 -106.536753104012 781.320645651824</t>
  </si>
  <si>
    <t>-501.314821003885 -120.219411942613 824.644797890596</t>
  </si>
  <si>
    <t>9763-20170724T115613.159439500.bin</t>
  </si>
  <si>
    <t>-600.730902754538 36.6580161465038 -93.2678899466434</t>
  </si>
  <si>
    <t>-620.980353835319 32.1773089150006 -202.021598256941</t>
  </si>
  <si>
    <t>-633.058922932826 30.0420919452924 -294.08351774934</t>
  </si>
  <si>
    <t>-642.908159323053 28.6802519019891 -377.385791999999</t>
  </si>
  <si>
    <t>-651.12042088328 27.8967837313285 -460.872769655487</t>
  </si>
  <si>
    <t>-661.321986412946 27.3669683410922 -583.104341112294</t>
  </si>
  <si>
    <t>-648.783731077034 22.8592180046021 -660.322850726502</t>
  </si>
  <si>
    <t>-657.545406481685 58.9526807473637 -529.547817458931</t>
  </si>
  <si>
    <t>-629.688157365854 209.821117254283 -501.211427298683</t>
  </si>
  <si>
    <t>-584.986137934844 221.971408560035 -222.944199305234</t>
  </si>
  <si>
    <t>-373.995834428285 125.288283236494 -232.109412564163</t>
  </si>
  <si>
    <t>-608.550057585393 129.671098902244 -97.2842452443186</t>
  </si>
  <si>
    <t>-631.149609637548 141.832959839054 317.497604794738</t>
  </si>
  <si>
    <t>-670.955659535586 184.184650608154 776.958519462079</t>
  </si>
  <si>
    <t>-520.624858532548 187.648022043944 834.164111262399</t>
  </si>
  <si>
    <t>-601.313939125255 -74.4510907996125 322.439112116734</t>
  </si>
  <si>
    <t>-655.648085693782 -106.492832947027 781.318535727928</t>
  </si>
  <si>
    <t>-501.283600160863 -119.905956339604 824.625860324008</t>
  </si>
  <si>
    <t>9763-20170724T115613.224613000.bin</t>
  </si>
  <si>
    <t>-601.475715476027 36.4691395715204 -93.3665822077583</t>
  </si>
  <si>
    <t>-621.721167075034 32.0193987668968 -202.122346949639</t>
  </si>
  <si>
    <t>-633.721698399682 29.7998772774768 -294.192388266626</t>
  </si>
  <si>
    <t>-643.470902037055 28.3168762928794 -377.504485871826</t>
  </si>
  <si>
    <t>-651.553360765671 27.3645898870418 -461.002263332956</t>
  </si>
  <si>
    <t>-661.532793226166 26.5339573100471 -583.250625333953</t>
  </si>
  <si>
    <t>-649.058691282729 21.3185589630104 -660.434834100942</t>
  </si>
  <si>
    <t>-657.710555986816 58.2542286048206 -529.776811337508</t>
  </si>
  <si>
    <t>-629.374962238196 209.104937881706 -501.916837207673</t>
  </si>
  <si>
    <t>-585.204440051983 221.734523019949 -223.586045945301</t>
  </si>
  <si>
    <t>-374.312785780916 124.814498465148 -232.516115959988</t>
  </si>
  <si>
    <t>-609.194945717898 129.496538824198 -97.3427933981997</t>
  </si>
  <si>
    <t>-631.559973002524 141.789947821692 317.447871367944</t>
  </si>
  <si>
    <t>-670.995287567392 184.184637098296 776.962470297838</t>
  </si>
  <si>
    <t>-520.642756450896 187.5533431992 834.116575706283</t>
  </si>
  <si>
    <t>-601.773740783816 -74.5058036105288 322.365794875788</t>
  </si>
  <si>
    <t>-655.612095201036 -106.486768116108 781.318588612626</t>
  </si>
  <si>
    <t>-501.262409636394 -119.975886679954 824.655016512667</t>
  </si>
  <si>
    <t>9763-20170724T115613.260717900.bin</t>
  </si>
  <si>
    <t>-601.845299642666 36.4173876348486 -93.4058588993973</t>
  </si>
  <si>
    <t>-622.052220863175 31.966346104783 -202.168741839641</t>
  </si>
  <si>
    <t>-634.033839228207 29.7106260383241 -294.240393052588</t>
  </si>
  <si>
    <t>-643.771616458645 28.1814534087735 -377.552862403512</t>
  </si>
  <si>
    <t>-651.848347832362 27.1687694273041 -461.050709547346</t>
  </si>
  <si>
    <t>-661.825848667064 26.2335500507879 -583.298418567098</t>
  </si>
  <si>
    <t>-649.374674856632 20.7536766420103 -660.467916698116</t>
  </si>
  <si>
    <t>-657.946984944039 58.0005757585352 -529.856315009812</t>
  </si>
  <si>
    <t>-629.371450231644 208.844106121868 -502.207003938988</t>
  </si>
  <si>
    <t>-585.342636796726 221.902850281001 -223.873429421048</t>
  </si>
  <si>
    <t>-374.497456220136 124.877264378831 -232.754458059093</t>
  </si>
  <si>
    <t>-609.463675536662 129.44414410364 -97.3944366328883</t>
  </si>
  <si>
    <t>-631.768223867959 141.770213894461 317.398449135463</t>
  </si>
  <si>
    <t>-671.034676972126 184.119844734258 776.951232462322</t>
  </si>
  <si>
    <t>-520.674555935465 187.624268221115 834.077262177098</t>
  </si>
  <si>
    <t>-602.093553709107 -74.5475201885301 322.337973995906</t>
  </si>
  <si>
    <t>-655.592956553154 -106.463392112725 781.329261864052</t>
  </si>
  <si>
    <t>-501.25206942912 -119.991790263985 824.684615100386</t>
  </si>
  <si>
    <t>9763-20170724T115613.328896000.bin</t>
  </si>
  <si>
    <t>-602.424495237402 36.5140537189504 -93.4860916731709</t>
  </si>
  <si>
    <t>-622.601215499176 32.0569691548783 -202.254403088835</t>
  </si>
  <si>
    <t>-634.625117462479 29.7193736642255 -294.318423889026</t>
  </si>
  <si>
    <t>-644.429322534322 28.0881423932688 -377.621193363723</t>
  </si>
  <si>
    <t>-652.601230660458 26.9442353635882 -461.107990649138</t>
  </si>
  <si>
    <t>-662.749804752257 25.7858744827433 -583.339753866331</t>
  </si>
  <si>
    <t>-650.409129383954 19.9014693151132 -660.497225931884</t>
  </si>
  <si>
    <t>-658.730644545869 57.6512249958018 -529.966654426376</t>
  </si>
  <si>
    <t>-629.937510286004 208.5366904163 -502.730023642695</t>
  </si>
  <si>
    <t>-585.784481260645 221.972995522312 -224.434198490063</t>
  </si>
  <si>
    <t>-374.958967644589 124.896664910643 -233.227407770784</t>
  </si>
  <si>
    <t>-609.843520622796 129.628865716804 -97.5099926956013</t>
  </si>
  <si>
    <t>-631.963982550019 141.916795248153 317.293947272564</t>
  </si>
  <si>
    <t>-671.058598732963 184.225248565626 776.88993952929</t>
  </si>
  <si>
    <t>-520.678206017446 187.365627674608 833.983721336504</t>
  </si>
  <si>
    <t>-602.605685422212 -74.4769073284194 322.300996527085</t>
  </si>
  <si>
    <t>-655.552690277192 -106.412886627596 781.347247617225</t>
  </si>
  <si>
    <t>-501.217624625587 -119.900451881178 824.73620908171</t>
  </si>
  <si>
    <t>9763-20170724T115613.357976700.bin</t>
  </si>
  <si>
    <t>-602.68308566609 36.5260666558809 -93.5220674493412</t>
  </si>
  <si>
    <t>-622.854361064408 32.0598422553014 -202.290956904254</t>
  </si>
  <si>
    <t>-634.913795169118 29.6836432450998 -294.349372653894</t>
  </si>
  <si>
    <t>-644.76649420734 28.0063340664644 -377.645535149984</t>
  </si>
  <si>
    <t>-653.003581914833 26.8046119418152 -461.125100251757</t>
  </si>
  <si>
    <t>-663.265938765595 25.5490236613541 -583.346359922792</t>
  </si>
  <si>
    <t>-651.047517111225 19.5058570985038 -660.51107925093</t>
  </si>
  <si>
    <t>-659.173001904709 57.4572309577388 -530.004497592452</t>
  </si>
  <si>
    <t>-630.297441598993 208.355648272053 -502.930387394576</t>
  </si>
  <si>
    <t>-586.189191531112 222.035487860896 -224.639431492648</t>
  </si>
  <si>
    <t>-375.381757374247 124.918076135564 -233.412434615531</t>
  </si>
  <si>
    <t>-610.068239652656 129.666275011941 -97.5646330034118</t>
  </si>
  <si>
    <t>-632.0863558017 141.924099617748 317.245629264227</t>
  </si>
  <si>
    <t>-671.093381958458 184.16057467394 776.855239430543</t>
  </si>
  <si>
    <t>-520.707441721408 187.409770536244 833.928364941855</t>
  </si>
  <si>
    <t>-602.774231092872 -74.4336316415529 322.287502301628</t>
  </si>
  <si>
    <t>-655.536779800411 -106.393965434557 781.356225703761</t>
  </si>
  <si>
    <t>-501.214659405812 -119.983810208833 824.75922431643</t>
  </si>
  <si>
    <t>9763-20170724T115613.427160200.bin</t>
  </si>
  <si>
    <t>-603.065234811229 36.4967467127115 -93.5868663849878</t>
  </si>
  <si>
    <t>-623.246144479982 32.0148550088943 -202.353387275553</t>
  </si>
  <si>
    <t>-635.3653123092 29.561241954342 -294.401961237686</t>
  </si>
  <si>
    <t>-645.293218960567 27.7880737978196 -377.687168787598</t>
  </si>
  <si>
    <t>-653.62709675272 26.464533872401 -461.155246354163</t>
  </si>
  <si>
    <t>-664.054986408829 25.0020109316226 -583.360172015283</t>
  </si>
  <si>
    <t>-652.103430218727 18.6920270513069 -660.545340607968</t>
  </si>
  <si>
    <t>-659.866710773884 57.0007977127784 -530.079933454853</t>
  </si>
  <si>
    <t>-630.712282045711 207.906717463764 -503.335743216873</t>
  </si>
  <si>
    <t>-586.886566004044 221.949849534184 -225.018247784463</t>
  </si>
  <si>
    <t>-376.078231515722 124.782321425225 -233.19515885287</t>
  </si>
  <si>
    <t>-610.462357063955 129.665650550176 -97.6492021530179</t>
  </si>
  <si>
    <t>-632.342687287932 141.974964060567 317.166840147718</t>
  </si>
  <si>
    <t>-671.123651230933 184.193728091065 776.786340866263</t>
  </si>
  <si>
    <t>-520.723456392086 187.395991088379 833.824528758666</t>
  </si>
  <si>
    <t>-602.967206562258 -74.3749004643419 322.258478679444</t>
  </si>
  <si>
    <t>-655.515753315368 -106.366862971826 781.361900589966</t>
  </si>
  <si>
    <t>-501.221657098249 -120.230562456039 824.777909259932</t>
  </si>
  <si>
    <t>9763-20170724T115613.491038600.bin</t>
  </si>
  <si>
    <t>-603.241121581596 36.5744624154588 -93.6024110248775</t>
  </si>
  <si>
    <t>-623.481126397516 32.0766683259169 -202.357193004198</t>
  </si>
  <si>
    <t>-635.73536356853 29.5393218259649 -294.385563263329</t>
  </si>
  <si>
    <t>-645.820152918421 27.6612501771731 -377.649776814616</t>
  </si>
  <si>
    <t>-654.34631216965 26.2040500525727 -461.09626544027</t>
  </si>
  <si>
    <t>-665.094449211859 24.5149057963365 -583.270417704898</t>
  </si>
  <si>
    <t>-653.483253493983 18.0825706112239 -660.497398451956</t>
  </si>
  <si>
    <t>-660.780423840465 56.6122221886728 -530.059535230295</t>
  </si>
  <si>
    <t>-631.530928418682 207.557455446788 -503.667476347021</t>
  </si>
  <si>
    <t>-587.382648214182 221.833945737015 -225.412766829038</t>
  </si>
  <si>
    <t>-376.557691665449 124.640776655247 -232.818914010181</t>
  </si>
  <si>
    <t>-610.787688029688 129.718311560541 -97.6831050716221</t>
  </si>
  <si>
    <t>-632.479076259266 142.005989827503 317.143479929312</t>
  </si>
  <si>
    <t>-671.165083392444 184.110982732481 776.754146979558</t>
  </si>
  <si>
    <t>-520.755937559054 187.340295562418 833.767232886158</t>
  </si>
  <si>
    <t>-602.885884236166 -74.1714266190099 322.233747740085</t>
  </si>
  <si>
    <t>-655.518216314602 -106.261143214618 781.338016461711</t>
  </si>
  <si>
    <t>-501.191906067002 -119.884690012969 824.715537006931</t>
  </si>
  <si>
    <t>9763-20170724T115613.529138800.bin</t>
  </si>
  <si>
    <t>-603.261733354137 36.5690830261378 -93.6097456133678</t>
  </si>
  <si>
    <t>-623.561939711369 32.066524838827 -202.353144112622</t>
  </si>
  <si>
    <t>-635.923077537171 29.5114376765964 -294.366838329652</t>
  </si>
  <si>
    <t>-646.127061493678 27.6120120996236 -377.615858049912</t>
  </si>
  <si>
    <t>-654.795303115182 26.1283662888973 -461.047206237599</t>
  </si>
  <si>
    <t>-665.776384942546 24.395225067268 -583.200171017745</t>
  </si>
  <si>
    <t>-654.328148640703 17.9334256703607 -660.448962120373</t>
  </si>
  <si>
    <t>-661.369229612484 56.5115126796827 -530.008522871148</t>
  </si>
  <si>
    <t>-632.022052658577 207.453526134939 -503.722675155962</t>
  </si>
  <si>
    <t>-587.675039953417 221.8463167221 -225.505606294907</t>
  </si>
  <si>
    <t>-376.820008373326 124.704521355753 -232.727976612795</t>
  </si>
  <si>
    <t>-610.84683792208 129.692284974908 -97.684679202039</t>
  </si>
  <si>
    <t>-632.47962981574 141.991803623442 317.144639766005</t>
  </si>
  <si>
    <t>-671.184928351147 184.046730047065 776.748490094968</t>
  </si>
  <si>
    <t>-520.774482860008 187.355989298324 833.753555770538</t>
  </si>
  <si>
    <t>-602.79632049462 -74.0466683868774 322.234536863531</t>
  </si>
  <si>
    <t>-655.520915169538 -106.205769789078 781.321814695955</t>
  </si>
  <si>
    <t>-501.162656458883 -119.553958431831 824.671283437416</t>
  </si>
  <si>
    <t>9763-20170724T115613.559794300.bin</t>
  </si>
  <si>
    <t>-603.286134818957 36.5524558885136 -93.6101365062766</t>
  </si>
  <si>
    <t>-623.656738326871 32.0586336880558 -202.340719749122</t>
  </si>
  <si>
    <t>-636.115586784064 29.4992232237553 -294.340997499385</t>
  </si>
  <si>
    <t>-646.423507595121 27.5913118798219 -377.577014665219</t>
  </si>
  <si>
    <t>-655.211557204929 26.0954468956511 -460.995692030331</t>
  </si>
  <si>
    <t>-666.385356176436 24.3401946236147 -583.1308754368</t>
  </si>
  <si>
    <t>-655.054415422786 17.8453848072072 -660.394311070646</t>
  </si>
  <si>
    <t>-661.910545354571 56.4659275476242 -529.950496783885</t>
  </si>
  <si>
    <t>-632.469734017014 207.405354870333 -503.757660904676</t>
  </si>
  <si>
    <t>-587.897027238558 221.938892978937 -225.583925774766</t>
  </si>
  <si>
    <t>-377.018494035307 124.841274938038 -232.713261003044</t>
  </si>
  <si>
    <t>-610.882272313897 129.683663007349 -97.6729673380015</t>
  </si>
  <si>
    <t>-632.455438594248 141.954773877994 317.1602765403</t>
  </si>
  <si>
    <t>-671.211292792498 183.972339484809 776.754877533671</t>
  </si>
  <si>
    <t>-520.797619286289 187.306783929212 833.749868729633</t>
  </si>
  <si>
    <t>-602.707453053858 -73.9660858578841 322.233435305391</t>
  </si>
  <si>
    <t>-655.524307951474 -106.192571585204 781.310011477124</t>
  </si>
  <si>
    <t>-501.176433708154 -119.716716199939 824.641859580212</t>
  </si>
  <si>
    <t>9763-20170724T115613.625970000.bin</t>
  </si>
  <si>
    <t>-603.405527223708 36.5757274363314 -93.6243711988457</t>
  </si>
  <si>
    <t>-623.884970408765 32.1028581990054 -202.335290546443</t>
  </si>
  <si>
    <t>-636.499342847443 29.512417855118 -294.313615026162</t>
  </si>
  <si>
    <t>-646.974055556082 27.5579515413654 -377.527761458969</t>
  </si>
  <si>
    <t>-655.955772115738 25.9972297835584 -460.924526215495</t>
  </si>
  <si>
    <t>-667.442384298971 24.1284054807147 -583.029023428475</t>
  </si>
  <si>
    <t>-656.318470218307 17.5372847697463 -660.314396615096</t>
  </si>
  <si>
    <t>-662.848143642713 56.3033428944257 -529.888596407963</t>
  </si>
  <si>
    <t>-633.527283386388 207.311468811844 -503.913783216846</t>
  </si>
  <si>
    <t>-588.350357988963 222.052257177258 -225.848448338317</t>
  </si>
  <si>
    <t>-377.438955342993 125.009960485424 -232.755591471216</t>
  </si>
  <si>
    <t>-611.008040360306 129.714271179558 -97.6584457806861</t>
  </si>
  <si>
    <t>-632.469739595636 141.829709978287 317.185088859969</t>
  </si>
  <si>
    <t>-671.24269318579 183.912797936435 776.779375072388</t>
  </si>
  <si>
    <t>-520.822040518131 187.26386700379 833.755001838245</t>
  </si>
  <si>
    <t>-602.64366070724 -73.6757804593265 322.224302519496</t>
  </si>
  <si>
    <t>-655.535635206442 -106.139012299687 781.285602815077</t>
  </si>
  <si>
    <t>-501.181288063604 -119.76142270262 824.563676107306</t>
  </si>
  <si>
    <t>9763-20170724T115613.695664700.bin</t>
  </si>
  <si>
    <t>-603.4799795678 36.6568685061291 -93.5852023262844</t>
  </si>
  <si>
    <t>-624.072388414431 32.2013619365475 -202.275553963112</t>
  </si>
  <si>
    <t>-636.807069693915 29.5797864689489 -294.236451998604</t>
  </si>
  <si>
    <t>-647.400903223724 27.5782555236519 -377.434412980185</t>
  </si>
  <si>
    <t>-656.512554695511 25.9519808530483 -460.81587361086</t>
  </si>
  <si>
    <t>-668.201259099145 23.9668925908006 -582.899230294674</t>
  </si>
  <si>
    <t>-657.326892278783 17.2572487867617 -660.210011162801</t>
  </si>
  <si>
    <t>-663.533467174944 56.1923198889026 -529.795839182352</t>
  </si>
  <si>
    <t>-634.263986414571 207.249045670363 -504.038877006375</t>
  </si>
  <si>
    <t>-588.756001046222 222.170487248637 -226.037048797631</t>
  </si>
  <si>
    <t>-377.832740472459 125.135290849966 -232.675614516594</t>
  </si>
  <si>
    <t>-611.173362705208 129.653496367996 -97.5861849846118</t>
  </si>
  <si>
    <t>-632.661407467579 141.748669886806 317.256687874506</t>
  </si>
  <si>
    <t>-671.270419231538 183.892877316702 776.824586322924</t>
  </si>
  <si>
    <t>-520.840313176755 187.149556530655 833.780702235325</t>
  </si>
  <si>
    <t>-602.609189453643 -73.2976682334208 322.232011357308</t>
  </si>
  <si>
    <t>-655.571977180488 -106.040732503308 781.258341971763</t>
  </si>
  <si>
    <t>-501.17840248452 -119.507885492842 824.445063208939</t>
  </si>
  <si>
    <t>9763-20170724T115613.727749700.bin</t>
  </si>
  <si>
    <t>-603.50186786506 36.7514156052341 -93.5714729532721</t>
  </si>
  <si>
    <t>-624.104198146178 32.3025823583603 -202.260296828372</t>
  </si>
  <si>
    <t>-636.877675975276 29.667060918249 -294.215344604948</t>
  </si>
  <si>
    <t>-647.518814574842 27.6448229095747 -377.406748603381</t>
  </si>
  <si>
    <t>-656.690284341197 25.9894536280151 -460.781132430456</t>
  </si>
  <si>
    <t>-668.48010578259 23.9528154891575 -582.853832692636</t>
  </si>
  <si>
    <t>-657.740263202459 17.158692220301 -660.175933431986</t>
  </si>
  <si>
    <t>-663.762090073117 56.2007453217202 -529.768507229803</t>
  </si>
  <si>
    <t>-634.408530751196 207.249693027677 -504.078560376709</t>
  </si>
  <si>
    <t>-588.849456435689 222.302476928383 -226.092231277767</t>
  </si>
  <si>
    <t>-377.932515498605 125.238970944574 -232.514235328046</t>
  </si>
  <si>
    <t>-611.26026803281 129.681822761514 -97.5528668830865</t>
  </si>
  <si>
    <t>-632.790779118412 141.778242939317 317.287793986119</t>
  </si>
  <si>
    <t>-671.264909422574 183.953170386586 776.85845371803</t>
  </si>
  <si>
    <t>-520.828247700511 187.033449867641 833.807089291662</t>
  </si>
  <si>
    <t>-602.604802683639 -73.1726175724559 322.225262056679</t>
  </si>
  <si>
    <t>-655.582083582428 -106.012525634436 781.240320799858</t>
  </si>
  <si>
    <t>-501.175419396059 -119.429229876905 824.395834888272</t>
  </si>
  <si>
    <t>9763-20170724T115613.826531200.bin</t>
  </si>
  <si>
    <t>-603.473529205537 36.6135788640238 -93.5265181435392</t>
  </si>
  <si>
    <t>-624.033639814046 32.1866166540644 -202.22425443433</t>
  </si>
  <si>
    <t>-636.885510132102 29.5145418880609 -294.16711795469</t>
  </si>
  <si>
    <t>-647.644065166038 27.437864009612 -377.342216011564</t>
  </si>
  <si>
    <t>-656.979849869629 25.7075031832892 -460.696809442734</t>
  </si>
  <si>
    <t>-669.061897734676 23.5387427071003 -582.738723467439</t>
  </si>
  <si>
    <t>-658.624162598451 16.5240679711465 -660.082515473435</t>
  </si>
  <si>
    <t>-664.20247524331 55.8442752421158 -529.701164729801</t>
  </si>
  <si>
    <t>-634.805678801867 206.911748400845 -504.166518290407</t>
  </si>
  <si>
    <t>-589.285098848044 222.281890489701 -226.191356581528</t>
  </si>
  <si>
    <t>-378.464859657978 124.991036050035 -232.343330419356</t>
  </si>
  <si>
    <t>-611.195274120773 129.473510537149 -97.4877401795663</t>
  </si>
  <si>
    <t>-632.768070199601 141.677980354545 317.347484161526</t>
  </si>
  <si>
    <t>-671.298945673057 183.898213241868 776.919234521572</t>
  </si>
  <si>
    <t>-520.86325709805 187.008735512901 833.868733161356</t>
  </si>
  <si>
    <t>-602.591293962397 -73.3587496416576 322.22395795178</t>
  </si>
  <si>
    <t>-655.544891411126 -105.971123731952 781.23772795757</t>
  </si>
  <si>
    <t>-501.135492992196 -119.320886524688 824.404287884142</t>
  </si>
  <si>
    <t>9763-20170724T115613.861741400.bin</t>
  </si>
  <si>
    <t>-603.455792998285 36.5389470698092 -93.5190847247784</t>
  </si>
  <si>
    <t>-623.950693651243 32.1250296319877 -202.229559100832</t>
  </si>
  <si>
    <t>-636.779958883838 29.44922812355 -294.175687325222</t>
  </si>
  <si>
    <t>-647.531275637423 27.3644106005358 -377.351328323507</t>
  </si>
  <si>
    <t>-656.873296761335 25.6206402826724 -460.705009939963</t>
  </si>
  <si>
    <t>-668.979222697917 23.4273129848946 -582.744145882646</t>
  </si>
  <si>
    <t>-658.587631611559 16.3800432024982 -660.091150117556</t>
  </si>
  <si>
    <t>-664.101428450952 55.7436893104334 -529.714946871203</t>
  </si>
  <si>
    <t>-634.657878320665 206.801725474277 -504.19783165666</t>
  </si>
  <si>
    <t>-589.340661086025 222.349715458001 -226.199134812807</t>
  </si>
  <si>
    <t>-378.547073066548 124.993841889981 -232.234961654585</t>
  </si>
  <si>
    <t>-611.118041729726 129.390644283314 -97.4759534444553</t>
  </si>
  <si>
    <t>-632.755218617549 141.626693816903 317.354945986054</t>
  </si>
  <si>
    <t>-671.308449498032 183.884130053981 776.924324204805</t>
  </si>
  <si>
    <t>-520.876064058501 187.039906922156 833.880135733137</t>
  </si>
  <si>
    <t>-602.626277233258 -73.4804879667108 322.227480258549</t>
  </si>
  <si>
    <t>-655.522445923736 -105.982307165505 781.245738804739</t>
  </si>
  <si>
    <t>-501.134827627356 -119.474878055614 824.445655704462</t>
  </si>
  <si>
    <t>9763-20170724T115613.924910000.bin</t>
  </si>
  <si>
    <t>-603.348284157755 36.2355919830379 -93.5194066710507</t>
  </si>
  <si>
    <t>-623.716894165432 31.8384491663069 -202.25431353666</t>
  </si>
  <si>
    <t>-636.499009271808 29.1673519537512 -294.207091391876</t>
  </si>
  <si>
    <t>-647.23187056645 27.0841329981836 -377.385249011565</t>
  </si>
  <si>
    <t>-656.579585972657 25.339774972781 -460.738228583816</t>
  </si>
  <si>
    <t>-668.720586009663 23.143037661009 -582.773856443705</t>
  </si>
  <si>
    <t>-658.312004677358 16.0756144127536 -660.116808209955</t>
  </si>
  <si>
    <t>-663.817321596086 55.4609549284482 -529.747906482801</t>
  </si>
  <si>
    <t>-634.247005408282 206.500730946537 -504.269963191738</t>
  </si>
  <si>
    <t>-589.338255492531 222.2503495668 -226.216464296257</t>
  </si>
  <si>
    <t>-378.612678973061 124.724943694928 -231.877766339606</t>
  </si>
  <si>
    <t>-610.888602308057 129.078488244065 -97.4784883792944</t>
  </si>
  <si>
    <t>-632.681644722202 141.425458125284 317.341037644735</t>
  </si>
  <si>
    <t>-671.359797888309 183.731632162158 776.896798887458</t>
  </si>
  <si>
    <t>-520.935625454187 186.96759927644 833.869801494209</t>
  </si>
  <si>
    <t>-602.755993528043 -73.9402848009406 322.215624580072</t>
  </si>
  <si>
    <t>-655.469795327386 -105.951362711545 781.275040558893</t>
  </si>
  <si>
    <t>-501.069598072942 -119.135046397476 824.52545625801</t>
  </si>
  <si>
    <t>9763-20170724T115614.028192200.bin</t>
  </si>
  <si>
    <t>-603.281570197321 36.1566115646121 -93.5254300692465</t>
  </si>
  <si>
    <t>-623.551561739678 31.7723747756302 -202.279248436685</t>
  </si>
  <si>
    <t>-636.320411606754 29.1196934795039 -294.234405559269</t>
  </si>
  <si>
    <t>-647.069309445374 27.0571768438749 -377.411042037755</t>
  </si>
  <si>
    <t>-656.461195862229 25.3378498057073 -460.759545973442</t>
  </si>
  <si>
    <t>-668.697788679909 23.1826118026684 -582.786371072948</t>
  </si>
  <si>
    <t>-658.246021350654 16.1061158527641 -660.122668604946</t>
  </si>
  <si>
    <t>-663.750200733423 55.4824718662621 -529.753465113445</t>
  </si>
  <si>
    <t>-634.113527268394 206.489086373017 -504.160592319976</t>
  </si>
  <si>
    <t>-589.378631465001 222.134036706107 -226.073171847443</t>
  </si>
  <si>
    <t>-378.707533154541 124.489878613809 -231.715253906852</t>
  </si>
  <si>
    <t>-610.778103449986 129.011237158553 -97.4934756669787</t>
  </si>
  <si>
    <t>-632.634133228842 141.375255373726 317.322153680317</t>
  </si>
  <si>
    <t>-671.358111993927 183.786502611364 776.866695533434</t>
  </si>
  <si>
    <t>-520.939946001176 186.983865993406 833.857803058167</t>
  </si>
  <si>
    <t>-602.772106939248 -74.1382857306999 322.203915899677</t>
  </si>
  <si>
    <t>-655.429022998145 -105.950556414946 781.288975742591</t>
  </si>
  <si>
    <t>-501.089731361292 -119.639855610144 824.599520396328</t>
  </si>
  <si>
    <t>9763-20170724T115614.060282900.bin</t>
  </si>
  <si>
    <t>-603.16222987572 36.2633270756025 -93.541857588287</t>
  </si>
  <si>
    <t>-623.315835838589 31.8708792886391 -202.317014213397</t>
  </si>
  <si>
    <t>-636.100569151072 29.2211777314358 -294.269978534818</t>
  </si>
  <si>
    <t>-646.909715126954 27.1661339522177 -377.438949708548</t>
  </si>
  <si>
    <t>-656.407746823855 25.4594301178417 -460.775744506592</t>
  </si>
  <si>
    <t>-668.849756161868 23.3289602928569 -582.782190018809</t>
  </si>
  <si>
    <t>-658.380283491853 16.2601631496818 -660.116728359795</t>
  </si>
  <si>
    <t>-663.787616561154 55.6185478081807 -529.753891270483</t>
  </si>
  <si>
    <t>-634.000630344121 206.580533834516 -504.033347826881</t>
  </si>
  <si>
    <t>-589.74524297474 221.818503532078 -225.846661238369</t>
  </si>
  <si>
    <t>-379.235895065997 123.805657933872 -231.121964762852</t>
  </si>
  <si>
    <t>-610.627809837835 129.061388703142 -97.5189507781821</t>
  </si>
  <si>
    <t>-632.613446379121 141.440348262033 317.289479751586</t>
  </si>
  <si>
    <t>-671.392327993507 183.767357975727 776.831429232724</t>
  </si>
  <si>
    <t>-520.983690799303 186.835574061821 833.85465106039</t>
  </si>
  <si>
    <t>-602.708311271125 -74.2209639203572 322.209630864115</t>
  </si>
  <si>
    <t>-655.35259944733 -105.944461803927 781.307057145978</t>
  </si>
  <si>
    <t>-501.027897384965 -119.539645482706 824.699259941678</t>
  </si>
  <si>
    <t>9763-20170724T115614.126458200.bin</t>
  </si>
  <si>
    <t>-603.176296146969 36.3450033150746 -93.5719503662332</t>
  </si>
  <si>
    <t>-623.285274975868 31.9557800746725 -202.35546505601</t>
  </si>
  <si>
    <t>-636.191392308201 29.3149591471524 -294.291942236571</t>
  </si>
  <si>
    <t>-647.174114162227 27.2721791699 -377.438408806731</t>
  </si>
  <si>
    <t>-656.909979067628 25.5822170185472 -460.747997201487</t>
  </si>
  <si>
    <t>-669.770222313373 23.4822725885938 -582.711616842264</t>
  </si>
  <si>
    <t>-659.318992520742 16.422438226781 -660.04940196794</t>
  </si>
  <si>
    <t>-664.51081259908 55.758604760766 -529.6944083112</t>
  </si>
  <si>
    <t>-634.461172861665 206.646021153839 -503.885920919207</t>
  </si>
  <si>
    <t>-590.473020901641 221.870480387735 -225.656211186769</t>
  </si>
  <si>
    <t>-380.180856808164 123.373060891661 -230.55544945024</t>
  </si>
  <si>
    <t>-610.577664323942 129.075421488981 -97.5395560035088</t>
  </si>
  <si>
    <t>-632.629505478079 141.482168265848 317.264522655409</t>
  </si>
  <si>
    <t>-671.438591489224 183.703299001663 776.815908261076</t>
  </si>
  <si>
    <t>-521.033420183503 186.835139116676 833.844981135139</t>
  </si>
  <si>
    <t>-602.800635968507 -74.2783262749779 322.182612339205</t>
  </si>
  <si>
    <t>-655.297459831436 -105.921729790326 781.311700181428</t>
  </si>
  <si>
    <t>-500.967600605441 -119.307204242861 824.75066393656</t>
  </si>
  <si>
    <t>9763-20170724T115614.190176100.bin</t>
  </si>
  <si>
    <t>-603.36607465628 36.3652449036647 -93.5857287056303</t>
  </si>
  <si>
    <t>-623.351033108033 31.9974359263092 -202.393037823687</t>
  </si>
  <si>
    <t>-636.307392411742 29.3720554478534 -294.322760389704</t>
  </si>
  <si>
    <t>-647.397975874484 27.344391559664 -377.45531944541</t>
  </si>
  <si>
    <t>-657.304246530266 25.6712641630443 -460.745191400091</t>
  </si>
  <si>
    <t>-670.482462085243 23.5981692926337 -582.675385699631</t>
  </si>
  <si>
    <t>-659.712839335959 16.5086576488152 -659.966757537283</t>
  </si>
  <si>
    <t>-665.044188909679 55.8632339230489 -529.669405825361</t>
  </si>
  <si>
    <t>-634.723705047505 206.681031514221 -503.769838292091</t>
  </si>
  <si>
    <t>-590.901844125265 222.010668526695 -225.519413654572</t>
  </si>
  <si>
    <t>-380.767403893725 123.167797996523 -230.224978949168</t>
  </si>
  <si>
    <t>-610.628167347631 129.106227201189 -97.565606464805</t>
  </si>
  <si>
    <t>-632.772672708149 141.477144482738 317.23458192216</t>
  </si>
  <si>
    <t>-671.500613869686 183.599429057277 776.792540049861</t>
  </si>
  <si>
    <t>-521.10041101732 187.021040049825 833.817931297752</t>
  </si>
  <si>
    <t>-603.086311632862 -74.4126220307951 322.158791028554</t>
  </si>
  <si>
    <t>-655.246372309156 -105.9483061912 781.325156857545</t>
  </si>
  <si>
    <t>-500.966663234363 -119.725054667643 824.819917877669</t>
  </si>
  <si>
    <t>9763-20170724T115614.229294400.bin</t>
  </si>
  <si>
    <t>-603.364066804716 36.4728808645691 -93.564112445485</t>
  </si>
  <si>
    <t>-623.360321832041 32.1383585501244 -202.370617622461</t>
  </si>
  <si>
    <t>-636.401055950495 29.5223590345486 -294.288701708787</t>
  </si>
  <si>
    <t>-647.598127461261 27.4980806819876 -377.407114876975</t>
  </si>
  <si>
    <t>-657.641530704493 25.8226888051718 -460.680532588226</t>
  </si>
  <si>
    <t>-671.053975705942 23.7405173458048 -582.584971026441</t>
  </si>
  <si>
    <t>-659.968905719422 16.8719258860779 -659.851705651622</t>
  </si>
  <si>
    <t>-665.477400206107 56.0099049589053 -529.595903065165</t>
  </si>
  <si>
    <t>-634.770625824579 206.764696214668 -503.750447855981</t>
  </si>
  <si>
    <t>-591.256126931551 221.98683638304 -225.446094847827</t>
  </si>
  <si>
    <t>-381.145102225106 123.081730837046 -229.880157558849</t>
  </si>
  <si>
    <t>-610.47586719433 129.201779890097 -97.5647692708231</t>
  </si>
  <si>
    <t>-632.789201882912 141.598483412666 317.225599559031</t>
  </si>
  <si>
    <t>-671.504376310851 183.68603408362 776.782905704118</t>
  </si>
  <si>
    <t>-521.098338237048 186.844350670596 833.808025959764</t>
  </si>
  <si>
    <t>-603.252751155129 -74.3448174939506 322.14712911949</t>
  </si>
  <si>
    <t>-655.224789210136 -105.909859204276 781.32854226927</t>
  </si>
  <si>
    <t>-500.923936348037 -119.402137308999 824.83750944222</t>
  </si>
  <si>
    <t>9763-20170724T115614.258456200.bin</t>
  </si>
  <si>
    <t>-603.387985164113 36.5716703323249 -93.5701479598139</t>
  </si>
  <si>
    <t>-623.418808258128 32.2677742303838 -202.371488921659</t>
  </si>
  <si>
    <t>-636.560705696897 29.6684833401707 -294.275571882171</t>
  </si>
  <si>
    <t>-647.878445894683 27.6580778107 -377.378011318928</t>
  </si>
  <si>
    <t>-658.072036639514 25.9948972823177 -460.633405828696</t>
  </si>
  <si>
    <t>-671.736568496211 23.92961522207 -582.510143411966</t>
  </si>
  <si>
    <t>-660.457784246604 17.5413071505 -659.790117880294</t>
  </si>
  <si>
    <t>-666.018067792529 56.1917690776515 -529.53196713493</t>
  </si>
  <si>
    <t>-635.145178674066 206.918163669299 -503.793277885271</t>
  </si>
  <si>
    <t>-591.642698687512 222.230339357364 -225.491924683924</t>
  </si>
  <si>
    <t>-381.637120408373 123.083209138588 -229.496457836267</t>
  </si>
  <si>
    <t>-610.302398066267 129.387017023055 -97.5810952733441</t>
  </si>
  <si>
    <t>-632.651322041445 141.684103416532 317.210261022672</t>
  </si>
  <si>
    <t>-671.50606921237 183.751034708532 776.762783604567</t>
  </si>
  <si>
    <t>-521.097120975658 186.758500023338 833.788418800678</t>
  </si>
  <si>
    <t>-603.35139480712 -74.2252275546391 322.149183783436</t>
  </si>
  <si>
    <t>-655.202578043313 -105.902133409326 781.336359323175</t>
  </si>
  <si>
    <t>-500.927789024585 -119.669071559432 824.851800658599</t>
  </si>
  <si>
    <t>9763-20170724T115614.326637900.bin</t>
  </si>
  <si>
    <t>-603.568052247733 36.8091214374695 -93.623534565978</t>
  </si>
  <si>
    <t>-623.690104790252 32.5437534057273 -202.409554916009</t>
  </si>
  <si>
    <t>-636.975950213578 29.9678896910752 -294.293662879119</t>
  </si>
  <si>
    <t>-648.45110679579 27.9788120359237 -377.374994544844</t>
  </si>
  <si>
    <t>-658.829781215225 26.3365099370164 -460.607937004495</t>
  </si>
  <si>
    <t>-672.795437368741 24.3018991426306 -582.451075985992</t>
  </si>
  <si>
    <t>-661.44890141858 19.4868736778603 -659.835115004903</t>
  </si>
  <si>
    <t>-666.896065070005 56.5510247106492 -529.484766457027</t>
  </si>
  <si>
    <t>-635.916111448536 207.333500992682 -504.107467643559</t>
  </si>
  <si>
    <t>-592.513073187341 223.058821110966 -225.81370291786</t>
  </si>
  <si>
    <t>-382.647967969457 123.580903558991 -228.864946145967</t>
  </si>
  <si>
    <t>-610.238890139682 129.783414044447 -97.6509051924463</t>
  </si>
  <si>
    <t>-632.515599701678 141.792457337325 317.152840205103</t>
  </si>
  <si>
    <t>-671.555812166195 183.680075740587 776.720688075554</t>
  </si>
  <si>
    <t>-521.148975143027 186.746441923122 833.748685667969</t>
  </si>
  <si>
    <t>-603.527024674315 -73.852675216559 322.136879043334</t>
  </si>
  <si>
    <t>-655.194668521826 -105.8055597278 781.335252632845</t>
  </si>
  <si>
    <t>-500.877970825885 -119.224983781888 824.810548152736</t>
  </si>
  <si>
    <t>9763-20170724T115614.358736600.bin</t>
  </si>
  <si>
    <t>-603.696518277095 36.9070497673017 -93.6442230772471</t>
  </si>
  <si>
    <t>-623.825219104011 32.6373239616219 -202.428866197026</t>
  </si>
  <si>
    <t>-637.085082183478 30.018686130772 -294.315525822597</t>
  </si>
  <si>
    <t>-648.524493335853 27.9753856757654 -377.400448258853</t>
  </si>
  <si>
    <t>-658.855390523264 26.2628004628398 -460.63786511044</t>
  </si>
  <si>
    <t>-672.738099608126 24.1080783425537 -582.488423336382</t>
  </si>
  <si>
    <t>-661.473342952165 20.0457102173832 -659.92756550511</t>
  </si>
  <si>
    <t>-666.873013856488 56.4095195518853 -529.550050194922</t>
  </si>
  <si>
    <t>-636.004601036973 207.251377201864 -504.422607592813</t>
  </si>
  <si>
    <t>-592.732660551043 223.337167939898 -226.129029890552</t>
  </si>
  <si>
    <t>-382.849052102943 123.885530824106 -228.731934565899</t>
  </si>
  <si>
    <t>-610.313471950708 129.91550364313 -97.671194884167</t>
  </si>
  <si>
    <t>-632.564519417844 141.882302236577 317.135189816239</t>
  </si>
  <si>
    <t>-671.574191604184 183.705984798218 776.705554974036</t>
  </si>
  <si>
    <t>-521.163573814571 186.77050936312 833.723643195323</t>
  </si>
  <si>
    <t>-603.599468061401 -73.7079165427378 322.136548512681</t>
  </si>
  <si>
    <t>-655.192999465929 -105.779020704874 781.332583900955</t>
  </si>
  <si>
    <t>-500.888790201556 -119.395017391472 824.791091415149</t>
  </si>
  <si>
    <t>9763-20170724T115614.427919700.bin</t>
  </si>
  <si>
    <t>-604.034470836112 37.2326413603009 -93.689051778141</t>
  </si>
  <si>
    <t>-624.035119821687 32.8794755227398 -202.494031931123</t>
  </si>
  <si>
    <t>-637.08928317724 30.1776865182464 -294.407719738633</t>
  </si>
  <si>
    <t>-648.303533464616 28.0498977268333 -377.521173002336</t>
  </si>
  <si>
    <t>-658.369625869218 26.2451309601008 -460.789173397794</t>
  </si>
  <si>
    <t>-671.8217580088 23.9462516975154 -582.685224217466</t>
  </si>
  <si>
    <t>-660.492348312269 21.3775339099761 -660.17897237295</t>
  </si>
  <si>
    <t>-666.233922710319 56.3097316273311 -529.754927854354</t>
  </si>
  <si>
    <t>-636.025101221599 207.315773587665 -504.806989981249</t>
  </si>
  <si>
    <t>-592.542831965062 224.076469930692 -226.585987903952</t>
  </si>
  <si>
    <t>-382.511370512241 124.930534378098 -228.909508809084</t>
  </si>
  <si>
    <t>-610.969148130423 130.229356214434 -97.7502696219916</t>
  </si>
  <si>
    <t>-633.028983733858 142.142819139746 317.067841065666</t>
  </si>
  <si>
    <t>-671.605034938017 183.762344785906 776.683989686974</t>
  </si>
  <si>
    <t>-521.179175959382 186.60591276079 833.673431198151</t>
  </si>
  <si>
    <t>-603.691122007124 -73.3695909045696 322.123488987791</t>
  </si>
  <si>
    <t>-655.192960173036 -105.701521762665 781.316716137825</t>
  </si>
  <si>
    <t>-500.862321862196 -119.190048585573 824.721048242075</t>
  </si>
  <si>
    <t>9763-20170724T115614.459961000.bin</t>
  </si>
  <si>
    <t>-604.153776792181 37.2822548900549 -93.7104081587355</t>
  </si>
  <si>
    <t>-624.067763487405 32.8722295577015 -202.529002194779</t>
  </si>
  <si>
    <t>-637.046443812923 30.1562186806268 -294.452922154439</t>
  </si>
  <si>
    <t>-648.191101632472 28.0265461546089 -377.575725491339</t>
  </si>
  <si>
    <t>-658.186049653838 26.2324482023032 -460.852459173895</t>
  </si>
  <si>
    <t>-671.532400240177 23.9627993756965 -582.760861617864</t>
  </si>
  <si>
    <t>-660.159120353166 22.052568194352 -660.267086208034</t>
  </si>
  <si>
    <t>-666.078912596882 56.312701888955 -529.808189635562</t>
  </si>
  <si>
    <t>-636.278939925738 207.39512442855 -504.799690813537</t>
  </si>
  <si>
    <t>-592.61471463435 224.108376880419 -226.604292774457</t>
  </si>
  <si>
    <t>-382.418159476604 125.310013571874 -228.803391852273</t>
  </si>
  <si>
    <t>-611.328888410667 130.173044566391 -97.7785383041794</t>
  </si>
  <si>
    <t>-633.324544794741 142.200648824139 317.039674969574</t>
  </si>
  <si>
    <t>-671.640358894527 183.712151085126 776.687640598763</t>
  </si>
  <si>
    <t>-521.209769587472 186.697025195465 833.657301131566</t>
  </si>
  <si>
    <t>-603.672129099955 -73.3203171527371 322.115941023721</t>
  </si>
  <si>
    <t>-655.185677042233 -105.680011102077 781.304955492868</t>
  </si>
  <si>
    <t>-500.851739169339 -119.185252140006 824.692387153135</t>
  </si>
  <si>
    <t>9763-20170724T115614.530149100.bin</t>
  </si>
  <si>
    <t>-604.344781508923 37.3157356728223 -93.7237337623794</t>
  </si>
  <si>
    <t>-624.171954238474 32.8217217338411 -202.554795975313</t>
  </si>
  <si>
    <t>-637.003696624342 30.0728823146699 -294.498321538407</t>
  </si>
  <si>
    <t>-647.985466337115 27.9240835226562 -377.642355406829</t>
  </si>
  <si>
    <t>-657.787477836603 26.124099351576 -460.941814986892</t>
  </si>
  <si>
    <t>-670.818536658355 23.8612169688836 -582.884491929163</t>
  </si>
  <si>
    <t>-659.268973112438 22.9248811820526 -660.38253071986</t>
  </si>
  <si>
    <t>-665.724077112757 56.2049618457584 -529.892244439123</t>
  </si>
  <si>
    <t>-637.136310847532 207.498249185318 -504.802184035913</t>
  </si>
  <si>
    <t>-593.272234929687 224.235568676944 -226.639648302301</t>
  </si>
  <si>
    <t>-382.725434758068 126.182537953434 -228.683099115714</t>
  </si>
  <si>
    <t>-611.993821928277 130.073856256879 -97.8024880247375</t>
  </si>
  <si>
    <t>-633.733743694253 142.172718679704 317.027103378066</t>
  </si>
  <si>
    <t>-671.677160012488 183.654026623848 776.699722871235</t>
  </si>
  <si>
    <t>-521.243714292091 186.67847849425 833.659898367993</t>
  </si>
  <si>
    <t>-603.561503579857 -73.3061326008176 322.100183098242</t>
  </si>
  <si>
    <t>-655.166142363698 -105.66830210303 781.287385695341</t>
  </si>
  <si>
    <t>-500.836523303534 -119.273678763936 824.658864169819</t>
  </si>
  <si>
    <t>9763-20170724T115614.564150200.bin</t>
  </si>
  <si>
    <t>-604.415316744466 37.3188722883704 -93.7376568429062</t>
  </si>
  <si>
    <t>-624.152157799595 32.7956445900597 -202.583808046017</t>
  </si>
  <si>
    <t>-636.86936601851 30.0238144619912 -294.542626035193</t>
  </si>
  <si>
    <t>-647.732331716573 27.8528137577687 -377.70163206039</t>
  </si>
  <si>
    <t>-657.400132798957 26.0310336161874 -461.016489863871</t>
  </si>
  <si>
    <t>-670.218161698618 23.7367567608856 -582.980994654836</t>
  </si>
  <si>
    <t>-658.502325718689 23.1687758975572 -660.457547968155</t>
  </si>
  <si>
    <t>-665.31488662947 56.0923372647196 -529.977834936371</t>
  </si>
  <si>
    <t>-637.34066084045 207.49730664344 -504.842060277511</t>
  </si>
  <si>
    <t>-593.657937896966 224.308072361967 -226.65543162058</t>
  </si>
  <si>
    <t>-382.904934999183 126.699238331649 -228.71008934411</t>
  </si>
  <si>
    <t>-612.203007926062 130.079139263762 -97.8105190718155</t>
  </si>
  <si>
    <t>-633.88220615021 142.162251171935 317.022772066353</t>
  </si>
  <si>
    <t>-671.682281118127 183.695063028049 776.70846833824</t>
  </si>
  <si>
    <t>-521.248531407098 186.622156621567 833.672938114468</t>
  </si>
  <si>
    <t>-603.540600580595 -73.3694168918598 322.090917659149</t>
  </si>
  <si>
    <t>-655.150565298823 -105.65235915835 781.281106765958</t>
  </si>
  <si>
    <t>-500.815624262205 -119.194200974459 824.653524782731</t>
  </si>
  <si>
    <t>9763-20170724T115614.627313800.bin</t>
  </si>
  <si>
    <t>-604.373832180932 37.3880440721819 -93.7291878420292</t>
  </si>
  <si>
    <t>-623.900302821908 32.8200820534744 -202.611532229166</t>
  </si>
  <si>
    <t>-636.415061584231 30.0465181171719 -294.598030593736</t>
  </si>
  <si>
    <t>-647.084864605216 27.8852651579505 -377.782351339256</t>
  </si>
  <si>
    <t>-656.549187382844 26.0878182505669 -461.120918938588</t>
  </si>
  <si>
    <t>-669.058527823812 23.8453359299306 -583.118611828437</t>
  </si>
  <si>
    <t>-657.089140631443 23.9911853456647 -660.558405542639</t>
  </si>
  <si>
    <t>-664.47205038452 56.1738222251652 -530.07060989241</t>
  </si>
  <si>
    <t>-637.397075482502 207.710680728378 -504.754517341018</t>
  </si>
  <si>
    <t>-594.202107273964 224.69501882773 -226.502178167925</t>
  </si>
  <si>
    <t>-383.032851574019 127.989461510792 -228.528675758026</t>
  </si>
  <si>
    <t>-612.396243675178 129.915473130292 -97.788347546357</t>
  </si>
  <si>
    <t>-634.082264665704 142.164305930227 317.039670209836</t>
  </si>
  <si>
    <t>-671.751719805376 183.5510131882 776.737518783964</t>
  </si>
  <si>
    <t>-521.318720845324 186.670585954357 833.693765062284</t>
  </si>
  <si>
    <t>-603.422708472768 -73.4591210464805 322.086239016965</t>
  </si>
  <si>
    <t>-655.107134489317 -105.657773409984 781.274177389602</t>
  </si>
  <si>
    <t>-500.778056887894 -119.157741160763 824.680492772832</t>
  </si>
  <si>
    <t>9763-20170724T115614.662961300.bin</t>
  </si>
  <si>
    <t>-604.336114883296 37.4328222987535 -93.7144324602892</t>
  </si>
  <si>
    <t>-623.781021714835 32.8398153686687 -202.610317244699</t>
  </si>
  <si>
    <t>-636.22165873686 30.0622466095472 -294.606760890663</t>
  </si>
  <si>
    <t>-646.82223195937 27.9029325334914 -377.79977926839</t>
  </si>
  <si>
    <t>-656.214982632141 26.1142507709915 -461.146926446543</t>
  </si>
  <si>
    <t>-668.617193366836 23.8921089459009 -583.155823596175</t>
  </si>
  <si>
    <t>-656.569010278135 24.3435965862668 -660.582128792476</t>
  </si>
  <si>
    <t>-664.145776239714 56.2097740460526 -530.091563244947</t>
  </si>
  <si>
    <t>-637.418836594208 207.793995958254 -504.652425601896</t>
  </si>
  <si>
    <t>-594.387972237133 224.861963864199 -226.379899365188</t>
  </si>
  <si>
    <t>-383.038019503259 128.548837106658 -228.254780683843</t>
  </si>
  <si>
    <t>-612.494345383144 129.912529613825 -97.7825263298686</t>
  </si>
  <si>
    <t>-634.191789396023 142.16623668388 317.044794134073</t>
  </si>
  <si>
    <t>-671.770872319621 183.541028404623 776.749313530319</t>
  </si>
  <si>
    <t>-521.338839837205 186.673681614411 833.707315064457</t>
  </si>
  <si>
    <t>-603.368343013575 -73.5262120220839 322.086649188164</t>
  </si>
  <si>
    <t>-655.086779727108 -105.652407944332 781.275259514182</t>
  </si>
  <si>
    <t>-500.800608475654 -119.550225842329 824.70855555688</t>
  </si>
  <si>
    <t>9763-20170724T115614.726124200.bin</t>
  </si>
  <si>
    <t>-604.244687158395 37.4370496807051 -93.6996475597196</t>
  </si>
  <si>
    <t>-623.612481124115 32.8207203927216 -202.60828726936</t>
  </si>
  <si>
    <t>-635.973007103156 30.0542750365676 -294.615865696942</t>
  </si>
  <si>
    <t>-646.494920534372 27.9158233397102 -377.819594990049</t>
  </si>
  <si>
    <t>-655.802659399055 26.1604164498144 -461.176756243534</t>
  </si>
  <si>
    <t>-668.073583787201 24.0006622248848 -583.19995001995</t>
  </si>
  <si>
    <t>-655.935309255318 24.9514981890345 -660.607871428417</t>
  </si>
  <si>
    <t>-663.750505280382 56.2884021003017 -530.105217396119</t>
  </si>
  <si>
    <t>-637.386912470269 207.898223168091 -504.474768686071</t>
  </si>
  <si>
    <t>-594.9160995952 224.906607964788 -226.112430315383</t>
  </si>
  <si>
    <t>-383.301663881463 129.169466572595 -227.617313247034</t>
  </si>
  <si>
    <t>-612.569617259514 129.892956729535 -97.7719041854652</t>
  </si>
  <si>
    <t>-634.310223541244 142.188437415605 317.051872710758</t>
  </si>
  <si>
    <t>-671.792706171962 183.532172795351 776.767176553068</t>
  </si>
  <si>
    <t>-521.365035511511 186.724340017543 833.733409671262</t>
  </si>
  <si>
    <t>-603.251676242945 -73.6314179243022 322.098214254224</t>
  </si>
  <si>
    <t>-655.051985899315 -105.614545283293 781.275051410153</t>
  </si>
  <si>
    <t>-500.73574063239 -119.150151151946 824.71587646745</t>
  </si>
  <si>
    <t>9763-20170724T115614.767317300.bin</t>
  </si>
  <si>
    <t>-604.160581427315 37.4840985157655 -93.6947546729887</t>
  </si>
  <si>
    <t>-623.495388077748 32.8610307531833 -202.608842152433</t>
  </si>
  <si>
    <t>-635.839464462978 30.1101374563134 -294.619207747027</t>
  </si>
  <si>
    <t>-646.350928605903 27.99413731402 -377.824705524228</t>
  </si>
  <si>
    <t>-655.652658108794 26.2700201028226 -461.183207153241</t>
  </si>
  <si>
    <t>-667.919600827457 24.1660845365989 -583.208024896767</t>
  </si>
  <si>
    <t>-655.763940399369 25.2990476010502 -660.610492356018</t>
  </si>
  <si>
    <t>-663.628037943723 56.4286001703219 -530.095325165476</t>
  </si>
  <si>
    <t>-637.405007355659 208.044045269141 -504.364067767202</t>
  </si>
  <si>
    <t>-595.10642299935 224.975319099841 -225.97085879873</t>
  </si>
  <si>
    <t>-383.422291180666 129.390075021753 -227.320606103596</t>
  </si>
  <si>
    <t>-612.482844655047 129.936226138542 -97.7688449391575</t>
  </si>
  <si>
    <t>-634.288775193203 142.214843079951 317.052066986903</t>
  </si>
  <si>
    <t>-671.798509331102 183.542128855311 776.766212285433</t>
  </si>
  <si>
    <t>-521.37492142333 186.59822242207 833.750722479572</t>
  </si>
  <si>
    <t>-603.193836236025 -73.6589323894314 322.101691025623</t>
  </si>
  <si>
    <t>-655.035704154643 -105.582866824037 781.273174602032</t>
  </si>
  <si>
    <t>-500.692833718698 -118.818231203701 824.711875538166</t>
  </si>
  <si>
    <t>9763-20170724T115614.826474400.bin</t>
  </si>
  <si>
    <t>-603.883085172337 37.5506342287213 -93.6564698126401</t>
  </si>
  <si>
    <t>-623.214253942221 32.9197291706034 -202.570981807613</t>
  </si>
  <si>
    <t>-635.588297048312 30.2157200702222 -294.578634670706</t>
  </si>
  <si>
    <t>-646.139828377769 28.1638740369269 -377.780633109647</t>
  </si>
  <si>
    <t>-655.494535413498 26.5259526690131 -461.134989281301</t>
  </si>
  <si>
    <t>-667.852745833387 24.5729607231849 -583.152971902327</t>
  </si>
  <si>
    <t>-655.68879249896 25.9863769482813 -660.549746594714</t>
  </si>
  <si>
    <t>-663.534263755426 56.7693817791996 -530.002334026505</t>
  </si>
  <si>
    <t>-637.370420181055 208.356643801392 -504.045339861221</t>
  </si>
  <si>
    <t>-595.402328957803 224.939896345262 -225.581259314612</t>
  </si>
  <si>
    <t>-383.486523232984 129.862284778583 -226.266791094192</t>
  </si>
  <si>
    <t>-612.210280502791 129.977697696169 -97.7424827081435</t>
  </si>
  <si>
    <t>-634.117285477168 142.231726372787 317.073764219473</t>
  </si>
  <si>
    <t>-671.840101346594 183.478707228796 776.77573529463</t>
  </si>
  <si>
    <t>-521.421762490091 186.692774197207 833.765266377605</t>
  </si>
  <si>
    <t>-603.042341106576 -73.6432939385372 322.130348547031</t>
  </si>
  <si>
    <t>-655.006805869981 -105.59302096568 781.281309024991</t>
  </si>
  <si>
    <t>-500.705914235961 -119.242252415217 824.741018706872</t>
  </si>
  <si>
    <t>9763-20170724T115614.858571400.bin</t>
  </si>
  <si>
    <t>-603.718073602364 37.6046242711891 -93.6370404302519</t>
  </si>
  <si>
    <t>-623.083884531183 32.9801989640769 -202.545612881014</t>
  </si>
  <si>
    <t>-635.491356198974 30.2949745858402 -294.549379533697</t>
  </si>
  <si>
    <t>-646.074725581025 28.2658829920285 -377.748010791589</t>
  </si>
  <si>
    <t>-655.462848196877 26.6565269235032 -461.099086515377</t>
  </si>
  <si>
    <t>-667.871615903052 24.7514629601803 -583.112562770218</t>
  </si>
  <si>
    <t>-655.698934289607 26.2711708338466 -660.50600602474</t>
  </si>
  <si>
    <t>-663.521752189812 56.9272492963144 -529.952132308959</t>
  </si>
  <si>
    <t>-637.331731955725 208.504780960842 -503.939245404949</t>
  </si>
  <si>
    <t>-595.388836149205 224.891872193103 -225.45972124513</t>
  </si>
  <si>
    <t>-383.38945451037 129.999391714483 -225.927268594115</t>
  </si>
  <si>
    <t>-612.010027914394 130.0879061945 -97.7262680565348</t>
  </si>
  <si>
    <t>-633.974091916597 142.293131306279 317.088337901753</t>
  </si>
  <si>
    <t>-671.833113224211 183.567455353476 776.776142377859</t>
  </si>
  <si>
    <t>-521.412413643781 186.54775589976 833.772101448113</t>
  </si>
  <si>
    <t>-602.933934977793 -73.5985802704149 322.14611762491</t>
  </si>
  <si>
    <t>-654.997454303981 -105.602115950139 781.282212281293</t>
  </si>
  <si>
    <t>-500.708902698743 -119.398955785085 824.739251909465</t>
  </si>
  <si>
    <t>9763-20170724T115614.929759500.bin</t>
  </si>
  <si>
    <t>-603.422489482615 37.6647861850095 -93.6212857054088</t>
  </si>
  <si>
    <t>-622.903463961096 33.0574580658943 -202.509940251753</t>
  </si>
  <si>
    <t>-635.40715565691 30.4023189693894 -294.501549055932</t>
  </si>
  <si>
    <t>-646.077092941513 28.4084162451265 -377.690072679398</t>
  </si>
  <si>
    <t>-655.551366452227 26.8413483609013 -461.032083918084</t>
  </si>
  <si>
    <t>-668.085701346861 25.0058223637559 -583.034073075908</t>
  </si>
  <si>
    <t>-655.866250253994 26.710529250646 -660.416072718923</t>
  </si>
  <si>
    <t>-663.639165829415 57.1526616091726 -529.863851426477</t>
  </si>
  <si>
    <t>-637.137126962961 208.65861214581 -503.77825839689</t>
  </si>
  <si>
    <t>-595.205343872607 225.066572575454 -225.29824448857</t>
  </si>
  <si>
    <t>-383.221106701985 130.14104330382 -225.903742379576</t>
  </si>
  <si>
    <t>-611.591128545035 130.211218267556 -97.7155697291662</t>
  </si>
  <si>
    <t>-633.665300065452 142.283957097254 317.097198716332</t>
  </si>
  <si>
    <t>-671.857415064546 183.523723205798 776.766146479543</t>
  </si>
  <si>
    <t>-521.446616362932 186.550943414275 833.785980965471</t>
  </si>
  <si>
    <t>-602.76052353726 -73.4502972921439 322.172603908058</t>
  </si>
  <si>
    <t>-654.986208265441 -105.552437766673 781.27916329789</t>
  </si>
  <si>
    <t>-500.681264531748 -119.252559776168 824.708638091061</t>
  </si>
  <si>
    <t>9763-20170724T115614.959410700.bin</t>
  </si>
  <si>
    <t>-603.302287463455 37.6667626458095 -93.6211966804044</t>
  </si>
  <si>
    <t>-622.841903764439 33.0747806216016 -202.500173902285</t>
  </si>
  <si>
    <t>-635.39394176047 30.4258560995861 -294.485235650899</t>
  </si>
  <si>
    <t>-646.107260722792 28.4357780408091 -377.668182620176</t>
  </si>
  <si>
    <t>-655.624728240909 26.870286593803 -461.00542414624</t>
  </si>
  <si>
    <t>-668.221948055284 25.0348242719581 -583.000818981893</t>
  </si>
  <si>
    <t>-655.959763396254 26.809983045843 -660.374546698578</t>
  </si>
  <si>
    <t>-663.727450882695 57.1822511096339 -529.835219923763</t>
  </si>
  <si>
    <t>-637.127026553145 208.680064529341 -503.79343022582</t>
  </si>
  <si>
    <t>-594.940451105204 225.146629609865 -225.355394982699</t>
  </si>
  <si>
    <t>-382.99369223196 130.137909971645 -226.027317870579</t>
  </si>
  <si>
    <t>-611.395838922532 130.225677534273 -97.7081459665358</t>
  </si>
  <si>
    <t>-633.531317443029 142.24042422042 317.102987714303</t>
  </si>
  <si>
    <t>-671.876481785588 183.477575243755 776.764067676067</t>
  </si>
  <si>
    <t>-521.470838640456 186.724887892321 833.785343423197</t>
  </si>
  <si>
    <t>-602.703618064836 -73.415003132505 322.176290573591</t>
  </si>
  <si>
    <t>-654.982229066219 -105.553257722507 781.274691567953</t>
  </si>
  <si>
    <t>-500.662795504292 -119.13887678724 824.688539756824</t>
  </si>
  <si>
    <t>9763-20170724T115615.025586700.bin</t>
  </si>
  <si>
    <t>-603.151235343296 37.7769751274684 -93.6048512948407</t>
  </si>
  <si>
    <t>-622.794398855106 33.2041970921673 -202.465895212107</t>
  </si>
  <si>
    <t>-635.454909038337 30.5632066919077 -294.436364058847</t>
  </si>
  <si>
    <t>-646.274893285829 28.5783309755086 -377.605692024395</t>
  </si>
  <si>
    <t>-655.9078042128 27.0155254484175 -460.929679472873</t>
  </si>
  <si>
    <t>-668.683491764746 25.1812805355473 -582.906527626175</t>
  </si>
  <si>
    <t>-656.418885756658 27.0928696078815 -660.27670618919</t>
  </si>
  <si>
    <t>-664.075343778715 57.3293384766887 -529.750902092472</t>
  </si>
  <si>
    <t>-637.272791540344 208.786659011133 -503.696859550003</t>
  </si>
  <si>
    <t>-594.054385343574 225.034146625042 -225.404258973936</t>
  </si>
  <si>
    <t>-382.207591461399 129.80755885295 -226.569412577792</t>
  </si>
  <si>
    <t>-611.152157443401 130.372334213349 -97.6888404562908</t>
  </si>
  <si>
    <t>-633.367207877684 142.2965304574 317.120686417768</t>
  </si>
  <si>
    <t>-671.892672991152 183.490242407592 776.760246407322</t>
  </si>
  <si>
    <t>-521.490611816904 186.553245747087 833.801178814789</t>
  </si>
  <si>
    <t>-602.61087000693 -73.2631832512775 322.191336077149</t>
  </si>
  <si>
    <t>-654.980422179892 -105.518440106159 781.269563206087</t>
  </si>
  <si>
    <t>-500.643270551153 -119.023625480968 824.645564181056</t>
  </si>
  <si>
    <t>9763-20170724T115615.090763400.bin</t>
  </si>
  <si>
    <t>-603.041742858868 37.9707417405409 -93.5927588880098</t>
  </si>
  <si>
    <t>-622.79724390144 33.3761957675883 -202.432607231479</t>
  </si>
  <si>
    <t>-635.582202373581 30.7681626419403 -294.386703084728</t>
  </si>
  <si>
    <t>-646.526136699484 28.8334940819973 -377.541074022422</t>
  </si>
  <si>
    <t>-656.294306594139 27.3414073615411 -460.850576560526</t>
  </si>
  <si>
    <t>-669.279937738277 25.6328494212801 -582.807029147743</t>
  </si>
  <si>
    <t>-657.10288396212 27.6475617762494 -660.188395276851</t>
  </si>
  <si>
    <t>-664.566140760091 57.7264808383352 -529.627986355576</t>
  </si>
  <si>
    <t>-637.660383498975 209.14574588241 -503.429881461989</t>
  </si>
  <si>
    <t>-592.813200814824 224.822072676725 -225.36242318476</t>
  </si>
  <si>
    <t>-381.016663592318 129.493593019971 -227.160508034635</t>
  </si>
  <si>
    <t>-611.099916320093 130.459954084836 -97.6811365841876</t>
  </si>
  <si>
    <t>-633.308595537678 142.361164465938 317.129339705174</t>
  </si>
  <si>
    <t>-671.923716104564 183.443828872017 776.773445219037</t>
  </si>
  <si>
    <t>-521.524071920872 186.495434518528 833.821332380304</t>
  </si>
  <si>
    <t>-602.433153043867 -72.9108994775183 322.221305577079</t>
  </si>
  <si>
    <t>-654.996473060178 -105.484128516473 781.252150534502</t>
  </si>
  <si>
    <t>-500.638265492524 -118.960248840763 824.562236568672</t>
  </si>
  <si>
    <t>9763-20170724T115615.124853800.bin</t>
  </si>
  <si>
    <t>-602.999915185592 38.0669126236212 -93.5593029404155</t>
  </si>
  <si>
    <t>-622.826447143178 33.4605572052642 -202.385629051131</t>
  </si>
  <si>
    <t>-635.659372988799 30.882534051635 -294.334138531061</t>
  </si>
  <si>
    <t>-646.641531261952 28.9903655967164 -377.484179372375</t>
  </si>
  <si>
    <t>-656.442595200507 27.55646714881 -460.791020667325</t>
  </si>
  <si>
    <t>-669.47024574363 25.9501926345247 -582.74434779722</t>
  </si>
  <si>
    <t>-657.352055824884 28.01523693077 -660.133560653272</t>
  </si>
  <si>
    <t>-664.744616657446 57.9990840680016 -529.53933474666</t>
  </si>
  <si>
    <t>-637.783888098872 209.370039789316 -503.165175212327</t>
  </si>
  <si>
    <t>-592.14528123967 224.696236473231 -225.206993503826</t>
  </si>
  <si>
    <t>-380.324625776776 129.428436538072 -227.348410045179</t>
  </si>
  <si>
    <t>-611.11975608986 130.480229369431 -97.6508817327878</t>
  </si>
  <si>
    <t>-633.286342949437 142.372290070417 317.16207363451</t>
  </si>
  <si>
    <t>-671.951573497829 183.377124623603 776.797802905798</t>
  </si>
  <si>
    <t>-521.550092151844 186.528559468425 833.835397863217</t>
  </si>
  <si>
    <t>-602.305808155417 -72.7117152060614 322.255062162356</t>
  </si>
  <si>
    <t>-655.014024564983 -105.514514018507 781.243799838867</t>
  </si>
  <si>
    <t>-500.684423140265 -119.416682615834 824.521083368047</t>
  </si>
  <si>
    <t>9763-20170724T115615.159470500.bin</t>
  </si>
  <si>
    <t>-602.903648955238 38.1698587101321 -93.5282811520202</t>
  </si>
  <si>
    <t>-622.802717118767 33.5525211374502 -202.341052627387</t>
  </si>
  <si>
    <t>-635.651308219225 30.9957350528844 -294.287822631964</t>
  </si>
  <si>
    <t>-646.628891860948 29.134640557887 -377.43927063076</t>
  </si>
  <si>
    <t>-656.406605648845 27.7435284099458 -460.749438519673</t>
  </si>
  <si>
    <t>-669.379281878955 26.2123529708936 -582.709696632447</t>
  </si>
  <si>
    <t>-657.298857393953 28.3239054595092 -660.10361248457</t>
  </si>
  <si>
    <t>-664.686593467934 58.2282097624429 -529.481710945284</t>
  </si>
  <si>
    <t>-637.748573806056 209.585510065951 -502.960295880889</t>
  </si>
  <si>
    <t>-591.388678223057 224.547852374858 -225.101396306734</t>
  </si>
  <si>
    <t>-379.506334523668 129.423572731504 -227.503341932273</t>
  </si>
  <si>
    <t>-611.101035517432 130.488294974096 -97.6152616992273</t>
  </si>
  <si>
    <t>-633.253021973433 142.345293643166 317.199505609223</t>
  </si>
  <si>
    <t>-671.977067669119 183.316738584248 776.826161933261</t>
  </si>
  <si>
    <t>-521.573438314149 186.669931464038 833.846662449702</t>
  </si>
  <si>
    <t>-602.179643027938 -72.4969302573813 322.280659530298</t>
  </si>
  <si>
    <t>-655.034693419429 -105.475978854108 781.231767940704</t>
  </si>
  <si>
    <t>-500.644254286617 -118.884264400943 824.447859674311</t>
  </si>
  <si>
    <t>9763-20170724T115615.226649000.bin</t>
  </si>
  <si>
    <t>-602.646711988617 38.2533880637659 -93.4650121573377</t>
  </si>
  <si>
    <t>-622.667479381208 33.6224527269303 -202.25487203486</t>
  </si>
  <si>
    <t>-635.586031831593 31.1044391180806 -294.192935249789</t>
  </si>
  <si>
    <t>-646.613154063332 29.2973709848852 -377.338961722628</t>
  </si>
  <si>
    <t>-656.426412784303 27.9791216723513 -460.646123072398</t>
  </si>
  <si>
    <t>-669.435369831191 26.5751231960228 -582.604063954259</t>
  </si>
  <si>
    <t>-657.481637567506 28.8442463741821 -660.013283064949</t>
  </si>
  <si>
    <t>-664.731075293414 58.5353178701605 -529.343846602197</t>
  </si>
  <si>
    <t>-637.71457571074 209.861627288275 -502.685008562484</t>
  </si>
  <si>
    <t>-590.331683679832 224.18111978794 -224.965166086161</t>
  </si>
  <si>
    <t>-378.403037508104 129.164239949699 -227.529698282873</t>
  </si>
  <si>
    <t>-611.038521200377 130.480041623992 -97.5454631910055</t>
  </si>
  <si>
    <t>-633.189152232557 142.310564263724 317.270147456159</t>
  </si>
  <si>
    <t>-671.982016080081 183.350385873593 776.872957909744</t>
  </si>
  <si>
    <t>-521.569419068473 186.47605169394 833.882665143297</t>
  </si>
  <si>
    <t>-601.853677048705 -72.2106927298914 322.328381789047</t>
  </si>
  <si>
    <t>-655.063525218924 -105.456998284145 781.2070052651</t>
  </si>
  <si>
    <t>-500.625859277341 -118.57058505115 824.344716177808</t>
  </si>
  <si>
    <t>9763-20170724T115615.262252800.bin</t>
  </si>
  <si>
    <t>-602.41744041907 38.1670858445 -93.4338346648087</t>
  </si>
  <si>
    <t>-622.532861930034 33.5416292278296 -202.206408916697</t>
  </si>
  <si>
    <t>-635.524042608347 31.0390197263462 -294.134612956612</t>
  </si>
  <si>
    <t>-646.613665445357 29.2500282957174 -377.272787737674</t>
  </si>
  <si>
    <t>-656.486341606723 27.9539943037892 -460.57340579231</t>
  </si>
  <si>
    <t>-669.578692615477 26.5867432560221 -582.522731985708</t>
  </si>
  <si>
    <t>-657.677060713366 28.9312719625646 -659.937713910385</t>
  </si>
  <si>
    <t>-664.835529452293 58.5308474806131 -529.256271307987</t>
  </si>
  <si>
    <t>-637.748767571064 209.827353122844 -502.53599317201</t>
  </si>
  <si>
    <t>-589.91665049605 223.923270434794 -224.88161565222</t>
  </si>
  <si>
    <t>-378.072975393671 128.718870278078 -227.510076942703</t>
  </si>
  <si>
    <t>-610.868732803671 130.366903509397 -97.4979899770102</t>
  </si>
  <si>
    <t>-633.131224953747 142.180575323337 317.312105157294</t>
  </si>
  <si>
    <t>-671.977024985332 183.37606421674 776.899403041985</t>
  </si>
  <si>
    <t>-521.564178750251 186.392322518446 833.914332522953</t>
  </si>
  <si>
    <t>-601.658778909182 -72.1468840016503 322.345427534443</t>
  </si>
  <si>
    <t>-655.081524631141 -105.439773728293 781.194377061755</t>
  </si>
  <si>
    <t>-500.650574628057 -118.744995046065 824.297521081008</t>
  </si>
  <si>
    <t>9763-20170724T115615.322411400.bin</t>
  </si>
  <si>
    <t>-601.800099345835 37.9795725463489 -93.3756870656064</t>
  </si>
  <si>
    <t>-622.114490215171 33.3859115394287 -202.112761557941</t>
  </si>
  <si>
    <t>-635.267511894656 30.9460612344567 -294.019492838105</t>
  </si>
  <si>
    <t>-646.500953136044 29.2278793280627 -377.13995348767</t>
  </si>
  <si>
    <t>-656.515055480393 28.0175416004931 -460.424892774175</t>
  </si>
  <si>
    <t>-669.811457774385 26.7919445028222 -582.353685995471</t>
  </si>
  <si>
    <t>-658.01750438175 29.2889414334186 -659.780356843077</t>
  </si>
  <si>
    <t>-665.011024354119 58.6732905902822 -529.054705504991</t>
  </si>
  <si>
    <t>-637.996807917131 209.949983519524 -502.160843881561</t>
  </si>
  <si>
    <t>-589.208403470366 223.538034969023 -224.647587365448</t>
  </si>
  <si>
    <t>-377.375670129707 128.324244745808 -227.771492596702</t>
  </si>
  <si>
    <t>-610.302895667867 130.122673098596 -97.405807370196</t>
  </si>
  <si>
    <t>-632.723384720035 141.832632720682 317.398778302009</t>
  </si>
  <si>
    <t>-671.983461489897 183.249610304175 776.943676201807</t>
  </si>
  <si>
    <t>-521.590316077107 186.485602692545 833.998501189649</t>
  </si>
  <si>
    <t>-601.175122254481 -72.0946450733891 322.385165974477</t>
  </si>
  <si>
    <t>-655.126403936756 -105.383262759059 781.167914933216</t>
  </si>
  <si>
    <t>-500.611009169342 -118.01174511801 824.171814710488</t>
  </si>
  <si>
    <t>9763-20170724T115615.390373800.bin</t>
  </si>
  <si>
    <t>-600.937018259025 37.8856874379183 -93.2859539492011</t>
  </si>
  <si>
    <t>-621.493244479446 33.3100521196006 -201.978180542571</t>
  </si>
  <si>
    <t>-634.810926147306 30.9432193729622 -293.863346627506</t>
  </si>
  <si>
    <t>-646.177009628392 29.3141517958056 -376.967419253753</t>
  </si>
  <si>
    <t>-656.307597821024 28.2162989445001 -460.239793573373</t>
  </si>
  <si>
    <t>-669.75636354907 27.1812204940875 -582.153618623509</t>
  </si>
  <si>
    <t>-658.083891347235 29.8137945745525 -659.594260455922</t>
  </si>
  <si>
    <t>-664.923430504107 58.97808847491 -528.807282613163</t>
  </si>
  <si>
    <t>-638.082995100041 210.23813831133 -501.657937153367</t>
  </si>
  <si>
    <t>-588.458553812334 223.317729236771 -224.268511888436</t>
  </si>
  <si>
    <t>-376.483609447358 128.436997014862 -227.847446257391</t>
  </si>
  <si>
    <t>-609.485394590002 130.043549670616 -97.2745832486512</t>
  </si>
  <si>
    <t>-632.062950083505 141.680942492386 317.52351684942</t>
  </si>
  <si>
    <t>-671.95022359236 183.266325536215 776.996019168017</t>
  </si>
  <si>
    <t>-521.578866033967 186.382863991906 834.114924921849</t>
  </si>
  <si>
    <t>-600.552690693618 -72.0901102238029 322.435637213966</t>
  </si>
  <si>
    <t>-655.151509535857 -105.422568327125 781.146544936774</t>
  </si>
  <si>
    <t>-500.65456090187 -118.439932578202 824.100771236776</t>
  </si>
  <si>
    <t>9763-20170724T115615.423462300.bin</t>
  </si>
  <si>
    <t>-600.512648236377 37.8228265636978 -93.243350036466</t>
  </si>
  <si>
    <t>-621.160015584338 33.2565795469948 -201.918875741788</t>
  </si>
  <si>
    <t>-634.54065757847 30.9356036075226 -293.795874795499</t>
  </si>
  <si>
    <t>-645.957747299006 29.3633040290629 -376.894052817249</t>
  </si>
  <si>
    <t>-656.133452787404 28.3376231032448 -460.161969618591</t>
  </si>
  <si>
    <t>-669.641554008227 27.4250481837912 -582.070236319518</t>
  </si>
  <si>
    <t>-658.036895532068 30.1340402470046 -659.518315879149</t>
  </si>
  <si>
    <t>-664.79575059284 59.16788167401 -528.692730003311</t>
  </si>
  <si>
    <t>-637.976065357662 210.397358405159 -501.353265414888</t>
  </si>
  <si>
    <t>-588.045137483038 223.25088589594 -224.00825099572</t>
  </si>
  <si>
    <t>-376.034640387798 128.45563607867 -227.742507840882</t>
  </si>
  <si>
    <t>-609.093323388925 129.974703159666 -97.2093840002379</t>
  </si>
  <si>
    <t>-631.743990836245 141.54724978193 317.586439338538</t>
  </si>
  <si>
    <t>-671.945708569186 183.215742018361 777.02257102878</t>
  </si>
  <si>
    <t>-521.587233706509 186.402704277813 834.171455566962</t>
  </si>
  <si>
    <t>-600.254459880245 -72.0761149424948 322.471914380936</t>
  </si>
  <si>
    <t>-655.165042222083 -105.40593389659 781.136539409938</t>
  </si>
  <si>
    <t>-500.670735040607 -118.522439950573 824.070010404426</t>
  </si>
  <si>
    <t>9763-20170724T115615.461141600.bin</t>
  </si>
  <si>
    <t>-600.094826977005 37.6867799884405 -93.1929881548886</t>
  </si>
  <si>
    <t>-620.803098014561 33.131255579709 -201.857178457087</t>
  </si>
  <si>
    <t>-634.224739776573 30.858321853191 -293.729519171967</t>
  </si>
  <si>
    <t>-645.674594395303 29.344579457857 -376.824316382201</t>
  </si>
  <si>
    <t>-655.878479217306 28.3935168842481 -460.089771235049</t>
  </si>
  <si>
    <t>-669.422756601784 27.607099736078 -581.994844213079</t>
  </si>
  <si>
    <t>-657.880192122166 30.4034765722249 -659.448996367585</t>
  </si>
  <si>
    <t>-664.574020150227 59.2941749807592 -528.584556463682</t>
  </si>
  <si>
    <t>-637.748189062592 210.490927647578 -501.064412731728</t>
  </si>
  <si>
    <t>-587.628108393509 223.151770684032 -223.744518347601</t>
  </si>
  <si>
    <t>-375.605709999931 128.3872517503 -227.581840348802</t>
  </si>
  <si>
    <t>-608.681840425779 129.809058632478 -97.141094910516</t>
  </si>
  <si>
    <t>-631.505361000528 141.380959761757 317.645328186108</t>
  </si>
  <si>
    <t>-671.949251426676 183.135508458238 777.050937724955</t>
  </si>
  <si>
    <t>-521.606650538056 186.541464199553 834.228901733438</t>
  </si>
  <si>
    <t>-600.010961833139 -72.1843607386941 322.501786463447</t>
  </si>
  <si>
    <t>-655.170632089114 -105.414593976513 781.133028711982</t>
  </si>
  <si>
    <t>-500.681745435763 -118.604478872171 824.063612296949</t>
  </si>
  <si>
    <t>9763-20170724T115615.528312300.bin</t>
  </si>
  <si>
    <t>-599.27217842591 37.4720193400103 -93.1211894485155</t>
  </si>
  <si>
    <t>-620.051068554024 32.9347141641083 -201.772727155543</t>
  </si>
  <si>
    <t>-633.514751860679 30.7359683205705 -293.640767040479</t>
  </si>
  <si>
    <t>-644.995148758323 29.3130876673774 -376.732805366229</t>
  </si>
  <si>
    <t>-655.222238126783 28.476916820518 -459.996588720381</t>
  </si>
  <si>
    <t>-668.792001722317 27.8856568302067 -581.899915030341</t>
  </si>
  <si>
    <t>-657.37072013009 30.8376001544086 -659.366456002992</t>
  </si>
  <si>
    <t>-663.969539131657 59.4858240147655 -528.435882408784</t>
  </si>
  <si>
    <t>-637.283583532427 210.647897167742 -500.605529029228</t>
  </si>
  <si>
    <t>-586.731707495476 222.586051689967 -223.332074869467</t>
  </si>
  <si>
    <t>-374.622676447348 128.01809362827 -227.230737862237</t>
  </si>
  <si>
    <t>-607.837528465428 129.643363778016 -97.0454707570373</t>
  </si>
  <si>
    <t>-630.942437192869 141.179988933763 317.726354403239</t>
  </si>
  <si>
    <t>-671.916749254321 183.131434725158 777.085104913748</t>
  </si>
  <si>
    <t>-521.600545845722 186.512239264974 834.333966028544</t>
  </si>
  <si>
    <t>-599.622574630736 -72.5051197524754 322.542230165266</t>
  </si>
  <si>
    <t>-655.156863508317 -105.443560267524 781.141960142272</t>
  </si>
  <si>
    <t>-500.675017340808 -118.638054674528 824.096345777465</t>
  </si>
  <si>
    <t>9763-20170724T115615.589010100.bin</t>
  </si>
  <si>
    <t>-598.690651748169 37.1803175562093 -93.048922626968</t>
  </si>
  <si>
    <t>-619.49549283622 32.6791885106607 -201.696954519248</t>
  </si>
  <si>
    <t>-632.946883049026 30.5721880257809 -293.56888547346</t>
  </si>
  <si>
    <t>-644.402222598239 29.2567201993793 -376.666254266411</t>
  </si>
  <si>
    <t>-654.589978262782 28.553017332428 -459.935989865902</t>
  </si>
  <si>
    <t>-668.086479912555 28.1827939280151 -581.848493931866</t>
  </si>
  <si>
    <t>-656.748783664482 31.3166197315011 -659.320097631526</t>
  </si>
  <si>
    <t>-663.315367645595 59.6852854039798 -528.322124291668</t>
  </si>
  <si>
    <t>-636.739309324156 210.814866357837 -500.193902841263</t>
  </si>
  <si>
    <t>-586.13817675399 222.238213799014 -222.907769533284</t>
  </si>
  <si>
    <t>-373.913540822479 127.929694538677 -226.798478346549</t>
  </si>
  <si>
    <t>-607.224858133991 129.355549895105 -96.9450025154252</t>
  </si>
  <si>
    <t>-630.580987962747 140.89665801263 317.812643616872</t>
  </si>
  <si>
    <t>-671.902890880353 183.077301577012 777.114494386929</t>
  </si>
  <si>
    <t>-521.613294316544 186.682351926093 834.41949291229</t>
  </si>
  <si>
    <t>-599.41149381128 -72.8813886832666 322.558029775524</t>
  </si>
  <si>
    <t>-655.126566952543 -105.44412090098 781.159540182261</t>
  </si>
  <si>
    <t>-500.648894383015 -118.548797253025 824.156658391262</t>
  </si>
  <si>
    <t>9763-20170724T115615.627107500.bin</t>
  </si>
  <si>
    <t>-598.545928504603 37.025240771753 -93.0322943095944</t>
  </si>
  <si>
    <t>-619.33429771792 32.5396211604466 -201.684151646718</t>
  </si>
  <si>
    <t>-632.751456079324 30.4623124251161 -293.561669022486</t>
  </si>
  <si>
    <t>-644.167630682006 29.1806659779834 -376.665141787246</t>
  </si>
  <si>
    <t>-654.307882722608 28.5174940538211 -459.940947803202</t>
  </si>
  <si>
    <t>-667.72578720291 28.2139350923787 -581.862224196795</t>
  </si>
  <si>
    <t>-656.391578014987 31.4294985149515 -659.330936380271</t>
  </si>
  <si>
    <t>-662.987823788631 59.6873045979939 -528.315658148194</t>
  </si>
  <si>
    <t>-636.400523861971 210.797447975155 -500.090587515341</t>
  </si>
  <si>
    <t>-585.967971891139 222.095031175326 -222.76849136494</t>
  </si>
  <si>
    <t>-373.708028952656 127.856702126817 -226.428170471012</t>
  </si>
  <si>
    <t>-607.034454580042 129.237700916823 -96.9167061796879</t>
  </si>
  <si>
    <t>-630.482579750062 140.803074235831 317.835070540142</t>
  </si>
  <si>
    <t>-671.895062366178 183.088585703586 777.12824820075</t>
  </si>
  <si>
    <t>-521.610770913711 186.55259755187 834.455851421927</t>
  </si>
  <si>
    <t>-599.392188074391 -73.1099819271792 322.564035280872</t>
  </si>
  <si>
    <t>-655.111180729964 -105.498398494236 781.172079885496</t>
  </si>
  <si>
    <t>-500.660184446537 -118.805172656549 824.202799006338</t>
  </si>
  <si>
    <t>9763-20170724T115615.663205300.bin</t>
  </si>
  <si>
    <t>-598.464904856769 36.8626759468045 -93.0244369469797</t>
  </si>
  <si>
    <t>-619.201877655278 32.3875144211829 -201.686531644763</t>
  </si>
  <si>
    <t>-632.56818727513 30.3321073922525 -293.572102984971</t>
  </si>
  <si>
    <t>-643.935407430483 29.0756377197549 -376.682421662885</t>
  </si>
  <si>
    <t>-654.023498087696 28.4431950067265 -459.96495465403</t>
  </si>
  <si>
    <t>-667.361652155095 28.1904194236088 -581.895144705259</t>
  </si>
  <si>
    <t>-656.035769082036 31.4904040459428 -659.361472701908</t>
  </si>
  <si>
    <t>-662.650390163412 59.6416353292107 -528.333298353604</t>
  </si>
  <si>
    <t>-636.027673002849 210.733846136788 -500.052335455341</t>
  </si>
  <si>
    <t>-585.819963676811 221.978408880693 -222.687366399716</t>
  </si>
  <si>
    <t>-373.568453720891 127.711954196241 -226.102801540251</t>
  </si>
  <si>
    <t>-606.883694175792 129.112904725259 -96.9045712853258</t>
  </si>
  <si>
    <t>-630.414925583019 140.705537878205 317.841746486667</t>
  </si>
  <si>
    <t>-671.899544940552 183.050610330691 777.129721348048</t>
  </si>
  <si>
    <t>-521.623309284913 186.589269328699 834.47391238664</t>
  </si>
  <si>
    <t>-599.387789365666 -73.3860851324964 322.567750609984</t>
  </si>
  <si>
    <t>-655.089806662387 -105.525499865005 781.185656007677</t>
  </si>
  <si>
    <t>-500.639486815437 -118.722193155182 824.252587965545</t>
  </si>
  <si>
    <t>9763-20170724T115615.722361700.bin</t>
  </si>
  <si>
    <t>-598.431092588332 36.5670978638436 -93.0345917221338</t>
  </si>
  <si>
    <t>-619.082855119219 32.1026340382332 -201.713426050302</t>
  </si>
  <si>
    <t>-632.326378102673 30.0703465782919 -293.617170005798</t>
  </si>
  <si>
    <t>-643.562278592122 28.8414770260401 -376.745824482014</t>
  </si>
  <si>
    <t>-653.49854384501 28.2426772932363 -460.046824225352</t>
  </si>
  <si>
    <t>-666.592169346828 28.0462131036861 -582.003550033439</t>
  </si>
  <si>
    <t>-655.251676665219 31.487599963893 -659.461622350575</t>
  </si>
  <si>
    <t>-661.980581088535 59.4730023767104 -528.418808628137</t>
  </si>
  <si>
    <t>-635.332359538382 210.540747992852 -500.049924870413</t>
  </si>
  <si>
    <t>-585.672986890939 221.642173357743 -222.580439897072</t>
  </si>
  <si>
    <t>-373.448942753136 127.297454838774 -225.505257534616</t>
  </si>
  <si>
    <t>-606.695736149923 128.935201568342 -96.9191411755539</t>
  </si>
  <si>
    <t>-630.327862821605 140.618311908257 317.818841067747</t>
  </si>
  <si>
    <t>-671.904649751273 183.07657510882 777.111633596791</t>
  </si>
  <si>
    <t>-521.633525779919 186.50677337315 834.475767832726</t>
  </si>
  <si>
    <t>-599.508045665745 -73.8351231422689 322.553713374156</t>
  </si>
  <si>
    <t>-655.043101771232 -105.534070203381 781.222010130998</t>
  </si>
  <si>
    <t>-500.617394892016 -118.768847180885 824.36562888416</t>
  </si>
  <si>
    <t>9763-20170724T115615.790108700.bin</t>
  </si>
  <si>
    <t>-598.675911695941 36.4718523714059 -93.0535852767766</t>
  </si>
  <si>
    <t>-619.197777752311 32.0062879903505 -201.756908262106</t>
  </si>
  <si>
    <t>-632.248198490803 29.9617926374835 -293.687994645075</t>
  </si>
  <si>
    <t>-643.276059940801 28.717438838816 -376.844433494358</t>
  </si>
  <si>
    <t>-652.970575032342 28.0980278619143 -460.173781674931</t>
  </si>
  <si>
    <t>-665.67366489209 27.8657715287925 -582.171626029689</t>
  </si>
  <si>
    <t>-654.242017987412 31.3880751677596 -659.612744068477</t>
  </si>
  <si>
    <t>-661.220751954465 59.3088244796943 -528.582958959368</t>
  </si>
  <si>
    <t>-634.610535994546 210.399068889248 -500.266811784932</t>
  </si>
  <si>
    <t>-585.626915041398 221.240613210489 -222.667059372228</t>
  </si>
  <si>
    <t>-373.475228975999 126.717232936058 -225.014767643253</t>
  </si>
  <si>
    <t>-606.882424873756 128.819655068717 -96.951827382793</t>
  </si>
  <si>
    <t>-630.47135838384 140.583372636841 317.786404309568</t>
  </si>
  <si>
    <t>-671.950990215483 182.968147564455 777.093930103258</t>
  </si>
  <si>
    <t>-521.677455977717 186.50161851644 834.445457331155</t>
  </si>
  <si>
    <t>-599.743692256221 -74.0093658626186 322.541703776576</t>
  </si>
  <si>
    <t>-655.001199601401 -105.562429183773 781.252776282265</t>
  </si>
  <si>
    <t>-500.592799700225 -118.789488338359 824.460601394489</t>
  </si>
  <si>
    <t>9763-20170724T115615.826211000.bin</t>
  </si>
  <si>
    <t>-598.845863530569 36.4628179948184 -93.0708849720484</t>
  </si>
  <si>
    <t>-619.283636722992 31.9866795897983 -201.789595075684</t>
  </si>
  <si>
    <t>-632.213908128493 29.921564758564 -293.737327609947</t>
  </si>
  <si>
    <t>-643.113404443538 28.6536675169305 -376.91013958594</t>
  </si>
  <si>
    <t>-652.659490141632 28.0056687194069 -460.256316662587</t>
  </si>
  <si>
    <t>-665.123762212117 27.7250156595915 -582.278796337515</t>
  </si>
  <si>
    <t>-653.617235725992 31.2578447958479 -659.708370428252</t>
  </si>
  <si>
    <t>-660.76692007276 59.1894962118511 -528.694992823486</t>
  </si>
  <si>
    <t>-634.167775823 210.292108397802 -500.457811910591</t>
  </si>
  <si>
    <t>-585.519731610046 221.149244411272 -222.799674496536</t>
  </si>
  <si>
    <t>-373.469253031183 126.390635734168 -224.783167616469</t>
  </si>
  <si>
    <t>-607.028735279656 128.792014580052 -96.9776850895812</t>
  </si>
  <si>
    <t>-630.635108542222 140.622283590484 317.757637515506</t>
  </si>
  <si>
    <t>-671.970398567848 182.973041449921 777.084622680057</t>
  </si>
  <si>
    <t>-521.690035179368 186.603124759926 834.4123066017</t>
  </si>
  <si>
    <t>-599.873820953227 -74.0707385771416 322.536386191191</t>
  </si>
  <si>
    <t>-654.981740317507 -105.582278819933 781.26455465364</t>
  </si>
  <si>
    <t>-500.568327035477 -118.674136830806 824.495562429455</t>
  </si>
  <si>
    <t>9763-20170724T115615.859300600.bin</t>
  </si>
  <si>
    <t>-599.045685620826 36.509777049519 -93.0937005489736</t>
  </si>
  <si>
    <t>-619.406034646814 32.0170630659366 -201.826257517909</t>
  </si>
  <si>
    <t>-632.219353857539 29.9275928660666 -293.789700199262</t>
  </si>
  <si>
    <t>-642.992436969361 28.6330401465127 -376.978741124998</t>
  </si>
  <si>
    <t>-652.391192450262 27.9533520160228 -460.341388612703</t>
  </si>
  <si>
    <t>-664.617006081317 27.6209901970838 -582.387921472575</t>
  </si>
  <si>
    <t>-653.030860717827 31.1527758146856 -659.805468249335</t>
  </si>
  <si>
    <t>-660.355283746866 59.108627180977 -528.809790036416</t>
  </si>
  <si>
    <t>-633.785770049197 210.230360353697 -500.647792862609</t>
  </si>
  <si>
    <t>-585.438581087005 221.154438845547 -222.939724164794</t>
  </si>
  <si>
    <t>-373.465810186983 126.215469506913 -224.57252556548</t>
  </si>
  <si>
    <t>-607.224768409586 128.831051710271 -97.0204162900068</t>
  </si>
  <si>
    <t>-630.783946625939 140.723068199683 317.715781789344</t>
  </si>
  <si>
    <t>-671.999642409965 182.928467191842 777.070726956475</t>
  </si>
  <si>
    <t>-521.711015010588 186.528682611099 834.378611181574</t>
  </si>
  <si>
    <t>-600.023569213524 -74.1021712975921 322.529801449088</t>
  </si>
  <si>
    <t>-654.964703526499 -105.624504582382 781.275131206123</t>
  </si>
  <si>
    <t>-500.579068830187 -118.947338927914 824.534859247853</t>
  </si>
  <si>
    <t>9763-20170724T115615.930488400.bin</t>
  </si>
  <si>
    <t>-599.511694227992 36.729664383919 -93.1487017236128</t>
  </si>
  <si>
    <t>-619.731034309497 32.2096241115316 -201.906472868228</t>
  </si>
  <si>
    <t>-632.332146592792 30.090546981419 -293.898600423553</t>
  </si>
  <si>
    <t>-642.875969550201 28.7665729805774 -377.116437912731</t>
  </si>
  <si>
    <t>-652.007576787179 28.0540307938784 -460.508511160197</t>
  </si>
  <si>
    <t>-663.801295720704 27.6689858873019 -582.597446760231</t>
  </si>
  <si>
    <t>-652.067290189611 31.211035229855 -659.992309031203</t>
  </si>
  <si>
    <t>-659.702423280742 59.180683489772 -529.020687919454</t>
  </si>
  <si>
    <t>-633.096793553199 210.327843112495 -501.040790654356</t>
  </si>
  <si>
    <t>-585.342454416708 221.294975556216 -223.231929067123</t>
  </si>
  <si>
    <t>-373.396892227175 126.287526055678 -224.324877420453</t>
  </si>
  <si>
    <t>-607.600793020703 129.110779063769 -97.1179598050981</t>
  </si>
  <si>
    <t>-631.071220453965 141.007724353178 317.623141826188</t>
  </si>
  <si>
    <t>-672.009164880847 183.115876109801 777.025317215986</t>
  </si>
  <si>
    <t>-521.697413862246 186.417950347721 834.290432721209</t>
  </si>
  <si>
    <t>-600.369632362295 -74.0463338523334 322.506564275578</t>
  </si>
  <si>
    <t>-654.9327493545 -105.628415017177 781.294674726831</t>
  </si>
  <si>
    <t>-500.554087562189 -118.899259029028 824.595159358599</t>
  </si>
  <si>
    <t>9763-20170724T115615.962107900.bin</t>
  </si>
  <si>
    <t>-599.790604833575 36.8352429618649 -93.178554193079</t>
  </si>
  <si>
    <t>-619.894227675168 32.3103746553429 -201.957600646374</t>
  </si>
  <si>
    <t>-632.355692721853 30.1758062979511 -293.968402661563</t>
  </si>
  <si>
    <t>-642.756612038213 28.8337569826638 -377.203987864906</t>
  </si>
  <si>
    <t>-651.728392333162 28.0986770692098 -460.613191600848</t>
  </si>
  <si>
    <t>-663.270029434518 27.6756103628843 -582.726013100514</t>
  </si>
  <si>
    <t>-651.446130219031 31.2158013043995 -660.107354474264</t>
  </si>
  <si>
    <t>-659.264233762836 59.204600516284 -529.15241095293</t>
  </si>
  <si>
    <t>-632.639552586014 210.370729806053 -501.263812179372</t>
  </si>
  <si>
    <t>-585.13735757709 221.359357270333 -223.412454067943</t>
  </si>
  <si>
    <t>-373.231819572285 126.259351910169 -224.159026233641</t>
  </si>
  <si>
    <t>-607.788303540434 129.219105321729 -97.1722104374477</t>
  </si>
  <si>
    <t>-631.232659216712 141.097988753521 317.570986916165</t>
  </si>
  <si>
    <t>-672.050952912524 183.069105243172 776.999267691578</t>
  </si>
  <si>
    <t>-521.731614440977 186.546297894646 834.234114366376</t>
  </si>
  <si>
    <t>-600.598101844835 -74.0170695275554 322.497216521053</t>
  </si>
  <si>
    <t>-654.915273528587 -105.623548075659 781.304613207838</t>
  </si>
  <si>
    <t>-500.54563322674 -118.930341310092 824.62635510983</t>
  </si>
  <si>
    <t>9763-20170724T115616.026278900.bin</t>
  </si>
  <si>
    <t>-600.158470196402 37.3952170469049 -93.2701508692571</t>
  </si>
  <si>
    <t>-619.974843387921 32.8406082504323 -202.100538824764</t>
  </si>
  <si>
    <t>-632.164427558248 30.639509625878 -294.14621891699</t>
  </si>
  <si>
    <t>-642.308221312359 29.2218107573224 -377.412278553483</t>
  </si>
  <si>
    <t>-651.011400935236 28.3946767498385 -460.849147053672</t>
  </si>
  <si>
    <t>-662.14780709255 27.8194369856651 -582.998926758115</t>
  </si>
  <si>
    <t>-650.149691524031 31.3115010217887 -660.355612958535</t>
  </si>
  <si>
    <t>-658.287924815466 59.4161848688723 -529.454624701201</t>
  </si>
  <si>
    <t>-631.562890753691 210.620524410259 -501.879339272373</t>
  </si>
  <si>
    <t>-584.49035338514 221.574618254161 -223.95347786032</t>
  </si>
  <si>
    <t>-372.774360353714 126.050504161529 -224.049441935352</t>
  </si>
  <si>
    <t>-607.992840060065 129.81913196984 -97.315332484803</t>
  </si>
  <si>
    <t>-631.520310845337 141.581391425427 317.426407476722</t>
  </si>
  <si>
    <t>-672.080433492803 183.184158036232 776.919239727719</t>
  </si>
  <si>
    <t>-521.739794940329 186.320676978284 834.117831957921</t>
  </si>
  <si>
    <t>-601.153658754925 -73.6934985867892 322.474213798352</t>
  </si>
  <si>
    <t>-654.876667027597 -105.640084734853 781.325118327073</t>
  </si>
  <si>
    <t>-500.509048234434 -118.807148300962 824.696676196697</t>
  </si>
  <si>
    <t>9763-20170724T115616.060444700.bin</t>
  </si>
  <si>
    <t>-600.259461416475 37.709392618824 -93.3099075121909</t>
  </si>
  <si>
    <t>-619.971060393142 33.1425814506645 -202.158870205845</t>
  </si>
  <si>
    <t>-632.089990664709 30.9016274150763 -294.212888306776</t>
  </si>
  <si>
    <t>-642.17721046182 29.43684487581 -377.485029151098</t>
  </si>
  <si>
    <t>-650.831236166727 28.5511203307517 -460.926339046141</t>
  </si>
  <si>
    <t>-661.904127717576 27.8776252232467 -583.081315449683</t>
  </si>
  <si>
    <t>-649.860860637626 31.3250874289854 -660.432992374592</t>
  </si>
  <si>
    <t>-658.059645381217 59.5177941246257 -529.561604971803</t>
  </si>
  <si>
    <t>-631.349961724652 210.761399672831 -502.177833064174</t>
  </si>
  <si>
    <t>-584.236516348606 221.794887936427 -224.262059235873</t>
  </si>
  <si>
    <t>-372.633502959474 126.020728428842 -224.157490935499</t>
  </si>
  <si>
    <t>-608.040160204362 130.12028782854 -97.3840152677931</t>
  </si>
  <si>
    <t>-631.671049163186 141.793879309308 317.354400465415</t>
  </si>
  <si>
    <t>-672.102413069505 183.211204620737 776.87693534702</t>
  </si>
  <si>
    <t>-521.754210282449 186.333753649787 834.056542130633</t>
  </si>
  <si>
    <t>-601.382143765713 -73.5563634578714 322.454047084558</t>
  </si>
  <si>
    <t>-654.8585367977 -105.667187466223 781.333095861015</t>
  </si>
  <si>
    <t>-500.513803571422 -119.022524029768 824.728521832079</t>
  </si>
  <si>
    <t>9763-20170724T115616.124615700.bin</t>
  </si>
  <si>
    <t>-600.400343677066 38.3113277116793 -93.3926214518842</t>
  </si>
  <si>
    <t>-620.00536830717 33.7129568097077 -202.259565957113</t>
  </si>
  <si>
    <t>-632.073577776483 31.4029986151975 -294.318559071207</t>
  </si>
  <si>
    <t>-642.131062951158 29.8590785184401 -377.592739342425</t>
  </si>
  <si>
    <t>-650.771568861639 28.8770298876259 -461.034369430088</t>
  </si>
  <si>
    <t>-661.842541616752 28.0443211068705 -583.188702834364</t>
  </si>
  <si>
    <t>-649.758248496614 31.3994043464388 -660.538091962572</t>
  </si>
  <si>
    <t>-657.979496120205 59.7549427792198 -529.712047232727</t>
  </si>
  <si>
    <t>-631.221228605689 211.038845674703 -502.617960254916</t>
  </si>
  <si>
    <t>-583.703637371794 222.282518694584 -224.779475408143</t>
  </si>
  <si>
    <t>-372.379704326843 125.894551858177 -224.483149314294</t>
  </si>
  <si>
    <t>-608.142794312287 130.755196789667 -97.5123671501283</t>
  </si>
  <si>
    <t>-631.811127934389 142.204138881263 317.2301531939</t>
  </si>
  <si>
    <t>-672.128867630256 183.299295682419 776.794290768053</t>
  </si>
  <si>
    <t>-521.769791509684 186.331212518757 833.949978553821</t>
  </si>
  <si>
    <t>-601.495704188196 -73.1213175910818 322.429128654815</t>
  </si>
  <si>
    <t>-654.827197280872 -105.684674252631 781.334168753182</t>
  </si>
  <si>
    <t>-500.538241630507 -119.558943175067 824.765177537463</t>
  </si>
  <si>
    <t>9763-20170724T115616.161301700.bin</t>
  </si>
  <si>
    <t>-600.447057536606 38.6441756300633 -93.412615723665</t>
  </si>
  <si>
    <t>-620.010070682364 34.0357121851623 -202.286585438067</t>
  </si>
  <si>
    <t>-632.078496848313 31.7032974455956 -294.345022766456</t>
  </si>
  <si>
    <t>-642.150537685774 30.1334420939188 -377.616961659554</t>
  </si>
  <si>
    <t>-650.82002927975 29.1199494891098 -461.055222943804</t>
  </si>
  <si>
    <t>-661.949335457236 28.2351180467631 -583.203924162637</t>
  </si>
  <si>
    <t>-649.872487213613 31.5481102110446 -660.556179771847</t>
  </si>
  <si>
    <t>-658.057003472297 59.9686464570034 -529.742901940732</t>
  </si>
  <si>
    <t>-631.210422061562 211.261437304793 -502.753650386858</t>
  </si>
  <si>
    <t>-583.56130466576 222.593124492638 -224.941214633108</t>
  </si>
  <si>
    <t>-372.3638278011 125.928344319072 -224.654971744643</t>
  </si>
  <si>
    <t>-608.211249557819 131.136050775048 -97.5521393716679</t>
  </si>
  <si>
    <t>-631.877635799406 142.441804456716 317.194358286134</t>
  </si>
  <si>
    <t>-672.138920259473 183.341459301789 776.771589570996</t>
  </si>
  <si>
    <t>-521.774461209081 186.263764011675 833.918885287204</t>
  </si>
  <si>
    <t>-601.477783891571 -72.8336348794012 322.424106400753</t>
  </si>
  <si>
    <t>-654.815653787568 -105.644063918606 781.325550046092</t>
  </si>
  <si>
    <t>-500.490007602816 -119.122108068166 824.750976204531</t>
  </si>
  <si>
    <t>9763-20170724T115616.226473100.bin</t>
  </si>
  <si>
    <t>-600.36856766106 39.2118168528582 -93.4147372611156</t>
  </si>
  <si>
    <t>-619.895290287138 34.5937031788633 -202.294932172072</t>
  </si>
  <si>
    <t>-631.981332741947 32.2253423435782 -294.350043702829</t>
  </si>
  <si>
    <t>-642.088858871528 30.6121406956609 -377.616874306562</t>
  </si>
  <si>
    <t>-650.813556912471 29.5444843580324 -461.048707574475</t>
  </si>
  <si>
    <t>-662.045374843731 28.5683815940085 -583.187322303835</t>
  </si>
  <si>
    <t>-649.985772311984 31.8033516507637 -660.545623294562</t>
  </si>
  <si>
    <t>-658.10164377138 60.342072882544 -529.753879333088</t>
  </si>
  <si>
    <t>-631.062510010447 211.619584858058 -502.907092855496</t>
  </si>
  <si>
    <t>-583.202412775672 223.239964737578 -225.142798885179</t>
  </si>
  <si>
    <t>-372.171811823878 126.211701327219 -224.779539120404</t>
  </si>
  <si>
    <t>-608.115479740043 131.686655365916 -97.5753417895355</t>
  </si>
  <si>
    <t>-631.971916497829 142.733684476016 317.167312832186</t>
  </si>
  <si>
    <t>-672.178048357899 183.34121770185 776.751214455399</t>
  </si>
  <si>
    <t>-521.80959525439 186.371175342722 833.882480181059</t>
  </si>
  <si>
    <t>-601.422724873622 -72.3554219810214 322.43463904969</t>
  </si>
  <si>
    <t>-654.794687573167 -105.565123083873 781.3089845716</t>
  </si>
  <si>
    <t>-500.449778724622 -118.814732661335 824.73616391908</t>
  </si>
  <si>
    <t>9763-20170724T115616.257078100.bin</t>
  </si>
  <si>
    <t>-600.347456386729 39.4389726634979 -93.415766525795</t>
  </si>
  <si>
    <t>-619.853137588761 34.8160598059251 -202.299389684242</t>
  </si>
  <si>
    <t>-631.935272940462 32.4387683364325 -294.354786265864</t>
  </si>
  <si>
    <t>-642.044898852009 30.8157549356167 -377.621303971485</t>
  </si>
  <si>
    <t>-650.777398800272 29.7365521005875 -461.052216202485</t>
  </si>
  <si>
    <t>-662.026874962593 28.742036011233 -583.189031312669</t>
  </si>
  <si>
    <t>-649.962121147751 31.95906360243 -660.547196467997</t>
  </si>
  <si>
    <t>-658.077565533507 60.5237078620739 -529.760743151851</t>
  </si>
  <si>
    <t>-630.912203849444 211.785234930638 -502.932516721728</t>
  </si>
  <si>
    <t>-583.08801389743 223.627993407369 -225.171541545838</t>
  </si>
  <si>
    <t>-372.097752307092 126.512391579125 -224.71774711528</t>
  </si>
  <si>
    <t>-608.087591319358 131.954683650826 -97.5886019560364</t>
  </si>
  <si>
    <t>-631.95234988602 142.842951738387 317.157730432344</t>
  </si>
  <si>
    <t>-672.185512770795 183.368971809852 776.742603967527</t>
  </si>
  <si>
    <t>-521.815623236646 186.358715098867 833.872159054192</t>
  </si>
  <si>
    <t>-601.382410427218 -72.1663067352267 322.443764106551</t>
  </si>
  <si>
    <t>-654.785984687005 -105.574400460497 781.302790258148</t>
  </si>
  <si>
    <t>-500.465470735348 -119.07228980138 824.74020488058</t>
  </si>
  <si>
    <t>9763-20170724T115616.326264400.bin</t>
  </si>
  <si>
    <t>-600.194973433237 39.7274050378776 -93.4293577399174</t>
  </si>
  <si>
    <t>-619.649066927507 35.0812143728626 -202.321301745295</t>
  </si>
  <si>
    <t>-631.770645903295 32.6790862648095 -294.370926135917</t>
  </si>
  <si>
    <t>-641.949471722847 31.0321049075692 -377.628453837838</t>
  </si>
  <si>
    <t>-650.784923793788 29.9280168373662 -461.04819683706</t>
  </si>
  <si>
    <t>-662.222171578031 28.8963073215705 -583.167157369466</t>
  </si>
  <si>
    <t>-650.192772913588 32.083161611404 -660.532147574857</t>
  </si>
  <si>
    <t>-658.204521799256 60.6938592716747 -529.753374249292</t>
  </si>
  <si>
    <t>-630.952802499936 211.948689213156 -502.978340514051</t>
  </si>
  <si>
    <t>-583.209222570104 224.027135068925 -225.213582309201</t>
  </si>
  <si>
    <t>-372.234201775719 126.880975363604 -224.379381206134</t>
  </si>
  <si>
    <t>-607.886959940619 132.303470443674 -97.6186667262102</t>
  </si>
  <si>
    <t>-631.913300408019 143.01194465877 317.123039159982</t>
  </si>
  <si>
    <t>-672.21842840638 183.373083398642 776.720683690559</t>
  </si>
  <si>
    <t>-521.845671698307 186.31837208936 833.844923859836</t>
  </si>
  <si>
    <t>-601.376211505198 -71.9639521138224 322.44526645146</t>
  </si>
  <si>
    <t>-654.754689655336 -105.558964244956 781.29812028104</t>
  </si>
  <si>
    <t>-500.456681258494 -119.237610767632 824.75903824962</t>
  </si>
  <si>
    <t>9763-20170724T115616.357588500.bin</t>
  </si>
  <si>
    <t>-600.104858340927 39.7600342756587 -93.4292711579249</t>
  </si>
  <si>
    <t>-619.51509717816 35.1098111170561 -202.328758169563</t>
  </si>
  <si>
    <t>-631.644098437675 32.7151221851509 -294.377571726942</t>
  </si>
  <si>
    <t>-641.847514044947 31.0793088302551 -377.632435756619</t>
  </si>
  <si>
    <t>-650.725564058449 29.9912570802483 -461.047660687675</t>
  </si>
  <si>
    <t>-662.244786573641 28.9889532990601 -583.15934307003</t>
  </si>
  <si>
    <t>-650.229731728983 32.1770338640065 -660.526549988394</t>
  </si>
  <si>
    <t>-658.207767333018 60.7729889462951 -529.739186840342</t>
  </si>
  <si>
    <t>-630.950985899865 212.015856366298 -502.909911703662</t>
  </si>
  <si>
    <t>-583.274337887594 224.137687225921 -225.13556553659</t>
  </si>
  <si>
    <t>-372.289907195849 127.011949809159 -224.300725617845</t>
  </si>
  <si>
    <t>-607.787499348774 132.365795533012 -97.6301392200193</t>
  </si>
  <si>
    <t>-631.89145342005 143.030833873959 317.108191445472</t>
  </si>
  <si>
    <t>-672.22086951405 183.405697247002 776.696674393204</t>
  </si>
  <si>
    <t>-521.850409602906 186.321110732381 833.828524283029</t>
  </si>
  <si>
    <t>-601.360340355227 -72.0095966249389 322.442832718939</t>
  </si>
  <si>
    <t>-654.731819426219 -105.563060840788 781.29745932712</t>
  </si>
  <si>
    <t>-500.4424244453 -119.254678543683 824.784721695186</t>
  </si>
  <si>
    <t>9763-20170724T115616.426772700.bin</t>
  </si>
  <si>
    <t>-599.977175284483 39.8054779100978 -93.4230516177701</t>
  </si>
  <si>
    <t>-619.290614169169 35.1542344984725 -202.33988589566</t>
  </si>
  <si>
    <t>-631.377920054796 32.7877787193293 -294.394877604477</t>
  </si>
  <si>
    <t>-641.559572669455 31.189491644627 -377.653006541359</t>
  </si>
  <si>
    <t>-650.431761429764 30.151489755423 -461.0696581066</t>
  </si>
  <si>
    <t>-661.959896608582 29.236126215535 -583.181074381722</t>
  </si>
  <si>
    <t>-649.9264468398 32.4561094189976 -660.544082544761</t>
  </si>
  <si>
    <t>-657.941415815725 60.9815322154636 -529.736357279977</t>
  </si>
  <si>
    <t>-630.828019674072 212.220199844447 -502.735436460165</t>
  </si>
  <si>
    <t>-583.284658478257 224.214246434143 -224.932786990953</t>
  </si>
  <si>
    <t>-372.159869643432 127.39237166929 -224.316633468364</t>
  </si>
  <si>
    <t>-607.687067904353 132.431143698021 -97.652654651491</t>
  </si>
  <si>
    <t>-631.904639353252 143.024607551492 317.080885798095</t>
  </si>
  <si>
    <t>-672.249091949328 183.343870664912 776.660362087627</t>
  </si>
  <si>
    <t>-521.887693515724 186.232273512613 833.817503956869</t>
  </si>
  <si>
    <t>-601.350302789203 -72.057604935731 322.440110716641</t>
  </si>
  <si>
    <t>-654.692673795041 -105.600000424619 781.299734698234</t>
  </si>
  <si>
    <t>-500.415188956862 -119.316324153115 824.821448184378</t>
  </si>
  <si>
    <t>9763-20170724T115616.459437000.bin</t>
  </si>
  <si>
    <t>-599.941827652561 39.8072996365897 -93.4479732782239</t>
  </si>
  <si>
    <t>-619.186589243827 35.1453227751165 -202.376414323542</t>
  </si>
  <si>
    <t>-631.242402612887 32.8027745680497 -294.436144624447</t>
  </si>
  <si>
    <t>-641.406133134688 31.2389561927912 -377.697207434533</t>
  </si>
  <si>
    <t>-650.27076980524 30.2488538329565 -461.115170040486</t>
  </si>
  <si>
    <t>-661.799065007968 29.4188363366761 -583.227198035206</t>
  </si>
  <si>
    <t>-649.746231674584 32.6949223336408 -660.584800050236</t>
  </si>
  <si>
    <t>-657.792311740948 61.126484841677 -529.759278973486</t>
  </si>
  <si>
    <t>-630.73323945501 212.349256271654 -502.632546730604</t>
  </si>
  <si>
    <t>-583.27727338671 224.224234365291 -224.809763720094</t>
  </si>
  <si>
    <t>-372.091243434305 127.535921891166 -224.209273881299</t>
  </si>
  <si>
    <t>-607.66284187442 132.434892018016 -97.6835881482763</t>
  </si>
  <si>
    <t>-631.957042611793 143.057530351426 317.044647926162</t>
  </si>
  <si>
    <t>-672.237214944428 183.403520686578 776.634459380377</t>
  </si>
  <si>
    <t>-521.882887336133 186.180232678676 833.815561464997</t>
  </si>
  <si>
    <t>-601.427962474282 -72.1187402443259 322.425378706523</t>
  </si>
  <si>
    <t>-654.669372140676 -105.60815922703 781.299440380598</t>
  </si>
  <si>
    <t>-500.397520101976 -119.295836393653 824.850142842201</t>
  </si>
  <si>
    <t>9763-20170724T115616.526614800.bin</t>
  </si>
  <si>
    <t>-599.935067047578 39.6606811503891 -93.4835449290487</t>
  </si>
  <si>
    <t>-619.046930451021 34.978575612176 -202.434526645359</t>
  </si>
  <si>
    <t>-631.008911020284 32.6859334661929 -294.507795419545</t>
  </si>
  <si>
    <t>-641.094726970483 31.1937529598958 -377.779560835278</t>
  </si>
  <si>
    <t>-649.887974430542 30.3023702316798 -461.206215536966</t>
  </si>
  <si>
    <t>-661.318944526206 29.6461405116561 -583.328452659274</t>
  </si>
  <si>
    <t>-649.169694439136 33.0668148120544 -660.664729586199</t>
  </si>
  <si>
    <t>-657.371225342701 61.2770450084652 -529.810779375326</t>
  </si>
  <si>
    <t>-630.409916509557 212.462260540301 -502.373894772074</t>
  </si>
  <si>
    <t>-583.26288258959 224.076073320231 -224.487512445222</t>
  </si>
  <si>
    <t>-371.994293397861 127.567233757069 -224.086357542192</t>
  </si>
  <si>
    <t>-607.734318608208 132.285829229204 -97.7428796333088</t>
  </si>
  <si>
    <t>-632.03444529369 143.041632711103 316.981640657123</t>
  </si>
  <si>
    <t>-672.275924718771 183.260179579682 776.59295879116</t>
  </si>
  <si>
    <t>-521.941832216461 186.311394019163 833.813392122225</t>
  </si>
  <si>
    <t>-601.649148197381 -72.4209677844929 322.389413800034</t>
  </si>
  <si>
    <t>-654.608629309307 -105.64956789849 781.312517039639</t>
  </si>
  <si>
    <t>-500.377673006883 -119.532411341638 824.946280160414</t>
  </si>
  <si>
    <t>9763-20170724T115616.562221400.bin</t>
  </si>
  <si>
    <t>-599.915753560462 39.5840368498889 -93.4913290489246</t>
  </si>
  <si>
    <t>-618.996483711238 34.898803792647 -202.447537538568</t>
  </si>
  <si>
    <t>-630.91699465331 32.64781711572 -294.527426425542</t>
  </si>
  <si>
    <t>-640.958827306295 31.2113369951451 -377.805387387198</t>
  </si>
  <si>
    <t>-649.70148059529 30.3935719296892 -461.238172948412</t>
  </si>
  <si>
    <t>-661.051055491055 29.8643277568856 -583.368553478784</t>
  </si>
  <si>
    <t>-648.844356888601 33.3713920996152 -660.691963589532</t>
  </si>
  <si>
    <t>-657.143335681063 61.4393910787069 -529.814886036163</t>
  </si>
  <si>
    <t>-630.192304707568 212.590687363974 -502.176925879405</t>
  </si>
  <si>
    <t>-583.362693685792 224.056755195453 -224.230638201203</t>
  </si>
  <si>
    <t>-372.071187832902 127.597454707062 -224.034436326144</t>
  </si>
  <si>
    <t>-607.751057869713 132.241578445552 -97.7622296221592</t>
  </si>
  <si>
    <t>-632.087552190526 143.019604819599 316.959536770723</t>
  </si>
  <si>
    <t>-672.273876453146 183.274451107133 776.577617446192</t>
  </si>
  <si>
    <t>-521.947077862455 186.262127944706 833.820617989197</t>
  </si>
  <si>
    <t>-601.698626567609 -72.5328570716331 322.381045139441</t>
  </si>
  <si>
    <t>-654.587629399783 -105.692531956646 781.317169529319</t>
  </si>
  <si>
    <t>-500.377051794156 -119.69000220366 824.986301762511</t>
  </si>
  <si>
    <t>9763-20170724T115616.626401200.bin</t>
  </si>
  <si>
    <t>-600.042696684643 39.0858898894874 -93.5535393232932</t>
  </si>
  <si>
    <t>-619.075283501509 34.3802010928648 -202.517406292021</t>
  </si>
  <si>
    <t>-630.913762518013 32.2046805315777 -294.609456922725</t>
  </si>
  <si>
    <t>-640.864222325412 30.8725958652528 -377.900245708476</t>
  </si>
  <si>
    <t>-649.497590267297 30.1958437694625 -461.345668379049</t>
  </si>
  <si>
    <t>-660.667334797617 29.9129565100789 -583.493478352169</t>
  </si>
  <si>
    <t>-648.339110182238 33.5671771069663 -660.790638748255</t>
  </si>
  <si>
    <t>-656.844495437608 61.3797377573173 -529.870056463647</t>
  </si>
  <si>
    <t>-629.760182501895 212.436043074272 -501.825494230913</t>
  </si>
  <si>
    <t>-583.821609282524 223.563728606766 -223.716896580158</t>
  </si>
  <si>
    <t>-372.535699971101 127.092458966739 -224.008320684622</t>
  </si>
  <si>
    <t>-607.962239419007 131.797370285945 -97.8156655645191</t>
  </si>
  <si>
    <t>-632.213453907901 142.763028294403 316.906176760196</t>
  </si>
  <si>
    <t>-672.288372841238 183.229772114696 776.528318609626</t>
  </si>
  <si>
    <t>-521.978896262037 186.375636524687 833.808281320315</t>
  </si>
  <si>
    <t>-601.905313419844 -73.0440028430257 322.341426533001</t>
  </si>
  <si>
    <t>-654.542320689716 -105.697417540678 781.330420791938</t>
  </si>
  <si>
    <t>-500.327884102308 -119.459593458794 825.060640858864</t>
  </si>
  <si>
    <t>9763-20170724T115616.663718000.bin</t>
  </si>
  <si>
    <t>-600.122377127241 38.8373728781003 -93.5651535870286</t>
  </si>
  <si>
    <t>-619.132977592982 34.1419858521135 -202.533278102991</t>
  </si>
  <si>
    <t>-630.949333784833 32.0029816912602 -294.628948104408</t>
  </si>
  <si>
    <t>-640.878083434835 30.7149279573418 -377.923158744077</t>
  </si>
  <si>
    <t>-649.48800921368 30.0930519721151 -461.371351094579</t>
  </si>
  <si>
    <t>-660.621324745038 29.902573543422 -583.522567709369</t>
  </si>
  <si>
    <t>-648.243544181451 33.6098903620446 -660.809560343768</t>
  </si>
  <si>
    <t>-656.820333204215 61.3285493019166 -529.873683107111</t>
  </si>
  <si>
    <t>-629.694674625259 212.345473021371 -501.654762963517</t>
  </si>
  <si>
    <t>-584.113886178759 223.429802032231 -223.48544307067</t>
  </si>
  <si>
    <t>-372.920155412418 126.757812521252 -223.996125350459</t>
  </si>
  <si>
    <t>-608.085723878762 131.568713830039 -97.8255620509462</t>
  </si>
  <si>
    <t>-632.273520930571 142.668733721458 316.89646566541</t>
  </si>
  <si>
    <t>-672.285326606378 183.224678675515 776.506534808169</t>
  </si>
  <si>
    <t>-521.982072080764 186.310532228568 833.80605083376</t>
  </si>
  <si>
    <t>-601.965950727469 -73.2575431415135 322.32169521367</t>
  </si>
  <si>
    <t>-654.51032269496 -105.767962009203 781.338370990949</t>
  </si>
  <si>
    <t>-500.350037954947 -119.945871092845 825.126793790084</t>
  </si>
  <si>
    <t>9763-20170724T115616.728879200.bin</t>
  </si>
  <si>
    <t>-600.286585852586 38.4850472304827 -93.5805657934717</t>
  </si>
  <si>
    <t>-619.305963586897 33.8245952837187 -202.548686637034</t>
  </si>
  <si>
    <t>-631.140162645311 31.7625657787169 -294.643901749359</t>
  </si>
  <si>
    <t>-641.088880358088 30.56321918652 -377.936892206898</t>
  </si>
  <si>
    <t>-649.722386629849 30.0493355419535 -461.383598036451</t>
  </si>
  <si>
    <t>-660.894043600526 30.037746032182 -583.531366377943</t>
  </si>
  <si>
    <t>-648.451345434816 33.8365833922903 -660.803312627022</t>
  </si>
  <si>
    <t>-657.075938437495 61.3852189853717 -529.837789030027</t>
  </si>
  <si>
    <t>-629.766155822591 212.308080240665 -501.307290249583</t>
  </si>
  <si>
    <t>-584.843944373184 223.251897886284 -223.025390135376</t>
  </si>
  <si>
    <t>-373.832680081381 126.183745136482 -223.773551270923</t>
  </si>
  <si>
    <t>-608.289835004678 131.18585556216 -97.827105208797</t>
  </si>
  <si>
    <t>-632.396778306827 142.471613060628 316.894527338683</t>
  </si>
  <si>
    <t>-672.292467123821 183.170611351713 776.502415157935</t>
  </si>
  <si>
    <t>-521.998338844527 186.231764871244 833.827203382633</t>
  </si>
  <si>
    <t>-602.026604179915 -73.4104847299061 322.294009508903</t>
  </si>
  <si>
    <t>-654.478413783102 -105.750020799881 781.337711479748</t>
  </si>
  <si>
    <t>-500.270669085175 -119.2681203634 825.16759200354</t>
  </si>
  <si>
    <t>9763-20170724T115616.760974700.bin</t>
  </si>
  <si>
    <t>-600.396450325605 38.2800941755479 -93.5842470693152</t>
  </si>
  <si>
    <t>-619.453081480721 33.6361852586763 -202.546521700957</t>
  </si>
  <si>
    <t>-631.319493736497 31.6177691105379 -294.638621373601</t>
  </si>
  <si>
    <t>-641.297516865343 30.4698313917213 -377.928666121131</t>
  </si>
  <si>
    <t>-649.960343581574 30.0197029161334 -461.372727115849</t>
  </si>
  <si>
    <t>-661.174991642046 30.1145269634224 -583.516703785388</t>
  </si>
  <si>
    <t>-648.713727022242 33.9498220990579 -660.783835386812</t>
  </si>
  <si>
    <t>-657.340437775027 61.4150196706848 -529.796774080002</t>
  </si>
  <si>
    <t>-629.873637505742 212.274556603495 -501.095619122965</t>
  </si>
  <si>
    <t>-585.293604130565 223.117883660335 -222.754835320304</t>
  </si>
  <si>
    <t>-374.386627583364 125.824751039056 -223.665646838316</t>
  </si>
  <si>
    <t>-608.404216290061 130.960501047858 -97.814919057124</t>
  </si>
  <si>
    <t>-632.423227619883 142.370257118133 316.908433444958</t>
  </si>
  <si>
    <t>-672.28689990115 183.182021080442 776.507906056562</t>
  </si>
  <si>
    <t>-521.994081843632 186.208848394393 833.837858200755</t>
  </si>
  <si>
    <t>-602.050119635529 -73.4734353761814 322.287326555525</t>
  </si>
  <si>
    <t>-654.477728221095 -105.738731665915 781.334922490744</t>
  </si>
  <si>
    <t>-500.261894324396 -119.176319159133 825.161084888631</t>
  </si>
  <si>
    <t>9763-20170724T115616.825143600.bin</t>
  </si>
  <si>
    <t>-600.666469534778 37.9081808877963 -93.6069077561576</t>
  </si>
  <si>
    <t>-619.80056164833 33.2958277264627 -202.556982838221</t>
  </si>
  <si>
    <t>-631.699835659681 31.3293684681992 -294.645903730675</t>
  </si>
  <si>
    <t>-641.694489708516 30.2390970369368 -377.934820215361</t>
  </si>
  <si>
    <t>-650.361074090013 29.8571933465528 -461.378704889182</t>
  </si>
  <si>
    <t>-661.566794640261 30.0640944968341 -583.523408115274</t>
  </si>
  <si>
    <t>-649.062317577103 33.9316351467667 -660.781962727504</t>
  </si>
  <si>
    <t>-657.749674627033 61.3148705948677 -529.773431688056</t>
  </si>
  <si>
    <t>-630.154291241247 212.1016553632 -500.791289051882</t>
  </si>
  <si>
    <t>-586.167120856753 222.772965658389 -222.349470976891</t>
  </si>
  <si>
    <t>-375.447412520318 125.079045806452 -223.627725799685</t>
  </si>
  <si>
    <t>-608.639267778372 130.634294125408 -97.8084557475195</t>
  </si>
  <si>
    <t>-632.482203246052 142.132957144035 316.922701725985</t>
  </si>
  <si>
    <t>-672.305513538321 183.106148802467 776.519144625652</t>
  </si>
  <si>
    <t>-522.015515994723 186.165335951247 833.854890497486</t>
  </si>
  <si>
    <t>-602.164325087494 -73.6592115506769 322.259931122364</t>
  </si>
  <si>
    <t>-654.484802884946 -105.760833015622 781.327775100705</t>
  </si>
  <si>
    <t>-500.293814646759 -119.507318763614 825.145584827328</t>
  </si>
  <si>
    <t>9763-20170724T115616.860762900.bin</t>
  </si>
  <si>
    <t>-600.810910665184 37.8008227487392 -93.6058986494149</t>
  </si>
  <si>
    <t>-620.001103397866 33.207503982557 -202.546841785975</t>
  </si>
  <si>
    <t>-631.925974259584 31.2600304424316 -294.632888121127</t>
  </si>
  <si>
    <t>-641.934983550704 30.1881823477975 -377.920286578449</t>
  </si>
  <si>
    <t>-650.607137187394 29.8257656326007 -461.363719281779</t>
  </si>
  <si>
    <t>-661.811426965138 30.0620375661299 -583.508578602403</t>
  </si>
  <si>
    <t>-649.316300724044 33.9524451493589 -660.767486887171</t>
  </si>
  <si>
    <t>-657.994462772908 61.300008855563 -529.750953267261</t>
  </si>
  <si>
    <t>-630.292145612217 212.046337672102 -500.680534579724</t>
  </si>
  <si>
    <t>-586.690740318238 222.701672007646 -222.177318437439</t>
  </si>
  <si>
    <t>-376.110178506646 124.710273218374 -223.611203750223</t>
  </si>
  <si>
    <t>-608.787547432614 130.520223684825 -97.7949916258468</t>
  </si>
  <si>
    <t>-632.550516689639 142.064043652491 316.939416847214</t>
  </si>
  <si>
    <t>-672.31011118003 183.092969987812 776.529622948639</t>
  </si>
  <si>
    <t>-522.019313651387 186.119182318306 833.865036679213</t>
  </si>
  <si>
    <t>-602.189006122531 -73.6628031235455 322.247502380191</t>
  </si>
  <si>
    <t>-654.490225475438 -105.724152640483 781.322197156892</t>
  </si>
  <si>
    <t>-500.268463684628 -119.196550549596 825.116731119888</t>
  </si>
  <si>
    <t>9763-20170724T115616.929947500.bin</t>
  </si>
  <si>
    <t>-601.220870782712 37.5275090586724 -93.624732495063</t>
  </si>
  <si>
    <t>-620.569268043042 32.9551957537431 -202.538545573313</t>
  </si>
  <si>
    <t>-632.590995562889 31.0349295764213 -294.612708101656</t>
  </si>
  <si>
    <t>-642.672947345981 29.9916457263623 -377.891657301201</t>
  </si>
  <si>
    <t>-651.40356153023 29.662094858377 -461.329084510764</t>
  </si>
  <si>
    <t>-662.677506374713 29.9511124056803 -583.467299395373</t>
  </si>
  <si>
    <t>-650.271621551077 33.8856352813182 -660.738461511073</t>
  </si>
  <si>
    <t>-658.844914413025 61.1653000063955 -529.697054861555</t>
  </si>
  <si>
    <t>-631.002596030203 211.862740984823 -500.503877204162</t>
  </si>
  <si>
    <t>-588.202663297482 222.959341385852 -221.893624750759</t>
  </si>
  <si>
    <t>-377.959968371307 124.249972954399 -223.624156267179</t>
  </si>
  <si>
    <t>-609.143039738055 130.219763199096 -97.773402223458</t>
  </si>
  <si>
    <t>-632.730492318731 141.865877539743 316.968198490907</t>
  </si>
  <si>
    <t>-672.338675381363 183.027452820221 776.567492644471</t>
  </si>
  <si>
    <t>-522.039410631956 186.179536864761 833.873791842165</t>
  </si>
  <si>
    <t>-602.357091143991 -73.7464813056827 322.2234680832</t>
  </si>
  <si>
    <t>-654.522783810917 -105.695478512237 781.313891237912</t>
  </si>
  <si>
    <t>-500.302209474273 -119.376043193075 825.048131947339</t>
  </si>
  <si>
    <t>9763-20170724T115616.960533500.bin</t>
  </si>
  <si>
    <t>-601.458009040522 37.4160639718966 -93.6415829806836</t>
  </si>
  <si>
    <t>-620.878113390319 32.8623937636062 -202.54344888079</t>
  </si>
  <si>
    <t>-632.941981064115 30.946602629884 -294.612094014024</t>
  </si>
  <si>
    <t>-643.054920257847 29.9027833093128 -377.88738156031</t>
  </si>
  <si>
    <t>-651.809537323476 29.5684325506388 -461.322264518743</t>
  </si>
  <si>
    <t>-663.111022613632 29.8459232853804 -583.45801386544</t>
  </si>
  <si>
    <t>-650.754213707245 33.7809054071283 -660.736880307446</t>
  </si>
  <si>
    <t>-659.283773739773 61.0644153890323 -529.689886974166</t>
  </si>
  <si>
    <t>-631.472706847059 211.76552578115 -500.495218166122</t>
  </si>
  <si>
    <t>-588.978205729939 222.959076893031 -221.842204869146</t>
  </si>
  <si>
    <t>-378.81674921909 124.077551287193 -223.613589992071</t>
  </si>
  <si>
    <t>-609.335305158924 130.110466373973 -97.7725074072954</t>
  </si>
  <si>
    <t>-632.804931852819 141.779331819094 316.975172716004</t>
  </si>
  <si>
    <t>-672.343232097797 183.03461786687 776.570088575116</t>
  </si>
  <si>
    <t>-522.038786199314 186.077684088029 833.868727059917</t>
  </si>
  <si>
    <t>-602.43296647649 -73.7920790722519 322.201940997451</t>
  </si>
  <si>
    <t>-654.543893576503 -105.675509640748 781.306191969581</t>
  </si>
  <si>
    <t>-500.315546153859 -119.410342911153 824.995874130179</t>
  </si>
  <si>
    <t>9763-20170724T115617.024704500.bin</t>
  </si>
  <si>
    <t>-602.000886617988 37.2722366349844 -93.6095722201811</t>
  </si>
  <si>
    <t>-621.568936387735 32.7412003940171 -202.485928107633</t>
  </si>
  <si>
    <t>-633.72928782777 30.8224871335715 -294.541722574224</t>
  </si>
  <si>
    <t>-643.918511090371 29.7668654170509 -377.807580842201</t>
  </si>
  <si>
    <t>-652.738836959874 29.4124118967904 -461.235522860075</t>
  </si>
  <si>
    <t>-664.124907906735 29.6519720711428 -583.363358627479</t>
  </si>
  <si>
    <t>-651.88938949856 33.5672774292884 -660.662553663348</t>
  </si>
  <si>
    <t>-660.311704158191 60.8854199129844 -529.602925661449</t>
  </si>
  <si>
    <t>-632.537379818296 211.595743792721 -500.396445957139</t>
  </si>
  <si>
    <t>-590.582803324234 223.008053508145 -221.670526692772</t>
  </si>
  <si>
    <t>-380.510830229836 123.938690242167 -223.556991576623</t>
  </si>
  <si>
    <t>-609.891463345066 129.856736697726 -97.7287969498262</t>
  </si>
  <si>
    <t>-633.096453410488 141.628763258109 317.0308208685</t>
  </si>
  <si>
    <t>-672.380353360494 182.960574341424 776.605090168556</t>
  </si>
  <si>
    <t>-522.066627968921 186.164028865182 833.870701946216</t>
  </si>
  <si>
    <t>-602.536553507771 -73.7379577216773 322.187256182367</t>
  </si>
  <si>
    <t>-654.606004451568 -105.654185750001 781.282512032737</t>
  </si>
  <si>
    <t>-500.362441832773 -119.582662143423 824.857091345141</t>
  </si>
  <si>
    <t>9763-20170724T115617.062338300.bin</t>
  </si>
  <si>
    <t>-602.257286605517 37.2886282676038 -93.6035178389996</t>
  </si>
  <si>
    <t>-621.9039775663 32.7562017033349 -202.465667929171</t>
  </si>
  <si>
    <t>-634.11224443174 30.8373282155719 -294.515141316538</t>
  </si>
  <si>
    <t>-644.337311937944 29.7817392554618 -377.776571187357</t>
  </si>
  <si>
    <t>-653.186198003825 29.4279191188191 -461.201575804955</t>
  </si>
  <si>
    <t>-664.606249464032 29.6687035111988 -583.32617701519</t>
  </si>
  <si>
    <t>-652.42762655489 33.5772953181065 -660.634705117702</t>
  </si>
  <si>
    <t>-660.813063459915 60.9001203536166 -529.563284462173</t>
  </si>
  <si>
    <t>-633.082743249501 211.603243131182 -500.321980255695</t>
  </si>
  <si>
    <t>-591.259302420726 223.187378147984 -221.58333312375</t>
  </si>
  <si>
    <t>-381.229896117443 124.027664595196 -223.462928258571</t>
  </si>
  <si>
    <t>-610.188023834927 129.784152314451 -97.7108588416155</t>
  </si>
  <si>
    <t>-633.271343270351 141.591410329581 317.054521549078</t>
  </si>
  <si>
    <t>-672.393659118707 182.953218813602 776.628597818736</t>
  </si>
  <si>
    <t>-522.071501780195 186.082750122326 833.875994971134</t>
  </si>
  <si>
    <t>-602.561960036975 -73.597354922181 322.177197383767</t>
  </si>
  <si>
    <t>-654.642869545699 -105.617231781809 781.267022148269</t>
  </si>
  <si>
    <t>-500.351114735754 -119.265685420098 824.759513202804</t>
  </si>
  <si>
    <t>9763-20170724T115617.123506100.bin</t>
  </si>
  <si>
    <t>-602.710979828344 37.3178114389104 -93.5925923492416</t>
  </si>
  <si>
    <t>-622.482819045268 32.7823528491647 -202.431907166419</t>
  </si>
  <si>
    <t>-634.774736065824 30.8597653555912 -294.470302986546</t>
  </si>
  <si>
    <t>-645.066728967589 29.798870718357 -377.723400099317</t>
  </si>
  <si>
    <t>-653.974096377727 29.4390945525765 -461.142061674639</t>
  </si>
  <si>
    <t>-665.470431389482 29.6706678053415 -583.259618324943</t>
  </si>
  <si>
    <t>-653.323103708776 33.5570836320874 -660.574208943067</t>
  </si>
  <si>
    <t>-661.713820099053 60.9032667409419 -529.494743531357</t>
  </si>
  <si>
    <t>-634.104513179019 211.622691726515 -500.185097141613</t>
  </si>
  <si>
    <t>-592.440371775853 223.508392756595 -221.435294381623</t>
  </si>
  <si>
    <t>-382.399821677599 124.374872003888 -223.445063817255</t>
  </si>
  <si>
    <t>-610.774530456479 129.640653985487 -97.6770261531265</t>
  </si>
  <si>
    <t>-633.563355235945 141.551353274278 317.101685403029</t>
  </si>
  <si>
    <t>-672.413995324244 182.972835995405 776.687025930738</t>
  </si>
  <si>
    <t>-522.076140143175 186.123905572078 833.892271077555</t>
  </si>
  <si>
    <t>-602.612646399926 -73.2981260995252 322.174779274979</t>
  </si>
  <si>
    <t>-654.706312684109 -105.565755967715 781.238536711273</t>
  </si>
  <si>
    <t>-500.363597571813 -119.066857737765 824.596046238186</t>
  </si>
  <si>
    <t>9763-20170724T115617.160676800.bin</t>
  </si>
  <si>
    <t>-602.88886583159 37.3173682587283 -93.5875875641282</t>
  </si>
  <si>
    <t>-622.740379025254 32.7732057663973 -202.412054321279</t>
  </si>
  <si>
    <t>-635.08373094495 30.8431192623768 -294.443338202534</t>
  </si>
  <si>
    <t>-645.41593725179 29.7745296998955 -377.691299055592</t>
  </si>
  <si>
    <t>-654.357354455554 29.4067185433664 -461.106253252897</t>
  </si>
  <si>
    <t>-665.896660544982 29.6266588342 -583.219825140162</t>
  </si>
  <si>
    <t>-653.726462181005 33.5046505256501 -660.531343830138</t>
  </si>
  <si>
    <t>-662.155678711305 60.8629342879397 -529.456204502773</t>
  </si>
  <si>
    <t>-634.649302469723 211.595901300069 -500.136083362451</t>
  </si>
  <si>
    <t>-593.072713786252 223.650896352629 -221.380511989038</t>
  </si>
  <si>
    <t>-383.004545553643 124.577115482951 -223.448541642633</t>
  </si>
  <si>
    <t>-611.048698930193 129.578018013875 -97.6627402350249</t>
  </si>
  <si>
    <t>-633.689318038935 141.52877091665 317.123010415908</t>
  </si>
  <si>
    <t>-672.422063644867 182.956257238983 776.713126262915</t>
  </si>
  <si>
    <t>-522.081116025052 185.991099201865 833.916371931961</t>
  </si>
  <si>
    <t>-602.657447605441 -73.1807369096412 322.17121865966</t>
  </si>
  <si>
    <t>-654.729678167952 -105.565444596854 781.224996908069</t>
  </si>
  <si>
    <t>-500.390701895473 -119.262075933242 824.534410491374</t>
  </si>
  <si>
    <t>9763-20170724T115617.228841600.bin</t>
  </si>
  <si>
    <t>-603.185514360194 37.164526937328 -93.5932840835727</t>
  </si>
  <si>
    <t>-623.193337943005 32.5956914681558 -202.388105682991</t>
  </si>
  <si>
    <t>-635.670401094291 30.650940104304 -294.400919433469</t>
  </si>
  <si>
    <t>-646.124212841043 29.5704937404707 -377.633711879662</t>
  </si>
  <si>
    <t>-655.188350595303 29.1932552913579 -461.035350732426</t>
  </si>
  <si>
    <t>-666.908324542922 29.4022771184043 -583.131835513643</t>
  </si>
  <si>
    <t>-654.671413327876 33.2531411147679 -660.434026764762</t>
  </si>
  <si>
    <t>-663.156453486895 60.6403762632024 -529.369861704572</t>
  </si>
  <si>
    <t>-635.868146100003 211.398365007965 -499.968201026888</t>
  </si>
  <si>
    <t>-594.377123018563 223.794465856864 -221.214912395087</t>
  </si>
  <si>
    <t>-384.277260896878 124.788803161389 -223.325665665518</t>
  </si>
  <si>
    <t>-611.508536648926 129.290118886932 -97.6379335769899</t>
  </si>
  <si>
    <t>-633.878691076429 141.352100627787 317.159231990302</t>
  </si>
  <si>
    <t>-672.448127838698 182.844647807448 776.761411220048</t>
  </si>
  <si>
    <t>-522.110260082293 186.089630448429 833.961184683233</t>
  </si>
  <si>
    <t>-602.710029442498 -73.09376316524 322.168122611769</t>
  </si>
  <si>
    <t>-654.768006079855 -105.534027475502 781.202652615437</t>
  </si>
  <si>
    <t>-500.403126722633 -119.21278964661 824.425289679666</t>
  </si>
  <si>
    <t>9763-20170724T115617.259437900.bin</t>
  </si>
  <si>
    <t>-603.287318830214 37.0783731162589 -93.5801705276908</t>
  </si>
  <si>
    <t>-623.365961882344 32.5042776202808 -202.361759349702</t>
  </si>
  <si>
    <t>-635.916379253409 30.5624132350622 -294.364627348813</t>
  </si>
  <si>
    <t>-646.441996431796 29.4871649000306 -377.588439848078</t>
  </si>
  <si>
    <t>-655.583615425881 29.1184332174578 -460.981714287652</t>
  </si>
  <si>
    <t>-667.423146108193 29.3436537794726 -583.066475131848</t>
  </si>
  <si>
    <t>-655.168083911149 33.1752167752998 -660.36687454472</t>
  </si>
  <si>
    <t>-663.655656310903 60.5728289386539 -529.300430704405</t>
  </si>
  <si>
    <t>-636.49399612086 211.350773726759 -499.894098743946</t>
  </si>
  <si>
    <t>-595.063092619806 223.885934575929 -221.138194349238</t>
  </si>
  <si>
    <t>-384.924664600682 124.959945905426 -223.142521545611</t>
  </si>
  <si>
    <t>-611.688909399443 129.162853625658 -97.61337361679</t>
  </si>
  <si>
    <t>-633.944072107327 141.282367635737 317.188266039213</t>
  </si>
  <si>
    <t>-672.444704763951 182.867188042257 776.783176867804</t>
  </si>
  <si>
    <t>-522.107232852932 186.143332799279 833.98218815419</t>
  </si>
  <si>
    <t>-602.722983597806 -73.0590930703713 322.169011790748</t>
  </si>
  <si>
    <t>-654.78051935585 -105.509490073481 781.197863236814</t>
  </si>
  <si>
    <t>-500.375361142572 -118.856172727529 824.380425502295</t>
  </si>
  <si>
    <t>9763-20170724T115617.324613800.bin</t>
  </si>
  <si>
    <t>-603.4961482579 36.8511226793864 -93.5632938475146</t>
  </si>
  <si>
    <t>-623.720225979747 32.2681693260758 -202.317469792227</t>
  </si>
  <si>
    <t>-636.409645942349 30.3310447958313 -294.301423392264</t>
  </si>
  <si>
    <t>-647.067433580153 29.2636627578795 -377.508591445967</t>
  </si>
  <si>
    <t>-656.34800297653 28.9078113444591 -460.886450926841</t>
  </si>
  <si>
    <t>-668.398177653752 29.1574389477064 -582.950640706689</t>
  </si>
  <si>
    <t>-656.172125372353 32.9331318973709 -660.258192660592</t>
  </si>
  <si>
    <t>-664.600152405744 60.3729649459972 -529.17885445601</t>
  </si>
  <si>
    <t>-637.845761642326 211.230191488302 -499.772689413373</t>
  </si>
  <si>
    <t>-596.362730995412 223.789530611753 -221.025427954396</t>
  </si>
  <si>
    <t>-386.126396890621 125.072474548781 -223.064423505699</t>
  </si>
  <si>
    <t>-612.050723836768 128.88980040092 -97.5750048317211</t>
  </si>
  <si>
    <t>-634.005393450979 141.107542595084 317.239822561902</t>
  </si>
  <si>
    <t>-672.451906560088 182.818268476134 776.824102537876</t>
  </si>
  <si>
    <t>-522.117167427371 186.035735865005 834.033704163911</t>
  </si>
  <si>
    <t>-602.697396280217 -73.0260494930938 322.171831742762</t>
  </si>
  <si>
    <t>-654.811833585366 -105.466732542121 781.183969703183</t>
  </si>
  <si>
    <t>-500.373838134457 -118.667206006774 824.294031449396</t>
  </si>
  <si>
    <t>9763-20170724T115617.358204100.bin</t>
  </si>
  <si>
    <t>-603.613915964134 36.7012225944791 -93.5596124292478</t>
  </si>
  <si>
    <t>-623.893894425925 32.1152623933347 -202.30327006927</t>
  </si>
  <si>
    <t>-636.632428502781 30.1713472241354 -294.280332298478</t>
  </si>
  <si>
    <t>-647.335139437889 29.0956541105629 -377.481451388621</t>
  </si>
  <si>
    <t>-656.661394507991 28.7291301957314 -460.854399430592</t>
  </si>
  <si>
    <t>-668.779168499372 28.9607330003676 -582.911877300744</t>
  </si>
  <si>
    <t>-656.569531167839 32.7043231603775 -660.223570127888</t>
  </si>
  <si>
    <t>-664.970725144063 60.1833370718155 -529.144782035326</t>
  </si>
  <si>
    <t>-638.409660125336 211.079414164719 -499.774718277301</t>
  </si>
  <si>
    <t>-596.972587129133 223.620234470833 -221.019778525659</t>
  </si>
  <si>
    <t>-386.671630879605 125.042713766581 -223.14507806553</t>
  </si>
  <si>
    <t>-612.281420029623 128.693280056883 -97.5484008597909</t>
  </si>
  <si>
    <t>-634.087714536691 141.022502409664 317.270860760498</t>
  </si>
  <si>
    <t>-672.444075695806 182.823268933125 776.847616161432</t>
  </si>
  <si>
    <t>-522.111964018156 186.038190844246 834.064271155301</t>
  </si>
  <si>
    <t>-602.66637916731 -73.0487284283513 322.167330683145</t>
  </si>
  <si>
    <t>-654.831351993751 -105.470063142399 781.175248719568</t>
  </si>
  <si>
    <t>-500.384094480942 -118.660694376048 824.255048897883</t>
  </si>
  <si>
    <t>9763-20170724T115617.429395100.bin</t>
  </si>
  <si>
    <t>-603.892955165332 36.3067629518291 -93.5600869167422</t>
  </si>
  <si>
    <t>-624.181238372201 31.7177072000825 -202.30209589701</t>
  </si>
  <si>
    <t>-636.944289945266 29.7634485447807 -294.275605293669</t>
  </si>
  <si>
    <t>-647.676195349737 28.6738384390608 -377.472798707911</t>
  </si>
  <si>
    <t>-657.03872700425 28.2900270352211 -460.841369144913</t>
  </si>
  <si>
    <t>-669.217387936045 28.4923044699524 -582.892826867427</t>
  </si>
  <si>
    <t>-657.029097762366 32.2233277577113 -660.208720776754</t>
  </si>
  <si>
    <t>-665.42103615018 59.7257912286723 -529.131439458638</t>
  </si>
  <si>
    <t>-639.242581944419 210.712853906634 -499.893423807873</t>
  </si>
  <si>
    <t>-597.893424014606 223.20004424351 -221.123228737022</t>
  </si>
  <si>
    <t>-387.525928579385 124.761567419852 -223.101643421154</t>
  </si>
  <si>
    <t>-612.705235267424 128.192852047365 -97.5070188678316</t>
  </si>
  <si>
    <t>-634.270679344278 140.780872862862 317.317119076485</t>
  </si>
  <si>
    <t>-672.437910562574 182.834232294836 776.896677556512</t>
  </si>
  <si>
    <t>-522.110009189712 186.112419239623 834.120856363555</t>
  </si>
  <si>
    <t>-602.723835598145 -73.2427213615988 322.158129507267</t>
  </si>
  <si>
    <t>-654.858733362691 -105.495602727494 781.164251946988</t>
  </si>
  <si>
    <t>-500.377020075467 -118.455281007662 824.190712516966</t>
  </si>
  <si>
    <t>9763-20170724T115617.459009600.bin</t>
  </si>
  <si>
    <t>-604.040174783894 36.133023602767 -93.5580322073876</t>
  </si>
  <si>
    <t>-624.286938626677 31.5343920913508 -202.307367269644</t>
  </si>
  <si>
    <t>-637.007615096884 29.5676917639078 -294.286452150455</t>
  </si>
  <si>
    <t>-647.698287574996 28.4645912096553 -377.488788991952</t>
  </si>
  <si>
    <t>-657.016597644115 28.0652680354956 -460.862313580121</t>
  </si>
  <si>
    <t>-669.127329959154 28.2424290310203 -582.920541176655</t>
  </si>
  <si>
    <t>-656.93909114811 31.9849483924502 -660.235858667642</t>
  </si>
  <si>
    <t>-665.373021337579 59.4864271855317 -529.16233980361</t>
  </si>
  <si>
    <t>-639.334689706284 210.500751817521 -499.941108606669</t>
  </si>
  <si>
    <t>-598.072822068995 223.04182792316 -221.160259642568</t>
  </si>
  <si>
    <t>-387.712064792633 124.589042645129 -223.142243737212</t>
  </si>
  <si>
    <t>-612.896947755609 127.982992112437 -97.5039938581233</t>
  </si>
  <si>
    <t>-634.359714900399 140.678701507177 317.322174612311</t>
  </si>
  <si>
    <t>-672.449087407138 182.771276399464 776.917672892511</t>
  </si>
  <si>
    <t>-522.122523678791 186.048705501314 834.145334195074</t>
  </si>
  <si>
    <t>-602.819325116081 -73.3875717105109 322.151806698904</t>
  </si>
  <si>
    <t>-654.870002670012 -105.489078833761 781.16469264258</t>
  </si>
  <si>
    <t>-500.36076417152 -118.194462749289 824.16802361336</t>
  </si>
  <si>
    <t>9763-20170724T115617.527193400.bin</t>
  </si>
  <si>
    <t>-604.252615981113 35.7970489116728 -93.5527314103961</t>
  </si>
  <si>
    <t>-624.424120694142 31.1724522854879 -202.314997561126</t>
  </si>
  <si>
    <t>-637.044243624437 29.1758810589329 -294.307252215749</t>
  </si>
  <si>
    <t>-647.629078109277 28.0416082915626 -377.522667352689</t>
  </si>
  <si>
    <t>-656.826427662899 27.6067721663883 -460.909448325392</t>
  </si>
  <si>
    <t>-668.743636625571 27.7276957341601 -582.986871698675</t>
  </si>
  <si>
    <t>-656.527912676687 31.4968143166357 -660.296468064586</t>
  </si>
  <si>
    <t>-665.089595285698 58.9958142287212 -529.235652242943</t>
  </si>
  <si>
    <t>-639.316252904316 210.063862316381 -500.058766709106</t>
  </si>
  <si>
    <t>-598.401715410503 222.671268969532 -221.229768647211</t>
  </si>
  <si>
    <t>-387.968368516665 124.372172520008 -223.134469173465</t>
  </si>
  <si>
    <t>-613.20312651683 127.593688366947 -97.4985753708717</t>
  </si>
  <si>
    <t>-634.533531428736 140.518013603539 317.327405873365</t>
  </si>
  <si>
    <t>-672.44996955296 182.811108018257 776.931408350934</t>
  </si>
  <si>
    <t>-522.12220671758 186.070791109462 834.156952441062</t>
  </si>
  <si>
    <t>-602.963591175518 -73.7323498375729 322.141805724367</t>
  </si>
  <si>
    <t>-654.889156988159 -105.58551879933 781.176788205202</t>
  </si>
  <si>
    <t>-500.42414381951 -118.851126615864 824.169904229435</t>
  </si>
  <si>
    <t>9763-20170724T115617.580422100.bin</t>
  </si>
  <si>
    <t>-604.351907757381 35.5643547913317 -93.5650241264783</t>
  </si>
  <si>
    <t>-624.491287792892 30.9286945625449 -202.332602318398</t>
  </si>
  <si>
    <t>-637.066177616708 28.9185684725164 -294.330871690923</t>
  </si>
  <si>
    <t>-647.602678087057 27.7700816449383 -377.552271625569</t>
  </si>
  <si>
    <t>-656.744244515116 27.3190893804699 -460.945005913625</t>
  </si>
  <si>
    <t>-668.571679521703 27.4138587624716 -583.031158969117</t>
  </si>
  <si>
    <t>-656.34040513467 31.1788449465826 -660.338632020571</t>
  </si>
  <si>
    <t>-664.961760667651 58.6930872022399 -529.28355622903</t>
  </si>
  <si>
    <t>-639.255704193315 209.777359174843 -500.130495844232</t>
  </si>
  <si>
    <t>-598.831263649798 222.535306380497 -221.236853701872</t>
  </si>
  <si>
    <t>-388.382807033434 124.263086251644 -222.83325343395</t>
  </si>
  <si>
    <t>-613.344025978229 127.334370196551 -97.5089475313081</t>
  </si>
  <si>
    <t>-634.590454365664 140.394117959449 317.317085732269</t>
  </si>
  <si>
    <t>-672.461971412111 182.766642004063 776.920443124562</t>
  </si>
  <si>
    <t>-522.137319171982 186.156389800198 834.146584266006</t>
  </si>
  <si>
    <t>-602.994851981052 -73.9582697000164 322.136195140533</t>
  </si>
  <si>
    <t>-654.90012413666 -105.601574644155 781.182313175677</t>
  </si>
  <si>
    <t>-500.401912981581 -118.558990147729 824.150071615966</t>
  </si>
  <si>
    <t>9763-20170724T115617.623538000.bin</t>
  </si>
  <si>
    <t>-604.386901605813 35.4402958083961 -93.5807494208369</t>
  </si>
  <si>
    <t>-624.504153213843 30.7825817065016 -202.351678070715</t>
  </si>
  <si>
    <t>-637.022668831649 28.757608948808 -294.357175191087</t>
  </si>
  <si>
    <t>-647.493176750762 27.5966280079565 -377.58668511807</t>
  </si>
  <si>
    <t>-656.553431832037 27.1345786725708 -460.988344118825</t>
  </si>
  <si>
    <t>-668.245359716574 27.2142509736539 -583.087660619309</t>
  </si>
  <si>
    <t>-655.974072878572 30.9488885831195 -660.390048414833</t>
  </si>
  <si>
    <t>-664.703377786245 58.4996827488503 -529.33893506231</t>
  </si>
  <si>
    <t>-639.082494052302 209.603022086136 -500.217452550695</t>
  </si>
  <si>
    <t>-599.205298880975 222.624964263615 -221.257251107492</t>
  </si>
  <si>
    <t>-388.805733431301 124.244306318814 -222.599923509464</t>
  </si>
  <si>
    <t>-613.369220764999 127.227554199343 -97.5316063169936</t>
  </si>
  <si>
    <t>-634.568831487611 140.343929658007 317.29501295863</t>
  </si>
  <si>
    <t>-672.461367581312 182.787952267788 776.893831389898</t>
  </si>
  <si>
    <t>-522.138475682267 186.189181610013 834.123946093176</t>
  </si>
  <si>
    <t>-603.028684450087 -74.1193844811967 322.137706153752</t>
  </si>
  <si>
    <t>-654.915143525777 -105.594669460879 781.187541393307</t>
  </si>
  <si>
    <t>-500.394365028617 -118.382661545706 824.124980685218</t>
  </si>
  <si>
    <t>9763-20170724T115617.660180900.bin</t>
  </si>
  <si>
    <t>-604.366750151454 35.4209097551263 -93.5937482373774</t>
  </si>
  <si>
    <t>-624.454577566708 30.7581565615847 -202.369797276098</t>
  </si>
  <si>
    <t>-636.917696419236 28.7145506946663 -294.382517735887</t>
  </si>
  <si>
    <t>-647.325962258485 27.5312520472485 -377.61952242655</t>
  </si>
  <si>
    <t>-656.311861676045 27.0410047583284 -461.029078100981</t>
  </si>
  <si>
    <t>-667.88173547177 27.0736945355186 -583.139943026687</t>
  </si>
  <si>
    <t>-655.569900902073 30.7718238566226 -660.437724803916</t>
  </si>
  <si>
    <t>-664.398285928827 58.3796803426649 -529.399326283852</t>
  </si>
  <si>
    <t>-638.864532945959 209.513057854576 -500.325504600002</t>
  </si>
  <si>
    <t>-599.352062813106 222.741879557171 -221.323031877743</t>
  </si>
  <si>
    <t>-388.990250418799 124.278226427152 -222.483119238767</t>
  </si>
  <si>
    <t>-613.306602036178 127.210816905536 -97.5512242254792</t>
  </si>
  <si>
    <t>-634.522367511749 140.333581803481 317.274459564188</t>
  </si>
  <si>
    <t>-672.459063377952 182.808176465216 776.872394725177</t>
  </si>
  <si>
    <t>-522.137604384151 186.160270025713 834.109211344722</t>
  </si>
  <si>
    <t>-603.054441653679 -74.1798075890467 322.133422362414</t>
  </si>
  <si>
    <t>-654.925799040852 -105.593977353022 781.190279360125</t>
  </si>
  <si>
    <t>-500.39778171868 -118.348245681815 824.111572155977</t>
  </si>
  <si>
    <t>9763-20170724T115617.725354800.bin</t>
  </si>
  <si>
    <t>-604.210315110164 35.4711980883178 -93.5961046832867</t>
  </si>
  <si>
    <t>-624.237160131088 30.7866549302664 -202.382488609737</t>
  </si>
  <si>
    <t>-636.633759290834 28.6687957163485 -294.402440708196</t>
  </si>
  <si>
    <t>-646.976143688532 27.3957784423499 -377.64639937503</t>
  </si>
  <si>
    <t>-655.890579822513 26.7931536537376 -461.062917459438</t>
  </si>
  <si>
    <t>-667.350042169839 26.6361518606968 -583.184005949465</t>
  </si>
  <si>
    <t>-654.974184831268 30.2349718345677 -660.476346690859</t>
  </si>
  <si>
    <t>-663.919457804307 58.0253154306752 -529.488535185456</t>
  </si>
  <si>
    <t>-638.428027778065 209.208149339435 -500.644631275781</t>
  </si>
  <si>
    <t>-599.693934955819 222.989501075016 -221.559904968154</t>
  </si>
  <si>
    <t>-389.465731602247 124.237071794825 -222.328534993633</t>
  </si>
  <si>
    <t>-613.165642469386 127.275995015345 -97.5863312345821</t>
  </si>
  <si>
    <t>-634.451246594521 140.351035535228 317.237215433383</t>
  </si>
  <si>
    <t>-672.457959202734 182.858172774738 776.821667525664</t>
  </si>
  <si>
    <t>-522.140361471804 186.128386750217 834.073414495857</t>
  </si>
  <si>
    <t>-602.971717513176 -74.2227230466283 322.139521212272</t>
  </si>
  <si>
    <t>-654.938883898281 -105.624510992262 781.193612504891</t>
  </si>
  <si>
    <t>-500.413863771377 -118.486364841205 824.093669832019</t>
  </si>
  <si>
    <t>9763-20170724T115617.758518800.bin</t>
  </si>
  <si>
    <t>-604.057279636171 35.5558008933021 -93.5999742093543</t>
  </si>
  <si>
    <t>-624.057770281929 30.8461567968645 -202.390209507319</t>
  </si>
  <si>
    <t>-636.443263812228 28.6794217102458 -294.41045612658</t>
  </si>
  <si>
    <t>-646.780224870567 27.3508172840964 -377.65422474263</t>
  </si>
  <si>
    <t>-655.69393768532 26.6812688142102 -461.070233977388</t>
  </si>
  <si>
    <t>-667.157568600371 26.4140893371059 -583.190808569108</t>
  </si>
  <si>
    <t>-654.760654965076 29.9533604619405 -660.482553532113</t>
  </si>
  <si>
    <t>-663.731960879411 57.8513796138247 -529.523218642818</t>
  </si>
  <si>
    <t>-638.249653394519 209.054110040548 -500.799952309533</t>
  </si>
  <si>
    <t>-599.810483043442 223.17900588323 -221.69155910302</t>
  </si>
  <si>
    <t>-389.637406107651 124.307591352011 -222.18546000242</t>
  </si>
  <si>
    <t>-613.012798610376 127.337527633292 -97.6034373419649</t>
  </si>
  <si>
    <t>-634.436777848257 140.382631344794 317.213884836963</t>
  </si>
  <si>
    <t>-672.466759881989 182.823262979717 776.797719040125</t>
  </si>
  <si>
    <t>-522.156178636672 186.241057173194 834.059216172588</t>
  </si>
  <si>
    <t>-602.899911534737 -74.1970393925244 322.147075990244</t>
  </si>
  <si>
    <t>-654.938123683267 -105.65468432736 781.192940364386</t>
  </si>
  <si>
    <t>-500.417803337079 -118.586867281081 824.088712471675</t>
  </si>
  <si>
    <t>9763-20170724T115617.825682400.bin</t>
  </si>
  <si>
    <t>-603.703486044442 35.8934967068647 -93.6015202727666</t>
  </si>
  <si>
    <t>-623.666346982207 31.1239571871422 -202.396006788315</t>
  </si>
  <si>
    <t>-636.068244456068 28.8558870604916 -294.411740227437</t>
  </si>
  <si>
    <t>-646.43979653518 27.4149474782305 -377.649236356605</t>
  </si>
  <si>
    <t>-655.408159097538 26.612774004414 -461.058265607571</t>
  </si>
  <si>
    <t>-666.973993890247 26.1298254598007 -583.1685353699</t>
  </si>
  <si>
    <t>-654.565170929567 29.5319825880301 -660.464435726426</t>
  </si>
  <si>
    <t>-663.533622322613 57.6602810205293 -529.55664014085</t>
  </si>
  <si>
    <t>-638.161058215412 208.936633516043 -501.119928276496</t>
  </si>
  <si>
    <t>-600.146399866534 223.770246463416 -221.99017759028</t>
  </si>
  <si>
    <t>-390.038240186341 124.759884735469 -222.199967251228</t>
  </si>
  <si>
    <t>-612.734521030628 127.69339220582 -97.661068641099</t>
  </si>
  <si>
    <t>-634.306416809828 140.599034509711 317.153036186947</t>
  </si>
  <si>
    <t>-672.436716924019 182.944384360233 776.745450866952</t>
  </si>
  <si>
    <t>-522.140351374381 186.234087512428 834.051660857773</t>
  </si>
  <si>
    <t>-602.679301596294 -74.0429808765991 322.176170569044</t>
  </si>
  <si>
    <t>-654.9377535176 -105.633178165639 781.191990055634</t>
  </si>
  <si>
    <t>-500.401011869542 -118.424346759953 824.070901596126</t>
  </si>
  <si>
    <t>9763-20170724T115617.890861600.bin</t>
  </si>
  <si>
    <t>-603.329591920453 36.2385728663367 -93.6194658762826</t>
  </si>
  <si>
    <t>-623.243310297132 31.4143184132022 -202.420565081594</t>
  </si>
  <si>
    <t>-635.667872103514 29.0466730726864 -294.430632099042</t>
  </si>
  <si>
    <t>-646.086206129816 27.494882142086 -377.660366352741</t>
  </si>
  <si>
    <t>-655.128117756115 26.5616701369622 -461.059961242888</t>
  </si>
  <si>
    <t>-666.831258339008 25.8652890590306 -583.156190863647</t>
  </si>
  <si>
    <t>-654.440072202527 29.0977098512233 -660.462237408947</t>
  </si>
  <si>
    <t>-663.362839191502 57.4877811773281 -529.600304762525</t>
  </si>
  <si>
    <t>-638.001425180378 208.803322939379 -501.369302148456</t>
  </si>
  <si>
    <t>-600.339338864092 224.296849719049 -222.227580304306</t>
  </si>
  <si>
    <t>-390.249297690833 125.247886034849 -222.162719610635</t>
  </si>
  <si>
    <t>-612.361560407392 128.119389431364 -97.7182834315165</t>
  </si>
  <si>
    <t>-634.175152983911 140.825260267068 317.089350395818</t>
  </si>
  <si>
    <t>-672.445169828611 182.924158324988 776.703583497394</t>
  </si>
  <si>
    <t>-522.167386125335 186.353954736352 834.050387564582</t>
  </si>
  <si>
    <t>-602.491510102109 -74.0063053324795 322.205917500933</t>
  </si>
  <si>
    <t>-654.919406005387 -105.666313628784 781.200443267667</t>
  </si>
  <si>
    <t>-500.409016223617 -118.674455184876 824.10906936027</t>
  </si>
  <si>
    <t>9763-20170724T115617.927958700.bin</t>
  </si>
  <si>
    <t>-603.183614031777 36.2978585857441 -93.6385986599215</t>
  </si>
  <si>
    <t>-623.077045413532 31.4466475312206 -202.442192296191</t>
  </si>
  <si>
    <t>-635.50857259659 29.0391017328736 -294.450308780999</t>
  </si>
  <si>
    <t>-645.943121625413 27.4445711767871 -377.677089081076</t>
  </si>
  <si>
    <t>-655.011382687872 26.4623227904208 -461.073466540003</t>
  </si>
  <si>
    <t>-666.764269408775 25.6874628708515 -583.164331529626</t>
  </si>
  <si>
    <t>-654.371912388036 28.8416266032834 -660.473395807473</t>
  </si>
  <si>
    <t>-663.291440712454 57.34335569976 -529.628597336022</t>
  </si>
  <si>
    <t>-637.883911228974 208.666877771327 -501.450717014522</t>
  </si>
  <si>
    <t>-600.47309710719 224.49789426845 -222.294158769995</t>
  </si>
  <si>
    <t>-390.394044629459 125.425775124977 -222.094682640378</t>
  </si>
  <si>
    <t>-612.188685858892 128.235446916661 -97.7552589822787</t>
  </si>
  <si>
    <t>-634.07547320137 140.915688850183 317.049265779868</t>
  </si>
  <si>
    <t>-672.428297991353 182.991744931739 776.666300931833</t>
  </si>
  <si>
    <t>-522.158670556712 186.400535250087 834.035645323358</t>
  </si>
  <si>
    <t>-602.430660334403 -74.0998934670313 322.209802477384</t>
  </si>
  <si>
    <t>-654.901172964053 -105.659463778641 781.207909077274</t>
  </si>
  <si>
    <t>-500.394346296671 -118.619891774715 824.143779818993</t>
  </si>
  <si>
    <t>9763-20170724T115617.990843700.bin</t>
  </si>
  <si>
    <t>-602.890792214803 36.3810268424741 -93.6695546175972</t>
  </si>
  <si>
    <t>-622.764968134506 31.4935073484569 -202.475011798043</t>
  </si>
  <si>
    <t>-635.192605121972 29.0094780898032 -294.481641448308</t>
  </si>
  <si>
    <t>-645.629071294749 27.3274595631165 -377.706463346644</t>
  </si>
  <si>
    <t>-654.705056771033 26.2397037656276 -461.100728313787</t>
  </si>
  <si>
    <t>-666.475774722197 25.291670065486 -583.188697580706</t>
  </si>
  <si>
    <t>-654.054321344015 28.3351271559461 -660.49754213801</t>
  </si>
  <si>
    <t>-663.028668332923 57.0216923189132 -529.695049299253</t>
  </si>
  <si>
    <t>-637.744415956252 208.401414512539 -501.719986410759</t>
  </si>
  <si>
    <t>-600.775094976997 224.675078126985 -222.530094721904</t>
  </si>
  <si>
    <t>-390.669009119141 125.661959428815 -221.923696654127</t>
  </si>
  <si>
    <t>-611.874587086244 128.451767732328 -97.8231978700181</t>
  </si>
  <si>
    <t>-633.914300798753 141.056588724643 316.975499416473</t>
  </si>
  <si>
    <t>-672.431376653172 182.993081309731 776.605277668182</t>
  </si>
  <si>
    <t>-522.17414214087 186.24905919103 834.016003114163</t>
  </si>
  <si>
    <t>-602.279878948838 -74.2354872878873 322.208210489852</t>
  </si>
  <si>
    <t>-654.856298651087 -105.65878170354 781.220115604952</t>
  </si>
  <si>
    <t>-500.369820865076 -118.623956875273 824.227773802242</t>
  </si>
  <si>
    <t>9763-20170724T115618.028945100.bin</t>
  </si>
  <si>
    <t>-602.811243566856 36.3521843982423 -93.6738904882229</t>
  </si>
  <si>
    <t>-622.660507497618 31.4459773581177 -202.483121932945</t>
  </si>
  <si>
    <t>-635.075292889239 28.9345671471772 -294.490631850812</t>
  </si>
  <si>
    <t>-645.503549218046 27.2234922692719 -377.716008741099</t>
  </si>
  <si>
    <t>-654.574892265986 26.102532178445 -461.11023624196</t>
  </si>
  <si>
    <t>-666.342867013517 25.1014817377386 -583.198106738088</t>
  </si>
  <si>
    <t>-653.893428779933 28.1145116754849 -660.503643108069</t>
  </si>
  <si>
    <t>-662.916642020118 56.8538103583928 -529.716247110116</t>
  </si>
  <si>
    <t>-637.730162121824 208.255808150854 -501.783762996593</t>
  </si>
  <si>
    <t>-600.986484493083 224.720599211442 -222.575257786426</t>
  </si>
  <si>
    <t>-390.858828920718 125.754598679152 -221.781871604546</t>
  </si>
  <si>
    <t>-611.765684468729 128.4641553062 -97.8503367537546</t>
  </si>
  <si>
    <t>-633.870192893059 141.086809861547 316.944385658856</t>
  </si>
  <si>
    <t>-672.43346401761 183.013642636232 776.574570640096</t>
  </si>
  <si>
    <t>-522.179637169431 186.264451566847 833.994515931729</t>
  </si>
  <si>
    <t>-602.238456547628 -74.3782139943012 322.208842278852</t>
  </si>
  <si>
    <t>-654.834697690559 -105.677501947221 781.227606865185</t>
  </si>
  <si>
    <t>-500.366515012985 -118.761941085374 824.264813695049</t>
  </si>
  <si>
    <t>9763-20170724T115618.059641100.bin</t>
  </si>
  <si>
    <t>-602.818226707528 36.2647078522887 -93.6963137598516</t>
  </si>
  <si>
    <t>-622.642780619177 31.3358121113774 -202.508909281617</t>
  </si>
  <si>
    <t>-635.064282141547 28.8155961303562 -294.515358647174</t>
  </si>
  <si>
    <t>-645.509832051309 27.1009119766459 -377.738576972605</t>
  </si>
  <si>
    <t>-654.609705497193 25.9813525782895 -461.129520302645</t>
  </si>
  <si>
    <t>-666.431928292123 24.9879541260134 -583.21226096705</t>
  </si>
  <si>
    <t>-653.967762255975 27.9838372471274 -660.516060653952</t>
  </si>
  <si>
    <t>-663.00385209276 56.7354935344679 -529.727905486391</t>
  </si>
  <si>
    <t>-637.85047426949 208.139426702046 -501.789913429404</t>
  </si>
  <si>
    <t>-601.382051700627 224.711554669155 -222.551562579329</t>
  </si>
  <si>
    <t>-391.221859922962 125.816137433685 -221.590715851455</t>
  </si>
  <si>
    <t>-611.727220562002 128.499408605203 -97.8981760515904</t>
  </si>
  <si>
    <t>-633.863987274066 141.129858333828 316.894611990914</t>
  </si>
  <si>
    <t>-672.41585953869 183.123155103195 776.526036844742</t>
  </si>
  <si>
    <t>-522.163526835303 186.107999262573 833.964225978058</t>
  </si>
  <si>
    <t>-602.25849144441 -74.6022528498008 322.19876153618</t>
  </si>
  <si>
    <t>-654.796461364522 -105.691653746749 781.240300559652</t>
  </si>
  <si>
    <t>-500.371997751806 -119.078957947628 824.341215441347</t>
  </si>
  <si>
    <t>9763-20170724T115618.127818600.bin</t>
  </si>
  <si>
    <t>-603.270724297877 35.4830831007635 -93.7892837718341</t>
  </si>
  <si>
    <t>-623.093155665026 30.5061235190856 -202.600108119842</t>
  </si>
  <si>
    <t>-635.532853954605 27.9858864566802 -294.604088413239</t>
  </si>
  <si>
    <t>-646.003029805227 26.2883695548419 -377.824543895739</t>
  </si>
  <si>
    <t>-655.136060439604 25.2035335100732 -461.212366138441</t>
  </si>
  <si>
    <t>-667.015911619228 24.2814384164287 -583.289946550171</t>
  </si>
  <si>
    <t>-654.582453408164 27.2770385307037 -660.598775378706</t>
  </si>
  <si>
    <t>-663.602513494248 55.9955715477486 -529.78483585606</t>
  </si>
  <si>
    <t>-638.632554347565 207.424864826425 -501.805865618528</t>
  </si>
  <si>
    <t>-602.612100184796 224.094941418081 -222.515276994654</t>
  </si>
  <si>
    <t>-392.412674550723 125.284212613064 -221.433610387647</t>
  </si>
  <si>
    <t>-611.974489077393 128.036147707213 -98.0588104097707</t>
  </si>
  <si>
    <t>-633.978246932978 140.769987486168 316.737924480065</t>
  </si>
  <si>
    <t>-672.448034080424 183.032959588086 776.383616124417</t>
  </si>
  <si>
    <t>-522.205614505766 186.218003607497 833.837053856518</t>
  </si>
  <si>
    <t>-602.51916632522 -75.5304121026841 322.137854167554</t>
  </si>
  <si>
    <t>-654.614676224053 -105.71140702561 781.310244166655</t>
  </si>
  <si>
    <t>-500.257538326666 -118.974557334884 824.689752471235</t>
  </si>
  <si>
    <t>9763-20170724T115618.156395400.bin</t>
  </si>
  <si>
    <t>-603.586480812301 35.1810575057884 -93.8381991646235</t>
  </si>
  <si>
    <t>-623.428882162075 30.1854357967145 -202.644693418142</t>
  </si>
  <si>
    <t>-635.862986068513 27.677521682544 -294.649658748125</t>
  </si>
  <si>
    <t>-646.319153074051 26.0025350665417 -377.872375559934</t>
  </si>
  <si>
    <t>-655.429045699318 24.9521548116136 -461.263191436566</t>
  </si>
  <si>
    <t>-667.265323432018 24.0930617185209 -583.345542966488</t>
  </si>
  <si>
    <t>-654.860408506288 27.1252470741151 -660.657444258467</t>
  </si>
  <si>
    <t>-663.887102670498 55.7785121976549 -529.821153156779</t>
  </si>
  <si>
    <t>-638.989710166749 207.205398201173 -501.76163691465</t>
  </si>
  <si>
    <t>-603.11887651136 223.84890228274 -222.450265384577</t>
  </si>
  <si>
    <t>-392.9277513242 125.019934733699 -221.428954070892</t>
  </si>
  <si>
    <t>-612.243366841543 127.90454650164 -98.1336841886489</t>
  </si>
  <si>
    <t>-634.08217586149 140.640697213652 316.671586851383</t>
  </si>
  <si>
    <t>-672.462866812955 183.035729165362 776.311666832364</t>
  </si>
  <si>
    <t>-522.218576022603 186.214077476018 833.760540661722</t>
  </si>
  <si>
    <t>-602.699294396731 -75.8021359710015 322.130010870507</t>
  </si>
  <si>
    <t>-654.527994596904 -105.688718001483 781.350623714968</t>
  </si>
  <si>
    <t>-500.200541644293 -118.84549190744 824.867927650557</t>
  </si>
  <si>
    <t>9763-20170724T115618.302835500.bin</t>
  </si>
  <si>
    <t>-603.942626941729 34.9923756659373 -93.9036817694974</t>
  </si>
  <si>
    <t>-623.805567278113 29.9922625287322 -202.705988712398</t>
  </si>
  <si>
    <t>-636.227344701215 27.5068592802891 -294.713400474033</t>
  </si>
  <si>
    <t>-646.660513223619 25.8630446764632 -377.93951460477</t>
  </si>
  <si>
    <t>-655.735537024529 24.8549420382815 -461.334780235238</t>
  </si>
  <si>
    <t>-667.507719833869 24.0704324065464 -583.423757951696</t>
  </si>
  <si>
    <t>-655.112581637399 27.1486785502141 -660.735464616674</t>
  </si>
  <si>
    <t>-664.176771332461 55.722238662175 -529.876368567702</t>
  </si>
  <si>
    <t>-639.366727883809 207.141566660706 -501.694855539114</t>
  </si>
  <si>
    <t>-603.568067786168 223.573072017082 -222.361491534115</t>
  </si>
  <si>
    <t>-393.387095284618 124.721731943634 -221.410633094598</t>
  </si>
  <si>
    <t>-612.549190124296 127.780957105618 -98.196405190624</t>
  </si>
  <si>
    <t>-634.273062798165 140.512826365685 316.615034153996</t>
  </si>
  <si>
    <t>-672.509042038855 182.94132291583 776.262749258992</t>
  </si>
  <si>
    <t>-522.256737448616 186.248125894819 833.683362429557</t>
  </si>
  <si>
    <t>-602.88583452978 -75.9236983366786 322.112372433085</t>
  </si>
  <si>
    <t>-654.461640869357 -105.668523976896 781.377464010659</t>
  </si>
  <si>
    <t>-500.143513504759 -118.628200272561 824.987034423305</t>
  </si>
  <si>
    <t>9763-20170724T115618.328905500.bin</t>
  </si>
  <si>
    <t>-605.785377650783 34.9749643301061 -94.0478573172348</t>
  </si>
  <si>
    <t>-625.704582161815 30.0945137299159 -202.845315871838</t>
  </si>
  <si>
    <t>-638.025217493325 27.7859503457055 -294.870964238329</t>
  </si>
  <si>
    <t>-648.306971672082 26.3326503428655 -378.119482521148</t>
  </si>
  <si>
    <t>-657.169999518868 25.545996333655 -461.539779980795</t>
  </si>
  <si>
    <t>-668.565785690624 25.1182576200736 -583.666380862756</t>
  </si>
  <si>
    <t>-656.032314514195 28.4155435477487 -660.946604693774</t>
  </si>
  <si>
    <t>-665.403800047225 56.6131073079855 -530.016398161126</t>
  </si>
  <si>
    <t>-640.615437167628 207.943772824497 -501.334197071535</t>
  </si>
  <si>
    <t>-605.10024029127 223.480761350275 -221.913620784598</t>
  </si>
  <si>
    <t>-395.076656431335 124.292517479409 -221.348937164506</t>
  </si>
  <si>
    <t>-614.392811011571 127.812351357674 -98.2993449220594</t>
  </si>
  <si>
    <t>-635.443166442588 140.624995244362 316.544440953327</t>
  </si>
  <si>
    <t>-672.62324062956 182.986944003955 776.243159868731</t>
  </si>
  <si>
    <t>-522.291815816793 185.934192184783 833.476042862695</t>
  </si>
  <si>
    <t>-603.609603851628 -75.5408739104205 321.955736250981</t>
  </si>
  <si>
    <t>-654.276312368426 -105.577969897119 781.37930040118</t>
  </si>
  <si>
    <t>-500.059055705694 -118.842021821731 825.25326405349</t>
  </si>
  <si>
    <t>9763-20170724T115618.358538400.bin</t>
  </si>
  <si>
    <t>-606.307591643515 35.0093005582896 -94.0600159299648</t>
  </si>
  <si>
    <t>-626.275566194531 30.1716217158576 -202.850583252361</t>
  </si>
  <si>
    <t>-638.595083893428 27.9129855355538 -294.877489504855</t>
  </si>
  <si>
    <t>-648.858594046141 26.5100990911235 -378.129097796874</t>
  </si>
  <si>
    <t>-657.68611992431 25.7783987857267 -461.553810041749</t>
  </si>
  <si>
    <t>-669.010702760845 25.4362573334697 -583.687187823437</t>
  </si>
  <si>
    <t>-656.423466894021 28.7805798873871 -660.956632122766</t>
  </si>
  <si>
    <t>-665.866156866589 56.8943788038582 -530.014561776481</t>
  </si>
  <si>
    <t>-641.07038139362 208.201765059084 -501.224654164461</t>
  </si>
  <si>
    <t>-605.513626149278 223.541913574959 -221.798403289119</t>
  </si>
  <si>
    <t>-395.533108523352 124.26218377476 -221.30781085306</t>
  </si>
  <si>
    <t>-614.964282337038 127.803437072894 -98.2776314161905</t>
  </si>
  <si>
    <t>-635.750278831001 140.617620693702 316.579360847877</t>
  </si>
  <si>
    <t>-672.653532641915 182.965455419923 776.283756901733</t>
  </si>
  <si>
    <t>-522.305888362927 186.039919484335 833.467416863781</t>
  </si>
  <si>
    <t>-603.72840292582 -75.3331653743187 321.925798736309</t>
  </si>
  <si>
    <t>-654.270771803638 -105.563286108089 781.36149788407</t>
  </si>
  <si>
    <t>-500.076258896099 -119.059591102243 825.244522418777</t>
  </si>
  <si>
    <t>9763-20170724T115618.427723300.bin</t>
  </si>
  <si>
    <t>-607.341354309286 35.2656770099748 -94.0523893865897</t>
  </si>
  <si>
    <t>-627.423684997565 30.4879743626618 -202.824541422738</t>
  </si>
  <si>
    <t>-639.788478679976 28.3207654085379 -294.847576857523</t>
  </si>
  <si>
    <t>-650.071747639555 27.0155536478183 -378.098313377967</t>
  </si>
  <si>
    <t>-658.897421854298 26.3964769620247 -461.524129179247</t>
  </si>
  <si>
    <t>-670.195325756506 26.2347043534428 -583.660398767063</t>
  </si>
  <si>
    <t>-657.511880351708 29.6785546325743 -660.90973215159</t>
  </si>
  <si>
    <t>-667.040399005548 57.6147891727842 -529.942856094794</t>
  </si>
  <si>
    <t>-642.219594164479 208.877337968389 -500.936956562966</t>
  </si>
  <si>
    <t>-606.482630172788 223.763108875994 -221.509209159595</t>
  </si>
  <si>
    <t>-396.5787517046 124.32069108924 -221.206113050496</t>
  </si>
  <si>
    <t>-616.175980439312 127.863159001322 -98.198690195272</t>
  </si>
  <si>
    <t>-636.447819616697 140.724493334104 316.682315034483</t>
  </si>
  <si>
    <t>-672.698156965556 182.93601017884 776.417181210904</t>
  </si>
  <si>
    <t>-522.314109455011 185.934146592828 833.509008160627</t>
  </si>
  <si>
    <t>-604.025132687576 -74.6974466641732 321.89517314209</t>
  </si>
  <si>
    <t>-654.240757821072 -105.497781079785 781.320928021752</t>
  </si>
  <si>
    <t>-500.020598193304 -118.593449653852 825.235249024232</t>
  </si>
  <si>
    <t>9763-20170724T115618.457709900.bin</t>
  </si>
  <si>
    <t>-607.859413590246 35.4911096725982 -94.0269003079011</t>
  </si>
  <si>
    <t>-627.998214666896 30.7456646144237 -202.789985922902</t>
  </si>
  <si>
    <t>-640.390277295547 28.6389146594115 -294.810856465142</t>
  </si>
  <si>
    <t>-650.6896100623 27.4012571600738 -378.060603745158</t>
  </si>
  <si>
    <t>-659.522587457471 26.8624055088762 -461.486167926689</t>
  </si>
  <si>
    <t>-670.821361745195 26.8315444133764 -583.622426229678</t>
  </si>
  <si>
    <t>-658.094589426693 30.3450983453911 -660.86165743748</t>
  </si>
  <si>
    <t>-667.655102832809 58.1547885733573 -529.872247005198</t>
  </si>
  <si>
    <t>-642.863884415084 209.387879375176 -500.719198936712</t>
  </si>
  <si>
    <t>-606.994813230155 224.053153838946 -221.296671758328</t>
  </si>
  <si>
    <t>-397.120797396643 124.547314036053 -221.18512976505</t>
  </si>
  <si>
    <t>-616.755857362152 127.9872462149 -98.1477961920866</t>
  </si>
  <si>
    <t>-636.769973651492 140.864767918454 316.745129004221</t>
  </si>
  <si>
    <t>-672.715977539045 182.948523383343 776.512440827792</t>
  </si>
  <si>
    <t>-522.310279159785 185.893683156571 833.549805815902</t>
  </si>
  <si>
    <t>-604.183107905261 -74.3232286213351 321.893818051364</t>
  </si>
  <si>
    <t>-654.21755801236 -105.50886712424 781.305145898171</t>
  </si>
  <si>
    <t>-500.014877281036 -118.68763125794 825.25603438303</t>
  </si>
  <si>
    <t>9763-20170724T115618.523885900.bin</t>
  </si>
  <si>
    <t>-608.759640584374 36.0177200642806 -93.9661473674123</t>
  </si>
  <si>
    <t>-628.990212146765 31.3277498431428 -202.714551535686</t>
  </si>
  <si>
    <t>-641.384589362104 29.3239951214352 -294.737488997835</t>
  </si>
  <si>
    <t>-651.65516783912 28.2017067873614 -377.992401432472</t>
  </si>
  <si>
    <t>-660.428173226509 27.8000204694729 -461.424998047888</t>
  </si>
  <si>
    <t>-671.604696280389 27.9929900885629 -583.572458487147</t>
  </si>
  <si>
    <t>-658.784632956222 31.6462174652136 -660.789768859445</t>
  </si>
  <si>
    <t>-668.469157323981 59.2188262648522 -529.763968547236</t>
  </si>
  <si>
    <t>-643.69311503773 210.409908042597 -500.343376271199</t>
  </si>
  <si>
    <t>-607.604033728092 224.401018536068 -220.914644766784</t>
  </si>
  <si>
    <t>-397.726370338202 124.903255122032 -221.203326323812</t>
  </si>
  <si>
    <t>-617.712221904249 128.300761842313 -98.0226987710698</t>
  </si>
  <si>
    <t>-637.276893236644 141.119449625092 316.893467586408</t>
  </si>
  <si>
    <t>-672.739963502381 183.002059269285 776.709867323601</t>
  </si>
  <si>
    <t>-522.296117550264 185.820634964502 833.65315750912</t>
  </si>
  <si>
    <t>-604.510524273222 -73.5604140524392 321.903375623414</t>
  </si>
  <si>
    <t>-654.192899940583 -105.457414368733 781.287465383699</t>
  </si>
  <si>
    <t>-499.956541159628 -118.14203459239 825.265624621997</t>
  </si>
  <si>
    <t>9763-20170724T115618.560014000.bin</t>
  </si>
  <si>
    <t>-609.117227180116 36.2256334292933 -93.9214627760477</t>
  </si>
  <si>
    <t>-629.392939637723 31.5578978965507 -202.662478987111</t>
  </si>
  <si>
    <t>-641.790758472449 29.5985746866565 -294.685647774786</t>
  </si>
  <si>
    <t>-652.050393005194 28.5262100718514 -377.942772271829</t>
  </si>
  <si>
    <t>-660.798125883785 28.1842019523806 -461.378319753545</t>
  </si>
  <si>
    <t>-671.921740892876 28.4751230012737 -583.530264503709</t>
  </si>
  <si>
    <t>-659.076993644355 32.2055150984488 -660.739691393654</t>
  </si>
  <si>
    <t>-668.795703466586 59.6586620408143 -529.696706845575</t>
  </si>
  <si>
    <t>-643.976291403084 210.818030783951 -500.18644177429</t>
  </si>
  <si>
    <t>-607.805557594588 224.555395847007 -220.755590736545</t>
  </si>
  <si>
    <t>-397.966097086061 124.977537714291 -221.181734796619</t>
  </si>
  <si>
    <t>-618.101001262717 128.423879103943 -97.9565880841465</t>
  </si>
  <si>
    <t>-637.454998332881 141.213003591406 316.970471494168</t>
  </si>
  <si>
    <t>-672.768876212827 182.953754146363 776.804051616271</t>
  </si>
  <si>
    <t>-522.309790331046 185.904870123768 833.70010582394</t>
  </si>
  <si>
    <t>-604.658368173501 -73.270441503749 321.916368887603</t>
  </si>
  <si>
    <t>-654.190935369767 -105.481386435899 781.281246711366</t>
  </si>
  <si>
    <t>-499.96901011988 -118.295647091391 825.27231505198</t>
  </si>
  <si>
    <t>9763-20170724T115618.628193600.bin</t>
  </si>
  <si>
    <t>-609.768331993879 36.612978338778 -93.8548965187811</t>
  </si>
  <si>
    <t>-630.174904296052 31.9932921816996 -202.573452893076</t>
  </si>
  <si>
    <t>-642.64738667124 30.1004838255844 -294.588061294066</t>
  </si>
  <si>
    <t>-652.95978549508 29.0989030585927 -377.8393275514</t>
  </si>
  <si>
    <t>-661.745575809868 28.8373976577168 -461.271234120331</t>
  </si>
  <si>
    <t>-672.908299444171 29.2571470136729 -583.419336967999</t>
  </si>
  <si>
    <t>-660.084979230558 33.1071467621566 -660.626536509071</t>
  </si>
  <si>
    <t>-669.742622698536 60.3851996845265 -529.555997658495</t>
  </si>
  <si>
    <t>-644.821659059768 211.497955288875 -499.868781180035</t>
  </si>
  <si>
    <t>-608.070953853026 224.808365738428 -220.492979905057</t>
  </si>
  <si>
    <t>-398.317812655301 125.050737186706 -221.240753023173</t>
  </si>
  <si>
    <t>-618.825310352031 128.768441456536 -97.8481156782287</t>
  </si>
  <si>
    <t>-637.818417171993 141.416667999376 317.099951876379</t>
  </si>
  <si>
    <t>-672.777614776861 182.999714918839 776.97889328447</t>
  </si>
  <si>
    <t>-522.293169904227 185.872779312396 833.811989688109</t>
  </si>
  <si>
    <t>-604.92450118851 -72.7355644067966 321.944438896946</t>
  </si>
  <si>
    <t>-654.187417074897 -105.462159487569 781.278080960556</t>
  </si>
  <si>
    <t>-499.923727463057 -117.760235648158 825.270071213644</t>
  </si>
  <si>
    <t>9763-20170724T115618.690870200.bin</t>
  </si>
  <si>
    <t>-610.176303300179 36.8884641719428 -93.7812662002489</t>
  </si>
  <si>
    <t>-630.809211268496 32.3144338226077 -202.459062042351</t>
  </si>
  <si>
    <t>-643.467514552548 30.4606241157117 -294.449069182618</t>
  </si>
  <si>
    <t>-653.9457606291 29.4950518028847 -377.680146726935</t>
  </si>
  <si>
    <t>-662.895415547788 29.2702743057189 -461.094639410357</t>
  </si>
  <si>
    <t>-674.295713040582 29.7438244675636 -583.22060377139</t>
  </si>
  <si>
    <t>-661.612571907613 33.6569027810021 -660.447781596299</t>
  </si>
  <si>
    <t>-671.016133376519 60.848563911549 -529.350534348598</t>
  </si>
  <si>
    <t>-646.045551714222 211.938093251527 -499.602538794905</t>
  </si>
  <si>
    <t>-608.353147953966 224.886912294281 -220.335364918939</t>
  </si>
  <si>
    <t>-398.639302925629 125.052753210325 -221.666366215346</t>
  </si>
  <si>
    <t>-619.269628599421 129.075187221215 -97.7185081852288</t>
  </si>
  <si>
    <t>-637.918674739145 141.503604851857 317.251798901117</t>
  </si>
  <si>
    <t>-672.788096079888 182.974502924504 777.150279542647</t>
  </si>
  <si>
    <t>-522.277659360522 185.745487206016 833.919594716464</t>
  </si>
  <si>
    <t>-604.976188310141 -72.2725063755797 321.975749212406</t>
  </si>
  <si>
    <t>-654.067671021556 -105.469775131205 781.287774577539</t>
  </si>
  <si>
    <t>-499.868208728943 -117.765271447646 825.505121453885</t>
  </si>
  <si>
    <t>9763-20170724T115618.728968400.bin</t>
  </si>
  <si>
    <t>-610.297100795142 36.9958287949903 -93.7254178091302</t>
  </si>
  <si>
    <t>-631.069304058922 32.4381947564332 -202.37748707693</t>
  </si>
  <si>
    <t>-643.846625703785 30.5911615856205 -294.35116055392</t>
  </si>
  <si>
    <t>-654.433114490808 29.628841077109 -377.568516358425</t>
  </si>
  <si>
    <t>-663.491727117579 29.4046557912407 -460.971274471418</t>
  </si>
  <si>
    <t>-675.052203691976 29.8758164992314 -583.082175497392</t>
  </si>
  <si>
    <t>-662.455429772007 33.7964528185896 -660.323136583096</t>
  </si>
  <si>
    <t>-671.695883967034 60.9819172093596 -529.217630960628</t>
  </si>
  <si>
    <t>-646.681001089846 212.06750221348 -499.467177314125</t>
  </si>
  <si>
    <t>-608.466830389122 224.850760938104 -220.263066038927</t>
  </si>
  <si>
    <t>-398.761196065982 125.003799648984 -221.893178285752</t>
  </si>
  <si>
    <t>-619.435536849794 129.266350916315 -97.6460238704456</t>
  </si>
  <si>
    <t>-637.903826750213 141.470416672926 317.339022166813</t>
  </si>
  <si>
    <t>-672.776019715378 183.023782847447 777.230836634981</t>
  </si>
  <si>
    <t>-522.250495674436 185.651497916737 833.966757970394</t>
  </si>
  <si>
    <t>-604.91312098302 -72.0375595586247 322.016499105643</t>
  </si>
  <si>
    <t>-653.939400269548 -105.481303231156 781.326910035802</t>
  </si>
  <si>
    <t>-499.818294884605 -117.952729906051 825.767634395529</t>
  </si>
  <si>
    <t>9763-20170724T115618.760583300.bin</t>
  </si>
  <si>
    <t>-610.380596510859 37.0597893031429 -93.6710961466058</t>
  </si>
  <si>
    <t>-631.306840475471 32.5120737503491 -202.293894203877</t>
  </si>
  <si>
    <t>-644.21239982635 30.6654233446277 -294.249656154345</t>
  </si>
  <si>
    <t>-654.914166144526 29.7001879171803 -377.452282955864</t>
  </si>
  <si>
    <t>-664.087528266584 29.4698014564401 -460.84244955286</t>
  </si>
  <si>
    <t>-675.815063691917 29.9285345465939 -582.937435250392</t>
  </si>
  <si>
    <t>-663.312388874436 33.844432217531 -660.193930679084</t>
  </si>
  <si>
    <t>-672.37814432979 61.0406093839713 -529.081473239583</t>
  </si>
  <si>
    <t>-647.2847891108 212.1234131843 -499.375113128692</t>
  </si>
  <si>
    <t>-608.555897090083 224.808142480125 -220.237531714359</t>
  </si>
  <si>
    <t>-398.86083788509 124.943288689562 -222.117064658429</t>
  </si>
  <si>
    <t>-619.583701095134 129.369883481951 -97.5700043169177</t>
  </si>
  <si>
    <t>-637.999522265258 141.367360872394 317.423383219184</t>
  </si>
  <si>
    <t>-672.774725755529 183.024893701025 777.328837591443</t>
  </si>
  <si>
    <t>-522.230486944422 185.626944307721 834.016435591317</t>
  </si>
  <si>
    <t>-604.850573443345 -71.8054258527 322.070836853848</t>
  </si>
  <si>
    <t>-653.832145318108 -105.482623178608 781.367767718927</t>
  </si>
  <si>
    <t>-499.766695376552 -117.917344709434 826.011254221305</t>
  </si>
  <si>
    <t>9763-20170724T115618.824753700.bin</t>
  </si>
  <si>
    <t>-610.565373237173 37.1629788270102 -93.5419840764854</t>
  </si>
  <si>
    <t>-631.767339608775 32.619386803103 -202.111446428662</t>
  </si>
  <si>
    <t>-644.925940220964 30.7434756748246 -294.030772316775</t>
  </si>
  <si>
    <t>-655.864383543864 29.7384948261229 -377.202166155349</t>
  </si>
  <si>
    <t>-665.28279302803 29.454270453014 -460.564983982469</t>
  </si>
  <si>
    <t>-677.377523954971 29.818960381846 -582.624316723723</t>
  </si>
  <si>
    <t>-665.125506881953 33.6883993750218 -659.923335108178</t>
  </si>
  <si>
    <t>-673.759059015981 60.9736218705093 -528.80481711508</t>
  </si>
  <si>
    <t>-648.499522858162 212.05006369006 -499.211872250131</t>
  </si>
  <si>
    <t>-608.749210427856 224.707864730247 -220.216843837414</t>
  </si>
  <si>
    <t>-399.165764809835 124.619697377596 -222.599697292574</t>
  </si>
  <si>
    <t>-619.978028393164 129.48123031145 -97.3985809946703</t>
  </si>
  <si>
    <t>-638.178127529999 141.19689439566 317.612414446644</t>
  </si>
  <si>
    <t>-672.802099112007 182.952519293121 777.546088109362</t>
  </si>
  <si>
    <t>-522.210098877371 185.597635012423 834.104745118892</t>
  </si>
  <si>
    <t>-604.74330534817 -71.3304971308664 322.173704854641</t>
  </si>
  <si>
    <t>-653.748647453763 -105.434621528517 781.416941619502</t>
  </si>
  <si>
    <t>-499.69404604462 -117.424990933223 826.219104123057</t>
  </si>
  <si>
    <t>9763-20170724T115618.862329200.bin</t>
  </si>
  <si>
    <t>-610.611949398367 37.2712967649379 -93.4954723989249</t>
  </si>
  <si>
    <t>-631.949016586114 32.745153913211 -202.03925826381</t>
  </si>
  <si>
    <t>-645.219761365786 30.8501829531419 -293.942104329593</t>
  </si>
  <si>
    <t>-656.258939273681 29.8142783373635 -377.099693204434</t>
  </si>
  <si>
    <t>-665.777625497761 29.4852914527316 -460.450950036128</t>
  </si>
  <si>
    <t>-678.018510455396 29.7690542516959 -582.496113676501</t>
  </si>
  <si>
    <t>-665.896758214547 33.5895411849385 -659.817975648421</t>
  </si>
  <si>
    <t>-674.322074057073 60.9601607077 -528.702831800262</t>
  </si>
  <si>
    <t>-648.941352889527 212.041392647295 -499.222124340542</t>
  </si>
  <si>
    <t>-608.839962093053 224.72066582746 -220.27825254199</t>
  </si>
  <si>
    <t>-399.291168102587 124.564645390896 -222.848596985631</t>
  </si>
  <si>
    <t>-620.06759557002 129.652217759634 -97.3244840635356</t>
  </si>
  <si>
    <t>-638.288061250203 141.178315659707 317.690873314596</t>
  </si>
  <si>
    <t>-672.80410615384 182.971773146783 777.647113845908</t>
  </si>
  <si>
    <t>-522.190780931491 185.531587736404 834.152804298315</t>
  </si>
  <si>
    <t>-604.670292948498 -71.0847759798551 322.209506786006</t>
  </si>
  <si>
    <t>-653.789406447525 -105.397955331492 781.415088204404</t>
  </si>
  <si>
    <t>-499.733152957253 -117.532214833594 826.172837367573</t>
  </si>
  <si>
    <t>9763-20170724T115618.924497800.bin</t>
  </si>
  <si>
    <t>-610.604602301372 37.5078226900655 -93.4206193169241</t>
  </si>
  <si>
    <t>-632.146295680548 33.032178235429 -201.926109805803</t>
  </si>
  <si>
    <t>-645.627248916517 31.094627175918 -293.797478954127</t>
  </si>
  <si>
    <t>-656.872087271198 29.9869359229585 -376.926580087845</t>
  </si>
  <si>
    <t>-666.612505563436 29.5527449696076 -460.251759418873</t>
  </si>
  <si>
    <t>-679.195589012537 29.6456610654586 -582.26222399568</t>
  </si>
  <si>
    <t>-667.363813174238 33.3403210211559 -659.635271230379</t>
  </si>
  <si>
    <t>-675.320335083303 60.9221668949376 -528.531523668626</t>
  </si>
  <si>
    <t>-649.681030617016 212.01529761361 -499.334805470767</t>
  </si>
  <si>
    <t>-608.97902434192 225.00729691738 -220.492252789062</t>
  </si>
  <si>
    <t>-399.593034614464 124.51325099296 -223.134672036663</t>
  </si>
  <si>
    <t>-619.966023039283 129.97779049059 -97.185148567065</t>
  </si>
  <si>
    <t>-638.218730056414 141.261698866726 317.835476156835</t>
  </si>
  <si>
    <t>-672.792028114811 183.030104698964 777.816000704435</t>
  </si>
  <si>
    <t>-522.147008136164 185.48813862204 834.241644157029</t>
  </si>
  <si>
    <t>-604.442712707186 -70.6335189718056 322.253217324319</t>
  </si>
  <si>
    <t>-653.956159615597 -105.3429191696 781.381443261265</t>
  </si>
  <si>
    <t>-499.856371961 -117.802192827516 825.899341783011</t>
  </si>
  <si>
    <t>9763-20170724T115618.962133300.bin</t>
  </si>
  <si>
    <t>-610.522981409335 37.6290106533977 -93.3811006085971</t>
  </si>
  <si>
    <t>-632.146553912929 33.1704270739694 -201.870950966422</t>
  </si>
  <si>
    <t>-645.721072413329 31.2100427941905 -293.727985723654</t>
  </si>
  <si>
    <t>-657.060443949508 30.0674163626456 -376.843767202116</t>
  </si>
  <si>
    <t>-666.905775443456 29.5832445317931 -460.156363049481</t>
  </si>
  <si>
    <t>-679.653592071495 29.5870595347683 -582.14985488093</t>
  </si>
  <si>
    <t>-667.964710047397 33.2159275887666 -659.547581302991</t>
  </si>
  <si>
    <t>-675.691307374469 60.9037159474715 -528.448711651033</t>
  </si>
  <si>
    <t>-649.919082344913 211.998723592892 -499.407088853556</t>
  </si>
  <si>
    <t>-609.03893202642 225.289762940006 -220.604696685684</t>
  </si>
  <si>
    <t>-399.753776929299 124.590696416035 -223.42540250851</t>
  </si>
  <si>
    <t>-619.817252790372 130.150162147574 -97.1327312740223</t>
  </si>
  <si>
    <t>-638.083645770804 141.383249309421 317.88863487999</t>
  </si>
  <si>
    <t>-672.779838663774 183.068906537216 777.878146466374</t>
  </si>
  <si>
    <t>-522.127170019193 185.418950681571 834.288024567577</t>
  </si>
  <si>
    <t>-604.302682212915 -70.4151150498951 322.273476789676</t>
  </si>
  <si>
    <t>-654.060530584778 -105.301149486154 781.360115407965</t>
  </si>
  <si>
    <t>-499.916731016629 -117.766154686842 825.723851333726</t>
  </si>
  <si>
    <t>9763-20170724T115619.029312900.bin</t>
  </si>
  <si>
    <t>-610.300973975117 37.830308827067 -93.321929709298</t>
  </si>
  <si>
    <t>-632.090485156828 33.4082864455534 -201.78011662423</t>
  </si>
  <si>
    <t>-645.824961341267 31.401088455618 -293.612336426235</t>
  </si>
  <si>
    <t>-657.317552159521 30.1857461724805 -376.706204968825</t>
  </si>
  <si>
    <t>-667.325043723249 29.5988310442795 -459.998774778689</t>
  </si>
  <si>
    <t>-680.320326930141 29.418827996403 -581.966058726732</t>
  </si>
  <si>
    <t>-668.889300053404 32.8970584706869 -659.409133706037</t>
  </si>
  <si>
    <t>-676.241140784221 60.8167078909228 -528.321077442578</t>
  </si>
  <si>
    <t>-650.411046736568 211.971938876 -499.627864328171</t>
  </si>
  <si>
    <t>-609.2025243001 225.913871169766 -220.905618288593</t>
  </si>
  <si>
    <t>-399.987062244893 125.093475624389 -224.464399306985</t>
  </si>
  <si>
    <t>-619.435193944157 130.435607800161 -97.0382605157789</t>
  </si>
  <si>
    <t>-637.668490146849 141.627693342816 317.985699170837</t>
  </si>
  <si>
    <t>-672.77798965946 183.049164443249 777.970764762692</t>
  </si>
  <si>
    <t>-522.119652657762 185.445837824537 834.363415287965</t>
  </si>
  <si>
    <t>-603.992791199364 -70.0909633576025 322.304646175621</t>
  </si>
  <si>
    <t>-654.286324109688 -105.209019193381 781.320961422155</t>
  </si>
  <si>
    <t>-500.073735751728 -118.045977138614 825.338178698735</t>
  </si>
  <si>
    <t>9763-20170724T115619.060409100.bin</t>
  </si>
  <si>
    <t>-610.293750811681 37.867645128754 -93.3038500334548</t>
  </si>
  <si>
    <t>-632.146540115938 33.4586089529823 -201.749696386834</t>
  </si>
  <si>
    <t>-645.94250970063 31.4278676428387 -293.572228386648</t>
  </si>
  <si>
    <t>-657.494075875163 30.177633730483 -376.657441888083</t>
  </si>
  <si>
    <t>-667.564201741981 29.5418581236634 -459.941987424135</t>
  </si>
  <si>
    <t>-680.655065028949 29.2754238070138 -581.898934343131</t>
  </si>
  <si>
    <t>-669.327008808478 32.680120269581 -659.36044147118</t>
  </si>
  <si>
    <t>-676.528674675259 60.7115740535155 -528.279995537157</t>
  </si>
  <si>
    <t>-650.675218629813 211.884389605192 -499.73635595383</t>
  </si>
  <si>
    <t>-609.366451074349 226.2217509583 -221.049014268748</t>
  </si>
  <si>
    <t>-400.159553292244 125.388090357204 -224.732530070019</t>
  </si>
  <si>
    <t>-619.406931892407 130.482090207245 -96.9997575646102</t>
  </si>
  <si>
    <t>-637.622125344421 141.658050840324 318.025368294974</t>
  </si>
  <si>
    <t>-672.780576568731 183.010025615312 778.002516273318</t>
  </si>
  <si>
    <t>-522.121244193565 185.415981928771 834.392244142562</t>
  </si>
  <si>
    <t>-603.93994594384 -70.0110968893466 322.30323244744</t>
  </si>
  <si>
    <t>-654.412051511022 -105.170588566751 781.297055529444</t>
  </si>
  <si>
    <t>-500.136035730123 -117.954120902128 825.107053356851</t>
  </si>
  <si>
    <t>9763-20170724T115619.125583000.bin</t>
  </si>
  <si>
    <t>-610.395211401726 37.7870074583827 -93.3159913831549</t>
  </si>
  <si>
    <t>-632.331675076973 33.3828590935823 -201.745287888559</t>
  </si>
  <si>
    <t>-646.244694828374 31.3240005030848 -293.549481352074</t>
  </si>
  <si>
    <t>-657.920839508362 30.0355105107681 -376.616578834899</t>
  </si>
  <si>
    <t>-668.134750897278 29.3484140847524 -459.883362265241</t>
  </si>
  <si>
    <t>-681.456910940374 28.9930769753798 -581.814784144406</t>
  </si>
  <si>
    <t>-670.311839119174 32.3125405632197 -659.306670230274</t>
  </si>
  <si>
    <t>-677.233584605628 60.468078609269 -528.226327737842</t>
  </si>
  <si>
    <t>-651.323843474642 211.671912308467 -499.891776093682</t>
  </si>
  <si>
    <t>-609.882600695952 226.66245886241 -221.258486749891</t>
  </si>
  <si>
    <t>-400.823439329963 125.524287462263 -224.984388016121</t>
  </si>
  <si>
    <t>-619.464508036762 130.389852741693 -96.9840700531669</t>
  </si>
  <si>
    <t>-637.699598501642 141.65129323596 318.037953769201</t>
  </si>
  <si>
    <t>-672.753495590956 183.04296116807 778.025920013477</t>
  </si>
  <si>
    <t>-522.095609119082 185.469567651973 834.418622998737</t>
  </si>
  <si>
    <t>-603.990220376935 -70.0152298572109 322.277782566534</t>
  </si>
  <si>
    <t>-654.630002884457 -105.116747275909 781.245045947699</t>
  </si>
  <si>
    <t>-500.297273385678 -118.343831092431 824.722363242592</t>
  </si>
  <si>
    <t>9763-20170724T115619.158385200.bin</t>
  </si>
  <si>
    <t>-610.497638849275 37.6913285267453 -93.3367731638616</t>
  </si>
  <si>
    <t>-632.449391807043 33.2601324163604 -201.761759509182</t>
  </si>
  <si>
    <t>-646.406318691107 31.1851804891542 -293.559016447338</t>
  </si>
  <si>
    <t>-658.134534187711 29.8844260173639 -376.618619072832</t>
  </si>
  <si>
    <t>-668.412982212269 29.1877457395883 -459.877293136957</t>
  </si>
  <si>
    <t>-681.843135102964 28.8212555552309 -581.796971794287</t>
  </si>
  <si>
    <t>-670.756920150745 32.1351163172926 -659.297538621136</t>
  </si>
  <si>
    <t>-677.578898168191 60.3007896473778 -528.214454074474</t>
  </si>
  <si>
    <t>-651.622965865824 211.504590625605 -499.921102360992</t>
  </si>
  <si>
    <t>-610.151089865274 226.598825634406 -221.2980124643</t>
  </si>
  <si>
    <t>-401.200017887665 125.245847217822 -225.241294594009</t>
  </si>
  <si>
    <t>-619.565709930479 130.288204334391 -97.0123241615494</t>
  </si>
  <si>
    <t>-637.694523034549 141.622545981221 318.012331435678</t>
  </si>
  <si>
    <t>-672.759142655834 182.966818616044 778.018530012676</t>
  </si>
  <si>
    <t>-522.106555609075 185.469859468321 834.422029992345</t>
  </si>
  <si>
    <t>-604.079707996547 -70.0585944262127 322.259914411258</t>
  </si>
  <si>
    <t>-654.699687338698 -105.060447492119 781.232773474338</t>
  </si>
  <si>
    <t>-500.305793524308 -117.955135401511 824.592541052867</t>
  </si>
  <si>
    <t>9763-20170724T115619.226061900.bin</t>
  </si>
  <si>
    <t>-610.800978633577 37.4348948440734 -93.3717795104836</t>
  </si>
  <si>
    <t>-632.779032345487 32.9739897906816 -201.790295425696</t>
  </si>
  <si>
    <t>-646.784692369242 30.8873249337 -293.579821054291</t>
  </si>
  <si>
    <t>-658.567565873945 29.5810688479789 -376.631514791399</t>
  </si>
  <si>
    <t>-668.911296881599 28.8844453148465 -459.882166577137</t>
  </si>
  <si>
    <t>-682.44863000138 28.5240097340852 -581.790061760282</t>
  </si>
  <si>
    <t>-671.427810247065 31.8656726606812 -659.298674540593</t>
  </si>
  <si>
    <t>-678.14773699855 60.0003357928128 -528.208502216821</t>
  </si>
  <si>
    <t>-652.183856668035 211.207365899352 -499.937988390522</t>
  </si>
  <si>
    <t>-610.688157964628 226.445586300959 -221.326332426278</t>
  </si>
  <si>
    <t>-401.983431728149 124.597670304571 -225.553521736844</t>
  </si>
  <si>
    <t>-619.882595241049 130.006367762107 -97.0505133939288</t>
  </si>
  <si>
    <t>-637.79489462771 141.483569102474 317.979644704431</t>
  </si>
  <si>
    <t>-672.752742192558 182.942177908533 777.983070637462</t>
  </si>
  <si>
    <t>-522.102810301916 185.482100324839 834.391965637448</t>
  </si>
  <si>
    <t>-604.373714072067 -70.2500910261315 322.21963668246</t>
  </si>
  <si>
    <t>-654.782032095009 -105.040223454354 781.232866194055</t>
  </si>
  <si>
    <t>-500.331002079734 -117.671409382766 824.466494535559</t>
  </si>
  <si>
    <t>9763-20170724T115619.290245000.bin</t>
  </si>
  <si>
    <t>-611.226532827394 37.0706843654725 -93.4270085308453</t>
  </si>
  <si>
    <t>-633.199482040915 32.5820472009125 -201.845331260785</t>
  </si>
  <si>
    <t>-647.251193709481 30.4854076533607 -293.627628255622</t>
  </si>
  <si>
    <t>-659.095882244917 29.1754122457469 -376.670472954723</t>
  </si>
  <si>
    <t>-669.521954541644 28.4806461428018 -459.910839825078</t>
  </si>
  <si>
    <t>-683.202065349135 28.129906223676 -581.802864209077</t>
  </si>
  <si>
    <t>-672.236985880787 31.5244966113571 -659.317052600841</t>
  </si>
  <si>
    <t>-678.873709674062 59.6000878275825 -528.219915018874</t>
  </si>
  <si>
    <t>-653.081095714172 210.840888952872 -499.977352240357</t>
  </si>
  <si>
    <t>-611.582728099758 226.351574773777 -221.381115878509</t>
  </si>
  <si>
    <t>-403.205558566432 123.849415307759 -225.940467171139</t>
  </si>
  <si>
    <t>-620.350618171182 129.620657336611 -97.1212665866094</t>
  </si>
  <si>
    <t>-638.031435681778 141.286954908481 317.91353643001</t>
  </si>
  <si>
    <t>-672.740953365893 182.903206415066 777.921748238716</t>
  </si>
  <si>
    <t>-522.092887593091 185.488986872112 834.333538837357</t>
  </si>
  <si>
    <t>-604.696558668597 -70.5052359367753 322.177033192309</t>
  </si>
  <si>
    <t>-654.835119499398 -105.002331802981 781.234895811156</t>
  </si>
  <si>
    <t>-500.366253408124 -117.630902695979 824.405665958101</t>
  </si>
  <si>
    <t>9763-20170724T115619.325335600.bin</t>
  </si>
  <si>
    <t>-611.438834096538 36.8325640406156 -93.4629550727047</t>
  </si>
  <si>
    <t>-633.401833671813 32.3237603572466 -201.882416060629</t>
  </si>
  <si>
    <t>-647.459235756854 30.2201744197951 -293.663733735724</t>
  </si>
  <si>
    <t>-659.314747033541 28.9075679899117 -376.705036890189</t>
  </si>
  <si>
    <t>-669.757209098795 28.2144004384954 -459.943281730524</t>
  </si>
  <si>
    <t>-683.467547045844 27.870402657202 -581.831970870648</t>
  </si>
  <si>
    <t>-672.506812756528 31.290869639573 -659.345661686561</t>
  </si>
  <si>
    <t>-679.142558784596 59.3367036463235 -528.24636565712</t>
  </si>
  <si>
    <t>-653.522201591101 210.619440968623 -500.050734547985</t>
  </si>
  <si>
    <t>-612.062896574924 226.37009884846 -221.46204601831</t>
  </si>
  <si>
    <t>-403.836639006897 123.578086486538 -226.376446869473</t>
  </si>
  <si>
    <t>-620.604921522072 129.351387910679 -97.1642708214941</t>
  </si>
  <si>
    <t>-638.137603877094 141.153871617822 317.872966595592</t>
  </si>
  <si>
    <t>-672.734259141441 182.871363170071 777.883063901422</t>
  </si>
  <si>
    <t>-522.090137304316 185.511307878312 834.302930992158</t>
  </si>
  <si>
    <t>-604.861743757032 -70.6629244901942 322.154948683168</t>
  </si>
  <si>
    <t>-654.85182374573 -105.021576007375 781.239210002058</t>
  </si>
  <si>
    <t>-500.376573748628 -117.631754143076 824.392469980784</t>
  </si>
  <si>
    <t>9763-20170724T115619.361945800.bin</t>
  </si>
  <si>
    <t>-611.651044194638 36.6100538382691 -93.4923215517626</t>
  </si>
  <si>
    <t>-633.59115173606 32.0822614138208 -201.915723231212</t>
  </si>
  <si>
    <t>-647.633525250273 29.9644975924909 -293.698930464621</t>
  </si>
  <si>
    <t>-659.477220053069 28.6393087538297 -376.741805525522</t>
  </si>
  <si>
    <t>-669.909627704861 27.9342245756602 -459.981088230108</t>
  </si>
  <si>
    <t>-683.607250038682 27.5735654020739 -581.871158936683</t>
  </si>
  <si>
    <t>-672.634942381268 31.0094161196366 -659.38257517668</t>
  </si>
  <si>
    <t>-679.304620665406 59.0463874027846 -528.28774180714</t>
  </si>
  <si>
    <t>-653.787977142209 210.355143603691 -500.121377689559</t>
  </si>
  <si>
    <t>-612.492248561828 226.425131848075 -221.526704995852</t>
  </si>
  <si>
    <t>-404.35104255032 123.47129354819 -226.653254224849</t>
  </si>
  <si>
    <t>-620.860408154884 129.125472170283 -97.2046877244593</t>
  </si>
  <si>
    <t>-638.300812201361 141.013097367922 317.834027822667</t>
  </si>
  <si>
    <t>-672.733012428382 182.84102176517 777.852345208293</t>
  </si>
  <si>
    <t>-522.090776184641 185.439741426171 834.279179821569</t>
  </si>
  <si>
    <t>-605.029761479104 -70.836913270072 322.138126142938</t>
  </si>
  <si>
    <t>-654.868628280182 -105.051393727474 781.242556372199</t>
  </si>
  <si>
    <t>-500.43111431106 -118.115237905304 824.395911632514</t>
  </si>
  <si>
    <t>9763-20170724T115619.426114300.bin</t>
  </si>
  <si>
    <t>-612.007003978166 36.2115686593793 -93.5325290146176</t>
  </si>
  <si>
    <t>-633.844292442595 31.6436094600042 -201.97497625369</t>
  </si>
  <si>
    <t>-647.803964141482 29.4451693901719 -293.76887830101</t>
  </si>
  <si>
    <t>-659.574667506907 28.0274617588852 -376.820597956948</t>
  </si>
  <si>
    <t>-669.935941556727 27.2104412284011 -460.067941951429</t>
  </si>
  <si>
    <t>-683.531556675383 26.6649745214013 -581.968672693497</t>
  </si>
  <si>
    <t>-672.505711871995 30.070985776335 -659.47377815624</t>
  </si>
  <si>
    <t>-679.288992934264 58.2181053002562 -528.427514098471</t>
  </si>
  <si>
    <t>-653.900983377655 209.589478535904 -500.489717107469</t>
  </si>
  <si>
    <t>-613.317030672214 226.394599483725 -221.833870977045</t>
  </si>
  <si>
    <t>-405.174514642687 123.443808906371 -226.967871252481</t>
  </si>
  <si>
    <t>-621.289645815128 128.652132591195 -97.2800940112531</t>
  </si>
  <si>
    <t>-638.552030207 140.855703200363 317.756845189134</t>
  </si>
  <si>
    <t>-672.739759253528 182.74405429689 777.774972943978</t>
  </si>
  <si>
    <t>-522.101619431795 185.457639727731 834.207399525105</t>
  </si>
  <si>
    <t>-605.35779713364 -71.1241627554982 322.102352480314</t>
  </si>
  <si>
    <t>-654.881305535224 -105.02839901234 781.250624132843</t>
  </si>
  <si>
    <t>-500.394128114312 -117.480772368198 824.406972571812</t>
  </si>
  <si>
    <t>9763-20170724T115619.461272400.bin</t>
  </si>
  <si>
    <t>-612.127562563477 36.0055572754525 -93.5512056015621</t>
  </si>
  <si>
    <t>-633.917435690447 31.4280011103881 -202.002833870501</t>
  </si>
  <si>
    <t>-647.843483687648 29.187532015563 -293.800916770325</t>
  </si>
  <si>
    <t>-659.586504450207 27.7177550023468 -376.855387125528</t>
  </si>
  <si>
    <t>-669.922988436407 26.8346262815339 -460.105282390832</t>
  </si>
  <si>
    <t>-683.485639708577 26.1771979004025 -582.009074624035</t>
  </si>
  <si>
    <t>-672.43531457801 29.5448493165029 -659.512388505579</t>
  </si>
  <si>
    <t>-679.272508586572 57.778722130872 -528.49421573926</t>
  </si>
  <si>
    <t>-653.963277047544 209.183205805453 -500.683008927167</t>
  </si>
  <si>
    <t>-613.699313066429 226.49408987012 -222.011589572148</t>
  </si>
  <si>
    <t>-405.565939115809 123.526717317443 -227.183719206651</t>
  </si>
  <si>
    <t>-621.456121142434 128.437305193644 -97.3157057430271</t>
  </si>
  <si>
    <t>-638.622765930219 140.746749984306 317.722084510449</t>
  </si>
  <si>
    <t>-672.733903847913 182.721624742625 777.739883360391</t>
  </si>
  <si>
    <t>-522.098182255108 185.596321059238 834.17071790169</t>
  </si>
  <si>
    <t>-605.470429668576 -71.2766513746369 322.089789741822</t>
  </si>
  <si>
    <t>-654.861893530246 -105.052813206019 781.258903606665</t>
  </si>
  <si>
    <t>-500.405108357393 -117.695051027364 824.468863141499</t>
  </si>
  <si>
    <t>9763-20170724T115619.525442700.bin</t>
  </si>
  <si>
    <t>-612.276896331647 35.6785496725709 -93.6242644311761</t>
  </si>
  <si>
    <t>-634.009467723359 31.0502718345967 -202.085209417954</t>
  </si>
  <si>
    <t>-647.894094337593 28.7261285314614 -293.887339895616</t>
  </si>
  <si>
    <t>-659.602789478116 27.1635894920728 -376.945143669197</t>
  </si>
  <si>
    <t>-669.908226413728 26.1713779256322 -460.197492820796</t>
  </si>
  <si>
    <t>-683.429364580125 25.3365392488197 -582.104880249637</t>
  </si>
  <si>
    <t>-672.335948992657 28.6066074105904 -659.606217965641</t>
  </si>
  <si>
    <t>-679.280572822192 57.0133603329575 -528.629564589289</t>
  </si>
  <si>
    <t>-654.1983828838 208.49459384729 -501.032346281216</t>
  </si>
  <si>
    <t>-614.46523171917 226.736158456465 -222.344205997539</t>
  </si>
  <si>
    <t>-406.28908473086 123.872377568487 -227.844261381271</t>
  </si>
  <si>
    <t>-621.715026359017 128.057658417247 -97.3969685827649</t>
  </si>
  <si>
    <t>-638.677385436646 140.579923192576 317.642844302865</t>
  </si>
  <si>
    <t>-672.708411881214 182.723992582942 777.657943967982</t>
  </si>
  <si>
    <t>-522.077761073334 185.487383828146 834.107837082833</t>
  </si>
  <si>
    <t>-605.655676168118 -71.5150826717297 322.062069017718</t>
  </si>
  <si>
    <t>-654.832865807592 -105.052442873433 781.274176177551</t>
  </si>
  <si>
    <t>-500.393461468461 -117.631490652402 824.564626539599</t>
  </si>
  <si>
    <t>9763-20170724T115619.559538300.bin</t>
  </si>
  <si>
    <t>-612.33602591839 35.5066653886361 -93.6490973274348</t>
  </si>
  <si>
    <t>-634.047258990268 30.8611480383549 -202.113482693016</t>
  </si>
  <si>
    <t>-647.926980800704 28.498760589637 -293.915461838537</t>
  </si>
  <si>
    <t>-659.636692171562 26.8919856903804 -376.972272388779</t>
  </si>
  <si>
    <t>-669.948658266064 25.8466096086493 -460.223217713488</t>
  </si>
  <si>
    <t>-683.485734399944 24.9239800522112 -582.128149423598</t>
  </si>
  <si>
    <t>-672.380746524859 28.1443937883132 -659.62990114156</t>
  </si>
  <si>
    <t>-679.359592605073 56.6374786449433 -528.672853225196</t>
  </si>
  <si>
    <t>-654.423701385741 208.162593053413 -501.179724432449</t>
  </si>
  <si>
    <t>-614.873055659292 226.698910987927 -222.485071665724</t>
  </si>
  <si>
    <t>-406.63246955217 123.985217634853 -228.34121388114</t>
  </si>
  <si>
    <t>-621.828255015253 127.851053146041 -97.4291434532383</t>
  </si>
  <si>
    <t>-638.716015439166 140.472160362705 317.610781417306</t>
  </si>
  <si>
    <t>-672.710949047751 182.666857731426 777.622933425683</t>
  </si>
  <si>
    <t>-522.083622322083 185.483020975907 834.079080734889</t>
  </si>
  <si>
    <t>-605.717739068423 -71.6513127810874 322.052596134653</t>
  </si>
  <si>
    <t>-654.814097949792 -105.087603542073 781.279220159983</t>
  </si>
  <si>
    <t>-500.388390322386 -117.681057808137 824.614172941191</t>
  </si>
  <si>
    <t>9763-20170724T115619.624760100.bin</t>
  </si>
  <si>
    <t>-612.416020463743 35.2767310653603 -93.6746552781007</t>
  </si>
  <si>
    <t>-634.102292029494 30.5869350491209 -202.14225299312</t>
  </si>
  <si>
    <t>-647.963609079947 28.1473981396898 -293.944946756626</t>
  </si>
  <si>
    <t>-659.657931823725 26.4538018035585 -377.002252600587</t>
  </si>
  <si>
    <t>-669.956160504495 25.305035024835 -460.253475391669</t>
  </si>
  <si>
    <t>-683.474897311268 24.213716728091 -582.159084018552</t>
  </si>
  <si>
    <t>-672.336706634527 27.3525623815019 -659.659393762096</t>
  </si>
  <si>
    <t>-679.415377909427 55.9978101039742 -528.740448496483</t>
  </si>
  <si>
    <t>-654.814258526909 207.607935433283 -501.41999153948</t>
  </si>
  <si>
    <t>-615.558802513748 226.615892702874 -222.715297202436</t>
  </si>
  <si>
    <t>-407.210949432406 124.162814083704 -229.278959827276</t>
  </si>
  <si>
    <t>-622.063601166099 127.591940886652 -97.4733024208151</t>
  </si>
  <si>
    <t>-638.758102172963 140.354548667722 317.570099435837</t>
  </si>
  <si>
    <t>-672.690586004266 182.652912228236 777.570375703468</t>
  </si>
  <si>
    <t>-522.063847034055 185.392904551375 834.031967303971</t>
  </si>
  <si>
    <t>-605.712886184397 -71.8049206592686 322.045241256192</t>
  </si>
  <si>
    <t>-654.658866240331 -105.10266080836 781.306449931764</t>
  </si>
  <si>
    <t>-500.273920740085 -117.125747324291 824.947750114964</t>
  </si>
  <si>
    <t>9763-20170724T115619.661031800.bin</t>
  </si>
  <si>
    <t>-612.428686038976 35.2061218365852 -93.6813471185554</t>
  </si>
  <si>
    <t>-634.089400141084 30.4867509432599 -202.152720230895</t>
  </si>
  <si>
    <t>-647.935033508911 28.0145160728814 -293.95699650918</t>
  </si>
  <si>
    <t>-659.617508148194 26.2874655757739 -377.015243658171</t>
  </si>
  <si>
    <t>-669.906378752889 25.1019144164716 -460.267117267356</t>
  </si>
  <si>
    <t>-683.414248652907 23.9532491758173 -582.173294000585</t>
  </si>
  <si>
    <t>-672.263221728167 27.0776497460356 -659.672477826513</t>
  </si>
  <si>
    <t>-679.400379042161 55.7598809085951 -528.764854239327</t>
  </si>
  <si>
    <t>-654.969666572661 207.4012071744 -501.473048707261</t>
  </si>
  <si>
    <t>-615.81556305952 226.623954406247 -222.768834547811</t>
  </si>
  <si>
    <t>-407.434044925186 124.266880374126 -229.747278977668</t>
  </si>
  <si>
    <t>-622.222022647298 127.490256550266 -97.4790298232306</t>
  </si>
  <si>
    <t>-638.8109012043 140.295024155123 317.567288431485</t>
  </si>
  <si>
    <t>-672.68102233057 182.657003859808 777.560434417834</t>
  </si>
  <si>
    <t>-522.051712096694 185.301534404117 834.019520630163</t>
  </si>
  <si>
    <t>-605.671045446313 -71.8780972787422 322.05735612163</t>
  </si>
  <si>
    <t>-654.536929192371 -105.120050375197 781.339336741445</t>
  </si>
  <si>
    <t>-500.202020703625 -116.987189152266 825.19955057584</t>
  </si>
  <si>
    <t>9763-20170724T115619.728209900.bin</t>
  </si>
  <si>
    <t>-612.473263561804 35.1179228156777 -93.6516117500021</t>
  </si>
  <si>
    <t>-634.039988091091 30.3371526861547 -202.139065395728</t>
  </si>
  <si>
    <t>-647.833221411987 27.800726562243 -293.949470307053</t>
  </si>
  <si>
    <t>-659.479242563 26.008292937682 -377.011304882001</t>
  </si>
  <si>
    <t>-669.742763581536 24.7520274351252 -460.265270323284</t>
  </si>
  <si>
    <t>-683.225937692384 23.4942678217453 -582.173190007961</t>
  </si>
  <si>
    <t>-672.040700423028 26.6361516797674 -659.666665164167</t>
  </si>
  <si>
    <t>-679.330379107175 55.342007533573 -528.780557782392</t>
  </si>
  <si>
    <t>-655.431396876259 207.078613336875 -501.550327660205</t>
  </si>
  <si>
    <t>-616.339683230041 226.696938120792 -222.86507539357</t>
  </si>
  <si>
    <t>-407.97717228652 124.37506292558 -230.854397493009</t>
  </si>
  <si>
    <t>-622.608781297158 127.26659873429 -97.4696467582007</t>
  </si>
  <si>
    <t>-639.045990162412 140.175577376373 317.579457521291</t>
  </si>
  <si>
    <t>-672.668745802719 182.638663496592 777.576649814127</t>
  </si>
  <si>
    <t>-522.028462839917 185.327768176343 834.004394983977</t>
  </si>
  <si>
    <t>-605.636803794366 -71.9941152514416 322.102366199459</t>
  </si>
  <si>
    <t>-654.366626848641 -105.18417888928 781.383335212989</t>
  </si>
  <si>
    <t>-500.13012952724 -117.029967834465 825.594312522243</t>
  </si>
  <si>
    <t>9763-20170724T115619.789952500.bin</t>
  </si>
  <si>
    <t>-612.411790305804 35.1297586998915 -93.5915530551187</t>
  </si>
  <si>
    <t>-633.877715640494 30.2817332237173 -202.095854215092</t>
  </si>
  <si>
    <t>-647.607115814955 27.7035094579003 -293.914800111632</t>
  </si>
  <si>
    <t>-659.203712173773 25.8764144810218 -376.982769341064</t>
  </si>
  <si>
    <t>-669.426284241766 24.5909696225303 -460.241363104796</t>
  </si>
  <si>
    <t>-682.859043184423 23.2967583384757 -582.154553076416</t>
  </si>
  <si>
    <t>-671.651380359202 26.5240798823552 -659.641123066718</t>
  </si>
  <si>
    <t>-679.116576844847 55.1517039039375 -528.755036803025</t>
  </si>
  <si>
    <t>-655.796978171321 206.977598522158 -501.485359617884</t>
  </si>
  <si>
    <t>-616.919565942091 226.793549952951 -222.784003703561</t>
  </si>
  <si>
    <t>-408.352510683986 124.955999213586 -231.5830529768</t>
  </si>
  <si>
    <t>-622.940894793324 127.139317004448 -97.4220068397249</t>
  </si>
  <si>
    <t>-639.339029930952 140.061767123056 317.628274495696</t>
  </si>
  <si>
    <t>-672.65186114253 182.617587778341 777.622926804195</t>
  </si>
  <si>
    <t>-522.001612410067 185.433015874258 834.017960342905</t>
  </si>
  <si>
    <t>-605.464795980408 -72.0608248590288 322.156203671126</t>
  </si>
  <si>
    <t>-654.182888156204 -105.244225006308 781.44636696459</t>
  </si>
  <si>
    <t>-500.045277605938 -117.033492643835 826.015780253703</t>
  </si>
  <si>
    <t>9763-20170724T115619.824043100.bin</t>
  </si>
  <si>
    <t>-612.313092871371 35.150461051888 -93.5576310188156</t>
  </si>
  <si>
    <t>-633.719989654012 30.2649314655482 -202.071998449217</t>
  </si>
  <si>
    <t>-647.412037766925 27.6725804982232 -293.896058802594</t>
  </si>
  <si>
    <t>-658.979728504165 25.8378367809171 -376.968028053573</t>
  </si>
  <si>
    <t>-669.178349476133 24.5509598846031 -460.229378667285</t>
  </si>
  <si>
    <t>-682.581347659655 23.2619858994301 -582.145935668443</t>
  </si>
  <si>
    <t>-671.37711556337 26.537107437035 -659.630986879498</t>
  </si>
  <si>
    <t>-678.915275218718 55.1103739980981 -528.737236500464</t>
  </si>
  <si>
    <t>-655.915160084042 206.975936531446 -501.407880780819</t>
  </si>
  <si>
    <t>-617.228880922746 226.884752952871 -222.686718416727</t>
  </si>
  <si>
    <t>-408.502114771223 125.389638604042 -231.654022815488</t>
  </si>
  <si>
    <t>-622.99095288764 127.076005400332 -97.3969027731356</t>
  </si>
  <si>
    <t>-639.39700059798 140.064504591568 317.65094301323</t>
  </si>
  <si>
    <t>-672.644840357415 182.601493184628 777.651825139055</t>
  </si>
  <si>
    <t>-521.992821140917 185.348725977427 834.045315445562</t>
  </si>
  <si>
    <t>-605.344651780927 -72.0391634813357 322.190941247454</t>
  </si>
  <si>
    <t>-654.20025521623 -105.23082272175 781.45372550427</t>
  </si>
  <si>
    <t>-500.048712599724 -116.846905246581 826.02044394923</t>
  </si>
  <si>
    <t>9763-20170724T115619.891622600.bin</t>
  </si>
  <si>
    <t>-611.985003908771 35.3165132535837 -93.5057660513517</t>
  </si>
  <si>
    <t>-633.314148302781 30.371568268311 -202.032701639142</t>
  </si>
  <si>
    <t>-646.940951914919 27.768938000565 -293.866121726175</t>
  </si>
  <si>
    <t>-658.449407231824 25.9375647977959 -376.946474330305</t>
  </si>
  <si>
    <t>-668.588511263973 24.6694087317028 -460.215493238783</t>
  </si>
  <si>
    <t>-681.904285393811 23.4243956852938 -582.141913762422</t>
  </si>
  <si>
    <t>-670.695988943977 26.8039321916831 -659.6219585787</t>
  </si>
  <si>
    <t>-678.407775795054 55.2439542743691 -528.704837610419</t>
  </si>
  <si>
    <t>-656.059497668649 207.181241056283 -501.269295769968</t>
  </si>
  <si>
    <t>-618.034190710411 227.388102923697 -222.478309273791</t>
  </si>
  <si>
    <t>-409.124573317605 126.308738580728 -231.87304755995</t>
  </si>
  <si>
    <t>-622.91031409122 127.138626790882 -97.3433964399661</t>
  </si>
  <si>
    <t>-639.307661428771 140.209802613691 317.702249196074</t>
  </si>
  <si>
    <t>-672.623978903603 182.573766052012 777.694368475158</t>
  </si>
  <si>
    <t>-521.979788268431 185.393576480237 834.105455175802</t>
  </si>
  <si>
    <t>-605.101670801155 -71.9732701372284 322.218168632203</t>
  </si>
  <si>
    <t>-654.401498621415 -105.185290974964 781.414400706697</t>
  </si>
  <si>
    <t>-500.158760232724 -116.700576991439 825.690763052927</t>
  </si>
  <si>
    <t>9763-20170724T115619.924716700.bin</t>
  </si>
  <si>
    <t>-611.850016228112 35.4270195004526 -93.5001071725478</t>
  </si>
  <si>
    <t>-633.137852767829 30.460851456882 -202.034199296564</t>
  </si>
  <si>
    <t>-646.73663259048 27.8695328668002 -293.872173638524</t>
  </si>
  <si>
    <t>-658.222452136348 26.0588657775736 -376.956021935333</t>
  </si>
  <si>
    <t>-668.341708210297 24.8230815048644 -460.227990821421</t>
  </si>
  <si>
    <t>-681.631560861602 23.638686957408 -582.157774386256</t>
  </si>
  <si>
    <t>-670.414267892977 27.088813998773 -659.633503413558</t>
  </si>
  <si>
    <t>-678.215545500778 55.4264238335377 -528.696460112093</t>
  </si>
  <si>
    <t>-656.23666539319 207.414095581959 -501.228714163062</t>
  </si>
  <si>
    <t>-618.716886671121 227.919706582179 -222.391068578734</t>
  </si>
  <si>
    <t>-409.743231826325 126.974493399046 -231.804759345266</t>
  </si>
  <si>
    <t>-622.849742476443 127.214299460201 -97.3302549367507</t>
  </si>
  <si>
    <t>-639.282701117833 140.314241088512 317.713122643074</t>
  </si>
  <si>
    <t>-672.596047480091 182.642754666781 777.703422436402</t>
  </si>
  <si>
    <t>-521.956463210181 185.29996936047 834.134673783341</t>
  </si>
  <si>
    <t>-605.045392057657 -71.9051162136971 322.213011061406</t>
  </si>
  <si>
    <t>-654.557091279546 -105.148595952147 781.372795396785</t>
  </si>
  <si>
    <t>-500.259278441434 -116.856536241957 825.406123201839</t>
  </si>
  <si>
    <t>9763-20170724T115619.960307400.bin</t>
  </si>
  <si>
    <t>-611.724445000277 35.4408045624957 -93.503059839333</t>
  </si>
  <si>
    <t>-632.968737965351 30.4644382549657 -202.045205575942</t>
  </si>
  <si>
    <t>-646.538391074444 27.8860133966155 -293.887811333157</t>
  </si>
  <si>
    <t>-658.000843910197 26.095318634349 -376.975407312437</t>
  </si>
  <si>
    <t>-668.099999319135 24.8886547010998 -460.250133450016</t>
  </si>
  <si>
    <t>-681.364108140574 23.7574116257988 -582.18345810545</t>
  </si>
  <si>
    <t>-670.130533201019 27.2775545500183 -659.653523531932</t>
  </si>
  <si>
    <t>-678.029598369878 55.5163660004616 -528.699655100054</t>
  </si>
  <si>
    <t>-656.453861853549 207.566274372454 -501.233148119276</t>
  </si>
  <si>
    <t>-619.524806677525 228.368998036063 -222.338740054539</t>
  </si>
  <si>
    <t>-410.527041346993 127.475138269314 -231.766622886057</t>
  </si>
  <si>
    <t>-622.740368269483 127.162924709169 -97.3193215535048</t>
  </si>
  <si>
    <t>-639.290991168726 140.289875826416 317.718466740074</t>
  </si>
  <si>
    <t>-672.605805822155 182.591795914319 777.715240104638</t>
  </si>
  <si>
    <t>-521.971417680178 185.52242906548 834.146699142584</t>
  </si>
  <si>
    <t>-605.029366683827 -71.9116027073655 322.195381901344</t>
  </si>
  <si>
    <t>-654.718408933003 -105.128657533034 781.331738107466</t>
  </si>
  <si>
    <t>-500.360666450744 -117.010294361663 825.10780244661</t>
  </si>
  <si>
    <t>9763-20170724T115620.027560300.bin</t>
  </si>
  <si>
    <t>-611.529010575767 35.4882755917547 -93.5448918558842</t>
  </si>
  <si>
    <t>-632.631615573325 30.5002334536116 -202.114184821604</t>
  </si>
  <si>
    <t>-646.085795005543 27.9738165908223 -293.975290710225</t>
  </si>
  <si>
    <t>-657.445554089309 26.2527602450971 -377.078316127153</t>
  </si>
  <si>
    <t>-667.443480488664 25.1413184861988 -460.366601453421</t>
  </si>
  <si>
    <t>-680.561443947896 24.1772411288202 -582.317055449064</t>
  </si>
  <si>
    <t>-669.287872176592 27.8735176556881 -659.773147107025</t>
  </si>
  <si>
    <t>-677.403038104447 55.8537039668552 -528.773891230202</t>
  </si>
  <si>
    <t>-656.490638045657 207.975360742358 -501.221201152587</t>
  </si>
  <si>
    <t>-620.976761618134 229.208528381275 -222.175444656496</t>
  </si>
  <si>
    <t>-411.975909610323 128.318046368782 -231.571506338956</t>
  </si>
  <si>
    <t>-622.609432843726 127.200446446779 -97.3449115507019</t>
  </si>
  <si>
    <t>-639.297071740848 140.404985966584 317.684896194167</t>
  </si>
  <si>
    <t>-672.549201289329 182.736462679541 777.68291943918</t>
  </si>
  <si>
    <t>-521.931847834587 185.481740014699 834.169289386881</t>
  </si>
  <si>
    <t>-605.005532249869 -72.0031580423365 322.130317584341</t>
  </si>
  <si>
    <t>-654.985477253435 -105.105876914178 781.25510174473</t>
  </si>
  <si>
    <t>-500.515779122475 -117.108832080375 824.601004767434</t>
  </si>
  <si>
    <t>9763-20170724T115620.058621700.bin</t>
  </si>
  <si>
    <t>-611.456161407981 35.4598811878998 -93.5602452343494</t>
  </si>
  <si>
    <t>-632.456352427884 30.4694623854382 -202.149247782138</t>
  </si>
  <si>
    <t>-645.834442842201 27.9750682858589 -294.022224655804</t>
  </si>
  <si>
    <t>-657.129460999427 26.2960737063297 -377.135136884166</t>
  </si>
  <si>
    <t>-667.066762573862 25.2404575104579 -460.431301938851</t>
  </si>
  <si>
    <t>-680.100459118627 24.3738071053374 -582.391599538912</t>
  </si>
  <si>
    <t>-668.795173306886 28.1709537065174 -659.838188440978</t>
  </si>
  <si>
    <t>-677.026929238566 56.0033487011794 -528.815855882566</t>
  </si>
  <si>
    <t>-656.344464820405 208.126496508369 -501.098287075264</t>
  </si>
  <si>
    <t>-621.584718440707 229.466240817803 -221.965857881522</t>
  </si>
  <si>
    <t>-412.585054208059 128.571915578603 -231.347000318304</t>
  </si>
  <si>
    <t>-622.568512553742 127.161330081186 -97.3535726279227</t>
  </si>
  <si>
    <t>-639.350269022829 140.409250310395 317.671072839205</t>
  </si>
  <si>
    <t>-672.539516119165 182.761518496132 777.676310832676</t>
  </si>
  <si>
    <t>-521.926993941669 185.448146245956 834.178244378461</t>
  </si>
  <si>
    <t>-604.997944162724 -72.0782651584489 322.107510826905</t>
  </si>
  <si>
    <t>-655.065514266718 -105.105262060197 781.230843208602</t>
  </si>
  <si>
    <t>-500.556090617111 -117.048777021304 824.451366990682</t>
  </si>
  <si>
    <t>9763-20170724T115620.123307500.bin</t>
  </si>
  <si>
    <t>-611.396608085761 35.3509487895765 -93.5765278948439</t>
  </si>
  <si>
    <t>-632.15202323323 30.3677829264984 -202.212869824559</t>
  </si>
  <si>
    <t>-645.3308863399 27.9841435139479 -294.117626749897</t>
  </si>
  <si>
    <t>-656.448375024951 26.4455341060855 -377.257152590599</t>
  </si>
  <si>
    <t>-666.210395916036 25.5724813736349 -460.576239460448</t>
  </si>
  <si>
    <t>-678.990379837068 25.0190138619373 -582.56514382802</t>
  </si>
  <si>
    <t>-667.560465178429 29.0958214749207 -659.97917385792</t>
  </si>
  <si>
    <t>-676.117148486101 56.5033134442679 -528.892717849896</t>
  </si>
  <si>
    <t>-655.704604578934 208.569662588012 -500.692589315893</t>
  </si>
  <si>
    <t>-622.507867560804 229.917576006296 -221.370489585452</t>
  </si>
  <si>
    <t>-413.415108082753 129.208454883831 -230.667037285534</t>
  </si>
  <si>
    <t>-622.664241494866 126.97127799468 -97.3544461650063</t>
  </si>
  <si>
    <t>-639.569697650665 140.435723984913 317.658178409451</t>
  </si>
  <si>
    <t>-672.524496560365 182.815877016644 777.664081238529</t>
  </si>
  <si>
    <t>-521.915211266007 185.440315731856 834.177542734384</t>
  </si>
  <si>
    <t>-605.028435306198 -72.3113593619453 322.074191186422</t>
  </si>
  <si>
    <t>-655.150790339341 -105.12408270581 781.21479452448</t>
  </si>
  <si>
    <t>-500.610043569189 -117.103876346638 824.313138281631</t>
  </si>
  <si>
    <t>9763-20170724T115620.158893000.bin</t>
  </si>
  <si>
    <t>-611.38665507923 35.2735232352272 -93.5799949765415</t>
  </si>
  <si>
    <t>-631.979176855713 30.2980043311443 -202.247629164426</t>
  </si>
  <si>
    <t>-645.043113629126 27.9922619455183 -294.170766017023</t>
  </si>
  <si>
    <t>-656.065437913632 26.552290061979 -377.324699959443</t>
  </si>
  <si>
    <t>-665.740982286104 25.8065255468039 -460.655047527879</t>
  </si>
  <si>
    <t>-678.403845730889 25.4710787929371 -582.657032177342</t>
  </si>
  <si>
    <t>-666.891818981528 29.714895268145 -660.050028976373</t>
  </si>
  <si>
    <t>-675.617274258562 56.8562836716453 -528.922100366874</t>
  </si>
  <si>
    <t>-655.30456321736 208.889418334513 -500.454738732433</t>
  </si>
  <si>
    <t>-622.962545833702 230.106599533331 -221.02248520718</t>
  </si>
  <si>
    <t>-413.824747493056 129.506164102519 -230.48099581031</t>
  </si>
  <si>
    <t>-622.688227972518 126.876392752428 -97.3569730839242</t>
  </si>
  <si>
    <t>-639.614207570518 140.46642632148 317.650736956361</t>
  </si>
  <si>
    <t>-672.520570997612 182.831986256766 777.658938468814</t>
  </si>
  <si>
    <t>-521.912534223347 185.433391814563 834.176921405549</t>
  </si>
  <si>
    <t>-605.065379188082 -72.4682531918713 322.060801775996</t>
  </si>
  <si>
    <t>-655.169886016829 -105.153952373028 781.211845891748</t>
  </si>
  <si>
    <t>-500.64240521799 -117.364228142136 824.293088260606</t>
  </si>
  <si>
    <t>9763-20170724T115620.224569300.bin</t>
  </si>
  <si>
    <t>-611.37233497752 35.0990838645773 -93.5970687942474</t>
  </si>
  <si>
    <t>-631.609241467074 30.1445151142352 -202.33268311291</t>
  </si>
  <si>
    <t>-644.372001592901 27.9928151540555 -294.301749259267</t>
  </si>
  <si>
    <t>-655.121595922823 26.745961406282 -377.494485914557</t>
  </si>
  <si>
    <t>-664.523396348999 26.2496218258605 -460.858081874323</t>
  </si>
  <si>
    <t>-676.785230747577 26.3404666116585 -582.901347188791</t>
  </si>
  <si>
    <t>-665.023956172694 30.9646132814214 -660.235119530741</t>
  </si>
  <si>
    <t>-674.261564502926 57.5299105706868 -529.039554471662</t>
  </si>
  <si>
    <t>-654.301330085837 209.533051517979 -500.125523284858</t>
  </si>
  <si>
    <t>-623.633093399238 230.514954520797 -220.486699005188</t>
  </si>
  <si>
    <t>-414.463747696042 130.018648669581 -230.345698388217</t>
  </si>
  <si>
    <t>-622.678397727268 126.579605109739 -97.3636945354106</t>
  </si>
  <si>
    <t>-639.742323761326 140.34658295546 317.632603432135</t>
  </si>
  <si>
    <t>-672.530147937331 182.776156124263 777.642026329702</t>
  </si>
  <si>
    <t>-521.926318901521 185.539249766089 834.163501820468</t>
  </si>
  <si>
    <t>-605.184417182219 -72.9254827817051 322.026578781112</t>
  </si>
  <si>
    <t>-655.190225202127 -105.181313268424 781.211903449291</t>
  </si>
  <si>
    <t>-500.651130824136 -117.317290691085 824.272450142305</t>
  </si>
  <si>
    <t>9763-20170724T115620.290752400.bin</t>
  </si>
  <si>
    <t>-611.388745810239 35.0812982010673 -93.6069352949677</t>
  </si>
  <si>
    <t>-631.199978693654 30.1097415213524 -202.4200544693</t>
  </si>
  <si>
    <t>-643.640280286622 28.0699929543855 -294.43586564673</t>
  </si>
  <si>
    <t>-654.112884549548 26.9734072319391 -377.666019083444</t>
  </si>
  <si>
    <t>-663.252064485077 26.6783057379791 -461.059832232298</t>
  </si>
  <si>
    <t>-675.145633442819 27.1201089308149 -583.138828517987</t>
  </si>
  <si>
    <t>-663.118226283751 32.1437792632917 -660.406615358873</t>
  </si>
  <si>
    <t>-672.889918676275 58.1445205846042 -529.1699311609</t>
  </si>
  <si>
    <t>-653.484923261186 210.11456963872 -499.750998044089</t>
  </si>
  <si>
    <t>-623.96617703267 231.053929072611 -219.985320145</t>
  </si>
  <si>
    <t>-414.892190695114 130.397316536978 -230.224999175445</t>
  </si>
  <si>
    <t>-622.799624158178 126.384873985143 -97.4005837925446</t>
  </si>
  <si>
    <t>-639.925976726338 140.365151909744 317.5860295143</t>
  </si>
  <si>
    <t>-672.522678719988 182.810801735985 777.592039461061</t>
  </si>
  <si>
    <t>-521.929042941911 185.68538404205 834.135075952613</t>
  </si>
  <si>
    <t>-605.334569417391 -73.4566401109853 322.001051339102</t>
  </si>
  <si>
    <t>-655.200296681543 -105.302340683117 781.223869507467</t>
  </si>
  <si>
    <t>-500.678864186572 -117.651020001335 824.28726297967</t>
  </si>
  <si>
    <t>9763-20170724T115620.323839100.bin</t>
  </si>
  <si>
    <t>-611.352832790918 35.1106280175045 -93.6123272627935</t>
  </si>
  <si>
    <t>-630.95205429433 30.1126651757304 -202.462633115963</t>
  </si>
  <si>
    <t>-643.235362174401 28.1186609362912 -294.5005637698</t>
  </si>
  <si>
    <t>-653.574678206907 27.0893668648755 -377.748135850592</t>
  </si>
  <si>
    <t>-662.589098432708 26.8885149576149 -461.155940122613</t>
  </si>
  <si>
    <t>-674.309418144763 27.4983163383547 -583.250833886922</t>
  </si>
  <si>
    <t>-662.143655789948 32.7346749848184 -660.48282945733</t>
  </si>
  <si>
    <t>-672.185483239404 58.4432962428016 -529.230918768955</t>
  </si>
  <si>
    <t>-653.070347178835 210.406748604327 -499.578715593254</t>
  </si>
  <si>
    <t>-624.088966118009 231.309443244328 -219.754267784456</t>
  </si>
  <si>
    <t>-415.04702866719 130.606914738822 -230.195015485773</t>
  </si>
  <si>
    <t>-622.822500611227 126.326416829389 -97.4264590310623</t>
  </si>
  <si>
    <t>-640.088379742796 140.456363062571 317.549280011401</t>
  </si>
  <si>
    <t>-672.523516226234 182.842662584568 777.567305243265</t>
  </si>
  <si>
    <t>-521.93239175466 185.649693901684 834.120310510281</t>
  </si>
  <si>
    <t>-605.382551588237 -73.7451381883252 321.987533858398</t>
  </si>
  <si>
    <t>-655.204484866106 -105.334094816193 781.230976462599</t>
  </si>
  <si>
    <t>-500.674629290812 -117.593349295177 824.289784928981</t>
  </si>
  <si>
    <t>9763-20170724T115620.360940500.bin</t>
  </si>
  <si>
    <t>-611.304379013949 35.1498172869731 -93.6122890688084</t>
  </si>
  <si>
    <t>-630.733872503565 30.1255972511181 -202.491709969291</t>
  </si>
  <si>
    <t>-642.899020417773 28.1700143866872 -294.546192404531</t>
  </si>
  <si>
    <t>-653.141341191821 27.1987621221019 -377.80651244381</t>
  </si>
  <si>
    <t>-662.068510897187 27.0805895486847 -461.223782371786</t>
  </si>
  <si>
    <t>-673.672189420329 27.8379717498021 -583.329042627014</t>
  </si>
  <si>
    <t>-661.399816099653 33.3041768292915 -660.528222007193</t>
  </si>
  <si>
    <t>-671.663061286798 58.7111726627152 -529.263899078174</t>
  </si>
  <si>
    <t>-652.890904557101 210.687834022941 -499.453782968407</t>
  </si>
  <si>
    <t>-624.362502631278 231.494535290525 -219.575608819133</t>
  </si>
  <si>
    <t>-415.326555126836 130.792819628366 -230.142868921995</t>
  </si>
  <si>
    <t>-622.879864546713 126.282447770661 -97.4528268706421</t>
  </si>
  <si>
    <t>-640.195577500639 140.540970434671 317.516383046147</t>
  </si>
  <si>
    <t>-672.525217900031 182.872061796336 777.537682433381</t>
  </si>
  <si>
    <t>-521.937540324495 185.676999098477 834.100112576717</t>
  </si>
  <si>
    <t>-605.388460274868 -73.9613412103809 321.978417666615</t>
  </si>
  <si>
    <t>-655.199836625583 -105.346148277268 781.235071544467</t>
  </si>
  <si>
    <t>-500.658784155054 -117.474211727085 824.290790098533</t>
  </si>
  <si>
    <t>9763-20170724T115620.427123900.bin</t>
  </si>
  <si>
    <t>-611.25564862194 35.2645660930009 -93.6086069632039</t>
  </si>
  <si>
    <t>-630.409626931466 30.2075857901013 -202.535342361415</t>
  </si>
  <si>
    <t>-642.350838225512 28.3024115689639 -294.620261985968</t>
  </si>
  <si>
    <t>-652.394069294195 27.4060232924558 -377.905616402016</t>
  </si>
  <si>
    <t>-661.125853273818 27.3942669777796 -461.343552113527</t>
  </si>
  <si>
    <t>-672.448051284656 28.3427832603754 -583.474065941693</t>
  </si>
  <si>
    <t>-659.958716257387 34.419756004864 -660.59286015126</t>
  </si>
  <si>
    <t>-670.708140498874 59.1165016408636 -529.34283824912</t>
  </si>
  <si>
    <t>-652.760675831086 211.144202286859 -499.305262960898</t>
  </si>
  <si>
    <t>-625.17634753472 232.210159144088 -219.351923620483</t>
  </si>
  <si>
    <t>-416.163299583715 131.492910863684 -230.220036195626</t>
  </si>
  <si>
    <t>-623.040228692058 126.318632421339 -97.4836614144434</t>
  </si>
  <si>
    <t>-640.396430732424 140.679206225358 317.480317838561</t>
  </si>
  <si>
    <t>-672.534946547494 182.90018237393 777.502048445151</t>
  </si>
  <si>
    <t>-521.953105121239 185.768521157593 834.076786583451</t>
  </si>
  <si>
    <t>-605.330614955347 -74.2891687100048 321.966194407367</t>
  </si>
  <si>
    <t>-655.163500608152 -105.430891296418 781.245049497535</t>
  </si>
  <si>
    <t>-500.645027054969 -117.645068625427 824.357438045348</t>
  </si>
  <si>
    <t>9763-20170724T115620.458243000.bin</t>
  </si>
  <si>
    <t>-611.199616566278 35.3387008335619 -93.6049826944482</t>
  </si>
  <si>
    <t>-630.259280902748 30.2646792161165 -202.547487752756</t>
  </si>
  <si>
    <t>-642.104477823807 28.3582570147132 -294.644651116044</t>
  </si>
  <si>
    <t>-652.054599056535 27.4648183317099 -377.941394983028</t>
  </si>
  <si>
    <t>-660.687011541109 27.4615843707506 -461.389730993977</t>
  </si>
  <si>
    <t>-671.857311633827 28.4291196812117 -583.53383640234</t>
  </si>
  <si>
    <t>-659.25850758461 34.8086474789714 -660.610326419221</t>
  </si>
  <si>
    <t>-670.258209574565 59.1866565199662 -529.389107339216</t>
  </si>
  <si>
    <t>-652.737708408038 211.273508823524 -499.376299613537</t>
  </si>
  <si>
    <t>-625.74587816464 232.57005933073 -219.382594722756</t>
  </si>
  <si>
    <t>-416.701452056014 131.928250688317 -230.345647789077</t>
  </si>
  <si>
    <t>-623.068974927896 126.351700452107 -97.4943994270193</t>
  </si>
  <si>
    <t>-640.517865822355 140.686164345366 317.466674950381</t>
  </si>
  <si>
    <t>-672.552993336183 182.869564954441 777.493812353448</t>
  </si>
  <si>
    <t>-521.974535627799 185.899631520616 834.06918593495</t>
  </si>
  <si>
    <t>-605.324011731967 -74.4152160692429 321.964275703193</t>
  </si>
  <si>
    <t>-655.149258968692 -105.419843379091 781.251483207394</t>
  </si>
  <si>
    <t>-500.607873178737 -117.289332530123 824.377985511359</t>
  </si>
  <si>
    <t>9763-20170724T115620.522918300.bin</t>
  </si>
  <si>
    <t>-610.97364068774 35.4454712499162 -93.6342401607578</t>
  </si>
  <si>
    <t>-629.872638934467 30.3054778206274 -202.601702841662</t>
  </si>
  <si>
    <t>-641.531448652276 28.3785250711414 -294.722227564253</t>
  </si>
  <si>
    <t>-651.292961136292 27.4784581907522 -378.041161448816</t>
  </si>
  <si>
    <t>-659.716858973325 27.4830019143192 -461.510779819572</t>
  </si>
  <si>
    <t>-670.560852002657 28.4782939836289 -583.684192352317</t>
  </si>
  <si>
    <t>-657.759049949222 35.4328217795546 -660.677469930695</t>
  </si>
  <si>
    <t>-669.245120048635 59.2083168645302 -529.516060937542</t>
  </si>
  <si>
    <t>-652.553138238914 211.381627101863 -499.491197241793</t>
  </si>
  <si>
    <t>-626.572569511838 233.312699395726 -219.450888770362</t>
  </si>
  <si>
    <t>-417.436848838601 132.909928711205 -230.85536646013</t>
  </si>
  <si>
    <t>-622.934390565025 126.538738430228 -97.5435602960242</t>
  </si>
  <si>
    <t>-640.513141236007 140.861168258599 317.412448807907</t>
  </si>
  <si>
    <t>-672.550672011049 182.999889809876 777.452704109492</t>
  </si>
  <si>
    <t>-521.974145892661 185.950496191319 834.037396762606</t>
  </si>
  <si>
    <t>-605.238680246622 -74.733029778994 321.956895517883</t>
  </si>
  <si>
    <t>-655.146798595072 -105.533103671993 781.25988941119</t>
  </si>
  <si>
    <t>-500.650692448731 -117.961217467014 824.391271577004</t>
  </si>
  <si>
    <t>9763-20170724T115620.559517500.bin</t>
  </si>
  <si>
    <t>-610.81333201825 35.5679579786317 -93.6441759067772</t>
  </si>
  <si>
    <t>-629.653737202312 30.4047591204239 -202.620694710625</t>
  </si>
  <si>
    <t>-641.237612870603 28.4739639951845 -294.750586158603</t>
  </si>
  <si>
    <t>-650.921233841783 27.5758167356089 -378.078519866897</t>
  </si>
  <si>
    <t>-659.257375934077 27.588801009405 -461.556908845401</t>
  </si>
  <si>
    <t>-669.962386491981 28.6036610225849 -583.742497611615</t>
  </si>
  <si>
    <t>-657.08317291826 35.789184463199 -660.701600210102</t>
  </si>
  <si>
    <t>-668.781094673457 59.3166138715453 -529.561676576428</t>
  </si>
  <si>
    <t>-652.536180315496 211.542056728544 -499.534804205492</t>
  </si>
  <si>
    <t>-626.806544873474 233.58929835327 -219.480377315255</t>
  </si>
  <si>
    <t>-417.625276730304 133.326010877446 -231.270445949275</t>
  </si>
  <si>
    <t>-622.855215594566 126.709745413534 -97.5643690847827</t>
  </si>
  <si>
    <t>-640.494365927213 140.943551848536 317.392065318944</t>
  </si>
  <si>
    <t>-672.55543500403 183.044979482853 777.434526985861</t>
  </si>
  <si>
    <t>-521.980140642908 185.983477483349 834.023112979999</t>
  </si>
  <si>
    <t>-605.114355037155 -74.7626618598772 321.954557573637</t>
  </si>
  <si>
    <t>-655.151705744233 -105.544384572356 781.252715221007</t>
  </si>
  <si>
    <t>-500.629955358976 -117.729987336988 824.361370806727</t>
  </si>
  <si>
    <t>9763-20170724T115620.624192100.bin</t>
  </si>
  <si>
    <t>-610.419788872339 35.9289850841872 -93.6335685625321</t>
  </si>
  <si>
    <t>-629.140491959362 30.7252362607694 -202.628736056764</t>
  </si>
  <si>
    <t>-640.654416162995 28.8037962900971 -294.767653582452</t>
  </si>
  <si>
    <t>-650.287368336876 27.9291944107267 -378.101842375805</t>
  </si>
  <si>
    <t>-658.585735712199 27.9834985575326 -461.583903998484</t>
  </si>
  <si>
    <t>-669.250107912975 29.0784688435215 -583.772257532215</t>
  </si>
  <si>
    <t>-656.322472935308 36.5644981513124 -660.694692352007</t>
  </si>
  <si>
    <t>-668.217096503004 59.740765276634 -529.559727077441</t>
  </si>
  <si>
    <t>-652.749257875547 212.01929178402 -499.392025173556</t>
  </si>
  <si>
    <t>-627.17687656297 234.048408530767 -219.321764292295</t>
  </si>
  <si>
    <t>-418.006507583775 133.86871372453 -231.984033521326</t>
  </si>
  <si>
    <t>-622.708691369139 126.991053942331 -97.5623666231147</t>
  </si>
  <si>
    <t>-640.465267924834 141.140493743582 317.391922200564</t>
  </si>
  <si>
    <t>-672.571105547556 183.089055222164 777.42649206253</t>
  </si>
  <si>
    <t>-521.994365632446 185.978183689132 834.013834959374</t>
  </si>
  <si>
    <t>-604.764226942591 -74.605179370255 321.979898148521</t>
  </si>
  <si>
    <t>-655.123024855888 -105.619766037568 781.247207483568</t>
  </si>
  <si>
    <t>-500.633266943027 -118.044159675976 824.402446708962</t>
  </si>
  <si>
    <t>9763-20170724T115620.691905500.bin</t>
  </si>
  <si>
    <t>-609.959894183942 36.3676720215396 -93.5988295244632</t>
  </si>
  <si>
    <t>-628.589682821565 31.1157526975014 -202.607299603864</t>
  </si>
  <si>
    <t>-640.069317935643 29.1902913099937 -294.750371632619</t>
  </si>
  <si>
    <t>-649.688142991402 28.3249606879926 -378.086257843591</t>
  </si>
  <si>
    <t>-657.98975318376 28.4030253418312 -461.568053113631</t>
  </si>
  <si>
    <t>-668.678018824675 29.5490663681337 -583.753886152945</t>
  </si>
  <si>
    <t>-655.752082189714 37.2004274074145 -660.66026003054</t>
  </si>
  <si>
    <t>-667.741167155726 60.1759334632482 -529.51941446225</t>
  </si>
  <si>
    <t>-652.867045503155 212.488223127796 -499.221461262831</t>
  </si>
  <si>
    <t>-627.446188960828 234.548684749213 -219.139950964443</t>
  </si>
  <si>
    <t>-418.390796621017 134.2375583926 -232.632912478789</t>
  </si>
  <si>
    <t>-622.454552893733 127.327928318045 -97.5431828933308</t>
  </si>
  <si>
    <t>-640.395149889942 141.365847073691 317.407001879397</t>
  </si>
  <si>
    <t>-672.579949881791 183.126027281581 777.444248618784</t>
  </si>
  <si>
    <t>-522.008482419214 186.174556530898 834.037179737043</t>
  </si>
  <si>
    <t>-604.42533960917 -74.4130316038977 322.016881182334</t>
  </si>
  <si>
    <t>-655.124563953451 -105.649654544045 781.23520006773</t>
  </si>
  <si>
    <t>-500.617500096442 -117.917905883929 824.373014327446</t>
  </si>
  <si>
    <t>9763-20170724T115620.724993300.bin</t>
  </si>
  <si>
    <t>-609.726623935875 36.6151930004564 -93.5723978625036</t>
  </si>
  <si>
    <t>-628.317781930637 31.3441642066662 -202.58657744376</t>
  </si>
  <si>
    <t>-639.782975475873 29.4095506005144 -294.73115248246</t>
  </si>
  <si>
    <t>-649.396147637644 28.5378219830066 -378.067568755011</t>
  </si>
  <si>
    <t>-657.699535442775 28.6123412947454 -461.549215361236</t>
  </si>
  <si>
    <t>-668.398710784258 29.7564077848065 -583.734252442321</t>
  </si>
  <si>
    <t>-655.48400820419 37.4617635839943 -660.637031202486</t>
  </si>
  <si>
    <t>-667.496214049633 60.3792448447116 -529.497015749146</t>
  </si>
  <si>
    <t>-652.841294977113 212.710480712081 -499.195775384146</t>
  </si>
  <si>
    <t>-627.644525148457 234.969018617425 -219.109682064608</t>
  </si>
  <si>
    <t>-418.680731880435 134.53920524489 -233.128033509993</t>
  </si>
  <si>
    <t>-622.289214518876 127.544785055812 -97.5358048220045</t>
  </si>
  <si>
    <t>-640.317972228038 141.512269098369 317.413009822617</t>
  </si>
  <si>
    <t>-672.579053269335 183.167609889548 777.457512634001</t>
  </si>
  <si>
    <t>-522.009524518076 186.152699427276 834.058988252428</t>
  </si>
  <si>
    <t>-604.233134507521 -74.2961128959164 322.0369397474</t>
  </si>
  <si>
    <t>-655.132947447026 -105.674248447705 781.225830181842</t>
  </si>
  <si>
    <t>-500.609251029535 -117.836754298942 824.334060102489</t>
  </si>
  <si>
    <t>9763-20170724T115620.758090000.bin</t>
  </si>
  <si>
    <t>-609.480147829748 36.8647148703419 -93.5411616116919</t>
  </si>
  <si>
    <t>-628.054435461015 31.5708199252686 -202.557083008294</t>
  </si>
  <si>
    <t>-639.518339186581 29.6191481839699 -294.70153105211</t>
  </si>
  <si>
    <t>-649.135471922038 28.7324330314757 -378.037443078034</t>
  </si>
  <si>
    <t>-657.448182943188 28.7926752833364 -461.518048829999</t>
  </si>
  <si>
    <t>-668.166859266224 29.916956914084 -583.701432781789</t>
  </si>
  <si>
    <t>-655.269426221577 37.6639964093522 -660.603037337477</t>
  </si>
  <si>
    <t>-667.288125570195 60.544554910836 -529.466658684268</t>
  </si>
  <si>
    <t>-652.778570280043 212.897182433527 -499.197759876027</t>
  </si>
  <si>
    <t>-627.895319995503 235.466734891675 -219.108303957928</t>
  </si>
  <si>
    <t>-419.009273391075 134.946540428919 -233.628661968937</t>
  </si>
  <si>
    <t>-622.110114235053 127.757506421874 -97.5195819948326</t>
  </si>
  <si>
    <t>-640.207850454083 141.66037329074 317.428333131182</t>
  </si>
  <si>
    <t>-672.590403007611 183.166927131125 777.473435260478</t>
  </si>
  <si>
    <t>-522.023496672282 186.16866630377 834.081035387201</t>
  </si>
  <si>
    <t>-604.009335239844 -74.1337633231085 322.067858650433</t>
  </si>
  <si>
    <t>-655.142013899699 -105.701587003597 781.215963166423</t>
  </si>
  <si>
    <t>-500.608156502875 -117.82428367952 824.29909051762</t>
  </si>
  <si>
    <t>9763-20170724T115620.827774900.bin</t>
  </si>
  <si>
    <t>-608.950785124521 37.2021345627661 -93.4817582979533</t>
  </si>
  <si>
    <t>-627.552096232077 31.8829243074451 -202.491841084225</t>
  </si>
  <si>
    <t>-639.047329248153 29.9058843699329 -294.631887125897</t>
  </si>
  <si>
    <t>-648.696526009343 28.9938785599395 -377.963739912575</t>
  </si>
  <si>
    <t>-657.045185717179 29.0275371534563 -461.440852207566</t>
  </si>
  <si>
    <t>-667.820880927499 30.1117548928487 -583.619555193995</t>
  </si>
  <si>
    <t>-654.984389511905 37.9150767179165 -660.525658063795</t>
  </si>
  <si>
    <t>-666.960509052823 60.7516717922852 -529.391404546582</t>
  </si>
  <si>
    <t>-652.558303566228 213.124384223449 -499.17019453041</t>
  </si>
  <si>
    <t>-628.457325826203 236.506129894222 -219.078974013298</t>
  </si>
  <si>
    <t>-419.725983513233 135.817964771166 -234.624333611497</t>
  </si>
  <si>
    <t>-621.639457022997 128.120285801254 -97.4707202051687</t>
  </si>
  <si>
    <t>-639.897943441306 141.856086317611 317.475771903726</t>
  </si>
  <si>
    <t>-672.582238600084 183.266645749883 777.499054017009</t>
  </si>
  <si>
    <t>-522.024674653101 186.240219986203 834.132990203324</t>
  </si>
  <si>
    <t>-603.567264942905 -73.9237273897381 322.132505536984</t>
  </si>
  <si>
    <t>-655.149808775741 -105.751747870929 781.205096870077</t>
  </si>
  <si>
    <t>-500.633746457844 -118.161563478424 824.270204824667</t>
  </si>
  <si>
    <t>9763-20170724T115620.859870800.bin</t>
  </si>
  <si>
    <t>-608.705803186042 37.3352670473819 -93.459480088072</t>
  </si>
  <si>
    <t>-627.319178841943 32.0137073181909 -202.467373417069</t>
  </si>
  <si>
    <t>-638.810985921143 30.0236804048504 -294.607588672221</t>
  </si>
  <si>
    <t>-648.451756553248 29.0957909551478 -377.940203402165</t>
  </si>
  <si>
    <t>-656.786875501028 29.1096132467378 -461.418770770895</t>
  </si>
  <si>
    <t>-667.537178919419 30.160782823275 -583.599997854089</t>
  </si>
  <si>
    <t>-654.725202602672 37.9643211464572 -660.510136637148</t>
  </si>
  <si>
    <t>-666.705703081058 60.8130747510588 -529.378348297682</t>
  </si>
  <si>
    <t>-652.352166037746 213.20076716928 -499.205286749404</t>
  </si>
  <si>
    <t>-628.639035608311 237.02026126387 -219.118042435586</t>
  </si>
  <si>
    <t>-419.934990599444 136.328808360499 -235.004719543708</t>
  </si>
  <si>
    <t>-621.39354346047 128.27250986735 -97.4481464386133</t>
  </si>
  <si>
    <t>-639.763695207744 141.901127952998 317.496861227138</t>
  </si>
  <si>
    <t>-672.587772698793 183.27163148435 777.514932866793</t>
  </si>
  <si>
    <t>-522.035167176392 186.217127055865 834.163597245497</t>
  </si>
  <si>
    <t>-603.414441370925 -73.8219322658038 322.156203198273</t>
  </si>
  <si>
    <t>-655.154426774108 -105.793715942792 781.204121688319</t>
  </si>
  <si>
    <t>-500.639900847869 -118.274654106689 824.254303676881</t>
  </si>
  <si>
    <t>9763-20170724T115620.923655400.bin</t>
  </si>
  <si>
    <t>-608.324738763805 37.4793949925499 -93.4165062268264</t>
  </si>
  <si>
    <t>-626.958975726064 32.1526631162508 -202.420550908181</t>
  </si>
  <si>
    <t>-638.458452509332 30.1360452560232 -294.55923811542</t>
  </si>
  <si>
    <t>-648.102389489876 29.1752399538914 -377.891183019077</t>
  </si>
  <si>
    <t>-656.437057169112 29.1476704405409 -461.36973314028</t>
  </si>
  <si>
    <t>-667.183082749779 30.128781759842 -583.551843048344</t>
  </si>
  <si>
    <t>-654.446688202501 37.8783523198501 -660.480015953605</t>
  </si>
  <si>
    <t>-666.37679322422 60.809357911 -529.345765269533</t>
  </si>
  <si>
    <t>-652.227287272333 213.249938349623 -499.342928532631</t>
  </si>
  <si>
    <t>-629.18988370005 237.757832665008 -219.258530327258</t>
  </si>
  <si>
    <t>-420.657899948115 136.843530291701 -235.969107525364</t>
  </si>
  <si>
    <t>-621.047817910439 128.4089186315 -97.3996562385586</t>
  </si>
  <si>
    <t>-639.483110259785 141.970267246462 317.544688003894</t>
  </si>
  <si>
    <t>-672.580120149175 183.341934228945 777.539882531938</t>
  </si>
  <si>
    <t>-522.036794589857 186.29711641233 834.212626119992</t>
  </si>
  <si>
    <t>-603.115988535042 -73.6383915945219 322.199513206404</t>
  </si>
  <si>
    <t>-655.131336727516 -105.82156559841 781.199726032151</t>
  </si>
  <si>
    <t>-500.608114692233 -118.099746240932 824.276898770357</t>
  </si>
  <si>
    <t>9763-20170724T115620.959757700.bin</t>
  </si>
  <si>
    <t>-608.221828703037 37.4733928681437 -93.3933812321663</t>
  </si>
  <si>
    <t>-626.848883118485 32.1634399805598 -202.399613766106</t>
  </si>
  <si>
    <t>-638.346525176422 30.1467879614056 -294.5383642493</t>
  </si>
  <si>
    <t>-647.990767494532 29.1802159694741 -377.870279887249</t>
  </si>
  <si>
    <t>-656.327836513936 29.1413929029179 -461.348593556784</t>
  </si>
  <si>
    <t>-667.079653062374 30.1005398932325 -583.530331459855</t>
  </si>
  <si>
    <t>-654.382895127533 37.8092232547392 -660.469194600993</t>
  </si>
  <si>
    <t>-666.288528372065 60.7885060773945 -529.328302712852</t>
  </si>
  <si>
    <t>-652.230223455208 213.24319075159 -499.36416509535</t>
  </si>
  <si>
    <t>-629.591507478197 238.067406553737 -219.275146217717</t>
  </si>
  <si>
    <t>-421.211797710053 136.921430540294 -236.477522390089</t>
  </si>
  <si>
    <t>-620.954713476077 128.420075685942 -97.369093363139</t>
  </si>
  <si>
    <t>-639.428211641983 141.972403626958 317.573934842515</t>
  </si>
  <si>
    <t>-672.574197872015 183.378299995262 777.559298986403</t>
  </si>
  <si>
    <t>-522.034290796975 186.250397742586 834.245375602362</t>
  </si>
  <si>
    <t>-603.019415573495 -73.6295058531821 322.219808203881</t>
  </si>
  <si>
    <t>-655.105788383741 -105.864321814438 781.212339561453</t>
  </si>
  <si>
    <t>-500.607319727569 -118.318907097839 824.327580947405</t>
  </si>
  <si>
    <t>9763-20170724T115621.026627700.bin</t>
  </si>
  <si>
    <t>-608.122606766536 37.4056597651015 -93.3603731477555</t>
  </si>
  <si>
    <t>-626.726082491069 32.11456042228 -202.37143308979</t>
  </si>
  <si>
    <t>-638.182300832658 30.1177056664649 -294.515901931051</t>
  </si>
  <si>
    <t>-647.780749591865 29.170926721664 -377.853199792631</t>
  </si>
  <si>
    <t>-656.063937785707 29.1544776749336 -461.33687473869</t>
  </si>
  <si>
    <t>-666.728377454015 30.1492191181464 -583.526077999144</t>
  </si>
  <si>
    <t>-654.073845920875 37.7853114681407 -660.479165444236</t>
  </si>
  <si>
    <t>-666.016193157353 60.8162320505471 -529.3110048714</t>
  </si>
  <si>
    <t>-652.204342229828 213.282919545088 -499.313012693976</t>
  </si>
  <si>
    <t>-630.519961736409 238.523621735202 -219.185786038667</t>
  </si>
  <si>
    <t>-422.365625712376 137.053418541092 -237.188664316351</t>
  </si>
  <si>
    <t>-620.86283440502 128.316830695536 -97.3136411650981</t>
  </si>
  <si>
    <t>-639.425763792009 141.940530821468 317.62301113298</t>
  </si>
  <si>
    <t>-672.576985825342 183.421313466186 777.608135172983</t>
  </si>
  <si>
    <t>-522.039863855184 186.346099840425 834.298977284247</t>
  </si>
  <si>
    <t>-602.96174883364 -73.6327692055088 322.241759267309</t>
  </si>
  <si>
    <t>-655.094920887696 -105.916419425269 781.212590190701</t>
  </si>
  <si>
    <t>-500.581647022357 -118.158232356756 824.335747021011</t>
  </si>
  <si>
    <t>9763-20170724T115621.057713000.bin</t>
  </si>
  <si>
    <t>-608.125900385313 37.337592374663 -93.35358695793</t>
  </si>
  <si>
    <t>-626.693854085771 32.0511997895017 -202.371012457348</t>
  </si>
  <si>
    <t>-638.077549367271 30.0776982868431 -294.524938958692</t>
  </si>
  <si>
    <t>-647.593469563803 29.1597126285876 -377.872054719458</t>
  </si>
  <si>
    <t>-655.777081991042 29.1802728553694 -461.365488538495</t>
  </si>
  <si>
    <t>-666.277346504994 30.2381590674358 -583.568445590098</t>
  </si>
  <si>
    <t>-653.602129028806 37.8400090725393 -660.52141992214</t>
  </si>
  <si>
    <t>-665.655515945042 60.8749075212311 -529.335059079508</t>
  </si>
  <si>
    <t>-651.952396374382 213.335536009983 -499.228899116811</t>
  </si>
  <si>
    <t>-630.944382687274 238.618534261929 -219.053901750876</t>
  </si>
  <si>
    <t>-422.80298971915 137.155304552066 -237.244656989003</t>
  </si>
  <si>
    <t>-620.866703623177 128.211759646897 -97.3028769925304</t>
  </si>
  <si>
    <t>-639.433474208426 141.883903001141 317.631993833544</t>
  </si>
  <si>
    <t>-672.587162043662 183.38559798018 777.618976778984</t>
  </si>
  <si>
    <t>-522.055282030223 186.461254838949 834.315715470718</t>
  </si>
  <si>
    <t>-603.018564365494 -73.6661964356979 322.244927118645</t>
  </si>
  <si>
    <t>-655.098334064385 -105.935030113207 781.21239251492</t>
  </si>
  <si>
    <t>-500.571104006196 -118.034475401049 824.325713841179</t>
  </si>
  <si>
    <t>9763-20170724T115621.125542100.bin</t>
  </si>
  <si>
    <t>-608.179923339914 37.1942717151126 -93.322908988783</t>
  </si>
  <si>
    <t>-626.620469785477 31.9255425194287 -202.362689521379</t>
  </si>
  <si>
    <t>-637.825312737644 30.0074696015943 -294.539857888582</t>
  </si>
  <si>
    <t>-647.151015894456 29.1553492161079 -377.909156872691</t>
  </si>
  <si>
    <t>-655.115707724304 29.2583010532226 -461.423736709659</t>
  </si>
  <si>
    <t>-665.264589598044 30.4551344665963 -583.655070789455</t>
  </si>
  <si>
    <t>-652.509725615574 37.9911869861128 -660.601280130709</t>
  </si>
  <si>
    <t>-664.843728122728 61.024331162525 -529.381734457044</t>
  </si>
  <si>
    <t>-651.3598448103 213.460596450318 -499.060222012435</t>
  </si>
  <si>
    <t>-631.690399857687 238.519773393553 -218.767987390089</t>
  </si>
  <si>
    <t>-423.504066358213 137.154283956505 -236.989334509982</t>
  </si>
  <si>
    <t>-620.972462482795 127.995861242688 -97.2678252823425</t>
  </si>
  <si>
    <t>-639.517749014701 141.885189414656 317.660748515005</t>
  </si>
  <si>
    <t>-672.589844421604 183.46147820772 777.643387781202</t>
  </si>
  <si>
    <t>-522.055352950248 186.37495048914 834.341778062737</t>
  </si>
  <si>
    <t>-603.156141327354 -73.8679126085044 322.238347550466</t>
  </si>
  <si>
    <t>-655.110505096684 -106.046753600343 781.214079043741</t>
  </si>
  <si>
    <t>-500.607572495128 -118.499368543537 824.313973520646</t>
  </si>
  <si>
    <t>9763-20170724T115621.162643700.bin</t>
  </si>
  <si>
    <t>-608.158487175508 37.1239733565508 -93.3132670212345</t>
  </si>
  <si>
    <t>-626.546326464299 31.8573323223959 -202.362148937484</t>
  </si>
  <si>
    <t>-637.687504831848 29.9732888622675 -294.547626426956</t>
  </si>
  <si>
    <t>-646.947889486151 29.1642806912846 -377.924658787332</t>
  </si>
  <si>
    <t>-654.839616871588 29.3234005805455 -461.446091716604</t>
  </si>
  <si>
    <t>-664.873392165171 30.6166326434081 -583.68587828883</t>
  </si>
  <si>
    <t>-652.063285146843 38.1002272576454 -660.628216642598</t>
  </si>
  <si>
    <t>-664.533102434673 61.1390930741184 -529.385737768004</t>
  </si>
  <si>
    <t>-651.196174645252 213.559170063079 -498.919775163532</t>
  </si>
  <si>
    <t>-632.063642164219 238.365222436868 -218.567900711045</t>
  </si>
  <si>
    <t>-423.839329185131 137.097546274807 -236.8988938306</t>
  </si>
  <si>
    <t>-620.993856994215 127.891963508737 -97.2511624953918</t>
  </si>
  <si>
    <t>-639.582922363367 141.876678256119 317.672336105775</t>
  </si>
  <si>
    <t>-672.584070358298 183.519269991933 777.651473325714</t>
  </si>
  <si>
    <t>-522.048636393194 186.399706991021 834.349001056195</t>
  </si>
  <si>
    <t>-603.194304122919 -73.9665557199096 322.230848482362</t>
  </si>
  <si>
    <t>-655.118376564917 -106.096702784324 781.215993459811</t>
  </si>
  <si>
    <t>-500.605055285051 -118.480916311763 824.298326639485</t>
  </si>
  <si>
    <t>9763-20170724T115621.223308700.bin</t>
  </si>
  <si>
    <t>-608.045798741201 36.8739085828629 -93.3081676539299</t>
  </si>
  <si>
    <t>-626.365905749103 31.5855259009907 -202.367316042291</t>
  </si>
  <si>
    <t>-637.449560506433 29.7812513945273 -294.561271588182</t>
  </si>
  <si>
    <t>-646.657782763978 29.082685162032 -377.945144205237</t>
  </si>
  <si>
    <t>-654.49733420796 29.3918046823967 -461.470962482535</t>
  </si>
  <si>
    <t>-664.45502531665 30.9478531966577 -583.713958858229</t>
  </si>
  <si>
    <t>-651.544407511174 38.2613503570451 -660.655779035129</t>
  </si>
  <si>
    <t>-664.214208597244 61.3447295652297 -529.34288724927</t>
  </si>
  <si>
    <t>-651.271168324513 213.732759388054 -498.551550028716</t>
  </si>
  <si>
    <t>-632.839376047142 237.954985885592 -218.101557456923</t>
  </si>
  <si>
    <t>-424.615447688835 136.817824260083 -237.144007462866</t>
  </si>
  <si>
    <t>-620.982821647996 127.570567875036 -97.2485282773202</t>
  </si>
  <si>
    <t>-639.618989433071 141.765730308867 317.665675101791</t>
  </si>
  <si>
    <t>-672.589253875174 183.529204642944 777.647822852354</t>
  </si>
  <si>
    <t>-522.060979954527 186.564691636324 834.356296036651</t>
  </si>
  <si>
    <t>-603.156661638186 -74.2781096441599 322.222232777647</t>
  </si>
  <si>
    <t>-655.156849753288 -106.125502521666 781.211229273826</t>
  </si>
  <si>
    <t>-500.573487090039 -117.946947587393 824.200341394102</t>
  </si>
  <si>
    <t>9763-20170724T115621.260420200.bin</t>
  </si>
  <si>
    <t>-607.920983996193 36.6947444298673 -93.3109042743639</t>
  </si>
  <si>
    <t>-626.227647127871 31.3815982971212 -202.371200796792</t>
  </si>
  <si>
    <t>-637.304850753571 29.6000851547094 -294.566303959775</t>
  </si>
  <si>
    <t>-646.509252687196 28.9393348501519 -377.950866695132</t>
  </si>
  <si>
    <t>-654.347157759218 29.3042517578924 -461.476760645273</t>
  </si>
  <si>
    <t>-664.304956184759 30.9616156926415 -583.718438987967</t>
  </si>
  <si>
    <t>-651.343062376137 38.1700384218188 -660.66144067542</t>
  </si>
  <si>
    <t>-664.098361399468 61.3088209637597 -529.319300955435</t>
  </si>
  <si>
    <t>-651.369341362642 213.694063885974 -498.395059434111</t>
  </si>
  <si>
    <t>-633.119808367732 237.537360049492 -217.900857355116</t>
  </si>
  <si>
    <t>-424.901565388852 136.464875062565 -237.344097807744</t>
  </si>
  <si>
    <t>-620.887391553921 127.371056277364 -97.2544453738675</t>
  </si>
  <si>
    <t>-639.5580780567 141.668042092021 317.654690825563</t>
  </si>
  <si>
    <t>-672.6005624683 183.496619609233 777.629174309467</t>
  </si>
  <si>
    <t>-522.079700942847 186.594708867695 834.353886420131</t>
  </si>
  <si>
    <t>-603.092310143638 -74.4991109386365 322.224524037842</t>
  </si>
  <si>
    <t>-655.185539547952 -106.172274987385 781.21208304688</t>
  </si>
  <si>
    <t>-500.604646544777 -118.186834017765 824.156436068354</t>
  </si>
  <si>
    <t>9763-20170724T115621.325596200.bin</t>
  </si>
  <si>
    <t>-607.622044769792 36.2332347412423 -93.3420949459885</t>
  </si>
  <si>
    <t>-625.931749537679 30.9023150175371 -202.400996025448</t>
  </si>
  <si>
    <t>-637.005702014868 29.1679345281941 -294.597363403617</t>
  </si>
  <si>
    <t>-646.205163249287 28.5745815741629 -377.983011010249</t>
  </si>
  <si>
    <t>-654.036602576745 29.0323325571492 -461.508953550849</t>
  </si>
  <si>
    <t>-663.983447541817 30.854608503146 -583.749175804835</t>
  </si>
  <si>
    <t>-650.91471405052 37.8774503846264 -660.691380297764</t>
  </si>
  <si>
    <t>-663.844253718163 61.1198827325868 -529.304385266578</t>
  </si>
  <si>
    <t>-651.583328836498 213.507687025142 -498.227740058393</t>
  </si>
  <si>
    <t>-633.678848389844 236.934332082543 -217.676121442325</t>
  </si>
  <si>
    <t>-425.494882808591 135.924262633201 -237.798892921175</t>
  </si>
  <si>
    <t>-620.634637846835 127.034449620703 -97.2936080594745</t>
  </si>
  <si>
    <t>-639.399638512686 141.457019748544 317.606960877017</t>
  </si>
  <si>
    <t>-672.592447790127 183.524922897416 777.563382712011</t>
  </si>
  <si>
    <t>-522.090450881087 186.688895745842 834.334529016088</t>
  </si>
  <si>
    <t>-602.996270374491 -75.0929995316185 322.209275170272</t>
  </si>
  <si>
    <t>-655.247216160501 -106.23904453214 781.207575126208</t>
  </si>
  <si>
    <t>-500.629331956085 -118.190473332214 824.036237226075</t>
  </si>
  <si>
    <t>9763-20170724T115621.361694700.bin</t>
  </si>
  <si>
    <t>-607.445699190951 36.0479570308405 -93.3690864504174</t>
  </si>
  <si>
    <t>-625.749326779262 30.6944883985302 -202.4279548659</t>
  </si>
  <si>
    <t>-636.828554860602 28.9747917676887 -294.624007642121</t>
  </si>
  <si>
    <t>-646.037030206273 28.4080697690963 -378.008768582134</t>
  </si>
  <si>
    <t>-653.881826398221 28.9062317306534 -461.533276023357</t>
  </si>
  <si>
    <t>-663.85298543733 30.8028979463165 -583.770432735643</t>
  </si>
  <si>
    <t>-650.760843001876 37.7300426227648 -660.717228073212</t>
  </si>
  <si>
    <t>-663.71932759997 61.0326704740755 -529.305888364162</t>
  </si>
  <si>
    <t>-651.807616238794 213.461057041967 -498.296838320681</t>
  </si>
  <si>
    <t>-634.30842336431 236.802500297325 -217.712605713492</t>
  </si>
  <si>
    <t>-426.12343663644 135.817874852024 -237.95210611897</t>
  </si>
  <si>
    <t>-620.462014737363 126.929980692326 -97.3317890708347</t>
  </si>
  <si>
    <t>-639.273307059088 141.364464011926 317.56619678644</t>
  </si>
  <si>
    <t>-672.580901648523 183.549321729165 777.520658766151</t>
  </si>
  <si>
    <t>-522.090155028704 186.627907204281 834.326297959095</t>
  </si>
  <si>
    <t>-602.924451175781 -75.3732125168917 322.194423804493</t>
  </si>
  <si>
    <t>-655.26394308439 -106.320600004927 781.20686693667</t>
  </si>
  <si>
    <t>-500.696195702457 -118.949687282747 824.022068432372</t>
  </si>
  <si>
    <t>9763-20170724T115621.427874200.bin</t>
  </si>
  <si>
    <t>-607.060060255616 35.8081673468043 -93.4149505380595</t>
  </si>
  <si>
    <t>-625.356977240857 30.4298056588632 -202.473567925415</t>
  </si>
  <si>
    <t>-636.430425779983 28.7363730758921 -294.670952541125</t>
  </si>
  <si>
    <t>-645.634072401287 28.2131485766088 -378.056577535137</t>
  </si>
  <si>
    <t>-653.474779224244 28.7749222658881 -461.581070235375</t>
  </si>
  <si>
    <t>-663.4410284653 30.7869711817098 -583.816572370293</t>
  </si>
  <si>
    <t>-650.343545865512 37.5154604082841 -660.780330753943</t>
  </si>
  <si>
    <t>-663.337089776644 60.9615027387426 -529.321417136491</t>
  </si>
  <si>
    <t>-651.796188316862 213.461724600897 -498.514247675438</t>
  </si>
  <si>
    <t>-635.597030338779 236.6664674984 -217.840565144781</t>
  </si>
  <si>
    <t>-427.542776796186 135.631908322006 -239.147395535262</t>
  </si>
  <si>
    <t>-620.022840706185 126.793559858792 -97.4041620587338</t>
  </si>
  <si>
    <t>-638.979026203823 141.332581314659 317.483566787554</t>
  </si>
  <si>
    <t>-672.546727576368 183.652795207922 777.427998376212</t>
  </si>
  <si>
    <t>-522.083323704804 186.665296629434 834.309570308707</t>
  </si>
  <si>
    <t>-602.806942771334 -75.7430049796494 322.173748266412</t>
  </si>
  <si>
    <t>-655.271685261304 -106.367955253003 781.20756806292</t>
  </si>
  <si>
    <t>-500.681196458661 -118.814499680181 823.994017861205</t>
  </si>
  <si>
    <t>9763-20170724T115621.462476600.bin</t>
  </si>
  <si>
    <t>-606.983075587105 35.5768913451402 -93.4398519201264</t>
  </si>
  <si>
    <t>-625.285024206472 30.2038531034577 -202.497934722146</t>
  </si>
  <si>
    <t>-636.367205999701 28.5106136276825 -294.694285803538</t>
  </si>
  <si>
    <t>-645.581010390525 27.9863540863371 -378.078675324143</t>
  </si>
  <si>
    <t>-653.434272148055 28.5465257295032 -461.601957127428</t>
  </si>
  <si>
    <t>-663.421893335591 30.5555067663181 -583.836026674097</t>
  </si>
  <si>
    <t>-650.351308408362 37.1668900995983 -660.814191365998</t>
  </si>
  <si>
    <t>-663.323306426795 60.7293407533571 -529.340423044307</t>
  </si>
  <si>
    <t>-651.974775945303 213.271716281413 -498.66782469904</t>
  </si>
  <si>
    <t>-636.384628587685 236.449848478594 -217.957550463422</t>
  </si>
  <si>
    <t>-428.458772782261 135.263166308041 -239.78913487634</t>
  </si>
  <si>
    <t>-619.883888361924 126.67624867195 -97.4344996020178</t>
  </si>
  <si>
    <t>-638.891112083262 141.189787881168 317.451908198751</t>
  </si>
  <si>
    <t>-672.559257890866 183.6083540035 777.38391700668</t>
  </si>
  <si>
    <t>-522.110221200548 186.79989859802 834.293725133981</t>
  </si>
  <si>
    <t>-602.812064856118 -76.0614622628384 322.153050007548</t>
  </si>
  <si>
    <t>-655.25178370222 -106.36016898242 781.215838523698</t>
  </si>
  <si>
    <t>-500.6418912905 -118.520780774227 824.014480685778</t>
  </si>
  <si>
    <t>9763-20170724T115621.526685000.bin</t>
  </si>
  <si>
    <t>-607.404020079451 34.6041819554384 -93.5711067250516</t>
  </si>
  <si>
    <t>-625.702420486111 29.2904624587527 -202.632716510337</t>
  </si>
  <si>
    <t>-636.808564253613 27.5971398920169 -294.826029011684</t>
  </si>
  <si>
    <t>-646.055659022575 27.0543017689126 -378.2068468413</t>
  </si>
  <si>
    <t>-653.954277206144 27.5771875924706 -461.726045194532</t>
  </si>
  <si>
    <t>-664.02187280861 29.5117731044104 -583.954648810054</t>
  </si>
  <si>
    <t>-650.991917399081 35.9144896076539 -660.957578165135</t>
  </si>
  <si>
    <t>-663.89721212077 59.7174170875865 -529.476616365523</t>
  </si>
  <si>
    <t>-652.547471047298 212.283442137093 -498.945145991085</t>
  </si>
  <si>
    <t>-638.403562891866 235.56021043389 -218.166340245602</t>
  </si>
  <si>
    <t>-430.877157585026 133.709125152842 -240.698146291363</t>
  </si>
  <si>
    <t>-619.990222994791 126.174831138412 -97.5441455301022</t>
  </si>
  <si>
    <t>-638.985513055071 140.748084496857 317.340692977809</t>
  </si>
  <si>
    <t>-672.55085224253 183.694986215487 777.254745456765</t>
  </si>
  <si>
    <t>-522.117243179695 186.804788495926 834.209847761211</t>
  </si>
  <si>
    <t>-603.159072375308 -77.2009092340741 322.02529808278</t>
  </si>
  <si>
    <t>-655.068397462839 -106.430778998113 781.268701626178</t>
  </si>
  <si>
    <t>-500.542957726524 -118.71697475523 824.335595686045</t>
  </si>
  <si>
    <t>9763-20170724T115621.559789000.bin</t>
  </si>
  <si>
    <t>-607.860659235191 34.1354671839836 -93.6398037418253</t>
  </si>
  <si>
    <t>-626.179716980779 28.8760062901522 -202.700611197331</t>
  </si>
  <si>
    <t>-637.289335814294 27.1797765612687 -294.893486938703</t>
  </si>
  <si>
    <t>-646.534508143271 26.6159989703622 -378.274227308026</t>
  </si>
  <si>
    <t>-654.42627174397 27.0999023441918 -461.794301884867</t>
  </si>
  <si>
    <t>-664.478730994298 28.95760188586 -584.025467243032</t>
  </si>
  <si>
    <t>-651.450608903747 35.2754183530112 -661.035545708374</t>
  </si>
  <si>
    <t>-664.360123966958 59.1976062457536 -529.566511436173</t>
  </si>
  <si>
    <t>-652.984090801964 211.787011320647 -499.179849029963</t>
  </si>
  <si>
    <t>-639.575067998244 235.277925982361 -218.382913796526</t>
  </si>
  <si>
    <t>-432.279487199883 133.026425563137 -241.223469483326</t>
  </si>
  <si>
    <t>-620.236994385232 125.931275232344 -97.5894457574001</t>
  </si>
  <si>
    <t>-639.123293249192 140.516079254843 317.29991612259</t>
  </si>
  <si>
    <t>-672.570419599653 183.698297406348 777.209507511666</t>
  </si>
  <si>
    <t>-522.136440484855 186.795881709526 834.164288065716</t>
  </si>
  <si>
    <t>-603.487831352159 -77.5087364069518 321.95920129893</t>
  </si>
  <si>
    <t>-654.925496760358 -106.479660698009 781.309917752408</t>
  </si>
  <si>
    <t>-500.485594186849 -119.007203522555 824.613613822499</t>
  </si>
  <si>
    <t>9763-20170724T115621.622973100.bin</t>
  </si>
  <si>
    <t>-609.160200748951 33.566186685711 -93.7147131521905</t>
  </si>
  <si>
    <t>-627.473176535854 28.4330538344407 -202.782421416698</t>
  </si>
  <si>
    <t>-638.544847174899 26.6832216158709 -294.978980041795</t>
  </si>
  <si>
    <t>-647.743580790389 26.0100886798703 -378.363927279527</t>
  </si>
  <si>
    <t>-655.576916489138 26.3226952012535 -461.890536600386</t>
  </si>
  <si>
    <t>-665.531032562982 27.8629007067375 -584.134004220826</t>
  </si>
  <si>
    <t>-652.466456200966 34.0018313831381 -661.152474521027</t>
  </si>
  <si>
    <t>-665.411183906129 58.2505861049467 -529.757259504596</t>
  </si>
  <si>
    <t>-653.770950960478 210.908898380997 -499.791428858283</t>
  </si>
  <si>
    <t>-641.898785792905 235.194219420664 -218.992807592219</t>
  </si>
  <si>
    <t>-435.154126661396 131.832799382227 -241.831246704912</t>
  </si>
  <si>
    <t>-621.149783806206 125.726902097295 -97.6363777095354</t>
  </si>
  <si>
    <t>-639.628039429752 140.342177314967 317.270238085522</t>
  </si>
  <si>
    <t>-672.632377880429 183.744856718141 777.187741449568</t>
  </si>
  <si>
    <t>-522.168948308507 186.66951647934 834.073927242981</t>
  </si>
  <si>
    <t>-604.248585629947 -77.860364254168 321.897233928138</t>
  </si>
  <si>
    <t>-654.582913916296 -106.546777215056 781.389503217872</t>
  </si>
  <si>
    <t>-500.296963601707 -118.980127689887 825.265223521247</t>
  </si>
  <si>
    <t>9763-20170724T115621.658568700.bin</t>
  </si>
  <si>
    <t>-610.044630986999 33.4929319663834 -93.7310153038277</t>
  </si>
  <si>
    <t>-628.326511463729 28.4390699926778 -202.807732169241</t>
  </si>
  <si>
    <t>-639.351039243363 26.6524951077106 -295.00907309138</t>
  </si>
  <si>
    <t>-648.499012819948 25.9069025612264 -378.399156720428</t>
  </si>
  <si>
    <t>-656.273251722646 26.1064916384696 -461.931547626139</t>
  </si>
  <si>
    <t>-666.131996161408 27.4364812277706 -584.185311868442</t>
  </si>
  <si>
    <t>-653.005296868647 33.4701887083634 -661.201429268965</t>
  </si>
  <si>
    <t>-665.995986190043 57.925663584236 -529.865491524255</t>
  </si>
  <si>
    <t>-653.883322282189 210.582884026509 -500.075588544628</t>
  </si>
  <si>
    <t>-643.02506047711 235.411119999857 -219.283505306119</t>
  </si>
  <si>
    <t>-436.630653842384 131.320187505604 -241.976068982263</t>
  </si>
  <si>
    <t>-621.875718138768 125.737706311784 -97.6294805127091</t>
  </si>
  <si>
    <t>-640.128262480259 140.39492458861 317.285696354071</t>
  </si>
  <si>
    <t>-672.684588481013 183.774040414943 777.228829526855</t>
  </si>
  <si>
    <t>-522.187398779633 186.638368660568 834.028647677906</t>
  </si>
  <si>
    <t>-604.660556203438 -77.8572109662009 321.883450555437</t>
  </si>
  <si>
    <t>-654.246112707756 -106.649903769155 781.435439797996</t>
  </si>
  <si>
    <t>-500.138450984293 -119.112477735594 825.925198626131</t>
  </si>
  <si>
    <t>9763-20170724T115621.726251500.bin</t>
  </si>
  <si>
    <t>-612.182403983328 33.5691389087663 -93.6785808516921</t>
  </si>
  <si>
    <t>-630.305247400552 28.6739870198987 -202.789043379806</t>
  </si>
  <si>
    <t>-641.144998989817 26.784701994357 -295.010339190636</t>
  </si>
  <si>
    <t>-650.105830754752 25.8543828306015 -378.418824709454</t>
  </si>
  <si>
    <t>-657.67195996881 25.7745250700809 -461.970481468219</t>
  </si>
  <si>
    <t>-667.203053686431 26.5920305430025 -584.254584328922</t>
  </si>
  <si>
    <t>-653.879159231848 32.3670883507839 -661.25686063132</t>
  </si>
  <si>
    <t>-667.061625435036 57.3286836967393 -530.074538627482</t>
  </si>
  <si>
    <t>-654.011194970218 210.020272542962 -500.883696946909</t>
  </si>
  <si>
    <t>-645.012109155786 235.926345991748 -220.123216048955</t>
  </si>
  <si>
    <t>-439.250879911224 130.333101180772 -241.592227193494</t>
  </si>
  <si>
    <t>-623.891829922556 125.857468022157 -97.5370312627501</t>
  </si>
  <si>
    <t>-641.437405372683 140.69164154823 317.40239347675</t>
  </si>
  <si>
    <t>-672.805685752875 183.865809776978 777.438123918164</t>
  </si>
  <si>
    <t>-522.208598943698 186.489500877628 833.984100555375</t>
  </si>
  <si>
    <t>-605.337967512611 -77.5237732682381 321.945348785267</t>
  </si>
  <si>
    <t>-653.184856508686 -106.805937059664 781.705350903241</t>
  </si>
  <si>
    <t>-499.582693283311 -118.973937463725 827.988529563613</t>
  </si>
  <si>
    <t>9763-20170724T115621.760846700.bin</t>
  </si>
  <si>
    <t>-613.411204515935 33.6579877643981 -93.595598922606</t>
  </si>
  <si>
    <t>-631.430570372285 28.8191095349785 -202.7256516257</t>
  </si>
  <si>
    <t>-642.158952122141 26.8665037063931 -294.958701123452</t>
  </si>
  <si>
    <t>-651.009103483038 25.8354145797214 -378.377757659715</t>
  </si>
  <si>
    <t>-658.454193224713 25.6094485762708 -461.940095868155</t>
  </si>
  <si>
    <t>-667.796583166283 26.1636594073136 -584.240248454152</t>
  </si>
  <si>
    <t>-654.362818452631 31.8070436691492 -661.233130598958</t>
  </si>
  <si>
    <t>-667.669329979079 57.0260452940693 -530.131687027776</t>
  </si>
  <si>
    <t>-654.144699195932 209.742957155256 -501.261531270668</t>
  </si>
  <si>
    <t>-645.90248974083 236.307301387984 -220.539178999033</t>
  </si>
  <si>
    <t>-440.478408453796 129.904591112451 -241.225967481018</t>
  </si>
  <si>
    <t>-625.201466547504 125.877513882105 -97.445207656315</t>
  </si>
  <si>
    <t>-642.267451105688 140.828094920175 317.510049761161</t>
  </si>
  <si>
    <t>-672.875391861928 183.879622339606 777.595682679306</t>
  </si>
  <si>
    <t>-522.217873828417 186.442041641654 833.983452693479</t>
  </si>
  <si>
    <t>-605.684786434909 -77.2674159370304 322.031726633657</t>
  </si>
  <si>
    <t>-652.648980827036 -106.854156714765 781.884858527708</t>
  </si>
  <si>
    <t>-499.284845398802 -118.681820970919 829.037548330702</t>
  </si>
  <si>
    <t>9763-20170724T115621.828529500.bin</t>
  </si>
  <si>
    <t>-616.045048803418 34.0683152998877 -93.3986714974457</t>
  </si>
  <si>
    <t>-633.866683655047 29.2946624566364 -202.56416665282</t>
  </si>
  <si>
    <t>-644.361313550015 27.1879720541299 -294.820682736086</t>
  </si>
  <si>
    <t>-652.972394019348 25.9326438998203 -378.261679093258</t>
  </si>
  <si>
    <t>-660.149463726887 25.3954543302209 -461.845944823393</t>
  </si>
  <si>
    <t>-669.067719331731 25.3974155133642 -584.179081002372</t>
  </si>
  <si>
    <t>-655.467561337529 30.772131711271 -661.16193279266</t>
  </si>
  <si>
    <t>-669.00455954504 56.5193196993321 -530.219277899952</t>
  </si>
  <si>
    <t>-654.785513599563 209.301328237513 -502.063833256655</t>
  </si>
  <si>
    <t>-648.030299772711 237.119629103445 -221.423132237207</t>
  </si>
  <si>
    <t>-443.235792928346 129.237680166894 -240.63866306621</t>
  </si>
  <si>
    <t>-628.06510988864 126.031954638951 -97.2220910592862</t>
  </si>
  <si>
    <t>-644.247628352448 141.169964027119 317.761743251832</t>
  </si>
  <si>
    <t>-672.993190538935 184.026385621802 777.953504295583</t>
  </si>
  <si>
    <t>-522.197849931721 186.08459499075 833.992414519435</t>
  </si>
  <si>
    <t>-606.779244841315 -76.4887141721824 322.182671184078</t>
  </si>
  <si>
    <t>-652.097209847591 -106.828083500515 782.079896618093</t>
  </si>
  <si>
    <t>-498.980468952356 -117.934025239821 830.202008336234</t>
  </si>
  <si>
    <t>9763-20170724T115621.859115800.bin</t>
  </si>
  <si>
    <t>-617.358610380865 34.4142775497198 -93.3499163456138</t>
  </si>
  <si>
    <t>-635.082005660835 29.6420283557713 -202.531402069993</t>
  </si>
  <si>
    <t>-645.447265307962 27.4703532076985 -294.800993285498</t>
  </si>
  <si>
    <t>-653.922085965884 26.1281564081257 -378.25464909792</t>
  </si>
  <si>
    <t>-660.942937260778 25.4746558685003 -461.851430753048</t>
  </si>
  <si>
    <t>-669.610462513397 25.2735296943324 -584.202421094781</t>
  </si>
  <si>
    <t>-655.936194775364 30.547511414075 -661.179172073272</t>
  </si>
  <si>
    <t>-669.599043076504 56.4921730031003 -530.298397555506</t>
  </si>
  <si>
    <t>-655.077577210287 209.302576596598 -502.452213246094</t>
  </si>
  <si>
    <t>-649.079510116075 237.668707298078 -221.849256740368</t>
  </si>
  <si>
    <t>-444.510890211083 129.234426712573 -240.348566635584</t>
  </si>
  <si>
    <t>-629.600244245776 126.232467861224 -97.1533680117427</t>
  </si>
  <si>
    <t>-645.278387239814 141.51376822518 317.844593386418</t>
  </si>
  <si>
    <t>-673.045067735909 184.1090476282 778.129285738308</t>
  </si>
  <si>
    <t>-522.184274986307 186.062737830297 833.995396561107</t>
  </si>
  <si>
    <t>-607.422114472321 -76.0181277770635 322.200672006763</t>
  </si>
  <si>
    <t>-652.002200470125 -106.860656703969 782.117829175023</t>
  </si>
  <si>
    <t>-498.943050452585 -118.000063827406 830.415129658591</t>
  </si>
  <si>
    <t>9763-20170724T115621.927802100.bin</t>
  </si>
  <si>
    <t>-619.810358950423 35.104073698564 -93.3418096571376</t>
  </si>
  <si>
    <t>-637.331882468407 30.2476986265699 -202.552243089999</t>
  </si>
  <si>
    <t>-647.471504915679 27.9362416667393 -294.84341160829</t>
  </si>
  <si>
    <t>-655.718828902041 26.4356790932006 -378.317278573273</t>
  </si>
  <si>
    <t>-662.487674278721 25.5907713176639 -461.933099368226</t>
  </si>
  <si>
    <t>-670.759170374252 25.072079490142 -584.310457544401</t>
  </si>
  <si>
    <t>-656.962202258084 30.1493259176614 -661.278507098126</t>
  </si>
  <si>
    <t>-670.862150004751 56.4378954978954 -530.492044964296</t>
  </si>
  <si>
    <t>-655.903804354227 209.278304434482 -503.016795080288</t>
  </si>
  <si>
    <t>-651.041684700455 238.392200341859 -222.468519216211</t>
  </si>
  <si>
    <t>-446.779598895216 129.197591558832 -239.848945187086</t>
  </si>
  <si>
    <t>-632.485032324913 126.595781382905 -97.127413478788</t>
  </si>
  <si>
    <t>-646.99360710816 142.193344635891 317.901316296433</t>
  </si>
  <si>
    <t>-673.112489260908 184.253387271462 778.368608666829</t>
  </si>
  <si>
    <t>-522.147646021152 186.076460867791 833.95737165934</t>
  </si>
  <si>
    <t>-608.806988492971 -75.1595868197951 322.194198786613</t>
  </si>
  <si>
    <t>-652.069326863587 -106.805341730585 782.113601132497</t>
  </si>
  <si>
    <t>-498.954817238913 -117.583700860085 830.317371683145</t>
  </si>
  <si>
    <t>9763-20170724T115621.959388200.bin</t>
  </si>
  <si>
    <t>-620.888966580937 35.3669502542309 -93.3703455078276</t>
  </si>
  <si>
    <t>-638.289694214919 30.4646586478639 -202.597990848163</t>
  </si>
  <si>
    <t>-648.335933835098 28.0908367917814 -294.897864255213</t>
  </si>
  <si>
    <t>-656.501602511449 26.5221434812595 -378.378419389658</t>
  </si>
  <si>
    <t>-663.191439096909 25.5973174851642 -461.999815032726</t>
  </si>
  <si>
    <t>-671.350191513172 24.948082497461 -584.384157145078</t>
  </si>
  <si>
    <t>-657.521713070819 29.943583270202 -661.351923061761</t>
  </si>
  <si>
    <t>-671.515150426227 56.3696360708084 -530.598417169716</t>
  </si>
  <si>
    <t>-656.633909050672 209.241129871248 -503.297539333719</t>
  </si>
  <si>
    <t>-651.987071710753 238.6245008136 -222.773733133128</t>
  </si>
  <si>
    <t>-447.739382502908 129.349323243442 -239.813247379206</t>
  </si>
  <si>
    <t>-633.833233535817 126.703232812795 -97.1785338713038</t>
  </si>
  <si>
    <t>-647.752444703254 142.420973687911 317.865827339584</t>
  </si>
  <si>
    <t>-673.171445551671 184.242359679001 778.375221930439</t>
  </si>
  <si>
    <t>-522.172883185921 185.900691147192 833.877584620597</t>
  </si>
  <si>
    <t>-609.517733186904 -74.9029633699558 322.151800824567</t>
  </si>
  <si>
    <t>-652.186476775796 -106.799995874162 782.086270487213</t>
  </si>
  <si>
    <t>-499.035791635467 -117.836245259424 830.116424700413</t>
  </si>
  <si>
    <t>9763-20170724T115622.028073400.bin</t>
  </si>
  <si>
    <t>-622.627916693306 35.761267209142 -93.4935609425958</t>
  </si>
  <si>
    <t>-639.878771417441 30.7669577715787 -202.740813493167</t>
  </si>
  <si>
    <t>-649.820381092135 28.3140650486357 -295.049865686213</t>
  </si>
  <si>
    <t>-657.899302644053 26.6679596779272 -378.537426876641</t>
  </si>
  <si>
    <t>-664.510010875778 25.6612800138259 -462.164109934776</t>
  </si>
  <si>
    <t>-672.561089851798 24.8869639752563 -584.554903434088</t>
  </si>
  <si>
    <t>-658.724765503994 29.8106378235098 -661.525832936561</t>
  </si>
  <si>
    <t>-672.849605487231 56.3542152321857 -530.79638477052</t>
  </si>
  <si>
    <t>-658.451050770547 209.295580692234 -503.608025699104</t>
  </si>
  <si>
    <t>-653.798941784505 239.185672491387 -223.137826745871</t>
  </si>
  <si>
    <t>-449.245738977863 130.499176085673 -240.277650993391</t>
  </si>
  <si>
    <t>-636.113292636509 126.874935226907 -97.319620695869</t>
  </si>
  <si>
    <t>-649.093341217737 142.797591691077 317.747339988983</t>
  </si>
  <si>
    <t>-673.257713440436 184.23693304248 778.362408906495</t>
  </si>
  <si>
    <t>-522.202956804397 185.862954366978 833.712479697766</t>
  </si>
  <si>
    <t>-610.719603854423 -74.5730100371081 322.024768598145</t>
  </si>
  <si>
    <t>-652.509915144575 -106.773073860501 781.994649369443</t>
  </si>
  <si>
    <t>-499.178874855795 -117.567572110204 829.501432061183</t>
  </si>
  <si>
    <t>9763-20170724T115622.061178200.bin</t>
  </si>
  <si>
    <t>-623.321896035587 35.8683379812812 -93.5600180341811</t>
  </si>
  <si>
    <t>-640.510961695752 30.8244681012104 -202.814695369467</t>
  </si>
  <si>
    <t>-650.446089939428 28.3412620771894 -295.123844931038</t>
  </si>
  <si>
    <t>-658.536962371072 26.6698372785738 -378.609637338092</t>
  </si>
  <si>
    <t>-665.177659152473 25.6410272690512 -462.233632641034</t>
  </si>
  <si>
    <t>-673.292254838961 24.83785049061 -584.620035980895</t>
  </si>
  <si>
    <t>-659.492519286105 29.7648398385202 -661.597343150729</t>
  </si>
  <si>
    <t>-673.621673848841 56.3093083977733 -530.864222723932</t>
  </si>
  <si>
    <t>-659.548793756243 209.277525873172 -503.641802689789</t>
  </si>
  <si>
    <t>-654.670531065596 239.231560635652 -223.182166726509</t>
  </si>
  <si>
    <t>-449.863412114544 131.039600547753 -240.418077568092</t>
  </si>
  <si>
    <t>-637.077496889025 126.877129208377 -97.384888218383</t>
  </si>
  <si>
    <t>-649.632190292606 142.95621474126 317.689170948666</t>
  </si>
  <si>
    <t>-673.297712070128 184.239193321726 778.351678353552</t>
  </si>
  <si>
    <t>-522.214863839314 185.719803453864 833.629149222906</t>
  </si>
  <si>
    <t>-611.113959069105 -74.4244805926633 321.961186085726</t>
  </si>
  <si>
    <t>-652.672201554055 -106.728638739453 781.9430396026</t>
  </si>
  <si>
    <t>-499.247347239184 -117.359256763252 829.183118558245</t>
  </si>
  <si>
    <t>9763-20170724T115622.126968400.bin</t>
  </si>
  <si>
    <t>-624.20022622175 35.8601941665527 -93.6444061162355</t>
  </si>
  <si>
    <t>-641.340554148109 30.7495717989189 -202.903738686727</t>
  </si>
  <si>
    <t>-651.335712470282 28.248161591478 -295.205703360318</t>
  </si>
  <si>
    <t>-659.52056282748 26.5701465615884 -378.682308549258</t>
  </si>
  <si>
    <t>-666.295272427104 25.5478864477016 -462.295549770582</t>
  </si>
  <si>
    <t>-674.649882644035 24.76794162383 -584.666069594826</t>
  </si>
  <si>
    <t>-660.961372677538 29.7594225918535 -661.659025280125</t>
  </si>
  <si>
    <t>-675.027722498621 56.209581671716 -530.893174734804</t>
  </si>
  <si>
    <t>-661.710226464532 209.21429976593 -503.522458705933</t>
  </si>
  <si>
    <t>-656.471840765705 239.157143279132 -223.068290984851</t>
  </si>
  <si>
    <t>-451.26280918868 131.796079491603 -240.714725448805</t>
  </si>
  <si>
    <t>-638.50006960521 126.760233891217 -97.4435722757348</t>
  </si>
  <si>
    <t>-650.349868835965 143.068408827083 317.642232792976</t>
  </si>
  <si>
    <t>-673.31808035685 184.266825072066 778.350921342462</t>
  </si>
  <si>
    <t>-522.19845425686 185.992876612378 833.520607969115</t>
  </si>
  <si>
    <t>-611.481018093554 -74.3731121898318 321.858213184999</t>
  </si>
  <si>
    <t>-652.948496107752 -106.75091962966 781.85453847709</t>
  </si>
  <si>
    <t>-499.426328386243 -117.820576116952 828.675778530423</t>
  </si>
  <si>
    <t>9763-20170724T115622.160060100.bin</t>
  </si>
  <si>
    <t>-624.387035647439 35.8317099504154 -93.6572819701614</t>
  </si>
  <si>
    <t>-641.554106147107 30.7043220637831 -202.911544280244</t>
  </si>
  <si>
    <t>-651.600842831906 28.2186843118354 -295.208548464862</t>
  </si>
  <si>
    <t>-659.843592651517 26.5643056465942 -378.679797721829</t>
  </si>
  <si>
    <t>-666.687691982536 25.5765773373907 -462.287914037909</t>
  </si>
  <si>
    <t>-675.156170219095 24.8592720957627 -584.650852593084</t>
  </si>
  <si>
    <t>-661.515665458761 29.9052375844581 -661.648836915836</t>
  </si>
  <si>
    <t>-675.556456643914 56.2637150853961 -530.856349803156</t>
  </si>
  <si>
    <t>-662.556306196441 209.273686081143 -503.368375559848</t>
  </si>
  <si>
    <t>-657.267127333778 239.075963373047 -222.900088668098</t>
  </si>
  <si>
    <t>-451.782562949203 132.277544120773 -240.752913701007</t>
  </si>
  <si>
    <t>-638.94132588444 126.631004519415 -97.4332461423231</t>
  </si>
  <si>
    <t>-650.621496704433 143.045912230583 317.65318969393</t>
  </si>
  <si>
    <t>-673.318461662234 184.265630786766 778.368298273278</t>
  </si>
  <si>
    <t>-522.186907962657 186.027870678036 833.504299039157</t>
  </si>
  <si>
    <t>-611.491794443176 -74.3582964767641 321.822917698194</t>
  </si>
  <si>
    <t>-653.076618852194 -106.663741661629 781.816888139869</t>
  </si>
  <si>
    <t>-499.41596634621 -116.741752759722 828.407222393698</t>
  </si>
  <si>
    <t>9763-20170724T115622.225802800.bin</t>
  </si>
  <si>
    <t>-624.485444619024 35.5996282027618 -93.6701092076302</t>
  </si>
  <si>
    <t>-641.718738415854 30.4350217753467 -202.912290790949</t>
  </si>
  <si>
    <t>-651.899169668364 28.0045750899544 -295.195951836734</t>
  </si>
  <si>
    <t>-660.293335896381 26.4311225323258 -378.653744777792</t>
  </si>
  <si>
    <t>-667.319754249392 25.5577741073851 -462.248019463381</t>
  </si>
  <si>
    <t>-676.088565858938 25.0446420748397 -584.590908386756</t>
  </si>
  <si>
    <t>-662.540113477985 30.2443962781379 -661.594806463961</t>
  </si>
  <si>
    <t>-676.477290930602 56.3430164405897 -530.734595804573</t>
  </si>
  <si>
    <t>-664.065329956578 209.335017113822 -502.879613026421</t>
  </si>
  <si>
    <t>-658.287760815586 238.372301887956 -222.340684191884</t>
  </si>
  <si>
    <t>-452.216300751212 132.819630908623 -240.826499317713</t>
  </si>
  <si>
    <t>-639.450135392893 126.288332234279 -97.392256680452</t>
  </si>
  <si>
    <t>-650.805124100486 142.922604333139 317.694383409145</t>
  </si>
  <si>
    <t>-673.288053697343 184.285665709378 778.415183840194</t>
  </si>
  <si>
    <t>-522.14766699884 186.106659757198 833.524959590953</t>
  </si>
  <si>
    <t>-611.368339513616 -74.4689928044879 321.785384957825</t>
  </si>
  <si>
    <t>-653.35730159523 -106.710843245917 781.731765535041</t>
  </si>
  <si>
    <t>-499.59643693595 -117.129271515956 827.914879230454</t>
  </si>
  <si>
    <t>9763-20170724T115622.259402600.bin</t>
  </si>
  <si>
    <t>-624.360416366228 35.4445052999793 -93.6571290037733</t>
  </si>
  <si>
    <t>-641.637462281501 30.266202557614 -202.891704907948</t>
  </si>
  <si>
    <t>-651.905067970141 27.8774351945726 -295.166861745695</t>
  </si>
  <si>
    <t>-660.397723791811 26.3622565960015 -378.615793667276</t>
  </si>
  <si>
    <t>-667.542818948677 25.568311535651 -462.200651214156</t>
  </si>
  <si>
    <t>-676.507212526907 25.1944750060136 -584.529965493178</t>
  </si>
  <si>
    <t>-663.018312037765 30.497639551726 -661.537239502054</t>
  </si>
  <si>
    <t>-676.863519836867 56.4241940423108 -530.633400763259</t>
  </si>
  <si>
    <t>-664.698488284991 209.392563581601 -502.51324324323</t>
  </si>
  <si>
    <t>-658.549596101718 238.106850255595 -221.948981151307</t>
  </si>
  <si>
    <t>-452.264730555453 133.035316199347 -240.79158534889</t>
  </si>
  <si>
    <t>-639.470208621018 126.080053513575 -97.3595297836949</t>
  </si>
  <si>
    <t>-650.700130703962 142.83629777693 317.725627254272</t>
  </si>
  <si>
    <t>-673.263389015411 184.300708408231 778.434527022279</t>
  </si>
  <si>
    <t>-522.129272622214 186.135467390808 833.56104493148</t>
  </si>
  <si>
    <t>-611.244633855435 -74.5271053715292 321.775394524324</t>
  </si>
  <si>
    <t>-653.461996864967 -106.655435807901 781.70069286406</t>
  </si>
  <si>
    <t>-499.612684106953 -116.48504950892 827.717903048003</t>
  </si>
  <si>
    <t>9763-20170724T115622.327089200.bin</t>
  </si>
  <si>
    <t>-623.787560593478 35.0211053613773 -93.6042531242308</t>
  </si>
  <si>
    <t>-641.172710764046 29.8111635461501 -202.820228385059</t>
  </si>
  <si>
    <t>-651.629943828364 27.508682732064 -295.07620387834</t>
  </si>
  <si>
    <t>-660.333176703369 26.1147642287945 -378.505587478568</t>
  </si>
  <si>
    <t>-667.728290317741 25.4873615370118 -462.070135239225</t>
  </si>
  <si>
    <t>-677.10137363269 25.4069440206354 -584.369239652394</t>
  </si>
  <si>
    <t>-663.745118957321 30.9621027558778 -661.381940218856</t>
  </si>
  <si>
    <t>-677.349914607281 56.4971454885895 -530.391661961874</t>
  </si>
  <si>
    <t>-665.374338595762 209.371544837988 -501.706299559669</t>
  </si>
  <si>
    <t>-658.682087074133 237.663474074451 -221.111737323127</t>
  </si>
  <si>
    <t>-452.227844491899 133.071329566288 -240.750256912469</t>
  </si>
  <si>
    <t>-639.067632150034 125.575106163106 -97.2769649250027</t>
  </si>
  <si>
    <t>-650.363869248134 142.511562467584 317.799084533919</t>
  </si>
  <si>
    <t>-673.18070920178 184.362339735013 778.458525274943</t>
  </si>
  <si>
    <t>-522.067638057812 186.352079204403 833.63736802488</t>
  </si>
  <si>
    <t>-610.882484209394 -74.872366323641 321.793100217671</t>
  </si>
  <si>
    <t>-653.649769583666 -106.746641130445 781.662998336496</t>
  </si>
  <si>
    <t>-499.764560601724 -117.164111191215 827.430310142967</t>
  </si>
  <si>
    <t>9763-20170724T115622.362681000.bin</t>
  </si>
  <si>
    <t>-623.409891365083 34.7991833110536 -93.5736673322576</t>
  </si>
  <si>
    <t>-640.857138539089 29.5726584819449 -202.779003985501</t>
  </si>
  <si>
    <t>-651.42346283874 27.3210886355319 -295.023857728595</t>
  </si>
  <si>
    <t>-660.247748988777 25.9990787106842 -378.441481106362</t>
  </si>
  <si>
    <t>-667.786589172118 25.4696359703155 -461.994112354957</t>
  </si>
  <si>
    <t>-677.394592783169 25.5612965634111 -584.274913681463</t>
  </si>
  <si>
    <t>-664.126391183003 31.2549582198274 -661.292683682253</t>
  </si>
  <si>
    <t>-677.563061286909 56.5721673032162 -530.251279718417</t>
  </si>
  <si>
    <t>-665.616202043477 209.393301002543 -501.257183202597</t>
  </si>
  <si>
    <t>-658.680881065395 237.394653649147 -220.639340205643</t>
  </si>
  <si>
    <t>-452.17098283158 132.993288112622 -240.702932346111</t>
  </si>
  <si>
    <t>-638.765681074649 125.297519425198 -97.2374261184412</t>
  </si>
  <si>
    <t>-650.096313612673 142.333090672517 317.833617972114</t>
  </si>
  <si>
    <t>-673.135299480739 184.388976881188 778.467284579602</t>
  </si>
  <si>
    <t>-522.035531462672 186.3880976221 833.682238598984</t>
  </si>
  <si>
    <t>-610.635027019533 -75.0399452614067 321.809193037629</t>
  </si>
  <si>
    <t>-653.691805405404 -106.778682284541 781.655635237547</t>
  </si>
  <si>
    <t>-499.787479884065 -117.110774277567 827.378011752729</t>
  </si>
  <si>
    <t>9763-20170724T115622.423948900.bin</t>
  </si>
  <si>
    <t>-622.486801703835 34.4379649449968 -93.4996036704043</t>
  </si>
  <si>
    <t>-640.061665983273 29.1818575104357 -202.68289788922</t>
  </si>
  <si>
    <t>-650.856764695078 27.0288025574307 -294.903713298328</t>
  </si>
  <si>
    <t>-659.936181905108 25.844578980377 -378.296114266747</t>
  </si>
  <si>
    <t>-667.778759559484 25.5027330225985 -461.821574486213</t>
  </si>
  <si>
    <t>-677.884134077911 25.9235125324328 -584.061630401605</t>
  </si>
  <si>
    <t>-664.79718131289 31.8603309217167 -661.092198676264</t>
  </si>
  <si>
    <t>-677.870777296797 56.7833934764549 -529.951471624604</t>
  </si>
  <si>
    <t>-665.932622431642 209.490658852599 -500.360857290424</t>
  </si>
  <si>
    <t>-658.484886433017 236.762179450772 -219.684211215489</t>
  </si>
  <si>
    <t>-451.875539278681 132.776301779871 -240.851155079232</t>
  </si>
  <si>
    <t>-637.941222777381 124.909663841995 -97.1475974584627</t>
  </si>
  <si>
    <t>-649.37507597582 142.003525035378 317.91823847147</t>
  </si>
  <si>
    <t>-673.039359089498 184.425696541867 778.487976005796</t>
  </si>
  <si>
    <t>-521.975376297372 186.483139477738 833.798573431972</t>
  </si>
  <si>
    <t>-610.012710945751 -75.3351666792876 321.87731033199</t>
  </si>
  <si>
    <t>-653.702443478181 -106.867420149627 781.672185896812</t>
  </si>
  <si>
    <t>-499.820197538876 -117.294188524431 827.447262191574</t>
  </si>
  <si>
    <t>9763-20170724T115622.460043200.bin</t>
  </si>
  <si>
    <t>-621.923295038052 34.318435244149 -93.4483211003729</t>
  </si>
  <si>
    <t>-639.579929710362 29.0520348410639 -202.617999205333</t>
  </si>
  <si>
    <t>-650.508734000896 26.9479820605225 -294.824098194712</t>
  </si>
  <si>
    <t>-659.734909879225 25.8308918647858 -378.201280534269</t>
  </si>
  <si>
    <t>-667.750370218815 25.5797064774999 -461.710694912932</t>
  </si>
  <si>
    <t>-678.137160032996 26.1588527132476 -583.926578568977</t>
  </si>
  <si>
    <t>-665.158668177412 32.2090975336218 -660.966633519718</t>
  </si>
  <si>
    <t>-678.017829028988 56.9458631501325 -529.774969552694</t>
  </si>
  <si>
    <t>-666.019770166367 209.586243466475 -499.885227399095</t>
  </si>
  <si>
    <t>-658.410257957123 236.689214368726 -219.196679588527</t>
  </si>
  <si>
    <t>-451.783989639484 132.877170618495 -241.041065668922</t>
  </si>
  <si>
    <t>-637.405195528586 124.749861439873 -97.0850246854073</t>
  </si>
  <si>
    <t>-648.9916291167 141.909129552979 317.973855202827</t>
  </si>
  <si>
    <t>-672.986782900614 184.458026076579 778.501523359165</t>
  </si>
  <si>
    <t>-521.938161221553 186.644558353576 833.849234152655</t>
  </si>
  <si>
    <t>-609.629848195327 -75.4348644086795 321.921958427631</t>
  </si>
  <si>
    <t>-653.669131907876 -106.920302840949 781.68650881453</t>
  </si>
  <si>
    <t>-499.818477560691 -117.417398316836 827.551585912483</t>
  </si>
  <si>
    <t>9763-20170724T115622.529952300.bin</t>
  </si>
  <si>
    <t>-620.812030398535 34.239518967282 -93.3234570654524</t>
  </si>
  <si>
    <t>-638.601875703823 28.9490342098645 -202.470298421755</t>
  </si>
  <si>
    <t>-649.740542504938 26.8918177112575 -294.652369222769</t>
  </si>
  <si>
    <t>-659.195515669484 25.8441122421466 -378.004801297452</t>
  </si>
  <si>
    <t>-667.479270809479 25.6896702534013 -461.488264431111</t>
  </si>
  <si>
    <t>-678.301647094022 26.4408325613174 -583.66539178523</t>
  </si>
  <si>
    <t>-665.512326530304 32.651038973406 -660.724367702673</t>
  </si>
  <si>
    <t>-678.011935138198 57.1482957152894 -529.469410638013</t>
  </si>
  <si>
    <t>-665.882525091446 209.696567453272 -499.143134923823</t>
  </si>
  <si>
    <t>-658.315467382397 236.627779045837 -218.436814689568</t>
  </si>
  <si>
    <t>-451.656305252017 133.038870676293 -241.016730182192</t>
  </si>
  <si>
    <t>-636.354858130191 124.652073875032 -96.9724771133579</t>
  </si>
  <si>
    <t>-648.197499567046 141.719615842659 318.082993900912</t>
  </si>
  <si>
    <t>-672.895337349544 184.50296569731 778.541048167913</t>
  </si>
  <si>
    <t>-521.877736755532 186.689234163627 833.973308632129</t>
  </si>
  <si>
    <t>-608.823560673827 -75.4951118415904 322.054091023224</t>
  </si>
  <si>
    <t>-653.57071012905 -106.987102145604 781.743278661445</t>
  </si>
  <si>
    <t>-499.763422607036 -117.126111865892 827.833873094025</t>
  </si>
  <si>
    <t>9763-20170724T115622.590117600.bin</t>
  </si>
  <si>
    <t>-619.707634061972 34.1971402963361 -93.2169001760117</t>
  </si>
  <si>
    <t>-637.672676716857 28.864923287859 -202.333081053463</t>
  </si>
  <si>
    <t>-649.016116738171 26.8060866663238 -294.490118570824</t>
  </si>
  <si>
    <t>-658.678964000386 25.7698554342958 -377.818828302147</t>
  </si>
  <si>
    <t>-667.193670135418 25.6406785311478 -461.279199023931</t>
  </si>
  <si>
    <t>-678.379097790928 26.4435703966026 -583.423155049912</t>
  </si>
  <si>
    <t>-665.807014321011 32.7563971386828 -660.509545541894</t>
  </si>
  <si>
    <t>-677.953546537062 57.1244373033294 -529.212944017448</t>
  </si>
  <si>
    <t>-665.7863529223 209.631696838017 -498.694185487618</t>
  </si>
  <si>
    <t>-658.66910348501 236.392252469681 -217.95967343071</t>
  </si>
  <si>
    <t>-451.970685592209 132.939720924311 -240.804047019855</t>
  </si>
  <si>
    <t>-635.28649629462 124.576715972478 -96.8713090440932</t>
  </si>
  <si>
    <t>-647.46651580071 141.584623898815 318.176880159587</t>
  </si>
  <si>
    <t>-672.787220449928 184.568993373879 778.559399740812</t>
  </si>
  <si>
    <t>-521.804049761637 186.803748941691 834.083296372558</t>
  </si>
  <si>
    <t>-608.111423807565 -75.4883322006806 322.157637360464</t>
  </si>
  <si>
    <t>-653.579077252879 -107.086198179803 781.766875524067</t>
  </si>
  <si>
    <t>-499.798988606247 -117.395794345518 827.91029266847</t>
  </si>
  <si>
    <t>9763-20170724T115622.627220700.bin</t>
  </si>
  <si>
    <t>-619.236583656736 34.1660036649266 -93.1952733863886</t>
  </si>
  <si>
    <t>-637.284298503134 28.8165357578187 -202.296842602953</t>
  </si>
  <si>
    <t>-648.724962427404 26.7445331136382 -294.441608783483</t>
  </si>
  <si>
    <t>-658.486776182947 25.6968986096551 -377.758762407135</t>
  </si>
  <si>
    <t>-667.111833394084 25.5571267440464 -461.207687672971</t>
  </si>
  <si>
    <t>-678.471201180576 26.3454206842207 -583.335679301863</t>
  </si>
  <si>
    <t>-666.027166062555 32.6739576456177 -660.441559951941</t>
  </si>
  <si>
    <t>-677.98882531325 57.0296803075548 -529.128025410516</t>
  </si>
  <si>
    <t>-665.855048226502 209.525132308982 -498.540122614428</t>
  </si>
  <si>
    <t>-659.032703999986 236.2211151144 -217.792263299779</t>
  </si>
  <si>
    <t>-452.306326232141 132.8693221859 -240.838861873612</t>
  </si>
  <si>
    <t>-634.837470947639 124.543177631457 -96.8456162126241</t>
  </si>
  <si>
    <t>-647.188058583267 141.504011797096 318.199419021074</t>
  </si>
  <si>
    <t>-672.755071129314 184.566303861664 778.553416592849</t>
  </si>
  <si>
    <t>-521.786472635816 186.901717902738 834.112836552054</t>
  </si>
  <si>
    <t>-607.793193113959 -75.4755662237224 322.185426097924</t>
  </si>
  <si>
    <t>-653.612654938132 -107.056628064031 781.761042246486</t>
  </si>
  <si>
    <t>-499.797527270193 -117.014370761661 827.864898227536</t>
  </si>
  <si>
    <t>9763-20170724T115622.659805300.bin</t>
  </si>
  <si>
    <t>-618.810462722365 34.1309075399452 -93.1890242614343</t>
  </si>
  <si>
    <t>-636.907665443258 28.7642626636466 -202.281602776451</t>
  </si>
  <si>
    <t>-648.404248279431 26.6753963076594 -294.418993903739</t>
  </si>
  <si>
    <t>-658.222371803731 25.6115057772965 -377.729262376219</t>
  </si>
  <si>
    <t>-666.909676367066 25.4546653390164 -461.171808267915</t>
  </si>
  <si>
    <t>-678.366605539481 26.2172969097194 -583.290877138868</t>
  </si>
  <si>
    <t>-666.020989968811 32.546568660975 -660.412396964744</t>
  </si>
  <si>
    <t>-677.858195622222 56.9105053478859 -529.088383380279</t>
  </si>
  <si>
    <t>-665.800937165071 209.4167114546 -498.50723295203</t>
  </si>
  <si>
    <t>-659.287521833123 236.012901658206 -217.742599485289</t>
  </si>
  <si>
    <t>-452.495895193988 132.838495899465 -240.99765170291</t>
  </si>
  <si>
    <t>-634.403374774832 124.50973921889 -96.8375480603952</t>
  </si>
  <si>
    <t>-646.935236278235 141.47343834548 318.201960909529</t>
  </si>
  <si>
    <t>-672.722490302545 184.568783161732 778.542259848402</t>
  </si>
  <si>
    <t>-521.769816336907 186.96278222401 834.14260538042</t>
  </si>
  <si>
    <t>-607.532634889361 -75.5052871511925 322.201238970829</t>
  </si>
  <si>
    <t>-653.666045377644 -107.099572268884 781.753944984761</t>
  </si>
  <si>
    <t>-499.842743266727 -117.211081300582 827.797089633943</t>
  </si>
  <si>
    <t>9763-20170724T115622.727236000.bin</t>
  </si>
  <si>
    <t>-618.168128389897 34.1054743160964 -93.1686956335932</t>
  </si>
  <si>
    <t>-636.304905345534 28.7160078170832 -202.253591686187</t>
  </si>
  <si>
    <t>-647.845969166479 26.5773394287589 -294.384180781976</t>
  </si>
  <si>
    <t>-657.709222142735 25.4557848324673 -377.688532264759</t>
  </si>
  <si>
    <t>-666.446949096392 25.2297164096633 -461.125427004576</t>
  </si>
  <si>
    <t>-677.983742460821 25.878739760579 -583.237832165169</t>
  </si>
  <si>
    <t>-665.805353943296 32.1609120372191 -660.389868477222</t>
  </si>
  <si>
    <t>-677.495591024833 56.6140336550409 -529.058994525205</t>
  </si>
  <si>
    <t>-665.70287087658 209.153217720888 -498.52902994327</t>
  </si>
  <si>
    <t>-659.757808259242 235.6552663893 -217.742849527799</t>
  </si>
  <si>
    <t>-452.726904597705 133.085874671998 -241.539080518289</t>
  </si>
  <si>
    <t>-633.763779499404 124.480458253528 -96.8376173165391</t>
  </si>
  <si>
    <t>-646.476965952494 141.41727706281 318.197459865856</t>
  </si>
  <si>
    <t>-672.660908643276 184.625850341531 778.526924415103</t>
  </si>
  <si>
    <t>-521.731349391928 187.058455916824 834.188197105645</t>
  </si>
  <si>
    <t>-607.265230755548 -75.5357410020181 322.217441428775</t>
  </si>
  <si>
    <t>-653.826829644576 -107.070137684977 781.723182996551</t>
  </si>
  <si>
    <t>-499.929653060749 -117.086256587185 827.539830618981</t>
  </si>
  <si>
    <t>9763-20170724T115622.758821700.bin</t>
  </si>
  <si>
    <t>-617.919693458387 34.1368950257161 -93.1600608029328</t>
  </si>
  <si>
    <t>-636.051977801861 28.7310806266698 -202.244836931394</t>
  </si>
  <si>
    <t>-647.59346345775 26.5478731946578 -294.374446172106</t>
  </si>
  <si>
    <t>-657.45895028915 25.3732779729073 -377.677669122137</t>
  </si>
  <si>
    <t>-666.201165064509 25.0818241913134 -461.114032657131</t>
  </si>
  <si>
    <t>-677.747093756047 25.6221316019532 -583.226030415246</t>
  </si>
  <si>
    <t>-665.649766010275 31.8767645855032 -660.393011323215</t>
  </si>
  <si>
    <t>-677.297870374389 56.399171823002 -529.07055479734</t>
  </si>
  <si>
    <t>-665.691898816082 208.966044324889 -498.622222402551</t>
  </si>
  <si>
    <t>-660.044067998094 235.485775466252 -217.831707973037</t>
  </si>
  <si>
    <t>-452.831060811572 133.305959825947 -241.718953935793</t>
  </si>
  <si>
    <t>-633.533679966317 124.514746990405 -96.8325048853229</t>
  </si>
  <si>
    <t>-646.322993158615 141.425212197658 318.201355000619</t>
  </si>
  <si>
    <t>-672.626538307943 184.702067787027 778.516486107031</t>
  </si>
  <si>
    <t>-521.705223066755 187.014920575762 834.205288162112</t>
  </si>
  <si>
    <t>-607.172341520279 -75.5843033432777 322.216969517655</t>
  </si>
  <si>
    <t>-653.947376342017 -107.1004618434 781.70326397425</t>
  </si>
  <si>
    <t>-500.015241765309 -117.375439516343 827.344731091241</t>
  </si>
  <si>
    <t>9763-20170724T115622.824505400.bin</t>
  </si>
  <si>
    <t>-617.585334576987 34.1338633937455 -93.208141197801</t>
  </si>
  <si>
    <t>-635.712160297802 28.6521678910974 -202.290094917975</t>
  </si>
  <si>
    <t>-647.255456692225 26.3507941820794 -294.416511825265</t>
  </si>
  <si>
    <t>-657.125162830412 25.0459839462726 -377.717263774721</t>
  </si>
  <si>
    <t>-665.874654611295 24.6018768207166 -461.152212232679</t>
  </si>
  <si>
    <t>-677.434579220582 24.8950795418873 -583.263797626291</t>
  </si>
  <si>
    <t>-665.48992523207 31.0650839064922 -660.461253922955</t>
  </si>
  <si>
    <t>-677.059567130361 55.7695389658388 -529.16308862109</t>
  </si>
  <si>
    <t>-665.82510188966 208.401437927897 -498.913269545433</t>
  </si>
  <si>
    <t>-660.816464988803 235.336887983199 -218.150033226543</t>
  </si>
  <si>
    <t>-453.235687575851 133.87728007076 -241.913519228555</t>
  </si>
  <si>
    <t>-633.304229160195 124.49972178991 -96.896175728085</t>
  </si>
  <si>
    <t>-646.212621146819 141.444634354526 318.132573630044</t>
  </si>
  <si>
    <t>-672.584075820286 184.744121721797 778.456428407358</t>
  </si>
  <si>
    <t>-521.685087061102 187.115362559855 834.203100453718</t>
  </si>
  <si>
    <t>-607.082818517249 -75.7376903340228 322.183619514644</t>
  </si>
  <si>
    <t>-654.306091938497 -107.041089132385 781.630318875106</t>
  </si>
  <si>
    <t>-500.193947556315 -117.231203829398 826.679432734852</t>
  </si>
  <si>
    <t>9763-20170724T115622.891336900.bin</t>
  </si>
  <si>
    <t>-617.55026242559 34.037697279671 -93.3141719551336</t>
  </si>
  <si>
    <t>-635.659088802229 28.4647897647369 -202.394527930621</t>
  </si>
  <si>
    <t>-647.203948392861 26.0154076264789 -294.516910460327</t>
  </si>
  <si>
    <t>-657.081759218597 24.5461694952025 -377.813976070174</t>
  </si>
  <si>
    <t>-665.846293452494 23.9085790848535 -461.246119177065</t>
  </si>
  <si>
    <t>-677.436243425259 23.8863888301964 -583.355065029958</t>
  </si>
  <si>
    <t>-665.632740899717 29.9202800696394 -660.585197011467</t>
  </si>
  <si>
    <t>-677.131459276362 54.8875573337941 -529.326593493685</t>
  </si>
  <si>
    <t>-666.272426790861 207.600261821145 -499.360329463777</t>
  </si>
  <si>
    <t>-662.226825743798 235.096244084827 -218.635895250853</t>
  </si>
  <si>
    <t>-454.434621628651 133.968201075779 -241.96083806958</t>
  </si>
  <si>
    <t>-633.360932685827 124.44301614608 -97.0343569292119</t>
  </si>
  <si>
    <t>-646.259058695664 141.470493939554 317.991285023982</t>
  </si>
  <si>
    <t>-672.571754670004 184.68395363222 778.346625491475</t>
  </si>
  <si>
    <t>-521.698765327711 187.348950174041 834.150364728354</t>
  </si>
  <si>
    <t>-607.220861626334 -75.9295228542062 322.098313558433</t>
  </si>
  <si>
    <t>-654.750296082719 -106.973544384354 781.52106348933</t>
  </si>
  <si>
    <t>-500.449772724961 -117.490850865126 825.844379226759</t>
  </si>
  <si>
    <t>9763-20170724T115622.926430100.bin</t>
  </si>
  <si>
    <t>-617.590257973175 33.9552160924054 -93.3852302802985</t>
  </si>
  <si>
    <t>-635.703748384208 28.3337555626561 -202.462222007581</t>
  </si>
  <si>
    <t>-647.244990496839 25.7971556712498 -294.582846125555</t>
  </si>
  <si>
    <t>-657.116519175742 24.2298254947707 -377.878958417622</t>
  </si>
  <si>
    <t>-665.871955139888 23.4753310728875 -461.310886997892</t>
  </si>
  <si>
    <t>-677.445547076252 23.2619623055227 -583.42123550416</t>
  </si>
  <si>
    <t>-665.700550363694 29.2045726071503 -660.667376850995</t>
  </si>
  <si>
    <t>-677.181528269028 54.3424724019508 -529.438239095584</t>
  </si>
  <si>
    <t>-666.509640771314 207.108762850057 -499.669320269104</t>
  </si>
  <si>
    <t>-663.047541637179 234.908577223658 -218.966980258067</t>
  </si>
  <si>
    <t>-455.191942727078 133.853865174806 -242.043502144101</t>
  </si>
  <si>
    <t>-633.431231172596 124.437773546482 -97.1225531435765</t>
  </si>
  <si>
    <t>-646.331073689637 141.468554390037 317.902945972736</t>
  </si>
  <si>
    <t>-672.553634292066 184.758125017575 778.274874371083</t>
  </si>
  <si>
    <t>-521.690532210108 187.416022622534 834.105552160578</t>
  </si>
  <si>
    <t>-607.252799735844 -76.0656611846043 322.04673293061</t>
  </si>
  <si>
    <t>-654.923693358679 -106.983366682743 781.47746647296</t>
  </si>
  <si>
    <t>-500.578411429344 -118.01084165018 825.520075782552</t>
  </si>
  <si>
    <t>9763-20170724T115622.956512600.bin</t>
  </si>
  <si>
    <t>-617.642120555705 33.8514303322927 -93.4518716872244</t>
  </si>
  <si>
    <t>-635.771205986666 28.1766853999179 -202.523596623645</t>
  </si>
  <si>
    <t>-647.319907594838 25.5518630541646 -294.640828934425</t>
  </si>
  <si>
    <t>-657.19582087476 23.887095996984 -377.934409368535</t>
  </si>
  <si>
    <t>-665.953609883806 23.0174586630458 -461.365033190246</t>
  </si>
  <si>
    <t>-677.528441728692 22.6165173926411 -583.474791290832</t>
  </si>
  <si>
    <t>-665.832034553497 28.4551397143314 -660.736245208359</t>
  </si>
  <si>
    <t>-677.293402276913 53.7752044361307 -529.536675960672</t>
  </si>
  <si>
    <t>-666.762322199754 206.593197337074 -499.970340941213</t>
  </si>
  <si>
    <t>-663.898825544984 234.640702958439 -219.285875516587</t>
  </si>
  <si>
    <t>-456.005006354194 133.609819155898 -242.121540651168</t>
  </si>
  <si>
    <t>-633.494447661387 124.39367828271 -97.2059552724595</t>
  </si>
  <si>
    <t>-646.384806118805 141.517171706402 317.815971679501</t>
  </si>
  <si>
    <t>-672.55180719481 184.797034125562 778.204377772826</t>
  </si>
  <si>
    <t>-521.692108215889 187.363960032733 834.048750506393</t>
  </si>
  <si>
    <t>-607.283716360115 -76.1836233516199 322.010189896514</t>
  </si>
  <si>
    <t>-655.052847477722 -106.928894257147 781.446347285474</t>
  </si>
  <si>
    <t>-500.60393218728 -117.418666920875 825.256341508933</t>
  </si>
  <si>
    <t>9763-20170724T115623.026409000.bin</t>
  </si>
  <si>
    <t>-617.76395687198 33.421289284697 -93.5329037615099</t>
  </si>
  <si>
    <t>-635.911298775419 27.711351805026 -202.599710571409</t>
  </si>
  <si>
    <t>-647.476615749484 24.9562727332529 -294.710983185341</t>
  </si>
  <si>
    <t>-657.368289305101 23.1326986785534 -377.999403000392</t>
  </si>
  <si>
    <t>-666.142846277697 22.0640154364739 -461.426047932246</t>
  </si>
  <si>
    <t>-677.743575100276 21.3276664273587 -583.531722513212</t>
  </si>
  <si>
    <t>-666.090662928828 26.9570365645184 -660.815138691446</t>
  </si>
  <si>
    <t>-677.546783742047 52.6266259019858 -529.674624087952</t>
  </si>
  <si>
    <t>-667.191268347425 205.526576340159 -500.475708072031</t>
  </si>
  <si>
    <t>-665.499587272628 233.990264346942 -219.823746277818</t>
  </si>
  <si>
    <t>-457.57191942111 132.880610930088 -241.992417368817</t>
  </si>
  <si>
    <t>-633.667768075921 124.013600001987 -97.3168947064867</t>
  </si>
  <si>
    <t>-646.460846910749 141.373159397467 317.698313786648</t>
  </si>
  <si>
    <t>-672.566128745542 184.818688994289 778.075532437065</t>
  </si>
  <si>
    <t>-521.704312113485 187.569769500223 833.905354881294</t>
  </si>
  <si>
    <t>-607.33226854002 -76.5031077287633 321.961283154208</t>
  </si>
  <si>
    <t>-655.19588285019 -107.001756392458 781.418554389533</t>
  </si>
  <si>
    <t>-500.742640597096 -118.26445821041 825.020895181169</t>
  </si>
  <si>
    <t>9763-20170724T115623.059999700.bin</t>
  </si>
  <si>
    <t>-617.822570205025 33.224606710542 -93.5597151203377</t>
  </si>
  <si>
    <t>-635.975986063161 27.5125504459688 -202.625463789466</t>
  </si>
  <si>
    <t>-647.558530100549 24.6932952482555 -294.732612867818</t>
  </si>
  <si>
    <t>-657.470845599626 22.7865672182643 -378.016693075239</t>
  </si>
  <si>
    <t>-666.271539295197 21.6097303853469 -461.439173551778</t>
  </si>
  <si>
    <t>-677.916581261585 20.6887533900679 -583.5394034512</t>
  </si>
  <si>
    <t>-666.277733345385 26.2033514521388 -660.83333282101</t>
  </si>
  <si>
    <t>-677.738088038 52.06315637332 -529.726148610666</t>
  </si>
  <si>
    <t>-667.488318857645 205.008230541962 -500.716707911627</t>
  </si>
  <si>
    <t>-666.195305097322 233.690975722433 -220.084875934722</t>
  </si>
  <si>
    <t>-458.291681943417 132.457974376246 -241.913697462373</t>
  </si>
  <si>
    <t>-633.751981397765 123.825019258927 -97.3499125573212</t>
  </si>
  <si>
    <t>-646.515653993917 141.283903377544 317.662026945182</t>
  </si>
  <si>
    <t>-672.562542760962 184.853637418836 778.026941495393</t>
  </si>
  <si>
    <t>-521.694128076301 187.54952747192 833.841685977181</t>
  </si>
  <si>
    <t>-607.36551745771 -76.6291314971463 321.940474334295</t>
  </si>
  <si>
    <t>-655.223446009117 -107.017360518569 781.409757409537</t>
  </si>
  <si>
    <t>-500.765938412655 -118.344955559733 824.980154980839</t>
  </si>
  <si>
    <t>9763-20170724T115623.123671800.bin</t>
  </si>
  <si>
    <t>-617.933737737302 32.8430811894279 -93.6096233405681</t>
  </si>
  <si>
    <t>-636.071120874052 27.1113395013501 -202.676978932592</t>
  </si>
  <si>
    <t>-647.665780097251 24.1757552562194 -294.778909929205</t>
  </si>
  <si>
    <t>-657.59991259425 22.1224803165412 -378.056939727195</t>
  </si>
  <si>
    <t>-666.43372986625 20.7599086409648 -461.473117681001</t>
  </si>
  <si>
    <t>-678.140159748509 19.524089670203 -583.564616178036</t>
  </si>
  <si>
    <t>-666.538948533152 24.8541832931012 -660.877162499808</t>
  </si>
  <si>
    <t>-678.040509549544 51.0198972097978 -529.822190829689</t>
  </si>
  <si>
    <t>-668.327886079539 204.054016748901 -501.1145588227</t>
  </si>
  <si>
    <t>-667.766447879527 233.085668617235 -220.516264364599</t>
  </si>
  <si>
    <t>-459.86091893814 131.710378920972 -241.655387343051</t>
  </si>
  <si>
    <t>-634.028029364921 123.409283805589 -97.4132620168133</t>
  </si>
  <si>
    <t>-646.54638692667 141.075134565529 317.597393355494</t>
  </si>
  <si>
    <t>-672.547638927169 184.869073360104 777.919654649005</t>
  </si>
  <si>
    <t>-521.677617519769 187.57132607542 833.729584867957</t>
  </si>
  <si>
    <t>-607.399153678862 -76.8561884149178 321.911271366564</t>
  </si>
  <si>
    <t>-655.158534528427 -107.091958668449 781.411937241838</t>
  </si>
  <si>
    <t>-500.718500409221 -118.089557485961 825.128681159818</t>
  </si>
  <si>
    <t>9763-20170724T115623.160774200.bin</t>
  </si>
  <si>
    <t>-617.973599705066 32.6211153721649 -93.6111201083592</t>
  </si>
  <si>
    <t>-636.111755912374 26.8725741544447 -202.677427668021</t>
  </si>
  <si>
    <t>-647.683972416593 23.8935119391863 -294.780914193093</t>
  </si>
  <si>
    <t>-657.588301814536 21.7884517674945 -378.06116481667</t>
  </si>
  <si>
    <t>-666.383000174058 20.3620236387171 -461.48032751549</t>
  </si>
  <si>
    <t>-678.021952546018 19.0198970602532 -583.57720897409</t>
  </si>
  <si>
    <t>-666.42705677268 24.2905581796003 -660.894681522775</t>
  </si>
  <si>
    <t>-677.98933373387 50.5565580316102 -529.858608024109</t>
  </si>
  <si>
    <t>-668.548251840442 203.620763384874 -501.264281120487</t>
  </si>
  <si>
    <t>-668.456989353101 232.730138666821 -220.673447566579</t>
  </si>
  <si>
    <t>-460.364797840133 131.649810166152 -241.384364399171</t>
  </si>
  <si>
    <t>-634.20562770347 123.096167720944 -97.4144407192451</t>
  </si>
  <si>
    <t>-646.601322112418 140.952467777793 317.591677732972</t>
  </si>
  <si>
    <t>-672.541866263797 184.886097250012 777.897869461364</t>
  </si>
  <si>
    <t>-521.667584925585 187.571313507229 833.697114329841</t>
  </si>
  <si>
    <t>-607.320480396058 -76.979176341637 321.913051998138</t>
  </si>
  <si>
    <t>-655.029196728167 -107.16482166521 781.428417228639</t>
  </si>
  <si>
    <t>-500.66175352408 -118.16782873999 825.39946559552</t>
  </si>
  <si>
    <t>9763-20170724T115623.224639100.bin</t>
  </si>
  <si>
    <t>-618.081156394804 32.0232514294328 -93.5601442643906</t>
  </si>
  <si>
    <t>-636.243342115526 26.2599344175289 -202.621708209987</t>
  </si>
  <si>
    <t>-647.821217009868 23.2594157198353 -294.723740129881</t>
  </si>
  <si>
    <t>-657.72458623619 21.1304012771279 -378.00356170881</t>
  </si>
  <si>
    <t>-666.512372027911 19.6755637553276 -461.423005500896</t>
  </si>
  <si>
    <t>-678.134605081541 18.287463107986 -583.520937200562</t>
  </si>
  <si>
    <t>-666.568551570899 23.5047238319053 -660.846361525061</t>
  </si>
  <si>
    <t>-678.14030850183 49.8390731268057 -529.81113660876</t>
  </si>
  <si>
    <t>-668.696460831125 202.925545450792 -501.263512231026</t>
  </si>
  <si>
    <t>-669.924046867786 232.088596656212 -220.680809631492</t>
  </si>
  <si>
    <t>-461.417626321337 131.688867182645 -240.517575369475</t>
  </si>
  <si>
    <t>-634.541038651816 122.413819903884 -97.375799797333</t>
  </si>
  <si>
    <t>-646.622617678734 140.646327241744 317.623232019791</t>
  </si>
  <si>
    <t>-672.526165291115 184.886809767858 777.890438382477</t>
  </si>
  <si>
    <t>-521.644395705647 187.657472944463 833.665280037037</t>
  </si>
  <si>
    <t>-607.108779107723 -77.2474671715988 321.985207443876</t>
  </si>
  <si>
    <t>-654.654537107656 -107.376515797269 781.522614153724</t>
  </si>
  <si>
    <t>-500.48936404859 -118.367244875685 826.200627920538</t>
  </si>
  <si>
    <t>9763-20170724T115623.260760900.bin</t>
  </si>
  <si>
    <t>-618.145823581161 31.6881373154547 -93.5066348996063</t>
  </si>
  <si>
    <t>-636.347433263094 25.9294137605696 -202.561862892638</t>
  </si>
  <si>
    <t>-647.950544118312 22.9088398792549 -294.660079791094</t>
  </si>
  <si>
    <t>-657.87365170907 20.7518871621744 -377.936696910392</t>
  </si>
  <si>
    <t>-666.678184465527 19.2599258939106 -461.353671800245</t>
  </si>
  <si>
    <t>-678.321702947416 17.8071412800491 -583.448914112563</t>
  </si>
  <si>
    <t>-666.751362457328 22.9884401643656 -660.776053950114</t>
  </si>
  <si>
    <t>-678.333831934885 49.3845654370791 -529.754425276954</t>
  </si>
  <si>
    <t>-668.948396968467 202.475410529506 -501.232479505445</t>
  </si>
  <si>
    <t>-670.654003265775 231.680060904582 -220.656692735496</t>
  </si>
  <si>
    <t>-462.015795249238 131.445039070783 -239.933208854935</t>
  </si>
  <si>
    <t>-634.653103132896 122.048818657619 -97.3278464181578</t>
  </si>
  <si>
    <t>-646.57534788258 140.460996490385 317.667829494118</t>
  </si>
  <si>
    <t>-672.50529794078 184.906687571414 777.895737747569</t>
  </si>
  <si>
    <t>-521.62198052084 187.542754855329 833.672904286231</t>
  </si>
  <si>
    <t>-607.05676642846 -77.3573263220383 322.03586071839</t>
  </si>
  <si>
    <t>-654.426428255713 -107.336038080934 781.593699246682</t>
  </si>
  <si>
    <t>-500.294360550575 -117.206689140845 826.645894789078</t>
  </si>
  <si>
    <t>9763-20170724T115623.324518300.bin</t>
  </si>
  <si>
    <t>-618.497335803591 30.8593907998879 -93.4347783283765</t>
  </si>
  <si>
    <t>-636.796129318551 25.1503182111878 -202.476337538132</t>
  </si>
  <si>
    <t>-648.450512335643 22.1438102332459 -294.568463355898</t>
  </si>
  <si>
    <t>-658.408064495601 19.9891351818087 -377.841122332791</t>
  </si>
  <si>
    <t>-667.235330749241 18.489453558931 -461.255526031978</t>
  </si>
  <si>
    <t>-678.899570112729 17.0145901999001 -583.348527865222</t>
  </si>
  <si>
    <t>-667.30593474638 22.148401141957 -660.675444579231</t>
  </si>
  <si>
    <t>-678.926467125216 48.5977812967242 -529.657451397874</t>
  </si>
  <si>
    <t>-669.617750292221 201.697713428799 -501.144287405999</t>
  </si>
  <si>
    <t>-671.939584855853 230.880485984803 -220.57062587727</t>
  </si>
  <si>
    <t>-463.085487089581 131.027664012428 -239.48940862766</t>
  </si>
  <si>
    <t>-635.056132838975 121.142216674169 -97.2183838031373</t>
  </si>
  <si>
    <t>-646.579890238926 139.906434504843 317.772795622061</t>
  </si>
  <si>
    <t>-672.474736764577 184.856446978934 777.937109580181</t>
  </si>
  <si>
    <t>-521.590318140778 187.63358334644 833.70450723018</t>
  </si>
  <si>
    <t>-607.127633560591 -77.7163559338094 322.110758079963</t>
  </si>
  <si>
    <t>-653.978587003151 -107.526238948792 781.711152002317</t>
  </si>
  <si>
    <t>-500.090723758151 -117.25059394433 827.621614821716</t>
  </si>
  <si>
    <t>9763-20170724T115623.359115700.bin</t>
  </si>
  <si>
    <t>-618.715576707202 30.3860083369141 -93.3761927168532</t>
  </si>
  <si>
    <t>-637.056857757586 24.713977757194 -202.412467609359</t>
  </si>
  <si>
    <t>-648.753026551987 21.7105506125695 -294.499543103702</t>
  </si>
  <si>
    <t>-658.750875976048 19.5476922782568 -377.767173149912</t>
  </si>
  <si>
    <t>-667.621238157941 18.0286744769278 -461.176788765175</t>
  </si>
  <si>
    <t>-679.351547607565 16.5139453627303 -583.262965481301</t>
  </si>
  <si>
    <t>-667.781677143608 21.6029723766071 -660.596266835098</t>
  </si>
  <si>
    <t>-679.371790548576 48.1109441241026 -529.579789468774</t>
  </si>
  <si>
    <t>-670.25095732076 201.228478918036 -501.088958288047</t>
  </si>
  <si>
    <t>-672.57912304327 230.240543033154 -220.497712598272</t>
  </si>
  <si>
    <t>-463.559333986788 130.743839641732 -239.462623572939</t>
  </si>
  <si>
    <t>-635.314876542874 120.614181279216 -97.1305354133357</t>
  </si>
  <si>
    <t>-646.658108521454 139.577771891599 317.856616474879</t>
  </si>
  <si>
    <t>-672.453396321113 184.875698318298 777.983399486421</t>
  </si>
  <si>
    <t>-521.565122984804 187.672446697711 833.739574909813</t>
  </si>
  <si>
    <t>-607.162444301211 -77.9540108542585 322.147771608714</t>
  </si>
  <si>
    <t>-653.75987702438 -107.64789261097 781.793388553555</t>
  </si>
  <si>
    <t>-499.982253877236 -117.167816492372 828.114360236037</t>
  </si>
  <si>
    <t>9763-20170724T115623.426797000.bin</t>
  </si>
  <si>
    <t>-619.299483264173 29.5655567226295 -93.2761361362269</t>
  </si>
  <si>
    <t>-637.694485744688 23.9483029281405 -202.306250757675</t>
  </si>
  <si>
    <t>-649.440649519428 20.9953219791989 -294.388534465855</t>
  </si>
  <si>
    <t>-659.485388486693 18.8784195207384 -377.65161598128</t>
  </si>
  <si>
    <t>-668.404630218895 17.4068288328276 -461.056893808449</t>
  </si>
  <si>
    <t>-680.208568454246 15.9630711635291 -583.136732169704</t>
  </si>
  <si>
    <t>-668.684209188863 21.03889742768 -660.477773301604</t>
  </si>
  <si>
    <t>-680.247639592125 47.5202070649375 -529.430299047877</t>
  </si>
  <si>
    <t>-671.375740461856 200.625191560758 -500.837971975237</t>
  </si>
  <si>
    <t>-673.613139644775 229.581030030316 -220.240216982437</t>
  </si>
  <si>
    <t>-464.276567016179 130.791582301466 -239.407204438427</t>
  </si>
  <si>
    <t>-636.105511513062 119.693390806038 -96.964174769759</t>
  </si>
  <si>
    <t>-647.098679605508 139.079144004161 318.012840486853</t>
  </si>
  <si>
    <t>-672.410928249557 184.874717753292 778.095980323751</t>
  </si>
  <si>
    <t>-521.515168547477 187.699824922996 833.830301239865</t>
  </si>
  <si>
    <t>-607.355062188271 -78.4005159980659 322.189594199633</t>
  </si>
  <si>
    <t>-653.528164938328 -107.820272114299 781.878509097266</t>
  </si>
  <si>
    <t>-499.892958654758 -117.206157267599 828.696805231764</t>
  </si>
  <si>
    <t>9763-20170724T115623.457903500.bin</t>
  </si>
  <si>
    <t>-619.617417253011 29.1412919062191 -93.2295612669649</t>
  </si>
  <si>
    <t>-638.052852513289 23.5323697895974 -202.253273762285</t>
  </si>
  <si>
    <t>-649.824685952847 20.5967378120108 -294.332762593406</t>
  </si>
  <si>
    <t>-659.889156601167 18.4988365361066 -377.594030140708</t>
  </si>
  <si>
    <t>-668.824744396613 17.0501985549479 -460.997953129368</t>
  </si>
  <si>
    <t>-680.648828940639 15.6443999011697 -583.076303655737</t>
  </si>
  <si>
    <t>-669.134031723789 20.7305338734748 -660.41811756797</t>
  </si>
  <si>
    <t>-680.705166839819 47.1804447150435 -529.357511643908</t>
  </si>
  <si>
    <t>-671.965492333999 200.284773033656 -500.697380637379</t>
  </si>
  <si>
    <t>-674.093487192601 229.176375000716 -220.092105855339</t>
  </si>
  <si>
    <t>-464.639933230283 130.660423761188 -239.388373305578</t>
  </si>
  <si>
    <t>-636.511022637751 119.197126984171 -96.8967152614813</t>
  </si>
  <si>
    <t>-647.252603930016 138.84171344436 318.07472036865</t>
  </si>
  <si>
    <t>-672.396736757192 184.834307804573 778.149344830338</t>
  </si>
  <si>
    <t>-521.498191202385 187.740321524227 833.871916164944</t>
  </si>
  <si>
    <t>-607.500351269506 -78.6087479768976 322.201220535832</t>
  </si>
  <si>
    <t>-653.471534925126 -107.843077663643 781.904631253063</t>
  </si>
  <si>
    <t>-499.871808777895 -117.111902089201 828.862463042935</t>
  </si>
  <si>
    <t>9763-20170724T115623.528613800.bin</t>
  </si>
  <si>
    <t>-620.282660570876 28.3007802495638 -93.1917841508613</t>
  </si>
  <si>
    <t>-638.802343101938 22.7256814295417 -202.202993140553</t>
  </si>
  <si>
    <t>-650.561722509622 19.83148065665 -294.285394747386</t>
  </si>
  <si>
    <t>-660.581419367527 17.775792081186 -377.553167104056</t>
  </si>
  <si>
    <t>-669.438782502439 16.3749452826248 -460.966121753006</t>
  </si>
  <si>
    <t>-681.111964764844 15.0451947100546 -583.059787818</t>
  </si>
  <si>
    <t>-669.580260595309 20.2134631888152 -660.393690005814</t>
  </si>
  <si>
    <t>-681.283458080786 46.5393966269974 -529.31676807125</t>
  </si>
  <si>
    <t>-672.864421389343 199.652015031581 -500.611913564465</t>
  </si>
  <si>
    <t>-675.120801187055 228.285415889267 -219.981187696997</t>
  </si>
  <si>
    <t>-465.438957231861 130.262903705914 -239.311162390552</t>
  </si>
  <si>
    <t>-637.265529754081 118.306969352814 -96.7844140035598</t>
  </si>
  <si>
    <t>-647.456074623496 138.384196808525 318.180297566908</t>
  </si>
  <si>
    <t>-672.363934063682 184.807174006624 778.240764159283</t>
  </si>
  <si>
    <t>-521.458633817015 187.792804883865 833.940841311071</t>
  </si>
  <si>
    <t>-607.896192792369 -79.067352431794 322.195824656932</t>
  </si>
  <si>
    <t>-653.436871940523 -107.979757708353 781.933949647992</t>
  </si>
  <si>
    <t>-499.886218632765 -117.232761495413 829.05511834637</t>
  </si>
  <si>
    <t>9763-20170724T115623.563223500.bin</t>
  </si>
  <si>
    <t>-620.601045870924 27.902156054359 -93.1734323976948</t>
  </si>
  <si>
    <t>-639.155356792943 22.3485233898405 -202.17974017182</t>
  </si>
  <si>
    <t>-650.917816835886 19.4772462703102 -294.262593750557</t>
  </si>
  <si>
    <t>-660.929753545564 17.4443048030739 -377.531803478902</t>
  </si>
  <si>
    <t>-669.768810459864 16.0685332808737 -460.947231746942</t>
  </si>
  <si>
    <t>-681.403803432587 14.7776726679701 -583.0450143474</t>
  </si>
  <si>
    <t>-669.867412614587 19.9943622069961 -660.374886392194</t>
  </si>
  <si>
    <t>-681.603842707511 46.2526760599746 -529.29063178191</t>
  </si>
  <si>
    <t>-673.274109646097 199.365527024257 -500.564090926164</t>
  </si>
  <si>
    <t>-675.712892511427 227.813688790448 -219.915993747425</t>
  </si>
  <si>
    <t>-465.938772403643 129.964161786311 -239.12048264717</t>
  </si>
  <si>
    <t>-637.592878202143 117.917512226288 -96.735916279059</t>
  </si>
  <si>
    <t>-647.530905396714 138.188048877039 318.225454721211</t>
  </si>
  <si>
    <t>-672.331541834854 184.842620943585 778.271603143111</t>
  </si>
  <si>
    <t>-521.421023317517 187.758985011148 833.961239975643</t>
  </si>
  <si>
    <t>-608.100961838205 -79.3092784642574 322.183960786291</t>
  </si>
  <si>
    <t>-653.408204409478 -108.062603412843 781.955412814928</t>
  </si>
  <si>
    <t>-499.909713775464 -117.605006101009 829.188639605987</t>
  </si>
  <si>
    <t>9763-20170724T115623.627531700.bin</t>
  </si>
  <si>
    <t>-621.146950758417 27.1768150208752 -93.1396433925322</t>
  </si>
  <si>
    <t>-639.7763045846 21.6517003078536 -202.134678309082</t>
  </si>
  <si>
    <t>-651.583491214032 18.8051308845295 -294.212418040017</t>
  </si>
  <si>
    <t>-661.628311076192 16.7944855670928 -377.478335062231</t>
  </si>
  <si>
    <t>-670.49285514587 15.440962699581 -460.891338804936</t>
  </si>
  <si>
    <t>-682.156791523031 14.1830479727635 -582.986715072005</t>
  </si>
  <si>
    <t>-670.609507357373 19.4611611723931 -660.310769831355</t>
  </si>
  <si>
    <t>-682.352246300106 45.6422444061329 -529.223187592907</t>
  </si>
  <si>
    <t>-674.117571395412 198.75360021949 -500.474594952394</t>
  </si>
  <si>
    <t>-676.717834312686 227.012649337503 -219.80890773422</t>
  </si>
  <si>
    <t>-466.912655534785 129.164117745599 -238.67679747777</t>
  </si>
  <si>
    <t>-638.194149089232 117.136344657243 -96.6532562275631</t>
  </si>
  <si>
    <t>-647.711477498545 137.746682385472 318.301247134114</t>
  </si>
  <si>
    <t>-672.295045928572 184.84033830158 778.321608060928</t>
  </si>
  <si>
    <t>-521.376367367784 187.840598596205 833.984565164409</t>
  </si>
  <si>
    <t>-608.436215351651 -79.755648050982 322.176576766167</t>
  </si>
  <si>
    <t>-653.347762256254 -108.165419821599 782.001796725309</t>
  </si>
  <si>
    <t>-499.855070378159 -116.901478792772 829.40962246372</t>
  </si>
  <si>
    <t>9763-20170724T115623.657121900.bin</t>
  </si>
  <si>
    <t>-621.388806985918 26.8421421549513 -93.1194178898066</t>
  </si>
  <si>
    <t>-640.073111887294 21.3238759368573 -202.105430087546</t>
  </si>
  <si>
    <t>-651.921050325178 18.4926775975418 -294.178455656614</t>
  </si>
  <si>
    <t>-662.000347430419 16.4992146529046 -377.44053288917</t>
  </si>
  <si>
    <t>-670.89697824413 15.1663441201249 -460.850475987394</t>
  </si>
  <si>
    <t>-682.60525174464 13.9421488520518 -582.941949461738</t>
  </si>
  <si>
    <t>-671.046028548045 19.2439817181644 -660.262601928056</t>
  </si>
  <si>
    <t>-682.783932493727 45.3860143307138 -529.169348078246</t>
  </si>
  <si>
    <t>-674.550684989733 198.487875839463 -500.372578769601</t>
  </si>
  <si>
    <t>-677.04975911724 226.600835179958 -219.691343957631</t>
  </si>
  <si>
    <t>-467.228969097675 128.788385341935 -238.572022879608</t>
  </si>
  <si>
    <t>-638.479603242529 116.762649941437 -96.6089897213274</t>
  </si>
  <si>
    <t>-647.80224864462 137.512711894661 318.342936279686</t>
  </si>
  <si>
    <t>-672.288337940622 184.801740178679 778.345224899809</t>
  </si>
  <si>
    <t>-521.364469352853 187.928737216595 833.98713509611</t>
  </si>
  <si>
    <t>-608.545792332498 -79.9500769838319 322.177699045702</t>
  </si>
  <si>
    <t>-653.305848568203 -108.250045004794 782.022221937581</t>
  </si>
  <si>
    <t>-499.873665658599 -117.331478251233 829.560808162887</t>
  </si>
  <si>
    <t>9763-20170724T115623.726811800.bin</t>
  </si>
  <si>
    <t>-621.922787810578 26.3974131887774 -93.0591739004713</t>
  </si>
  <si>
    <t>-640.762877620712 20.8793096672421 -202.018303765904</t>
  </si>
  <si>
    <t>-652.702805417037 18.0669817590431 -294.08014516774</t>
  </si>
  <si>
    <t>-662.848992805371 16.0965762681296 -377.334583275737</t>
  </si>
  <si>
    <t>-671.796252653179 14.7935917487243 -460.739454875316</t>
  </si>
  <si>
    <t>-683.560574997589 13.6200993897803 -582.826175655764</t>
  </si>
  <si>
    <t>-671.947607727207 18.9435872927484 -660.13738314797</t>
  </si>
  <si>
    <t>-683.735703719689 45.0379749713238 -529.038402179121</t>
  </si>
  <si>
    <t>-675.781925133486 198.151649889739 -500.222381432723</t>
  </si>
  <si>
    <t>-677.500095847184 225.647248468977 -219.473944429909</t>
  </si>
  <si>
    <t>-467.513643024427 128.281097097295 -238.814824757394</t>
  </si>
  <si>
    <t>-639.251676682718 116.279039735992 -96.5083208137664</t>
  </si>
  <si>
    <t>-648.027697281791 137.223311323001 318.445788263674</t>
  </si>
  <si>
    <t>-672.248447275213 184.873926657386 778.419638553264</t>
  </si>
  <si>
    <t>-521.29869160246 187.984512527133 833.992254921922</t>
  </si>
  <si>
    <t>-608.584932613692 -80.0677543157678 322.207841872982</t>
  </si>
  <si>
    <t>-653.169710290962 -108.33713086774 782.079291655615</t>
  </si>
  <si>
    <t>-499.820101236028 -117.173904332 829.929395560934</t>
  </si>
  <si>
    <t>9763-20170724T115623.788582500.bin</t>
  </si>
  <si>
    <t>-622.385471052331 26.258118278274 -92.9890231058769</t>
  </si>
  <si>
    <t>-641.428503645933 20.7113875941488 -201.911528041951</t>
  </si>
  <si>
    <t>-653.463999014699 17.9202871000784 -293.961384697091</t>
  </si>
  <si>
    <t>-663.665340068057 15.9853311738332 -377.209995936232</t>
  </si>
  <si>
    <t>-672.636453954031 14.7338892407502 -460.613093023953</t>
  </si>
  <si>
    <t>-684.400800710521 13.6532096792926 -582.700612542541</t>
  </si>
  <si>
    <t>-672.749286722917 19.001880036438 -660.004251581396</t>
  </si>
  <si>
    <t>-684.576873719401 45.0300467091217 -528.888834170748</t>
  </si>
  <si>
    <t>-676.949480460043 198.168020263808 -500.11466197515</t>
  </si>
  <si>
    <t>-677.989445494262 225.239659734759 -219.321781694192</t>
  </si>
  <si>
    <t>-467.849359596606 128.306577717686 -239.162317728168</t>
  </si>
  <si>
    <t>-639.986480412289 116.119416452936 -96.3946264665706</t>
  </si>
  <si>
    <t>-648.25719355298 137.108948239313 318.567539779394</t>
  </si>
  <si>
    <t>-672.229989430734 184.87439606758 778.553327951676</t>
  </si>
  <si>
    <t>-521.237391852378 187.928928045646 834.012559510026</t>
  </si>
  <si>
    <t>-608.496380528615 -79.8812196986303 322.26647720108</t>
  </si>
  <si>
    <t>-653.104379746191 -108.360990713471 782.123309978373</t>
  </si>
  <si>
    <t>-499.799795142028 -116.919345747822 830.16793744574</t>
  </si>
  <si>
    <t>9763-20170724T115623.828689200.bin</t>
  </si>
  <si>
    <t>-622.585736542926 26.2745160415225 -92.9495589072524</t>
  </si>
  <si>
    <t>-641.736208210014 20.7027564477025 -201.851815094357</t>
  </si>
  <si>
    <t>-653.826679179631 17.9048233274593 -293.894452357644</t>
  </si>
  <si>
    <t>-664.06297059478 15.9686176734192 -377.138635125804</t>
  </si>
  <si>
    <t>-673.054155606701 14.7208734252852 -460.53977715455</t>
  </si>
  <si>
    <t>-684.831338630532 13.6506479523798 -582.626003719079</t>
  </si>
  <si>
    <t>-673.168686582152 18.9965895927567 -659.928254799155</t>
  </si>
  <si>
    <t>-684.996465708395 45.0238206865738 -528.812074748521</t>
  </si>
  <si>
    <t>-677.421526057599 198.168537874808 -500.047352806306</t>
  </si>
  <si>
    <t>-678.064097416205 225.199890100521 -219.249414314122</t>
  </si>
  <si>
    <t>-467.904778781962 128.335626644085 -239.222058791183</t>
  </si>
  <si>
    <t>-640.292163653877 116.184083337021 -96.3412331278621</t>
  </si>
  <si>
    <t>-648.277909827675 137.172504968946 318.626580865306</t>
  </si>
  <si>
    <t>-672.225115906914 184.904381491041 778.629468505395</t>
  </si>
  <si>
    <t>-521.20638650812 188.036193709889 834.013191128042</t>
  </si>
  <si>
    <t>-608.439463847219 -79.7044139911213 322.304218481779</t>
  </si>
  <si>
    <t>-653.108339233036 -108.385442492196 782.133621202827</t>
  </si>
  <si>
    <t>-499.822443571813 -116.999471106493 830.227781657531</t>
  </si>
  <si>
    <t>9763-20170724T115623.859272100.bin</t>
  </si>
  <si>
    <t>-622.747412411088 26.3395461233872 -92.91996121733</t>
  </si>
  <si>
    <t>-642.00200064811 20.7491283467321 -201.802973362416</t>
  </si>
  <si>
    <t>-654.141079370728 17.9329264969306 -293.838578924046</t>
  </si>
  <si>
    <t>-664.405234663246 15.9789703810311 -377.078911108196</t>
  </si>
  <si>
    <t>-673.408211660082 14.7114580337802 -460.478425425925</t>
  </si>
  <si>
    <t>-685.184725952199 13.6104726467797 -582.564657527212</t>
  </si>
  <si>
    <t>-673.504517365538 18.9352407642955 -659.865416828783</t>
  </si>
  <si>
    <t>-685.335989369295 44.9996110171762 -528.759911062507</t>
  </si>
  <si>
    <t>-677.734980146526 198.152906930927 -500.047381205771</t>
  </si>
  <si>
    <t>-678.060274097419 225.150502100918 -219.245654254871</t>
  </si>
  <si>
    <t>-467.88023722267 128.354311708342 -239.329914448284</t>
  </si>
  <si>
    <t>-640.52344689 116.31401077876 -96.3066944028863</t>
  </si>
  <si>
    <t>-648.263490776826 137.230863323745 318.669431766554</t>
  </si>
  <si>
    <t>-672.202284950785 184.939288469258 778.677202676078</t>
  </si>
  <si>
    <t>-521.167620838806 188.017620618024 834.020409289466</t>
  </si>
  <si>
    <t>-608.429504260314 -79.4825949031999 322.333460278059</t>
  </si>
  <si>
    <t>-653.117472653041 -108.384615775064 782.142167393391</t>
  </si>
  <si>
    <t>-499.843133347189 -117.013659063746 830.270499471421</t>
  </si>
  <si>
    <t>9763-20170724T115623.924954400.bin</t>
  </si>
  <si>
    <t>-623.092257743996 26.7333920814285 -92.8913793473509</t>
  </si>
  <si>
    <t>-642.524638284766 21.1279174230322 -201.74203119261</t>
  </si>
  <si>
    <t>-654.773314986134 18.27023384837 -293.761798164627</t>
  </si>
  <si>
    <t>-665.12035914798 16.2675217966005 -376.990835078018</t>
  </si>
  <si>
    <t>-674.18992352696 14.9397143346989 -460.382152209195</t>
  </si>
  <si>
    <t>-686.045924660724 13.7374356501796 -582.459590796911</t>
  </si>
  <si>
    <t>-674.370669289913 18.9791348629897 -659.766946169136</t>
  </si>
  <si>
    <t>-686.132262370604 45.1763216241593 -528.683863308209</t>
  </si>
  <si>
    <t>-678.44085717822 198.374909266184 -500.231322947237</t>
  </si>
  <si>
    <t>-678.085148022779 225.416436737388 -219.433815800674</t>
  </si>
  <si>
    <t>-467.931829262219 128.604531613854 -239.720923482316</t>
  </si>
  <si>
    <t>-640.871567587536 116.88497493777 -96.2587409657599</t>
  </si>
  <si>
    <t>-648.454330973994 137.431184310037 318.738776099733</t>
  </si>
  <si>
    <t>-672.156463626417 185.034311239059 778.784879066151</t>
  </si>
  <si>
    <t>-521.094321871811 188.00446450315 834.058987264212</t>
  </si>
  <si>
    <t>-608.490058743702 -78.9584369515865 322.376723331894</t>
  </si>
  <si>
    <t>-653.140701713118 -108.415538205312 782.158128426806</t>
  </si>
  <si>
    <t>-499.886575949247 -117.051321892539 830.349670482253</t>
  </si>
  <si>
    <t>9763-20170724T115623.960049700.bin</t>
  </si>
  <si>
    <t>-623.248088364231 26.9915875738652 -92.8932148100191</t>
  </si>
  <si>
    <t>-642.744748098201 21.3734118488924 -201.731658208405</t>
  </si>
  <si>
    <t>-655.039960704319 18.4841184599284 -293.744262370135</t>
  </si>
  <si>
    <t>-665.42614299655 16.444637957316 -376.967490847699</t>
  </si>
  <si>
    <t>-674.531847671641 15.0721300680161 -460.354254650516</t>
  </si>
  <si>
    <t>-686.437471917413 13.795420378156 -582.426065179064</t>
  </si>
  <si>
    <t>-674.779053795281 18.9753814799617 -659.740122096106</t>
  </si>
  <si>
    <t>-686.491464132395 45.2688870219461 -528.670517105186</t>
  </si>
  <si>
    <t>-678.707482359095 198.476325960974 -500.294980736684</t>
  </si>
  <si>
    <t>-678.076734670609 225.707925468595 -219.516367079532</t>
  </si>
  <si>
    <t>-468.005472165915 128.726327608463 -239.842649416441</t>
  </si>
  <si>
    <t>-640.938046274121 117.222812292134 -96.2663148362318</t>
  </si>
  <si>
    <t>-648.473740175301 137.645858826083 318.738123424046</t>
  </si>
  <si>
    <t>-672.130750672964 185.080515562491 778.819384808941</t>
  </si>
  <si>
    <t>-521.063468125127 188.038370903639 834.080062940211</t>
  </si>
  <si>
    <t>-608.589406260585 -78.7162107383674 322.387599250566</t>
  </si>
  <si>
    <t>-653.170697694729 -108.435044812206 782.162966923952</t>
  </si>
  <si>
    <t>-499.935775226781 -117.34198749467 830.366075919757</t>
  </si>
  <si>
    <t>9763-20170724T115624.024223200.bin</t>
  </si>
  <si>
    <t>-623.520191526893 27.6797531254263 -92.9021559356941</t>
  </si>
  <si>
    <t>-643.119353251304 22.0435885216143 -201.721366958076</t>
  </si>
  <si>
    <t>-655.47329055531 19.0913586814256 -293.72402929553</t>
  </si>
  <si>
    <t>-665.901698407982 16.977229522719 -376.940050171989</t>
  </si>
  <si>
    <t>-675.038818263284 15.5111424652091 -460.321843421641</t>
  </si>
  <si>
    <t>-686.97837115844 14.0775472846269 -582.38851629715</t>
  </si>
  <si>
    <t>-675.344582017621 19.1112428890967 -659.71598040242</t>
  </si>
  <si>
    <t>-686.982887713749 45.6260661380418 -528.676971178962</t>
  </si>
  <si>
    <t>-678.928970547872 198.859978026135 -500.512990016035</t>
  </si>
  <si>
    <t>-678.375240232392 226.496112544955 -219.773694417585</t>
  </si>
  <si>
    <t>-468.511181451766 129.031125719244 -239.927720779029</t>
  </si>
  <si>
    <t>-640.942163947679 118.131292822419 -96.2972681923219</t>
  </si>
  <si>
    <t>-648.40891105157 138.251850982748 318.723202699188</t>
  </si>
  <si>
    <t>-672.082381196967 185.213760388853 778.879579689907</t>
  </si>
  <si>
    <t>-521.00559918972 188.008517301824 834.122775865585</t>
  </si>
  <si>
    <t>-608.861813287959 -78.1698654663089 322.391905381168</t>
  </si>
  <si>
    <t>-653.287577481135 -108.417602308709 782.16724372542</t>
  </si>
  <si>
    <t>-499.988633677103 -116.863335294953 830.249745634724</t>
  </si>
  <si>
    <t>9763-20170724T115624.062346000.bin</t>
  </si>
  <si>
    <t>-623.742315809326 27.9767747523936 -92.9249208266228</t>
  </si>
  <si>
    <t>-643.381731431865 22.3373401129616 -201.736597481921</t>
  </si>
  <si>
    <t>-655.753615470862 19.3482483476273 -293.73577793656</t>
  </si>
  <si>
    <t>-666.192045081494 17.187879509215 -376.949342366141</t>
  </si>
  <si>
    <t>-675.332980826234 15.6626123573653 -460.329557562549</t>
  </si>
  <si>
    <t>-687.271510555149 14.1278928971069 -582.395263697254</t>
  </si>
  <si>
    <t>-675.637296899924 19.0760837009473 -659.728108326058</t>
  </si>
  <si>
    <t>-687.266205628911 45.7226178944484 -528.710847803213</t>
  </si>
  <si>
    <t>-679.090462410091 198.969090519729 -500.64257732428</t>
  </si>
  <si>
    <t>-678.778416485988 226.861712436357 -219.92834449583</t>
  </si>
  <si>
    <t>-469.033291007646 129.101878800734 -239.891410868531</t>
  </si>
  <si>
    <t>-641.047883808141 118.528833103161 -96.3308307647404</t>
  </si>
  <si>
    <t>-648.373919496354 138.532262646382 318.697845906465</t>
  </si>
  <si>
    <t>-672.038026342991 185.306632992912 778.868859360857</t>
  </si>
  <si>
    <t>-520.958490231006 188.122947989366 834.10351797273</t>
  </si>
  <si>
    <t>-609.041018593114 -77.9611201468538 322.380975390218</t>
  </si>
  <si>
    <t>-653.35550464355 -108.465153855521 782.156986908584</t>
  </si>
  <si>
    <t>-500.065235250855 -117.381746995473 830.182051940705</t>
  </si>
  <si>
    <t>9763-20170724T115624.126081200.bin</t>
  </si>
  <si>
    <t>-624.491103707845 28.4876984033031 -92.9716476783393</t>
  </si>
  <si>
    <t>-644.208366657772 22.8687562366501 -201.770291389025</t>
  </si>
  <si>
    <t>-656.570656026292 19.8185377399495 -293.768681410386</t>
  </si>
  <si>
    <t>-666.970634805655 17.572235512135 -376.984912656186</t>
  </si>
  <si>
    <t>-676.043379162063 15.9304020674006 -460.370163140539</t>
  </si>
  <si>
    <t>-687.849675897971 14.192164648842 -582.4461512623</t>
  </si>
  <si>
    <t>-676.147830605921 18.9919380523363 -659.778224636654</t>
  </si>
  <si>
    <t>-687.910555441345 45.8749093526017 -528.813620647754</t>
  </si>
  <si>
    <t>-679.737024355042 199.156004176654 -500.947961350211</t>
  </si>
  <si>
    <t>-680.073465215306 227.711113023365 -220.300305886754</t>
  </si>
  <si>
    <t>-470.485614658512 129.511382217069 -239.749249601335</t>
  </si>
  <si>
    <t>-641.69474369532 119.170599307485 -96.3862071969554</t>
  </si>
  <si>
    <t>-648.851200370972 138.942255399269 318.65655835064</t>
  </si>
  <si>
    <t>-672.02925421253 185.387235611267 778.855214669115</t>
  </si>
  <si>
    <t>-520.923803798949 188.064174692798 834.025888421426</t>
  </si>
  <si>
    <t>-609.424099142446 -77.5176928602777 322.33900110338</t>
  </si>
  <si>
    <t>-653.408471361568 -108.424282545485 782.150501432277</t>
  </si>
  <si>
    <t>-500.088513250527 -116.928314242208 830.155553580416</t>
  </si>
  <si>
    <t>9763-20170724T115624.157672900.bin</t>
  </si>
  <si>
    <t>-624.959940404376 28.6958659707818 -92.9811179889473</t>
  </si>
  <si>
    <t>-644.707466992413 23.0722976069565 -201.774070574578</t>
  </si>
  <si>
    <t>-657.056352255982 19.9888090094075 -293.773216402476</t>
  </si>
  <si>
    <t>-667.428322087169 17.700799544109 -376.991729626699</t>
  </si>
  <si>
    <t>-676.457332098398 16.0049231938813 -460.380854425697</t>
  </si>
  <si>
    <t>-688.18223804482 14.1744501102107 -582.463177381781</t>
  </si>
  <si>
    <t>-676.421590431239 18.9246096193397 -659.789252125467</t>
  </si>
  <si>
    <t>-688.287611588395 45.8962584814005 -528.853870992886</t>
  </si>
  <si>
    <t>-680.168263934865 199.198330892244 -501.082864892029</t>
  </si>
  <si>
    <t>-680.826415029034 228.029463760257 -220.463939706208</t>
  </si>
  <si>
    <t>-471.257728703075 129.71208148155 -239.521538644732</t>
  </si>
  <si>
    <t>-642.200753329112 119.368513849962 -96.4017035259355</t>
  </si>
  <si>
    <t>-649.19503448157 139.1189363122 318.644771700808</t>
  </si>
  <si>
    <t>-672.04756224851 185.384625302382 778.873855842045</t>
  </si>
  <si>
    <t>-520.918484988907 187.964124861427 833.984276242749</t>
  </si>
  <si>
    <t>-609.571661313233 -77.314609628193 322.327531281008</t>
  </si>
  <si>
    <t>-653.408685154823 -108.445063899343 782.151650036181</t>
  </si>
  <si>
    <t>-500.10319311066 -116.947026549674 830.203391268727</t>
  </si>
  <si>
    <t>9763-20170724T115624.222997300.bin</t>
  </si>
  <si>
    <t>-625.859050065612 29.075475990833 -92.9745460851843</t>
  </si>
  <si>
    <t>-645.678863303478 23.4093332176756 -201.75214297911</t>
  </si>
  <si>
    <t>-658.030274182548 20.2731787405914 -293.749181778527</t>
  </si>
  <si>
    <t>-668.380422168057 17.9275017144257 -376.968760255996</t>
  </si>
  <si>
    <t>-677.363145847126 16.1652528444242 -460.361425368154</t>
  </si>
  <si>
    <t>-688.993582260629 14.2269288097627 -582.451258589127</t>
  </si>
  <si>
    <t>-677.095066668884 18.9276167890225 -659.759194826129</t>
  </si>
  <si>
    <t>-689.17226289833 45.9906424976048 -528.866804800255</t>
  </si>
  <si>
    <t>-681.184389892962 199.310984794958 -501.199047896361</t>
  </si>
  <si>
    <t>-682.141516496605 228.33796296964 -220.601336636271</t>
  </si>
  <si>
    <t>-472.511980101694 130.048069890788 -239.124013618498</t>
  </si>
  <si>
    <t>-643.3753769994 119.740610551066 -96.4001049836085</t>
  </si>
  <si>
    <t>-649.820460539631 139.437126632129 318.657941550777</t>
  </si>
  <si>
    <t>-672.092779956898 185.323845105058 778.950648332559</t>
  </si>
  <si>
    <t>-520.919487087938 187.711928569519 833.948464334678</t>
  </si>
  <si>
    <t>-609.757649514662 -76.7849198204112 322.329774135543</t>
  </si>
  <si>
    <t>-653.380030796607 -108.38787320707 782.157140952062</t>
  </si>
  <si>
    <t>-500.103182802102 -116.674694649568 830.337575562745</t>
  </si>
  <si>
    <t>9763-20170724T115624.290715300.bin</t>
  </si>
  <si>
    <t>-626.610939470107 29.5429280346968 -92.9463059048069</t>
  </si>
  <si>
    <t>-646.573737557026 23.8289191667532 -201.695195613081</t>
  </si>
  <si>
    <t>-658.928454274349 20.6895572017468 -293.691674052989</t>
  </si>
  <si>
    <t>-669.233637605795 18.3533326064783 -376.917086439807</t>
  </si>
  <si>
    <t>-678.123509337946 16.6136233318803 -460.320266234019</t>
  </si>
  <si>
    <t>-689.565153641231 14.7229929509192 -582.428612568339</t>
  </si>
  <si>
    <t>-677.50512954385 19.4583416147013 -659.709438637734</t>
  </si>
  <si>
    <t>-689.888307516023 46.4552048580529 -528.826245563933</t>
  </si>
  <si>
    <t>-682.437647466279 199.819397386012 -501.255149153923</t>
  </si>
  <si>
    <t>-682.903376882935 228.901799430015 -220.661910714668</t>
  </si>
  <si>
    <t>-473.228168794475 130.756180756863 -239.431135605487</t>
  </si>
  <si>
    <t>-644.597616013682 120.130484219937 -96.3351474988558</t>
  </si>
  <si>
    <t>-650.139535670208 139.896406226883 318.73253148676</t>
  </si>
  <si>
    <t>-672.154864743671 185.187274620223 779.096224777941</t>
  </si>
  <si>
    <t>-520.921573091315 187.40343360837 833.936078284076</t>
  </si>
  <si>
    <t>-610.083032274515 -76.0139490940292 322.334785197934</t>
  </si>
  <si>
    <t>-653.287608075514 -108.418044513369 782.172585742713</t>
  </si>
  <si>
    <t>-500.118093970826 -117.172849829281 830.610976982954</t>
  </si>
  <si>
    <t>9763-20170724T115624.323804600.bin</t>
  </si>
  <si>
    <t>-626.897666338437 29.7874339587024 -92.9143374916059</t>
  </si>
  <si>
    <t>-646.906373620906 24.0728681703204 -201.654950550021</t>
  </si>
  <si>
    <t>-659.234624887529 20.9394560070475 -293.65494262931</t>
  </si>
  <si>
    <t>-669.489542178702 18.6107116672104 -376.886936929689</t>
  </si>
  <si>
    <t>-678.302771421999 16.8808325466175 -460.298288567928</t>
  </si>
  <si>
    <t>-689.603443724381 15.0070987893989 -582.420159434738</t>
  </si>
  <si>
    <t>-677.449616076398 19.7740523940597 -659.684386163051</t>
  </si>
  <si>
    <t>-690.011128689126 46.7279180617729 -528.811628237456</t>
  </si>
  <si>
    <t>-682.835517532757 200.125952535627 -501.319473166273</t>
  </si>
  <si>
    <t>-682.924497602596 228.962593799637 -220.700532988293</t>
  </si>
  <si>
    <t>-473.156724885988 131.05984450478 -239.702024089897</t>
  </si>
  <si>
    <t>-645.031220236579 120.32603712049 -96.2838394822877</t>
  </si>
  <si>
    <t>-650.110165498669 140.15208320176 318.78690397608</t>
  </si>
  <si>
    <t>-672.16186808995 185.13203592807 779.184230615159</t>
  </si>
  <si>
    <t>-520.899274972786 187.529146388401 833.935561552036</t>
  </si>
  <si>
    <t>-610.290476157445 -75.4731991748297 322.381554073225</t>
  </si>
  <si>
    <t>-653.230324822398 -108.398375331203 782.187919496044</t>
  </si>
  <si>
    <t>-500.109928167478 -117.163677454856 830.779493910565</t>
  </si>
  <si>
    <t>9763-20170724T115624.361405600.bin</t>
  </si>
  <si>
    <t>-627.1201591799 29.9681003366275 -92.862162132173</t>
  </si>
  <si>
    <t>-647.161738412614 24.263432478125 -201.597042037719</t>
  </si>
  <si>
    <t>-659.465637711295 21.1369689623064 -293.600742652408</t>
  </si>
  <si>
    <t>-669.67752271242 18.8134225838621 -376.838155117249</t>
  </si>
  <si>
    <t>-678.426548784614 17.0881747521589 -460.256383936216</t>
  </si>
  <si>
    <t>-689.61012581983 15.2202700842586 -582.388964304135</t>
  </si>
  <si>
    <t>-677.376769454268 20.0151910560571 -659.638936439948</t>
  </si>
  <si>
    <t>-690.079812426062 46.9366589600584 -528.778402822446</t>
  </si>
  <si>
    <t>-683.097552147966 200.373965617485 -501.464455138476</t>
  </si>
  <si>
    <t>-682.758349636372 228.876354617549 -220.811508378819</t>
  </si>
  <si>
    <t>-472.885183936045 131.239430146677 -240.015973411373</t>
  </si>
  <si>
    <t>-645.358824502236 120.495700318986 -96.2094565741261</t>
  </si>
  <si>
    <t>-650.10154919258 140.306624509308 318.865913394946</t>
  </si>
  <si>
    <t>-672.177174160528 185.083629023529 779.281080471354</t>
  </si>
  <si>
    <t>-520.882574892131 187.365241582326 833.948707962394</t>
  </si>
  <si>
    <t>-610.221288585122 -75.0356584138315 322.437365326783</t>
  </si>
  <si>
    <t>-653.147404522375 -108.391972819862 782.211394340023</t>
  </si>
  <si>
    <t>-500.097848079011 -117.278396591548 831.003669334533</t>
  </si>
  <si>
    <t>9763-20170724T115624.429602100.bin</t>
  </si>
  <si>
    <t>-627.214124690856 30.0208994418861 -92.7194760824898</t>
  </si>
  <si>
    <t>-647.340203530859 24.3547503223635 -201.440797570239</t>
  </si>
  <si>
    <t>-659.650279478482 21.241965029931 -293.444127548472</t>
  </si>
  <si>
    <t>-669.841411336658 18.9228996714608 -376.68420728851</t>
  </si>
  <si>
    <t>-678.543267499261 17.1941350737893 -460.107297380269</t>
  </si>
  <si>
    <t>-689.628753610158 15.3125220477257 -582.248590970178</t>
  </si>
  <si>
    <t>-677.282810519982 20.1102504352882 -659.480573091705</t>
  </si>
  <si>
    <t>-690.143748853555 47.0346336685316 -528.641839787107</t>
  </si>
  <si>
    <t>-683.50547431639 200.549719041197 -501.647782449303</t>
  </si>
  <si>
    <t>-681.798038353127 228.560305314683 -220.950366145946</t>
  </si>
  <si>
    <t>-471.912481409336 131.096805132655 -240.88623136192</t>
  </si>
  <si>
    <t>-645.604386533294 120.633984425981 -96.018903030245</t>
  </si>
  <si>
    <t>-650.16076286089 140.416027544443 319.060007374636</t>
  </si>
  <si>
    <t>-672.221747075042 184.957089706637 779.497612101761</t>
  </si>
  <si>
    <t>-520.86279084011 187.095931139632 833.992726914642</t>
  </si>
  <si>
    <t>-610.036000522858 -74.1760191487422 322.601912903854</t>
  </si>
  <si>
    <t>-653.039635761389 -108.354268598534 782.269264942681</t>
  </si>
  <si>
    <t>-500.090607703101 -117.398118934945 831.347029731484</t>
  </si>
  <si>
    <t>9763-20170724T115624.457176000.bin</t>
  </si>
  <si>
    <t>-627.124160675928 30.0393302708392 -92.6564808536348</t>
  </si>
  <si>
    <t>-647.25102531469 24.3867650110724 -201.378350857919</t>
  </si>
  <si>
    <t>-659.572638593223 21.2769241161427 -293.38024994203</t>
  </si>
  <si>
    <t>-669.778581482792 18.9569499764007 -376.618323788673</t>
  </si>
  <si>
    <t>-678.499590476817 17.2239686275739 -460.039542062422</t>
  </si>
  <si>
    <t>-689.617988846388 15.3319269240726 -582.177720493227</t>
  </si>
  <si>
    <t>-677.24136267553 20.1026367015861 -659.406327557834</t>
  </si>
  <si>
    <t>-690.117191752841 47.0589659008574 -528.573596319705</t>
  </si>
  <si>
    <t>-683.627141144386 200.598115056863 -501.702259888209</t>
  </si>
  <si>
    <t>-681.062050504613 228.621400057763 -221.012640834935</t>
  </si>
  <si>
    <t>-471.273736610112 131.041603055605 -241.398004798801</t>
  </si>
  <si>
    <t>-645.505673379736 120.695604547016 -95.9470046464854</t>
  </si>
  <si>
    <t>-650.152653175169 140.423316629593 319.133465660634</t>
  </si>
  <si>
    <t>-672.203771277169 184.912702815706 779.593292505482</t>
  </si>
  <si>
    <t>-520.824005640847 187.073292206083 834.029714580618</t>
  </si>
  <si>
    <t>-610.248796746702 -74.033055520252 322.633532506206</t>
  </si>
  <si>
    <t>-653.04713476256 -108.371816045881 782.29064214572</t>
  </si>
  <si>
    <t>-500.146417276707 -117.878031726093 831.431530112732</t>
  </si>
  <si>
    <t>9763-20170724T115624.527678300.bin</t>
  </si>
  <si>
    <t>-626.792099912857 30.3594228787154 -92.5758316767237</t>
  </si>
  <si>
    <t>-646.880174330191 24.7663685751493 -201.307962951829</t>
  </si>
  <si>
    <t>-659.242960109592 21.6780076032915 -293.305160123112</t>
  </si>
  <si>
    <t>-669.516395948002 19.3680410567001 -376.535133029527</t>
  </si>
  <si>
    <t>-678.335366799505 17.6345261071897 -459.94595092083</t>
  </si>
  <si>
    <t>-689.630469578136 15.7308804588786 -582.06777491001</t>
  </si>
  <si>
    <t>-677.255234307848 20.4338462446801 -659.300788650819</t>
  </si>
  <si>
    <t>-690.008070426795 47.4704598980452 -528.470160852563</t>
  </si>
  <si>
    <t>-683.536474113064 201.026550835418 -501.722484863687</t>
  </si>
  <si>
    <t>-679.238907850009 229.22638051003 -221.071565878009</t>
  </si>
  <si>
    <t>-469.583183818169 131.566588622572 -242.415575127564</t>
  </si>
  <si>
    <t>-644.887127274614 120.980545025395 -95.8489945247534</t>
  </si>
  <si>
    <t>-649.950060862142 140.51443259333 319.235835820912</t>
  </si>
  <si>
    <t>-672.143576491081 184.888222203276 779.718824636249</t>
  </si>
  <si>
    <t>-520.745311526033 187.003555434417 834.105645189943</t>
  </si>
  <si>
    <t>-610.70347330664 -73.97101335505 322.650898884072</t>
  </si>
  <si>
    <t>-653.119728626548 -108.364474002857 782.314327768287</t>
  </si>
  <si>
    <t>-500.172748990903 -117.169899289067 831.441802444453</t>
  </si>
  <si>
    <t>9763-20170724T115624.590527000.bin</t>
  </si>
  <si>
    <t>-626.29447614054 30.5165766297177 -92.5352326874897</t>
  </si>
  <si>
    <t>-646.379264310699 24.950244516014 -201.269352951387</t>
  </si>
  <si>
    <t>-658.765101277649 21.8877413696712 -293.264176642748</t>
  </si>
  <si>
    <t>-669.070261710071 19.6051949147211 -376.491144593814</t>
  </si>
  <si>
    <t>-677.931531586378 17.9017424690639 -459.89804163427</t>
  </si>
  <si>
    <t>-689.300111208868 16.0446958689258 -582.013670680805</t>
  </si>
  <si>
    <t>-676.965749496296 20.7305476348085 -659.254368537665</t>
  </si>
  <si>
    <t>-689.551795205642 47.7798332471934 -528.412894978947</t>
  </si>
  <si>
    <t>-682.679294608787 201.333372128626 -501.735490791989</t>
  </si>
  <si>
    <t>-677.409301019847 229.135274824273 -221.061674623988</t>
  </si>
  <si>
    <t>-467.630633519227 131.872262278123 -243.001004035891</t>
  </si>
  <si>
    <t>-644.040025094634 121.26751805385 -95.8114360547763</t>
  </si>
  <si>
    <t>-649.412657495674 140.6163558889 319.278103646007</t>
  </si>
  <si>
    <t>-672.035393980117 184.935585262612 779.772321373807</t>
  </si>
  <si>
    <t>-520.651856975247 187.18612781513 834.19451641349</t>
  </si>
  <si>
    <t>-610.600530574596 -74.0322496120305 322.675248942941</t>
  </si>
  <si>
    <t>-653.177047480805 -108.433810283311 782.346277675588</t>
  </si>
  <si>
    <t>-500.280923368916 -117.940344462641 831.501308391785</t>
  </si>
  <si>
    <t>9763-20170724T115624.627625900.bin</t>
  </si>
  <si>
    <t>-625.919395744112 30.6048366074897 -92.5164050032222</t>
  </si>
  <si>
    <t>-646.016220474998 25.0493707534449 -201.24890377532</t>
  </si>
  <si>
    <t>-658.40077230854 21.9979299126403 -293.244286790017</t>
  </si>
  <si>
    <t>-668.700291593987 19.7270563855786 -376.472225543283</t>
  </si>
  <si>
    <t>-677.551217363644 18.0360392609546 -459.880520693018</t>
  </si>
  <si>
    <t>-688.899491105546 16.1978861274051 -581.998297957789</t>
  </si>
  <si>
    <t>-676.595250933277 20.8858387660637 -659.243737094807</t>
  </si>
  <si>
    <t>-689.111789751616 47.9328797415139 -528.397062250685</t>
  </si>
  <si>
    <t>-681.981401463216 201.479704353308 -501.746099475388</t>
  </si>
  <si>
    <t>-676.437274055019 229.151202699198 -221.064505750054</t>
  </si>
  <si>
    <t>-466.628576612739 131.958115258216 -243.026995762087</t>
  </si>
  <si>
    <t>-643.525425692646 121.43772528763 -95.7934360561151</t>
  </si>
  <si>
    <t>-649.107708471635 140.612256858288 319.301453309523</t>
  </si>
  <si>
    <t>-671.961446890436 184.972684204246 779.785753902809</t>
  </si>
  <si>
    <t>-520.591068248813 187.320940359838 834.240356229429</t>
  </si>
  <si>
    <t>-610.391851900512 -74.0213278871586 322.70556672891</t>
  </si>
  <si>
    <t>-653.211101566902 -108.381885214193 782.356745765564</t>
  </si>
  <si>
    <t>-500.284560915287 -117.442628149789 831.501419260211</t>
  </si>
  <si>
    <t>9763-20170724T115624.659713300.bin</t>
  </si>
  <si>
    <t>-625.520436178929 30.7463631369335 -92.4989789833164</t>
  </si>
  <si>
    <t>-645.593387556128 25.2050704082399 -201.236567743873</t>
  </si>
  <si>
    <t>-657.958383860746 22.163291568583 -293.234947027662</t>
  </si>
  <si>
    <t>-668.240495924555 19.9009516254312 -376.465290711049</t>
  </si>
  <si>
    <t>-677.074137915678 18.2172492251327 -459.875467997812</t>
  </si>
  <si>
    <t>-688.397121800428 16.3883542109027 -581.995821137869</t>
  </si>
  <si>
    <t>-676.115858816104 21.0707284535531 -659.245086279259</t>
  </si>
  <si>
    <t>-688.571329863738 48.1274341376688 -528.396993615277</t>
  </si>
  <si>
    <t>-681.219513207949 201.674130067214 -501.793596012159</t>
  </si>
  <si>
    <t>-675.440703474476 229.258817184524 -221.10818674133</t>
  </si>
  <si>
    <t>-465.670451385277 131.956573358715 -242.954261963179</t>
  </si>
  <si>
    <t>-642.988845503816 121.603843415649 -95.7761042965179</t>
  </si>
  <si>
    <t>-648.856859861394 140.643980757314 319.32099270305</t>
  </si>
  <si>
    <t>-671.902346124764 185.000016087642 779.795163296745</t>
  </si>
  <si>
    <t>-520.547044472567 187.247995196768 834.296025019207</t>
  </si>
  <si>
    <t>-610.130661408179 -74.0822371537843 322.734398091425</t>
  </si>
  <si>
    <t>-653.256660781796 -108.377620178908 782.367504093931</t>
  </si>
  <si>
    <t>-500.297744262886 -117.071414186361 831.477644394884</t>
  </si>
  <si>
    <t>9763-20170724T115624.725893200.bin</t>
  </si>
  <si>
    <t>-624.75073643948 30.9829690403881 -92.457241945376</t>
  </si>
  <si>
    <t>-644.730110669901 25.4587720101385 -201.212935243749</t>
  </si>
  <si>
    <t>-657.07076688078 22.4252261657637 -293.214809639469</t>
  </si>
  <si>
    <t>-667.352858831578 20.1691105714094 -376.445428156895</t>
  </si>
  <si>
    <t>-676.208154781021 18.4889466936208 -459.853346828774</t>
  </si>
  <si>
    <t>-687.586575070074 16.6618124171273 -581.96862915687</t>
  </si>
  <si>
    <t>-675.366412536445 21.3236319730065 -659.228819620535</t>
  </si>
  <si>
    <t>-687.653167985095 48.4139638804756 -528.37717997052</t>
  </si>
  <si>
    <t>-679.891553016854 201.9454652881 -501.817176463301</t>
  </si>
  <si>
    <t>-673.994284601581 229.36819068498 -221.118512662066</t>
  </si>
  <si>
    <t>-464.42196598564 131.583281395841 -242.707391047332</t>
  </si>
  <si>
    <t>-641.929026611315 121.886993322382 -95.7611579895536</t>
  </si>
  <si>
    <t>-648.326888487359 140.779709869037 319.334837641613</t>
  </si>
  <si>
    <t>-671.75395280165 185.106169431721 779.78937207297</t>
  </si>
  <si>
    <t>-520.438357697601 187.405651336832 834.398211725501</t>
  </si>
  <si>
    <t>-609.51120851935 -74.5065412522688 322.775771150942</t>
  </si>
  <si>
    <t>-653.402305858902 -108.453853718741 782.367138725719</t>
  </si>
  <si>
    <t>-500.427500563511 -117.559822287159 831.352936463841</t>
  </si>
  <si>
    <t>9763-20170724T115624.758501100.bin</t>
  </si>
  <si>
    <t>-624.351152028922 31.0313995725746 -92.4677438267759</t>
  </si>
  <si>
    <t>-644.267043483779 25.4999216243177 -201.234763395431</t>
  </si>
  <si>
    <t>-656.579857268102 22.4644026058402 -293.240250490484</t>
  </si>
  <si>
    <t>-666.84725433385 20.2083480022957 -376.472605784112</t>
  </si>
  <si>
    <t>-675.698063315215 18.5298968637726 -459.881089596993</t>
  </si>
  <si>
    <t>-687.081177329178 16.7067094141487 -581.995937721982</t>
  </si>
  <si>
    <t>-674.879328061592 21.3637584330493 -659.259403793673</t>
  </si>
  <si>
    <t>-687.112711850242 48.4625766384327 -528.406659540811</t>
  </si>
  <si>
    <t>-679.235388735447 201.989999089589 -501.864772601034</t>
  </si>
  <si>
    <t>-673.363226737032 229.40705950935 -221.164848862486</t>
  </si>
  <si>
    <t>-463.907859460419 131.369382315602 -242.742370425781</t>
  </si>
  <si>
    <t>-641.416033670036 121.990390549554 -95.7848451889993</t>
  </si>
  <si>
    <t>-648.092797908618 140.813182536675 319.310018335076</t>
  </si>
  <si>
    <t>-671.679791488506 185.180439332869 779.763898987274</t>
  </si>
  <si>
    <t>-520.389769133702 187.672116826193 834.43515675777</t>
  </si>
  <si>
    <t>-609.293992431763 -74.6741106112302 322.77355472241</t>
  </si>
  <si>
    <t>-653.522643364712 -108.433328726836 782.364794588646</t>
  </si>
  <si>
    <t>-500.503107054057 -117.662065032921 831.187650686943</t>
  </si>
  <si>
    <t>9763-20170724T115624.830194500.bin</t>
  </si>
  <si>
    <t>-623.635080138178 30.9385249859811 -92.5455404914574</t>
  </si>
  <si>
    <t>-643.358886668382 25.3971825551239 -201.347071745505</t>
  </si>
  <si>
    <t>-655.611203356451 22.352458684589 -293.360312743884</t>
  </si>
  <si>
    <t>-665.864876028551 20.0888637459013 -376.59418533721</t>
  </si>
  <si>
    <t>-674.74299271782 18.4025279260404 -459.999689751274</t>
  </si>
  <si>
    <t>-686.210966745954 16.5676083243266 -582.10627682189</t>
  </si>
  <si>
    <t>-674.036486807093 21.2097549432699 -659.375020523559</t>
  </si>
  <si>
    <t>-686.159008227403 48.3360152423397 -528.524620737692</t>
  </si>
  <si>
    <t>-677.944480170571 201.854662219617 -501.996012881629</t>
  </si>
  <si>
    <t>-672.265843797631 229.352496437675 -221.300095788222</t>
  </si>
  <si>
    <t>-462.931974720895 131.015069801894 -242.691946206988</t>
  </si>
  <si>
    <t>-640.465651081054 122.005099670743 -95.8893391562442</t>
  </si>
  <si>
    <t>-647.932147821609 140.756579639132 319.195334856877</t>
  </si>
  <si>
    <t>-671.583631876804 185.328822626526 779.642944456446</t>
  </si>
  <si>
    <t>-520.321769766391 187.74821427249 834.3952861772</t>
  </si>
  <si>
    <t>-609.349978553323 -75.3003707900493 322.716329991892</t>
  </si>
  <si>
    <t>-654.083243938624 -108.429191960379 782.264285203376</t>
  </si>
  <si>
    <t>-500.81379056828 -117.980457185388 830.233705913703</t>
  </si>
  <si>
    <t>9763-20170724T115624.858774500.bin</t>
  </si>
  <si>
    <t>-623.468843328081 30.9052947357213 -92.6181041746815</t>
  </si>
  <si>
    <t>-643.096547881509 25.3487758813189 -201.436185088581</t>
  </si>
  <si>
    <t>-655.326977418256 22.2884673647877 -293.451887502382</t>
  </si>
  <si>
    <t>-665.584750425016 20.0096897461085 -376.684757452519</t>
  </si>
  <si>
    <t>-674.490767241443 18.3072513016243 -460.086938967891</t>
  </si>
  <si>
    <t>-686.02579389423 16.4475161103226 -582.187033996792</t>
  </si>
  <si>
    <t>-673.858768265486 21.0789422087955 -659.45745477571</t>
  </si>
  <si>
    <t>-685.932243155401 48.228863347362 -528.612767482857</t>
  </si>
  <si>
    <t>-677.621772812694 201.736647475973 -502.084192372911</t>
  </si>
  <si>
    <t>-671.876797967273 229.292093694966 -221.395176456224</t>
  </si>
  <si>
    <t>-462.57821077587 130.847572148443 -242.639372391489</t>
  </si>
  <si>
    <t>-640.178424532242 121.978634668587 -95.9822403165786</t>
  </si>
  <si>
    <t>-647.988010774696 140.79663515584 319.093065924073</t>
  </si>
  <si>
    <t>-671.552436100912 185.379863450582 779.547926334296</t>
  </si>
  <si>
    <t>-520.29401039072 187.843191077564 834.307814784067</t>
  </si>
  <si>
    <t>-609.653321998314 -75.580722442832 322.619595272524</t>
  </si>
  <si>
    <t>-654.355291343311 -108.418366998647 782.178767827479</t>
  </si>
  <si>
    <t>-500.967580890166 -118.032399513684 829.756128549879</t>
  </si>
  <si>
    <t>9763-20170724T115624.928989400.bin</t>
  </si>
  <si>
    <t>-623.454129336484 30.6737085616107 -92.7923267300935</t>
  </si>
  <si>
    <t>-642.933925169404 25.0997790215724 -201.636166067262</t>
  </si>
  <si>
    <t>-655.125010383614 22.0265518226058 -293.656593330415</t>
  </si>
  <si>
    <t>-665.381523438817 19.7369636901562 -376.889365579059</t>
  </si>
  <si>
    <t>-674.320554499621 18.0238977188455 -460.287690430388</t>
  </si>
  <si>
    <t>-685.941330668819 16.148876612878 -582.379406568323</t>
  </si>
  <si>
    <t>-673.766162737217 20.7824050770791 -659.648452646636</t>
  </si>
  <si>
    <t>-685.779710306495 47.9415992249926 -528.81231697656</t>
  </si>
  <si>
    <t>-677.326653319384 201.448641820004 -502.278076333955</t>
  </si>
  <si>
    <t>-671.456770378443 229.069937060058 -221.59820924556</t>
  </si>
  <si>
    <t>-462.22771709465 130.423250764696 -242.588112084258</t>
  </si>
  <si>
    <t>-640.041056735231 121.695363793787 -96.2029834549046</t>
  </si>
  <si>
    <t>-648.086303985602 140.747916506679 318.857176250707</t>
  </si>
  <si>
    <t>-671.51112739334 185.421697036723 779.336020240233</t>
  </si>
  <si>
    <t>-520.262321194066 187.861186429759 834.123471801461</t>
  </si>
  <si>
    <t>-609.98309619317 -76.0546904500882 322.465404142647</t>
  </si>
  <si>
    <t>-654.589628824683 -108.427096856405 782.118236192164</t>
  </si>
  <si>
    <t>-501.083486556826 -117.941223658054 829.332292710429</t>
  </si>
  <si>
    <t>9763-20170724T115624.959591600.bin</t>
  </si>
  <si>
    <t>-623.443707346743 30.40647566289 -92.8670510830677</t>
  </si>
  <si>
    <t>-642.850945359185 24.8202589697828 -201.723266849947</t>
  </si>
  <si>
    <t>-655.020947989457 21.733602297177 -293.745935665135</t>
  </si>
  <si>
    <t>-665.274501267974 19.4304060035611 -376.978723492803</t>
  </si>
  <si>
    <t>-674.226622254171 17.7022821475721 -460.375490266582</t>
  </si>
  <si>
    <t>-685.884171030502 15.8034871783761 -582.463141845222</t>
  </si>
  <si>
    <t>-673.708090939855 20.4298579583092 -659.73253378641</t>
  </si>
  <si>
    <t>-685.696227294878 47.608436262321 -528.90337959043</t>
  </si>
  <si>
    <t>-677.239354158288 201.12785437958 -502.431398073752</t>
  </si>
  <si>
    <t>-671.403893907337 228.82503946323 -221.758167686509</t>
  </si>
  <si>
    <t>-462.275009893432 129.925300477939 -242.554632325481</t>
  </si>
  <si>
    <t>-639.982962848579 121.421463035928 -96.2957052613822</t>
  </si>
  <si>
    <t>-648.107762479325 140.575203477611 318.758166203315</t>
  </si>
  <si>
    <t>-671.461560878887 185.493558393579 779.226564722806</t>
  </si>
  <si>
    <t>-520.229288242298 188.026591043639 834.055339178317</t>
  </si>
  <si>
    <t>-609.947605891097 -76.3318024847124 322.432869508428</t>
  </si>
  <si>
    <t>-654.653730455172 -108.413102385557 782.115942085045</t>
  </si>
  <si>
    <t>-501.103289020591 -117.696151241797 829.231872412729</t>
  </si>
  <si>
    <t>9763-20170724T115625.026138900.bin</t>
  </si>
  <si>
    <t>-623.303596160921 29.6188877386307 -92.9665319065076</t>
  </si>
  <si>
    <t>-642.563979283428 24.0096197884479 -201.847537396883</t>
  </si>
  <si>
    <t>-654.700143822162 20.9040571678713 -293.874103773079</t>
  </si>
  <si>
    <t>-664.958821639909 18.5825417730514 -377.105898783513</t>
  </si>
  <si>
    <t>-673.951865373508 16.8344469281353 -460.49769355025</t>
  </si>
  <si>
    <t>-685.70829339037 14.9050654694322 -582.575400845104</t>
  </si>
  <si>
    <t>-673.533164561684 19.5074625458417 -659.846495737891</t>
  </si>
  <si>
    <t>-685.47912976789 46.7230438937443 -529.023628229326</t>
  </si>
  <si>
    <t>-677.042971480515 200.248119621055 -502.590403332406</t>
  </si>
  <si>
    <t>-671.850289849498 228.177508142639 -221.927627664023</t>
  </si>
  <si>
    <t>-463.016182182976 128.558187466195 -242.246232302743</t>
  </si>
  <si>
    <t>-640.014626076477 120.590829109663 -96.3952806111653</t>
  </si>
  <si>
    <t>-648.249363305977 140.23164898267 318.63368066262</t>
  </si>
  <si>
    <t>-671.396250010127 185.641977887876 779.035226534422</t>
  </si>
  <si>
    <t>-520.184946018101 188.235829152713 833.91905712324</t>
  </si>
  <si>
    <t>-609.809242675668 -76.9723281161903 322.369324162859</t>
  </si>
  <si>
    <t>-654.708367128253 -108.471268487067 782.092628059616</t>
  </si>
  <si>
    <t>-501.15111548758 -117.776475960276 829.182050234468</t>
  </si>
  <si>
    <t>9763-20170724T115625.057226700.bin</t>
  </si>
  <si>
    <t>-623.270829752563 29.1199536595045 -92.988913311804</t>
  </si>
  <si>
    <t>-642.444150091661 23.5253179572853 -201.885963946936</t>
  </si>
  <si>
    <t>-654.576492966704 20.4252191316418 -293.913408150607</t>
  </si>
  <si>
    <t>-664.859465394641 18.1051229398254 -377.142067451024</t>
  </si>
  <si>
    <t>-673.904801409634 16.3555890881651 -460.52821225063</t>
  </si>
  <si>
    <t>-685.768554466055 14.4204086121822 -582.595674355621</t>
  </si>
  <si>
    <t>-673.619854630704 19.0281861572296 -659.870375624724</t>
  </si>
  <si>
    <t>-685.520941575573 46.2364290081193 -529.042543704644</t>
  </si>
  <si>
    <t>-676.979063416289 199.726899858224 -502.491208793279</t>
  </si>
  <si>
    <t>-672.531813028195 227.873493380718 -221.837500566183</t>
  </si>
  <si>
    <t>-463.826104306594 127.915149390697 -241.806855409208</t>
  </si>
  <si>
    <t>-640.071312821351 120.060331536951 -96.4144377635411</t>
  </si>
  <si>
    <t>-648.389425297055 140.015133534517 318.597859188847</t>
  </si>
  <si>
    <t>-671.367334716561 185.69858788762 778.96386292327</t>
  </si>
  <si>
    <t>-520.159282428094 188.313669687643 833.855705986886</t>
  </si>
  <si>
    <t>-609.777096237588 -77.3857227062842 322.344326398078</t>
  </si>
  <si>
    <t>-654.666191647155 -108.533856602259 782.100799668472</t>
  </si>
  <si>
    <t>-501.143445751434 -117.904000876363 829.289673379422</t>
  </si>
  <si>
    <t>9763-20170724T115625.126026600.bin</t>
  </si>
  <si>
    <t>-623.460324827053 27.9216445106301 -92.9746645805858</t>
  </si>
  <si>
    <t>-642.470962697535 22.3813245523252 -201.903039761964</t>
  </si>
  <si>
    <t>-654.509101500419 19.3353351785133 -293.944504569607</t>
  </si>
  <si>
    <t>-664.724172133739 17.0652843012645 -377.182989482565</t>
  </si>
  <si>
    <t>-673.719049948119 15.3692712363329 -460.575747230761</t>
  </si>
  <si>
    <t>-685.52843980612 13.5162668845796 -582.649558644192</t>
  </si>
  <si>
    <t>-673.368262041298 18.2130959754486 -659.91730479481</t>
  </si>
  <si>
    <t>-685.407855736295 45.2794328665493 -529.064796592987</t>
  </si>
  <si>
    <t>-677.247358177811 198.766182805165 -502.355259789503</t>
  </si>
  <si>
    <t>-674.266950895672 227.082313770224 -221.698909154627</t>
  </si>
  <si>
    <t>-465.417436953767 127.284569896593 -240.955485405548</t>
  </si>
  <si>
    <t>-640.529110673975 118.694402447583 -96.370593983111</t>
  </si>
  <si>
    <t>-648.629693484816 139.432708649726 318.607582918218</t>
  </si>
  <si>
    <t>-671.310362370326 185.736480730302 778.896259833146</t>
  </si>
  <si>
    <t>-520.108224947444 188.482644761008 833.797843138154</t>
  </si>
  <si>
    <t>-609.749056006794 -78.279598232883 322.313363264409</t>
  </si>
  <si>
    <t>-654.492272367242 -108.621116002347 782.143838984237</t>
  </si>
  <si>
    <t>-501.042295402846 -117.425023111525 829.677220040684</t>
  </si>
  <si>
    <t>9763-20170724T115625.159120400.bin</t>
  </si>
  <si>
    <t>-623.633467421866 27.1992688127041 -92.955683740119</t>
  </si>
  <si>
    <t>-642.578509828016 21.6707577046918 -201.89610830944</t>
  </si>
  <si>
    <t>-654.562290976979 18.6442444818676 -293.945323934981</t>
  </si>
  <si>
    <t>-664.728412965793 16.3948000952144 -377.190298625298</t>
  </si>
  <si>
    <t>-673.674925389833 14.722899727836 -460.588878277798</t>
  </si>
  <si>
    <t>-685.414040864186 12.9100307180154 -582.670034841603</t>
  </si>
  <si>
    <t>-673.231472822295 17.6665978818314 -659.930491571681</t>
  </si>
  <si>
    <t>-685.391469429587 44.6446437800287 -529.068077562331</t>
  </si>
  <si>
    <t>-677.481710219768 198.116585280819 -502.179708203315</t>
  </si>
  <si>
    <t>-674.972806576442 226.195873346999 -221.495235509968</t>
  </si>
  <si>
    <t>-465.8846314487 126.849041261685 -240.491852795871</t>
  </si>
  <si>
    <t>-640.829710856884 117.890383095684 -96.3312377049582</t>
  </si>
  <si>
    <t>-648.782850249718 139.050370108743 318.628560651693</t>
  </si>
  <si>
    <t>-671.301939471198 185.720681063786 778.879551311531</t>
  </si>
  <si>
    <t>-520.097835739742 188.494555440823 833.774383470588</t>
  </si>
  <si>
    <t>-609.765502535101 -78.7983632898399 322.317560740162</t>
  </si>
  <si>
    <t>-654.424310280431 -108.723133338232 782.174446524158</t>
  </si>
  <si>
    <t>-501.040150871854 -117.76618185116 829.874984156472</t>
  </si>
  <si>
    <t>9763-20170724T115625.228005600.bin</t>
  </si>
  <si>
    <t>-624.028096392875 25.719248222164 -92.910284562505</t>
  </si>
  <si>
    <t>-642.851902865868 20.2122672974776 -201.872820739537</t>
  </si>
  <si>
    <t>-654.787925180428 17.2321386768911 -293.929724773873</t>
  </si>
  <si>
    <t>-664.932317263035 15.0324322595488 -377.178627873012</t>
  </si>
  <si>
    <t>-673.878978108948 13.4212798939448 -460.578318788497</t>
  </si>
  <si>
    <t>-685.642653487509 11.7090251000723 -582.658751941273</t>
  </si>
  <si>
    <t>-673.416407526607 16.6031314080958 -659.903566085184</t>
  </si>
  <si>
    <t>-685.760114813751 43.3739359240151 -529.015744898218</t>
  </si>
  <si>
    <t>-678.473139914938 196.808824512942 -501.782395471763</t>
  </si>
  <si>
    <t>-676.427648205125 224.687066363727 -221.074011869137</t>
  </si>
  <si>
    <t>-466.882289955808 126.296802011642 -240.011966904469</t>
  </si>
  <si>
    <t>-641.646346203945 116.196378333154 -96.2276871412689</t>
  </si>
  <si>
    <t>-649.170868916772 138.220113675986 318.695131926375</t>
  </si>
  <si>
    <t>-671.265701873692 185.698113343692 778.856599036979</t>
  </si>
  <si>
    <t>-520.053997594085 188.660326011225 833.720587183043</t>
  </si>
  <si>
    <t>-609.882335604144 -79.8027987789947 322.309081680691</t>
  </si>
  <si>
    <t>-654.326492886358 -108.775340068624 782.217250417312</t>
  </si>
  <si>
    <t>-500.972689841238 -117.096268014172 830.146353807076</t>
  </si>
  <si>
    <t>9763-20170724T115625.262609300.bin</t>
  </si>
  <si>
    <t>-624.220277572711 24.9358345650444 -92.8855440513272</t>
  </si>
  <si>
    <t>-642.995120101678 19.434348555714 -201.856889618941</t>
  </si>
  <si>
    <t>-654.928184210755 16.4771203603814 -293.914944794824</t>
  </si>
  <si>
    <t>-665.0849530721 14.3035049850685 -377.163074909251</t>
  </si>
  <si>
    <t>-674.059363076268 12.7250764684313 -460.560273619693</t>
  </si>
  <si>
    <t>-685.880448834665 11.0683850974729 -582.635902977836</t>
  </si>
  <si>
    <t>-673.634117032159 16.0263427401412 -659.87356977347</t>
  </si>
  <si>
    <t>-686.050508327788 42.6954602443486 -528.970829749082</t>
  </si>
  <si>
    <t>-679.194184662751 196.132573907303 -501.6066588818</t>
  </si>
  <si>
    <t>-677.247014555207 224.150666221878 -220.911449302179</t>
  </si>
  <si>
    <t>-467.554374918079 126.086874553169 -239.911881820492</t>
  </si>
  <si>
    <t>-642.052294566347 115.290437712374 -96.1679885993308</t>
  </si>
  <si>
    <t>-649.366490936275 137.826501168875 318.731064288601</t>
  </si>
  <si>
    <t>-671.22465637642 185.692236596098 778.856423173051</t>
  </si>
  <si>
    <t>-520.014057352821 188.807656257627 833.715058464183</t>
  </si>
  <si>
    <t>-609.935651428055 -80.3640081023464 322.299597887307</t>
  </si>
  <si>
    <t>-654.298282710454 -108.83826171226 782.232844295145</t>
  </si>
  <si>
    <t>-500.978925567692 -117.286434325184 830.249841000218</t>
  </si>
  <si>
    <t>9763-20170724T115625.326832500.bin</t>
  </si>
  <si>
    <t>-624.701351228036 23.4279385138891 -92.8481731720519</t>
  </si>
  <si>
    <t>-643.351931343819 17.9078049424402 -201.839777823447</t>
  </si>
  <si>
    <t>-655.281347728187 14.9599133349639 -293.898677111205</t>
  </si>
  <si>
    <t>-665.474872628984 12.8005965277307 -377.14269522799</t>
  </si>
  <si>
    <t>-674.526546062385 11.2454926219957 -460.532021053501</t>
  </si>
  <si>
    <t>-686.505329596949 9.6324066525201 -582.592819166124</t>
  </si>
  <si>
    <t>-674.276802836404 14.662921137294 -659.828580553028</t>
  </si>
  <si>
    <t>-686.748674683329 41.2150207943382 -528.901862795055</t>
  </si>
  <si>
    <t>-680.64096855122 194.63780590619 -501.303109071149</t>
  </si>
  <si>
    <t>-679.131536870322 222.816549780589 -220.621328460448</t>
  </si>
  <si>
    <t>-469.081406708279 125.486610683499 -239.445437022162</t>
  </si>
  <si>
    <t>-642.93791183281 113.50663094051 -96.0865319546026</t>
  </si>
  <si>
    <t>-649.656618761849 136.850160655597 318.777987901556</t>
  </si>
  <si>
    <t>-671.159233262802 185.693902881668 778.825864965622</t>
  </si>
  <si>
    <t>-519.952057350939 189.160124004561 833.672898412144</t>
  </si>
  <si>
    <t>-610.034841718875 -81.5003415811429 322.284192135856</t>
  </si>
  <si>
    <t>-654.260080256271 -108.95808496504 782.256931162476</t>
  </si>
  <si>
    <t>-500.969877621806 -117.116361157963 830.416754965869</t>
  </si>
  <si>
    <t>9763-20170724T115625.358919600.bin</t>
  </si>
  <si>
    <t>-624.941747830825 22.6670846914346 -92.8328062095173</t>
  </si>
  <si>
    <t>-643.547405357361 17.151627750952 -201.832448154624</t>
  </si>
  <si>
    <t>-655.467597557105 14.216753207379 -293.892842801595</t>
  </si>
  <si>
    <t>-665.664037162561 12.0714129260512 -377.136855906881</t>
  </si>
  <si>
    <t>-674.73013135594 10.5334666792833 -460.52499706117</t>
  </si>
  <si>
    <t>-686.74259171635 8.94926933463171 -582.58275785276</t>
  </si>
  <si>
    <t>-674.536942513113 14.0055648877619 -659.820548474723</t>
  </si>
  <si>
    <t>-687.026713186754 40.5093455009846 -528.878830147815</t>
  </si>
  <si>
    <t>-681.252925452598 193.936009472229 -501.233192824323</t>
  </si>
  <si>
    <t>-680.222436204996 222.120498931555 -220.549845323287</t>
  </si>
  <si>
    <t>-469.964880475592 125.184885676122 -239.090995647633</t>
  </si>
  <si>
    <t>-643.300426587232 112.569153131582 -96.0269092018563</t>
  </si>
  <si>
    <t>-649.756646348107 136.385207198107 318.814887351696</t>
  </si>
  <si>
    <t>-671.136687202046 185.682781990389 778.803524026364</t>
  </si>
  <si>
    <t>-519.926816681475 189.106914738868 833.645908634919</t>
  </si>
  <si>
    <t>-610.047978246582 -82.0527752301291 322.282070459929</t>
  </si>
  <si>
    <t>-654.223810581086 -109.019373982863 782.281672605256</t>
  </si>
  <si>
    <t>-500.965071489428 -117.189024337964 830.539717332273</t>
  </si>
  <si>
    <t>9763-20170724T115625.423593500.bin</t>
  </si>
  <si>
    <t>-625.447574887304 21.2653509136917 -92.8236142611961</t>
  </si>
  <si>
    <t>-643.892255923683 15.7775520038763 -201.851976559903</t>
  </si>
  <si>
    <t>-655.749938178558 12.8618780052011 -293.921133244818</t>
  </si>
  <si>
    <t>-665.9191840179 10.7306694807503 -377.168885178197</t>
  </si>
  <si>
    <t>-674.987709757794 9.2051571482873 -460.557000545177</t>
  </si>
  <si>
    <t>-687.03641376416 7.63737574275115 -582.611329838915</t>
  </si>
  <si>
    <t>-674.900755069368 12.7068402720029 -659.859214418741</t>
  </si>
  <si>
    <t>-687.384691545734 39.1756807448799 -528.894976559813</t>
  </si>
  <si>
    <t>-682.27408435689 192.633634570487 -501.256131216255</t>
  </si>
  <si>
    <t>-682.757713446304 220.972887930664 -220.586822456317</t>
  </si>
  <si>
    <t>-472.208595591594 124.484383541443 -238.124586579496</t>
  </si>
  <si>
    <t>-643.925520102226 110.976714352525 -95.9660086715442</t>
  </si>
  <si>
    <t>-649.872417277006 135.512457055227 318.841460242036</t>
  </si>
  <si>
    <t>-671.081168083183 185.666261384272 778.74082041253</t>
  </si>
  <si>
    <t>-519.867743250889 189.360524755062 833.555744179611</t>
  </si>
  <si>
    <t>-610.317934903086 -83.165035226385 322.264407699167</t>
  </si>
  <si>
    <t>-654.196982483905 -109.177217167351 782.324404250459</t>
  </si>
  <si>
    <t>-500.97471451849 -117.361593823197 830.695611359605</t>
  </si>
  <si>
    <t>9763-20170724T115625.460193400.bin</t>
  </si>
  <si>
    <t>-625.712664398984 20.7045477142474 -92.842202528059</t>
  </si>
  <si>
    <t>-644.013518212178 15.2278298006365 -201.895287822125</t>
  </si>
  <si>
    <t>-655.818108174368 12.3039044169245 -293.970985495144</t>
  </si>
  <si>
    <t>-665.966647130033 10.1577235687218 -377.220928188287</t>
  </si>
  <si>
    <t>-675.041989471095 8.60981676549818 -460.607769943279</t>
  </si>
  <si>
    <t>-687.130869540181 7.00157474400567 -582.657752754438</t>
  </si>
  <si>
    <t>-675.042109545063 12.0563195138416 -659.913902453058</t>
  </si>
  <si>
    <t>-687.486743181759 38.5530621362395 -528.949031100234</t>
  </si>
  <si>
    <t>-682.70374017223 192.040906282438 -501.428735809747</t>
  </si>
  <si>
    <t>-684.092628485119 220.655224013221 -220.790346767116</t>
  </si>
  <si>
    <t>-473.491676082679 124.133788504668 -237.504761917259</t>
  </si>
  <si>
    <t>-644.264209861427 110.308598017458 -95.9707916413996</t>
  </si>
  <si>
    <t>-649.924268556472 135.202009092469 318.819389125184</t>
  </si>
  <si>
    <t>-671.042706168973 185.673976040713 778.688361491867</t>
  </si>
  <si>
    <t>-519.841976739129 189.46606051492 833.531720038627</t>
  </si>
  <si>
    <t>-610.605864263406 -83.6972140172388 322.234311518168</t>
  </si>
  <si>
    <t>-654.221273994271 -109.222907435671 782.335119681736</t>
  </si>
  <si>
    <t>-500.996389211181 -117.371712255746 830.704129881598</t>
  </si>
  <si>
    <t>9763-20170724T115625.528881400.bin</t>
  </si>
  <si>
    <t>-626.082151310138 19.8374035961374 -92.8663421619215</t>
  </si>
  <si>
    <t>-644.161453926801 14.3797011999336 -201.957384326641</t>
  </si>
  <si>
    <t>-655.882630977402 11.4373065465138 -294.04324319087</t>
  </si>
  <si>
    <t>-665.997330212813 9.25951266971879 -377.296284569435</t>
  </si>
  <si>
    <t>-675.080462691826 7.66620699381633 -460.681501468789</t>
  </si>
  <si>
    <t>-687.226752409998 5.97593993775968 -582.724665665927</t>
  </si>
  <si>
    <t>-675.242764017195 10.9991964928922 -659.999233565132</t>
  </si>
  <si>
    <t>-687.595115977021 37.5564913594014 -529.033200280927</t>
  </si>
  <si>
    <t>-683.23844206678 191.077884318637 -501.657173777893</t>
  </si>
  <si>
    <t>-686.417193380937 221.068766782385 -221.177151184794</t>
  </si>
  <si>
    <t>-475.944469170377 123.980007294784 -236.12812260173</t>
  </si>
  <si>
    <t>-644.672980196147 109.367048024754 -96.0070759390721</t>
  </si>
  <si>
    <t>-649.942738067922 134.895973425497 318.749615012383</t>
  </si>
  <si>
    <t>-670.958630044432 185.762453223595 778.562174575786</t>
  </si>
  <si>
    <t>-519.779392967627 189.817221735992 833.44588981001</t>
  </si>
  <si>
    <t>-611.237433983101 -84.5762981780742 322.166166932733</t>
  </si>
  <si>
    <t>-654.282749726428 -109.340220700483 782.350990522138</t>
  </si>
  <si>
    <t>-501.020154804551 -116.957794386519 830.687051340791</t>
  </si>
  <si>
    <t>9763-20170724T115625.557957500.bin</t>
  </si>
  <si>
    <t>-626.210090076357 19.5078705341307 -92.8963460789892</t>
  </si>
  <si>
    <t>-644.241127186101 14.0562684609065 -201.995699283867</t>
  </si>
  <si>
    <t>-655.93572805592 11.1008369756541 -294.084489969904</t>
  </si>
  <si>
    <t>-666.031896141487 8.90401558157214 -377.339302724167</t>
  </si>
  <si>
    <t>-675.102198615828 7.28422599338637 -460.7254210354</t>
  </si>
  <si>
    <t>-687.235960063046 5.54707094302512 -582.769222354772</t>
  </si>
  <si>
    <t>-675.295396341601 10.5404350455892 -660.052417270824</t>
  </si>
  <si>
    <t>-687.619862549522 37.1463411965947 -529.088789454856</t>
  </si>
  <si>
    <t>-683.316868002464 190.678509986163 -501.759534062593</t>
  </si>
  <si>
    <t>-687.265187894129 221.358585974447 -221.363769425154</t>
  </si>
  <si>
    <t>-476.846434243157 124.017419495576 -235.405729299761</t>
  </si>
  <si>
    <t>-644.829238144528 109.031202189849 -96.0414343571933</t>
  </si>
  <si>
    <t>-650.020022230751 134.783428373009 318.702463996522</t>
  </si>
  <si>
    <t>-670.937316908684 185.801500840731 778.492543879204</t>
  </si>
  <si>
    <t>-519.757120844913 189.891460358706 833.371011901128</t>
  </si>
  <si>
    <t>-611.448984715533 -84.8651723976773 322.138214234079</t>
  </si>
  <si>
    <t>-654.294083118813 -109.465073274061 782.359428620477</t>
  </si>
  <si>
    <t>-501.065882692315 -117.610108053694 830.718490799278</t>
  </si>
  <si>
    <t>9763-20170724T115625.625137800.bin</t>
  </si>
  <si>
    <t>-626.496145701302 19.0581188437989 -92.9718331810853</t>
  </si>
  <si>
    <t>-644.454934636914 13.652834787516 -202.085410311361</t>
  </si>
  <si>
    <t>-656.113805806726 10.6658585167399 -294.177611751677</t>
  </si>
  <si>
    <t>-666.187997113271 8.41233734514208 -377.433640979826</t>
  </si>
  <si>
    <t>-675.246711964907 6.70726284178613 -460.819304010039</t>
  </si>
  <si>
    <t>-687.374910027087 4.81444238116296 -582.861332309301</t>
  </si>
  <si>
    <t>-675.448358035972 9.67607534041804 -660.15523914982</t>
  </si>
  <si>
    <t>-687.754131463776 36.4836135913918 -529.222111746543</t>
  </si>
  <si>
    <t>-683.640848879011 190.068853046956 -502.163530158294</t>
  </si>
  <si>
    <t>-688.883056262754 221.839241032742 -221.910449936149</t>
  </si>
  <si>
    <t>-478.46807174471 124.322580474273 -234.737911712347</t>
  </si>
  <si>
    <t>-645.11385096663 108.591838432856 -96.117225466757</t>
  </si>
  <si>
    <t>-650.151606833037 134.65677123821 318.60898786893</t>
  </si>
  <si>
    <t>-670.907843759356 185.852740370143 778.384942985431</t>
  </si>
  <si>
    <t>-519.720833642585 190.021330010543 833.238667040092</t>
  </si>
  <si>
    <t>-611.670183064031 -85.1410029073768 322.081201105485</t>
  </si>
  <si>
    <t>-654.295424488385 -109.484766782872 782.363988231478</t>
  </si>
  <si>
    <t>-501.051640295556 -117.127974929482 830.755481299699</t>
  </si>
  <si>
    <t>9763-20170724T115625.658228400.bin</t>
  </si>
  <si>
    <t>-626.61490386634 18.9202988025265 -92.9990795251309</t>
  </si>
  <si>
    <t>-644.563800053429 13.5261565318278 -202.114801592594</t>
  </si>
  <si>
    <t>-656.245320924491 10.5202595685289 -294.20355043954</t>
  </si>
  <si>
    <t>-666.352565539153 8.23819917796118 -377.454795650121</t>
  </si>
  <si>
    <t>-675.456798617623 6.49352437893867 -460.834724720029</t>
  </si>
  <si>
    <t>-687.665403931468 4.52987604446594 -582.867571442059</t>
  </si>
  <si>
    <t>-675.725267214717 9.28904574764465 -660.165682851614</t>
  </si>
  <si>
    <t>-687.996840903788 36.2324125517766 -529.247696107295</t>
  </si>
  <si>
    <t>-683.858741297553 189.832072847679 -502.252401760517</t>
  </si>
  <si>
    <t>-689.687991704634 222.01748539142 -222.058217182458</t>
  </si>
  <si>
    <t>-479.270227737989 124.451427883434 -234.458280127489</t>
  </si>
  <si>
    <t>-645.239811941424 108.497913582783 -96.1517673066254</t>
  </si>
  <si>
    <t>-650.158071490396 134.624412591639 318.57200536557</t>
  </si>
  <si>
    <t>-670.891587463581 185.878232281671 778.347709194516</t>
  </si>
  <si>
    <t>-519.702932335603 190.016335678708 833.199267838413</t>
  </si>
  <si>
    <t>-611.781510181022 -85.2230775479798 322.057526933299</t>
  </si>
  <si>
    <t>-654.311656851698 -109.559607469919 782.362823930433</t>
  </si>
  <si>
    <t>-501.096675160017 -117.67376959372 830.76886317083</t>
  </si>
  <si>
    <t>9763-20170724T115625.728926800.bin</t>
  </si>
  <si>
    <t>-626.657314163398 18.881745577562 -93.0578081050762</t>
  </si>
  <si>
    <t>-644.620309284606 13.5209497306926 -202.172813040742</t>
  </si>
  <si>
    <t>-656.36723647305 10.4874256287178 -294.252370750416</t>
  </si>
  <si>
    <t>-666.555347464743 8.15867832737786 -377.492564051755</t>
  </si>
  <si>
    <t>-675.762044900353 6.34484437147466 -460.859649203763</t>
  </si>
  <si>
    <t>-688.144216232115 4.25544465684038 -582.872853650911</t>
  </si>
  <si>
    <t>-676.103662589215 8.73229334799453 -660.172224682203</t>
  </si>
  <si>
    <t>-688.346912133018 36.0228488232624 -529.290827512093</t>
  </si>
  <si>
    <t>-683.944587429148 189.624433472613 -502.356739815148</t>
  </si>
  <si>
    <t>-691.040500286648 222.578925427536 -222.281365785861</t>
  </si>
  <si>
    <t>-480.729781322774 124.658472407682 -233.661897444202</t>
  </si>
  <si>
    <t>-645.180946857735 108.610204212188 -96.2024444855741</t>
  </si>
  <si>
    <t>-650.126582459466 134.712730795046 318.522503450042</t>
  </si>
  <si>
    <t>-670.849200372827 185.980646525822 778.286997687635</t>
  </si>
  <si>
    <t>-519.658997607205 190.181138553459 833.129424977212</t>
  </si>
  <si>
    <t>-611.914702012563 -85.1911316672461 322.01448355147</t>
  </si>
  <si>
    <t>-654.364650808031 -109.673268239955 782.339577803739</t>
  </si>
  <si>
    <t>-501.138754501531 -117.75088606532 830.71724222522</t>
  </si>
  <si>
    <t>9763-20170724T115625.760520900.bin</t>
  </si>
  <si>
    <t>-626.636130719236 18.9512166986785 -93.0848637538961</t>
  </si>
  <si>
    <t>-644.605980802806 13.6063335134288 -202.199589989298</t>
  </si>
  <si>
    <t>-656.368019616437 10.5618150054947 -294.276762908585</t>
  </si>
  <si>
    <t>-666.573527378815 8.21384324159726 -377.514290657061</t>
  </si>
  <si>
    <t>-675.801395387785 6.37070094878595 -460.878454401736</t>
  </si>
  <si>
    <t>-688.218518668947 4.22745707330409 -582.887290369081</t>
  </si>
  <si>
    <t>-676.083774173346 8.54950656784536 -660.180675520223</t>
  </si>
  <si>
    <t>-688.372274698191 36.0246399798968 -529.322729557903</t>
  </si>
  <si>
    <t>-683.862886440965 189.629018519308 -502.439979602624</t>
  </si>
  <si>
    <t>-691.644649130402 222.941419939179 -222.425129958765</t>
  </si>
  <si>
    <t>-481.448130695204 124.724837022602 -233.354711992855</t>
  </si>
  <si>
    <t>-645.104362259969 108.754999877133 -96.2263105001349</t>
  </si>
  <si>
    <t>-650.041795811942 134.842538264779 318.499755270289</t>
  </si>
  <si>
    <t>-670.831663167173 186.026174615568 778.269229539712</t>
  </si>
  <si>
    <t>-519.642627827173 190.248332874125 833.113253417581</t>
  </si>
  <si>
    <t>-611.921522339406 -85.0711395595381 321.990533076968</t>
  </si>
  <si>
    <t>-654.37348057468 -109.687643656805 782.32730897941</t>
  </si>
  <si>
    <t>-501.138430104385 -117.571495064894 830.707964313693</t>
  </si>
  <si>
    <t>9763-20170724T115625.791160200.bin</t>
  </si>
  <si>
    <t>-626.641531281646 19.0341466794093 -93.1005671101175</t>
  </si>
  <si>
    <t>-644.61614257886 13.7079832625464 -202.215400696009</t>
  </si>
  <si>
    <t>-656.381818056853 10.6559019514859 -294.291895373053</t>
  </si>
  <si>
    <t>-666.590515258355 8.29222340033789 -377.528439512673</t>
  </si>
  <si>
    <t>-675.821370773264 6.42401363511476 -460.891764733047</t>
  </si>
  <si>
    <t>-688.242564262611 4.23387955821613 -582.89931378401</t>
  </si>
  <si>
    <t>-675.986006295347 8.40728830752801 -660.181719541181</t>
  </si>
  <si>
    <t>-688.365084724819 36.0569718017805 -529.350039033631</t>
  </si>
  <si>
    <t>-683.776691391854 189.672051437606 -502.529324448574</t>
  </si>
  <si>
    <t>-692.300453218023 223.275660880277 -222.570920140381</t>
  </si>
  <si>
    <t>-482.240752472434 124.707995636698 -232.957617588753</t>
  </si>
  <si>
    <t>-645.071766658855 108.93098380676 -96.2428641124791</t>
  </si>
  <si>
    <t>-650.013001288077 134.933233164488 318.488471099282</t>
  </si>
  <si>
    <t>-670.815671359453 186.073519267907 778.261306628818</t>
  </si>
  <si>
    <t>-519.626248324907 190.318386743259 833.102502226175</t>
  </si>
  <si>
    <t>-611.932156252875 -84.9270930182538 321.974131502772</t>
  </si>
  <si>
    <t>-654.377606088645 -109.651424589843 782.319467167929</t>
  </si>
  <si>
    <t>-501.113654199576 -116.958311139001 830.699181554082</t>
  </si>
  <si>
    <t>9763-20170724T115625.867362500.bin</t>
  </si>
  <si>
    <t>-626.652676612619 19.107972541517 -93.1045457210777</t>
  </si>
  <si>
    <t>-644.633979941145 13.8083592223452 -202.219427073773</t>
  </si>
  <si>
    <t>-656.402244050651 10.7573028876309 -294.295734138392</t>
  </si>
  <si>
    <t>-666.612017011651 8.38669034885061 -377.53207141438</t>
  </si>
  <si>
    <t>-675.842751052007 6.50292612904332 -460.894898979679</t>
  </si>
  <si>
    <t>-688.262389042485 4.28063724066783 -582.902083957245</t>
  </si>
  <si>
    <t>-675.857299118476 8.32012707331137 -660.167961177914</t>
  </si>
  <si>
    <t>-688.363336944943 36.1219512838479 -529.363537970262</t>
  </si>
  <si>
    <t>-683.647748771881 189.73110358786 -502.538570507699</t>
  </si>
  <si>
    <t>-692.936379737109 223.545670151539 -222.629943502052</t>
  </si>
  <si>
    <t>-482.996191738341 124.661967088032 -232.41033836059</t>
  </si>
  <si>
    <t>-645.032369396111 109.07480765618 -96.2402987570954</t>
  </si>
  <si>
    <t>-650.014223017196 134.998145471468 318.495481818087</t>
  </si>
  <si>
    <t>-670.808330157407 186.104459212823 778.261211155434</t>
  </si>
  <si>
    <t>-519.614634476605 190.27921222027 833.096193419412</t>
  </si>
  <si>
    <t>-611.951288854149 -84.8423906899673 321.966134490056</t>
  </si>
  <si>
    <t>-654.388826040785 -109.688403150307 782.31073545771</t>
  </si>
  <si>
    <t>-501.149848818798 -117.393418680269 830.707738781795</t>
  </si>
  <si>
    <t>9763-20170724T115625.924376800.bin</t>
  </si>
  <si>
    <t>-626.850043292874 19.6148033309453 -93.1164976989595</t>
  </si>
  <si>
    <t>-644.822114523446 14.3758502388437 -202.235992660603</t>
  </si>
  <si>
    <t>-656.548904419126 11.3864197558864 -294.31952970052</t>
  </si>
  <si>
    <t>-666.707996572245 9.07648062470275 -377.563639764067</t>
  </si>
  <si>
    <t>-675.874666907358 7.2581948473362 -460.935191593493</t>
  </si>
  <si>
    <t>-688.185967791263 5.13720951202345 -582.955110782543</t>
  </si>
  <si>
    <t>-675.239766311041 8.91346544758312 -660.145377046161</t>
  </si>
  <si>
    <t>-688.317884022028 36.9370630978751 -529.392111392161</t>
  </si>
  <si>
    <t>-683.381573286919 190.507751231539 -502.37146334722</t>
  </si>
  <si>
    <t>-694.750115393285 224.552879474834 -222.567452140311</t>
  </si>
  <si>
    <t>-485.071533332549 124.989952573033 -230.972267043538</t>
  </si>
  <si>
    <t>-645.059430724013 109.724473089787 -96.2440333571399</t>
  </si>
  <si>
    <t>-650.132004573608 135.358463553353 318.508700778292</t>
  </si>
  <si>
    <t>-670.796634569917 186.17523999168 778.30861139135</t>
  </si>
  <si>
    <t>-519.587446692561 190.169810940637 833.114122231737</t>
  </si>
  <si>
    <t>-612.087460172213 -84.5410051629119 321.941237106435</t>
  </si>
  <si>
    <t>-654.394053057362 -109.784519315242 782.303803106675</t>
  </si>
  <si>
    <t>-501.189537383651 -117.806803912758 830.758418304956</t>
  </si>
  <si>
    <t>9763-20170724T115625.956463600.bin</t>
  </si>
  <si>
    <t>-626.951252261229 19.8006600061724 -93.1238517984164</t>
  </si>
  <si>
    <t>-644.912492228417 14.5709147064522 -202.245538368823</t>
  </si>
  <si>
    <t>-656.588759866206 11.6004628303997 -294.336069156454</t>
  </si>
  <si>
    <t>-666.685694063436 9.31188116083717 -377.588492889036</t>
  </si>
  <si>
    <t>-675.773468356668 7.51966806827477 -460.969058366688</t>
  </si>
  <si>
    <t>-687.951229643705 5.44156400664042 -583.003121086544</t>
  </si>
  <si>
    <t>-674.835843662837 9.14176568494895 -660.168607670149</t>
  </si>
  <si>
    <t>-688.149988323068 37.2210565414914 -529.428247591475</t>
  </si>
  <si>
    <t>-683.297069640627 190.778931673152 -502.315302763099</t>
  </si>
  <si>
    <t>-695.311336861935 224.705337989416 -222.52382839715</t>
  </si>
  <si>
    <t>-485.672030701011 125.037306111663 -230.658594494719</t>
  </si>
  <si>
    <t>-645.137229956072 109.938404733593 -96.2487977538567</t>
  </si>
  <si>
    <t>-650.187202507301 135.508694867287 318.508122774192</t>
  </si>
  <si>
    <t>-670.776812080032 186.220457686317 778.330663115755</t>
  </si>
  <si>
    <t>-519.566958641253 190.19965290678 833.13543978835</t>
  </si>
  <si>
    <t>-612.151576776491 -84.4431905547287 321.93229258571</t>
  </si>
  <si>
    <t>-654.411539226293 -109.791043157573 782.297402871356</t>
  </si>
  <si>
    <t>-501.198208414535 -117.740070432472 830.736241202434</t>
  </si>
  <si>
    <t>9763-20170724T115626.027162900.bin</t>
  </si>
  <si>
    <t>-627.189153953874 20.2006809011466 -93.1089320407424</t>
  </si>
  <si>
    <t>-645.106198807406 14.9823293027193 -202.238427920083</t>
  </si>
  <si>
    <t>-656.652552808399 12.0439991960602 -294.346378310031</t>
  </si>
  <si>
    <t>-666.59469765051 9.7927297102176 -377.618439385211</t>
  </si>
  <si>
    <t>-675.490228159345 8.04682809317296 -461.020659373215</t>
  </si>
  <si>
    <t>-687.3457824032 6.04633240359294 -583.0877909259</t>
  </si>
  <si>
    <t>-674.005796186873 9.69641980352981 -660.217138792541</t>
  </si>
  <si>
    <t>-687.729166633927 37.7839636352776 -529.489071954601</t>
  </si>
  <si>
    <t>-683.151769488531 191.33213297973 -502.279269796238</t>
  </si>
  <si>
    <t>-696.64377567265 224.965794783117 -222.519793631513</t>
  </si>
  <si>
    <t>-487.057320898176 125.147898509988 -230.164239611662</t>
  </si>
  <si>
    <t>-645.421629611788 110.369489170252 -96.2221374485576</t>
  </si>
  <si>
    <t>-650.430043812917 135.704925401108 318.549571809127</t>
  </si>
  <si>
    <t>-670.754666012575 186.291551334101 778.384189058579</t>
  </si>
  <si>
    <t>-519.543015586787 190.324920088633 833.18007775777</t>
  </si>
  <si>
    <t>-612.272255438988 -84.2071249977298 321.918222947551</t>
  </si>
  <si>
    <t>-654.448148908544 -109.797029129148 782.283357045878</t>
  </si>
  <si>
    <t>-501.218490408732 -117.562402013649 830.700295711113</t>
  </si>
  <si>
    <t>9763-20170724T115626.058262000.bin</t>
  </si>
  <si>
    <t>-627.32515840614 20.3819422842721 -93.1078716113473</t>
  </si>
  <si>
    <t>-645.226222571328 15.1585379156907 -202.239757444814</t>
  </si>
  <si>
    <t>-656.706486538535 12.2297008262715 -294.356235806566</t>
  </si>
  <si>
    <t>-666.567577175155 9.99198988983744 -377.638302255504</t>
  </si>
  <si>
    <t>-675.360845620255 8.26505775175701 -461.051889489737</t>
  </si>
  <si>
    <t>-687.043497575396 6.29852286040114 -583.136277133273</t>
  </si>
  <si>
    <t>-673.75566419069 9.99177714816551 -660.27243168154</t>
  </si>
  <si>
    <t>-687.537969554452 38.0147077019392 -529.525822057593</t>
  </si>
  <si>
    <t>-683.149885199392 191.558355342649 -502.272517927681</t>
  </si>
  <si>
    <t>-697.377478780619 225.07133566389 -222.535097596595</t>
  </si>
  <si>
    <t>-487.799274834699 125.208899245165 -229.816022994097</t>
  </si>
  <si>
    <t>-645.593415378544 110.560076117245 -96.212540247685</t>
  </si>
  <si>
    <t>-650.558041387056 135.840325194035 318.563140341594</t>
  </si>
  <si>
    <t>-670.743049558581 186.325106882314 778.415067085472</t>
  </si>
  <si>
    <t>-519.527894232701 190.465706203973 833.193275115312</t>
  </si>
  <si>
    <t>-612.311110468799 -84.1167735044596 321.920001854278</t>
  </si>
  <si>
    <t>-654.455564675001 -109.848086848451 782.286557866237</t>
  </si>
  <si>
    <t>-501.252954842908 -118.032652246759 830.7200052457</t>
  </si>
  <si>
    <t>9763-20170724T115626.126480400.bin</t>
  </si>
  <si>
    <t>-627.59082305048 20.7450469351143 -93.1047648302236</t>
  </si>
  <si>
    <t>-645.478759186966 15.5042229165492 -202.238028130218</t>
  </si>
  <si>
    <t>-656.823390196194 12.6102593739186 -294.372437480811</t>
  </si>
  <si>
    <t>-666.511679399521 10.4224351267892 -377.676055079669</t>
  </si>
  <si>
    <t>-675.081832341662 8.76507449422866 -461.114287379966</t>
  </si>
  <si>
    <t>-686.383103495271 6.92219872360761 -583.236401908299</t>
  </si>
  <si>
    <t>-673.413555139587 10.8266505949057 -660.416440500655</t>
  </si>
  <si>
    <t>-687.125909120244 38.5693296317722 -529.587970739025</t>
  </si>
  <si>
    <t>-683.177010915997 192.109518613072 -502.242017430894</t>
  </si>
  <si>
    <t>-699.164625926383 225.574941980791 -222.593929981912</t>
  </si>
  <si>
    <t>-489.533072624546 125.780201364568 -229.23960904302</t>
  </si>
  <si>
    <t>-645.968431694187 110.932380612359 -96.2062035801919</t>
  </si>
  <si>
    <t>-650.731919783875 136.112953706277 318.577894355832</t>
  </si>
  <si>
    <t>-670.745652344312 186.354946095829 778.471144558961</t>
  </si>
  <si>
    <t>-519.516712027733 190.368617144961 833.220742674606</t>
  </si>
  <si>
    <t>-612.377284933965 -83.8659620569617 321.917229833357</t>
  </si>
  <si>
    <t>-654.483290894213 -109.840493666293 782.284309702706</t>
  </si>
  <si>
    <t>-501.243251069203 -117.507658846896 830.683853140144</t>
  </si>
  <si>
    <t>9763-20170724T115626.159070700.bin</t>
  </si>
  <si>
    <t>-627.716062037927 20.8696806369733 -93.10642469161</t>
  </si>
  <si>
    <t>-645.605857498649 15.6211557657077 -202.238885212196</t>
  </si>
  <si>
    <t>-656.88624179224 12.7437283748684 -294.381685700618</t>
  </si>
  <si>
    <t>-666.489925628224 10.5797312138764 -377.695805618413</t>
  </si>
  <si>
    <t>-674.948939187235 8.95563459179584 -461.146064321513</t>
  </si>
  <si>
    <t>-686.05870223167 7.1714983660429 -583.286567796853</t>
  </si>
  <si>
    <t>-673.230791730849 11.2057799308682 -660.483642539234</t>
  </si>
  <si>
    <t>-686.922225911408 38.7859569820691 -529.62078053989</t>
  </si>
  <si>
    <t>-683.217187619853 192.323935821077 -502.213836490575</t>
  </si>
  <si>
    <t>-700.193344830174 225.657027348233 -222.608249437201</t>
  </si>
  <si>
    <t>-490.496283528377 125.976625611915 -228.89209875407</t>
  </si>
  <si>
    <t>-646.122526345452 111.087012049456 -96.2052660220405</t>
  </si>
  <si>
    <t>-650.779775544597 136.22630594537 318.582480800442</t>
  </si>
  <si>
    <t>-670.735759339998 186.37490258204 778.49548100978</t>
  </si>
  <si>
    <t>-519.505544307484 190.355177323316 833.243977053139</t>
  </si>
  <si>
    <t>-612.433033576705 -83.7830342792645 321.913732306678</t>
  </si>
  <si>
    <t>-654.507771770708 -109.828378818125 782.278493045794</t>
  </si>
  <si>
    <t>-501.266030862622 -117.590224849487 830.657619988398</t>
  </si>
  <si>
    <t>9763-20170724T115626.225250200.bin</t>
  </si>
  <si>
    <t>-627.973345434773 21.005954175849 -93.0990507736407</t>
  </si>
  <si>
    <t>-645.893049176783 15.745687246633 -202.226025415843</t>
  </si>
  <si>
    <t>-657.096359806012 12.9206456962897 -294.380006591331</t>
  </si>
  <si>
    <t>-666.589270717185 10.8278863463468 -377.708533305089</t>
  </si>
  <si>
    <t>-674.896496011739 9.30052701943441 -461.175865386176</t>
  </si>
  <si>
    <t>-685.739365892208 7.68631950290523 -583.342794307321</t>
  </si>
  <si>
    <t>-673.100763851437 11.9844570596865 -660.556800811955</t>
  </si>
  <si>
    <t>-686.804016119053 39.21043401268 -529.627331728001</t>
  </si>
  <si>
    <t>-683.549818421399 192.719862758461 -502.006859011203</t>
  </si>
  <si>
    <t>-702.342567763977 225.991865564318 -222.510168206559</t>
  </si>
  <si>
    <t>-492.758980091505 126.027208189567 -228.016915119003</t>
  </si>
  <si>
    <t>-646.468849462656 111.269181311076 -96.18282786743</t>
  </si>
  <si>
    <t>-650.987040923809 136.35983505126 318.609433484263</t>
  </si>
  <si>
    <t>-670.719200130748 186.414234025638 778.547663751023</t>
  </si>
  <si>
    <t>-519.482699008308 190.369066208462 833.280645246754</t>
  </si>
  <si>
    <t>-612.537064928262 -83.700348753548 321.911072543266</t>
  </si>
  <si>
    <t>-654.543317088646 -109.899440839584 782.277056073562</t>
  </si>
  <si>
    <t>-501.313649016715 -117.987818538094 830.640945629294</t>
  </si>
  <si>
    <t>9763-20170724T115626.262352900.bin</t>
  </si>
  <si>
    <t>-628.090565568775 21.0091299984567 -93.0867851123306</t>
  </si>
  <si>
    <t>-646.04223851885 15.7466354388912 -202.208495221</t>
  </si>
  <si>
    <t>-657.229108565191 12.9535747156774 -294.365297767613</t>
  </si>
  <si>
    <t>-666.689462116677 10.9030010746578 -377.698557766709</t>
  </si>
  <si>
    <t>-674.946566391431 9.43157377764965 -461.171938972422</t>
  </si>
  <si>
    <t>-685.696923243286 7.91415899321169 -583.348251067977</t>
  </si>
  <si>
    <t>-673.138303575133 12.3490466224648 -660.567566226382</t>
  </si>
  <si>
    <t>-686.838672851467 39.3887492722201 -529.605426667043</t>
  </si>
  <si>
    <t>-683.814063175294 192.878013201038 -501.857679221796</t>
  </si>
  <si>
    <t>-703.552607664556 226.291747934045 -222.443073559519</t>
  </si>
  <si>
    <t>-494.166418644995 125.873605048684 -227.148426701485</t>
  </si>
  <si>
    <t>-646.642900995164 111.275495634093 -96.1633381135491</t>
  </si>
  <si>
    <t>-651.053234788217 136.373955633974 318.629667830589</t>
  </si>
  <si>
    <t>-670.715964165389 186.413609776073 778.579187928881</t>
  </si>
  <si>
    <t>-519.474019001499 190.279176581385 833.303484691354</t>
  </si>
  <si>
    <t>-612.547615556149 -83.6567010846718 321.908542955109</t>
  </si>
  <si>
    <t>-654.557985194079 -109.887910852392 782.275431514743</t>
  </si>
  <si>
    <t>-501.316767983815 -117.836901592143 830.625877733005</t>
  </si>
  <si>
    <t>9763-20170724T115626.327528900.bin</t>
  </si>
  <si>
    <t>-628.283244596595 20.8532572508761 -93.0444801308676</t>
  </si>
  <si>
    <t>-646.348605160286 15.6017631583597 -202.147946700383</t>
  </si>
  <si>
    <t>-657.551214385674 12.9231911244635 -294.306261115516</t>
  </si>
  <si>
    <t>-666.993326829679 11.0171862025529 -377.644909556941</t>
  </si>
  <si>
    <t>-675.199735885473 9.73235724568985 -461.126450173582</t>
  </si>
  <si>
    <t>-685.840186631645 8.53416430590141 -583.315861743891</t>
  </si>
  <si>
    <t>-673.393638751464 13.2520450126806 -660.536580966384</t>
  </si>
  <si>
    <t>-687.075165397108 39.8596580257999 -529.488066148843</t>
  </si>
  <si>
    <t>-684.134401865233 193.28047437534 -501.34705968865</t>
  </si>
  <si>
    <t>-706.342384451154 226.549134658029 -222.100548580054</t>
  </si>
  <si>
    <t>-497.317280128614 125.319099378923 -225.18572028394</t>
  </si>
  <si>
    <t>-646.932313885105 111.138077868975 -96.0887800599451</t>
  </si>
  <si>
    <t>-651.097915723186 136.273981005342 318.70447367592</t>
  </si>
  <si>
    <t>-670.689931380385 186.420348228142 778.642388704318</t>
  </si>
  <si>
    <t>-519.445431297881 190.424395046314 833.349716480121</t>
  </si>
  <si>
    <t>-612.500920869033 -83.6097472995132 321.915539574319</t>
  </si>
  <si>
    <t>-654.555908442552 -109.879715613029 782.276044697435</t>
  </si>
  <si>
    <t>-501.302695742126 -117.438537152891 830.651089777473</t>
  </si>
  <si>
    <t>9763-20170724T115626.356607500.bin</t>
  </si>
  <si>
    <t>-628.427093992087 20.6524049102077 -93.0281359171603</t>
  </si>
  <si>
    <t>-646.563608991685 15.4071523973826 -202.120043867613</t>
  </si>
  <si>
    <t>-657.803055131665 12.7930251952898 -294.27571200233</t>
  </si>
  <si>
    <t>-667.269057094487 10.9687154681446 -377.613687327259</t>
  </si>
  <si>
    <t>-675.490001016742 9.78954479380627 -461.095100150475</t>
  </si>
  <si>
    <t>-686.141516947445 8.77210806801918 -583.285238842333</t>
  </si>
  <si>
    <t>-673.742833927898 13.6305954977809 -660.505030082691</t>
  </si>
  <si>
    <t>-687.391654635753 40.0140920220699 -529.409423508291</t>
  </si>
  <si>
    <t>-684.513872166543 193.397571828402 -501.034138113664</t>
  </si>
  <si>
    <t>-707.640700989164 226.228007054677 -221.810433483263</t>
  </si>
  <si>
    <t>-498.548599423159 125.124494655869 -224.474622694685</t>
  </si>
  <si>
    <t>-647.107948035162 110.954426856533 -96.0451707284491</t>
  </si>
  <si>
    <t>-651.112436323124 136.160871949133 318.745313009531</t>
  </si>
  <si>
    <t>-670.672161013475 186.418241392139 778.677702275296</t>
  </si>
  <si>
    <t>-519.428436411836 190.470608357307 833.383749638573</t>
  </si>
  <si>
    <t>-612.491295488641 -83.6832060382569 321.924510670764</t>
  </si>
  <si>
    <t>-654.545551272341 -109.953419582238 782.284171487125</t>
  </si>
  <si>
    <t>-501.332115829036 -117.965122136241 830.712253179263</t>
  </si>
  <si>
    <t>9763-20170724T115626.428535000.bin</t>
  </si>
  <si>
    <t>-628.959690104162 20.1696850868505 -92.975687734793</t>
  </si>
  <si>
    <t>-647.21244998015 14.980448914125 -202.050911540944</t>
  </si>
  <si>
    <t>-658.544855011926 12.533933336111 -294.199847999181</t>
  </si>
  <si>
    <t>-668.092995525119 10.9098999848998 -377.532633699273</t>
  </si>
  <si>
    <t>-676.394643286131 9.98074146706449 -461.009265922004</t>
  </si>
  <si>
    <t>-687.162702720485 9.3840559284165 -583.191919469643</t>
  </si>
  <si>
    <t>-674.824863669674 14.5226122041145 -660.40310402282</t>
  </si>
  <si>
    <t>-688.418739149895 40.4291267565754 -529.202349703869</t>
  </si>
  <si>
    <t>-685.906332283378 193.715601780618 -500.300112204974</t>
  </si>
  <si>
    <t>-709.261897344271 225.57459915539 -220.98275417584</t>
  </si>
  <si>
    <t>-499.84323820308 125.164513290896 -224.171582056535</t>
  </si>
  <si>
    <t>-647.674638102091 110.440090209295 -95.9277139044212</t>
  </si>
  <si>
    <t>-651.359097378269 135.816984838126 318.8554290438</t>
  </si>
  <si>
    <t>-670.669048086603 186.361873389696 778.756798967405</t>
  </si>
  <si>
    <t>-519.414336892118 190.379213991732 833.434977201044</t>
  </si>
  <si>
    <t>-612.676045460453 -83.9207521710482 321.926502100138</t>
  </si>
  <si>
    <t>-654.518316484971 -110.011882410216 782.302531309872</t>
  </si>
  <si>
    <t>-501.320341693093 -117.813021782929 830.813811541047</t>
  </si>
  <si>
    <t>9763-20170724T115626.456109400.bin</t>
  </si>
  <si>
    <t>-629.333629661205 19.9346299608401 -92.9472308346236</t>
  </si>
  <si>
    <t>-647.642295966462 14.7789709965205 -202.014600861581</t>
  </si>
  <si>
    <t>-659.047400788682 12.4239166945404 -294.156998541354</t>
  </si>
  <si>
    <t>-668.671583984022 10.9078780853783 -377.482921366636</t>
  </si>
  <si>
    <t>-677.059726882839 10.1127319543323 -460.952349722148</t>
  </si>
  <si>
    <t>-687.965894802267 9.74043554827404 -583.123681497123</t>
  </si>
  <si>
    <t>-675.643685486799 15.0087374304901 -660.328812422719</t>
  </si>
  <si>
    <t>-689.183647495562 40.6818167246447 -529.073782485955</t>
  </si>
  <si>
    <t>-686.837936980415 193.913398717988 -499.868213014337</t>
  </si>
  <si>
    <t>-709.812293062487 225.25224539789 -220.460574563646</t>
  </si>
  <si>
    <t>-500.234649335603 125.187122228971 -224.026134920689</t>
  </si>
  <si>
    <t>-648.085959872761 110.182075224035 -95.8695940626321</t>
  </si>
  <si>
    <t>-651.618170711355 135.608605893879 318.911843378513</t>
  </si>
  <si>
    <t>-670.673327884047 186.321601990652 778.803894652518</t>
  </si>
  <si>
    <t>-519.407853129057 190.410318048585 833.446992162619</t>
  </si>
  <si>
    <t>-612.820822343333 -84.0336430527357 321.919349686546</t>
  </si>
  <si>
    <t>-654.500236378117 -110.032591644813 782.314508675285</t>
  </si>
  <si>
    <t>-501.320926314671 -117.882613045262 830.876747424142</t>
  </si>
  <si>
    <t>9763-20170724T115626.528346900.bin</t>
  </si>
  <si>
    <t>-630.189485302362 19.4834088968878 -92.9007505740149</t>
  </si>
  <si>
    <t>-648.658498519648 14.3746479751333 -201.943319404259</t>
  </si>
  <si>
    <t>-660.225135058595 12.196803043885 -294.06985927925</t>
  </si>
  <si>
    <t>-670.005733414855 10.8957665456624 -377.381270051338</t>
  </si>
  <si>
    <t>-678.560918957222 10.3711088219418 -460.83582555319</t>
  </si>
  <si>
    <t>-689.722968845845 10.4552109078481 -582.984677277744</t>
  </si>
  <si>
    <t>-677.395118588094 15.9912255598429 -660.170149640604</t>
  </si>
  <si>
    <t>-690.845924534753 41.1907933774203 -528.815406252455</t>
  </si>
  <si>
    <t>-688.641689181147 194.309570120646 -498.999664168544</t>
  </si>
  <si>
    <t>-710.838940163369 224.612449597703 -219.414894053593</t>
  </si>
  <si>
    <t>-501.099861837527 124.917833577195 -223.777954917354</t>
  </si>
  <si>
    <t>-649.012943340487 109.652165501437 -95.7524241771218</t>
  </si>
  <si>
    <t>-652.21010630023 135.229843053431 319.022474166303</t>
  </si>
  <si>
    <t>-670.702540252166 186.219135473206 778.901702511782</t>
  </si>
  <si>
    <t>-519.402412472979 190.14952345048 833.460350585131</t>
  </si>
  <si>
    <t>-613.136419852948 -84.1827579841495 321.896630235163</t>
  </si>
  <si>
    <t>-654.495135279064 -110.048912831191 782.324236087827</t>
  </si>
  <si>
    <t>-501.311926811544 -117.499483278582 830.937211901917</t>
  </si>
  <si>
    <t>9763-20170724T115626.559937800.bin</t>
  </si>
  <si>
    <t>-630.581704663059 19.2689760730468 -92.8848041180379</t>
  </si>
  <si>
    <t>-649.147191870573 14.1879305095056 -201.912277113415</t>
  </si>
  <si>
    <t>-660.793784648736 12.089096675184 -294.030743266043</t>
  </si>
  <si>
    <t>-670.646034397385 10.8820357288532 -377.334980185358</t>
  </si>
  <si>
    <t>-679.272552253046 10.4737797956245 -460.782920457792</t>
  </si>
  <si>
    <t>-690.538359844169 10.7532422327856 -582.921797322679</t>
  </si>
  <si>
    <t>-678.194029021083 16.418395316342 -660.095236741724</t>
  </si>
  <si>
    <t>-691.620156338044 41.4012615266402 -528.702099159737</t>
  </si>
  <si>
    <t>-689.442572882944 194.467964895155 -498.628429400898</t>
  </si>
  <si>
    <t>-711.430024491133 224.268487989565 -218.973237467562</t>
  </si>
  <si>
    <t>-501.666741183851 124.631744345095 -223.49201644129</t>
  </si>
  <si>
    <t>-649.414126321762 109.445415375329 -95.7014082501724</t>
  </si>
  <si>
    <t>-652.437307690546 135.041546222647 319.073558042343</t>
  </si>
  <si>
    <t>-670.71123639226 186.184430540729 778.95055770664</t>
  </si>
  <si>
    <t>-519.398986953054 190.088617589318 833.477427559689</t>
  </si>
  <si>
    <t>-613.266770294489 -84.2313244786735 321.887831059878</t>
  </si>
  <si>
    <t>-654.482744143809 -110.078365931952 782.329447553972</t>
  </si>
  <si>
    <t>-501.324051229028 -117.717293287088 830.990366707734</t>
  </si>
  <si>
    <t>9763-20170724T115626.629625900.bin</t>
  </si>
  <si>
    <t>-631.343237079358 18.9807067796223 -92.8560442457707</t>
  </si>
  <si>
    <t>-650.107918045998 13.9539252552956 -201.851979216837</t>
  </si>
  <si>
    <t>-661.932394012805 12.0101246331553 -293.951031211629</t>
  </si>
  <si>
    <t>-671.949739649549 10.988118205725 -377.238133309802</t>
  </si>
  <si>
    <t>-680.745856248353 10.810171384052 -460.669153097636</t>
  </si>
  <si>
    <t>-692.26476824292 11.4760236596151 -582.783082633395</t>
  </si>
  <si>
    <t>-679.906611896269 17.3892008931705 -659.935569206195</t>
  </si>
  <si>
    <t>-693.234825968917 41.9522697547015 -528.464373160847</t>
  </si>
  <si>
    <t>-691.033623079771 194.91595524627 -497.878174404497</t>
  </si>
  <si>
    <t>-712.680180441731 223.855644640066 -218.105993348396</t>
  </si>
  <si>
    <t>-502.869212786715 124.322539360304 -222.693235862013</t>
  </si>
  <si>
    <t>-650.131407066955 109.20825935356 -95.6069598890339</t>
  </si>
  <si>
    <t>-652.714198245699 134.84422137484 319.168567802814</t>
  </si>
  <si>
    <t>-670.712827754568 186.121368660796 779.046285738976</t>
  </si>
  <si>
    <t>-519.380510929006 190.020768873795 833.517795904224</t>
  </si>
  <si>
    <t>-613.568569206181 -84.2467218082202 321.876210120559</t>
  </si>
  <si>
    <t>-654.482416731761 -110.129925830891 782.339972935977</t>
  </si>
  <si>
    <t>-501.347960487206 -117.877829538066 831.059854305635</t>
  </si>
  <si>
    <t>9763-20170724T115626.690299000.bin</t>
  </si>
  <si>
    <t>-632.170303589486 18.9633110201146 -92.8299576245641</t>
  </si>
  <si>
    <t>-651.173738021062 13.9832464728333 -201.786740049385</t>
  </si>
  <si>
    <t>-663.211141524817 12.1764790205721 -293.861048494485</t>
  </si>
  <si>
    <t>-673.426053076634 11.3188480286349 -377.125955293846</t>
  </si>
  <si>
    <t>-682.425255219597 11.3458488328206 -460.535455188832</t>
  </si>
  <si>
    <t>-694.24727374478 12.3563995359357 -582.618006983202</t>
  </si>
  <si>
    <t>-681.911725248424 18.472779690896 -659.758291937834</t>
  </si>
  <si>
    <t>-695.082046668573 42.6791335206747 -528.211451425139</t>
  </si>
  <si>
    <t>-692.825280597829 195.538951219468 -497.137155718001</t>
  </si>
  <si>
    <t>-714.00656325295 223.773962700146 -217.257365619332</t>
  </si>
  <si>
    <t>-504.021967130866 124.591819378463 -221.487689992838</t>
  </si>
  <si>
    <t>-650.856952498592 109.277038540919 -95.5297712380152</t>
  </si>
  <si>
    <t>-652.853995949182 134.924529399926 319.248283043342</t>
  </si>
  <si>
    <t>-670.708824268611 186.064188048783 779.153556816437</t>
  </si>
  <si>
    <t>-519.355661055865 189.904000364768 833.571409249952</t>
  </si>
  <si>
    <t>-613.955103973764 -83.9468628262612 321.854722351523</t>
  </si>
  <si>
    <t>-654.465434907276 -110.178687916602 782.348878257809</t>
  </si>
  <si>
    <t>-501.373532917086 -118.19269922361 831.159413678568</t>
  </si>
  <si>
    <t>9763-20170724T115626.723386500.bin</t>
  </si>
  <si>
    <t>-632.651198028684 19.0438210733769 -92.8225724600011</t>
  </si>
  <si>
    <t>-651.800152121752 14.0788992844675 -201.754602025361</t>
  </si>
  <si>
    <t>-663.935722174577 12.3310523132716 -293.817021993017</t>
  </si>
  <si>
    <t>-674.229712400666 11.5455818331261 -377.072985409464</t>
  </si>
  <si>
    <t>-683.29841945331 11.6640312262186 -460.474836041726</t>
  </si>
  <si>
    <t>-695.211632921736 12.8294397643624 -582.547229738101</t>
  </si>
  <si>
    <t>-682.863993468228 19.0402543826583 -659.678024418344</t>
  </si>
  <si>
    <t>-696.004956205482 43.0832284384792 -528.101707998701</t>
  </si>
  <si>
    <t>-693.690386689416 195.914290132405 -496.854621938188</t>
  </si>
  <si>
    <t>-714.712769536824 223.733077733309 -216.921106423814</t>
  </si>
  <si>
    <t>-504.577310572487 124.863173190585 -220.966269097358</t>
  </si>
  <si>
    <t>-651.319539524393 109.423728495754 -95.4962953483068</t>
  </si>
  <si>
    <t>-652.933755674007 135.041289777494 319.285301649175</t>
  </si>
  <si>
    <t>-670.715316550974 186.036893068523 779.210828972055</t>
  </si>
  <si>
    <t>-519.349192504889 189.879898359696 833.592385858258</t>
  </si>
  <si>
    <t>-614.21958896445 -83.6410491836866 321.842569874865</t>
  </si>
  <si>
    <t>-654.454070733509 -110.187405159826 782.355757570802</t>
  </si>
  <si>
    <t>-501.387849179523 -118.401037322421 831.213677654037</t>
  </si>
  <si>
    <t>9763-20170724T115626.791077300.bin</t>
  </si>
  <si>
    <t>-633.528535580232 19.362130595712 -92.8047572676921</t>
  </si>
  <si>
    <t>-652.933144476804 14.4018727594939 -201.691740764535</t>
  </si>
  <si>
    <t>-665.235451946875 12.677362105115 -293.732409748212</t>
  </si>
  <si>
    <t>-675.660573990433 11.9213349835888 -376.972291755476</t>
  </si>
  <si>
    <t>-684.840934804398 12.0774791682088 -460.361997554745</t>
  </si>
  <si>
    <t>-696.895985152541 13.3070203966829 -582.419760072897</t>
  </si>
  <si>
    <t>-684.50617771153 19.6134983825241 -659.536158568188</t>
  </si>
  <si>
    <t>-697.618458560814 43.5338434962405 -527.958095084185</t>
  </si>
  <si>
    <t>-695.376692853982 196.342137724471 -496.599045861537</t>
  </si>
  <si>
    <t>-715.843804534036 223.711493706734 -216.580248331694</t>
  </si>
  <si>
    <t>-505.608897306786 125.03802045683 -220.236836890777</t>
  </si>
  <si>
    <t>-652.23788747591 109.828054094722 -95.4438366382018</t>
  </si>
  <si>
    <t>-653.1591911455 135.371675615458 319.344432428867</t>
  </si>
  <si>
    <t>-670.728980175321 186.01413584023 779.315845769647</t>
  </si>
  <si>
    <t>-519.330701325566 189.827041568267 833.609881536011</t>
  </si>
  <si>
    <t>-614.85882415959 -82.8733343421854 321.841155296572</t>
  </si>
  <si>
    <t>-654.443387257214 -110.160912061348 782.362350922178</t>
  </si>
  <si>
    <t>-501.393984307866 -118.217604622191 831.298919369128</t>
  </si>
  <si>
    <t>9763-20170724T115626.824165800.bin</t>
  </si>
  <si>
    <t>-633.982733915647 19.6910392481539 -92.7956329358719</t>
  </si>
  <si>
    <t>-653.533186922229 14.7320603316641 -201.656475249491</t>
  </si>
  <si>
    <t>-665.940059106613 12.9949576664687 -293.683042048029</t>
  </si>
  <si>
    <t>-676.452091370081 12.2220456972152 -376.911777587492</t>
  </si>
  <si>
    <t>-685.711897715619 12.3554522635279 -460.292776316649</t>
  </si>
  <si>
    <t>-697.874760028664 13.5455957608044 -582.340189498811</t>
  </si>
  <si>
    <t>-685.472705054799 19.8528633501476 -659.454469424871</t>
  </si>
  <si>
    <t>-698.545748789111 43.7906418671535 -527.888099244575</t>
  </si>
  <si>
    <t>-696.297461149423 196.603991339332 -496.559091345695</t>
  </si>
  <si>
    <t>-716.448293749614 224.016434588397 -216.521363231372</t>
  </si>
  <si>
    <t>-506.213838341848 125.324597819805 -219.672757341225</t>
  </si>
  <si>
    <t>-652.734887445077 110.168056547223 -95.4129000100941</t>
  </si>
  <si>
    <t>-653.388808204375 135.585698022324 319.383518863091</t>
  </si>
  <si>
    <t>-670.747533531373 185.991117058024 779.382781836296</t>
  </si>
  <si>
    <t>-519.329984383317 189.663732365764 833.632727847426</t>
  </si>
  <si>
    <t>-615.094335731546 -82.443428958373 321.838523172457</t>
  </si>
  <si>
    <t>-654.433195083754 -110.135891491411 782.366370493643</t>
  </si>
  <si>
    <t>-501.387680489343 -118.032072167574 831.341285951134</t>
  </si>
  <si>
    <t>9763-20170724T115626.858257900.bin</t>
  </si>
  <si>
    <t>-634.46466546431 20.0425454102619 -92.7821203042466</t>
  </si>
  <si>
    <t>-654.126197273875 15.0916825822876 -201.623273649072</t>
  </si>
  <si>
    <t>-666.624622392441 13.3314818637978 -293.63703608107</t>
  </si>
  <si>
    <t>-677.218403940859 12.5256228245607 -376.855268642434</t>
  </si>
  <si>
    <t>-686.5588965213 12.6138796361276 -460.227091999712</t>
  </si>
  <si>
    <t>-698.838628180938 13.724143979425 -582.263706385837</t>
  </si>
  <si>
    <t>-686.426477259364 19.9937471588357 -659.37937451656</t>
  </si>
  <si>
    <t>-699.446841724164 44.0067614761097 -527.831832215972</t>
  </si>
  <si>
    <t>-697.215606339988 196.850604090844 -496.635050706696</t>
  </si>
  <si>
    <t>-717.221974505923 224.378929719834 -216.59835733719</t>
  </si>
  <si>
    <t>-506.995912670074 125.657171175786 -219.344185881092</t>
  </si>
  <si>
    <t>-653.247182613954 110.522820584551 -95.3838663723529</t>
  </si>
  <si>
    <t>-653.668060590644 135.804257633946 319.421235477067</t>
  </si>
  <si>
    <t>-670.767657709205 185.98469368012 779.45588144397</t>
  </si>
  <si>
    <t>-519.325809946851 189.694684484668 833.635413535256</t>
  </si>
  <si>
    <t>-615.270079680893 -81.9772066231492 321.856680278063</t>
  </si>
  <si>
    <t>-654.430435970686 -110.133274187666 782.366172007628</t>
  </si>
  <si>
    <t>-501.41773049126 -118.401652167864 831.382155523865</t>
  </si>
  <si>
    <t>9763-20170724T115626.927964300.bin</t>
  </si>
  <si>
    <t>-635.325966891186 20.6293500554948 -92.7438070700059</t>
  </si>
  <si>
    <t>-655.224522809265 15.6669060944794 -201.541390582179</t>
  </si>
  <si>
    <t>-667.885242333687 13.8243848900358 -293.531222326784</t>
  </si>
  <si>
    <t>-678.61012739273 12.914312651922 -376.731577790664</t>
  </si>
  <si>
    <t>-688.066156041601 12.8681187371756 -460.090583640567</t>
  </si>
  <si>
    <t>-700.497272728183 13.7484593895006 -582.113607328926</t>
  </si>
  <si>
    <t>-688.100062422855 19.8602178380122 -659.244449044955</t>
  </si>
  <si>
    <t>-701.02011001442 44.1373204013757 -527.739970135018</t>
  </si>
  <si>
    <t>-698.904025700426 197.069829344068 -496.992544522581</t>
  </si>
  <si>
    <t>-718.894098790485 224.817647970888 -216.976440590594</t>
  </si>
  <si>
    <t>-508.556689949604 126.307847525366 -218.565359439654</t>
  </si>
  <si>
    <t>-654.298237012842 111.187067541019 -95.3070912368584</t>
  </si>
  <si>
    <t>-654.124805681157 136.174839521298 319.515996814358</t>
  </si>
  <si>
    <t>-670.804213451057 185.962465324391 779.612657690163</t>
  </si>
  <si>
    <t>-519.313243738813 189.49620285101 833.666522125667</t>
  </si>
  <si>
    <t>-615.570277461196 -80.8916096472724 321.883859155748</t>
  </si>
  <si>
    <t>-654.456402676167 -110.061738655953 782.357330142659</t>
  </si>
  <si>
    <t>-501.450502755055 -118.339650303916 831.392993368901</t>
  </si>
  <si>
    <t>9763-20170724T115626.960073300.bin</t>
  </si>
  <si>
    <t>-635.821623494325 20.9701232883779 -92.7122642025105</t>
  </si>
  <si>
    <t>-655.826888853546 15.99389199402 -201.489715620807</t>
  </si>
  <si>
    <t>-668.55509712435 14.0906596133059 -293.468987083959</t>
  </si>
  <si>
    <t>-679.331748215961 13.1058363978566 -376.661799081111</t>
  </si>
  <si>
    <t>-688.830228503658 12.9644825745238 -460.01577669076</t>
  </si>
  <si>
    <t>-701.31296377759 13.6834449298356 -582.034645452734</t>
  </si>
  <si>
    <t>-688.927392782904 19.675998226865 -659.176709959694</t>
  </si>
  <si>
    <t>-701.794302433088 44.1477472622746 -527.702909259031</t>
  </si>
  <si>
    <t>-699.681073113212 197.127784424303 -497.191620704459</t>
  </si>
  <si>
    <t>-719.697001754596 225.141646983997 -217.203833730113</t>
  </si>
  <si>
    <t>-509.256944995091 126.842584489925 -218.100652802273</t>
  </si>
  <si>
    <t>-654.870877211367 111.608932331747 -95.2703172926763</t>
  </si>
  <si>
    <t>-654.394590188985 136.417171580848 319.563309838992</t>
  </si>
  <si>
    <t>-670.819104928479 185.957302035707 779.696830177319</t>
  </si>
  <si>
    <t>-519.304673715793 189.280075264421 833.698258401728</t>
  </si>
  <si>
    <t>-615.922894261277 -80.3231098818237 321.903317286769</t>
  </si>
  <si>
    <t>-654.499639346359 -110.013158734574 782.354799011438</t>
  </si>
  <si>
    <t>-501.489299087509 -118.363580995342 831.364342102166</t>
  </si>
  <si>
    <t>9763-20170724T115627.023800000.bin</t>
  </si>
  <si>
    <t>-637.133399651926 21.6794619843799 -92.7087911528544</t>
  </si>
  <si>
    <t>-657.315606707465 16.7114817861932 -201.453870087002</t>
  </si>
  <si>
    <t>-670.178730525641 14.7085744705898 -293.412309691878</t>
  </si>
  <si>
    <t>-681.071508855149 13.5910149927865 -376.58829340033</t>
  </si>
  <si>
    <t>-690.680132671888 13.273768269007 -459.929241142223</t>
  </si>
  <si>
    <t>-703.317245085725 13.6876991099468 -581.93355855626</t>
  </si>
  <si>
    <t>-690.95175287976 19.4230565068158 -659.098454944259</t>
  </si>
  <si>
    <t>-703.68715184151 44.2961507450887 -527.681932861159</t>
  </si>
  <si>
    <t>-701.218811542158 197.33812886019 -497.507367501222</t>
  </si>
  <si>
    <t>-721.105610409061 226.313644845203 -217.608170576802</t>
  </si>
  <si>
    <t>-510.626080089672 128.098532033363 -216.778699682816</t>
  </si>
  <si>
    <t>-656.186588995862 112.379443629457 -95.2218934213407</t>
  </si>
  <si>
    <t>-655.182112910759 136.935928630885 319.625753391921</t>
  </si>
  <si>
    <t>-670.851881535481 185.935337188096 779.849298506314</t>
  </si>
  <si>
    <t>-519.28696534624 189.208471507476 833.711978019646</t>
  </si>
  <si>
    <t>-616.822437879603 -79.1273121310676 321.878127839218</t>
  </si>
  <si>
    <t>-654.641590763011 -109.861672726001 782.324324482074</t>
  </si>
  <si>
    <t>-501.583525851607 -118.2419791532 831.179473776143</t>
  </si>
  <si>
    <t>9763-20170724T115627.091532500.bin</t>
  </si>
  <si>
    <t>-638.741663814411 22.0224190176784 -92.7018974440047</t>
  </si>
  <si>
    <t>-659.072164539244 17.0494936301022 -201.419192573701</t>
  </si>
  <si>
    <t>-672.045170023673 14.922879889029 -293.359409846473</t>
  </si>
  <si>
    <t>-683.030473388356 13.6450363897125 -376.520916744976</t>
  </si>
  <si>
    <t>-692.724521210696 13.116901553301 -459.850798968748</t>
  </si>
  <si>
    <t>-705.478170075171 13.1665173302406 -581.843738931394</t>
  </si>
  <si>
    <t>-693.116477159262 18.5807547875838 -659.032430418222</t>
  </si>
  <si>
    <t>-705.712596874995 43.952969953737 -527.692217601704</t>
  </si>
  <si>
    <t>-702.881551583016 197.090092343182 -498.029192964333</t>
  </si>
  <si>
    <t>-722.483074687149 227.232182463559 -218.233321124553</t>
  </si>
  <si>
    <t>-512.200698638878 128.622117665373 -215.802141166889</t>
  </si>
  <si>
    <t>-657.873142036314 112.820015669732 -95.1777483927121</t>
  </si>
  <si>
    <t>-656.211273761242 137.273216788295 319.673885127766</t>
  </si>
  <si>
    <t>-670.885829565732 185.897462883794 780.003059057097</t>
  </si>
  <si>
    <t>-519.265602169382 188.991708508926 833.72043108814</t>
  </si>
  <si>
    <t>-617.768610040823 -78.1109141445465 321.831578672757</t>
  </si>
  <si>
    <t>-654.822559289507 -109.789282659157 782.255251348696</t>
  </si>
  <si>
    <t>-501.717195204747 -118.534245170812 830.897777319828</t>
  </si>
  <si>
    <t>9763-20170724T115627.124624600.bin</t>
  </si>
  <si>
    <t>-639.385949302344 22.0505146105943 -92.7354795436839</t>
  </si>
  <si>
    <t>-659.811344265526 17.0831474991812 -201.43523823718</t>
  </si>
  <si>
    <t>-672.873564744159 14.9076909617793 -293.3617378074</t>
  </si>
  <si>
    <t>-683.942706937447 13.5637039417093 -376.511003047286</t>
  </si>
  <si>
    <t>-693.723572418073 12.9464380111774 -459.830177608252</t>
  </si>
  <si>
    <t>-706.607143005708 12.8396466317984 -581.809383569386</t>
  </si>
  <si>
    <t>-694.303487242628 18.0732512618176 -659.019861296349</t>
  </si>
  <si>
    <t>-706.727059554612 43.7062405692639 -527.703162270967</t>
  </si>
  <si>
    <t>-703.574185716599 196.893402158222 -498.338630780653</t>
  </si>
  <si>
    <t>-723.074927300876 227.458521169705 -218.581410340276</t>
  </si>
  <si>
    <t>-512.923553929302 128.594491506511 -215.291515739094</t>
  </si>
  <si>
    <t>-658.591423032948 112.909911040167 -95.1788530169904</t>
  </si>
  <si>
    <t>-656.643415916762 137.353160150107 319.672127550238</t>
  </si>
  <si>
    <t>-670.894107695409 185.871484153369 780.042721577263</t>
  </si>
  <si>
    <t>-519.253255058525 188.892312177782 833.706017585306</t>
  </si>
  <si>
    <t>-618.18697636114 -77.7417294803108 321.775788784389</t>
  </si>
  <si>
    <t>-654.915991655026 -109.79784060854 782.197733718185</t>
  </si>
  <si>
    <t>-501.778007987111 -118.557488886807 830.734834047745</t>
  </si>
  <si>
    <t>9763-20170724T115627.188847800.bin</t>
  </si>
  <si>
    <t>-640.510296106827 22.0032936494347 -92.8340814716365</t>
  </si>
  <si>
    <t>-661.115288517278 17.0680103560212 -201.501467967127</t>
  </si>
  <si>
    <t>-674.411283736418 14.7818382003729 -293.391560194078</t>
  </si>
  <si>
    <t>-685.724605701377 13.2820315311421 -376.505519228601</t>
  </si>
  <si>
    <t>-695.782296303236 12.4514545147656 -459.789775729866</t>
  </si>
  <si>
    <t>-709.106207875604 11.9686709124344 -581.720713141806</t>
  </si>
  <si>
    <t>-697.020446021809 16.7606037503419 -658.994289766257</t>
  </si>
  <si>
    <t>-708.921653465744 43.0224918127399 -527.721948211112</t>
  </si>
  <si>
    <t>-705.371580929524 196.337745201362 -499.075620501866</t>
  </si>
  <si>
    <t>-724.533308665374 227.386561384023 -219.348285399064</t>
  </si>
  <si>
    <t>-514.769469498061 127.771982988614 -214.3889327697</t>
  </si>
  <si>
    <t>-659.789981768066 112.992007106921 -95.2094139893054</t>
  </si>
  <si>
    <t>-657.266166384753 137.393828540274 319.640846015768</t>
  </si>
  <si>
    <t>-670.881654603597 185.815872156684 780.076258779972</t>
  </si>
  <si>
    <t>-519.207681508339 188.802852396653 833.647645179419</t>
  </si>
  <si>
    <t>-618.792208156679 -77.2363323281784 321.638165104883</t>
  </si>
  <si>
    <t>-655.133635136969 -109.910902267876 782.065261394017</t>
  </si>
  <si>
    <t>-501.934047359724 -118.888659971726 830.367524757834</t>
  </si>
  <si>
    <t>9763-20170724T115627.227952700.bin</t>
  </si>
  <si>
    <t>-640.97729843182 21.9356916668855 -92.8813576787154</t>
  </si>
  <si>
    <t>-661.661584499565 17.0124712359611 -201.534049822538</t>
  </si>
  <si>
    <t>-675.066321835102 14.6649994086372 -293.406994297929</t>
  </si>
  <si>
    <t>-686.494670273091 13.0815616069422 -376.503529554332</t>
  </si>
  <si>
    <t>-696.684126798745 12.1377726052324 -459.770643580805</t>
  </si>
  <si>
    <t>-710.218783107862 11.456950327258 -581.677530916264</t>
  </si>
  <si>
    <t>-698.244812565463 16.0119520713581 -658.982592315372</t>
  </si>
  <si>
    <t>-709.87132614444 42.6111918734359 -527.737370512473</t>
  </si>
  <si>
    <t>-706.086991434881 195.987252802019 -499.456748847267</t>
  </si>
  <si>
    <t>-725.224133467188 227.252666806113 -219.751932735641</t>
  </si>
  <si>
    <t>-515.638483734029 127.317659061001 -213.802792603651</t>
  </si>
  <si>
    <t>-660.266585446404 112.993566122572 -95.2315297623069</t>
  </si>
  <si>
    <t>-657.427498655742 137.411523940534 319.615750453887</t>
  </si>
  <si>
    <t>-670.853289237771 185.797439806198 780.083506647016</t>
  </si>
  <si>
    <t>-519.1717944946 188.738506021945 833.63609519009</t>
  </si>
  <si>
    <t>-619.060004300746 -77.1117410126597 321.582840622215</t>
  </si>
  <si>
    <t>-655.287406451414 -109.981852503595 782.001302979895</t>
  </si>
  <si>
    <t>-502.030803075392 -118.995562546049 830.115705488189</t>
  </si>
  <si>
    <t>9763-20170724T115627.259537600.bin</t>
  </si>
  <si>
    <t>-641.389087872896 21.8594878575207 -92.9089103778031</t>
  </si>
  <si>
    <t>-662.136880603484 16.9405165983867 -201.549773770996</t>
  </si>
  <si>
    <t>-675.642269486022 14.5308600635055 -293.406320318326</t>
  </si>
  <si>
    <t>-687.180544145937 12.8651993325991 -376.485888751683</t>
  </si>
  <si>
    <t>-697.498734026606 11.8120083830552 -459.736059280248</t>
  </si>
  <si>
    <t>-711.242222478618 10.9408854984133 -581.618174824052</t>
  </si>
  <si>
    <t>-699.381822734257 15.2888403248992 -658.952700371292</t>
  </si>
  <si>
    <t>-710.729744686777 42.1924056160008 -527.735760991856</t>
  </si>
  <si>
    <t>-706.64224520826 195.631814815837 -499.84433018229</t>
  </si>
  <si>
    <t>-725.88068634568 227.148363318171 -220.174727545305</t>
  </si>
  <si>
    <t>-516.434991536137 126.990609098587 -213.141653465319</t>
  </si>
  <si>
    <t>-660.629043656523 112.933272521769 -95.2435394426429</t>
  </si>
  <si>
    <t>-657.565120627254 137.414473201173 319.59849469999</t>
  </si>
  <si>
    <t>-670.83790062988 185.767197053253 780.084111948311</t>
  </si>
  <si>
    <t>-519.152332166443 188.726244350574 833.62437834191</t>
  </si>
  <si>
    <t>-619.320599957606 -77.0084325215596 321.54421746324</t>
  </si>
  <si>
    <t>-655.429997333187 -109.978043853302 781.940901924241</t>
  </si>
  <si>
    <t>-502.103877819469 -118.805342125894 829.867958526338</t>
  </si>
  <si>
    <t>9763-20170724T115627.324725300.bin</t>
  </si>
  <si>
    <t>-642.120317354098 21.6491984671741 -92.9550777291826</t>
  </si>
  <si>
    <t>-662.978300102634 16.7493066039797 -201.575695580331</t>
  </si>
  <si>
    <t>-676.665488213993 14.2476101124487 -293.402871916831</t>
  </si>
  <si>
    <t>-688.403871584381 12.4565096998663 -376.451981543238</t>
  </si>
  <si>
    <t>-698.957787725846 11.2334353523602 -459.669974636065</t>
  </si>
  <si>
    <t>-713.08499716186 10.0637779125443 -581.505858268889</t>
  </si>
  <si>
    <t>-701.453464615101 14.0409516362113 -658.89517756624</t>
  </si>
  <si>
    <t>-712.262318387399 41.4722260565241 -527.718631970535</t>
  </si>
  <si>
    <t>-707.586768607353 195.015918532212 -500.504208442847</t>
  </si>
  <si>
    <t>-727.043582107545 227.452798662339 -220.95488499924</t>
  </si>
  <si>
    <t>-517.823018016843 127.031621871388 -211.421371346288</t>
  </si>
  <si>
    <t>-661.218626381106 112.745697372277 -95.2583120773662</t>
  </si>
  <si>
    <t>-657.856054647998 137.331792652808 319.575185443365</t>
  </si>
  <si>
    <t>-670.789979722225 185.726340055498 780.073805479893</t>
  </si>
  <si>
    <t>-519.09308077168 188.626285000028 833.585224483723</t>
  </si>
  <si>
    <t>-619.846462176604 -77.1415744636586 321.463760322222</t>
  </si>
  <si>
    <t>-655.572211149885 -109.960398403406 781.882448439258</t>
  </si>
  <si>
    <t>-502.173339956919 -118.34536074067 829.65595018741</t>
  </si>
  <si>
    <t>9763-20170724T115627.389001000.bin</t>
  </si>
  <si>
    <t>-642.711052342149 21.3255000143033 -92.964776494714</t>
  </si>
  <si>
    <t>-663.640230684956 16.4469286921776 -201.572675134838</t>
  </si>
  <si>
    <t>-677.441563913839 13.8675195411754 -293.380525893239</t>
  </si>
  <si>
    <t>-689.305065669843 11.9689879700852 -376.409567557748</t>
  </si>
  <si>
    <t>-700.005818493915 10.5989538835947 -459.606501904702</t>
  </si>
  <si>
    <t>-714.3714820294 9.17038382541455 -581.411849181827</t>
  </si>
  <si>
    <t>-702.966363599991 12.8049835644658 -658.851604935276</t>
  </si>
  <si>
    <t>-713.310418708387 40.7160655047298 -527.70900059297</t>
  </si>
  <si>
    <t>-708.073656480835 194.316794872805 -500.944924207515</t>
  </si>
  <si>
    <t>-727.597442011685 227.336182935303 -221.468449296755</t>
  </si>
  <si>
    <t>-517.894961565118 128.264209375935 -208.892429070149</t>
  </si>
  <si>
    <t>-661.680944486538 112.432048837103 -95.2553325724577</t>
  </si>
  <si>
    <t>-658.047777347945 137.191917621514 319.565567110338</t>
  </si>
  <si>
    <t>-670.735665458317 185.689666061226 780.062257136736</t>
  </si>
  <si>
    <t>-519.031180477459 188.670263445741 833.54771992631</t>
  </si>
  <si>
    <t>-620.230555366747 -77.5334325718331 321.426695570909</t>
  </si>
  <si>
    <t>-655.58194543427 -110.14040680851 781.896674930196</t>
  </si>
  <si>
    <t>-502.238517947284 -118.950430543339 829.771488224702</t>
  </si>
  <si>
    <t>9763-20170724T115627.429107300.bin</t>
  </si>
  <si>
    <t>-642.946815201193 21.0850652894737 -92.9586716803246</t>
  </si>
  <si>
    <t>-663.928759514808 16.2070081946106 -201.556369690727</t>
  </si>
  <si>
    <t>-677.790505902646 13.5983920662829 -293.354432130884</t>
  </si>
  <si>
    <t>-689.714984348927 11.6619096037007 -376.3735745089</t>
  </si>
  <si>
    <t>-700.482984408705 10.241237783501 -459.561180377601</t>
  </si>
  <si>
    <t>-714.953510107327 8.72463255324078 -581.352894784067</t>
  </si>
  <si>
    <t>-703.654962685741 12.2228367574426 -658.814676082483</t>
  </si>
  <si>
    <t>-713.772725024743 40.3217181647635 -527.682853033138</t>
  </si>
  <si>
    <t>-708.158168513728 193.94749102587 -501.12050370533</t>
  </si>
  <si>
    <t>-727.660702816549 226.829425294316 -221.626265351185</t>
  </si>
  <si>
    <t>-517.359786067268 129.398879682869 -206.481766126367</t>
  </si>
  <si>
    <t>-661.856653842205 112.218598874652 -95.245387151246</t>
  </si>
  <si>
    <t>-658.127945895786 137.081071513204 319.568508591645</t>
  </si>
  <si>
    <t>-670.71350784654 185.666482079773 780.055947445371</t>
  </si>
  <si>
    <t>-519.004321902072 188.637222904895 833.528539207295</t>
  </si>
  <si>
    <t>-620.346612965319 -77.7463156121396 321.424401735919</t>
  </si>
  <si>
    <t>-655.563931206085 -110.200288410805 781.916850115122</t>
  </si>
  <si>
    <t>-502.25886726119 -119.134587583619 829.891438340504</t>
  </si>
  <si>
    <t>9763-20170724T115627.461200400.bin</t>
  </si>
  <si>
    <t>-643.112992849004 20.8660708692992 -92.9430592725329</t>
  </si>
  <si>
    <t>-664.161245609247 15.978243899667 -201.527388764765</t>
  </si>
  <si>
    <t>-678.101514111943 13.3238458160461 -293.312426222265</t>
  </si>
  <si>
    <t>-690.106055811468 11.3317145603824 -376.318737619798</t>
  </si>
  <si>
    <t>-700.963261817401 9.83950271351819 -459.49341600541</t>
  </si>
  <si>
    <t>-715.574187790722 8.20094284103584 -581.266739716982</t>
  </si>
  <si>
    <t>-704.371260542426 11.5708083876939 -658.748193547985</t>
  </si>
  <si>
    <t>-714.270623709176 39.8617642841198 -527.637121368665</t>
  </si>
  <si>
    <t>-708.237880746131 193.499372180517 -501.240322799896</t>
  </si>
  <si>
    <t>-727.614413369534 226.104753947989 -221.704882391655</t>
  </si>
  <si>
    <t>-516.565403652987 130.715302125283 -204.163404332429</t>
  </si>
  <si>
    <t>-661.98165651853 112.007606414848 -95.2362350002531</t>
  </si>
  <si>
    <t>-658.186948572893 136.971220952169 319.5709305438</t>
  </si>
  <si>
    <t>-670.692283314375 185.650972771939 780.050025181305</t>
  </si>
  <si>
    <t>-518.98179854011 188.542145838933 833.52328071727</t>
  </si>
  <si>
    <t>-620.492568934318 -77.9083395215559 321.426187381089</t>
  </si>
  <si>
    <t>-655.553654609955 -110.225753052149 781.945611428764</t>
  </si>
  <si>
    <t>-502.263421714842 -118.963926853183 830.003698106821</t>
  </si>
  <si>
    <t>9763-20170724T115627.527309100.bin</t>
  </si>
  <si>
    <t>-643.33530142615 20.5760354427346 -92.9418340548862</t>
  </si>
  <si>
    <t>-664.604134769459 15.6782615846889 -201.482841644026</t>
  </si>
  <si>
    <t>-678.690072541425 12.9486370164705 -293.243114162748</t>
  </si>
  <si>
    <t>-690.810487814172 10.8632476350706 -376.230393173496</t>
  </si>
  <si>
    <t>-701.76763499992 9.25117280091536 -459.389734022209</t>
  </si>
  <si>
    <t>-716.507291672671 7.40736792554617 -581.144752037603</t>
  </si>
  <si>
    <t>-705.420419787763 10.6072858025439 -658.649891091743</t>
  </si>
  <si>
    <t>-715.060482919903 39.1727665922283 -527.580728024155</t>
  </si>
  <si>
    <t>-708.686222481503 192.846855705419 -501.577225638014</t>
  </si>
  <si>
    <t>-726.77187938693 225.09984999834 -221.914566317391</t>
  </si>
  <si>
    <t>-513.925437347633 134.663067309278 -200.324811770638</t>
  </si>
  <si>
    <t>-662.017523702603 111.774970459624 -95.2323570842517</t>
  </si>
  <si>
    <t>-658.180685138741 136.846383264894 319.567955642092</t>
  </si>
  <si>
    <t>-670.646141870167 185.622672934416 780.037832534453</t>
  </si>
  <si>
    <t>-518.944157100222 188.315077493669 833.545635391532</t>
  </si>
  <si>
    <t>-621.033886486928 -78.1663897139808 321.449569214474</t>
  </si>
  <si>
    <t>-655.65463215394 -110.397526817965 781.993790447026</t>
  </si>
  <si>
    <t>-502.358873950913 -119.189991772619 830.024243397316</t>
  </si>
  <si>
    <t>9763-20170724T115627.592065500.bin</t>
  </si>
  <si>
    <t>-643.499983895187 20.3283717943327 -92.9543476761889</t>
  </si>
  <si>
    <t>-664.989938118714 15.4274463048039 -201.451630554907</t>
  </si>
  <si>
    <t>-679.162576853263 12.6232117433983 -293.196422371883</t>
  </si>
  <si>
    <t>-691.321982717051 10.44378815666 -376.175522669568</t>
  </si>
  <si>
    <t>-702.278597168094 8.70938831791636 -459.332506816023</t>
  </si>
  <si>
    <t>-716.974168959139 6.65550966047681 -581.08943505427</t>
  </si>
  <si>
    <t>-705.95827517698 9.73258158966701 -658.609743633003</t>
  </si>
  <si>
    <t>-715.469408603212 38.5257527861324 -527.589253359961</t>
  </si>
  <si>
    <t>-709.033936795634 192.278916344932 -501.945978310608</t>
  </si>
  <si>
    <t>-724.485338370175 224.976030399786 -222.176789834465</t>
  </si>
  <si>
    <t>-510.032893881912 139.073952922352 -198.103745809725</t>
  </si>
  <si>
    <t>-661.872641496461 111.613082809172 -95.2601641761759</t>
  </si>
  <si>
    <t>-658.082661288651 136.762355209177 319.535914285152</t>
  </si>
  <si>
    <t>-670.584406385291 185.626690225545 780.017975549506</t>
  </si>
  <si>
    <t>-518.906047755496 188.055168136406 833.605364876505</t>
  </si>
  <si>
    <t>-621.482679237866 -78.262421361374 321.46808421408</t>
  </si>
  <si>
    <t>-655.82910745688 -110.513648544174 782.029983504909</t>
  </si>
  <si>
    <t>-502.489463292783 -119.449268475036 829.893627337553</t>
  </si>
  <si>
    <t>9763-20170724T115627.658747500.bin</t>
  </si>
  <si>
    <t>-643.33656751667 20.2402056937121 -92.9606545964754</t>
  </si>
  <si>
    <t>-665.026699583323 15.3089756554393 -201.416786417546</t>
  </si>
  <si>
    <t>-679.325787591565 12.3793607113439 -293.137971058978</t>
  </si>
  <si>
    <t>-691.582853891186 10.0488200206357 -376.09860690952</t>
  </si>
  <si>
    <t>-702.620460283695 8.12222570267659 -459.240616055092</t>
  </si>
  <si>
    <t>-717.415998035336 5.74190758135728 -580.979484345203</t>
  </si>
  <si>
    <t>-706.444917562664 8.65946777696945 -658.512415814206</t>
  </si>
  <si>
    <t>-715.718674473202 37.7789800285036 -527.584794356245</t>
  </si>
  <si>
    <t>-708.523229144202 191.596162347704 -502.544622037756</t>
  </si>
  <si>
    <t>-721.031738646112 225.529442246292 -222.775754297907</t>
  </si>
  <si>
    <t>-505.837904132666 141.877493897944 -197.428069114593</t>
  </si>
  <si>
    <t>-661.460724372923 111.678496563947 -95.2965587286212</t>
  </si>
  <si>
    <t>-657.66285641421 136.685784506719 319.507964058699</t>
  </si>
  <si>
    <t>-670.465703409013 185.626471012287 780.008105883061</t>
  </si>
  <si>
    <t>-518.830908425746 187.97185412159 833.722168294833</t>
  </si>
  <si>
    <t>-621.705577122969 -78.280168571137 321.494449969084</t>
  </si>
  <si>
    <t>-656.039165808635 -110.582083032275 782.073632459505</t>
  </si>
  <si>
    <t>-502.637844704602 -119.70702056555 829.703410082401</t>
  </si>
  <si>
    <t>9763-20170724T115627.726950700.bin</t>
  </si>
  <si>
    <t>-642.91149811353 20.3967103001564 -92.9244688568252</t>
  </si>
  <si>
    <t>-664.811227597202 15.4193472930212 -201.336229356598</t>
  </si>
  <si>
    <t>-679.277447375351 12.3347247348477 -293.026163857065</t>
  </si>
  <si>
    <t>-691.682276804003 9.81951438999545 -375.959412036216</t>
  </si>
  <si>
    <t>-702.864016865942 7.65997598063041 -459.076525100846</t>
  </si>
  <si>
    <t>-717.866309628539 4.88479223714853 -580.781790499201</t>
  </si>
  <si>
    <t>-706.953972250215 7.54363625802216 -658.332133731107</t>
  </si>
  <si>
    <t>-715.862125529173 37.1274404670144 -527.521601622406</t>
  </si>
  <si>
    <t>-707.48608735889 191.000703848264 -503.190060702658</t>
  </si>
  <si>
    <t>-715.880974086445 225.800402421849 -223.373855652259</t>
  </si>
  <si>
    <t>-500.308684152386 143.253430062286 -197.622729751623</t>
  </si>
  <si>
    <t>-660.684302406432 111.81826153566 -95.2984493252635</t>
  </si>
  <si>
    <t>-656.931109428431 136.831220294313 319.506152086703</t>
  </si>
  <si>
    <t>-670.354617100049 185.597130498828 780.008025593091</t>
  </si>
  <si>
    <t>-518.769597276245 187.831588200954 833.867320355534</t>
  </si>
  <si>
    <t>-621.709113823643 -78.1711300981967 321.579026846901</t>
  </si>
  <si>
    <t>-656.250184804554 -110.57831160291 782.138522333588</t>
  </si>
  <si>
    <t>-502.750243863874 -119.561903472527 829.476568548924</t>
  </si>
  <si>
    <t>9763-20170724T115627.758562800.bin</t>
  </si>
  <si>
    <t>-642.631162994483 20.3879473090344 -92.877847203417</t>
  </si>
  <si>
    <t>-664.667228421212 15.3813939975564 -201.260672405326</t>
  </si>
  <si>
    <t>-679.235388608799 12.2081936119262 -292.931442547721</t>
  </si>
  <si>
    <t>-691.727622334073 9.58855388280267 -375.848457491796</t>
  </si>
  <si>
    <t>-702.991793353738 7.29823517019531 -458.950822716631</t>
  </si>
  <si>
    <t>-718.109409471128 4.30205140801809 -580.636522297219</t>
  </si>
  <si>
    <t>-707.22658692577 6.79786873303556 -658.19639392448</t>
  </si>
  <si>
    <t>-715.935153666962 36.6585805667839 -527.452133688041</t>
  </si>
  <si>
    <t>-707.043160799048 190.561285278295 -503.499652469287</t>
  </si>
  <si>
    <t>-712.699229596313 225.457221887748 -223.626694357594</t>
  </si>
  <si>
    <t>-497.083548459928 142.866543627631 -198.38416913566</t>
  </si>
  <si>
    <t>-660.243607928715 111.86879419969 -95.2915009323068</t>
  </si>
  <si>
    <t>-656.386209664749 136.800716634454 319.517057897467</t>
  </si>
  <si>
    <t>-670.304505449325 185.56381416164 780.013456586027</t>
  </si>
  <si>
    <t>-518.746351973894 187.627589190537 833.954968449637</t>
  </si>
  <si>
    <t>-621.62971989705 -78.1237566326249 321.652253537493</t>
  </si>
  <si>
    <t>-656.326103272528 -110.591343834207 782.192656618769</t>
  </si>
  <si>
    <t>-502.809760719473 -119.717428829465 829.45014328837</t>
  </si>
  <si>
    <t>9763-20170724T115627.827257900.bin</t>
  </si>
  <si>
    <t>-642.098378468631 20.4847262339363 -92.8726187432085</t>
  </si>
  <si>
    <t>-664.456657312699 15.3970010010173 -201.18569463836</t>
  </si>
  <si>
    <t>-679.22068332925 12.0802504110093 -292.820091779488</t>
  </si>
  <si>
    <t>-691.85985179905 9.30346283416179 -375.709564597855</t>
  </si>
  <si>
    <t>-703.240384672452 6.82294557992554 -458.790636026001</t>
  </si>
  <si>
    <t>-718.494183121958 3.51100030933117 -580.451161783194</t>
  </si>
  <si>
    <t>-707.652693166507 5.69566698386825 -658.026307324428</t>
  </si>
  <si>
    <t>-715.962149994911 36.0465606526689 -527.392020034138</t>
  </si>
  <si>
    <t>-705.588758934805 189.963623060774 -504.147032778194</t>
  </si>
  <si>
    <t>-705.252600031172 224.214372624567 -224.137451837963</t>
  </si>
  <si>
    <t>-488.886879707838 142.976911244187 -201.00986785088</t>
  </si>
  <si>
    <t>-659.327451862568 112.131437428673 -95.3715280802348</t>
  </si>
  <si>
    <t>-655.158011059505 136.938338343891 319.441519558135</t>
  </si>
  <si>
    <t>-670.17952916586 185.501752593811 779.933538898769</t>
  </si>
  <si>
    <t>-518.666194375302 187.622772093844 833.998591799726</t>
  </si>
  <si>
    <t>-621.459644045512 -77.929849099294 321.74310949841</t>
  </si>
  <si>
    <t>-656.39084969009 -110.446721384543 782.253807765659</t>
  </si>
  <si>
    <t>-502.821725713313 -119.064458853941 829.435140207737</t>
  </si>
  <si>
    <t>9763-20170724T115627.858846400.bin</t>
  </si>
  <si>
    <t>-641.859870745249 20.546179148223 -92.9122651979466</t>
  </si>
  <si>
    <t>-664.353535999387 15.4278543729072 -201.195915847025</t>
  </si>
  <si>
    <t>-679.192429550388 12.0467196722534 -292.815861955525</t>
  </si>
  <si>
    <t>-691.883730805146 9.19819059372935 -375.694919612052</t>
  </si>
  <si>
    <t>-703.3005870208 6.62882118863126 -458.768276395111</t>
  </si>
  <si>
    <t>-718.589977404072 3.16760365884079 -580.420248982151</t>
  </si>
  <si>
    <t>-707.778077852473 5.1918488671563 -658.003884247076</t>
  </si>
  <si>
    <t>-715.873697028053 35.7900182433204 -527.423669664292</t>
  </si>
  <si>
    <t>-704.603364995802 189.684438678235 -504.452367151703</t>
  </si>
  <si>
    <t>-700.727136606086 223.70814222059 -224.441815686414</t>
  </si>
  <si>
    <t>-483.77794581801 143.686575347467 -202.575728460155</t>
  </si>
  <si>
    <t>-658.851263918777 112.254798027753 -95.4447552092909</t>
  </si>
  <si>
    <t>-654.644416222977 137.041774663152 319.36906009024</t>
  </si>
  <si>
    <t>-670.141571606977 185.479700804427 779.855708043396</t>
  </si>
  <si>
    <t>-518.639227692428 187.65474947783 833.94941868003</t>
  </si>
  <si>
    <t>-621.381026801832 -77.8961494186315 321.764342508869</t>
  </si>
  <si>
    <t>-656.382439367669 -110.463224962309 782.271732317121</t>
  </si>
  <si>
    <t>-502.89402363604 -120.089204886074 829.520886836377</t>
  </si>
  <si>
    <t>9763-20170724T115627.924018900.bin</t>
  </si>
  <si>
    <t>-641.437191294922 20.459111454049 -92.9650456614888</t>
  </si>
  <si>
    <t>-664.128091346866 15.3344642700249 -201.207011735552</t>
  </si>
  <si>
    <t>-679.090191246677 11.8169842605755 -292.801852313563</t>
  </si>
  <si>
    <t>-691.876842048435 8.7976280392802 -375.660334569389</t>
  </si>
  <si>
    <t>-703.372773421407 6.00389989054702 -458.715554504948</t>
  </si>
  <si>
    <t>-718.760200139497 2.15437801372673 -580.343381427492</t>
  </si>
  <si>
    <t>-708.057441646628 3.82224342025893 -657.950668639571</t>
  </si>
  <si>
    <t>-715.688487324763 34.9836364544924 -527.494149886315</t>
  </si>
  <si>
    <t>-702.79665138878 188.796989657466 -504.811260264812</t>
  </si>
  <si>
    <t>-689.876402622759 222.410248059333 -225.022526590084</t>
  </si>
  <si>
    <t>-471.648458591945 145.187127149906 -206.004585831675</t>
  </si>
  <si>
    <t>-657.904724919639 112.325022037273 -95.5967767720693</t>
  </si>
  <si>
    <t>-653.931269449041 136.945954346578 319.229247338255</t>
  </si>
  <si>
    <t>-670.076135602011 185.415070016555 779.683632615589</t>
  </si>
  <si>
    <t>-518.578818733614 187.643972669903 833.789285235585</t>
  </si>
  <si>
    <t>-621.193523489146 -77.906086274802 321.802507200976</t>
  </si>
  <si>
    <t>-656.145201365373 -110.242927788758 782.33634463496</t>
  </si>
  <si>
    <t>-502.732818484449 -119.025927141776 829.994714610966</t>
  </si>
  <si>
    <t>9763-20170724T115627.961646300.bin</t>
  </si>
  <si>
    <t>-641.320440939443 20.277459600831 -92.986927656773</t>
  </si>
  <si>
    <t>-664.058395709402 15.1600145144812 -201.219605747317</t>
  </si>
  <si>
    <t>-679.063503278067 11.5888185337737 -292.805156604079</t>
  </si>
  <si>
    <t>-691.891228232574 8.4995028320327 -375.654631066412</t>
  </si>
  <si>
    <t>-703.430296637361 5.61184818784 -458.700796944477</t>
  </si>
  <si>
    <t>-718.883289966153 1.59800656874017 -580.314990530373</t>
  </si>
  <si>
    <t>-708.252441674171 3.1160014037232 -657.935166611497</t>
  </si>
  <si>
    <t>-715.629525613959 34.5161731098883 -527.531838089634</t>
  </si>
  <si>
    <t>-701.897014488411 188.246107185224 -504.842565297441</t>
  </si>
  <si>
    <t>-684.021432371967 221.655484962834 -225.30215691229</t>
  </si>
  <si>
    <t>-465.152472511954 145.872860554289 -207.926836706309</t>
  </si>
  <si>
    <t>-657.501113207062 112.260614782882 -95.676079645566</t>
  </si>
  <si>
    <t>-653.70691963628 136.822174927137 319.155153011415</t>
  </si>
  <si>
    <t>-670.039904030385 185.379940057444 779.595902847455</t>
  </si>
  <si>
    <t>-518.543764623162 187.744977731967 833.699027341619</t>
  </si>
  <si>
    <t>-621.226286231569 -78.1181091386361 321.828621305796</t>
  </si>
  <si>
    <t>-655.934843171501 -110.152079765639 782.405300701458</t>
  </si>
  <si>
    <t>-502.628616663352 -118.764410987711 830.435041470622</t>
  </si>
  <si>
    <t>9763-20170724T115628.026914300.bin</t>
  </si>
  <si>
    <t>-641.205004531603 19.8514864837807 -93.0992002530202</t>
  </si>
  <si>
    <t>-664.059340731863 14.7676515756928 -201.308838838859</t>
  </si>
  <si>
    <t>-679.118922857728 11.1494802354575 -292.883764215648</t>
  </si>
  <si>
    <t>-691.979575611639 7.99386702884931 -375.725582384429</t>
  </si>
  <si>
    <t>-703.534878918903 5.00984035765509 -458.765895973255</t>
  </si>
  <si>
    <t>-718.993381705389 0.821476208072681 -580.373681666665</t>
  </si>
  <si>
    <t>-708.45286983897 2.13291312389538 -658.009850504398</t>
  </si>
  <si>
    <t>-715.421587804389 33.8485163798086 -527.679196862181</t>
  </si>
  <si>
    <t>-699.949796615488 187.444505825008 -505.184271838969</t>
  </si>
  <si>
    <t>-673.119071607135 220.14175084747 -226.276491420882</t>
  </si>
  <si>
    <t>-452.547249594581 149.279528504726 -209.688520387505</t>
  </si>
  <si>
    <t>-656.728146201134 112.035979689144 -95.8744013268667</t>
  </si>
  <si>
    <t>-653.315602811323 136.611413629968 318.959320863404</t>
  </si>
  <si>
    <t>-669.974527230227 185.314848294415 779.399045602891</t>
  </si>
  <si>
    <t>-518.47161442151 187.954778444628 833.470500092198</t>
  </si>
  <si>
    <t>-621.700442735451 -78.6142076304459 321.812643153482</t>
  </si>
  <si>
    <t>-655.716853540134 -110.055524562808 782.505426975041</t>
  </si>
  <si>
    <t>-502.581633292196 -119.205335610228 830.979202628914</t>
  </si>
  <si>
    <t>9763-20170724T115628.059004300.bin</t>
  </si>
  <si>
    <t>-641.29167493719 19.7254127476299 -93.1573002353988</t>
  </si>
  <si>
    <t>-664.202079329867 14.6796115962227 -201.356805651211</t>
  </si>
  <si>
    <t>-679.301489045819 11.0488555173235 -292.924778342265</t>
  </si>
  <si>
    <t>-692.195945319111 7.86752073949265 -375.760388890326</t>
  </si>
  <si>
    <t>-703.782643630443 4.84049773357856 -458.794768208647</t>
  </si>
  <si>
    <t>-719.28459273859 0.569482652949318 -580.394130842078</t>
  </si>
  <si>
    <t>-708.82216045876 1.78510536213275 -658.042459892928</t>
  </si>
  <si>
    <t>-715.516423081223 33.6496487240531 -527.746658421979</t>
  </si>
  <si>
    <t>-699.076468507066 187.149084499169 -505.270132954222</t>
  </si>
  <si>
    <t>-668.541461960227 219.213619802096 -226.669878427286</t>
  </si>
  <si>
    <t>-447.111128562728 150.972814766723 -210.534624368886</t>
  </si>
  <si>
    <t>-656.437038772724 112.002598201113 -95.9831527987383</t>
  </si>
  <si>
    <t>-653.082688980143 136.571675074992 318.851475107859</t>
  </si>
  <si>
    <t>-669.946785266297 185.285482888969 779.291502774054</t>
  </si>
  <si>
    <t>-518.445436148201 187.887883477212 833.369065417873</t>
  </si>
  <si>
    <t>-622.049075016963 -78.7618840440514 321.785361477597</t>
  </si>
  <si>
    <t>-655.697358308089 -109.988407200686 782.517265022299</t>
  </si>
  <si>
    <t>-502.559618440179 -118.767818074149 831.051591791526</t>
  </si>
  <si>
    <t>9763-20170724T115628.122173900.bin</t>
  </si>
  <si>
    <t>-641.635233833428 19.3950031685117 -93.3283818330126</t>
  </si>
  <si>
    <t>-664.679868362433 14.4418547273388 -201.503771616555</t>
  </si>
  <si>
    <t>-679.914203059321 10.775464057521 -293.047710420527</t>
  </si>
  <si>
    <t>-692.94117957202 7.52478222552236 -375.859892106308</t>
  </si>
  <si>
    <t>-704.670980212539 4.38431477646577 -458.870129370355</t>
  </si>
  <si>
    <t>-710.140314189833 0.892169689082266 -658.112666516243</t>
  </si>
  <si>
    <t>-716.161867756772 33.1041920799526 -527.900047801429</t>
  </si>
  <si>
    <t>-698.00426000384 186.447017589337 -505.698911188693</t>
  </si>
  <si>
    <t>-661.499094528661 216.573684189024 -227.601213135124</t>
  </si>
  <si>
    <t>-437.922723581703 155.853452122584 -211.012224560502</t>
  </si>
  <si>
    <t>-655.971098043832 111.978569034933 -96.2183457693402</t>
  </si>
  <si>
    <t>-652.74528356477 136.465558150215 318.622044335841</t>
  </si>
  <si>
    <t>-669.903562371823 185.227790782019 779.057156659946</t>
  </si>
  <si>
    <t>-518.408683043628 187.835907714114 833.152686274673</t>
  </si>
  <si>
    <t>-622.910998060617 -79.0483814163708 321.697909545443</t>
  </si>
  <si>
    <t>-655.716578573367 -110.002180710402 782.525725918431</t>
  </si>
  <si>
    <t>-502.619360611512 -119.173431936727 831.115340253347</t>
  </si>
  <si>
    <t>9763-20170724T115628.159803800.bin</t>
  </si>
  <si>
    <t>-641.788048498437 19.3508721015776 -93.4260020301577</t>
  </si>
  <si>
    <t>-664.860438477793 14.46853306562 -201.598668420202</t>
  </si>
  <si>
    <t>-680.144483380709 10.802195320505 -293.134395916995</t>
  </si>
  <si>
    <t>-693.227994993319 7.5316003499363 -375.936907314306</t>
  </si>
  <si>
    <t>-705.025925298827 4.3488442750122 -458.935912006267</t>
  </si>
  <si>
    <t>-710.705379311305 0.683125737400587 -658.174322777512</t>
  </si>
  <si>
    <t>-716.426219618699 33.0316460049346 -527.996070377944</t>
  </si>
  <si>
    <t>-697.584440584953 186.323069965662 -506.012953252889</t>
  </si>
  <si>
    <t>-658.837545594394 216.065354033057 -228.177371569851</t>
  </si>
  <si>
    <t>-434.454696108125 158.593103666279 -210.919881209224</t>
  </si>
  <si>
    <t>-655.699933591931 112.060428841045 -96.3389881710448</t>
  </si>
  <si>
    <t>-652.614597755981 136.48054580559 318.506476928752</t>
  </si>
  <si>
    <t>-669.8810806286 185.187456232175 778.944750536845</t>
  </si>
  <si>
    <t>-518.390363758807 187.75156188887 833.054014033859</t>
  </si>
  <si>
    <t>-623.37903806502 -79.0520795146035 321.64116778738</t>
  </si>
  <si>
    <t>-655.755979944175 -110.00269612658 782.520815316389</t>
  </si>
  <si>
    <t>-502.659458170813 -119.30518593809 831.087686668544</t>
  </si>
  <si>
    <t>9763-20170724T115628.227057000.bin</t>
  </si>
  <si>
    <t>-642.030695155063 19.3656366171608 -93.5846610711039</t>
  </si>
  <si>
    <t>-665.137655927901 14.6103331076733 -201.755555254552</t>
  </si>
  <si>
    <t>-680.484658722701 10.9458703413845 -293.280820300174</t>
  </si>
  <si>
    <t>-693.640349535368 7.64187045422318 -376.070708321638</t>
  </si>
  <si>
    <t>-705.525819066646 4.38640658420786 -459.05424945771</t>
  </si>
  <si>
    <t>-711.518308922746 0.383171725496823 -658.29168745594</t>
  </si>
  <si>
    <t>-716.75433399502 33.002702081518 -528.170347112205</t>
  </si>
  <si>
    <t>-696.635920899051 186.170446713557 -506.397429458534</t>
  </si>
  <si>
    <t>-654.405664560523 215.668835302175 -229.043910139616</t>
  </si>
  <si>
    <t>-429.049428872976 162.237287865397 -211.489119275743</t>
  </si>
  <si>
    <t>-655.229216894814 112.289229650279 -96.5577333769314</t>
  </si>
  <si>
    <t>-652.461410477855 136.5535801484 318.299086336846</t>
  </si>
  <si>
    <t>-669.872382188436 185.104494487584 778.745506773457</t>
  </si>
  <si>
    <t>-518.378399949032 187.536874180853 832.851654016086</t>
  </si>
  <si>
    <t>-624.045950901637 -78.8845525543852 321.539727777296</t>
  </si>
  <si>
    <t>-655.819625671242 -109.934255309681 782.495091879021</t>
  </si>
  <si>
    <t>-502.702590778818 -119.166258275068 831.010786884683</t>
  </si>
  <si>
    <t>9763-20170724T115628.259143800.bin</t>
  </si>
  <si>
    <t>-642.036185807926 19.5043337493671 -93.6380715732741</t>
  </si>
  <si>
    <t>-665.187454380253 14.7952142675463 -201.801580660333</t>
  </si>
  <si>
    <t>-680.592231883084 11.1303075873477 -293.317118664579</t>
  </si>
  <si>
    <t>-693.808852483804 7.81293753255204 -376.096609477677</t>
  </si>
  <si>
    <t>-705.764232698818 4.52945791662228 -459.069082059772</t>
  </si>
  <si>
    <t>-711.93929599931 0.357613385272543 -658.299445428006</t>
  </si>
  <si>
    <t>-716.973009536462 33.1190613142869 -528.199390813482</t>
  </si>
  <si>
    <t>-696.426595795533 186.237498329739 -506.498138724468</t>
  </si>
  <si>
    <t>-652.727028363463 216.099198803067 -229.411071816225</t>
  </si>
  <si>
    <t>-427.201511923157 163.369237608012 -211.909013330256</t>
  </si>
  <si>
    <t>-654.994562998955 112.515762996355 -96.6472152625358</t>
  </si>
  <si>
    <t>-652.466363330071 136.636580314876 318.21952596759</t>
  </si>
  <si>
    <t>-669.859931158548 185.080321258788 778.664900079392</t>
  </si>
  <si>
    <t>-518.360952643933 187.650218730428 832.750778717857</t>
  </si>
  <si>
    <t>-624.238754958848 -78.6950123072495 321.498280150178</t>
  </si>
  <si>
    <t>-655.855504527092 -109.918060042199 782.473262698997</t>
  </si>
  <si>
    <t>-502.733421193231 -119.242371597839 830.955281494229</t>
  </si>
  <si>
    <t>9763-20170724T115628.324321900.bin</t>
  </si>
  <si>
    <t>-641.869672185008 19.8713040506718 -93.6947566636691</t>
  </si>
  <si>
    <t>-665.258128418381 15.2236573506948 -201.80993691831</t>
  </si>
  <si>
    <t>-680.824873484705 11.5573229844988 -293.297910094172</t>
  </si>
  <si>
    <t>-694.173180407069 8.21971369740754 -376.055566557848</t>
  </si>
  <si>
    <t>-706.245766695735 4.89416704250084 -459.009354611498</t>
  </si>
  <si>
    <t>-722.494849849127 0.0298341073510073 -580.488708579662</t>
  </si>
  <si>
    <t>-712.694825182885 0.405609749120686 -658.232064563631</t>
  </si>
  <si>
    <t>-717.408028298157 33.44360893629 -528.163889255574</t>
  </si>
  <si>
    <t>-696.176099966888 186.470168563811 -506.514648742589</t>
  </si>
  <si>
    <t>-650.337803046435 216.68434717118 -229.811606942447</t>
  </si>
  <si>
    <t>-424.503468487644 165.169271810981 -212.67719851271</t>
  </si>
  <si>
    <t>-654.551517747893 112.931486430021 -96.7385174600616</t>
  </si>
  <si>
    <t>-652.410765257266 136.824091020824 318.143606785051</t>
  </si>
  <si>
    <t>-669.857964526142 185.003920987997 778.575419497433</t>
  </si>
  <si>
    <t>-518.34870656952 187.435018390627 832.638743773271</t>
  </si>
  <si>
    <t>-624.024031818245 -78.1239599089683 321.457409738984</t>
  </si>
  <si>
    <t>-655.920237217534 -109.784713382641 782.426168855031</t>
  </si>
  <si>
    <t>-502.774639571076 -119.090018900865 830.837522215165</t>
  </si>
  <si>
    <t>9763-20170724T115628.356909700.bin</t>
  </si>
  <si>
    <t>-641.665340464955 19.9873141329942 -93.7041787669652</t>
  </si>
  <si>
    <t>-665.192572369676 15.3588341544823 -201.790113891904</t>
  </si>
  <si>
    <t>-680.800682183626 11.7112925410675 -293.271724482542</t>
  </si>
  <si>
    <t>-694.155927622177 8.39204448190208 -376.028975829541</t>
  </si>
  <si>
    <t>-706.20485132835 5.0850932616479 -458.986977015835</t>
  </si>
  <si>
    <t>-722.385552173035 0.248108802903971 -580.476596756292</t>
  </si>
  <si>
    <t>-712.636529279822 0.555294735399684 -658.226515040914</t>
  </si>
  <si>
    <t>-717.291723002632 33.6522386683625 -528.146288688808</t>
  </si>
  <si>
    <t>-696.04253807773 186.676998546399 -506.512268967179</t>
  </si>
  <si>
    <t>-648.970636873465 216.703074892084 -229.995946111942</t>
  </si>
  <si>
    <t>-422.994842239695 165.687850673928 -213.235696462811</t>
  </si>
  <si>
    <t>-654.243212901093 113.096090788038 -96.7497654970581</t>
  </si>
  <si>
    <t>-652.280105563056 136.810112615573 318.143475524126</t>
  </si>
  <si>
    <t>-669.836435126532 184.947585737167 778.566229800249</t>
  </si>
  <si>
    <t>-518.328137828233 187.442766157039 832.629569591389</t>
  </si>
  <si>
    <t>-623.798818154306 -77.9094186263424 321.455787818666</t>
  </si>
  <si>
    <t>-655.942652211184 -109.788515583581 782.401257049699</t>
  </si>
  <si>
    <t>-502.817354976404 -119.445958086722 830.807876818086</t>
  </si>
  <si>
    <t>9763-20170724T115628.425462000.bin</t>
  </si>
  <si>
    <t>-641.115836828423 20.2627325927051 -93.7262546509889</t>
  </si>
  <si>
    <t>-664.760794877427 15.6712275299196 -201.788024703236</t>
  </si>
  <si>
    <t>-680.450667538689 12.0594499784988 -293.257143797362</t>
  </si>
  <si>
    <t>-693.872697884387 8.77538761566302 -376.004978699346</t>
  </si>
  <si>
    <t>-705.98126960587 5.50589490803395 -458.955823204308</t>
  </si>
  <si>
    <t>-722.241420424162 0.72550122781422 -580.43696176432</t>
  </si>
  <si>
    <t>-712.684762261321 0.961766879620654 -658.211171578789</t>
  </si>
  <si>
    <t>-717.080153466318 34.1072001287491 -528.098932420511</t>
  </si>
  <si>
    <t>-695.819253566003 187.11298269748 -506.273767438608</t>
  </si>
  <si>
    <t>-646.165762784375 216.339435044564 -230.123565176638</t>
  </si>
  <si>
    <t>-419.872010613055 166.557682168374 -213.954230541317</t>
  </si>
  <si>
    <t>-653.649516083422 113.409848892162 -96.7297865231665</t>
  </si>
  <si>
    <t>-651.687621271171 136.915923731143 318.175293274987</t>
  </si>
  <si>
    <t>-669.772229486897 184.812070098044 778.601390711386</t>
  </si>
  <si>
    <t>-518.287288349991 187.13622823259 832.737654380179</t>
  </si>
  <si>
    <t>-623.520787585369 -77.448580449251 321.444963701726</t>
  </si>
  <si>
    <t>-656.052220125303 -109.769021395509 782.347047129468</t>
  </si>
  <si>
    <t>-502.885237443495 -119.371787865411 830.632428545243</t>
  </si>
  <si>
    <t>9763-20170724T115628.457548400.bin</t>
  </si>
  <si>
    <t>-640.737314605172 20.2385960270508 -93.7061473779349</t>
  </si>
  <si>
    <t>-664.446427115765 15.6861929429542 -201.755389613249</t>
  </si>
  <si>
    <t>-680.190908115267 12.0976966936785 -293.216082397445</t>
  </si>
  <si>
    <t>-693.662606717616 8.83096191582354 -375.956617895253</t>
  </si>
  <si>
    <t>-705.821255958035 5.57508391860301 -458.900546780581</t>
  </si>
  <si>
    <t>-722.155011267936 0.810357899033534 -580.372531573378</t>
  </si>
  <si>
    <t>-712.710513357382 1.03721776465477 -658.160431063956</t>
  </si>
  <si>
    <t>-716.942524064294 34.1865733609143 -528.035913766706</t>
  </si>
  <si>
    <t>-695.79651474836 187.199322828622 -506.190532025194</t>
  </si>
  <si>
    <t>-644.882068456153 216.08139406083 -230.23384162787</t>
  </si>
  <si>
    <t>-418.355030040162 167.357252262 -214.109595696142</t>
  </si>
  <si>
    <t>-653.241186244199 113.395044863908 -96.6827247821734</t>
  </si>
  <si>
    <t>-651.504816219793 136.830684044206 318.227312016565</t>
  </si>
  <si>
    <t>-669.737400834083 184.763507557306 778.62833072151</t>
  </si>
  <si>
    <t>-518.263847661927 187.146420108538 832.793935279765</t>
  </si>
  <si>
    <t>-623.311444294428 -77.4008333628317 321.433917312442</t>
  </si>
  <si>
    <t>-656.165967778525 -109.827895782917 782.314491212795</t>
  </si>
  <si>
    <t>-502.978827131293 -119.813113864195 830.458290647977</t>
  </si>
  <si>
    <t>9763-20170724T115628.527738200.bin</t>
  </si>
  <si>
    <t>-640.045414069141 20.0732926655826 -93.6694133478909</t>
  </si>
  <si>
    <t>-663.955766571964 15.5752268586821 -201.676723538411</t>
  </si>
  <si>
    <t>-679.85245141961 12.0764907433577 -293.114618019269</t>
  </si>
  <si>
    <t>-693.454252722115 8.90835250708164 -375.837497358211</t>
  </si>
  <si>
    <t>-705.735379143546 5.76828939155757 -458.767877949309</t>
  </si>
  <si>
    <t>-722.239620492305 1.19156216680017 -580.224077625918</t>
  </si>
  <si>
    <t>-713.023571126618 1.50233238577403 -658.039031908</t>
  </si>
  <si>
    <t>-716.929304933338 34.4879920545318 -527.846655761562</t>
  </si>
  <si>
    <t>-695.643481001577 187.445513431461 -505.673944671263</t>
  </si>
  <si>
    <t>-642.508718372785 215.331168881504 -230.033568956519</t>
  </si>
  <si>
    <t>-415.543905663287 168.306379642754 -215.061092433174</t>
  </si>
  <si>
    <t>-652.512038304486 113.200212813085 -96.6041134555455</t>
  </si>
  <si>
    <t>-651.018871057395 136.579772044755 318.310047971558</t>
  </si>
  <si>
    <t>-669.644269102152 184.642205880115 778.691510821557</t>
  </si>
  <si>
    <t>-518.20356137515 187.048018127838 832.947793562861</t>
  </si>
  <si>
    <t>-622.941857639238 -77.3576523432071 321.409746768308</t>
  </si>
  <si>
    <t>-656.582804455401 -109.938386480959 782.202799263743</t>
  </si>
  <si>
    <t>-503.183199106742 -119.549085279544 829.742527529659</t>
  </si>
  <si>
    <t>9763-20170724T115628.559829200.bin</t>
  </si>
  <si>
    <t>-639.748511787852 19.8994454682791 -93.6667468123144</t>
  </si>
  <si>
    <t>-663.76918337501 15.4072689333777 -201.649697334951</t>
  </si>
  <si>
    <t>-679.747617803057 11.9399838997631 -293.07450676888</t>
  </si>
  <si>
    <t>-693.418425932527 8.81024650223708 -375.787603968662</t>
  </si>
  <si>
    <t>-705.763688569308 5.71840708485092 -458.710322945723</t>
  </si>
  <si>
    <t>-722.35612431494 1.22315498481817 -580.157488103728</t>
  </si>
  <si>
    <t>-713.258438813575 1.58046901429907 -657.986181514955</t>
  </si>
  <si>
    <t>-717.011864917269 34.4842549987675 -527.760963036797</t>
  </si>
  <si>
    <t>-695.765915260728 187.411655554414 -505.371573209768</t>
  </si>
  <si>
    <t>-641.337630792781 215.049116492512 -229.95849636239</t>
  </si>
  <si>
    <t>-414.288731352936 168.249877023102 -215.565416760707</t>
  </si>
  <si>
    <t>-652.224828509582 113.010982082951 -96.5657277924843</t>
  </si>
  <si>
    <t>-650.656604437666 136.456251812247 318.344451187354</t>
  </si>
  <si>
    <t>-669.593543155601 184.594039756535 778.714586772142</t>
  </si>
  <si>
    <t>-518.171904650175 187.043935484802 833.022197657885</t>
  </si>
  <si>
    <t>-622.883927860658 -77.5048342602474 321.374661245807</t>
  </si>
  <si>
    <t>-656.867436161069 -110.046950292743 782.133083363316</t>
  </si>
  <si>
    <t>-503.347282131483 -119.791661518906 829.254480968813</t>
  </si>
  <si>
    <t>9763-20170724T115628.623594700.bin</t>
  </si>
  <si>
    <t>-639.121060480734 19.4955749837216 -93.6584078928855</t>
  </si>
  <si>
    <t>-663.427749548029 15.0249065755497 -201.578251788141</t>
  </si>
  <si>
    <t>-679.605312300354 11.6575734405731 -292.971785557507</t>
  </si>
  <si>
    <t>-693.438199668842 8.65080147073172 -375.662549997774</t>
  </si>
  <si>
    <t>-705.927479088036 5.71509082546936 -458.569264199036</t>
  </si>
  <si>
    <t>-722.710182870337 1.48463124693649 -579.999872814514</t>
  </si>
  <si>
    <t>-713.845958952211 1.99664469628669 -657.85460816215</t>
  </si>
  <si>
    <t>-717.324833467455 34.6289282707517 -527.533755028915</t>
  </si>
  <si>
    <t>-696.074218831574 187.478740987922 -504.643646264501</t>
  </si>
  <si>
    <t>-639.571926971352 214.857904432989 -229.622836275892</t>
  </si>
  <si>
    <t>-412.357762431785 168.631305014468 -216.008255849715</t>
  </si>
  <si>
    <t>-651.500007067699 112.533665955491 -96.4882553656818</t>
  </si>
  <si>
    <t>-649.921673947683 136.146006401979 318.412360205648</t>
  </si>
  <si>
    <t>-669.489519017913 184.499230769088 778.720108552398</t>
  </si>
  <si>
    <t>-518.10637554544 187.118906259181 833.126933482957</t>
  </si>
  <si>
    <t>-622.840365560986 -77.8839604076063 321.307680597774</t>
  </si>
  <si>
    <t>-657.401873831554 -110.209013681012 782.005011441168</t>
  </si>
  <si>
    <t>-503.643686359189 -120.073783812635 828.318521346538</t>
  </si>
  <si>
    <t>9763-20170724T115628.658690700.bin</t>
  </si>
  <si>
    <t>-638.800087283086 19.2301248968788 -93.6761555630917</t>
  </si>
  <si>
    <t>-663.18396491275 14.7750461719877 -201.579204409945</t>
  </si>
  <si>
    <t>-679.432208003576 11.4528861846406 -292.961841078917</t>
  </si>
  <si>
    <t>-693.330948114964 8.50024078388492 -375.643561853612</t>
  </si>
  <si>
    <t>-705.887984338584 5.63255039298861 -458.542360300285</t>
  </si>
  <si>
    <t>-722.771736753042 1.51694045930981 -579.962833810058</t>
  </si>
  <si>
    <t>-714.057839378057 2.09985840811419 -657.834085021078</t>
  </si>
  <si>
    <t>-717.361793375794 34.6105609939593 -527.467259158177</t>
  </si>
  <si>
    <t>-696.128470181582 187.432555264416 -504.366326390748</t>
  </si>
  <si>
    <t>-638.840150827134 214.516214062638 -229.478785802218</t>
  </si>
  <si>
    <t>-411.620376825505 168.174096664275 -216.359836102033</t>
  </si>
  <si>
    <t>-651.091901418374 112.301820752287 -96.4774900218364</t>
  </si>
  <si>
    <t>-649.522431813131 135.928214911597 318.422481274744</t>
  </si>
  <si>
    <t>-669.431739705983 184.451104652396 778.708917247824</t>
  </si>
  <si>
    <t>-518.06914580526 187.129537959192 833.170020708536</t>
  </si>
  <si>
    <t>-622.775470610397 -78.0971337797105 321.283309550512</t>
  </si>
  <si>
    <t>-657.524731055646 -110.230796866422 781.973051987411</t>
  </si>
  <si>
    <t>-503.708034388065 -120.026503948048 828.106489679389</t>
  </si>
  <si>
    <t>9763-20170724T115628.723889600.bin</t>
  </si>
  <si>
    <t>-638.061641829919 18.6343119113915 -93.6645656912187</t>
  </si>
  <si>
    <t>-662.602388542153 14.1708589257862 -201.531749963228</t>
  </si>
  <si>
    <t>-678.950413097245 10.9242478174508 -292.899426589033</t>
  </si>
  <si>
    <t>-692.925472627313 8.0731476038211 -375.57167374802</t>
  </si>
  <si>
    <t>-705.544636665321 5.34085772595358 -458.465619843257</t>
  </si>
  <si>
    <t>-722.503199086142 1.4602022699637 -579.883472548526</t>
  </si>
  <si>
    <t>-713.918623254432 2.18332964212209 -657.767922961228</t>
  </si>
  <si>
    <t>-717.091040698564 34.4503638330132 -527.323015060726</t>
  </si>
  <si>
    <t>-696.066983078693 187.248820571039 -503.916562129403</t>
  </si>
  <si>
    <t>-637.527331974291 213.508643785997 -229.212814028591</t>
  </si>
  <si>
    <t>-410.252814944901 167.376380913819 -216.303720921032</t>
  </si>
  <si>
    <t>-650.322321673445 111.671333643866 -96.4517853012765</t>
  </si>
  <si>
    <t>-648.75613720047 135.544103825802 318.433977885115</t>
  </si>
  <si>
    <t>-669.33744359088 184.352080433118 778.668078832203</t>
  </si>
  <si>
    <t>-518.011295038151 187.19463127068 833.222105705782</t>
  </si>
  <si>
    <t>-622.394164366929 -78.5349267767144 321.296434627631</t>
  </si>
  <si>
    <t>-657.381337265185 -110.051747855296 782.018056360243</t>
  </si>
  <si>
    <t>-503.629275647412 -119.809948821224 828.374370485961</t>
  </si>
  <si>
    <t>9763-20170724T115628.791632700.bin</t>
  </si>
  <si>
    <t>-637.33961141402 18.1728785757987 -93.6081542700473</t>
  </si>
  <si>
    <t>-662.025712761165 13.6473509655427 -201.439542815507</t>
  </si>
  <si>
    <t>-678.433143393556 10.4931476089787 -292.799824290934</t>
  </si>
  <si>
    <t>-692.435206389917 7.7835913649028 -375.472261840325</t>
  </si>
  <si>
    <t>-705.053820160692 5.25097052443334 -458.372689879859</t>
  </si>
  <si>
    <t>-721.980621021448 1.72576550637723 -579.805705712785</t>
  </si>
  <si>
    <t>-713.276019514836 2.61978604826481 -657.675185397738</t>
  </si>
  <si>
    <t>-716.580379341134 34.5619945046797 -527.147727586912</t>
  </si>
  <si>
    <t>-695.585156948928 187.304126546439 -503.316267442495</t>
  </si>
  <si>
    <t>-636.632451369767 212.554458800768 -228.606218384965</t>
  </si>
  <si>
    <t>-409.218879241123 167.011441852763 -216.058720606902</t>
  </si>
  <si>
    <t>-649.562852001581 111.173520092506 -96.442833725364</t>
  </si>
  <si>
    <t>-648.201347256886 135.228339377612 318.433235870153</t>
  </si>
  <si>
    <t>-669.233555501332 184.286464260503 778.607327240918</t>
  </si>
  <si>
    <t>-517.93047655429 187.332493995036 833.214255274456</t>
  </si>
  <si>
    <t>-621.89731257762 -78.9488628930992 321.408793843119</t>
  </si>
  <si>
    <t>-656.841775528421 -109.853494786127 782.161025678785</t>
  </si>
  <si>
    <t>-503.372496218669 -119.724549684162 829.42169984817</t>
  </si>
  <si>
    <t>9763-20170724T115628.828715000.bin</t>
  </si>
  <si>
    <t>-637.028331586912 17.8408051820234 -93.580562496603</t>
  </si>
  <si>
    <t>-661.791717247027 13.2818208304368 -201.39285568608</t>
  </si>
  <si>
    <t>-678.209375756242 10.1577886071263 -292.752294506459</t>
  </si>
  <si>
    <t>-692.198136212056 7.49918410244527 -375.428639984759</t>
  </si>
  <si>
    <t>-704.780479517534 5.04104073313829 -458.336796447572</t>
  </si>
  <si>
    <t>-721.628745211544 1.65056416297898 -579.784642555779</t>
  </si>
  <si>
    <t>-712.869661817398 2.63432986766679 -657.646854002428</t>
  </si>
  <si>
    <t>-716.262837201637 34.4282696289486 -527.086770784435</t>
  </si>
  <si>
    <t>-695.398357573708 187.1610348748 -503.103040840919</t>
  </si>
  <si>
    <t>-636.405128442519 212.104257062332 -228.373837158699</t>
  </si>
  <si>
    <t>-408.887408459719 167.115127973259 -215.716798327011</t>
  </si>
  <si>
    <t>-649.218076754163 110.799125599316 -96.4582648003146</t>
  </si>
  <si>
    <t>-647.946932727864 134.924788458082 318.41397898489</t>
  </si>
  <si>
    <t>-669.2372885298 184.086743798773 778.563277563782</t>
  </si>
  <si>
    <t>-517.943149008659 187.33045963933 833.183679366699</t>
  </si>
  <si>
    <t>-621.665693436481 -79.3110877307668 321.46079819972</t>
  </si>
  <si>
    <t>-656.514219046955 -109.758326128135 782.268391749687</t>
  </si>
  <si>
    <t>-503.185070693038 -119.21462469262 830.065672583363</t>
  </si>
  <si>
    <t>9763-20170724T115628.857798800.bin</t>
  </si>
  <si>
    <t>-636.785569322042 17.5700538934243 -93.5647193075393</t>
  </si>
  <si>
    <t>-661.644855087382 12.971173686389 -201.353138578488</t>
  </si>
  <si>
    <t>-678.053775172429 9.86142624393369 -292.714697637968</t>
  </si>
  <si>
    <t>-691.998097317683 7.23538330828023 -375.399622039756</t>
  </si>
  <si>
    <t>-704.499131215803 4.82853740461314 -458.321646431697</t>
  </si>
  <si>
    <t>-721.187521512967 1.53405844614986 -579.794161314567</t>
  </si>
  <si>
    <t>-712.391068290614 2.60720602378228 -657.650941339633</t>
  </si>
  <si>
    <t>-715.886095827456 34.2705285285369 -527.064072789726</t>
  </si>
  <si>
    <t>-695.13211571269 187.001511143564 -502.948392346927</t>
  </si>
  <si>
    <t>-636.293171624084 211.72632963849 -228.166191166282</t>
  </si>
  <si>
    <t>-408.702262847904 167.163744376863 -215.317957891275</t>
  </si>
  <si>
    <t>-648.952710862512 110.549900845307 -96.488577433485</t>
  </si>
  <si>
    <t>-647.646152685071 134.705673058296 318.381816038956</t>
  </si>
  <si>
    <t>-669.219882317224 183.993802487404 778.513698526433</t>
  </si>
  <si>
    <t>-517.933703096198 187.270107618668 833.154172339865</t>
  </si>
  <si>
    <t>-621.595612905629 -79.6631524332965 321.507324961155</t>
  </si>
  <si>
    <t>-656.277632109809 -109.656036358164 782.357961337506</t>
  </si>
  <si>
    <t>-503.072839146805 -119.090234369675 830.556556697681</t>
  </si>
  <si>
    <t>9763-20170724T115628.928607200.bin</t>
  </si>
  <si>
    <t>-636.605677741504 17.5117788183068 -93.6117350418112</t>
  </si>
  <si>
    <t>-661.570406025771 12.8674934629337 -201.373979747281</t>
  </si>
  <si>
    <t>-677.889526161492 9.79102023526139 -292.752562320454</t>
  </si>
  <si>
    <t>-691.680229793712 7.22425777481817 -375.465194679011</t>
  </si>
  <si>
    <t>-703.954141711461 4.90462424761927 -458.423553271289</t>
  </si>
  <si>
    <t>-720.22927360895 1.76767539405955 -579.956384402496</t>
  </si>
  <si>
    <t>-711.344533120008 2.98392448270556 -657.801049109551</t>
  </si>
  <si>
    <t>-715.064854673722 34.4383482537721 -527.171762890415</t>
  </si>
  <si>
    <t>-694.224529403484 187.132729014579 -502.914398805242</t>
  </si>
  <si>
    <t>-636.602622354748 211.659266506845 -227.856718634732</t>
  </si>
  <si>
    <t>-408.877838657511 167.932783460087 -214.517358983585</t>
  </si>
  <si>
    <t>-648.576825214962 110.458931993571 -96.5855676855177</t>
  </si>
  <si>
    <t>-647.203694237348 134.582127910051 318.286410447131</t>
  </si>
  <si>
    <t>-669.202657294938 183.779859529345 778.410502224453</t>
  </si>
  <si>
    <t>-517.931692545708 187.184348099465 833.085250411672</t>
  </si>
  <si>
    <t>-621.822737438748 -79.9287696140907 321.554734469139</t>
  </si>
  <si>
    <t>-656.107938501046 -109.567928338413 782.435224450819</t>
  </si>
  <si>
    <t>-503.005091307345 -118.866839064252 830.982883687556</t>
  </si>
  <si>
    <t>9763-20170724T115628.961198900.bin</t>
  </si>
  <si>
    <t>-636.644722455418 17.5393263969784 -93.6415885096458</t>
  </si>
  <si>
    <t>-661.596632966242 12.9041315959223 -201.407191005853</t>
  </si>
  <si>
    <t>-677.85627766031 9.83977954551324 -292.796822565269</t>
  </si>
  <si>
    <t>-691.573538323419 7.28707709938635 -375.522016750647</t>
  </si>
  <si>
    <t>-703.754232500691 4.98350470605169 -458.494654450265</t>
  </si>
  <si>
    <t>-719.871242779837 1.87224479814699 -580.04915487359</t>
  </si>
  <si>
    <t>-710.914706799046 3.10491576419599 -657.885366339478</t>
  </si>
  <si>
    <t>-714.748648147498 34.533315940869 -527.254651380004</t>
  </si>
  <si>
    <t>-693.767268724679 187.203067585209 -502.937103173445</t>
  </si>
  <si>
    <t>-636.847909230218 211.664437196976 -227.727314584167</t>
  </si>
  <si>
    <t>-409.085761446384 168.257541327716 -213.987388928666</t>
  </si>
  <si>
    <t>-648.454583741011 110.487671709919 -96.6225521689879</t>
  </si>
  <si>
    <t>-647.130532898494 134.611219815648 318.249605082982</t>
  </si>
  <si>
    <t>-669.180876741234 183.80637212344 778.365253799962</t>
  </si>
  <si>
    <t>-517.907989209555 187.075919077436 833.042891115565</t>
  </si>
  <si>
    <t>-621.941160385734 -79.9096700684972 321.545943720082</t>
  </si>
  <si>
    <t>-656.080495728885 -109.474639206773 782.44682551342</t>
  </si>
  <si>
    <t>-502.995202514096 -118.682437154811 831.06716382863</t>
  </si>
  <si>
    <t>9763-20170724T115629.023866300.bin</t>
  </si>
  <si>
    <t>-636.743327901066 17.726800923286 -93.6865826937416</t>
  </si>
  <si>
    <t>-661.593151373098 13.1097963935822 -201.476478501044</t>
  </si>
  <si>
    <t>-677.725673889881 10.0242410899164 -292.887995036494</t>
  </si>
  <si>
    <t>-691.31207234669 7.43896460569158 -375.633705486262</t>
  </si>
  <si>
    <t>-703.345755132527 5.08877081827995 -458.626469910079</t>
  </si>
  <si>
    <t>-719.23035184371 1.89381058033791 -580.209529462919</t>
  </si>
  <si>
    <t>-710.08668870675 3.08754489292596 -658.024449230741</t>
  </si>
  <si>
    <t>-714.174693373642 34.5931324406597 -527.432314555665</t>
  </si>
  <si>
    <t>-692.79953947704 187.21588244998 -503.165132369412</t>
  </si>
  <si>
    <t>-637.532650070255 211.964216728078 -227.644484133964</t>
  </si>
  <si>
    <t>-409.871823862597 168.253620314551 -213.206457213679</t>
  </si>
  <si>
    <t>-648.366446862986 110.700213919232 -96.709627361438</t>
  </si>
  <si>
    <t>-647.207656191634 134.62627456327 318.174530678158</t>
  </si>
  <si>
    <t>-669.19250527958 183.661792924846 778.305502697886</t>
  </si>
  <si>
    <t>-517.913526244233 187.118809519732 832.954798286435</t>
  </si>
  <si>
    <t>-622.144920564026 -79.6894424543784 321.528688193623</t>
  </si>
  <si>
    <t>-656.079158457042 -109.354690781809 782.450593452963</t>
  </si>
  <si>
    <t>-503.014111070558 -118.714744716622 831.105618857785</t>
  </si>
  <si>
    <t>9763-20170724T115629.056964000.bin</t>
  </si>
  <si>
    <t>-636.767421906294 17.9620135908199 -93.7040064182182</t>
  </si>
  <si>
    <t>-661.54982835179 13.3675857865703 -201.510432290343</t>
  </si>
  <si>
    <t>-677.637400255174 10.2401433284761 -292.928483830573</t>
  </si>
  <si>
    <t>-691.188620561287 7.59341958850632 -375.67795540731</t>
  </si>
  <si>
    <t>-703.192812490253 5.15792585991062 -458.672600302874</t>
  </si>
  <si>
    <t>-719.04076896213 1.81231331492199 -580.256194749225</t>
  </si>
  <si>
    <t>-709.80476063088 2.93163495897102 -658.061528405293</t>
  </si>
  <si>
    <t>-713.993015700764 34.5775216440848 -527.519043475777</t>
  </si>
  <si>
    <t>-692.476523143554 187.203562873302 -503.408384995529</t>
  </si>
  <si>
    <t>-637.908861420796 212.210753312225 -227.771633972616</t>
  </si>
  <si>
    <t>-410.356260038735 168.084858231016 -212.89718460486</t>
  </si>
  <si>
    <t>-648.294856587282 110.959216674434 -96.7434988690596</t>
  </si>
  <si>
    <t>-647.264868291275 134.763208494041 318.147956542124</t>
  </si>
  <si>
    <t>-669.189791786707 183.666907727551 778.292492178032</t>
  </si>
  <si>
    <t>-517.900371138972 186.990614071603 832.921016162924</t>
  </si>
  <si>
    <t>-622.210005121231 -79.4250996508479 321.517789254783</t>
  </si>
  <si>
    <t>-656.099848635264 -109.334420887027 782.440459096679</t>
  </si>
  <si>
    <t>-503.037901058521 -118.843217191263 831.076326432975</t>
  </si>
  <si>
    <t>9763-20170724T115629.129156400.bin</t>
  </si>
  <si>
    <t>-636.904744508643 18.49787851475 -93.722858341028</t>
  </si>
  <si>
    <t>-661.537361275377 13.9554057040327 -201.565782046144</t>
  </si>
  <si>
    <t>-677.559774299131 10.739048057615 -292.992125920889</t>
  </si>
  <si>
    <t>-691.077999196826 7.95991500603691 -375.742816926942</t>
  </si>
  <si>
    <t>-703.075672181695 5.33954384458912 -458.732687620086</t>
  </si>
  <si>
    <t>-718.944007792117 1.66570746985531 -580.304136228882</t>
  </si>
  <si>
    <t>-709.612941128929 2.66066649634467 -658.099736637809</t>
  </si>
  <si>
    <t>-713.85335403659 34.5751889645796 -527.66107609599</t>
  </si>
  <si>
    <t>-692.250323420718 187.253418118532 -503.97098670074</t>
  </si>
  <si>
    <t>-638.923118777776 212.813839590388 -228.142384406811</t>
  </si>
  <si>
    <t>-411.652273564674 167.379511888902 -212.903589795099</t>
  </si>
  <si>
    <t>-648.326218678007 111.467361462528 -96.7739903767393</t>
  </si>
  <si>
    <t>-647.427715439646 135.014848311137 318.132414368969</t>
  </si>
  <si>
    <t>-669.192808541395 183.619787745205 778.29978058832</t>
  </si>
  <si>
    <t>-517.885034140703 186.954758565867 832.876894983884</t>
  </si>
  <si>
    <t>-622.239554129078 -78.8160894347493 321.502977038642</t>
  </si>
  <si>
    <t>-656.147680213394 -109.175797850423 782.410416080806</t>
  </si>
  <si>
    <t>-503.046667660396 -118.417298861879 830.974855101675</t>
  </si>
  <si>
    <t>9763-20170724T115629.157734600.bin</t>
  </si>
  <si>
    <t>-636.968248963419 18.7976191019889 -93.7314388298128</t>
  </si>
  <si>
    <t>-661.53599653944 14.2696003911158 -201.589750012738</t>
  </si>
  <si>
    <t>-677.510991065436 11.0335105078025 -293.023744701288</t>
  </si>
  <si>
    <t>-690.989672207493 8.22406179601171 -375.779720276059</t>
  </si>
  <si>
    <t>-702.951207648746 5.56093019804098 -458.773475262727</t>
  </si>
  <si>
    <t>-718.770496476619 1.81122672742549 -580.349061945071</t>
  </si>
  <si>
    <t>-709.352951129228 2.77070056946968 -658.134721927148</t>
  </si>
  <si>
    <t>-713.694676014983 34.7538292174365 -527.725352317467</t>
  </si>
  <si>
    <t>-692.00860428284 187.439026010994 -504.185196433055</t>
  </si>
  <si>
    <t>-639.511244180286 213.223124227511 -228.218085286852</t>
  </si>
  <si>
    <t>-412.370211293237 167.167471381702 -212.909248156382</t>
  </si>
  <si>
    <t>-648.342741512574 111.751373351367 -96.784989268535</t>
  </si>
  <si>
    <t>-647.557049567735 135.169916010099 318.128932829369</t>
  </si>
  <si>
    <t>-669.196452045593 183.572701029436 778.299033766511</t>
  </si>
  <si>
    <t>-517.878181222038 186.947539443694 832.844575934661</t>
  </si>
  <si>
    <t>-622.350441839499 -78.5169486266991 321.499915586649</t>
  </si>
  <si>
    <t>-656.191906564563 -109.073552253325 782.390030977995</t>
  </si>
  <si>
    <t>-503.063786059284 -118.261231819771 830.879125455835</t>
  </si>
  <si>
    <t>9763-20170724T115629.225014300.bin</t>
  </si>
  <si>
    <t>-637.236618348737 19.236677022204 -93.7790252792946</t>
  </si>
  <si>
    <t>-661.471767069463 14.7736212291788 -201.715239102037</t>
  </si>
  <si>
    <t>-677.233533221396 11.5166559223942 -293.185498381308</t>
  </si>
  <si>
    <t>-690.54752343516 8.65952587022798 -375.966591093196</t>
  </si>
  <si>
    <t>-702.372540800009 5.91973837290448 -458.977418034585</t>
  </si>
  <si>
    <t>-718.023832057815 2.02652479391463 -580.570277671434</t>
  </si>
  <si>
    <t>-708.432832981058 2.90407479515352 -658.335562383171</t>
  </si>
  <si>
    <t>-713.00483960323 35.0322168252353 -527.980455392957</t>
  </si>
  <si>
    <t>-691.313069113411 187.756904279737 -504.651858647061</t>
  </si>
  <si>
    <t>-640.764139564774 214.013622730543 -228.36587926368</t>
  </si>
  <si>
    <t>-413.826339543 167.058984689982 -212.776179093668</t>
  </si>
  <si>
    <t>-648.452623002356 112.163495164757 -96.8447258869555</t>
  </si>
  <si>
    <t>-647.820610151753 135.43043026694 318.077961761164</t>
  </si>
  <si>
    <t>-669.216180437208 183.502766078787 778.284752663572</t>
  </si>
  <si>
    <t>-517.873364487209 186.82900607127 832.765149730295</t>
  </si>
  <si>
    <t>-622.556088262066 -78.0781739166735 321.4600410291</t>
  </si>
  <si>
    <t>-656.257657149204 -108.941207852644 782.353100023703</t>
  </si>
  <si>
    <t>-503.118164267392 -118.426077894057 830.748955282958</t>
  </si>
  <si>
    <t>9763-20170724T115629.288948000.bin</t>
  </si>
  <si>
    <t>-637.336652852853 19.388708043412 -93.7750259883842</t>
  </si>
  <si>
    <t>-661.231540343524 15.0175815137377 -201.790923769378</t>
  </si>
  <si>
    <t>-676.686938429943 11.794691274423 -293.314628292995</t>
  </si>
  <si>
    <t>-689.716701259923 8.95106345527392 -376.14129258811</t>
  </si>
  <si>
    <t>-701.250164198644 6.20800680969251 -459.193017008459</t>
  </si>
  <si>
    <t>-716.467262539501 2.29214878651374 -580.840204497447</t>
  </si>
  <si>
    <t>-706.673224218986 3.09446780572353 -658.581057327629</t>
  </si>
  <si>
    <t>-711.686064534887 35.3046892603679 -528.2327101469</t>
  </si>
  <si>
    <t>-690.328264298776 188.104633485699 -505.094169212621</t>
  </si>
  <si>
    <t>-642.221941253403 215.130769028903 -228.44643259406</t>
  </si>
  <si>
    <t>-415.400595930784 167.810028982936 -212.279981983696</t>
  </si>
  <si>
    <t>-648.538815763165 112.23953180039 -96.8139413892525</t>
  </si>
  <si>
    <t>-648.176141452839 135.452724461853 318.112138716757</t>
  </si>
  <si>
    <t>-669.230211098629 183.432622009751 778.312865343075</t>
  </si>
  <si>
    <t>-517.869796965586 186.668625548464 832.749864781059</t>
  </si>
  <si>
    <t>-622.725437736363 -77.9204467845493 321.416839932812</t>
  </si>
  <si>
    <t>-656.327048002892 -108.800243298788 782.320782170778</t>
  </si>
  <si>
    <t>-503.144301359796 -118.154157938829 830.605077884656</t>
  </si>
  <si>
    <t>9763-20170724T115629.328051900.bin</t>
  </si>
  <si>
    <t>-637.323815728911 19.389484338707 -93.77561568154</t>
  </si>
  <si>
    <t>-661.039502716182 15.0707572736619 -201.833020720794</t>
  </si>
  <si>
    <t>-676.340452574481 11.8806913833216 -293.383816341097</t>
  </si>
  <si>
    <t>-689.229418736749 9.0622147224351 -376.233486321597</t>
  </si>
  <si>
    <t>-700.620749611459 6.34018588979052 -459.305596625094</t>
  </si>
  <si>
    <t>-715.62866380337 2.45069167552924 -580.979553023729</t>
  </si>
  <si>
    <t>-705.752032808565 3.22695884280279 -658.71019338522</t>
  </si>
  <si>
    <t>-710.962606905781 35.4504753999977 -528.353550922798</t>
  </si>
  <si>
    <t>-689.820658510482 188.266986299919 -505.171095490614</t>
  </si>
  <si>
    <t>-642.979521259657 215.655648045044 -228.34199372481</t>
  </si>
  <si>
    <t>-416.150078584493 168.414024292902 -212.058019923459</t>
  </si>
  <si>
    <t>-648.529340414661 112.199272530037 -96.785310178438</t>
  </si>
  <si>
    <t>-648.354784628523 135.40622303653 318.141203309987</t>
  </si>
  <si>
    <t>-669.236131222606 183.386158143891 778.347386313279</t>
  </si>
  <si>
    <t>-517.868176404751 186.599638261235 832.764580943117</t>
  </si>
  <si>
    <t>-622.741380282621 -77.9164842184075 321.39549093303</t>
  </si>
  <si>
    <t>-656.350725991192 -108.7537235856 782.300420906857</t>
  </si>
  <si>
    <t>-503.158046736221 -118.126564451065 830.54947159054</t>
  </si>
  <si>
    <t>9763-20170724T115629.360141400.bin</t>
  </si>
  <si>
    <t>-637.257628664407 19.3489766422495 -93.771013753154</t>
  </si>
  <si>
    <t>-660.802909303977 15.0801012632437 -201.867662756222</t>
  </si>
  <si>
    <t>-675.957141612995 11.9399455682883 -293.444596816898</t>
  </si>
  <si>
    <t>-688.712376252582 9.16898003400797 -376.316471834816</t>
  </si>
  <si>
    <t>-699.968631321976 6.49745306464797 -459.408585716757</t>
  </si>
  <si>
    <t>-714.777492487618 2.68544629928419 -581.109349791191</t>
  </si>
  <si>
    <t>-704.814622608095 3.45179723826095 -658.829199367343</t>
  </si>
  <si>
    <t>-710.219090919152 35.6504508204207 -528.452345778944</t>
  </si>
  <si>
    <t>-689.168899939534 188.455563396465 -505.112579777993</t>
  </si>
  <si>
    <t>-643.789048946949 215.974315782431 -228.053054197718</t>
  </si>
  <si>
    <t>-416.905668882961 169.065300317137 -211.56050271082</t>
  </si>
  <si>
    <t>-648.466064143392 112.097021836028 -96.7535633947761</t>
  </si>
  <si>
    <t>-648.470110493876 135.345130989176 318.170733070794</t>
  </si>
  <si>
    <t>-669.232402307075 183.362494321034 778.37970771167</t>
  </si>
  <si>
    <t>-517.858808302272 186.602494127134 832.779735251056</t>
  </si>
  <si>
    <t>-622.699013982679 -77.9766871152797 321.371288365549</t>
  </si>
  <si>
    <t>-656.360904861962 -108.682161341253 782.287139835594</t>
  </si>
  <si>
    <t>-503.155447331344 -117.949957189556 830.516028453956</t>
  </si>
  <si>
    <t>9763-20170724T115629.428035000.bin</t>
  </si>
  <si>
    <t>-636.8956072992 19.1998036112132 -93.710989679172</t>
  </si>
  <si>
    <t>-660.213943853247 14.9882508176593 -201.859120541437</t>
  </si>
  <si>
    <t>-675.085431552372 11.9258449323561 -293.484975515961</t>
  </si>
  <si>
    <t>-687.548095541528 9.23539100273183 -376.404105135736</t>
  </si>
  <si>
    <t>-698.474158812684 6.65608230093812 -459.543119082565</t>
  </si>
  <si>
    <t>-712.759028384034 2.99123350742184 -581.311114382166</t>
  </si>
  <si>
    <t>-702.60198158002 3.80904834964667 -659.005161147514</t>
  </si>
  <si>
    <t>-708.50995461668 35.8875358368214 -528.5851768227</t>
  </si>
  <si>
    <t>-687.893612619025 188.705977832799 -504.90630766811</t>
  </si>
  <si>
    <t>-645.564155810847 216.100381035989 -227.352165287573</t>
  </si>
  <si>
    <t>-418.556424795973 169.9722168714 -210.375602880205</t>
  </si>
  <si>
    <t>-648.181083049088 111.80912965732 -96.6562436164305</t>
  </si>
  <si>
    <t>-648.48115697009 135.165377223964 318.261828236646</t>
  </si>
  <si>
    <t>-669.231200492112 183.323267451704 778.44111827798</t>
  </si>
  <si>
    <t>-517.850195336843 186.528349127255 832.822686657507</t>
  </si>
  <si>
    <t>-622.446625512214 -78.2765022042645 321.365389912833</t>
  </si>
  <si>
    <t>-656.352634086623 -108.654024509718 782.283895964341</t>
  </si>
  <si>
    <t>-503.170474388467 -118.172195060406 830.538022766522</t>
  </si>
  <si>
    <t>9763-20170724T115629.456614000.bin</t>
  </si>
  <si>
    <t>-636.655862013952 19.0983624143948 -93.6784035050646</t>
  </si>
  <si>
    <t>-659.889659098818 14.900693837172 -201.845222156209</t>
  </si>
  <si>
    <t>-674.595822826023 11.8579643374546 -293.498349463232</t>
  </si>
  <si>
    <t>-686.871073223608 9.18724305061642 -376.446135560703</t>
  </si>
  <si>
    <t>-697.571363712849 6.63030811247609 -459.615210825966</t>
  </si>
  <si>
    <t>-711.48407708753 3.00069343156429 -581.427371254967</t>
  </si>
  <si>
    <t>-701.200247926994 3.88434059906353 -659.104118620861</t>
  </si>
  <si>
    <t>-707.449251807667 35.878424942184 -528.672967533169</t>
  </si>
  <si>
    <t>-687.214966775921 188.721092713067 -504.869299643426</t>
  </si>
  <si>
    <t>-646.442236857611 216.015795930809 -227.072367747886</t>
  </si>
  <si>
    <t>-419.381145522497 170.229966181773 -209.88341294877</t>
  </si>
  <si>
    <t>-647.996216972864 111.652034267624 -96.5986940294947</t>
  </si>
  <si>
    <t>-648.478122122884 135.020387819615 318.318532687963</t>
  </si>
  <si>
    <t>-669.205970951266 183.317343126641 778.473881867667</t>
  </si>
  <si>
    <t>-517.83222390721 186.521570275648 832.875521890369</t>
  </si>
  <si>
    <t>-622.234608899481 -78.477636963456 321.375537420057</t>
  </si>
  <si>
    <t>-656.324714087699 -108.665238250075 782.289875904662</t>
  </si>
  <si>
    <t>-503.146227012062 -118.025748372844 830.586413222462</t>
  </si>
  <si>
    <t>9763-20170724T115629.525046700.bin</t>
  </si>
  <si>
    <t>-636.105171081112 18.8004058922932 -93.619201709829</t>
  </si>
  <si>
    <t>-659.139436977248 14.5668799853765 -201.827366382939</t>
  </si>
  <si>
    <t>-673.484369234127 11.5930195547969 -293.540004287209</t>
  </si>
  <si>
    <t>-685.35447372891 9.02052908555834 -376.549796608351</t>
  </si>
  <si>
    <t>-695.569990355724 6.59986155012689 -459.783855965458</t>
  </si>
  <si>
    <t>-708.686009075675 3.21132522425205 -581.691197256882</t>
  </si>
  <si>
    <t>-698.1132441539 4.3110588414736 -659.32637948087</t>
  </si>
  <si>
    <t>-705.144241531983 35.9748773261706 -528.830517606774</t>
  </si>
  <si>
    <t>-685.628262262071 188.863594148856 -504.713916052015</t>
  </si>
  <si>
    <t>-648.132558955901 215.921288915573 -226.432590974659</t>
  </si>
  <si>
    <t>-421.049940978643 170.611782703418 -208.292495858379</t>
  </si>
  <si>
    <t>-647.657105793304 111.08884907485 -96.5028375105562</t>
  </si>
  <si>
    <t>-648.9298064916 134.209843752398 318.426495163764</t>
  </si>
  <si>
    <t>-669.117226645203 183.469803508779 778.499024673293</t>
  </si>
  <si>
    <t>-517.776964015439 186.799077422681 832.986422220584</t>
  </si>
  <si>
    <t>-621.734056868146 -79.0323736189052 321.414169370878</t>
  </si>
  <si>
    <t>-656.288157099211 -108.705102478148 782.306951956486</t>
  </si>
  <si>
    <t>-503.123165844082 -117.965751331377 830.665542126999</t>
  </si>
  <si>
    <t>9763-20170724T115629.612980300.bin</t>
  </si>
  <si>
    <t>-635.935123929697 18.6025245918356 -93.5785879939164</t>
  </si>
  <si>
    <t>-658.877008840405 14.3465665153774 -201.805499891219</t>
  </si>
  <si>
    <t>-673.036087688873 11.4068625595758 -293.54806932334</t>
  </si>
  <si>
    <t>-684.694167129712 8.88379835460069 -376.589446987186</t>
  </si>
  <si>
    <t>-694.653161116158 6.53299239189005 -459.856656689225</t>
  </si>
  <si>
    <t>-707.344986091251 3.26924726957168 -581.812412079321</t>
  </si>
  <si>
    <t>-696.612187252828 4.48533494868957 -659.423770918156</t>
  </si>
  <si>
    <t>-704.106881551435 35.9702031088361 -528.893531281748</t>
  </si>
  <si>
    <t>-685.195272206425 188.910645668796 -504.593962436522</t>
  </si>
  <si>
    <t>-648.992029649182 215.800081050086 -226.125181104889</t>
  </si>
  <si>
    <t>-421.897676378341 170.720234803734 -207.564568129241</t>
  </si>
  <si>
    <t>-647.675663262998 110.761035062207 -96.4414041429543</t>
  </si>
  <si>
    <t>-649.469228091199 133.714681604518 318.495369140818</t>
  </si>
  <si>
    <t>-669.091904238158 183.566078835925 778.501593157649</t>
  </si>
  <si>
    <t>-517.761507205782 186.842016851328 833.019455052043</t>
  </si>
  <si>
    <t>-621.480652684933 -79.4275623741 321.435427574003</t>
  </si>
  <si>
    <t>-656.285992945791 -108.781443420969 782.319881380801</t>
  </si>
  <si>
    <t>-503.15174861021 -118.459071830292 830.69428038172</t>
  </si>
  <si>
    <t>9763-20170724T115629.630025400.bin</t>
  </si>
  <si>
    <t>-635.867781735578 18.0067064538252 -93.5081765401009</t>
  </si>
  <si>
    <t>-658.608643363449 13.6512599347077 -201.773589228295</t>
  </si>
  <si>
    <t>-672.422032765556 10.7300852855262 -293.569498754498</t>
  </si>
  <si>
    <t>-683.695122074029 8.25619301310007 -376.665360380573</t>
  </si>
  <si>
    <t>-693.19608354605 5.99064306547848 -459.988532320133</t>
  </si>
  <si>
    <t>-705.137567638228 2.89062215214108 -582.024231080465</t>
  </si>
  <si>
    <t>-694.135609524136 4.30492520924645 -659.594608001942</t>
  </si>
  <si>
    <t>-702.483842020702 35.5006777160893 -529.016611552282</t>
  </si>
  <si>
    <t>-684.815468974631 188.538688005335 -504.358922686442</t>
  </si>
  <si>
    <t>-650.848457796781 214.784629396348 -225.547165399302</t>
  </si>
  <si>
    <t>-423.626845495074 170.622553889111 -206.348738472596</t>
  </si>
  <si>
    <t>-648.312416360926 109.872766154013 -96.3193349579713</t>
  </si>
  <si>
    <t>-650.815595110127 132.887311569747 318.6103853006</t>
  </si>
  <si>
    <t>-669.058940255219 183.80894447076 778.514603592998</t>
  </si>
  <si>
    <t>-517.725073380664 187.348465113394 833.006414078131</t>
  </si>
  <si>
    <t>-621.004534271856 -80.364597072321 321.438428099686</t>
  </si>
  <si>
    <t>-656.315524859465 -109.013510437208 782.309625930874</t>
  </si>
  <si>
    <t>-503.176236348405 -118.590999414237 830.687914016299</t>
  </si>
  <si>
    <t>9763-20170724T115629.663635500.bin</t>
  </si>
  <si>
    <t>-635.991931419585 17.6907103332794 -93.4828676246302</t>
  </si>
  <si>
    <t>-658.647282776687 13.2940624136893 -201.764496541521</t>
  </si>
  <si>
    <t>-672.31400746331 10.3626099246571 -293.582018810308</t>
  </si>
  <si>
    <t>-683.423884574587 7.88386458955006 -376.699715095115</t>
  </si>
  <si>
    <t>-692.730709346523 5.62038161462669 -460.044749393895</t>
  </si>
  <si>
    <t>-704.354371737106 2.53031400488089 -582.111467780618</t>
  </si>
  <si>
    <t>-693.257349241303 4.01437147749334 -659.667075998494</t>
  </si>
  <si>
    <t>-701.973324127783 35.1248189323369 -529.081478103679</t>
  </si>
  <si>
    <t>-685.00404327562 188.218374909116 -504.359908710104</t>
  </si>
  <si>
    <t>-651.914105401332 214.361996392815 -225.433145077568</t>
  </si>
  <si>
    <t>-424.653387990627 170.502485143481 -206.005217581117</t>
  </si>
  <si>
    <t>-648.875015139655 109.35155940369 -96.2439447885754</t>
  </si>
  <si>
    <t>-651.618888864241 132.535178808828 318.674846925574</t>
  </si>
  <si>
    <t>-669.098350648275 183.875689470663 778.535954453302</t>
  </si>
  <si>
    <t>-517.741759480352 187.344960356164 832.969067168496</t>
  </si>
  <si>
    <t>-620.818327604477 -80.7759416023484 321.417282810374</t>
  </si>
  <si>
    <t>-656.357180982005 -109.097718398039 782.288418425316</t>
  </si>
  <si>
    <t>-503.168223819929 -118.101260040584 830.619631632076</t>
  </si>
  <si>
    <t>9763-20170724T115629.722886400.bin</t>
  </si>
  <si>
    <t>-636.45248412044 16.9382562191586 -93.4129731717691</t>
  </si>
  <si>
    <t>-658.876610713927 12.5389572324045 -201.742570175375</t>
  </si>
  <si>
    <t>-672.30035052687 9.61135179961934 -293.596045432414</t>
  </si>
  <si>
    <t>-683.170463637878 7.13054886376676 -376.745406036232</t>
  </si>
  <si>
    <t>-692.217611693149 4.86433470479938 -460.118996394091</t>
  </si>
  <si>
    <t>-703.439896617425 1.76927560428135 -582.223199014347</t>
  </si>
  <si>
    <t>-692.166587313302 3.38567474777346 -659.750566085173</t>
  </si>
  <si>
    <t>-701.502676379587 34.341746410817 -529.161523819561</t>
  </si>
  <si>
    <t>-685.937592714514 187.559747747403 -504.308766015019</t>
  </si>
  <si>
    <t>-654.068746034618 214.041248876204 -225.271708318245</t>
  </si>
  <si>
    <t>-426.712387793092 170.547985563693 -206.14208976227</t>
  </si>
  <si>
    <t>-650.126474420978 108.244036458217 -96.0632155800323</t>
  </si>
  <si>
    <t>-653.159256703828 132.111777779235 318.814759665812</t>
  </si>
  <si>
    <t>-669.2190100592 183.969825568446 778.630088752035</t>
  </si>
  <si>
    <t>-517.780580160482 187.577354988916 832.82602896044</t>
  </si>
  <si>
    <t>-620.621036336363 -81.3662727213846 321.374644883366</t>
  </si>
  <si>
    <t>-656.390891269087 -109.222396942333 782.258421663665</t>
  </si>
  <si>
    <t>-503.205472656349 -118.297685416129 830.587394036688</t>
  </si>
  <si>
    <t>9763-20170724T115629.759985600.bin</t>
  </si>
  <si>
    <t>-636.694047572615 16.4517782946859 -93.3575903546609</t>
  </si>
  <si>
    <t>-659.025986175106 12.062805919282 -201.706666462261</t>
  </si>
  <si>
    <t>-672.337761856896 9.1460305850494 -293.576780888253</t>
  </si>
  <si>
    <t>-683.092641647605 6.67348259248911 -376.741488036627</t>
  </si>
  <si>
    <t>-692.010656501061 4.41605290336383 -460.129090844866</t>
  </si>
  <si>
    <t>-703.028796329396 1.33523912494752 -582.252137408088</t>
  </si>
  <si>
    <t>-691.656519624497 3.01823972313537 -659.763695555313</t>
  </si>
  <si>
    <t>-701.306704645575 33.889306514362 -529.171988240941</t>
  </si>
  <si>
    <t>-686.402923673367 187.159148055318 -504.216993212951</t>
  </si>
  <si>
    <t>-655.090450995781 214.031223610485 -225.154267843596</t>
  </si>
  <si>
    <t>-427.644267073369 170.900389631039 -206.273300623604</t>
  </si>
  <si>
    <t>-650.650797831926 107.6247313826 -95.9829193438588</t>
  </si>
  <si>
    <t>-653.810817944277 131.929467899417 318.868735089929</t>
  </si>
  <si>
    <t>-669.313795091588 184.033048246572 778.677255307781</t>
  </si>
  <si>
    <t>-517.811425201449 187.588245477903 832.697863415844</t>
  </si>
  <si>
    <t>-620.551959644597 -81.6870236097511 321.375601796838</t>
  </si>
  <si>
    <t>-656.379936281399 -109.227600475282 782.256661543447</t>
  </si>
  <si>
    <t>-503.17960013717 -117.916029338918 830.609428746216</t>
  </si>
  <si>
    <t>9763-20170724T115629.824157400.bin</t>
  </si>
  <si>
    <t>-636.99157656257 15.2700842157178 -93.309732424425</t>
  </si>
  <si>
    <t>-659.201086365191 10.9085129370535 -201.685076031063</t>
  </si>
  <si>
    <t>-672.330878129718 8.01771307883723 -293.58222125474</t>
  </si>
  <si>
    <t>-682.889185566834 5.56675007582521 -376.772773420385</t>
  </si>
  <si>
    <t>-691.578782254444 3.3328788882111 -460.185182934399</t>
  </si>
  <si>
    <t>-702.228130729679 0.289677676368456 -582.341827534686</t>
  </si>
  <si>
    <t>-690.718611084126 2.06488601283286 -659.831108806394</t>
  </si>
  <si>
    <t>-700.888536531147 32.8048754604058 -529.226715449054</t>
  </si>
  <si>
    <t>-686.927798574216 186.144487735893 -504.103384158727</t>
  </si>
  <si>
    <t>-657.207806778106 213.770957328267 -224.940262324658</t>
  </si>
  <si>
    <t>-429.556612558088 171.627256299092 -206.302296713071</t>
  </si>
  <si>
    <t>-651.385321661252 106.339149704711 -95.8371658561321</t>
  </si>
  <si>
    <t>-654.758993401867 131.460576888114 318.964140715429</t>
  </si>
  <si>
    <t>-669.553507732939 184.237914638456 778.733611026027</t>
  </si>
  <si>
    <t>-517.89633241935 187.760000368534 832.320208672573</t>
  </si>
  <si>
    <t>-620.308640108533 -82.3768707242882 321.370256008957</t>
  </si>
  <si>
    <t>-656.270198964444 -109.288176330917 782.280750424509</t>
  </si>
  <si>
    <t>-503.144454631054 -118.128958799438 830.841736248094</t>
  </si>
  <si>
    <t>9763-20170724T115629.862764400.bin</t>
  </si>
  <si>
    <t>-637.055105934735 14.5058884087762 -93.2813427045637</t>
  </si>
  <si>
    <t>-659.170877908838 10.1638485132371 -201.676627550875</t>
  </si>
  <si>
    <t>-672.229923937145 7.27983182930575 -293.584107811116</t>
  </si>
  <si>
    <t>-682.727675645547 4.8298424163213 -376.782175682433</t>
  </si>
  <si>
    <t>-691.360276609885 2.593850716406 -460.200434798939</t>
  </si>
  <si>
    <t>-690.402223978141 1.343714889701 -659.849972459335</t>
  </si>
  <si>
    <t>-700.721326028814 32.0522378960359 -529.240942329377</t>
  </si>
  <si>
    <t>-687.137103107209 185.410407545103 -504.053958153972</t>
  </si>
  <si>
    <t>-658.291849222157 213.432532673756 -224.838529076304</t>
  </si>
  <si>
    <t>-430.538547964841 171.935431784111 -205.99815746947</t>
  </si>
  <si>
    <t>-651.609695601273 105.469144288959 -95.7521890437203</t>
  </si>
  <si>
    <t>-655.109192482609 131.192930184885 319.011196323546</t>
  </si>
  <si>
    <t>-669.680969206152 184.355208110509 778.747389023995</t>
  </si>
  <si>
    <t>-517.937852449318 187.911394788244 832.087934672982</t>
  </si>
  <si>
    <t>-620.170138842826 -82.9140004118262 321.37736823076</t>
  </si>
  <si>
    <t>-656.206719009084 -109.3097108878 782.302661856251</t>
  </si>
  <si>
    <t>-503.106052824944 -117.974339555248 830.974379053807</t>
  </si>
  <si>
    <t>9763-20170724T115629.927436100.bin</t>
  </si>
  <si>
    <t>-637.07747585186 12.7155972134594 -93.1588434180724</t>
  </si>
  <si>
    <t>-658.967591956426 8.3702114147502 -201.599746627382</t>
  </si>
  <si>
    <t>-671.869711462588 5.48217170397811 -293.529228715777</t>
  </si>
  <si>
    <t>-682.238891189142 3.02603431995112 -376.743368516426</t>
  </si>
  <si>
    <t>-690.756511407773 0.785381515281188 -460.173351151397</t>
  </si>
  <si>
    <t>-700.221254007249 30.2197433827248 -529.209893236654</t>
  </si>
  <si>
    <t>-687.591369156588 183.663648433756 -504.040894121794</t>
  </si>
  <si>
    <t>-660.190187905323 212.288981919048 -224.741103113335</t>
  </si>
  <si>
    <t>-432.190385122199 172.396033001204 -205.423248965559</t>
  </si>
  <si>
    <t>-651.897119357327 103.443180006593 -95.5923156675132</t>
  </si>
  <si>
    <t>-655.320981997207 130.428310492275 319.0915112614</t>
  </si>
  <si>
    <t>-669.863936425663 184.492983579833 778.751029854732</t>
  </si>
  <si>
    <t>-517.982341532834 188.235192126281 831.683153774504</t>
  </si>
  <si>
    <t>-620.036712954684 -84.5215678991142 321.404008491824</t>
  </si>
  <si>
    <t>-656.127128059339 -109.384836501697 782.359376603868</t>
  </si>
  <si>
    <t>-503.084324477075 -118.104489625825 831.202878023698</t>
  </si>
  <si>
    <t>9763-20170724T115629.959526000.bin</t>
  </si>
  <si>
    <t>-637.100490595318 11.7243888594264 -93.118752270964</t>
  </si>
  <si>
    <t>-658.859752997905 7.33737457583266 -201.584287839631</t>
  </si>
  <si>
    <t>-671.679285200158 4.42917178080256 -293.524716188822</t>
  </si>
  <si>
    <t>-681.984831914811 1.95896545138135 -376.746356363897</t>
  </si>
  <si>
    <t>-699.970019604865 29.1308543798846 -529.216159495588</t>
  </si>
  <si>
    <t>-687.86713253652 182.615088104038 -504.066751175488</t>
  </si>
  <si>
    <t>-661.119553817106 211.417515929891 -224.721809445902</t>
  </si>
  <si>
    <t>-432.9698884272 172.41905825909 -205.34721209784</t>
  </si>
  <si>
    <t>-652.127902323655 102.344706202275 -95.5402078274417</t>
  </si>
  <si>
    <t>-655.227058600781 130.062466515253 319.097832399861</t>
  </si>
  <si>
    <t>-669.913266080014 184.523980164715 778.733112234707</t>
  </si>
  <si>
    <t>-517.986053799809 188.411068901865 831.523693879195</t>
  </si>
  <si>
    <t>-620.008086983168 -85.533929699631 321.416725909248</t>
  </si>
  <si>
    <t>-656.100538148536 -109.398753595519 782.389889974726</t>
  </si>
  <si>
    <t>-503.076215025173 -118.099235143867 831.294755160631</t>
  </si>
  <si>
    <t>9763-20170724T115630.028678500.bin</t>
  </si>
  <si>
    <t>-637.27804597576 9.7660491830818 -93.0666955543895</t>
  </si>
  <si>
    <t>-658.46588066907 5.57336946139276 -201.653098930331</t>
  </si>
  <si>
    <t>-670.978577452262 2.74474258341911 -293.638202956566</t>
  </si>
  <si>
    <t>-681.077795371957 0.311054670549083 -376.886149258714</t>
  </si>
  <si>
    <t>-699.019516418425 27.452764720746 -529.371640591046</t>
  </si>
  <si>
    <t>-687.750664972209 181.003027080467 -504.232943607192</t>
  </si>
  <si>
    <t>-662.15700467024 210.248931127823 -224.825884972188</t>
  </si>
  <si>
    <t>-433.710080859841 173.067016761129 -205.382861789697</t>
  </si>
  <si>
    <t>-652.449424998594 99.8845751003289 -95.3342110753343</t>
  </si>
  <si>
    <t>-654.721398147339 129.496339165314 319.178227696925</t>
  </si>
  <si>
    <t>-669.973703540973 184.551329459284 778.699139149298</t>
  </si>
  <si>
    <t>-517.982594310916 188.82941667782 831.275072580924</t>
  </si>
  <si>
    <t>-620.178771124248 -87.8848270213691 321.352340222399</t>
  </si>
  <si>
    <t>-656.063071132175 -109.520212216974 782.437646335674</t>
  </si>
  <si>
    <t>-503.039745906486 -117.63202422481 831.446603575384</t>
  </si>
  <si>
    <t>9763-20170724T115630.061771600.bin</t>
  </si>
  <si>
    <t>-637.320924381133 8.95571760158214 -92.9922664916135</t>
  </si>
  <si>
    <t>-658.265254260643 4.82407208309678 -201.628255204067</t>
  </si>
  <si>
    <t>-670.682462118615 2.0090866533294 -293.626681179329</t>
  </si>
  <si>
    <t>-698.790510576322 26.6633217425506 -529.363302926339</t>
  </si>
  <si>
    <t>-687.854479972239 180.242959274218 -504.222612694969</t>
  </si>
  <si>
    <t>-662.65103579629 209.536415199799 -224.785119157544</t>
  </si>
  <si>
    <t>-434.044402484263 173.317976072309 -205.400765016537</t>
  </si>
  <si>
    <t>-652.609344537349 98.7685225269977 -95.2008837826685</t>
  </si>
  <si>
    <t>-654.400727298199 129.179287282079 319.256135250447</t>
  </si>
  <si>
    <t>-669.946376280109 184.621975427133 778.684776069903</t>
  </si>
  <si>
    <t>-517.953850735233 189.214138949192 831.230102840289</t>
  </si>
  <si>
    <t>-620.435885988314 -89.0312379341258 321.318445799161</t>
  </si>
  <si>
    <t>-656.059349514582 -109.602720520065 782.454894783503</t>
  </si>
  <si>
    <t>-503.025653724537 -117.375013193634 831.486590337674</t>
  </si>
  <si>
    <t>9763-20170724T115630.128474800.bin</t>
  </si>
  <si>
    <t>-637.219524933487 7.00107590006064 -92.8398400182552</t>
  </si>
  <si>
    <t>-657.950814577732 2.83855911430624 -201.515508161571</t>
  </si>
  <si>
    <t>-698.977468086342 24.3300395375145 -529.223690741523</t>
  </si>
  <si>
    <t>-688.743528467238 177.975160195182 -504.187501247866</t>
  </si>
  <si>
    <t>-664.144242164271 207.330973782606 -224.702806283575</t>
  </si>
  <si>
    <t>-435.232267236758 173.03035606235 -205.433242748587</t>
  </si>
  <si>
    <t>-652.79586018693 96.2764135056291 -94.9813519532697</t>
  </si>
  <si>
    <t>-653.761834960847 128.388905442715 319.349995391963</t>
  </si>
  <si>
    <t>-669.867327692299 184.713974664905 778.60263351921</t>
  </si>
  <si>
    <t>-517.894290494136 189.631313750584 831.175024459279</t>
  </si>
  <si>
    <t>-620.69124856347 -91.230541792652 321.342938135938</t>
  </si>
  <si>
    <t>-656.037443675911 -109.849947819089 782.514794953488</t>
  </si>
  <si>
    <t>-503.011082923751 -117.353850016901 831.61110188062</t>
  </si>
  <si>
    <t>9763-20170724T115630.159557600.bin</t>
  </si>
  <si>
    <t>-637.110612487306 5.89400782959092 -92.8113048355582</t>
  </si>
  <si>
    <t>-657.839890660574 1.63919483193467 -201.48375157073</t>
  </si>
  <si>
    <t>-699.316120690594 22.9189720843817 -529.148330996294</t>
  </si>
  <si>
    <t>-689.406542569576 176.602387465064 -504.217814467856</t>
  </si>
  <si>
    <t>-665.187991462462 205.987792714628 -224.702943983329</t>
  </si>
  <si>
    <t>-436.171461891329 172.490598455267 -205.26335659167</t>
  </si>
  <si>
    <t>-652.891840733608 95.0573527614699 -94.9571574186187</t>
  </si>
  <si>
    <t>-653.227717222473 127.958162454359 319.313318080461</t>
  </si>
  <si>
    <t>-669.795354868917 184.736487070508 778.520273460822</t>
  </si>
  <si>
    <t>-517.851967936982 189.837103338654 831.160650687253</t>
  </si>
  <si>
    <t>-620.666926240306 -92.1770413567756 321.389508445995</t>
  </si>
  <si>
    <t>-656.029337075779 -109.984536185488 782.558399614001</t>
  </si>
  <si>
    <t>-503.025054553152 -117.679216650298 831.693968053935</t>
  </si>
  <si>
    <t>9763-20170724T115630.224233300.bin</t>
  </si>
  <si>
    <t>-636.814250206501 3.76718893677116 -92.7445097192001</t>
  </si>
  <si>
    <t>-699.919878987009 20.120887854684 -528.985618083516</t>
  </si>
  <si>
    <t>-690.69896602787 173.875449876879 -504.249157566921</t>
  </si>
  <si>
    <t>-666.89305311338 203.453294350053 -224.719190376399</t>
  </si>
  <si>
    <t>-437.726427344262 171.356196467342 -204.694925798127</t>
  </si>
  <si>
    <t>-653.041645692634 92.7904955654601 -94.9176601288734</t>
  </si>
  <si>
    <t>-652.003877946321 127.286741841737 319.221883494573</t>
  </si>
  <si>
    <t>-669.628665186827 184.790268266495 778.309559272981</t>
  </si>
  <si>
    <t>-517.764107667053 190.396508942039 831.125662042205</t>
  </si>
  <si>
    <t>-620.409538300818 -93.6040522605456 321.493486007932</t>
  </si>
  <si>
    <t>-655.999502590013 -110.239269725271 782.638197873433</t>
  </si>
  <si>
    <t>-503.011284703844 -117.75293271193 831.851773810376</t>
  </si>
  <si>
    <t>9763-20170724T115630.257350000.bin</t>
  </si>
  <si>
    <t>-636.608820960729 2.89323197113799 -92.7335905098892</t>
  </si>
  <si>
    <t>-700.129002175672 18.8408246635884 -528.932766440168</t>
  </si>
  <si>
    <t>-691.224862323062 172.647582504019 -504.361596902151</t>
  </si>
  <si>
    <t>-667.789606890197 202.230927130359 -224.800851661357</t>
  </si>
  <si>
    <t>-438.543688043728 170.886742780505 -204.493506973656</t>
  </si>
  <si>
    <t>-652.989035700133 91.9313196200867 -94.9324293444097</t>
  </si>
  <si>
    <t>-651.423059086588 126.962845338686 319.160439537146</t>
  </si>
  <si>
    <t>-669.547132198553 184.812621560315 778.190161241077</t>
  </si>
  <si>
    <t>-517.717835844509 190.707772536611 831.076134413184</t>
  </si>
  <si>
    <t>-620.218544451278 -94.0393464409813 321.538430479323</t>
  </si>
  <si>
    <t>-655.986559599473 -110.301581258622 782.673660771459</t>
  </si>
  <si>
    <t>-503.007451496168 -117.78377490965 831.920298791903</t>
  </si>
  <si>
    <t>9763-20170724T115630.325381100.bin</t>
  </si>
  <si>
    <t>-636.177622722211 1.47591522530547 -92.7989126322351</t>
  </si>
  <si>
    <t>-700.60253061235 16.5736059795493 -528.900214708572</t>
  </si>
  <si>
    <t>-692.167174274354 170.456400861566 -504.670312479741</t>
  </si>
  <si>
    <t>-669.448554292665 200.30574536227 -225.07867956718</t>
  </si>
  <si>
    <t>-440.11735229451 169.973117179003 -204.206064036601</t>
  </si>
  <si>
    <t>-652.838239979323 90.58546185365 -95.0363711820274</t>
  </si>
  <si>
    <t>-650.506613542319 126.395424400488 318.986365496805</t>
  </si>
  <si>
    <t>-669.409446351004 184.845957829563 777.929017359634</t>
  </si>
  <si>
    <t>-517.646950596801 190.990990874178 830.97817745522</t>
  </si>
  <si>
    <t>-619.910554700912 -94.613449139624 321.587196148984</t>
  </si>
  <si>
    <t>-656.004419085336 -110.500758743247 782.708585210768</t>
  </si>
  <si>
    <t>-503.028952195643 -118.028588476793 831.959599252012</t>
  </si>
  <si>
    <t>9763-20170724T115630.359513100.bin</t>
  </si>
  <si>
    <t>-635.972182561976 0.930132372443495 -92.8389519354781</t>
  </si>
  <si>
    <t>-700.929457231634 15.7756218783552 -528.874075595981</t>
  </si>
  <si>
    <t>-692.610165749578 169.682321608109 -504.780598770541</t>
  </si>
  <si>
    <t>-670.370308077289 199.946373924925 -225.195067489541</t>
  </si>
  <si>
    <t>-441.0407689413 169.851741348043 -203.962760005672</t>
  </si>
  <si>
    <t>-652.669339779747 90.1348636096086 -95.1064753799681</t>
  </si>
  <si>
    <t>-650.209297457822 126.107875451513 318.901318135385</t>
  </si>
  <si>
    <t>-669.32732817643 184.878774700238 777.800538761119</t>
  </si>
  <si>
    <t>-517.606675507013 191.112021770475 830.958905593157</t>
  </si>
  <si>
    <t>-619.831619219627 -94.7264163020068 321.582736112949</t>
  </si>
  <si>
    <t>-656.031302901758 -110.542048905961 782.710303492179</t>
  </si>
  <si>
    <t>-503.034798308725 -117.806762503592 831.935415825406</t>
  </si>
  <si>
    <t>9763-20170724T115630.423678100.bin</t>
  </si>
  <si>
    <t>-635.532774738738 0.261616174557503 -92.9365861741303</t>
  </si>
  <si>
    <t>-701.377105960863 14.7841162568234 -528.864041004257</t>
  </si>
  <si>
    <t>-692.842926904205 168.69784945947 -504.861816498389</t>
  </si>
  <si>
    <t>-671.751687593827 199.94817073848 -225.295903544703</t>
  </si>
  <si>
    <t>-442.458039615942 170.038377587159 -203.424181376859</t>
  </si>
  <si>
    <t>-652.255433538331 89.577710368942 -95.2355660765808</t>
  </si>
  <si>
    <t>-649.527931452223 125.82823679073 318.746393586904</t>
  </si>
  <si>
    <t>-669.202366198125 184.929871012146 777.601687767152</t>
  </si>
  <si>
    <t>-517.53539914882 191.217027435236 830.906575128573</t>
  </si>
  <si>
    <t>-619.715694052074 -94.8815259688561 321.537081668856</t>
  </si>
  <si>
    <t>-656.101535298095 -110.64732764028 782.686622736168</t>
  </si>
  <si>
    <t>-503.062278962059 -117.52608776482 831.83421523789</t>
  </si>
  <si>
    <t>9763-20170724T115630.505901700.bin</t>
  </si>
  <si>
    <t>-635.334371700897 0.0797823772677475 -92.9666928457821</t>
  </si>
  <si>
    <t>-701.552405529031 14.4184327532998 -528.848621918776</t>
  </si>
  <si>
    <t>-692.991178821269 168.338114269663 -504.911021938952</t>
  </si>
  <si>
    <t>-672.404896280815 199.996795366087 -225.353194877802</t>
  </si>
  <si>
    <t>-443.108469396198 170.297550874208 -203.225364269985</t>
  </si>
  <si>
    <t>-652.03801565162 89.4520721318431 -95.2900681838008</t>
  </si>
  <si>
    <t>-649.096255605109 125.825895889403 318.679623189009</t>
  </si>
  <si>
    <t>-669.165806653806 184.933945443918 777.51257711179</t>
  </si>
  <si>
    <t>-517.515493035912 191.173862183414 830.870466060876</t>
  </si>
  <si>
    <t>-619.677064508828 -94.8482498852786 321.518058514387</t>
  </si>
  <si>
    <t>-656.153229815122 -110.71989540728 782.665962922497</t>
  </si>
  <si>
    <t>-503.087489432668 -117.450972148941 831.751530857358</t>
  </si>
  <si>
    <t>9763-20170724T115630.526957500.bin</t>
  </si>
  <si>
    <t>-634.916844630585 0.126777468767159 -93.0531113303789</t>
  </si>
  <si>
    <t>-702.165385097682 14.1297675630462 -528.793886990828</t>
  </si>
  <si>
    <t>-693.499310260899 168.07049355829 -505.027974775448</t>
  </si>
  <si>
    <t>-673.922040734144 200.356343416234 -225.469505495259</t>
  </si>
  <si>
    <t>-444.637724034802 170.829161967859 -202.989171906456</t>
  </si>
  <si>
    <t>-651.535930790272 89.7301712753836 -95.4141622025102</t>
  </si>
  <si>
    <t>-648.3517914646 125.91291535251 318.57047932203</t>
  </si>
  <si>
    <t>-669.091298734407 184.983126554604 777.368959573678</t>
  </si>
  <si>
    <t>-517.465901224339 191.309417626785 830.787543049379</t>
  </si>
  <si>
    <t>-619.494460425091 -94.3022938259135 321.486376130294</t>
  </si>
  <si>
    <t>-656.324046370117 -110.785035908132 782.606146626607</t>
  </si>
  <si>
    <t>-503.16481131643 -117.085658124221 831.456589021549</t>
  </si>
  <si>
    <t>9763-20170724T115630.638093700.bin</t>
  </si>
  <si>
    <t>-634.738507074559 0.266181795885586 -93.1084418069411</t>
  </si>
  <si>
    <t>-702.525597198025 14.1640398885038 -528.769918834705</t>
  </si>
  <si>
    <t>-693.801359126404 168.109112016016 -505.055750636059</t>
  </si>
  <si>
    <t>-674.688113383447 200.739806110488 -225.505124811802</t>
  </si>
  <si>
    <t>-445.437595129895 171.052385740476 -202.891408219233</t>
  </si>
  <si>
    <t>-651.313685506885 89.9290921828062 -95.4801161772654</t>
  </si>
  <si>
    <t>-648.092444780828 125.996679535337 318.514287390249</t>
  </si>
  <si>
    <t>-669.059066699037 185.013675172386 777.305042427603</t>
  </si>
  <si>
    <t>-517.439490992274 191.29393037578 830.745636147926</t>
  </si>
  <si>
    <t>-619.349920945654 -94.0383079663454 321.471398922734</t>
  </si>
  <si>
    <t>-656.414049082211 -110.839638703157 782.571977091171</t>
  </si>
  <si>
    <t>-503.222462245108 -117.306513725093 831.299229949122</t>
  </si>
  <si>
    <t>9763-20170724T115630.659156200.bin</t>
  </si>
  <si>
    <t>-634.274905462355 1.14508198068415 -93.2149461707222</t>
  </si>
  <si>
    <t>-703.284782393965 14.9613770823246 -528.677084608632</t>
  </si>
  <si>
    <t>-694.980752934446 168.933306275165 -504.972836427282</t>
  </si>
  <si>
    <t>-677.22272409478 202.496824166898 -225.443201824953</t>
  </si>
  <si>
    <t>-448.091748176176 171.891605524442 -202.841389712239</t>
  </si>
  <si>
    <t>-650.672516314371 90.9976602622048 -95.6568965376572</t>
  </si>
  <si>
    <t>-647.707011577315 126.379400792447 318.398618648455</t>
  </si>
  <si>
    <t>-669.00215975036 185.112037305888 777.192331487507</t>
  </si>
  <si>
    <t>-517.392628390633 191.306305143305 830.671388220028</t>
  </si>
  <si>
    <t>-618.954401300118 -93.3982416224919 321.429979301791</t>
  </si>
  <si>
    <t>-656.481857150582 -110.894755304665 782.51356287156</t>
  </si>
  <si>
    <t>-503.274653399982 -117.518051224791 831.170562284389</t>
  </si>
  <si>
    <t>9763-20170724T115630.725026100.bin</t>
  </si>
  <si>
    <t>-634.028831665582 1.97694126332226 -93.2605909372237</t>
  </si>
  <si>
    <t>-703.66845355781 16.0030876139278 -528.606025450828</t>
  </si>
  <si>
    <t>-695.773744908163 169.970003400587 -504.779832778055</t>
  </si>
  <si>
    <t>-678.885242586711 203.632091835812 -225.208414618159</t>
  </si>
  <si>
    <t>-449.825311721619 172.429409453051 -202.703285266735</t>
  </si>
  <si>
    <t>-650.342918163098 91.8867227916044 -95.7328808963067</t>
  </si>
  <si>
    <t>-647.680758062613 126.723177340524 318.370859586941</t>
  </si>
  <si>
    <t>-668.973726255705 185.212850220865 777.175979136589</t>
  </si>
  <si>
    <t>-517.363798564048 191.365740456141 830.658662851886</t>
  </si>
  <si>
    <t>-618.83634208678 -92.8879395930865 321.403683020329</t>
  </si>
  <si>
    <t>-656.48384625292 -110.916766962619 782.486197879764</t>
  </si>
  <si>
    <t>-503.280764578788 -117.403408308247 831.174620738221</t>
  </si>
  <si>
    <t>9763-20170724T115630.792793800.bin</t>
  </si>
  <si>
    <t>-633.898075212443 2.8144071406598 -93.2811446682856</t>
  </si>
  <si>
    <t>-703.739957894524 17.2712113014129 -528.552378869124</t>
  </si>
  <si>
    <t>-696.336388151615 171.23874659901 -504.532121391561</t>
  </si>
  <si>
    <t>-680.809224194266 205.438978989887 -224.946920592848</t>
  </si>
  <si>
    <t>-451.89247685467 173.267063611748 -202.349837099099</t>
  </si>
  <si>
    <t>-650.098093049269 92.8459288868503 -95.8000402022632</t>
  </si>
  <si>
    <t>-647.665500031631 127.174266016202 318.347584972923</t>
  </si>
  <si>
    <t>-668.948200800716 185.279471585211 777.202769045024</t>
  </si>
  <si>
    <t>-517.336822657176 191.26283894039 830.700615081897</t>
  </si>
  <si>
    <t>-618.904964384864 -92.3134332120032 321.398103853102</t>
  </si>
  <si>
    <t>-656.508746578252 -110.914130201714 782.464239712504</t>
  </si>
  <si>
    <t>-503.301076537182 -117.350567167633 831.144869767907</t>
  </si>
  <si>
    <t>9763-20170724T115630.825880300.bin</t>
  </si>
  <si>
    <t>-633.865983008785 3.23405610979285 -93.30033020035</t>
  </si>
  <si>
    <t>-703.232492002296 17.9867868392212 -528.610916363017</t>
  </si>
  <si>
    <t>-696.190890064234 171.952858789617 -504.477542197339</t>
  </si>
  <si>
    <t>-681.454044405624 206.300913531563 -224.867845664061</t>
  </si>
  <si>
    <t>-452.604422097602 173.765406859495 -202.112067931256</t>
  </si>
  <si>
    <t>-649.979025104298 93.3657403413481 -95.8409601635194</t>
  </si>
  <si>
    <t>-647.684488496752 127.373463165839 318.333855504835</t>
  </si>
  <si>
    <t>-668.953950974956 185.316322554109 777.21399065626</t>
  </si>
  <si>
    <t>-517.336101721205 191.257444648212 830.698085136856</t>
  </si>
  <si>
    <t>-618.954778946529 -92.0372735715705 321.39151447641</t>
  </si>
  <si>
    <t>-656.516791292801 -110.933607803295 782.458398523388</t>
  </si>
  <si>
    <t>-503.326462249612 -117.697194679048 831.149239867337</t>
  </si>
  <si>
    <t>9763-20170724T115630.888601000.bin</t>
  </si>
  <si>
    <t>-633.902273598507 4.01615775505502 -93.3238363670384</t>
  </si>
  <si>
    <t>-702.089554876636 19.51322423025 -528.735889954105</t>
  </si>
  <si>
    <t>-695.910738257982 173.44279656329 -504.175854302889</t>
  </si>
  <si>
    <t>-682.677361520991 208.466045197273 -224.574701935293</t>
  </si>
  <si>
    <t>-453.980638916505 175.306604169815 -201.191353896864</t>
  </si>
  <si>
    <t>-649.913680292883 94.3378701960105 -95.8874406508321</t>
  </si>
  <si>
    <t>-647.880308262457 127.774989512566 318.335294310744</t>
  </si>
  <si>
    <t>-668.943757042077 185.352448655126 777.259135559653</t>
  </si>
  <si>
    <t>-517.319433440289 191.15097813379 830.740486479417</t>
  </si>
  <si>
    <t>-619.161912920891 -91.4595678601734 321.39766147369</t>
  </si>
  <si>
    <t>-656.527025552983 -110.975054804068 782.457713775753</t>
  </si>
  <si>
    <t>-503.363572071034 -118.119590874216 831.17869810276</t>
  </si>
  <si>
    <t>9763-20170724T115630.926668500.bin</t>
  </si>
  <si>
    <t>-633.896098824296 4.42637429429215 -93.3618015423941</t>
  </si>
  <si>
    <t>-701.695803221737 20.3389840859916 -528.784224608386</t>
  </si>
  <si>
    <t>-695.999189598567 174.244597342685 -503.913886457914</t>
  </si>
  <si>
    <t>-683.711025646237 209.90163202555 -224.349548744549</t>
  </si>
  <si>
    <t>-455.071515717397 176.490193597428 -200.766103140519</t>
  </si>
  <si>
    <t>-649.813730035311 94.8457381410294 -95.9506765360948</t>
  </si>
  <si>
    <t>-648.096641045715 127.962361070807 318.29918139039</t>
  </si>
  <si>
    <t>-668.944697992421 185.381549950808 777.2750746496</t>
  </si>
  <si>
    <t>-517.31073843548 191.148271519304 830.732753678366</t>
  </si>
  <si>
    <t>-619.377753720602 -91.1188817645238 321.394870597987</t>
  </si>
  <si>
    <t>-656.543210233498 -110.907698039883 782.459322966932</t>
  </si>
  <si>
    <t>-503.33472049578 -117.287408855773 831.144931171561</t>
  </si>
  <si>
    <t>9763-20170724T115630.964272300.bin</t>
  </si>
  <si>
    <t>-633.834911043382 4.73737658389064 -93.4131345314175</t>
  </si>
  <si>
    <t>-701.356360632011 21.0228317003732 -528.82609754817</t>
  </si>
  <si>
    <t>-696.119268671328 174.910084899118 -503.687561175361</t>
  </si>
  <si>
    <t>-685.008461108001 211.192166270721 -224.154523263117</t>
  </si>
  <si>
    <t>-456.397750642942 177.649707629768 -200.477924958432</t>
  </si>
  <si>
    <t>-649.681559309054 95.2635118901628 -96.0389856543715</t>
  </si>
  <si>
    <t>-648.270088392119 128.137377913047 318.231326262747</t>
  </si>
  <si>
    <t>-668.961691786271 185.401023854217 777.266090557594</t>
  </si>
  <si>
    <t>-517.313941903659 191.119324207747 830.689699701734</t>
  </si>
  <si>
    <t>-619.579865093582 -90.8880495563174 321.385301442568</t>
  </si>
  <si>
    <t>-656.56806481463 -110.959744675524 782.461897291111</t>
  </si>
  <si>
    <t>-503.381225756553 -117.902225983022 831.138415711065</t>
  </si>
  <si>
    <t>9763-20170724T115631.024970000.bin</t>
  </si>
  <si>
    <t>-633.804124919456 5.41053020438358 -93.433453605894</t>
  </si>
  <si>
    <t>-656.212571488383 0.463686158879455 -201.742595403597</t>
  </si>
  <si>
    <t>-700.787632855621 22.4887914842991 -528.849623972188</t>
  </si>
  <si>
    <t>-696.659116301323 176.350781076637 -503.366037227995</t>
  </si>
  <si>
    <t>-687.837383762672 213.517173732646 -223.867459032205</t>
  </si>
  <si>
    <t>-459.222203335077 180.00388606917 -200.192950858566</t>
  </si>
  <si>
    <t>-649.548739600893 96.0211430390461 -96.1260839878981</t>
  </si>
  <si>
    <t>-648.39951929955 128.353857686425 318.187617473307</t>
  </si>
  <si>
    <t>-668.932876018843 185.463505770727 777.263970703323</t>
  </si>
  <si>
    <t>-517.288570670945 191.053488839478 830.710946789227</t>
  </si>
  <si>
    <t>-619.5133230352 -90.418963207728 321.380932815177</t>
  </si>
  <si>
    <t>-656.578278054005 -110.89800371345 782.455202963873</t>
  </si>
  <si>
    <t>-503.370309947751 -117.436650733758 831.12137277749</t>
  </si>
  <si>
    <t>9763-20170724T115631.062574500.bin</t>
  </si>
  <si>
    <t>-633.68595063237 5.74003842835054 -93.4321259126275</t>
  </si>
  <si>
    <t>-656.094226136272 0.778772488092727 -201.740738345772</t>
  </si>
  <si>
    <t>-700.752849732782 23.3293132428628 -528.779844682359</t>
  </si>
  <si>
    <t>-697.098141770048 177.153336160707 -503.013641926897</t>
  </si>
  <si>
    <t>-689.32072859194 214.554745996083 -223.515466108322</t>
  </si>
  <si>
    <t>-460.668470531632 181.103597738371 -200.112813390936</t>
  </si>
  <si>
    <t>-649.522237465642 96.326014974419 -96.1095887685972</t>
  </si>
  <si>
    <t>-648.576384329458 128.293009692053 318.233036987506</t>
  </si>
  <si>
    <t>-668.894868395291 185.514926560617 777.285457016217</t>
  </si>
  <si>
    <t>-517.26322816278 191.018772014819 830.777306597009</t>
  </si>
  <si>
    <t>-619.280649501532 -90.2220618835488 321.389438623267</t>
  </si>
  <si>
    <t>-656.561807087835 -110.937440759567 782.456934165519</t>
  </si>
  <si>
    <t>-503.402823712642 -118.202914245632 831.174058893935</t>
  </si>
  <si>
    <t>9763-20170724T115631.127750500.bin</t>
  </si>
  <si>
    <t>-633.258846318934 6.3177153767349 -93.3809404329788</t>
  </si>
  <si>
    <t>-655.697843047772 1.26706072493698 -201.679027435875</t>
  </si>
  <si>
    <t>-701.166119799938 24.9171981189545 -528.479898978023</t>
  </si>
  <si>
    <t>-698.484268316109 178.637489275396 -501.938584779965</t>
  </si>
  <si>
    <t>-691.755921017237 215.554564471732 -222.348798374586</t>
  </si>
  <si>
    <t>-463.023381361165 182.215263397009 -199.579448126054</t>
  </si>
  <si>
    <t>-649.482224781779 96.7608250745818 -96.0319206136793</t>
  </si>
  <si>
    <t>-648.94083616671 128.228347875106 318.349677095849</t>
  </si>
  <si>
    <t>-668.822141302216 185.608599865645 777.362849263077</t>
  </si>
  <si>
    <t>-517.216663203525 191.200609270263 830.919671470848</t>
  </si>
  <si>
    <t>-618.73819287721 -89.7573720067387 321.433303703587</t>
  </si>
  <si>
    <t>-656.524239613285 -110.818836769962 782.447449381135</t>
  </si>
  <si>
    <t>-503.363234481553 -117.652922193749 831.22061833447</t>
  </si>
  <si>
    <t>9763-20170724T115631.160340800.bin</t>
  </si>
  <si>
    <t>-633.008626289503 6.559521012799 -93.3384059672179</t>
  </si>
  <si>
    <t>-655.468151991969 1.48607336497776 -201.631187231368</t>
  </si>
  <si>
    <t>-701.377317724698 25.567086371075 -528.321851485051</t>
  </si>
  <si>
    <t>-699.187388233585 179.235390018276 -501.476175272094</t>
  </si>
  <si>
    <t>-692.742764194829 215.795901268517 -221.832826549328</t>
  </si>
  <si>
    <t>-464.021045973043 182.279153306624 -199.215769092462</t>
  </si>
  <si>
    <t>-649.466400648771 96.9633556064298 -95.9802369826335</t>
  </si>
  <si>
    <t>-649.073056875938 128.257389475786 318.414617734398</t>
  </si>
  <si>
    <t>-668.806546809624 185.637092859597 777.424761162574</t>
  </si>
  <si>
    <t>-517.207546188016 191.291403150185 830.993419463849</t>
  </si>
  <si>
    <t>-618.455305892376 -89.5645345803066 321.454388243002</t>
  </si>
  <si>
    <t>-656.505426070506 -110.819722129079 782.442453262795</t>
  </si>
  <si>
    <t>-503.360090498605 -117.73561872184 831.253210024074</t>
  </si>
  <si>
    <t>9763-20170724T115631.230090600.bin</t>
  </si>
  <si>
    <t>-632.698730372344 7.11920595631636 -93.2316750774283</t>
  </si>
  <si>
    <t>-655.191187189119 2.01374324823132 -201.516048487205</t>
  </si>
  <si>
    <t>-701.143999979977 26.7942033376801 -528.120607926088</t>
  </si>
  <si>
    <t>-699.519717277082 180.391715113292 -500.891660015561</t>
  </si>
  <si>
    <t>-694.719191806715 216.503242932814 -221.156931681713</t>
  </si>
  <si>
    <t>-466.023193172905 182.73302765531 -198.657290423527</t>
  </si>
  <si>
    <t>-649.57343132338 97.415304604795 -95.8369418590183</t>
  </si>
  <si>
    <t>-649.196034329456 128.392947923982 318.581771966805</t>
  </si>
  <si>
    <t>-668.774804457424 185.671629751561 777.588906533691</t>
  </si>
  <si>
    <t>-517.181191793152 191.309271152955 831.174505576058</t>
  </si>
  <si>
    <t>-617.959164909495 -89.1749047003268 321.495533938114</t>
  </si>
  <si>
    <t>-656.482260355824 -110.824984334761 782.432738487934</t>
  </si>
  <si>
    <t>-503.355700987025 -117.726471593951 831.304557972101</t>
  </si>
  <si>
    <t>9763-20170724T115631.258193100.bin</t>
  </si>
  <si>
    <t>-632.751425135706 7.41890147699883 -93.2047109227138</t>
  </si>
  <si>
    <t>-655.256929572958 2.30758654357919 -201.486103017978</t>
  </si>
  <si>
    <t>-700.984012197377 27.3234755868286 -528.095133781193</t>
  </si>
  <si>
    <t>-699.577499675642 180.908827322585 -500.785703979177</t>
  </si>
  <si>
    <t>-695.948206600236 216.872091167113 -221.014250027093</t>
  </si>
  <si>
    <t>-467.300919322528 182.92218446225 -198.290671003045</t>
  </si>
  <si>
    <t>-649.654450025997 97.7114046367201 -95.7837919937184</t>
  </si>
  <si>
    <t>-649.224461241588 128.565350988376 318.644045635736</t>
  </si>
  <si>
    <t>-668.76045624756 185.70583148308 777.668942883846</t>
  </si>
  <si>
    <t>-517.168222460501 191.350232818935 831.257804155368</t>
  </si>
  <si>
    <t>-617.844735993702 -89.0034153102702 321.520460168154</t>
  </si>
  <si>
    <t>-656.483709874048 -110.815482520664 782.430014282085</t>
  </si>
  <si>
    <t>-503.340656142748 -117.344408407149 831.301322136406</t>
  </si>
  <si>
    <t>9763-20170724T115631.327878000.bin</t>
  </si>
  <si>
    <t>-633.304863188987 7.85172922082711 -93.1878136585594</t>
  </si>
  <si>
    <t>-655.75623512335 2.77747539362326 -201.482204147701</t>
  </si>
  <si>
    <t>-669.236682975969 0.310207716585865 -293.341025948038</t>
  </si>
  <si>
    <t>-688.801252769347 0.278225465717469 -659.408650683505</t>
  </si>
  <si>
    <t>-700.726624238505 28.1126449592543 -528.162857433261</t>
  </si>
  <si>
    <t>-699.501436830431 181.693629314349 -500.785283579854</t>
  </si>
  <si>
    <t>-699.051022194325 217.928275534813 -221.025693244449</t>
  </si>
  <si>
    <t>-470.657420880693 182.811964851802 -197.536697784824</t>
  </si>
  <si>
    <t>-650.022686297492 98.2018646207923 -95.7350641921165</t>
  </si>
  <si>
    <t>-649.467951818955 128.893479016519 318.70477878237</t>
  </si>
  <si>
    <t>-668.774267575235 185.764972862698 777.784191269144</t>
  </si>
  <si>
    <t>-517.167306003429 191.292828073933 831.343390690462</t>
  </si>
  <si>
    <t>-618.134906546648 -88.8102066270048 321.52747115125</t>
  </si>
  <si>
    <t>-656.521531040549 -110.851687758701 782.4302266169</t>
  </si>
  <si>
    <t>-503.387915610773 -117.837303934487 831.267947329115</t>
  </si>
  <si>
    <t>9763-20170724T115631.359468600.bin</t>
  </si>
  <si>
    <t>-633.719803934081 7.95407218094238 -93.1941401920294</t>
  </si>
  <si>
    <t>-656.073355309527 2.92493067350188 -201.510888514282</t>
  </si>
  <si>
    <t>-669.43831977749 0.488432500198314 -293.387325763339</t>
  </si>
  <si>
    <t>-688.4630549974 0.577410812121343 -659.489229048639</t>
  </si>
  <si>
    <t>-700.539795571552 28.3638406016723 -528.252858602979</t>
  </si>
  <si>
    <t>-699.331322471447 181.955104349383 -500.904641674503</t>
  </si>
  <si>
    <t>-700.646875789419 218.458114199242 -221.182753072088</t>
  </si>
  <si>
    <t>-472.416889841548 182.510395936013 -197.36351290793</t>
  </si>
  <si>
    <t>-650.264999498541 98.3353843187731 -95.7348050157121</t>
  </si>
  <si>
    <t>-649.742387434599 128.956556725474 318.710201481846</t>
  </si>
  <si>
    <t>-668.79469979685 185.79034835194 777.813265593574</t>
  </si>
  <si>
    <t>-517.175453515677 191.237513184959 831.346129191744</t>
  </si>
  <si>
    <t>-618.43194269932 -88.8178463301656 321.508346810764</t>
  </si>
  <si>
    <t>-656.54804501705 -110.874565391791 782.433582473403</t>
  </si>
  <si>
    <t>-503.409094340646 -117.942591015739 831.242762719093</t>
  </si>
  <si>
    <t>9763-20170724T115631.422890000.bin</t>
  </si>
  <si>
    <t>-634.55047495106 8.12555232236105 -93.2126139178197</t>
  </si>
  <si>
    <t>-656.697763640173 3.18585583110394 -201.575957282377</t>
  </si>
  <si>
    <t>-669.826387772523 0.773548599671358 -293.487023627108</t>
  </si>
  <si>
    <t>-687.816742700672 0.831578661694266 -659.663779721966</t>
  </si>
  <si>
    <t>-700.159280567913 28.6177770923348 -528.462834316515</t>
  </si>
  <si>
    <t>-699.284887058039 182.265510192547 -501.435922026184</t>
  </si>
  <si>
    <t>-703.507543853623 219.491300061268 -221.838049012103</t>
  </si>
  <si>
    <t>-475.68142464442 181.695898958313 -197.032968821313</t>
  </si>
  <si>
    <t>-650.861950531606 98.5770690358568 -95.7576001026043</t>
  </si>
  <si>
    <t>-650.465485506212 128.994924856877 318.702520205729</t>
  </si>
  <si>
    <t>-668.79923706816 185.893907889162 777.841571127607</t>
  </si>
  <si>
    <t>-517.165504212871 191.288059197055 831.338717266651</t>
  </si>
  <si>
    <t>-618.948683330273 -88.8327433489528 321.467081181668</t>
  </si>
  <si>
    <t>-656.573670139957 -110.914803721594 782.43961434446</t>
  </si>
  <si>
    <t>-503.397346250442 -117.534254260012 831.194351107127</t>
  </si>
  <si>
    <t>9763-20170724T115631.460995600.bin</t>
  </si>
  <si>
    <t>-634.876723155473 8.14311074284637 -93.220030901405</t>
  </si>
  <si>
    <t>-656.953444882122 3.24239650074514 -201.599437443091</t>
  </si>
  <si>
    <t>-669.996629137381 0.832976636735339 -293.522845523906</t>
  </si>
  <si>
    <t>-687.581033214247 0.779009092131901 -659.724981090876</t>
  </si>
  <si>
    <t>-700.046667812218 28.624858133142 -528.545260271914</t>
  </si>
  <si>
    <t>-699.350855193024 182.31121599962 -501.743728866585</t>
  </si>
  <si>
    <t>-704.618167388283 219.828747654484 -222.202490600786</t>
  </si>
  <si>
    <t>-476.988544814411 181.394054877345 -196.588702053383</t>
  </si>
  <si>
    <t>-651.14287704197 98.6370953459448 -95.7521815567063</t>
  </si>
  <si>
    <t>-650.938746753875 128.928270999592 318.717385402666</t>
  </si>
  <si>
    <t>-668.809631884882 185.929729427688 777.857027415714</t>
  </si>
  <si>
    <t>-517.16618426932 191.263853080983 831.332625354006</t>
  </si>
  <si>
    <t>-619.196956013807 -88.8496793218612 321.440554080988</t>
  </si>
  <si>
    <t>-656.582173545497 -110.956641741414 782.442376097787</t>
  </si>
  <si>
    <t>-503.404728114274 -117.612379255164 831.188475203637</t>
  </si>
  <si>
    <t>9763-20170724T115631.524812900.bin</t>
  </si>
  <si>
    <t>-635.482148112856 8.17779135177784 -93.2325281246657</t>
  </si>
  <si>
    <t>-657.477326847942 3.33601388669945 -201.631189949183</t>
  </si>
  <si>
    <t>-670.426278969763 0.927871226636853 -293.567940768614</t>
  </si>
  <si>
    <t>-687.548931023155 0.623827445583629 -659.79550100896</t>
  </si>
  <si>
    <t>-700.19987598059 28.6256622475735 -528.643047327257</t>
  </si>
  <si>
    <t>-699.821504191419 182.342831038173 -502.048902740634</t>
  </si>
  <si>
    <t>-706.645296968183 219.894726970884 -222.545996326186</t>
  </si>
  <si>
    <t>-479.168875966785 181.199660643368 -195.980925131503</t>
  </si>
  <si>
    <t>-651.678381249746 98.7200780812332 -95.7525397761214</t>
  </si>
  <si>
    <t>-651.587990836402 128.870961403224 318.727236548142</t>
  </si>
  <si>
    <t>-668.827131182525 185.94787286405 777.911788032314</t>
  </si>
  <si>
    <t>-517.172265436032 191.190079661868 831.36410547608</t>
  </si>
  <si>
    <t>-619.696242803119 -88.7220653261704 321.419635795065</t>
  </si>
  <si>
    <t>-656.613501377836 -111.013688236658 782.443992859864</t>
  </si>
  <si>
    <t>-503.447652981422 -118.031717190209 831.175913290621</t>
  </si>
  <si>
    <t>9763-20170724T115631.592014700.bin</t>
  </si>
  <si>
    <t>-636.143809130169 8.27192921981441 -93.2537975715517</t>
  </si>
  <si>
    <t>-658.185385315724 3.44338323752868 -201.643647022592</t>
  </si>
  <si>
    <t>-671.068360493565 1.03506325968965 -293.589663237256</t>
  </si>
  <si>
    <t>-687.499300383451 0.622433114625892 -659.839353687618</t>
  </si>
  <si>
    <t>-700.473163281446 28.7171716240543 -528.71490532852</t>
  </si>
  <si>
    <t>-700.471011978287 182.486309423096 -502.372305922725</t>
  </si>
  <si>
    <t>-708.587075663328 220.035130607632 -222.903464871678</t>
  </si>
  <si>
    <t>-481.121505282389 181.768059188246 -195.634924860824</t>
  </si>
  <si>
    <t>-652.239757708866 98.9491904525942 -95.791116018895</t>
  </si>
  <si>
    <t>-651.832644210334 129.044324866682 318.69251627846</t>
  </si>
  <si>
    <t>-668.84491794846 185.969840090817 777.934866244383</t>
  </si>
  <si>
    <t>-517.172377774676 191.202196889058 831.338042914101</t>
  </si>
  <si>
    <t>-620.255088173051 -88.4200564868174 321.396846723688</t>
  </si>
  <si>
    <t>-656.651330886212 -111.048095209273 782.448247019042</t>
  </si>
  <si>
    <t>-503.475492981231 -118.189472008072 831.130734592898</t>
  </si>
  <si>
    <t>9763-20170724T115631.626105000.bin</t>
  </si>
  <si>
    <t>-636.466025396165 8.24864151815518 -93.2774025688074</t>
  </si>
  <si>
    <t>-658.55301583346 3.40010528926064 -201.656990989718</t>
  </si>
  <si>
    <t>-671.404997619345 0.963411112009226 -293.606696404798</t>
  </si>
  <si>
    <t>-687.404442356023 0.395252066811963 -659.862169409328</t>
  </si>
  <si>
    <t>-700.579125605494 28.5519474436658 -528.773513625068</t>
  </si>
  <si>
    <t>-700.575040186037 182.348469132537 -502.572036454842</t>
  </si>
  <si>
    <t>-709.301451294429 219.999847466136 -223.135443723191</t>
  </si>
  <si>
    <t>-481.844900068804 181.886180252345 -195.578076163496</t>
  </si>
  <si>
    <t>-652.555833312653 98.9808998374469 -95.810657852958</t>
  </si>
  <si>
    <t>-651.889340337661 129.103719233121 318.670688282073</t>
  </si>
  <si>
    <t>-668.853937682286 185.975427789053 777.931127574786</t>
  </si>
  <si>
    <t>-517.172091817321 191.097132893453 831.318303522528</t>
  </si>
  <si>
    <t>-620.498797905959 -88.2808557316889 321.391151315614</t>
  </si>
  <si>
    <t>-656.680668764237 -111.030125294713 782.448757108722</t>
  </si>
  <si>
    <t>-503.482776310384 -117.986945060135 831.08864989008</t>
  </si>
  <si>
    <t>9763-20170724T115631.658197400.bin</t>
  </si>
  <si>
    <t>-636.808632828032 8.24120591667952 -93.2928013481776</t>
  </si>
  <si>
    <t>-658.900215623598 3.38235520334501 -201.671061142708</t>
  </si>
  <si>
    <t>-671.724017660748 0.914065117341352 -293.623790068875</t>
  </si>
  <si>
    <t>-687.429882014905 0.151005016956105 -659.876699578307</t>
  </si>
  <si>
    <t>-700.759026348595 28.3730814787341 -528.826395137359</t>
  </si>
  <si>
    <t>-700.795638235878 182.197528735042 -502.822966372669</t>
  </si>
  <si>
    <t>-709.945420693307 220.121451298558 -223.436635996766</t>
  </si>
  <si>
    <t>-482.527525738849 181.989057810477 -195.588135557174</t>
  </si>
  <si>
    <t>-652.893879880021 99.0156307650418 -95.8235188528506</t>
  </si>
  <si>
    <t>-652.001081172613 129.17916567734 318.654423795779</t>
  </si>
  <si>
    <t>-668.852575436862 185.980925742928 777.925004698524</t>
  </si>
  <si>
    <t>-517.166457103 191.178249487261 831.292801249836</t>
  </si>
  <si>
    <t>-620.712593492324 -88.2076365650771 321.386082479805</t>
  </si>
  <si>
    <t>-656.714122053859 -110.999550539071 782.44357459167</t>
  </si>
  <si>
    <t>-503.505164095367 -118.063640626032 831.033104251231</t>
  </si>
  <si>
    <t>9763-20170724T115631.723239100.bin</t>
  </si>
  <si>
    <t>-637.31257973008 8.158647656119 -93.3439196566203</t>
  </si>
  <si>
    <t>-659.422326600186 3.26802088160548 -201.717103594885</t>
  </si>
  <si>
    <t>-672.252487794339 0.709146859050861 -293.666421513424</t>
  </si>
  <si>
    <t>-701.279352159285 27.7967832900608 -528.922190809208</t>
  </si>
  <si>
    <t>-701.471690719324 181.689593005178 -503.307435329602</t>
  </si>
  <si>
    <t>-710.97447952542 220.279620880636 -224.024242237912</t>
  </si>
  <si>
    <t>-483.604526536834 181.914131032575 -196.104353263776</t>
  </si>
  <si>
    <t>-653.441027247895 98.9753980158871 -95.8699456390708</t>
  </si>
  <si>
    <t>-652.203603400563 129.262304611969 318.598074787105</t>
  </si>
  <si>
    <t>-668.849219154645 185.971302503392 777.911094421897</t>
  </si>
  <si>
    <t>-517.158059197572 191.129466005443 831.268491218233</t>
  </si>
  <si>
    <t>-621.056132956644 -88.2149466780365 321.362710338596</t>
  </si>
  <si>
    <t>-656.784613216755 -111.097644873509 782.441231374531</t>
  </si>
  <si>
    <t>-503.550731698487 -118.337758695171 830.926129490115</t>
  </si>
  <si>
    <t>9763-20170724T115631.760847800.bin</t>
  </si>
  <si>
    <t>-637.467650173778 8.08512752841807 -93.3572327573539</t>
  </si>
  <si>
    <t>-659.58482562082 3.17347494304499 -201.727933300098</t>
  </si>
  <si>
    <t>-672.442234975932 0.559154909786685 -293.671891012013</t>
  </si>
  <si>
    <t>-701.584284793244 27.4229689964316 -528.944196032533</t>
  </si>
  <si>
    <t>-701.880273966178 181.353611560449 -503.56071924633</t>
  </si>
  <si>
    <t>-711.449224245148 220.165503685978 -224.310687069567</t>
  </si>
  <si>
    <t>-484.051868613227 181.743482438432 -196.693140467389</t>
  </si>
  <si>
    <t>-653.634829720966 98.8933501790859 -95.8858513259511</t>
  </si>
  <si>
    <t>-652.25228337941 129.242961465719 318.577216846577</t>
  </si>
  <si>
    <t>-668.847003320474 185.972973942221 777.897375901399</t>
  </si>
  <si>
    <t>-517.15595797745 191.158844209403 831.252240874884</t>
  </si>
  <si>
    <t>-621.158609846594 -88.259663919282 321.349544332305</t>
  </si>
  <si>
    <t>-656.815366881718 -111.110537193812 782.439413458331</t>
  </si>
  <si>
    <t>-503.561030164315 -118.213312217677 830.879882293428</t>
  </si>
  <si>
    <t>9763-20170724T115631.828051700.bin</t>
  </si>
  <si>
    <t>-637.602045793184 8.03152193957158 -93.373159528812</t>
  </si>
  <si>
    <t>-659.744773779591 3.09846371141703 -201.737618487796</t>
  </si>
  <si>
    <t>-672.660671446256 0.378649062171462 -293.670359334385</t>
  </si>
  <si>
    <t>-702.03124428491 26.784266555456 -528.97786422076</t>
  </si>
  <si>
    <t>-702.701544704672 180.77789019646 -504.000338599225</t>
  </si>
  <si>
    <t>-712.796192692668 220.176148980574 -224.850838817289</t>
  </si>
  <si>
    <t>-485.274669702789 181.77223959659 -198.249488714421</t>
  </si>
  <si>
    <t>-653.81242062194 98.8354836944127 -95.9110999431084</t>
  </si>
  <si>
    <t>-652.156041993458 129.325863928546 318.540551725469</t>
  </si>
  <si>
    <t>-668.832948228878 185.970702175085 777.867028765549</t>
  </si>
  <si>
    <t>-517.145103269325 191.172302285917 831.2296244341</t>
  </si>
  <si>
    <t>-621.177716428947 -88.2843303195532 321.342322534313</t>
  </si>
  <si>
    <t>-656.856120955307 -111.118586363584 782.433420591156</t>
  </si>
  <si>
    <t>-503.561373408181 -117.79616189733 830.806516341667</t>
  </si>
  <si>
    <t>9763-20170724T115631.860639900.bin</t>
  </si>
  <si>
    <t>-637.573723323622 7.95427842982508 -93.380327458145</t>
  </si>
  <si>
    <t>-659.750883461288 3.01532985106223 -201.737574780376</t>
  </si>
  <si>
    <t>-672.68977455043 0.251775044992655 -293.665756400629</t>
  </si>
  <si>
    <t>-702.100580074153 26.4639909523032 -528.99511358348</t>
  </si>
  <si>
    <t>-702.84674541755 180.491874356079 -504.211018901879</t>
  </si>
  <si>
    <t>-713.782160522393 220.269204177706 -225.146836933879</t>
  </si>
  <si>
    <t>-486.201902555648 181.840539546055 -199.0894191921</t>
  </si>
  <si>
    <t>-653.770761286386 98.7710363907668 -95.9131815835649</t>
  </si>
  <si>
    <t>-652.063248724792 129.335907231527 318.532726688434</t>
  </si>
  <si>
    <t>-668.830499753986 185.966151274789 777.855790731693</t>
  </si>
  <si>
    <t>-517.143600895471 191.159112829327 831.221948327665</t>
  </si>
  <si>
    <t>-621.140835443381 -88.3531248020784 321.339475445617</t>
  </si>
  <si>
    <t>-656.868655977869 -111.170513802973 782.434087719362</t>
  </si>
  <si>
    <t>-503.581979259662 -118.055821235382 830.803613635623</t>
  </si>
  <si>
    <t>9763-20170724T115631.925814800.bin</t>
  </si>
  <si>
    <t>-637.36832698874 7.82609449680649 -93.3755782190607</t>
  </si>
  <si>
    <t>-659.579091876951 2.88076041444151 -201.725508547033</t>
  </si>
  <si>
    <t>-672.537921624431 0.00818426158525654 -293.647521843009</t>
  </si>
  <si>
    <t>-701.969631555953 25.7229150941387 -529.043177257273</t>
  </si>
  <si>
    <t>-703.011487167495 179.807661615968 -504.62792272261</t>
  </si>
  <si>
    <t>-715.934594499591 220.281794660665 -225.749183083101</t>
  </si>
  <si>
    <t>-488.334494543385 181.703064175657 -200.089549432476</t>
  </si>
  <si>
    <t>-653.575043753696 98.6671376506574 -95.911069530865</t>
  </si>
  <si>
    <t>-651.768352938611 129.339863483866 318.526602058727</t>
  </si>
  <si>
    <t>-668.801576481698 185.97429527605 777.833665380722</t>
  </si>
  <si>
    <t>-517.121634769344 191.194099512201 831.216951420193</t>
  </si>
  <si>
    <t>-620.991294385665 -88.4368297005351 321.343746582406</t>
  </si>
  <si>
    <t>-656.876644727799 -111.237151229501 782.434825275281</t>
  </si>
  <si>
    <t>-503.59690930687 -118.239292484194 830.809656624267</t>
  </si>
  <si>
    <t>9763-20170724T115631.961427000.bin</t>
  </si>
  <si>
    <t>-637.193725284538 7.77871705255075 -93.3737415929959</t>
  </si>
  <si>
    <t>-659.432341398662 2.830597977254 -201.717804586532</t>
  </si>
  <si>
    <t>-701.866703543285 25.4204476032514 -529.056861824305</t>
  </si>
  <si>
    <t>-703.091257738973 179.518673290904 -504.800985693802</t>
  </si>
  <si>
    <t>-717.211532700313 220.504045950875 -226.054784573159</t>
  </si>
  <si>
    <t>-489.658993815819 181.70817151127 -200.301195072892</t>
  </si>
  <si>
    <t>-653.434018657776 98.6351130520854 -95.9027530278452</t>
  </si>
  <si>
    <t>-651.623994781275 129.363376699551 318.530697219724</t>
  </si>
  <si>
    <t>-668.787754324664 185.975400608904 777.828917257745</t>
  </si>
  <si>
    <t>-517.112251634313 191.231848320505 831.221255534039</t>
  </si>
  <si>
    <t>-620.908361234901 -88.4552928848252 321.344353948655</t>
  </si>
  <si>
    <t>-656.872425705647 -111.220572830564 782.434685498327</t>
  </si>
  <si>
    <t>-503.590686475818 -118.12972024979 830.816496776193</t>
  </si>
  <si>
    <t>9763-20170724T115632.026090300.bin</t>
  </si>
  <si>
    <t>-636.760507566862 7.74043434406144 -93.3622866847099</t>
  </si>
  <si>
    <t>-659.087409708397 2.77101529843344 -201.68734994043</t>
  </si>
  <si>
    <t>-701.688044893371 24.9929426801814 -529.042771588375</t>
  </si>
  <si>
    <t>-703.625449910414 179.114767001164 -504.967827125649</t>
  </si>
  <si>
    <t>-719.843939509217 220.731352999941 -226.429584698322</t>
  </si>
  <si>
    <t>-492.387776599867 181.785029746869 -200.058904268825</t>
  </si>
  <si>
    <t>-652.991922051484 98.5955997001638 -95.8989702873218</t>
  </si>
  <si>
    <t>-651.386401548932 129.32082360419 318.535590963721</t>
  </si>
  <si>
    <t>-668.755153521861 185.982663764813 777.823675725537</t>
  </si>
  <si>
    <t>-517.090117247007 191.287252060881 831.24090645872</t>
  </si>
  <si>
    <t>-620.756718019685 -88.4649370987622 321.350286899827</t>
  </si>
  <si>
    <t>-656.871324268768 -111.218166978125 782.432648653332</t>
  </si>
  <si>
    <t>-503.585220955299 -117.948270570736 830.825843044281</t>
  </si>
  <si>
    <t>9763-20170724T115632.058174600.bin</t>
  </si>
  <si>
    <t>-636.558085580195 7.70210664317688 -93.3585274728844</t>
  </si>
  <si>
    <t>-658.968518689239 2.72331437012872 -201.665781389413</t>
  </si>
  <si>
    <t>-701.708326705932 24.7815725832138 -529.02016406262</t>
  </si>
  <si>
    <t>-704.119084924046 178.916956396502 -505.048870200255</t>
  </si>
  <si>
    <t>-721.485498878574 220.668567375249 -226.600025846463</t>
  </si>
  <si>
    <t>-494.055451184532 181.75318548562 -199.959900959267</t>
  </si>
  <si>
    <t>-652.768241482761 98.5928375717658 -95.8968832276613</t>
  </si>
  <si>
    <t>-651.270969935023 129.290997257826 318.540105218191</t>
  </si>
  <si>
    <t>-668.737004879453 185.994964375797 777.818701667397</t>
  </si>
  <si>
    <t>-517.077158337478 191.295878242313 831.251046545363</t>
  </si>
  <si>
    <t>-620.676995835109 -88.4682441415707 321.360349872489</t>
  </si>
  <si>
    <t>-656.877325944029 -111.281365645184 782.435615360837</t>
  </si>
  <si>
    <t>-503.609706619767 -118.350758103438 830.839120591966</t>
  </si>
  <si>
    <t>9763-20170724T115632.126361600.bin</t>
  </si>
  <si>
    <t>-636.302078947021 7.73568205702736 -93.3518592629678</t>
  </si>
  <si>
    <t>-658.935817589666 2.64933271865107 -201.607815028052</t>
  </si>
  <si>
    <t>-702.420518334595 24.2614583958014 -528.900841992893</t>
  </si>
  <si>
    <t>-705.592832269212 178.413440416176 -505.124490583413</t>
  </si>
  <si>
    <t>-725.117430695215 220.221611324256 -226.827038907743</t>
  </si>
  <si>
    <t>-497.666924129555 181.916411850832 -199.486298848956</t>
  </si>
  <si>
    <t>-652.754497977999 98.6572712964446 -95.9231893891319</t>
  </si>
  <si>
    <t>-651.131466749941 129.277122196735 318.519074895644</t>
  </si>
  <si>
    <t>-668.721726705489 186.000721050574 777.809917502594</t>
  </si>
  <si>
    <t>-517.064667697211 191.396379292411 831.240606225372</t>
  </si>
  <si>
    <t>-620.446781076127 -88.2285491344865 321.384818998598</t>
  </si>
  <si>
    <t>-656.900835148093 -111.271391058055 782.431428263808</t>
  </si>
  <si>
    <t>-503.61817800115 -118.149178023877 830.814683150183</t>
  </si>
  <si>
    <t>9763-20170724T115632.158445500.bin</t>
  </si>
  <si>
    <t>-636.2014701003 7.78119803881964 -93.3278955396495</t>
  </si>
  <si>
    <t>-658.981203143406 2.59143804284076 -201.548368112216</t>
  </si>
  <si>
    <t>-702.934449511437 24.0161196990243 -528.788435546522</t>
  </si>
  <si>
    <t>-706.404403790818 178.166498731902 -505.071532336389</t>
  </si>
  <si>
    <t>-726.750655181141 220.179851988129 -226.86388532061</t>
  </si>
  <si>
    <t>-499.29753057474 182.114948693774 -199.211187526763</t>
  </si>
  <si>
    <t>-652.885317056854 98.6626449372161 -95.9265079324034</t>
  </si>
  <si>
    <t>-651.102367234927 129.362807017219 318.509124186163</t>
  </si>
  <si>
    <t>-668.71701837816 185.996287523612 777.80659286814</t>
  </si>
  <si>
    <t>-517.059441471328 191.355073846091 831.239675610966</t>
  </si>
  <si>
    <t>-620.249761980921 -88.0104890381465 321.417329639595</t>
  </si>
  <si>
    <t>-656.919349356267 -111.229119880179 782.427942916534</t>
  </si>
  <si>
    <t>-503.60807229556 -117.732254030262 830.772243624383</t>
  </si>
  <si>
    <t>9763-20170724T115632.227637100.bin</t>
  </si>
  <si>
    <t>-636.139602581635 7.92199213984145 -93.3133345473127</t>
  </si>
  <si>
    <t>-659.227862972265 2.5018437568524 -201.456922447655</t>
  </si>
  <si>
    <t>-703.856335569039 23.507890992506 -528.627010392079</t>
  </si>
  <si>
    <t>-708.038660607131 177.68860712227 -505.160619023331</t>
  </si>
  <si>
    <t>-729.178725045983 220.179791859018 -227.084738335328</t>
  </si>
  <si>
    <t>-501.679837956316 182.697012425539 -199.016428851035</t>
  </si>
  <si>
    <t>-653.372279468932 98.6754300050782 -95.9333853345659</t>
  </si>
  <si>
    <t>-651.00770782265 129.533806657445 318.487652330743</t>
  </si>
  <si>
    <t>-668.700714340328 185.992337022062 777.798353465203</t>
  </si>
  <si>
    <t>-517.039997955351 191.483001325416 831.209002904894</t>
  </si>
  <si>
    <t>-619.939506136188 -87.6476175966316 321.462813687834</t>
  </si>
  <si>
    <t>-657.020929078859 -111.214815100643 782.409517087377</t>
  </si>
  <si>
    <t>-503.681487391459 -118.053399713947 830.618254054746</t>
  </si>
  <si>
    <t>9763-20170724T115632.261229100.bin</t>
  </si>
  <si>
    <t>-636.252027576128 7.95997295457119 -93.3251783457089</t>
  </si>
  <si>
    <t>-659.464083803864 2.44144044900258 -201.437297054696</t>
  </si>
  <si>
    <t>-704.357029724565 23.1473171861719 -528.592526358298</t>
  </si>
  <si>
    <t>-708.964312541274 177.344746728227 -505.314514646938</t>
  </si>
  <si>
    <t>-730.189280086319 219.961198691995 -227.26438332668</t>
  </si>
  <si>
    <t>-502.65139165905 182.761648081407 -199.135562893443</t>
  </si>
  <si>
    <t>-653.697439746727 98.6343820578666 -95.9470459447568</t>
  </si>
  <si>
    <t>-650.91097427119 129.622536928769 318.461640775061</t>
  </si>
  <si>
    <t>-668.693675104572 185.981225716416 777.78388500836</t>
  </si>
  <si>
    <t>-517.033825764535 191.427436058974 831.201516568676</t>
  </si>
  <si>
    <t>-619.848708185394 -87.4625845809801 321.478949244495</t>
  </si>
  <si>
    <t>-657.10542236417 -111.153590507819 782.387569536526</t>
  </si>
  <si>
    <t>-503.691274782232 -117.347081506416 830.445465379196</t>
  </si>
  <si>
    <t>9763-20170724T115632.325913200.bin</t>
  </si>
  <si>
    <t>-636.514449564227 7.8206622360251 -93.3581813616703</t>
  </si>
  <si>
    <t>-659.906387578975 2.17696231799846 -201.425159863195</t>
  </si>
  <si>
    <t>-705.319569549761 22.2485180868177 -528.560409946335</t>
  </si>
  <si>
    <t>-710.48931585672 176.484334274408 -505.684962105694</t>
  </si>
  <si>
    <t>-731.78098801199 219.408106060233 -227.687042061855</t>
  </si>
  <si>
    <t>-504.219393083281 182.602632981778 -199.233527375178</t>
  </si>
  <si>
    <t>-654.239078216435 98.4448340354331 -95.9816507010376</t>
  </si>
  <si>
    <t>-650.837523936439 129.691156360679 318.403089561575</t>
  </si>
  <si>
    <t>-668.662988093889 186.000032338462 777.73908621415</t>
  </si>
  <si>
    <t>-517.011289579532 191.607669096039 831.163178027871</t>
  </si>
  <si>
    <t>-619.868433976419 -87.3323087188255 321.454465582808</t>
  </si>
  <si>
    <t>-657.340736113983 -111.17966480722 782.336338291898</t>
  </si>
  <si>
    <t>-503.818039188078 -117.390726088882 830.044093224718</t>
  </si>
  <si>
    <t>9763-20170724T115632.357000000.bin</t>
  </si>
  <si>
    <t>-636.705456748028 7.80086194740829 -93.3803472068479</t>
  </si>
  <si>
    <t>-660.166374586055 2.09981850302529 -201.429464667223</t>
  </si>
  <si>
    <t>-705.698844159358 21.9020663168499 -528.5691226086</t>
  </si>
  <si>
    <t>-710.932801863939 176.161855511772 -505.86795716547</t>
  </si>
  <si>
    <t>-732.368450122631 219.308874680901 -227.915785410768</t>
  </si>
  <si>
    <t>-504.852017842291 182.57315650496 -199.014357190452</t>
  </si>
  <si>
    <t>-654.569325886385 98.3649818831955 -96.0045105568524</t>
  </si>
  <si>
    <t>-650.840953565522 129.748985044723 318.36703713589</t>
  </si>
  <si>
    <t>-668.655846163234 185.996997172525 777.708693824623</t>
  </si>
  <si>
    <t>-517.002886925693 191.599702984517 831.129849431608</t>
  </si>
  <si>
    <t>-619.926512589832 -87.1835082091434 321.43587926378</t>
  </si>
  <si>
    <t>-657.537085740884 -111.190092460211 782.292985341396</t>
  </si>
  <si>
    <t>-503.922776689776 -117.445406632075 829.699099955416</t>
  </si>
  <si>
    <t>9763-20170724T115632.427194000.bin</t>
  </si>
  <si>
    <t>-637.017075763076 7.6803946131563 -93.4684166796271</t>
  </si>
  <si>
    <t>-660.554494784812 1.90623866992109 -201.496948248788</t>
  </si>
  <si>
    <t>-706.006869275433 21.2706479689189 -528.683086922822</t>
  </si>
  <si>
    <t>-711.209613000454 175.594161851854 -506.367972310372</t>
  </si>
  <si>
    <t>-733.324216085774 219.042958216285 -228.516004064262</t>
  </si>
  <si>
    <t>-505.990207361996 182.194065606131 -198.350760354294</t>
  </si>
  <si>
    <t>-655.069274590142 98.1630495406564 -96.085537847669</t>
  </si>
  <si>
    <t>-650.787975213668 129.852178920191 318.25740768252</t>
  </si>
  <si>
    <t>-668.643914733364 185.988345290202 777.634255432054</t>
  </si>
  <si>
    <t>-516.994412498966 191.612951828952 831.062643058094</t>
  </si>
  <si>
    <t>-620.040947935494 -87.0027666693613 321.36319546321</t>
  </si>
  <si>
    <t>-657.967552822313 -111.125106683837 782.175416461355</t>
  </si>
  <si>
    <t>-504.118228263243 -117.017255534487 828.860426456284</t>
  </si>
  <si>
    <t>9763-20170724T115632.458272300.bin</t>
  </si>
  <si>
    <t>-637.159404544497 7.55338139982291 -93.4874058134252</t>
  </si>
  <si>
    <t>-660.674865765807 1.77920416747725 -201.520675010489</t>
  </si>
  <si>
    <t>-706.003693840107 20.9161897103929 -528.745898569444</t>
  </si>
  <si>
    <t>-711.13052073852 175.254514547141 -506.598742811617</t>
  </si>
  <si>
    <t>-733.746458128255 218.932499799452 -228.823066505696</t>
  </si>
  <si>
    <t>-506.485227973821 181.939372438856 -198.288391877191</t>
  </si>
  <si>
    <t>-655.140654723986 98.0409187969658 -96.1165332440902</t>
  </si>
  <si>
    <t>-650.775890672847 129.798931865495 318.220225865745</t>
  </si>
  <si>
    <t>-668.640748456922 185.992547741548 777.584146472626</t>
  </si>
  <si>
    <t>-516.989481845549 191.564960003403 831.013332353873</t>
  </si>
  <si>
    <t>-620.080848596977 -87.1250231878466 321.343015829464</t>
  </si>
  <si>
    <t>-658.054551826573 -111.184380588611 782.149602501436</t>
  </si>
  <si>
    <t>-504.168662136237 -117.357393866366 828.677468945403</t>
  </si>
  <si>
    <t>9763-20170724T115632.527473800.bin</t>
  </si>
  <si>
    <t>-637.360519140396 7.39494985718375 -93.5354631169899</t>
  </si>
  <si>
    <t>-660.817845458371 1.6677863559994 -201.583824063468</t>
  </si>
  <si>
    <t>-705.9688397001 20.5003371834734 -528.866354429506</t>
  </si>
  <si>
    <t>-710.775623441023 174.880422649867 -506.8972010743</t>
  </si>
  <si>
    <t>-734.372537050737 219.068498534369 -229.283826472453</t>
  </si>
  <si>
    <t>-507.159651236497 181.990534792148 -198.493209617718</t>
  </si>
  <si>
    <t>-655.160825500806 97.9553937059054 -96.1801460309712</t>
  </si>
  <si>
    <t>-650.789696237166 129.72207254647 318.155873659065</t>
  </si>
  <si>
    <t>-668.624068347044 186.016031579253 777.496348621664</t>
  </si>
  <si>
    <t>-516.976722490937 191.703786037384 830.924335283912</t>
  </si>
  <si>
    <t>-620.129964222517 -87.261325500576 321.305784810162</t>
  </si>
  <si>
    <t>-658.068681963401 -111.154928287415 782.144260911773</t>
  </si>
  <si>
    <t>-504.136953273032 -116.606156360462 828.610622941602</t>
  </si>
  <si>
    <t>9763-20170724T115632.559551000.bin</t>
  </si>
  <si>
    <t>-637.418212979249 7.35757389656851 -93.5654625440228</t>
  </si>
  <si>
    <t>-660.844750739795 1.64958330872355 -201.621537520604</t>
  </si>
  <si>
    <t>-705.981397255836 20.3661024631608 -528.918475461479</t>
  </si>
  <si>
    <t>-710.637345635103 174.761540335725 -507.029864504047</t>
  </si>
  <si>
    <t>-734.667996625949 219.119292946668 -229.480739820423</t>
  </si>
  <si>
    <t>-507.496390295497 181.908637132775 -198.545788187494</t>
  </si>
  <si>
    <t>-655.098754964494 97.9592277401646 -96.2244388452048</t>
  </si>
  <si>
    <t>-650.766285316582 129.737806255832 318.111113945793</t>
  </si>
  <si>
    <t>-668.629290452013 186.008677255863 777.456551210526</t>
  </si>
  <si>
    <t>-516.97739162173 191.552674496373 830.886939398222</t>
  </si>
  <si>
    <t>-620.185973904608 -87.3218544200993 321.283439347102</t>
  </si>
  <si>
    <t>-658.073478302201 -111.146794700673 782.143374680833</t>
  </si>
  <si>
    <t>-504.135988594158 -116.457190394462 828.607074826748</t>
  </si>
  <si>
    <t>9763-20170724T115632.623709700.bin</t>
  </si>
  <si>
    <t>-637.394778160699 7.39661204265872 -93.6026669579736</t>
  </si>
  <si>
    <t>-660.763176918577 1.75240998879372 -201.674793152355</t>
  </si>
  <si>
    <t>-705.836082997563 20.2721060298504 -529.004463810711</t>
  </si>
  <si>
    <t>-710.102070618941 174.703044739495 -507.279773259453</t>
  </si>
  <si>
    <t>-735.315324137439 219.27752698141 -229.870435049355</t>
  </si>
  <si>
    <t>-508.388582754045 181.244207567893 -198.148954466946</t>
  </si>
  <si>
    <t>-654.844530853967 98.0337864996911 -96.2775390714045</t>
  </si>
  <si>
    <t>-650.7156602549 129.78217478073 318.062382821988</t>
  </si>
  <si>
    <t>-668.633026634402 186.027146489692 777.395590850825</t>
  </si>
  <si>
    <t>-516.976734296891 191.539473396817 830.81673444167</t>
  </si>
  <si>
    <t>-620.165130492514 -87.3768760510709 321.26591032389</t>
  </si>
  <si>
    <t>-658.063462543842 -111.23052324943 782.142289082575</t>
  </si>
  <si>
    <t>-504.149515230772 -116.979673434275 828.631695837243</t>
  </si>
  <si>
    <t>9763-20170724T115632.660807500.bin</t>
  </si>
  <si>
    <t>-637.333577139859 7.43093795679056 -93.6013671039779</t>
  </si>
  <si>
    <t>-660.678603681333 1.81692790281727 -201.679934281166</t>
  </si>
  <si>
    <t>-705.613545345877 20.2390764721176 -529.040268256801</t>
  </si>
  <si>
    <t>-709.606883206293 174.694775091925 -507.428707924719</t>
  </si>
  <si>
    <t>-735.835075687033 219.191753545334 -230.100773280677</t>
  </si>
  <si>
    <t>-509.143439967117 180.327985442992 -197.7120413411</t>
  </si>
  <si>
    <t>-654.685362992231 98.096189021818 -96.2928714022684</t>
  </si>
  <si>
    <t>-650.725062330794 129.765204755264 318.054878401333</t>
  </si>
  <si>
    <t>-668.635479825577 186.038861377929 777.37839213141</t>
  </si>
  <si>
    <t>-516.975290513044 191.465143998348 830.797122561248</t>
  </si>
  <si>
    <t>-620.014505606269 -87.3465342006257 321.277867036046</t>
  </si>
  <si>
    <t>-657.988847413569 -111.216159098946 782.152114388214</t>
  </si>
  <si>
    <t>-504.1076884428 -116.957439982309 828.750910520351</t>
  </si>
  <si>
    <t>9763-20170724T115632.725814600.bin</t>
  </si>
  <si>
    <t>-637.096047326395 7.48331243353255 -93.5770402890563</t>
  </si>
  <si>
    <t>-660.375036923058 1.91303973476556 -201.672239341752</t>
  </si>
  <si>
    <t>-704.889512009114 20.1213647067284 -529.112910628047</t>
  </si>
  <si>
    <t>-708.433123580635 174.631019383435 -507.828844357959</t>
  </si>
  <si>
    <t>-737.556603734648 218.232929693973 -230.647788781864</t>
  </si>
  <si>
    <t>-511.52395049156 177.163895475977 -196.426451698813</t>
  </si>
  <si>
    <t>-654.324821120066 98.2571439805974 -96.2844128470814</t>
  </si>
  <si>
    <t>-650.847697616926 129.719856677739 318.083301777117</t>
  </si>
  <si>
    <t>-668.632835053548 186.080766846404 777.375466903207</t>
  </si>
  <si>
    <t>-516.966139492023 191.5393959632 830.772503087205</t>
  </si>
  <si>
    <t>-619.658040196563 -87.3769312239092 321.3116657915</t>
  </si>
  <si>
    <t>-657.707103175918 -111.163390215405 782.204095546573</t>
  </si>
  <si>
    <t>-503.960821542023 -116.838642804199 829.253996677115</t>
  </si>
  <si>
    <t>9763-20170724T115632.758886500.bin</t>
  </si>
  <si>
    <t>-636.91224974749 7.58677749628669 -93.5684554458992</t>
  </si>
  <si>
    <t>-660.11697412498 2.06005433504151 -201.681791116942</t>
  </si>
  <si>
    <t>-704.410043570191 20.2703734409163 -529.156760857594</t>
  </si>
  <si>
    <t>-707.804847580768 174.786272655594 -507.950377981413</t>
  </si>
  <si>
    <t>-738.545639165163 217.816282499539 -230.854629162812</t>
  </si>
  <si>
    <t>-512.856500713287 175.78754727235 -195.548568610875</t>
  </si>
  <si>
    <t>-654.0729122776 98.3892800754325 -96.2686446860012</t>
  </si>
  <si>
    <t>-650.893310291546 129.760673452262 318.108396491869</t>
  </si>
  <si>
    <t>-668.638040849584 186.0840704102 777.397033861701</t>
  </si>
  <si>
    <t>-516.967517484415 191.569874026866 830.780369427455</t>
  </si>
  <si>
    <t>-619.579541556616 -87.3953649077725 321.323118241781</t>
  </si>
  <si>
    <t>-657.622518864836 -111.172771512146 782.223567768627</t>
  </si>
  <si>
    <t>-503.919062680972 -116.676379854674 829.433592960686</t>
  </si>
  <si>
    <t>9763-20170724T115632.828617600.bin</t>
  </si>
  <si>
    <t>-636.592502703204 7.89184443700447 -93.5447397850686</t>
  </si>
  <si>
    <t>-659.615315762096 2.43845650821504 -201.700738340448</t>
  </si>
  <si>
    <t>-703.38452065482 20.8744074084989 -529.23214374565</t>
  </si>
  <si>
    <t>-706.605922335438 175.384046376957 -507.924514273713</t>
  </si>
  <si>
    <t>-740.581061962653 217.274895019055 -231.032124208431</t>
  </si>
  <si>
    <t>-515.631279292846 173.717274696423 -192.968321997676</t>
  </si>
  <si>
    <t>-653.561626757627 98.7102053380934 -96.2510926320002</t>
  </si>
  <si>
    <t>-650.828833501485 129.880046557567 318.1443433123</t>
  </si>
  <si>
    <t>-668.6332776283 186.093499086552 777.448663512903</t>
  </si>
  <si>
    <t>-516.955614477067 191.635502762784 830.805847852714</t>
  </si>
  <si>
    <t>-619.502823088034 -87.4177229079428 321.34212065699</t>
  </si>
  <si>
    <t>-657.51187159501 -111.138422290281 782.245948974286</t>
  </si>
  <si>
    <t>-503.869251256172 -116.583880496133 829.66020361392</t>
  </si>
  <si>
    <t>9763-20170724T115632.856695100.bin</t>
  </si>
  <si>
    <t>-636.397844852479 7.99120817252765 -93.5289812535799</t>
  </si>
  <si>
    <t>-659.326504190127 2.57868045781674 -201.706922438662</t>
  </si>
  <si>
    <t>-702.768530502281 21.1979724029743 -529.268409047772</t>
  </si>
  <si>
    <t>-705.765299286337 175.703766239378 -507.875432894549</t>
  </si>
  <si>
    <t>-741.719289126862 216.797875580694 -231.113395373302</t>
  </si>
  <si>
    <t>-517.171713704595 172.61109915185 -191.434146332653</t>
  </si>
  <si>
    <t>-653.245210476257 98.8157757217239 -96.2432223227534</t>
  </si>
  <si>
    <t>-650.810207510106 129.891815515105 318.16112143585</t>
  </si>
  <si>
    <t>-668.643067119559 186.093305527332 777.466260759567</t>
  </si>
  <si>
    <t>-516.958866183024 191.546204832395 830.814021403059</t>
  </si>
  <si>
    <t>-619.40731029753 -87.436105685792 321.352916257388</t>
  </si>
  <si>
    <t>-657.466758356903 -111.131610308892 782.257020059526</t>
  </si>
  <si>
    <t>-503.84691283614 -116.560846408976 829.746899902646</t>
  </si>
  <si>
    <t>9763-20170724T115632.923876800.bin</t>
  </si>
  <si>
    <t>-635.885219508518 8.18393484039598 -93.4953341125088</t>
  </si>
  <si>
    <t>-658.657402507007 2.83159553932092 -201.709230325735</t>
  </si>
  <si>
    <t>-701.454771955159 21.9491393283122 -529.313592406868</t>
  </si>
  <si>
    <t>-704.054642995813 176.434862439121 -507.722621468556</t>
  </si>
  <si>
    <t>-743.741288549915 216.435462652315 -231.310879092096</t>
  </si>
  <si>
    <t>-520.107282366199 171.361935681327 -187.667652150815</t>
  </si>
  <si>
    <t>-652.535800468697 99.1205821077742 -96.227617938452</t>
  </si>
  <si>
    <t>-650.562810270874 129.958106375508 318.196981844745</t>
  </si>
  <si>
    <t>-668.620658093509 186.106144181535 777.509317529122</t>
  </si>
  <si>
    <t>-516.944209106192 191.612337589689 830.873750922822</t>
  </si>
  <si>
    <t>-619.135554993147 -87.431706790994 321.393957157386</t>
  </si>
  <si>
    <t>-657.384288776826 -111.118608487144 782.283350623773</t>
  </si>
  <si>
    <t>-503.810917684257 -116.558508838077 829.922045216382</t>
  </si>
  <si>
    <t>9763-20170724T115632.959973900.bin</t>
  </si>
  <si>
    <t>-635.609633825324 8.31747234682848 -93.4690646426741</t>
  </si>
  <si>
    <t>-658.296265068502 2.99537063255934 -201.702510872458</t>
  </si>
  <si>
    <t>-700.799924920716 22.2601500564813 -529.333559262824</t>
  </si>
  <si>
    <t>-703.283963213237 176.740869257091 -507.676259484859</t>
  </si>
  <si>
    <t>-744.588184002218 216.503290505775 -231.467069300655</t>
  </si>
  <si>
    <t>-521.567577700308 171.013313165776 -185.196136910799</t>
  </si>
  <si>
    <t>-652.18061879327 99.2715768906558 -96.2068162718556</t>
  </si>
  <si>
    <t>-650.418215129982 130.024276762775 318.225013416322</t>
  </si>
  <si>
    <t>-668.614158350946 186.107776969747 777.534555868978</t>
  </si>
  <si>
    <t>-516.939131890861 191.618460345278 830.902520339924</t>
  </si>
  <si>
    <t>-619.0079212801 -87.4447051264387 321.418343937861</t>
  </si>
  <si>
    <t>-657.366785268976 -111.129073903049 782.292051170128</t>
  </si>
  <si>
    <t>-503.826858734163 -117.042244413248 829.982172666987</t>
  </si>
  <si>
    <t>9763-20170724T115633.023829700.bin</t>
  </si>
  <si>
    <t>-634.817848603076 8.586663810853 -93.4454503586527</t>
  </si>
  <si>
    <t>-657.340372790503 3.30771120896748 -201.7153131916</t>
  </si>
  <si>
    <t>-699.311900189679 22.7267727823867 -529.403299243809</t>
  </si>
  <si>
    <t>-701.604791909018 177.215207754856 -507.810292104415</t>
  </si>
  <si>
    <t>-746.346818477801 216.913275929395 -232.127820878497</t>
  </si>
  <si>
    <t>-524.736566015249 171.014103615297 -179.871709489997</t>
  </si>
  <si>
    <t>-651.255892687229 99.5105218698739 -96.1777009390642</t>
  </si>
  <si>
    <t>-650.068791721562 130.126363510667 318.266331595398</t>
  </si>
  <si>
    <t>-668.596395886097 186.106942708823 777.56977755913</t>
  </si>
  <si>
    <t>-516.92986295125 191.660547687852 830.957454438937</t>
  </si>
  <si>
    <t>-618.698667115263 -87.4258422448831 321.439088810214</t>
  </si>
  <si>
    <t>-657.31643174719 -111.052570216678 782.300978183701</t>
  </si>
  <si>
    <t>-503.770966351021 -116.359622417081 830.044458358353</t>
  </si>
  <si>
    <t>9763-20170724T115633.057919600.bin</t>
  </si>
  <si>
    <t>-634.365290786388 8.67252948069472 -93.4240176872421</t>
  </si>
  <si>
    <t>-656.816990447861 3.41263202299842 -201.709527323227</t>
  </si>
  <si>
    <t>-698.590076486791 22.9001628539434 -529.417848285065</t>
  </si>
  <si>
    <t>-700.860777258788 177.398719311604 -507.887565125387</t>
  </si>
  <si>
    <t>-747.086754305619 217.336827453242 -232.484835867687</t>
  </si>
  <si>
    <t>-526.288022473716 171.862595730085 -176.55129378342</t>
  </si>
  <si>
    <t>-650.736670501959 99.6156370380627 -96.1649933947781</t>
  </si>
  <si>
    <t>-649.829519529857 130.15245289562 318.285618871053</t>
  </si>
  <si>
    <t>-668.590629345458 186.09556203681 777.588081790863</t>
  </si>
  <si>
    <t>-516.928500159426 191.653052295144 830.987886907933</t>
  </si>
  <si>
    <t>-618.486411669859 -87.5208826154908 321.45910045225</t>
  </si>
  <si>
    <t>-657.283225638564 -111.13634303225 782.312301811929</t>
  </si>
  <si>
    <t>-503.786768207829 -117.17347045333 830.126667642684</t>
  </si>
  <si>
    <t>9763-20170724T115633.124105900.bin</t>
  </si>
  <si>
    <t>-633.365107254726 8.98833092245764 -93.3972159987414</t>
  </si>
  <si>
    <t>-655.733727367304 3.76515388661278 -201.701614439613</t>
  </si>
  <si>
    <t>-668.554872696205 0.252521041957834 -293.620755350286</t>
  </si>
  <si>
    <t>-697.150251187989 23.4498018385198 -529.439058204841</t>
  </si>
  <si>
    <t>-699.399821583646 177.946336418757 -507.923148324181</t>
  </si>
  <si>
    <t>-748.157227128073 218.239605284599 -233.00902169058</t>
  </si>
  <si>
    <t>-529.32323480152 173.842962667954 -169.062522982368</t>
  </si>
  <si>
    <t>-649.616257389769 99.9605036403693 -96.1352216856255</t>
  </si>
  <si>
    <t>-649.167916975371 130.279257153815 318.332103056545</t>
  </si>
  <si>
    <t>-668.566860638717 186.079923204962 777.629388442797</t>
  </si>
  <si>
    <t>-516.91473900526 191.634863846994 831.05776824744</t>
  </si>
  <si>
    <t>-618.040991307254 -87.5297328233455 321.497695395933</t>
  </si>
  <si>
    <t>-657.204221634759 -111.079696414415 782.333877481381</t>
  </si>
  <si>
    <t>-503.72387834973 -116.616247900848 830.260390095284</t>
  </si>
  <si>
    <t>9763-20170724T115633.156191600.bin</t>
  </si>
  <si>
    <t>-632.86415741669 9.13194223709752 -93.3699647383895</t>
  </si>
  <si>
    <t>-655.206122584679 3.9227129704509 -201.680644492389</t>
  </si>
  <si>
    <t>-667.953184949495 0.474501350663559 -293.612499390672</t>
  </si>
  <si>
    <t>-696.233562023693 23.951719425216 -529.433981322455</t>
  </si>
  <si>
    <t>-698.22621663337 178.428964267216 -507.746482782594</t>
  </si>
  <si>
    <t>-748.208251366669 218.793870496059 -233.062922113219</t>
  </si>
  <si>
    <t>-530.493882445169 174.851519348643 -165.106629457325</t>
  </si>
  <si>
    <t>-649.051282198221 100.08848131832 -96.1058550905459</t>
  </si>
  <si>
    <t>-648.80269907025 130.359589449143 318.365214273286</t>
  </si>
  <si>
    <t>-668.560174023834 186.060144710961 777.655708037348</t>
  </si>
  <si>
    <t>-516.918716006514 191.63449436913 831.112355576114</t>
  </si>
  <si>
    <t>-617.791360159092 -87.5183478090603 321.526265438177</t>
  </si>
  <si>
    <t>-657.170148144879 -111.095834736164 782.345673136938</t>
  </si>
  <si>
    <t>-503.711780991292 -116.734664511995 830.330546556277</t>
  </si>
  <si>
    <t>9763-20170724T115633.226354300.bin</t>
  </si>
  <si>
    <t>-631.881092278943 9.34719864592898 -93.3183010279378</t>
  </si>
  <si>
    <t>-654.125514973545 4.15468868832204 -201.649902675091</t>
  </si>
  <si>
    <t>-666.668322031983 0.820701353758068 -293.613920197482</t>
  </si>
  <si>
    <t>-694.163388561506 24.8055741116807 -529.464606034958</t>
  </si>
  <si>
    <t>-695.785164716479 179.233331512944 -507.367455992501</t>
  </si>
  <si>
    <t>-747.301422065132 219.643517459647 -232.974231493373</t>
  </si>
  <si>
    <t>-531.625178553564 175.809969703562 -158.738604055128</t>
  </si>
  <si>
    <t>-648.007484659735 100.311167034772 -96.0576556074436</t>
  </si>
  <si>
    <t>-648.194847696183 130.428965961488 318.424508726518</t>
  </si>
  <si>
    <t>-668.530574423458 186.071203145326 777.68659089226</t>
  </si>
  <si>
    <t>-516.905151508753 191.71477330072 831.18145697267</t>
  </si>
  <si>
    <t>-617.348104213709 -87.5651630361215 321.582662731157</t>
  </si>
  <si>
    <t>-657.107550217444 -111.106969555346 782.362535352611</t>
  </si>
  <si>
    <t>-503.680479857718 -116.794798857081 830.441678049665</t>
  </si>
  <si>
    <t>9763-20170724T115633.259443500.bin</t>
  </si>
  <si>
    <t>-631.40863487594 9.44768400518888 -93.2898566397473</t>
  </si>
  <si>
    <t>-653.582587816975 4.26926174239111 -201.636482702282</t>
  </si>
  <si>
    <t>-666.017676203634 1.00031662984497 -293.617581397291</t>
  </si>
  <si>
    <t>-693.136865888766 25.2625150854735 -529.476808587094</t>
  </si>
  <si>
    <t>-694.560610025913 179.665938493321 -507.178887163165</t>
  </si>
  <si>
    <t>-746.534112055212 220.24892229216 -232.897428930312</t>
  </si>
  <si>
    <t>-531.918813764494 175.664604786284 -156.079145310177</t>
  </si>
  <si>
    <t>-647.547253432478 100.365990998068 -96.0251645972503</t>
  </si>
  <si>
    <t>-647.999705003226 130.494988011078 318.456031452469</t>
  </si>
  <si>
    <t>-668.526438949347 186.05719313628 777.714332618782</t>
  </si>
  <si>
    <t>-516.904146342348 191.669255881914 831.221398093262</t>
  </si>
  <si>
    <t>-617.087138602363 -87.6451333812629 321.607080028175</t>
  </si>
  <si>
    <t>-657.079390332055 -111.14139633688 782.369501226288</t>
  </si>
  <si>
    <t>-503.672138666392 -116.986493962133 830.492972398577</t>
  </si>
  <si>
    <t>9763-20170724T115633.323485500.bin</t>
  </si>
  <si>
    <t>-630.461706455918 9.61575115143796 -93.2172677832995</t>
  </si>
  <si>
    <t>-652.492658845041 4.45115062657487 -201.593725380897</t>
  </si>
  <si>
    <t>-664.718152351317 1.29714793744074 -293.606946446979</t>
  </si>
  <si>
    <t>-691.107111838335 26.0631427565397 -529.484072940519</t>
  </si>
  <si>
    <t>-691.958929716583 180.396155122597 -506.704940570601</t>
  </si>
  <si>
    <t>-743.992799162815 221.521457925979 -232.515740443029</t>
  </si>
  <si>
    <t>-530.667238145257 175.248175105274 -153.146153957569</t>
  </si>
  <si>
    <t>-646.662131436769 100.408734495082 -95.9538322459715</t>
  </si>
  <si>
    <t>-647.597777566166 130.608393954822 318.521324361596</t>
  </si>
  <si>
    <t>-668.516260077843 186.047855692773 777.766628244883</t>
  </si>
  <si>
    <t>-516.900234914639 191.692194273029 831.288120623256</t>
  </si>
  <si>
    <t>-616.491307605314 -87.8658261564833 321.65646491901</t>
  </si>
  <si>
    <t>-657.017654386348 -111.209234264428 782.385357095449</t>
  </si>
  <si>
    <t>-503.632270019748 -116.862948998758 830.601332675807</t>
  </si>
  <si>
    <t>9763-20170724T115633.363595300.bin</t>
  </si>
  <si>
    <t>-629.985943097753 9.69779024867626 -93.1711999654492</t>
  </si>
  <si>
    <t>-651.9523880001 4.53623180154113 -201.561043273173</t>
  </si>
  <si>
    <t>-664.068813465378 1.42298129532992 -293.589944420643</t>
  </si>
  <si>
    <t>-690.045621586349 26.3721148434852 -529.488753490995</t>
  </si>
  <si>
    <t>-690.956116691085 180.706739721897 -506.674010339676</t>
  </si>
  <si>
    <t>-741.881979909769 221.719739473207 -232.259928355493</t>
  </si>
  <si>
    <t>-528.565738023933 176.104050083971 -152.485644174437</t>
  </si>
  <si>
    <t>-646.193185413284 100.434958997003 -95.9154494242765</t>
  </si>
  <si>
    <t>-647.414326939658 130.639101878784 318.558699526462</t>
  </si>
  <si>
    <t>-668.51882370286 186.043438722878 777.793674961945</t>
  </si>
  <si>
    <t>-516.903077165882 191.717066133627 831.312795443895</t>
  </si>
  <si>
    <t>-616.144475260117 -87.9827971354205 321.696990079346</t>
  </si>
  <si>
    <t>-656.97590813015 -111.257432034686 782.397232017</t>
  </si>
  <si>
    <t>-503.622677368272 -117.240767138355 830.675790141355</t>
  </si>
  <si>
    <t>9763-20170724T115633.426775500.bin</t>
  </si>
  <si>
    <t>-629.031825247123 9.89068028926886 -93.1221329120943</t>
  </si>
  <si>
    <t>-650.824139223945 4.72174946713722 -201.546593382213</t>
  </si>
  <si>
    <t>-662.706915874709 1.64618891340797 -293.607304588587</t>
  </si>
  <si>
    <t>-687.770788930206 26.7948028883752 -529.576849991396</t>
  </si>
  <si>
    <t>-688.489508866869 181.137721674103 -506.866755339321</t>
  </si>
  <si>
    <t>-736.078672361631 221.079267244819 -231.696760463411</t>
  </si>
  <si>
    <t>-521.8390929999 176.790709154245 -153.668167658373</t>
  </si>
  <si>
    <t>-645.122029354191 100.569782725975 -95.8876870759257</t>
  </si>
  <si>
    <t>-646.92967176421 130.708169189742 318.589134123751</t>
  </si>
  <si>
    <t>-668.496387529688 186.07477509085 777.815905504674</t>
  </si>
  <si>
    <t>-516.891449803596 191.791081774148 831.361092724772</t>
  </si>
  <si>
    <t>-615.438626957426 -88.2435683763022 321.787372132723</t>
  </si>
  <si>
    <t>-656.869642312277 -111.301659444473 782.429893596925</t>
  </si>
  <si>
    <t>-503.555263668675 -117.044375686869 830.860686064106</t>
  </si>
  <si>
    <t>9763-20170724T115633.459854900.bin</t>
  </si>
  <si>
    <t>-628.526792471223 9.99970928938978 -93.1026105891127</t>
  </si>
  <si>
    <t>-650.211695422707 4.8385625841504 -201.549097105567</t>
  </si>
  <si>
    <t>-662.000202399764 1.76736416264316 -293.622005860621</t>
  </si>
  <si>
    <t>-686.712049924996 26.9354942886973 -529.624976955809</t>
  </si>
  <si>
    <t>-686.94327435008 181.299855922989 -507.032628622309</t>
  </si>
  <si>
    <t>-732.639306690487 220.911978099188 -231.49433024329</t>
  </si>
  <si>
    <t>-517.733207826995 177.443553545271 -154.849742406288</t>
  </si>
  <si>
    <t>-644.440169724165 100.667144068506 -95.8825502786401</t>
  </si>
  <si>
    <t>-646.656780247757 130.745197002358 318.59665531783</t>
  </si>
  <si>
    <t>-668.489868347459 186.104078586731 777.809372557316</t>
  </si>
  <si>
    <t>-516.89108605062 191.840051299481 831.369857597334</t>
  </si>
  <si>
    <t>-615.125586136991 -88.4905360100277 321.831090836672</t>
  </si>
  <si>
    <t>-656.788987682097 -111.380117761321 782.458344688281</t>
  </si>
  <si>
    <t>-503.528950762725 -117.518036481189 831.012559695767</t>
  </si>
  <si>
    <t>9763-20170724T115633.530047200.bin</t>
  </si>
  <si>
    <t>-627.511914598724 10.4337559470544 -93.0405997375507</t>
  </si>
  <si>
    <t>-649.028137973534 5.30375943499166 -201.52214790071</t>
  </si>
  <si>
    <t>-660.687322446176 2.22745899519327 -293.611302525386</t>
  </si>
  <si>
    <t>-684.876313792774 27.3499438126601 -529.672970802317</t>
  </si>
  <si>
    <t>-683.215668994675 181.709255863285 -507.110928897031</t>
  </si>
  <si>
    <t>-723.68351184161 220.94364222884 -230.702545770073</t>
  </si>
  <si>
    <t>-507.160270627643 178.408055150643 -158.197745058892</t>
  </si>
  <si>
    <t>-643.00092608248 101.103728464185 -95.9079442881019</t>
  </si>
  <si>
    <t>-646.08304064628 130.978521416116 318.580441601523</t>
  </si>
  <si>
    <t>-668.4888413277 186.134049263708 777.779052452565</t>
  </si>
  <si>
    <t>-516.901309521847 191.805156733789 831.378267736105</t>
  </si>
  <si>
    <t>-614.598946757583 -88.9019333574984 321.917605538326</t>
  </si>
  <si>
    <t>-656.622301759443 -111.456647732835 782.521542354004</t>
  </si>
  <si>
    <t>-503.446251947714 -117.710878931794 831.325252390021</t>
  </si>
  <si>
    <t>9763-20170724T115633.559123300.bin</t>
  </si>
  <si>
    <t>-627.027623386299 10.7110039180227 -93.0360053685189</t>
  </si>
  <si>
    <t>-648.48614136383 5.60022851742747 -201.529874714248</t>
  </si>
  <si>
    <t>-660.100163994595 2.48141851732726 -293.623357269389</t>
  </si>
  <si>
    <t>-684.071561602039 27.3940806101864 -529.734668502613</t>
  </si>
  <si>
    <t>-681.711903712817 181.775963356344 -507.455649454778</t>
  </si>
  <si>
    <t>-718.266328655054 221.113919747602 -230.517108648526</t>
  </si>
  <si>
    <t>-500.882286593452 179.345452584595 -160.174419956073</t>
  </si>
  <si>
    <t>-642.232504769832 101.442222910746 -95.9500225546415</t>
  </si>
  <si>
    <t>-645.715772185688 131.133028534143 318.54838055545</t>
  </si>
  <si>
    <t>-668.485644736463 186.157190191846 777.757513401771</t>
  </si>
  <si>
    <t>-516.904965697758 191.755615748594 831.383747601571</t>
  </si>
  <si>
    <t>-614.370232260967 -89.0455303455735 321.955332796697</t>
  </si>
  <si>
    <t>-656.560500882309 -111.478132284278 782.548963570373</t>
  </si>
  <si>
    <t>-503.428073599294 -118.072855234292 831.444802868854</t>
  </si>
  <si>
    <t>9763-20170724T115633.624300700.bin</t>
  </si>
  <si>
    <t>-626.123662567045 11.5042909574042 -93.069180526697</t>
  </si>
  <si>
    <t>-647.425016321258 6.29783603912165 -201.589481342539</t>
  </si>
  <si>
    <t>-659.069282540061 2.92988111648424 -293.670326782634</t>
  </si>
  <si>
    <t>-667.993669764185 0.137395214391972 -377.041223949893</t>
  </si>
  <si>
    <t>-683.17419468148 26.9086945480783 -529.879411069916</t>
  </si>
  <si>
    <t>-680.148500200309 181.441262047735 -508.651221649816</t>
  </si>
  <si>
    <t>-707.696923230549 222.977397924129 -230.992401147077</t>
  </si>
  <si>
    <t>-489.627540249203 179.969813418609 -163.578629449088</t>
  </si>
  <si>
    <t>-640.588271628888 102.330799095743 -96.1538541113936</t>
  </si>
  <si>
    <t>-645.008744970794 131.49926291212 318.37276017728</t>
  </si>
  <si>
    <t>-668.462394635432 186.224569138582 777.621748836238</t>
  </si>
  <si>
    <t>-516.911734796589 191.856200350944 831.329414556248</t>
  </si>
  <si>
    <t>-614.098373242461 -89.2725199710515 322.063109356191</t>
  </si>
  <si>
    <t>-656.501126896984 -111.479213472931 782.600591000799</t>
  </si>
  <si>
    <t>-503.396277486901 -118.263892565136 831.556646164871</t>
  </si>
  <si>
    <t>9763-20170724T115633.690479900.bin</t>
  </si>
  <si>
    <t>-625.066855450563 12.5976746665192 -93.2463672805637</t>
  </si>
  <si>
    <t>-646.2474447871 7.34402328998567 -201.788001818007</t>
  </si>
  <si>
    <t>-658.003975657407 3.74282194516559 -293.845912647159</t>
  </si>
  <si>
    <t>-667.11833850502 0.67062658008831 -377.186237908353</t>
  </si>
  <si>
    <t>-682.449354392703 26.7953490529474 -530.127518191419</t>
  </si>
  <si>
    <t>-676.748002876333 181.301772968331 -509.306068032289</t>
  </si>
  <si>
    <t>-699.116672573357 225.553795124059 -231.601184755549</t>
  </si>
  <si>
    <t>-481.792655984275 176.64315826667 -165.824504195557</t>
  </si>
  <si>
    <t>-638.414994356445 103.591308951527 -96.5319299833228</t>
  </si>
  <si>
    <t>-644.206177661565 132.093244956111 318.024091181694</t>
  </si>
  <si>
    <t>-668.449400515311 186.310672218141 777.332952913342</t>
  </si>
  <si>
    <t>-516.928435800123 191.844551557355 831.134408923937</t>
  </si>
  <si>
    <t>-614.084009145806 -89.4657007454662 322.119128219174</t>
  </si>
  <si>
    <t>-656.559615623654 -111.487511576282 782.631106982476</t>
  </si>
  <si>
    <t>-503.446942709299 -119.095319718594 831.44146206237</t>
  </si>
  <si>
    <t>9763-20170724T115633.728588300.bin</t>
  </si>
  <si>
    <t>-624.315476671864 13.078065831744 -93.3735419705283</t>
  </si>
  <si>
    <t>-645.449534538173 7.84471864676038 -201.925239878255</t>
  </si>
  <si>
    <t>-657.251535060249 4.13071668931048 -293.972699115455</t>
  </si>
  <si>
    <t>-666.442527815682 0.911349365033175 -377.299300895031</t>
  </si>
  <si>
    <t>-681.766664064576 26.6711992965618 -530.307788726036</t>
  </si>
  <si>
    <t>-674.399747866319 181.167869838777 -509.954095029332</t>
  </si>
  <si>
    <t>-697.247330940503 226.895768303681 -232.527530784977</t>
  </si>
  <si>
    <t>-480.934843389005 172.728320156258 -167.540370849217</t>
  </si>
  <si>
    <t>-636.948304333057 104.230283867643 -96.7556591616162</t>
  </si>
  <si>
    <t>-643.495722571827 132.351358474357 317.815069232981</t>
  </si>
  <si>
    <t>-668.429563336048 186.367426110365 777.151917049257</t>
  </si>
  <si>
    <t>-516.937059329104 191.79024737745 831.044850610018</t>
  </si>
  <si>
    <t>-614.135290413585 -89.418967921642 322.086729258949</t>
  </si>
  <si>
    <t>-656.59637490898 -111.466511409418 782.630152973728</t>
  </si>
  <si>
    <t>-503.455936513291 -119.164218354393 831.339195767463</t>
  </si>
  <si>
    <t>9763-20170724T115633.760666900.bin</t>
  </si>
  <si>
    <t>-623.44144845783 13.5335956032829 -93.4789206425651</t>
  </si>
  <si>
    <t>-644.544693540081 8.37156377497877 -202.040095063599</t>
  </si>
  <si>
    <t>-656.406071904893 4.58299851661513 -294.076939273506</t>
  </si>
  <si>
    <t>-665.686732839355 1.24987975258796 -377.388956038955</t>
  </si>
  <si>
    <t>-681.034459996435 26.7025653301075 -530.451555558125</t>
  </si>
  <si>
    <t>-672.234747164283 181.193972403382 -510.701523845212</t>
  </si>
  <si>
    <t>-697.492597432299 227.385345549901 -233.560777214944</t>
  </si>
  <si>
    <t>-482.060702790968 168.940828164969 -169.359191702544</t>
  </si>
  <si>
    <t>-635.326539101287 104.981569431683 -96.9637845670973</t>
  </si>
  <si>
    <t>-642.57748383332 132.585420914893 317.630102510078</t>
  </si>
  <si>
    <t>-668.385990132831 186.4516626417 776.962851822176</t>
  </si>
  <si>
    <t>-516.936445443266 191.767802847677 830.986795032248</t>
  </si>
  <si>
    <t>-614.130055257955 -89.2963394417525 322.05777247348</t>
  </si>
  <si>
    <t>-656.617830942673 -111.475125329677 782.625179562965</t>
  </si>
  <si>
    <t>-503.472179197313 -119.430939121855 831.276356401018</t>
  </si>
  <si>
    <t>9763-20170724T115633.825395100.bin</t>
  </si>
  <si>
    <t>-621.546934958121 14.6728531929593 -93.6334721926389</t>
  </si>
  <si>
    <t>-642.80736816206 9.6681663262541 -202.171185871875</t>
  </si>
  <si>
    <t>-654.868224851532 5.78426108071517 -294.178205920835</t>
  </si>
  <si>
    <t>-664.358468389881 2.28990379018956 -377.460025083183</t>
  </si>
  <si>
    <t>-679.823853688129 27.2823543509278 -530.595004055786</t>
  </si>
  <si>
    <t>-669.072623492729 181.709427511858 -511.279968856278</t>
  </si>
  <si>
    <t>-698.165294685442 226.112048770304 -234.222902202117</t>
  </si>
  <si>
    <t>-484.166692829056 162.922484043325 -169.723196804803</t>
  </si>
  <si>
    <t>-632.006534450747 106.791664891171 -97.2952801622497</t>
  </si>
  <si>
    <t>-640.517557553914 133.167900731627 317.35452316884</t>
  </si>
  <si>
    <t>-668.252701096294 186.597307006322 776.634753326134</t>
  </si>
  <si>
    <t>-516.915465763898 191.976751829843 830.966404305184</t>
  </si>
  <si>
    <t>-613.832113681691 -88.8118575189199 322.04989067062</t>
  </si>
  <si>
    <t>-656.67353007458 -111.433768205927 782.613134461907</t>
  </si>
  <si>
    <t>-503.480324957261 -119.598748364818 831.079619803815</t>
  </si>
  <si>
    <t>9763-20170724T115633.861490000.bin</t>
  </si>
  <si>
    <t>-620.681797198501 15.2525433702435 -93.7263596851974</t>
  </si>
  <si>
    <t>-642.050032219942 10.2992890085359 -202.245311988564</t>
  </si>
  <si>
    <t>-654.2131352265 6.4027374172324 -294.238431717651</t>
  </si>
  <si>
    <t>-663.801166594877 2.88010853023206 -377.507713258948</t>
  </si>
  <si>
    <t>-679.338922948273 27.7867861192292 -530.650898521866</t>
  </si>
  <si>
    <t>-667.975238900513 182.190775068703 -511.391766433526</t>
  </si>
  <si>
    <t>-699.107935031588 224.462315519754 -234.223121262604</t>
  </si>
  <si>
    <t>-485.589947008553 160.835565556899 -168.570660897652</t>
  </si>
  <si>
    <t>-630.568159627125 107.655360543612 -97.4417055801496</t>
  </si>
  <si>
    <t>-639.596514061235 133.418204506592 317.235711776284</t>
  </si>
  <si>
    <t>-668.179244417881 186.626229600265 776.489223452878</t>
  </si>
  <si>
    <t>-516.899164512286 191.964525244684 830.983849445016</t>
  </si>
  <si>
    <t>-613.627982567411 -88.4816378589446 322.031947357511</t>
  </si>
  <si>
    <t>-656.726389615135 -111.348952595925 782.593201620939</t>
  </si>
  <si>
    <t>-503.485117471175 -119.45409980559 830.91747784161</t>
  </si>
  <si>
    <t>9763-20170724T115633.926932600.bin</t>
  </si>
  <si>
    <t>-619.429570157737 16.3480264724128 -93.862225679021</t>
  </si>
  <si>
    <t>-640.938087794058 11.4368059844396 -202.355309691196</t>
  </si>
  <si>
    <t>-653.163464077205 7.5769462335652 -294.341651014294</t>
  </si>
  <si>
    <t>-662.785573761337 4.09424587951639 -377.608761619805</t>
  </si>
  <si>
    <t>-670.418542546265 0.662800873070182 -461.083960615486</t>
  </si>
  <si>
    <t>-678.223764632735 29.0956961201327 -530.744910535093</t>
  </si>
  <si>
    <t>-666.280985878037 183.430779720013 -511.292713551811</t>
  </si>
  <si>
    <t>-700.971924465018 224.168055141553 -234.316849503668</t>
  </si>
  <si>
    <t>-488.557857121631 160.878775472684 -164.867269769796</t>
  </si>
  <si>
    <t>-628.638184555347 108.988666035065 -97.6586810780543</t>
  </si>
  <si>
    <t>-638.370107208694 133.945584767064 317.052120984212</t>
  </si>
  <si>
    <t>-668.119020378701 186.681285724397 776.243062162109</t>
  </si>
  <si>
    <t>-516.921180551667 192.004561135471 830.966915920386</t>
  </si>
  <si>
    <t>-613.213557657267 -87.8765588962672 321.979724954609</t>
  </si>
  <si>
    <t>-656.992656200953 -111.199806546171 782.502547716335</t>
  </si>
  <si>
    <t>-503.588734406941 -119.648978013407 830.248475899445</t>
  </si>
  <si>
    <t>9763-20170724T115633.959017200.bin</t>
  </si>
  <si>
    <t>-618.988354082994 16.8053584825841 -93.940673246746</t>
  </si>
  <si>
    <t>-640.513363066117 11.8907132227182 -202.430470509252</t>
  </si>
  <si>
    <t>-652.732890663149 8.02796435327105 -294.417312213656</t>
  </si>
  <si>
    <t>-662.341675054875 4.54293546313897 -377.685931223628</t>
  </si>
  <si>
    <t>-669.953245955131 1.1095715166532 -461.162930699289</t>
  </si>
  <si>
    <t>-677.741070300926 29.5409345916341 -530.826528215063</t>
  </si>
  <si>
    <t>-665.917593609111 183.887603737729 -511.375943502997</t>
  </si>
  <si>
    <t>-701.498648366614 225.037967544942 -234.574184299725</t>
  </si>
  <si>
    <t>-489.624510202457 162.79268446229 -162.578310136226</t>
  </si>
  <si>
    <t>-628.132852792141 109.496021237321 -97.7540912012885</t>
  </si>
  <si>
    <t>-638.152001521492 134.131635813889 316.969092842577</t>
  </si>
  <si>
    <t>-668.136360231862 186.669681578118 776.131934128569</t>
  </si>
  <si>
    <t>-516.952640205991 191.995030186334 830.894536358774</t>
  </si>
  <si>
    <t>-613.13330205659 -87.6041057386697 321.908079232763</t>
  </si>
  <si>
    <t>-657.270248521683 -111.06180522967 782.405444575978</t>
  </si>
  <si>
    <t>-503.704938743852 -119.569813241869 829.619213550649</t>
  </si>
  <si>
    <t>9763-20170724T115634.026780700.bin</t>
  </si>
  <si>
    <t>-618.622621845873 17.5809031294004 -94.0926118527935</t>
  </si>
  <si>
    <t>-640.18748058509 12.6281774087422 -202.572756168524</t>
  </si>
  <si>
    <t>-652.435695766288 8.75659087626627 -294.555447363</t>
  </si>
  <si>
    <t>-662.067989286328 5.26764653914188 -377.821194422542</t>
  </si>
  <si>
    <t>-669.700736806363 1.83537686115051 -461.296258836558</t>
  </si>
  <si>
    <t>-677.565432669096 30.2646074706238 -530.951986604207</t>
  </si>
  <si>
    <t>-666.0779873553 184.623373482356 -511.496186673489</t>
  </si>
  <si>
    <t>-701.630007869864 226.651993535106 -234.822691053999</t>
  </si>
  <si>
    <t>-489.981539465929 168.264424171931 -159.031228038173</t>
  </si>
  <si>
    <t>-628.066101802722 110.128310966622 -97.9121842939524</t>
  </si>
  <si>
    <t>-638.277158948793 134.504342575653 316.821659965573</t>
  </si>
  <si>
    <t>-668.214353743686 186.597441829687 775.97793107458</t>
  </si>
  <si>
    <t>-517.032578434909 191.795994559885 830.758114001777</t>
  </si>
  <si>
    <t>-613.044118549395 -87.11471600715 321.697953637227</t>
  </si>
  <si>
    <t>-657.950499605386 -110.826191068249 782.127119608338</t>
  </si>
  <si>
    <t>-504.009743953479 -119.582572686992 828.055314001692</t>
  </si>
  <si>
    <t>9763-20170724T115634.058864300.bin</t>
  </si>
  <si>
    <t>-618.594555861751 17.8731694237033 -94.1728142963623</t>
  </si>
  <si>
    <t>-640.19916605407 12.8825886144411 -202.6433146021</t>
  </si>
  <si>
    <t>-652.469138737327 9.01344308997295 -294.623228046233</t>
  </si>
  <si>
    <t>-662.115932994778 5.53773154571127 -377.887814006467</t>
  </si>
  <si>
    <t>-669.758177731309 2.13028914615279 -461.363030471665</t>
  </si>
  <si>
    <t>-677.680711834952 30.5827433584752 -531.00276460932</t>
  </si>
  <si>
    <t>-666.678911208555 184.990486216225 -511.637243928727</t>
  </si>
  <si>
    <t>-701.134999921843 227.220592513285 -234.855701330537</t>
  </si>
  <si>
    <t>-488.759885382453 171.577020249692 -159.032602275262</t>
  </si>
  <si>
    <t>-628.212669307886 110.266117471696 -97.9797648305613</t>
  </si>
  <si>
    <t>-638.514339560311 134.662143478381 316.750648510123</t>
  </si>
  <si>
    <t>-668.265875197339 186.567918783234 775.918475691626</t>
  </si>
  <si>
    <t>-517.079371072411 191.838626214797 830.678750296638</t>
  </si>
  <si>
    <t>-612.990798607541 -86.9344040645462 321.589728517062</t>
  </si>
  <si>
    <t>-658.253543770923 -110.690641072535 781.992532049839</t>
  </si>
  <si>
    <t>-504.131792925406 -119.35843682368 827.326606060726</t>
  </si>
  <si>
    <t>9763-20170724T115634.124933800.bin</t>
  </si>
  <si>
    <t>-618.655781820907 18.146982073501 -94.321960681865</t>
  </si>
  <si>
    <t>-640.408037622354 13.104040710532 -202.76042669482</t>
  </si>
  <si>
    <t>-652.766263675782 9.28330228942013 -294.730618477509</t>
  </si>
  <si>
    <t>-662.477407210235 5.88466672572804 -377.990927712141</t>
  </si>
  <si>
    <t>-670.16851193078 2.59020169248652 -461.466217465827</t>
  </si>
  <si>
    <t>-663.443310377579 0.638758246159796 -660.411407383006</t>
  </si>
  <si>
    <t>-678.241708747339 31.1479144294904 -531.045464979537</t>
  </si>
  <si>
    <t>-668.552395662132 185.67857999964 -511.946568422403</t>
  </si>
  <si>
    <t>-699.051352127008 228.469318679549 -234.787084415991</t>
  </si>
  <si>
    <t>-484.478810894461 177.945649798706 -161.612495824517</t>
  </si>
  <si>
    <t>-628.50808127416 110.307832519938 -98.0820121589514</t>
  </si>
  <si>
    <t>-638.795137701271 134.786619058556 316.64385418225</t>
  </si>
  <si>
    <t>-668.34865861832 186.55599838681 775.821600619787</t>
  </si>
  <si>
    <t>-517.15700712097 191.814290501475 830.568787610308</t>
  </si>
  <si>
    <t>-612.720456991917 -86.8192226055166 321.413197709585</t>
  </si>
  <si>
    <t>-658.644577241889 -110.572787847425 781.788860191827</t>
  </si>
  <si>
    <t>-504.307693811507 -119.623682962837 826.308958002981</t>
  </si>
  <si>
    <t>9763-20170724T115634.159023800.bin</t>
  </si>
  <si>
    <t>-618.693766775161 18.2066552313961 -94.382142186445</t>
  </si>
  <si>
    <t>-640.456947007551 13.1422151210527 -202.817441289441</t>
  </si>
  <si>
    <t>-652.83261445802 9.35734147937796 -294.786799534431</t>
  </si>
  <si>
    <t>-662.562598273425 6.0116399207227 -378.047009591811</t>
  </si>
  <si>
    <t>-670.275587227515 2.79147790581487 -461.523104194374</t>
  </si>
  <si>
    <t>-663.783875258361 0.969189379965883 -660.511427740027</t>
  </si>
  <si>
    <t>-678.398982808183 31.4215174418957 -531.066930759466</t>
  </si>
  <si>
    <t>-669.156989588834 185.991223167627 -512.051834808297</t>
  </si>
  <si>
    <t>-696.832068929914 228.181033313229 -234.504123895224</t>
  </si>
  <si>
    <t>-480.667513602402 180.649481718393 -164.061522355527</t>
  </si>
  <si>
    <t>-628.59451432204 110.388815043024 -98.1345453742756</t>
  </si>
  <si>
    <t>-638.78347160245 134.789365128873 316.598355745154</t>
  </si>
  <si>
    <t>-668.373735159254 186.553030349583 775.787093867535</t>
  </si>
  <si>
    <t>-517.191302988165 191.789912667106 830.561833702232</t>
  </si>
  <si>
    <t>-612.592095868726 -86.870476125536 321.365245361187</t>
  </si>
  <si>
    <t>-658.722983909055 -110.541810961659 781.732341834788</t>
  </si>
  <si>
    <t>-504.313699887237 -119.407961384134 826.037924702171</t>
  </si>
  <si>
    <t>9763-20170724T115634.223198700.bin</t>
  </si>
  <si>
    <t>-618.611659014731 18.1161406962722 -94.4648462238412</t>
  </si>
  <si>
    <t>-640.346961537306 12.9967636712208 -202.903138293721</t>
  </si>
  <si>
    <t>-652.778148563807 9.27949854711574 -294.867808498453</t>
  </si>
  <si>
    <t>-662.589759494543 6.03995008845482 -378.122626124772</t>
  </si>
  <si>
    <t>-670.415747706587 2.9703235244167 -461.593926452736</t>
  </si>
  <si>
    <t>-664.519050880335 1.35520977334409 -660.658274338532</t>
  </si>
  <si>
    <t>-678.614187091247 31.7565969053503 -531.064414307126</t>
  </si>
  <si>
    <t>-669.647221631433 186.318135475932 -511.790259262119</t>
  </si>
  <si>
    <t>-690.74589263431 227.057379839253 -233.449220352118</t>
  </si>
  <si>
    <t>-470.886652097373 186.795922332045 -170.286933305583</t>
  </si>
  <si>
    <t>-628.520276517111 110.345960016166 -98.2244913098914</t>
  </si>
  <si>
    <t>-638.762458373822 134.756548176257 316.506603484128</t>
  </si>
  <si>
    <t>-668.43677063407 186.556826782094 775.701867184248</t>
  </si>
  <si>
    <t>-517.269791339206 191.823337150413 830.516432296977</t>
  </si>
  <si>
    <t>-612.467942204324 -87.2672049003925 321.307424489667</t>
  </si>
  <si>
    <t>-658.696738525585 -110.511918992056 781.690329426782</t>
  </si>
  <si>
    <t>-504.252625795668 -119.260974220027 825.897696157925</t>
  </si>
  <si>
    <t>9763-20170724T115634.261304300.bin</t>
  </si>
  <si>
    <t>-618.533154571389 18.1060523354849 -94.4733910518327</t>
  </si>
  <si>
    <t>-640.243193471057 12.9869393353611 -202.916787590706</t>
  </si>
  <si>
    <t>-652.703979638964 9.30575333714819 -294.87873849479</t>
  </si>
  <si>
    <t>-662.562793610414 6.11349623733736 -378.129884506141</t>
  </si>
  <si>
    <t>-670.456446831206 3.10497939191669 -461.597135563911</t>
  </si>
  <si>
    <t>-664.861727697932 1.547565388355 -660.692904323758</t>
  </si>
  <si>
    <t>-678.67691680936 31.9550507048966 -531.038476679056</t>
  </si>
  <si>
    <t>-669.579565320669 186.490512647016 -511.730120535358</t>
  </si>
  <si>
    <t>-687.236396791181 227.226046720166 -233.148945212321</t>
  </si>
  <si>
    <t>-465.817229045336 189.908179909924 -173.739728768428</t>
  </si>
  <si>
    <t>-628.457552984554 110.338221400009 -98.2554510435083</t>
  </si>
  <si>
    <t>-638.737478772965 134.72430328929 316.476033604629</t>
  </si>
  <si>
    <t>-668.48311720197 186.538975357273 775.663113933726</t>
  </si>
  <si>
    <t>-517.31709080365 191.699873834183 830.490313235389</t>
  </si>
  <si>
    <t>-612.399645526009 -87.3557216724519 321.311597445842</t>
  </si>
  <si>
    <t>-658.546288951558 -110.55364123152 781.701149705613</t>
  </si>
  <si>
    <t>-504.164178241234 -119.321855873057 826.120824987691</t>
  </si>
  <si>
    <t>9763-20170724T115634.329500400.bin</t>
  </si>
  <si>
    <t>-618.363024995573 18.1469293000664 -94.4250467231714</t>
  </si>
  <si>
    <t>-640.122867588687 13.0762697150888 -202.860738254518</t>
  </si>
  <si>
    <t>-652.644836707517 9.52085700175735 -294.819345337394</t>
  </si>
  <si>
    <t>-662.566389139959 6.478083829669 -378.068649452511</t>
  </si>
  <si>
    <t>-670.529883792379 3.65241950956715 -461.535602468981</t>
  </si>
  <si>
    <t>-665.375075648786 2.35938739848962 -660.697839568987</t>
  </si>
  <si>
    <t>-678.693091703183 32.6853921536265 -530.907412806621</t>
  </si>
  <si>
    <t>-668.479174618315 187.109606961939 -511.238023314624</t>
  </si>
  <si>
    <t>-677.992508694037 228.530314088092 -232.360907047867</t>
  </si>
  <si>
    <t>-453.909433647482 197.000680446863 -180.004641598277</t>
  </si>
  <si>
    <t>-628.281592374952 110.496582057563 -98.2434728674548</t>
  </si>
  <si>
    <t>-638.499977098305 134.682866878738 316.501307540681</t>
  </si>
  <si>
    <t>-668.542701724592 186.5212694643 775.651760642932</t>
  </si>
  <si>
    <t>-517.384989637831 191.747978768746 830.495589237528</t>
  </si>
  <si>
    <t>-612.029480450237 -87.3251572545969 321.376418210717</t>
  </si>
  <si>
    <t>-657.992428826745 -110.655756349538 781.797917793598</t>
  </si>
  <si>
    <t>-503.850435943953 -119.540947269133 827.021023489324</t>
  </si>
  <si>
    <t>9763-20170724T115634.356563100.bin</t>
  </si>
  <si>
    <t>-618.358527003709 18.269195808168 -94.3900070770807</t>
  </si>
  <si>
    <t>-640.172129268726 13.2200882292691 -202.815854653743</t>
  </si>
  <si>
    <t>-652.743626543398 9.71167964071492 -294.76948005276</t>
  </si>
  <si>
    <t>-662.711626836669 6.72360841719228 -378.015319849604</t>
  </si>
  <si>
    <t>-670.72316797165 3.96454502276742 -461.47977625522</t>
  </si>
  <si>
    <t>-680.285511355845 0.172770655648719 -583.705490373304</t>
  </si>
  <si>
    <t>-665.846906682367 2.75454811703457 -660.679880882749</t>
  </si>
  <si>
    <t>-678.89629317643 33.0629380939267 -530.823147093313</t>
  </si>
  <si>
    <t>-668.314993428987 187.400859572841 -510.700566390862</t>
  </si>
  <si>
    <t>-672.148317417417 229.707543261599 -231.820693957609</t>
  </si>
  <si>
    <t>-447.025255489014 199.998028278389 -182.979347170864</t>
  </si>
  <si>
    <t>-628.296411558548 110.650094401371 -98.2098650038957</t>
  </si>
  <si>
    <t>-638.364855093982 134.716484497893 316.545554185106</t>
  </si>
  <si>
    <t>-668.577251501282 186.499792934743 775.682197123208</t>
  </si>
  <si>
    <t>-517.419489822339 191.628368549886 830.535166335568</t>
  </si>
  <si>
    <t>-611.760723666664 -87.1701042989571 321.432518715338</t>
  </si>
  <si>
    <t>-657.569870896438 -110.706478086963 781.884999350077</t>
  </si>
  <si>
    <t>-503.609144861182 -119.359101629444 827.765737203926</t>
  </si>
  <si>
    <t>9763-20170724T115634.426723700.bin</t>
  </si>
  <si>
    <t>-618.798127064719 18.5571726456792 -94.2400685482351</t>
  </si>
  <si>
    <t>-640.711708196647 13.5224508204092 -202.646401528246</t>
  </si>
  <si>
    <t>-653.37332171556 10.1325901293828 -294.592196826168</t>
  </si>
  <si>
    <t>-663.424647024452 7.29521505567595 -377.833183532547</t>
  </si>
  <si>
    <t>-671.521279988858 4.73030860026938 -461.295740983099</t>
  </si>
  <si>
    <t>-681.209656705533 1.2702688337788 -583.521361941521</t>
  </si>
  <si>
    <t>-667.205573438906 3.89321005619149 -660.574676137699</t>
  </si>
  <si>
    <t>-679.754436044231 34.0177754611523 -530.552315475524</t>
  </si>
  <si>
    <t>-668.732073197451 188.19511121909 -509.461944370144</t>
  </si>
  <si>
    <t>-659.16671122074 233.363920065071 -231.169242834892</t>
  </si>
  <si>
    <t>-432.184805313714 204.826326603112 -191.002607186438</t>
  </si>
  <si>
    <t>-628.886364726583 110.985536233297 -98.076907740068</t>
  </si>
  <si>
    <t>-638.631451617507 134.80701189602 316.700315685321</t>
  </si>
  <si>
    <t>-668.647851848069 186.475509687513 775.816907080616</t>
  </si>
  <si>
    <t>-517.484218377381 191.609289458788 830.65326916091</t>
  </si>
  <si>
    <t>-611.51133937525 -86.8734593751713 321.613335609987</t>
  </si>
  <si>
    <t>-656.912046369966 -110.803094631126 782.070010480962</t>
  </si>
  <si>
    <t>-503.272453982293 -119.618595660562 828.984634969533</t>
  </si>
  <si>
    <t>9763-20170724T115634.459809700.bin</t>
  </si>
  <si>
    <t>-619.265745841723 18.7088971226788 -94.1777049869531</t>
  </si>
  <si>
    <t>-641.209987206335 13.6640935661458 -202.577466715341</t>
  </si>
  <si>
    <t>-653.891163255813 10.3252431034052 -294.522357548233</t>
  </si>
  <si>
    <t>-663.957354143883 7.55718397853275 -377.763783882662</t>
  </si>
  <si>
    <t>-672.06587237706 5.08511929278961 -461.228070323657</t>
  </si>
  <si>
    <t>-681.768247405173 1.78649055867663 -583.457020364493</t>
  </si>
  <si>
    <t>-667.971095513461 4.46645834133415 -660.545671060378</t>
  </si>
  <si>
    <t>-680.317891254298 34.4631029080572 -530.443920734949</t>
  </si>
  <si>
    <t>-669.401117686666 188.594649958914 -508.96558216081</t>
  </si>
  <si>
    <t>-652.062895546276 235.680645208978 -231.367237792405</t>
  </si>
  <si>
    <t>-424.371607449833 207.074903163199 -195.493591019266</t>
  </si>
  <si>
    <t>-629.451302467333 111.091506238914 -98.0137531708672</t>
  </si>
  <si>
    <t>-639.054797725815 134.898475413055 316.767673870886</t>
  </si>
  <si>
    <t>-668.701130036226 186.458271574472 775.898286600634</t>
  </si>
  <si>
    <t>-517.520604154139 191.578234716075 830.689318501297</t>
  </si>
  <si>
    <t>-611.546123316991 -86.6790946510587 321.674623280363</t>
  </si>
  <si>
    <t>-656.670491360499 -110.825634357989 782.138498691854</t>
  </si>
  <si>
    <t>-503.134195868972 -119.533570396211 829.410154082878</t>
  </si>
  <si>
    <t>9763-20170724T115634.527633200.bin</t>
  </si>
  <si>
    <t>-620.62218794399 18.981710426362 -94.0987859012849</t>
  </si>
  <si>
    <t>-642.583981613322 13.9455060625237 -202.495395157838</t>
  </si>
  <si>
    <t>-655.27861166082 10.6761856422838 -294.440902350581</t>
  </si>
  <si>
    <t>-665.35592357853 7.99412581509137 -377.683917340031</t>
  </si>
  <si>
    <t>-673.474394572492 5.63227530246127 -461.150302215606</t>
  </si>
  <si>
    <t>-683.189980418874 2.52078478130238 -583.383114731873</t>
  </si>
  <si>
    <t>-669.776703030456 5.37835527277321 -660.533186103988</t>
  </si>
  <si>
    <t>-681.777693103691 35.1123010322929 -530.316635405462</t>
  </si>
  <si>
    <t>-671.12682577627 189.183433317143 -508.260732154503</t>
  </si>
  <si>
    <t>-637.017619787888 239.601206093885 -232.809846111058</t>
  </si>
  <si>
    <t>-408.289585826953 209.733282759647 -205.608167143826</t>
  </si>
  <si>
    <t>-630.998356907292 111.281591949571 -97.9248711526919</t>
  </si>
  <si>
    <t>-640.098038011693 135.140637852508 316.864865374299</t>
  </si>
  <si>
    <t>-668.817340564576 186.414813471182 776.079746150195</t>
  </si>
  <si>
    <t>-517.593780334829 191.514831915123 830.753738753289</t>
  </si>
  <si>
    <t>-611.867544848085 -86.2544275243415 321.707987672237</t>
  </si>
  <si>
    <t>-656.347438216502 -110.845425456564 782.197497182306</t>
  </si>
  <si>
    <t>-502.942986628399 -119.294683074975 829.941778601398</t>
  </si>
  <si>
    <t>9763-20170724T115634.558712100.bin</t>
  </si>
  <si>
    <t>-621.384940024176 19.1570134820747 -94.0681657597067</t>
  </si>
  <si>
    <t>-643.356496687934 14.1290917221133 -202.463230986343</t>
  </si>
  <si>
    <t>-656.053481909369 10.8973582900119 -294.409817827062</t>
  </si>
  <si>
    <t>-666.130361295988 8.2610939793442 -377.654210262089</t>
  </si>
  <si>
    <t>-674.245715100598 5.95734107432418 -461.122611075342</t>
  </si>
  <si>
    <t>-683.953926011896 2.94391636861656 -583.358441836409</t>
  </si>
  <si>
    <t>-670.728990496279 5.92881319258413 -660.536074407775</t>
  </si>
  <si>
    <t>-682.559202640272 35.4913911033152 -530.26461558838</t>
  </si>
  <si>
    <t>-671.908723304579 189.532296890206 -507.996954023078</t>
  </si>
  <si>
    <t>-630.121879730245 240.942714752815 -233.790000999801</t>
  </si>
  <si>
    <t>-400.99145104854 210.859212302399 -210.492621829723</t>
  </si>
  <si>
    <t>-631.831415791727 111.423554987084 -97.8785179355962</t>
  </si>
  <si>
    <t>-640.63239746217 135.23706022987 316.920220214876</t>
  </si>
  <si>
    <t>-668.883343263386 186.378029687453 776.179572809053</t>
  </si>
  <si>
    <t>-517.635436769329 191.358371910818 830.797151569378</t>
  </si>
  <si>
    <t>-612.126943867029 -86.0526015824596 321.714873776416</t>
  </si>
  <si>
    <t>-656.23214126476 -110.851139353182 782.220487764926</t>
  </si>
  <si>
    <t>-502.863870322384 -119.11174705112 830.113661970707</t>
  </si>
  <si>
    <t>9763-20170724T115634.624898400.bin</t>
  </si>
  <si>
    <t>-622.924111167286 19.5655295059009 -94.0726176412152</t>
  </si>
  <si>
    <t>-644.884438667837 14.5665168273151 -202.471224600244</t>
  </si>
  <si>
    <t>-657.578065450212 11.3880849200157 -294.420207450182</t>
  </si>
  <si>
    <t>-667.654531579936 8.8128816180531 -377.666593683944</t>
  </si>
  <si>
    <t>-675.772311645971 6.58364352698277 -461.136728788546</t>
  </si>
  <si>
    <t>-685.486983790197 3.69543537590152 -583.375024046886</t>
  </si>
  <si>
    <t>-672.778293275588 6.89118094086712 -660.631034347301</t>
  </si>
  <si>
    <t>-684.129897815761 36.184991364812 -530.24462454961</t>
  </si>
  <si>
    <t>-673.585836553429 190.167178964783 -507.502635382421</t>
  </si>
  <si>
    <t>-616.935525496771 242.555705460571 -236.163789620736</t>
  </si>
  <si>
    <t>-387.438631263686 211.443605062292 -218.508038450349</t>
  </si>
  <si>
    <t>-633.274863959802 111.755050393043 -97.8391051619241</t>
  </si>
  <si>
    <t>-641.652136948468 135.466715275214 316.974254650729</t>
  </si>
  <si>
    <t>-669.001285490771 186.374134274246 776.337798449162</t>
  </si>
  <si>
    <t>-517.7112301281 191.189384075969 830.853502257158</t>
  </si>
  <si>
    <t>-612.761002592192 -85.7255782369282 321.692697103438</t>
  </si>
  <si>
    <t>-656.127285042202 -110.84575600421 782.224970182807</t>
  </si>
  <si>
    <t>-502.784656579933 -118.989433549201 830.220154407408</t>
  </si>
  <si>
    <t>9763-20170724T115634.657986900.bin</t>
  </si>
  <si>
    <t>-623.679082895084 19.7848055738589 -94.0701005164349</t>
  </si>
  <si>
    <t>-645.623949664022 14.815966539461 -202.473222117641</t>
  </si>
  <si>
    <t>-658.289905585337 11.6841950244645 -294.42760983039</t>
  </si>
  <si>
    <t>-668.33563321349 9.16035513573229 -377.67925638556</t>
  </si>
  <si>
    <t>-676.416741044563 6.99257386042723 -461.154616828495</t>
  </si>
  <si>
    <t>-686.071428812436 4.2051083466115 -583.399911062687</t>
  </si>
  <si>
    <t>-673.545686024842 7.52248223035463 -660.680721779436</t>
  </si>
  <si>
    <t>-684.747400940347 36.6502428544859 -530.241736144876</t>
  </si>
  <si>
    <t>-674.249453633609 190.591051105703 -507.26791362651</t>
  </si>
  <si>
    <t>-611.508147931538 243.041694695316 -237.284590748919</t>
  </si>
  <si>
    <t>-381.851867241472 212.475438784647 -220.785240793595</t>
  </si>
  <si>
    <t>-633.959361369423 111.965526785782 -97.8212416780692</t>
  </si>
  <si>
    <t>-642.084902350706 135.594982088053 317.001945549291</t>
  </si>
  <si>
    <t>-669.064118289078 186.358723536949 776.405286569902</t>
  </si>
  <si>
    <t>-517.754950129704 191.131471473786 830.871573180492</t>
  </si>
  <si>
    <t>-613.058749243556 -85.5078517344884 321.67396059909</t>
  </si>
  <si>
    <t>-656.043585520026 -110.827171811625 782.235482303504</t>
  </si>
  <si>
    <t>-502.726662238476 -118.872739378406 830.329243655368</t>
  </si>
  <si>
    <t>9763-20170724T115634.726775100.bin</t>
  </si>
  <si>
    <t>-624.911240302977 20.1759469601245 -94.0382439531804</t>
  </si>
  <si>
    <t>-646.820501967443 15.2954157008624 -202.452523976082</t>
  </si>
  <si>
    <t>-659.444705573629 12.2565852222313 -294.415771122505</t>
  </si>
  <si>
    <t>-669.448006132848 9.82615672241877 -377.675334721989</t>
  </si>
  <si>
    <t>-677.481862156042 7.75956200086057 -461.157748794904</t>
  </si>
  <si>
    <t>-687.06205551527 5.12844648267674 -583.412639606629</t>
  </si>
  <si>
    <t>-674.789100559799 8.69001675073628 -660.723078850737</t>
  </si>
  <si>
    <t>-685.69519527479 37.5122889130007 -530.218055097753</t>
  </si>
  <si>
    <t>-674.844983676345 191.380436787321 -506.842284173942</t>
  </si>
  <si>
    <t>-603.395002291997 242.422282643041 -238.759868433064</t>
  </si>
  <si>
    <t>-373.407880695235 215.723369325002 -220.27658051648</t>
  </si>
  <si>
    <t>-635.019538148997 112.4244531759 -97.7755454415376</t>
  </si>
  <si>
    <t>-642.969815134839 135.79207436695 317.065809115433</t>
  </si>
  <si>
    <t>-669.179183792926 186.315520618667 776.541477578391</t>
  </si>
  <si>
    <t>-517.834475590186 190.939688251852 830.921856435629</t>
  </si>
  <si>
    <t>-613.601953933521 -85.138336608474 321.652459189305</t>
  </si>
  <si>
    <t>-655.922907080697 -110.804932304998 782.262069688019</t>
  </si>
  <si>
    <t>-502.650487761209 -119.024483908027 830.468156332377</t>
  </si>
  <si>
    <t>9763-20170724T115634.759830500.bin</t>
  </si>
  <si>
    <t>-625.390604559709 20.3820879745349 -94.0268315880003</t>
  </si>
  <si>
    <t>-647.31443500879 15.5596029178389 -202.440858856274</t>
  </si>
  <si>
    <t>-659.96062345729 12.5889258018119 -294.40316885433</t>
  </si>
  <si>
    <t>-669.987612115892 10.2293093760247 -377.662045056753</t>
  </si>
  <si>
    <t>-678.048858442883 8.24047969958656 -461.143689924608</t>
  </si>
  <si>
    <t>-687.672885997527 5.73082909017126 -583.397570664048</t>
  </si>
  <si>
    <t>-675.537970439658 9.45578033574247 -660.72208106094</t>
  </si>
  <si>
    <t>-686.194506412308 38.0700008864992 -530.178790372574</t>
  </si>
  <si>
    <t>-674.690269099652 191.861432634808 -506.641949991055</t>
  </si>
  <si>
    <t>-601.762369581783 242.011124445929 -238.789163118734</t>
  </si>
  <si>
    <t>-371.792298420843 215.851484198063 -219.347592773694</t>
  </si>
  <si>
    <t>-635.345414985627 112.722542269585 -97.7543301473471</t>
  </si>
  <si>
    <t>-643.278041843196 135.91225460781 317.09734860043</t>
  </si>
  <si>
    <t>-669.213204444728 186.284626483282 776.616920141652</t>
  </si>
  <si>
    <t>-517.862488906515 190.877115478481 830.983191148644</t>
  </si>
  <si>
    <t>-613.829780641542 -84.8945442883939 321.647259822421</t>
  </si>
  <si>
    <t>-655.858941873207 -110.76290786279 782.266521361532</t>
  </si>
  <si>
    <t>-502.591540970393 -118.680176680904 830.539113574689</t>
  </si>
  <si>
    <t>9763-20170724T115634.826657100.bin</t>
  </si>
  <si>
    <t>-626.075781788848 20.5630122108118 -94.0406620139535</t>
  </si>
  <si>
    <t>-648.078294053011 15.8994211244317 -202.445677860691</t>
  </si>
  <si>
    <t>-660.788606835854 13.1032624504769 -294.404753785826</t>
  </si>
  <si>
    <t>-670.873022103479 10.9226496768435 -377.661350350109</t>
  </si>
  <si>
    <t>-678.990709393508 9.13145607399133 -461.142182328506</t>
  </si>
  <si>
    <t>-688.696055810483 6.93106670797238 -583.395517544541</t>
  </si>
  <si>
    <t>-676.836371243136 10.9949725257363 -660.745565172256</t>
  </si>
  <si>
    <t>-687.009333980483 39.1500835677002 -530.110096746986</t>
  </si>
  <si>
    <t>-674.486731232843 192.826834316048 -506.316715976478</t>
  </si>
  <si>
    <t>-601.82791311587 240.733526949406 -237.980688801789</t>
  </si>
  <si>
    <t>-371.957319958775 216.067260237769 -215.628388327995</t>
  </si>
  <si>
    <t>-635.553268268266 113.195087965347 -97.7095473858795</t>
  </si>
  <si>
    <t>-643.409545618362 135.934043500628 317.168550300067</t>
  </si>
  <si>
    <t>-669.269553771192 186.213453627043 776.754582981236</t>
  </si>
  <si>
    <t>-517.914124096842 190.726524057932 831.114493454455</t>
  </si>
  <si>
    <t>-614.31560436042 -84.5432551218942 321.621449239124</t>
  </si>
  <si>
    <t>-655.775452365507 -110.744181712958 782.290339828844</t>
  </si>
  <si>
    <t>-502.552237720043 -119.098555642747 830.629425698886</t>
  </si>
  <si>
    <t>9763-20170724T115634.859744900.bin</t>
  </si>
  <si>
    <t>-626.40253880023 20.571511251082 -94.034583403369</t>
  </si>
  <si>
    <t>-648.474483026813 16.038349054855 -202.430949232914</t>
  </si>
  <si>
    <t>-661.26022833042 13.3601960669685 -294.383061449532</t>
  </si>
  <si>
    <t>-671.42008712626 11.2924689060683 -377.633546377661</t>
  </si>
  <si>
    <t>-679.620396109661 9.61983561904663 -461.108520972522</t>
  </si>
  <si>
    <t>-689.454600963225 7.59906297714679 -583.354774069797</t>
  </si>
  <si>
    <t>-677.805190465018 11.8495475403399 -660.726953955602</t>
  </si>
  <si>
    <t>-687.64537205011 39.7451164416489 -530.029455913726</t>
  </si>
  <si>
    <t>-674.769360864806 193.347887045133 -505.979774440069</t>
  </si>
  <si>
    <t>-602.909272256337 239.953215889973 -237.199808772559</t>
  </si>
  <si>
    <t>-373.186016600133 214.476843555086 -214.249553861257</t>
  </si>
  <si>
    <t>-635.622705920071 113.413299596465 -97.6593603758602</t>
  </si>
  <si>
    <t>-643.374918853805 135.912464055304 317.233722801633</t>
  </si>
  <si>
    <t>-669.287077901027 186.162738174326 776.824778479573</t>
  </si>
  <si>
    <t>-517.931626688932 190.518846087355 831.197368590037</t>
  </si>
  <si>
    <t>-614.59037563933 -84.4170553997233 321.586183658523</t>
  </si>
  <si>
    <t>-655.743346560122 -110.750308418775 782.291352982689</t>
  </si>
  <si>
    <t>-502.530529810802 -119.184487594348 830.649565585026</t>
  </si>
  <si>
    <t>9763-20170724T115634.923947300.bin</t>
  </si>
  <si>
    <t>-627.127062773521 20.5788353463345 -94.002236849547</t>
  </si>
  <si>
    <t>-649.34486892617 16.2771200703762 -202.37826305355</t>
  </si>
  <si>
    <t>-662.270848848502 13.8550988678498 -294.31779921474</t>
  </si>
  <si>
    <t>-672.564587833691 12.0485568765375 -377.557886208585</t>
  </si>
  <si>
    <t>-680.905764590683 10.6644461756059 -461.024352246187</t>
  </si>
  <si>
    <t>-690.953473815569 9.09595093452958 -583.259768683734</t>
  </si>
  <si>
    <t>-679.640481799207 13.7412107309483 -660.659031905269</t>
  </si>
  <si>
    <t>-688.915023429345 41.0549726448894 -529.830374816433</t>
  </si>
  <si>
    <t>-675.357877982934 194.506851993426 -505.141642920755</t>
  </si>
  <si>
    <t>-605.546717016691 238.215461082575 -235.336974997704</t>
  </si>
  <si>
    <t>-376.059738245985 211.27746161253 -211.701942266327</t>
  </si>
  <si>
    <t>-635.866031779461 113.579622618246 -97.5078121638475</t>
  </si>
  <si>
    <t>-643.551974146566 135.826201697948 317.400117826283</t>
  </si>
  <si>
    <t>-669.338938017743 186.042248526699 777.003250717591</t>
  </si>
  <si>
    <t>-517.98336493661 190.297098162002 831.383627206086</t>
  </si>
  <si>
    <t>-615.021885249425 -84.2033762559083 321.517177356225</t>
  </si>
  <si>
    <t>-655.667592556319 -110.648197621703 782.289053912307</t>
  </si>
  <si>
    <t>-502.45364281004 -118.809459340671 830.690494502176</t>
  </si>
  <si>
    <t>9763-20170724T115634.991143800.bin</t>
  </si>
  <si>
    <t>-627.973773542663 20.4905482373038 -93.962248166141</t>
  </si>
  <si>
    <t>-650.193596058013 16.3313632253758 -202.343455018305</t>
  </si>
  <si>
    <t>-663.152121301627 14.1481142469543 -294.284384030594</t>
  </si>
  <si>
    <t>-673.48733907761 12.6068370450469 -377.524610104854</t>
  </si>
  <si>
    <t>-681.881560097456 11.5357477249941 -460.990388585271</t>
  </si>
  <si>
    <t>-692.019314172263 10.4762650361931 -583.223844084958</t>
  </si>
  <si>
    <t>-680.857608018357 15.4618245057598 -660.623929208241</t>
  </si>
  <si>
    <t>-689.814926388923 42.2217850363259 -529.67383272421</t>
  </si>
  <si>
    <t>-675.617265410294 195.476629420419 -504.153390734477</t>
  </si>
  <si>
    <t>-608.250596134389 235.842680570244 -233.208778435931</t>
  </si>
  <si>
    <t>-378.889606810504 207.812579305439 -209.621245193107</t>
  </si>
  <si>
    <t>-636.436120328657 113.521048363695 -97.3825468550455</t>
  </si>
  <si>
    <t>-643.946791421472 135.76328001751 317.528894983146</t>
  </si>
  <si>
    <t>-669.409698390656 185.949836775913 777.147609390665</t>
  </si>
  <si>
    <t>-518.050576306304 190.10969405284 831.525303140194</t>
  </si>
  <si>
    <t>-615.353309197891 -84.1648817914422 321.481939370197</t>
  </si>
  <si>
    <t>-655.568736643174 -110.647266556001 782.294030321336</t>
  </si>
  <si>
    <t>-502.412726535044 -119.316481008545 830.790508549892</t>
  </si>
  <si>
    <t>9763-20170724T115635.024231300.bin</t>
  </si>
  <si>
    <t>-628.293904036525 20.4136611183676 -93.9274367830847</t>
  </si>
  <si>
    <t>-650.491397763308 16.3393023088624 -202.316504080628</t>
  </si>
  <si>
    <t>-663.433479175571 14.287276914202 -294.262677312099</t>
  </si>
  <si>
    <t>-673.754576432107 12.8897820785803 -377.507273380414</t>
  </si>
  <si>
    <t>-682.135273362515 11.9867585346058 -460.976283289504</t>
  </si>
  <si>
    <t>-692.253712362703 11.1998181548331 -583.213523810942</t>
  </si>
  <si>
    <t>-681.138428896332 16.3265074382105 -660.611033578767</t>
  </si>
  <si>
    <t>-690.019485794412 42.8286084768135 -529.595727636582</t>
  </si>
  <si>
    <t>-675.671261901776 195.987654923618 -503.636767521976</t>
  </si>
  <si>
    <t>-609.834961202827 235.200657192866 -232.147343114103</t>
  </si>
  <si>
    <t>-380.467625906164 206.983381577818 -208.846375616047</t>
  </si>
  <si>
    <t>-636.619777419357 113.470264456842 -97.314043456946</t>
  </si>
  <si>
    <t>-643.983785208087 135.837172771605 317.59326194802</t>
  </si>
  <si>
    <t>-669.417157721527 185.930031493068 777.228993093694</t>
  </si>
  <si>
    <t>-518.082302770951 189.898938730677 831.68841635185</t>
  </si>
  <si>
    <t>-615.477803300402 -84.1627224994613 321.465465992498</t>
  </si>
  <si>
    <t>-655.519792711197 -110.622285192495 782.29980475069</t>
  </si>
  <si>
    <t>-502.367760237652 -119.161751862681 830.831730148736</t>
  </si>
  <si>
    <t>9763-20170724T115635.057345900.bin</t>
  </si>
  <si>
    <t>-628.553955865586 20.3228918236773 -93.891942179729</t>
  </si>
  <si>
    <t>-650.74796423753 16.3306624819538 -202.284602399541</t>
  </si>
  <si>
    <t>-663.663748279118 14.416193948389 -294.237618396969</t>
  </si>
  <si>
    <t>-673.951609066328 13.1716628559498 -377.488820548396</t>
  </si>
  <si>
    <t>-682.289506399443 12.4502545342166 -460.963881790706</t>
  </si>
  <si>
    <t>-692.334637602471 11.9609286495865 -583.208627852343</t>
  </si>
  <si>
    <t>-681.21781376208 17.2268069505651 -660.596638152677</t>
  </si>
  <si>
    <t>-690.123798710696 43.4597393672468 -529.513410489315</t>
  </si>
  <si>
    <t>-675.741157860397 196.540069135124 -503.134161240984</t>
  </si>
  <si>
    <t>-611.573232300194 234.864970199341 -231.118920114194</t>
  </si>
  <si>
    <t>-382.206229229606 206.350111450707 -208.179663446766</t>
  </si>
  <si>
    <t>-636.773465012915 113.402451086788 -97.2356028703321</t>
  </si>
  <si>
    <t>-643.965674206122 135.822969391897 317.67184377865</t>
  </si>
  <si>
    <t>-669.433622138141 185.861569928182 777.317889049631</t>
  </si>
  <si>
    <t>-518.122293569565 189.607452145614 831.858449233738</t>
  </si>
  <si>
    <t>-615.611723664238 -84.2047696029545 321.456388044112</t>
  </si>
  <si>
    <t>-655.485957304043 -110.614192978343 782.303258701038</t>
  </si>
  <si>
    <t>-502.335283997239 -119.087502075051 830.851218262682</t>
  </si>
  <si>
    <t>9763-20170724T115635.125525800.bin</t>
  </si>
  <si>
    <t>-628.929181993484 20.1952344022307 -93.8180449429368</t>
  </si>
  <si>
    <t>-651.125928395801 16.3643401709749 -202.215892027768</t>
  </si>
  <si>
    <t>-664.019510431531 14.7221659579996 -294.177308572414</t>
  </si>
  <si>
    <t>-674.277711178309 13.7815025157331 -377.436109930486</t>
  </si>
  <si>
    <t>-682.57617084075 13.4230099864308 -460.917499000464</t>
  </si>
  <si>
    <t>-692.553093290758 13.5299282414637 -583.168798680759</t>
  </si>
  <si>
    <t>-681.508717424411 19.0709042925102 -660.547919828121</t>
  </si>
  <si>
    <t>-690.393647824155 44.7649597706175 -529.317629051271</t>
  </si>
  <si>
    <t>-676.159449181688 197.711826037 -502.083830200402</t>
  </si>
  <si>
    <t>-615.045863608246 234.748498221847 -229.188285999595</t>
  </si>
  <si>
    <t>-385.711284891862 205.503014592699 -206.852573185085</t>
  </si>
  <si>
    <t>-636.959426451434 113.307660193019 -97.0714375185775</t>
  </si>
  <si>
    <t>-644.058938175483 135.658356622617 317.841438883176</t>
  </si>
  <si>
    <t>-669.458463507827 185.76517465755 777.480991972557</t>
  </si>
  <si>
    <t>-518.185860559497 189.141957849679 832.15292101224</t>
  </si>
  <si>
    <t>-615.871966146048 -84.1666871537591 321.431013156529</t>
  </si>
  <si>
    <t>-655.417681237504 -110.554660827858 782.302107640525</t>
  </si>
  <si>
    <t>-502.286999616481 -119.200752476927 830.882547070164</t>
  </si>
  <si>
    <t>9763-20170724T115635.161621500.bin</t>
  </si>
  <si>
    <t>-629.056517112056 20.1515636499678 -93.7812510623428</t>
  </si>
  <si>
    <t>-651.275134382345 16.3818292380379 -202.176894623109</t>
  </si>
  <si>
    <t>-664.162098050971 14.8604866776575 -294.14124783469</t>
  </si>
  <si>
    <t>-674.404166663247 14.0575686824839 -377.403486835008</t>
  </si>
  <si>
    <t>-682.676367975966 13.8656796276935 -460.888027877622</t>
  </si>
  <si>
    <t>-692.603761588078 14.2483347906621 -583.142780136715</t>
  </si>
  <si>
    <t>-681.61535211546 19.9333802281342 -660.519430752805</t>
  </si>
  <si>
    <t>-690.485223146482 45.3605618704846 -529.218761737989</t>
  </si>
  <si>
    <t>-676.37276290988 198.244624125987 -501.586119072898</t>
  </si>
  <si>
    <t>-616.649752756266 234.663865823185 -228.299832919251</t>
  </si>
  <si>
    <t>-387.339922245116 205.176535529631 -206.028338584052</t>
  </si>
  <si>
    <t>-637.042713939457 113.292825193746 -96.9888084296123</t>
  </si>
  <si>
    <t>-644.07943257664 135.616165376671 317.92651254008</t>
  </si>
  <si>
    <t>-669.462030206755 185.714777073934 777.568919905438</t>
  </si>
  <si>
    <t>-518.208659857518 189.040995218176 832.297190908581</t>
  </si>
  <si>
    <t>-615.896086099419 -84.0903694429398 321.432558688175</t>
  </si>
  <si>
    <t>-655.382213285041 -110.538296530339 782.308280771647</t>
  </si>
  <si>
    <t>-502.276285462427 -119.481609533429 830.913041447086</t>
  </si>
  <si>
    <t>9763-20170724T115635.223791400.bin</t>
  </si>
  <si>
    <t>-629.211284920747 20.2707200408302 -93.6927975166086</t>
  </si>
  <si>
    <t>-651.500090222563 16.573048443619 -202.076445988675</t>
  </si>
  <si>
    <t>-664.39832885297 15.2472665609462 -294.042369125911</t>
  </si>
  <si>
    <t>-674.630844542778 14.6745907816482 -377.307630301434</t>
  </si>
  <si>
    <t>-682.873686164218 14.7675898365483 -460.795142563906</t>
  </si>
  <si>
    <t>-692.736125812422 15.6274906797282 -583.052818790647</t>
  </si>
  <si>
    <t>-681.818589076283 21.6114906868597 -660.416941353482</t>
  </si>
  <si>
    <t>-690.706551554058 46.5244720374494 -529.001921416015</t>
  </si>
  <si>
    <t>-676.727809694915 199.267200195359 -500.491592714377</t>
  </si>
  <si>
    <t>-619.636941852012 234.053855565677 -226.431171601732</t>
  </si>
  <si>
    <t>-390.350975813156 204.136936515979 -204.488875063784</t>
  </si>
  <si>
    <t>-637.314574200509 113.44691455252 -96.8269230984527</t>
  </si>
  <si>
    <t>-644.190490770056 135.660076456079 318.097075953454</t>
  </si>
  <si>
    <t>-669.49037829409 185.607271285766 777.756325919542</t>
  </si>
  <si>
    <t>-518.242910731813 189.032622097285 832.494832248308</t>
  </si>
  <si>
    <t>-615.811501966911 -83.8319863068309 321.439912044467</t>
  </si>
  <si>
    <t>-655.340645447179 -110.451232475624 782.300968701154</t>
  </si>
  <si>
    <t>-502.206041765594 -119.047919405212 830.877930654004</t>
  </si>
  <si>
    <t>9763-20170724T115635.261893800.bin</t>
  </si>
  <si>
    <t>-629.197804157803 20.3806512802344 -93.6579538914227</t>
  </si>
  <si>
    <t>-651.541733572958 16.6929987532878 -202.030757191069</t>
  </si>
  <si>
    <t>-664.460503480582 15.4389308884099 -293.994536901802</t>
  </si>
  <si>
    <t>-674.70087123011 14.9556890580752 -377.259385544805</t>
  </si>
  <si>
    <t>-682.940780288097 15.1636976294776 -460.74711992874</t>
  </si>
  <si>
    <t>-692.787205934396 16.2193218505599 -583.004513430355</t>
  </si>
  <si>
    <t>-681.880371922569 22.3530268945431 -660.358354534936</t>
  </si>
  <si>
    <t>-690.80234070839 47.0269042375771 -528.900876740601</t>
  </si>
  <si>
    <t>-676.924950418881 199.702974241337 -500.024822691451</t>
  </si>
  <si>
    <t>-621.150479169982 233.770842651088 -225.603222942209</t>
  </si>
  <si>
    <t>-391.912959761276 203.296218909832 -203.924191799915</t>
  </si>
  <si>
    <t>-637.402021325358 113.536507426047 -96.750119048589</t>
  </si>
  <si>
    <t>-644.21239303592 135.723920238796 318.176311364461</t>
  </si>
  <si>
    <t>-669.531006265271 185.512260568922 777.850830311084</t>
  </si>
  <si>
    <t>-518.276195063517 188.797247883556 832.577493607489</t>
  </si>
  <si>
    <t>-615.691675088821 -83.6852047317345 321.451935082258</t>
  </si>
  <si>
    <t>-655.327895348706 -110.429164263122 782.296708465065</t>
  </si>
  <si>
    <t>-502.212404964918 -119.414311325493 830.863482107603</t>
  </si>
  <si>
    <t>9763-20170724T115635.323882500.bin</t>
  </si>
  <si>
    <t>-628.991467169365 20.6202032059 -93.572778156039</t>
  </si>
  <si>
    <t>-651.408112811986 16.9555215699368 -201.931261043585</t>
  </si>
  <si>
    <t>-664.421580489666 15.8088843965927 -293.883235914234</t>
  </si>
  <si>
    <t>-674.761015065889 15.4579136035843 -377.136489096793</t>
  </si>
  <si>
    <t>-683.113789793971 15.8355075070631 -460.612445872936</t>
  </si>
  <si>
    <t>-693.140406396437 17.1810009493465 -582.852292229182</t>
  </si>
  <si>
    <t>-682.255527419656 23.5477601429297 -660.190529101483</t>
  </si>
  <si>
    <t>-691.162279293074 47.8535437867492 -528.671814784161</t>
  </si>
  <si>
    <t>-677.401110251509 200.431862385831 -499.193924561813</t>
  </si>
  <si>
    <t>-624.108018753295 233.222089599011 -224.124285168247</t>
  </si>
  <si>
    <t>-395.062777084239 201.028845899793 -202.901676973131</t>
  </si>
  <si>
    <t>-637.298219594391 113.785736625144 -96.6230485652029</t>
  </si>
  <si>
    <t>-644.133150384062 135.766953952531 318.313977664057</t>
  </si>
  <si>
    <t>-669.58234725981 185.392666423883 778.015494259147</t>
  </si>
  <si>
    <t>-518.313284917573 188.790783817141 832.69596642597</t>
  </si>
  <si>
    <t>-615.388695260101 -83.3781393458057 321.48974995333</t>
  </si>
  <si>
    <t>-655.282530922925 -110.342347172005 782.288872672542</t>
  </si>
  <si>
    <t>-502.169309925337 -119.396548457543 830.850049964104</t>
  </si>
  <si>
    <t>9763-20170724T115635.360981700.bin</t>
  </si>
  <si>
    <t>-628.841042163795 20.7656096628068 -93.5310621614955</t>
  </si>
  <si>
    <t>-651.317582896684 17.1139222205102 -201.877567256339</t>
  </si>
  <si>
    <t>-664.411348643113 16.0104574935224 -293.818626661217</t>
  </si>
  <si>
    <t>-674.835479971251 15.7119558556128 -377.061648536074</t>
  </si>
  <si>
    <t>-683.285447471043 16.1562741991568 -460.527407546723</t>
  </si>
  <si>
    <t>-693.46807556757 17.6152775221456 -582.752966291232</t>
  </si>
  <si>
    <t>-682.591328634869 24.0519591987254 -660.086639094985</t>
  </si>
  <si>
    <t>-691.461942221206 48.2342210254353 -528.543202041117</t>
  </si>
  <si>
    <t>-677.7259316253 200.76124565957 -498.808921529803</t>
  </si>
  <si>
    <t>-625.630836285085 232.929684003711 -223.43665781526</t>
  </si>
  <si>
    <t>-396.685376737991 199.867597971268 -202.474523453123</t>
  </si>
  <si>
    <t>-637.180693527701 113.930121363966 -96.5639079636923</t>
  </si>
  <si>
    <t>-644.024053910645 135.79458663212 318.379134248915</t>
  </si>
  <si>
    <t>-669.600102627251 185.342562730356 778.090341059791</t>
  </si>
  <si>
    <t>-518.327858084404 188.659888955346 832.766916536111</t>
  </si>
  <si>
    <t>-615.256713899711 -83.2162395220785 321.512342061386</t>
  </si>
  <si>
    <t>-655.2606538728 -110.300712189709 782.291215446586</t>
  </si>
  <si>
    <t>-502.140836404448 -119.256860834066 830.849715105652</t>
  </si>
  <si>
    <t>9763-20170724T115635.427193300.bin</t>
  </si>
  <si>
    <t>-628.548772406788 21.0633268824377 -93.4610610150422</t>
  </si>
  <si>
    <t>-651.146210964698 17.4179924409043 -201.782725934075</t>
  </si>
  <si>
    <t>-664.372780691131 16.3726868372153 -293.705414167595</t>
  </si>
  <si>
    <t>-674.929716997239 16.1483254302314 -376.931921144211</t>
  </si>
  <si>
    <t>-683.525685657271 16.690000365621 -460.382126179996</t>
  </si>
  <si>
    <t>-693.936388475903 18.3180162743377 -582.58649167399</t>
  </si>
  <si>
    <t>-683.040873620265 24.8411970746502 -659.91010288815</t>
  </si>
  <si>
    <t>-691.901106776761 48.8560481426989 -528.332152034361</t>
  </si>
  <si>
    <t>-678.115968201445 201.298007570014 -498.151061592339</t>
  </si>
  <si>
    <t>-628.28027808468 232.332626539639 -222.230851283823</t>
  </si>
  <si>
    <t>-399.554732750614 197.700350879064 -201.404017622522</t>
  </si>
  <si>
    <t>-636.956020206361 114.248973348548 -96.4596216788187</t>
  </si>
  <si>
    <t>-643.722324452878 135.888044437857 318.496493587777</t>
  </si>
  <si>
    <t>-669.611590680785 185.260684242595 778.227537678889</t>
  </si>
  <si>
    <t>-518.350509462291 188.646158397007 832.930834346219</t>
  </si>
  <si>
    <t>-614.948948475005 -82.7914138543965 321.567885720724</t>
  </si>
  <si>
    <t>-655.195646731659 -110.163583175906 782.300250417122</t>
  </si>
  <si>
    <t>-502.077227694046 -119.015608562201 830.882285467486</t>
  </si>
  <si>
    <t>9763-20170724T115635.461283300.bin</t>
  </si>
  <si>
    <t>-628.409623009306 21.1746469984525 -93.425938494235</t>
  </si>
  <si>
    <t>-651.032752776962 17.5224443358286 -201.741956236861</t>
  </si>
  <si>
    <t>-664.293462232002 16.4799920103796 -293.659855763724</t>
  </si>
  <si>
    <t>-674.886303925415 16.2616742456232 -376.88171240217</t>
  </si>
  <si>
    <t>-683.523409361475 16.8132146626342 -460.327666326267</t>
  </si>
  <si>
    <t>-694.000035794917 18.4598667606394 -582.526151258056</t>
  </si>
  <si>
    <t>-683.074521573955 25.0002420459859 -659.844143972449</t>
  </si>
  <si>
    <t>-691.952885017607 48.9882057277923 -528.266735938497</t>
  </si>
  <si>
    <t>-678.092349998601 201.396300199354 -497.976512824463</t>
  </si>
  <si>
    <t>-629.496619844764 231.777647576931 -221.762683979579</t>
  </si>
  <si>
    <t>-400.860578461896 196.574533339672 -200.910356899975</t>
  </si>
  <si>
    <t>-636.842307924644 114.391927756506 -96.4154022698093</t>
  </si>
  <si>
    <t>-643.577320539655 135.923667142182 318.546760496114</t>
  </si>
  <si>
    <t>-669.625853299108 185.213205775943 778.286643157852</t>
  </si>
  <si>
    <t>-518.367849022505 188.598993231949 832.998489283545</t>
  </si>
  <si>
    <t>-614.810747568171 -82.6256550701667 321.596764079264</t>
  </si>
  <si>
    <t>-655.168782898353 -110.162159651389 782.305462398024</t>
  </si>
  <si>
    <t>-502.073445929763 -119.326361636318 830.902404331866</t>
  </si>
  <si>
    <t>9763-20170724T115635.525467000.bin</t>
  </si>
  <si>
    <t>-628.056415268253 21.438482996328 -93.3627987993193</t>
  </si>
  <si>
    <t>-650.775474512795 17.7447836900103 -201.657285050926</t>
  </si>
  <si>
    <t>-664.131802142588 16.649162162822 -293.56077097167</t>
  </si>
  <si>
    <t>-674.817061152699 16.3751161013047 -376.770706999934</t>
  </si>
  <si>
    <t>-683.552722533974 16.8638813028874 -460.206797407312</t>
  </si>
  <si>
    <t>-694.18025892782 18.4111866066455 -582.393551918599</t>
  </si>
  <si>
    <t>-683.195078275985 24.9178553625968 -659.705842349146</t>
  </si>
  <si>
    <t>-692.094959784142 48.9811424143975 -528.159089070738</t>
  </si>
  <si>
    <t>-678.041756168697 201.350354399465 -497.747580662302</t>
  </si>
  <si>
    <t>-631.476496118864 231.094054548635 -221.11502521496</t>
  </si>
  <si>
    <t>-403.110663783174 194.376119683682 -199.91656586676</t>
  </si>
  <si>
    <t>-636.575223681312 114.738027866716 -96.3579203280572</t>
  </si>
  <si>
    <t>-643.358665976222 136.05188962496 318.614674636693</t>
  </si>
  <si>
    <t>-669.653939916862 185.114875571133 778.377445650228</t>
  </si>
  <si>
    <t>-518.399663465773 188.531978145247 833.097630243148</t>
  </si>
  <si>
    <t>-614.584495588234 -82.1712994571526 321.663415444419</t>
  </si>
  <si>
    <t>-655.117533642276 -110.028496172901 782.321500124322</t>
  </si>
  <si>
    <t>-502.001056143291 -118.76093702173 830.931309165698</t>
  </si>
  <si>
    <t>9763-20170724T115635.559568600.bin</t>
  </si>
  <si>
    <t>-627.875981369629 21.5322727029952 -93.3423751951203</t>
  </si>
  <si>
    <t>-650.675135846477 17.7983994373292 -201.618725699743</t>
  </si>
  <si>
    <t>-664.105085876929 16.6658050315616 -293.510916887722</t>
  </si>
  <si>
    <t>-674.859139622422 16.356724582693 -376.711729095196</t>
  </si>
  <si>
    <t>-683.665961094446 16.809047743144 -460.140655746176</t>
  </si>
  <si>
    <t>-694.400178096465 18.3010298644474 -582.318666577037</t>
  </si>
  <si>
    <t>-683.390488734124 24.756246385602 -659.631901332884</t>
  </si>
  <si>
    <t>-692.275004107964 48.8949865716108 -528.0993785351</t>
  </si>
  <si>
    <t>-678.035198929172 201.235086880582 -497.641141869071</t>
  </si>
  <si>
    <t>-632.5980526772 230.741401921468 -220.795617505323</t>
  </si>
  <si>
    <t>-404.377571114367 193.17622028965 -199.516536738625</t>
  </si>
  <si>
    <t>-636.472256382044 114.900670423976 -96.3551033256001</t>
  </si>
  <si>
    <t>-643.212160591439 136.122541951308 318.622981060169</t>
  </si>
  <si>
    <t>-669.660809545534 185.060011419437 778.407691801423</t>
  </si>
  <si>
    <t>-518.410527814742 188.509294643575 833.136869327124</t>
  </si>
  <si>
    <t>-614.483528057224 -81.8713003252251 321.706567820575</t>
  </si>
  <si>
    <t>-655.086295416541 -109.957885272452 782.332025470811</t>
  </si>
  <si>
    <t>-501.993950646036 -118.937070526647 830.972843577962</t>
  </si>
  <si>
    <t>9763-20170724T115635.625273600.bin</t>
  </si>
  <si>
    <t>-627.540507290103 21.7084812444816 -93.3203396987354</t>
  </si>
  <si>
    <t>-650.518671040419 17.9172554951322 -201.556840339832</t>
  </si>
  <si>
    <t>-664.059188285696 16.7007278463823 -293.431756192036</t>
  </si>
  <si>
    <t>-674.896786303863 16.3014370609128 -376.621460045584</t>
  </si>
  <si>
    <t>-683.770804606823 16.6488968234421 -460.043646008618</t>
  </si>
  <si>
    <t>-694.585116293969 17.9720127615683 -582.216690635345</t>
  </si>
  <si>
    <t>-683.483685430153 24.2595537822685 -659.530503911728</t>
  </si>
  <si>
    <t>-692.42673800952 48.6406257822352 -528.040705141477</t>
  </si>
  <si>
    <t>-677.918312595218 200.971069361938 -497.67213637371</t>
  </si>
  <si>
    <t>-634.624440674541 230.241450912013 -220.458468770708</t>
  </si>
  <si>
    <t>-406.728973278673 191.105667503415 -198.536255461803</t>
  </si>
  <si>
    <t>-636.223596470883 115.24525328299 -96.3695161609905</t>
  </si>
  <si>
    <t>-642.808065852987 136.215628526352 318.623938264781</t>
  </si>
  <si>
    <t>-669.670627144383 184.95826113049 778.445210614408</t>
  </si>
  <si>
    <t>-518.426404102214 188.394529834904 833.191853012905</t>
  </si>
  <si>
    <t>-614.201019456337 -81.2084775705073 321.774655887896</t>
  </si>
  <si>
    <t>-654.995900773012 -109.882263618877 782.366065283268</t>
  </si>
  <si>
    <t>-501.95067128112 -119.15887581807 831.099328111888</t>
  </si>
  <si>
    <t>9763-20170724T115635.658360000.bin</t>
  </si>
  <si>
    <t>-627.406741626059 21.8053638389567 -93.310334648579</t>
  </si>
  <si>
    <t>-650.483706445253 17.9918388220408 -201.524939021451</t>
  </si>
  <si>
    <t>-664.060595818479 16.733783889154 -293.393904734033</t>
  </si>
  <si>
    <t>-674.912156190061 16.2879991034972 -376.581619143804</t>
  </si>
  <si>
    <t>-683.781224028186 16.5799777802731 -460.004578571233</t>
  </si>
  <si>
    <t>-694.567473299221 17.8123044355366 -582.181030285738</t>
  </si>
  <si>
    <t>-683.403585049744 24.0088881569475 -659.493217154595</t>
  </si>
  <si>
    <t>-692.420606813272 48.5213553018325 -528.027500145545</t>
  </si>
  <si>
    <t>-677.657627969599 200.8416402661 -497.721215639866</t>
  </si>
  <si>
    <t>-635.685689868545 229.947244079796 -220.286891089246</t>
  </si>
  <si>
    <t>-407.9366537877 190.253031710607 -197.853049829827</t>
  </si>
  <si>
    <t>-636.107951236938 115.436060134243 -96.3720449594928</t>
  </si>
  <si>
    <t>-642.64603340515 136.241520683227 318.63035120547</t>
  </si>
  <si>
    <t>-669.683537443538 184.900324466752 778.460332749721</t>
  </si>
  <si>
    <t>-518.440729855523 188.325457698705 833.211654880161</t>
  </si>
  <si>
    <t>-614.068296353709 -80.8711214987763 321.813892872452</t>
  </si>
  <si>
    <t>-654.97216848866 -109.795682349584 782.380334649496</t>
  </si>
  <si>
    <t>-501.914466990645 -118.852799798096 831.115584736968</t>
  </si>
  <si>
    <t>9763-20170724T115635.727608000.bin</t>
  </si>
  <si>
    <t>-627.3026615583 22.1657148403599 -93.3106724919103</t>
  </si>
  <si>
    <t>-650.410047326417 18.3608681206231 -201.519171947992</t>
  </si>
  <si>
    <t>-663.954859836934 17.0385856429482 -293.391966910187</t>
  </si>
  <si>
    <t>-674.754649488347 16.5073991281847 -376.585881074073</t>
  </si>
  <si>
    <t>-683.549096435855 16.6866594049752 -460.017126735552</t>
  </si>
  <si>
    <t>-694.20146555508 17.7241712250823 -582.206940622006</t>
  </si>
  <si>
    <t>-682.94095016772 23.7168173999173 -659.521312933147</t>
  </si>
  <si>
    <t>-692.104732038567 48.5202182653791 -528.101066588614</t>
  </si>
  <si>
    <t>-676.9461868806 200.835809846596 -497.983086450326</t>
  </si>
  <si>
    <t>-637.891497858544 229.952601992 -220.12441868</t>
  </si>
  <si>
    <t>-410.506138241254 188.886198425378 -196.50283288276</t>
  </si>
  <si>
    <t>-635.882536427827 115.909112181373 -96.3865214181769</t>
  </si>
  <si>
    <t>-642.569787595678 136.361036913772 318.631061662904</t>
  </si>
  <si>
    <t>-669.705531351439 184.807346255857 778.47831535753</t>
  </si>
  <si>
    <t>-518.455478541218 188.349982091133 833.202165501122</t>
  </si>
  <si>
    <t>-614.041251265552 -80.5133407100707 321.847771215161</t>
  </si>
  <si>
    <t>-654.961327769491 -109.69285690443 782.375139482658</t>
  </si>
  <si>
    <t>-501.918828897732 -119.080913919322 831.095644060028</t>
  </si>
  <si>
    <t>9763-20170724T115635.793275500.bin</t>
  </si>
  <si>
    <t>-627.331587548407 22.7318785819855 -93.325560131335</t>
  </si>
  <si>
    <t>-650.368854027461 18.9515124221409 -201.549814194092</t>
  </si>
  <si>
    <t>-663.829193213811 17.5587001376687 -293.434102292759</t>
  </si>
  <si>
    <t>-674.5430069944 16.9295820654199 -376.638404434021</t>
  </si>
  <si>
    <t>-683.24208401277 16.9763126673083 -460.079766070522</t>
  </si>
  <si>
    <t>-693.744910406527 17.7828868191255 -582.284318116263</t>
  </si>
  <si>
    <t>-682.392696084135 23.5380730328159 -659.603306382453</t>
  </si>
  <si>
    <t>-691.710021994025 48.6815735749094 -528.234503331983</t>
  </si>
  <si>
    <t>-676.226571990074 201.024986128081 -498.419957409355</t>
  </si>
  <si>
    <t>-640.268329344641 230.134322696065 -220.142814342184</t>
  </si>
  <si>
    <t>-413.323586122965 187.341674902498 -195.375912029957</t>
  </si>
  <si>
    <t>-635.725196815424 116.446922438425 -96.4237199246289</t>
  </si>
  <si>
    <t>-642.737750655771 136.629495685808 318.601664465379</t>
  </si>
  <si>
    <t>-669.75602543118 184.729760563725 778.481042152291</t>
  </si>
  <si>
    <t>-518.479822535733 188.351763237759 833.127285249092</t>
  </si>
  <si>
    <t>-614.194613546618 -80.2134446915691 321.831941388536</t>
  </si>
  <si>
    <t>-654.963841270642 -109.591049303423 782.366518359777</t>
  </si>
  <si>
    <t>-501.904287139014 -118.958230878476 831.03731599446</t>
  </si>
  <si>
    <t>9763-20170724T115635.827366900.bin</t>
  </si>
  <si>
    <t>-627.357880050627 22.9595988127603 -93.3353932584395</t>
  </si>
  <si>
    <t>-650.359617895029 19.1845248854927 -201.567432485632</t>
  </si>
  <si>
    <t>-663.776145630643 17.7583353983966 -293.457568262491</t>
  </si>
  <si>
    <t>-674.445126255007 17.0843494366134 -376.66722890754</t>
  </si>
  <si>
    <t>-683.094007404134 17.0718969281229 -460.113909149358</t>
  </si>
  <si>
    <t>-693.517824878514 17.7760788302869 -582.325808849101</t>
  </si>
  <si>
    <t>-682.125051101902 23.4076395476554 -659.647839276158</t>
  </si>
  <si>
    <t>-691.512876172773 48.720420873487 -528.301109581116</t>
  </si>
  <si>
    <t>-675.886615152072 201.081936098176 -498.655107602561</t>
  </si>
  <si>
    <t>-641.6458991476 230.2264852668 -220.16498343722</t>
  </si>
  <si>
    <t>-414.881473920514 186.812341593044 -194.834246117979</t>
  </si>
  <si>
    <t>-635.669667723338 116.691422354518 -96.4542936358157</t>
  </si>
  <si>
    <t>-642.83687393058 136.775423861499 318.5733418019</t>
  </si>
  <si>
    <t>-669.78730969017 184.687848894314 778.478813390625</t>
  </si>
  <si>
    <t>-518.499549751949 188.383220722488 833.088122013036</t>
  </si>
  <si>
    <t>-614.273835544408 -80.0955977461033 321.820469849819</t>
  </si>
  <si>
    <t>-654.969897999143 -109.52942917138 782.36232391104</t>
  </si>
  <si>
    <t>-501.892992374199 -118.822780299142 830.992695446285</t>
  </si>
  <si>
    <t>9763-20170724T115635.855440500.bin</t>
  </si>
  <si>
    <t>-627.4020176485 23.1306147509686 -93.3622177270706</t>
  </si>
  <si>
    <t>-650.356568167705 19.3678725513619 -201.604637340954</t>
  </si>
  <si>
    <t>-663.73012969665 17.9081785963626 -293.500465973098</t>
  </si>
  <si>
    <t>-674.359222814199 17.1876205455112 -376.714904161945</t>
  </si>
  <si>
    <t>-682.967450754992 17.1117099132832 -460.165732115407</t>
  </si>
  <si>
    <t>-693.331032607887 17.70521345013 -582.383388114298</t>
  </si>
  <si>
    <t>-681.896763555055 23.2075150475978 -659.708722416464</t>
  </si>
  <si>
    <t>-691.356455009673 48.6982097938449 -528.385450855986</t>
  </si>
  <si>
    <t>-675.674045779421 201.087597617478 -498.900926773209</t>
  </si>
  <si>
    <t>-642.966225104547 230.234162879234 -220.226799186574</t>
  </si>
  <si>
    <t>-416.37341763705 186.234144909334 -194.376652599772</t>
  </si>
  <si>
    <t>-635.663653851467 116.859709965678 -96.4856140832343</t>
  </si>
  <si>
    <t>-642.958640348035 136.834432714374 318.544938799886</t>
  </si>
  <si>
    <t>-669.813535128229 184.657195433781 778.473391583762</t>
  </si>
  <si>
    <t>-518.513144384217 188.179422033527 833.059203040411</t>
  </si>
  <si>
    <t>-614.349427048963 -80.014251909721 321.80084330064</t>
  </si>
  <si>
    <t>-654.993710349956 -109.481186963145 782.353753955625</t>
  </si>
  <si>
    <t>-501.872980446504 -118.444882558237 830.908034175066</t>
  </si>
  <si>
    <t>9763-20170724T115635.923646500.bin</t>
  </si>
  <si>
    <t>-627.453123659536 23.3592619487977 -93.4168411008685</t>
  </si>
  <si>
    <t>-650.307210068141 19.5991162895546 -201.680673016174</t>
  </si>
  <si>
    <t>-663.611081331463 18.0716864906233 -293.58546935519</t>
  </si>
  <si>
    <t>-674.183866944964 17.2634888797816 -376.806333375393</t>
  </si>
  <si>
    <t>-682.742669981771 17.0740096358243 -460.261980592824</t>
  </si>
  <si>
    <t>-693.041886621442 17.4737151725101 -582.48595167862</t>
  </si>
  <si>
    <t>-681.529762220964 22.7430279085663 -659.815771718314</t>
  </si>
  <si>
    <t>-691.114095775822 48.5505965529048 -528.534489690903</t>
  </si>
  <si>
    <t>-675.371239457482 200.992343735966 -499.342558789777</t>
  </si>
  <si>
    <t>-645.854641538593 230.283937776968 -220.327585156641</t>
  </si>
  <si>
    <t>-419.550980548416 185.364747814818 -193.542221657947</t>
  </si>
  <si>
    <t>-635.557956478842 117.057409153282 -96.5502148364204</t>
  </si>
  <si>
    <t>-643.075248241928 136.9249583214 318.481497609464</t>
  </si>
  <si>
    <t>-669.854957151225 184.604201452139 778.436263432411</t>
  </si>
  <si>
    <t>-518.540975973548 188.183254169527 832.980748240449</t>
  </si>
  <si>
    <t>-614.573388879621 -79.9740304901138 321.767611768226</t>
  </si>
  <si>
    <t>-655.080486156973 -109.335791568775 782.315986714279</t>
  </si>
  <si>
    <t>-501.894006270014 -118.167352339106 830.686767815131</t>
  </si>
  <si>
    <t>9763-20170724T115635.992818000.bin</t>
  </si>
  <si>
    <t>-627.306528995124 23.5516276167286 -93.4525619575264</t>
  </si>
  <si>
    <t>-650.063785070846 19.7792878473501 -201.736218498231</t>
  </si>
  <si>
    <t>-663.266359930676 18.1762933008729 -293.654561254851</t>
  </si>
  <si>
    <t>-673.740012816204 17.2742684260541 -376.886861905109</t>
  </si>
  <si>
    <t>-682.192250174701 16.9657532360234 -460.352979172979</t>
  </si>
  <si>
    <t>-692.327614770593 17.1643166027618 -582.591205258695</t>
  </si>
  <si>
    <t>-680.714960462895 22.2527832638527 -659.918168312377</t>
  </si>
  <si>
    <t>-690.497284465291 48.3279321213292 -528.686350144112</t>
  </si>
  <si>
    <t>-674.926250231443 200.84043771479 -499.785821127091</t>
  </si>
  <si>
    <t>-648.404780666721 230.664730349594 -220.526712549385</t>
  </si>
  <si>
    <t>-422.351067105082 184.981068537464 -192.93578102327</t>
  </si>
  <si>
    <t>-635.358701336053 117.223552238046 -96.6039355389381</t>
  </si>
  <si>
    <t>-643.087287111252 136.979417198534 318.429272729346</t>
  </si>
  <si>
    <t>-669.904542449336 184.503892626901 778.397421784628</t>
  </si>
  <si>
    <t>-518.575963946668 187.991100012269 832.907358505183</t>
  </si>
  <si>
    <t>-614.679777022179 -79.926841055425 321.738532315191</t>
  </si>
  <si>
    <t>-655.089987260911 -109.244852899142 782.301712577933</t>
  </si>
  <si>
    <t>-501.891318463321 -118.233644256794 830.604804315245</t>
  </si>
  <si>
    <t>9763-20170724T115636.025911900.bin</t>
  </si>
  <si>
    <t>-627.112456605583 23.6212141613714 -93.4741765632637</t>
  </si>
  <si>
    <t>-649.838966311863 19.8201216678031 -201.763520421304</t>
  </si>
  <si>
    <t>-663.005055954573 18.1821438948907 -293.68619384119</t>
  </si>
  <si>
    <t>-673.441470910627 17.2437636229977 -376.922940139795</t>
  </si>
  <si>
    <t>-681.852105470289 16.8941825769725 -460.393051858036</t>
  </si>
  <si>
    <t>-691.921878554789 17.0276144221725 -582.636744934799</t>
  </si>
  <si>
    <t>-680.284433834037 22.040977215436 -659.964940036757</t>
  </si>
  <si>
    <t>-690.12813067084 48.2192019594449 -528.746933586781</t>
  </si>
  <si>
    <t>-674.536974954225 200.748163634828 -499.942321972804</t>
  </si>
  <si>
    <t>-649.600480646933 230.744005883744 -220.555532931454</t>
  </si>
  <si>
    <t>-423.639765941604 184.854714176462 -192.547391576718</t>
  </si>
  <si>
    <t>-635.214775075311 117.252423467702 -96.6399093263121</t>
  </si>
  <si>
    <t>-643.005245592326 136.997618630246 318.392667292506</t>
  </si>
  <si>
    <t>-669.917015017362 184.451394478748 778.374848060967</t>
  </si>
  <si>
    <t>-518.589609723731 188.045401844595 832.880966196426</t>
  </si>
  <si>
    <t>-614.584015610295 -79.8682031458964 321.739802660877</t>
  </si>
  <si>
    <t>-655.070492816479 -109.203975086491 782.306012716655</t>
  </si>
  <si>
    <t>-501.868330423476 -118.124848937201 830.610703435642</t>
  </si>
  <si>
    <t>9763-20170724T115636.062001500.bin</t>
  </si>
  <si>
    <t>-626.846041422898 23.6318111724065 -93.4760470532331</t>
  </si>
  <si>
    <t>-649.563904875125 19.8036919102499 -201.76613288022</t>
  </si>
  <si>
    <t>-662.706467036024 18.1380358282722 -293.691885067865</t>
  </si>
  <si>
    <t>-673.114954585952 17.171828413444 -376.931615882806</t>
  </si>
  <si>
    <t>-681.490875609242 16.791894027476 -460.405131933866</t>
  </si>
  <si>
    <t>-691.502388728399 16.8779127462572 -582.653735277436</t>
  </si>
  <si>
    <t>-679.849545285633 21.8214625272631 -659.98394086944</t>
  </si>
  <si>
    <t>-689.739974089189 48.0899595334567 -528.774691371403</t>
  </si>
  <si>
    <t>-674.200382904334 200.642478608225 -500.078205190241</t>
  </si>
  <si>
    <t>-650.883703248521 230.842479463562 -220.573455404104</t>
  </si>
  <si>
    <t>-424.987035448424 184.862118757701 -192.200540659031</t>
  </si>
  <si>
    <t>-635.026907930307 117.243315151374 -96.6554761932438</t>
  </si>
  <si>
    <t>-642.853226634578 136.981501848216 318.376752515356</t>
  </si>
  <si>
    <t>-669.917024718379 184.40694985644 778.356376769437</t>
  </si>
  <si>
    <t>-518.592406055702 187.998489659917 832.870439655126</t>
  </si>
  <si>
    <t>-614.410188578305 -79.8180991096449 321.755231259235</t>
  </si>
  <si>
    <t>-655.04942674014 -109.153906371332 782.309636479699</t>
  </si>
  <si>
    <t>-501.851794990997 -118.104977095815 830.623030822577</t>
  </si>
  <si>
    <t>9763-20170724T115636.127194100.bin</t>
  </si>
  <si>
    <t>-626.129462005307 23.5445185516494 -93.4584520539706</t>
  </si>
  <si>
    <t>-648.873195700063 19.6732074172787 -201.741631164798</t>
  </si>
  <si>
    <t>-662.019094914316 17.975466381939 -293.666239120744</t>
  </si>
  <si>
    <t>-672.423075220434 16.9807939273255 -376.906287803669</t>
  </si>
  <si>
    <t>-680.786860495467 16.5735547755919 -460.380905331042</t>
  </si>
  <si>
    <t>-690.772195944065 16.6209615256766 -582.631557863677</t>
  </si>
  <si>
    <t>-679.126647215295 21.4510010288063 -659.970100371876</t>
  </si>
  <si>
    <t>-689.045123785946 47.84801259292 -528.760075791319</t>
  </si>
  <si>
    <t>-673.861764485754 200.490489554455 -500.367832358971</t>
  </si>
  <si>
    <t>-653.359975807328 230.948931229235 -220.670599505395</t>
  </si>
  <si>
    <t>-427.679885540947 184.305729054187 -191.663029788004</t>
  </si>
  <si>
    <t>-634.43810514204 117.138204134269 -96.6524692704641</t>
  </si>
  <si>
    <t>-642.388244059337 136.837009402551 318.379243805635</t>
  </si>
  <si>
    <t>-669.91567155177 184.300107852902 778.327506632231</t>
  </si>
  <si>
    <t>-518.604625480596 187.975463792804 832.873633732405</t>
  </si>
  <si>
    <t>-613.940377529411 -79.7697205450379 321.80819348898</t>
  </si>
  <si>
    <t>-654.991652557893 -109.046532550163 782.313465156439</t>
  </si>
  <si>
    <t>-501.814985763291 -118.066083278404 830.680648628337</t>
  </si>
  <si>
    <t>9763-20170724T115636.159278700.bin</t>
  </si>
  <si>
    <t>-625.727306022962 23.467433171375 -93.4531506505505</t>
  </si>
  <si>
    <t>-648.482086371484 19.5721126389628 -201.73315838071</t>
  </si>
  <si>
    <t>-661.624040059832 17.8650436504126 -293.658165211835</t>
  </si>
  <si>
    <t>-672.018985617742 16.8665220088803 -376.899290892219</t>
  </si>
  <si>
    <t>-680.368378529332 16.4599550565219 -460.375283002412</t>
  </si>
  <si>
    <t>-690.326841271625 16.5131104467418 -582.6281145014</t>
  </si>
  <si>
    <t>-678.692209414073 21.298842157275 -659.971180772929</t>
  </si>
  <si>
    <t>-688.622773476731 47.7367285892733 -528.753912076947</t>
  </si>
  <si>
    <t>-673.583125818766 200.409553397991 -500.400762173045</t>
  </si>
  <si>
    <t>-654.481415510836 231.048639360219 -220.624195407398</t>
  </si>
  <si>
    <t>-428.898133003135 184.122314141933 -191.321771410053</t>
  </si>
  <si>
    <t>-634.068738695527 117.046421138359 -96.6485956660243</t>
  </si>
  <si>
    <t>-642.089892590402 136.731518834968 318.382451318367</t>
  </si>
  <si>
    <t>-669.910815846746 184.238581975349 778.313207392199</t>
  </si>
  <si>
    <t>-518.610522338353 187.896159545725 832.890424150293</t>
  </si>
  <si>
    <t>-613.716108377317 -79.7570477040063 321.834380502803</t>
  </si>
  <si>
    <t>-654.961772503985 -109.017285118661 782.320450668207</t>
  </si>
  <si>
    <t>-501.790800413618 -118.020545381183 830.708652962868</t>
  </si>
  <si>
    <t>9763-20170724T115636.227472000.bin</t>
  </si>
  <si>
    <t>-624.883081611923 23.2427024494773 -93.4044659811042</t>
  </si>
  <si>
    <t>-647.633565433926 19.3134020824684 -201.684038682166</t>
  </si>
  <si>
    <t>-660.751523622136 17.575594067167 -293.611943734742</t>
  </si>
  <si>
    <t>-671.116588894558 16.5473821348969 -376.856443229836</t>
  </si>
  <si>
    <t>-679.42778404887 16.1100581708431 -460.336195927958</t>
  </si>
  <si>
    <t>-689.321321403592 16.1170040380093 -582.594322163894</t>
  </si>
  <si>
    <t>-677.681183479438 20.8328653226913 -659.940762386209</t>
  </si>
  <si>
    <t>-687.67605170125 47.3583157307924 -528.728515982017</t>
  </si>
  <si>
    <t>-672.896827982491 200.096070074718 -500.60097294482</t>
  </si>
  <si>
    <t>-656.445206305333 230.904268397851 -220.67459898024</t>
  </si>
  <si>
    <t>-431.102048607617 183.226564946742 -190.744188144309</t>
  </si>
  <si>
    <t>-633.355816886683 116.792745935507 -96.6274830914739</t>
  </si>
  <si>
    <t>-641.592227052884 136.466730879525 318.399871738231</t>
  </si>
  <si>
    <t>-669.876756319456 184.1564352777 778.275925037354</t>
  </si>
  <si>
    <t>-518.599045404184 187.980862383911 832.904157701826</t>
  </si>
  <si>
    <t>-613.282356653246 -79.829270133295 321.877801490542</t>
  </si>
  <si>
    <t>-654.914657599355 -108.929784400944 782.328840569178</t>
  </si>
  <si>
    <t>-501.750513638822 -117.862458527462 830.75180027864</t>
  </si>
  <si>
    <t>9763-20170724T115636.261559200.bin</t>
  </si>
  <si>
    <t>-624.467457477049 23.0880075107555 -93.3927311403137</t>
  </si>
  <si>
    <t>-647.21979996408 19.1394255427304 -201.671279463976</t>
  </si>
  <si>
    <t>-660.32889173153 17.3843269618751 -293.600049679698</t>
  </si>
  <si>
    <t>-670.681563164168 16.3395488861754 -376.845921822915</t>
  </si>
  <si>
    <t>-678.976015081806 15.8847572495613 -460.327054958393</t>
  </si>
  <si>
    <t>-688.840233449833 15.8651393048369 -582.587634270838</t>
  </si>
  <si>
    <t>-677.193143775131 20.5590728490483 -659.934393005835</t>
  </si>
  <si>
    <t>-687.224956823173 47.1166526788379 -528.726893797749</t>
  </si>
  <si>
    <t>-672.563763421561 199.884525295174 -500.701892807074</t>
  </si>
  <si>
    <t>-657.233953229097 230.70547849536 -220.713294743056</t>
  </si>
  <si>
    <t>-431.983080995365 182.777535467087 -190.489112586436</t>
  </si>
  <si>
    <t>-633.02811124956 116.612925139307 -96.6121238735274</t>
  </si>
  <si>
    <t>-641.410505661476 136.331079766623 318.410151231708</t>
  </si>
  <si>
    <t>-669.872299063815 184.104019741 778.26022605032</t>
  </si>
  <si>
    <t>-518.603810440855 187.997470940544 832.909229814771</t>
  </si>
  <si>
    <t>-613.053841741685 -79.9002579925636 321.896169087064</t>
  </si>
  <si>
    <t>-654.899586933851 -108.909877548312 782.329729436898</t>
  </si>
  <si>
    <t>-501.739896396606 -117.87624292839 830.760433019478</t>
  </si>
  <si>
    <t>9763-20170724T115636.324732300.bin</t>
  </si>
  <si>
    <t>-623.687884274192 22.7898637399958 -93.3671194403322</t>
  </si>
  <si>
    <t>-646.401668489263 18.8160334344204 -201.652752138217</t>
  </si>
  <si>
    <t>-659.487870904521 17.0466906507456 -293.584540236551</t>
  </si>
  <si>
    <t>-669.823709106986 15.9907673237858 -376.832316849442</t>
  </si>
  <si>
    <t>-678.105390906732 15.5275727094631 -460.314912880851</t>
  </si>
  <si>
    <t>-687.955320717026 15.4992507397501 -582.576389892257</t>
  </si>
  <si>
    <t>-676.295805432541 20.1743863170295 -659.922513003223</t>
  </si>
  <si>
    <t>-686.404771222932 46.7494476905367 -528.713111193671</t>
  </si>
  <si>
    <t>-672.147524844846 199.570860618285 -500.792596242792</t>
  </si>
  <si>
    <t>-658.684294140378 230.58653205976 -220.729600116247</t>
  </si>
  <si>
    <t>-433.626954576184 182.139149215008 -189.898283402743</t>
  </si>
  <si>
    <t>-632.379538587741 116.262189319843 -96.5884093057679</t>
  </si>
  <si>
    <t>-641.099130486041 136.075998324475 318.422420202634</t>
  </si>
  <si>
    <t>-669.842800052545 184.034839450142 778.231217012586</t>
  </si>
  <si>
    <t>-518.594172512305 188.157054172115 832.918410463413</t>
  </si>
  <si>
    <t>-612.637016371734 -80.1136738095474 321.921330304014</t>
  </si>
  <si>
    <t>-654.897939376825 -108.816768299507 782.322335983304</t>
  </si>
  <si>
    <t>-501.729101631509 -117.793140501704 830.722277666668</t>
  </si>
  <si>
    <t>9763-20170724T115636.358822300.bin</t>
  </si>
  <si>
    <t>-623.368790615842 22.6986650236363 -93.3591820016471</t>
  </si>
  <si>
    <t>-646.051400458013 18.7194875156526 -201.65127162451</t>
  </si>
  <si>
    <t>-659.113459861134 16.9435452693065 -293.586308036407</t>
  </si>
  <si>
    <t>-669.428434656999 15.8803604148293 -376.83659129706</t>
  </si>
  <si>
    <t>-677.690219349652 15.4093208545664 -460.321035063007</t>
  </si>
  <si>
    <t>-687.512279701586 15.369000011877 -582.584903519613</t>
  </si>
  <si>
    <t>-675.821544728046 20.0420913575672 -659.926325105197</t>
  </si>
  <si>
    <t>-686.004314902975 46.6216916015683 -528.721908242119</t>
  </si>
  <si>
    <t>-671.971613898087 199.470962142536 -500.854584677835</t>
  </si>
  <si>
    <t>-659.289262319864 230.561003642374 -220.763185889172</t>
  </si>
  <si>
    <t>-434.327478424819 181.92218428483 -189.53837527995</t>
  </si>
  <si>
    <t>-632.111998724737 116.123314144527 -96.5798890948356</t>
  </si>
  <si>
    <t>-640.960165974651 135.98481703664 318.425899432561</t>
  </si>
  <si>
    <t>-669.858491666262 183.967846007463 778.218593944925</t>
  </si>
  <si>
    <t>-518.612529977476 187.89701062727 832.927215690788</t>
  </si>
  <si>
    <t>-612.46359953661 -80.1977240841074 321.931495557118</t>
  </si>
  <si>
    <t>-654.902282923826 -108.772341352868 782.314309054316</t>
  </si>
  <si>
    <t>-501.717191666229 -117.608205879472 830.688706813723</t>
  </si>
  <si>
    <t>9763-20170724T115636.429032200.bin</t>
  </si>
  <si>
    <t>-622.750982718946 22.5362431441249 -93.3482753634155</t>
  </si>
  <si>
    <t>-645.364336356982 18.5479845791349 -201.654475944013</t>
  </si>
  <si>
    <t>-658.354049417831 16.7866220180144 -293.600093651641</t>
  </si>
  <si>
    <t>-668.59819504113 15.7456504824222 -376.859381011964</t>
  </si>
  <si>
    <t>-676.783764528055 15.306994921775 -460.351554831445</t>
  </si>
  <si>
    <t>-686.488763631046 15.3252820033163 -582.624732062734</t>
  </si>
  <si>
    <t>-674.71548169711 20.0255745150005 -659.951985816041</t>
  </si>
  <si>
    <t>-685.081887141474 46.5477651332092 -528.741339141156</t>
  </si>
  <si>
    <t>-671.462713716444 199.450183638132 -500.939181480528</t>
  </si>
  <si>
    <t>-660.30781114773 230.52408226648 -220.78106455301</t>
  </si>
  <si>
    <t>-435.482654350844 181.592635916975 -189.033618939922</t>
  </si>
  <si>
    <t>-631.546173752808 115.895595631843 -96.569726168999</t>
  </si>
  <si>
    <t>-640.607326306864 135.836967702787 318.427687248304</t>
  </si>
  <si>
    <t>-669.83486211858 183.884065533401 778.192330411677</t>
  </si>
  <si>
    <t>-518.605189138062 187.984079090274 832.933590603229</t>
  </si>
  <si>
    <t>-612.175184970712 -80.3673690112896 321.950056366742</t>
  </si>
  <si>
    <t>-654.869589909314 -108.693347516128 782.318233136977</t>
  </si>
  <si>
    <t>-501.682565811676 -117.418252762137 830.706631597813</t>
  </si>
  <si>
    <t>9763-20170724T115636.492207500.bin</t>
  </si>
  <si>
    <t>-622.14895739357 22.4275320531267 -93.3512629164115</t>
  </si>
  <si>
    <t>-644.611819735645 18.4570467146925 -201.689547049743</t>
  </si>
  <si>
    <t>-657.473486927723 16.7150796827525 -293.653552412405</t>
  </si>
  <si>
    <t>-667.601764827529 15.6939275952623 -376.927146807219</t>
  </si>
  <si>
    <t>-675.671447792345 15.2781140661141 -460.430769758174</t>
  </si>
  <si>
    <t>-685.207223749844 15.3337496621659 -582.717247426473</t>
  </si>
  <si>
    <t>-673.337733460686 20.0436233470175 -660.029280937176</t>
  </si>
  <si>
    <t>-683.915583824833 46.5359847584784 -528.819192518468</t>
  </si>
  <si>
    <t>-670.880199395244 199.525976635523 -501.203793667726</t>
  </si>
  <si>
    <t>-661.582782995 230.693646627224 -220.98831452684</t>
  </si>
  <si>
    <t>-436.922781512312 181.295822596737 -188.797178244351</t>
  </si>
  <si>
    <t>-630.922170287346 115.673038433038 -96.5620275958253</t>
  </si>
  <si>
    <t>-640.338598531976 135.717640788777 318.422493169319</t>
  </si>
  <si>
    <t>-669.820537228666 183.83516279591 778.156270068327</t>
  </si>
  <si>
    <t>-518.607367830129 187.961931484318 832.941041912609</t>
  </si>
  <si>
    <t>-611.980060962245 -80.6135701401101 321.941734421656</t>
  </si>
  <si>
    <t>-654.906651767644 -108.621194259477 782.306251175791</t>
  </si>
  <si>
    <t>-501.677798601986 -117.180680561433 830.591649219303</t>
  </si>
  <si>
    <t>9763-20170724T115636.528302800.bin</t>
  </si>
  <si>
    <t>-621.885027781577 22.2930530433039 -93.356835798315</t>
  </si>
  <si>
    <t>-644.249149253931 18.325203552409 -201.715373347908</t>
  </si>
  <si>
    <t>-657.029520226284 16.5933559638738 -293.691019120967</t>
  </si>
  <si>
    <t>-667.085143344954 15.5848345922441 -376.973691836584</t>
  </si>
  <si>
    <t>-675.083158245832 15.1849465746243 -460.484239802364</t>
  </si>
  <si>
    <t>-684.515122084888 15.2681264654314 -582.778682775041</t>
  </si>
  <si>
    <t>-672.591786126406 19.9813795666057 -660.082294887337</t>
  </si>
  <si>
    <t>-683.278391379848 46.4573213713127 -528.871915261613</t>
  </si>
  <si>
    <t>-670.433231400159 199.482918688485 -501.359724298359</t>
  </si>
  <si>
    <t>-662.474815248855 230.789191440789 -221.118557038257</t>
  </si>
  <si>
    <t>-437.959936654151 180.976677762314 -188.55594605423</t>
  </si>
  <si>
    <t>-630.645180487976 115.48373769955 -96.5648247058989</t>
  </si>
  <si>
    <t>-640.272262203194 135.621877524037 318.410355980795</t>
  </si>
  <si>
    <t>-669.827858520635 183.810857890752 778.127574297248</t>
  </si>
  <si>
    <t>-518.62043526162 187.788841874223 832.939164419166</t>
  </si>
  <si>
    <t>-611.950469359449 -80.83204959208 321.933999138814</t>
  </si>
  <si>
    <t>-654.961897808552 -108.632291818845 782.294699508537</t>
  </si>
  <si>
    <t>-501.739705453015 -117.822568716862 830.48512861082</t>
  </si>
  <si>
    <t>9763-20170724T115636.592479800.bin</t>
  </si>
  <si>
    <t>-621.44917704812 22.1235394141959 -93.3909584497846</t>
  </si>
  <si>
    <t>-643.581935538624 18.174888812244 -201.797819049656</t>
  </si>
  <si>
    <t>-656.158362498739 16.4586737450643 -293.801743553149</t>
  </si>
  <si>
    <t>-666.026498307014 15.4640865857175 -377.107069074277</t>
  </si>
  <si>
    <t>-673.833637186532 15.078821819407 -460.635640011289</t>
  </si>
  <si>
    <t>-682.983125234028 15.1841141395937 -582.951611686634</t>
  </si>
  <si>
    <t>-670.919768368859 19.8877362012386 -660.233978955729</t>
  </si>
  <si>
    <t>-681.893388301443 46.361507374445 -529.034776857739</t>
  </si>
  <si>
    <t>-669.278432956263 199.419573131898 -501.612102078286</t>
  </si>
  <si>
    <t>-663.839355695595 231.309042117171 -221.376435553552</t>
  </si>
  <si>
    <t>-439.699896759485 180.531084148307 -187.736520921646</t>
  </si>
  <si>
    <t>-630.122305104176 115.196025156754 -96.6083273956241</t>
  </si>
  <si>
    <t>-640.173452116927 135.44423278489 318.351432334105</t>
  </si>
  <si>
    <t>-669.846926080705 183.721022699179 778.037224688558</t>
  </si>
  <si>
    <t>-518.657303042046 187.847446739981 832.887049186266</t>
  </si>
  <si>
    <t>-612.071724167429 -81.3186182684128 321.875828152016</t>
  </si>
  <si>
    <t>-655.269213746902 -108.551954248496 782.228075623887</t>
  </si>
  <si>
    <t>-501.877191797016 -117.866673952954 829.851016883592</t>
  </si>
  <si>
    <t>9763-20170724T115636.625567600.bin</t>
  </si>
  <si>
    <t>-621.293999450674 22.0664454103762 -93.452595365414</t>
  </si>
  <si>
    <t>-643.327805994055 18.1123544550894 -201.879458508661</t>
  </si>
  <si>
    <t>-655.797323604337 16.3991096765956 -293.897943143007</t>
  </si>
  <si>
    <t>-665.559431693979 15.4098616073341 -377.215778736573</t>
  </si>
  <si>
    <t>-673.250955922574 15.0328999793844 -460.755067835286</t>
  </si>
  <si>
    <t>-682.220997562327 15.1532935602686 -583.084398431545</t>
  </si>
  <si>
    <t>-670.08057426104 19.844629367587 -660.3554743685</t>
  </si>
  <si>
    <t>-681.216309569595 46.3233832743097 -529.161725501421</t>
  </si>
  <si>
    <t>-668.557433046238 199.369117193523 -501.702652592439</t>
  </si>
  <si>
    <t>-664.125862453119 231.646993295085 -221.493678879906</t>
  </si>
  <si>
    <t>-440.139056558291 180.578521712021 -187.281748386614</t>
  </si>
  <si>
    <t>-629.962455573994 115.079331623996 -96.6706885933457</t>
  </si>
  <si>
    <t>-640.191125861538 135.369127192204 318.2827128666</t>
  </si>
  <si>
    <t>-669.821300686038 183.714379336059 777.942618141249</t>
  </si>
  <si>
    <t>-518.649347632658 187.708094999478 832.850863209041</t>
  </si>
  <si>
    <t>-612.241339513658 -81.5204557807451 321.809891372862</t>
  </si>
  <si>
    <t>-655.499087657117 -108.452120019589 782.152405070837</t>
  </si>
  <si>
    <t>-501.976972790717 -117.736094396475 829.360391847207</t>
  </si>
  <si>
    <t>9763-20170724T115636.659658700.bin</t>
  </si>
  <si>
    <t>-621.139181453304 21.9773100827845 -93.5342083133705</t>
  </si>
  <si>
    <t>-643.054195607386 18.0231195158133 -201.985074363614</t>
  </si>
  <si>
    <t>-655.407507644482 16.3176976912509 -294.019417694263</t>
  </si>
  <si>
    <t>-665.058151167003 15.3382781668026 -377.350307297033</t>
  </si>
  <si>
    <t>-672.631626832858 14.9737299212318 -460.900622125635</t>
  </si>
  <si>
    <t>-681.421717883208 15.1151997797438 -583.242986398869</t>
  </si>
  <si>
    <t>-669.202552449057 19.7905808952175 -660.502495639713</t>
  </si>
  <si>
    <t>-680.490659689569 46.2765482113307 -529.313861832384</t>
  </si>
  <si>
    <t>-667.830093291989 199.331197553388 -501.866061921231</t>
  </si>
  <si>
    <t>-664.430578607845 231.900304153799 -221.676396754641</t>
  </si>
  <si>
    <t>-440.567455853545 180.629448058173 -186.961469750458</t>
  </si>
  <si>
    <t>-629.747175628484 114.907807649452 -96.7665759574488</t>
  </si>
  <si>
    <t>-640.189546460965 135.249683820972 318.178909402781</t>
  </si>
  <si>
    <t>-669.812356569866 183.616855047271 777.828507385127</t>
  </si>
  <si>
    <t>-518.672904205803 187.812229613659 832.811132474501</t>
  </si>
  <si>
    <t>-612.38770458088 -81.6853001600139 321.719635572991</t>
  </si>
  <si>
    <t>-655.705969438705 -108.311590691098 782.072486399219</t>
  </si>
  <si>
    <t>-502.028998166375 -117.0394193966 828.881036146835</t>
  </si>
  <si>
    <t>9763-20170724T115636.722845900.bin</t>
  </si>
  <si>
    <t>-620.880832821375 21.6872448635427 -93.7221142468909</t>
  </si>
  <si>
    <t>-642.547158889375 17.7352346150174 -202.22314271429</t>
  </si>
  <si>
    <t>-654.647746676041 16.0379995543487 -294.291075126324</t>
  </si>
  <si>
    <t>-664.052496429139 15.0678216083372 -377.650209278222</t>
  </si>
  <si>
    <t>-671.362134377104 14.7137515967027 -461.224049880467</t>
  </si>
  <si>
    <t>-679.746826349065 14.8711358971905 -583.594774779531</t>
  </si>
  <si>
    <t>-667.325164851412 19.4785761752375 -660.826223511335</t>
  </si>
  <si>
    <t>-678.964116556676 46.0282810380118 -529.660974846545</t>
  </si>
  <si>
    <t>-666.340548249016 199.104860886359 -502.336064835322</t>
  </si>
  <si>
    <t>-665.501518783852 232.387847600328 -222.210955894699</t>
  </si>
  <si>
    <t>-441.966795386123 180.270327054657 -186.65089142543</t>
  </si>
  <si>
    <t>-629.344159119775 114.470893218494 -96.9507593326666</t>
  </si>
  <si>
    <t>-640.128324053726 135.006197239212 317.976472388323</t>
  </si>
  <si>
    <t>-669.807345083328 183.493177925635 777.620932638004</t>
  </si>
  <si>
    <t>-518.721663467229 187.814134703478 832.741401576194</t>
  </si>
  <si>
    <t>-612.616219613789 -82.1431359346252 321.54819462741</t>
  </si>
  <si>
    <t>-656.123155959214 -108.183651944253 781.944379234156</t>
  </si>
  <si>
    <t>-502.224917332103 -117.208836978293 827.96292182688</t>
  </si>
  <si>
    <t>9763-20170724T115636.761949700.bin</t>
  </si>
  <si>
    <t>-620.839686351198 21.5625077244399 -93.8035289953544</t>
  </si>
  <si>
    <t>-642.341541020625 17.6382237752937 -202.33828885006</t>
  </si>
  <si>
    <t>-654.300109354448 15.9469554595998 -294.424891543699</t>
  </si>
  <si>
    <t>-663.575183028142 14.9751927707 -377.79865924823</t>
  </si>
  <si>
    <t>-670.7536870197 14.6120957238004 -461.383703770881</t>
  </si>
  <si>
    <t>-678.945036085053 14.7478869770432 -583.7676217423</t>
  </si>
  <si>
    <t>-666.416336848913 19.3008079144493 -660.984863062941</t>
  </si>
  <si>
    <t>-678.229912313883 45.9162550579099 -529.839187213688</t>
  </si>
  <si>
    <t>-665.675529528246 199.025023076673 -502.651931994313</t>
  </si>
  <si>
    <t>-666.277402750475 232.782775657201 -222.582877004832</t>
  </si>
  <si>
    <t>-442.944309980782 180.090688725477 -186.605140587382</t>
  </si>
  <si>
    <t>-629.237294201165 114.27725652309 -97.0203870688032</t>
  </si>
  <si>
    <t>-640.201625288621 134.901187319865 317.897780963768</t>
  </si>
  <si>
    <t>-669.799602303298 183.492434083082 777.522270957725</t>
  </si>
  <si>
    <t>-518.733639140501 187.739783881597 832.702496325388</t>
  </si>
  <si>
    <t>-612.806154917352 -82.4496613083741 321.455955699013</t>
  </si>
  <si>
    <t>-656.349444985916 -108.173721874442 781.869838907522</t>
  </si>
  <si>
    <t>-502.361897596125 -117.721604823709 827.48235691876</t>
  </si>
  <si>
    <t>9763-20170724T115636.827871100.bin</t>
  </si>
  <si>
    <t>-620.843633457295 21.3492539363588 -93.9824342661052</t>
  </si>
  <si>
    <t>-642.000954609938 17.4930522328584 -202.587220527555</t>
  </si>
  <si>
    <t>-653.73566678223 15.8459987910358 -294.703617670875</t>
  </si>
  <si>
    <t>-662.835643059968 14.9089976502698 -378.096936977675</t>
  </si>
  <si>
    <t>-669.866228456337 14.5751651926448 -461.694706700597</t>
  </si>
  <si>
    <t>-677.871338313078 14.7477763460993 -584.090918432725</t>
  </si>
  <si>
    <t>-665.161934188386 19.240004295222 -661.28220272816</t>
  </si>
  <si>
    <t>-677.226537792681 45.9010634460717 -530.152816330591</t>
  </si>
  <si>
    <t>-664.775060027254 199.026345272168 -503.059991239287</t>
  </si>
  <si>
    <t>-667.666596979331 233.418791599133 -223.082449340031</t>
  </si>
  <si>
    <t>-444.705656686637 179.75295607021 -186.246147167329</t>
  </si>
  <si>
    <t>-629.083347243842 113.89489479439 -97.1704414147423</t>
  </si>
  <si>
    <t>-640.389852295274 134.795860020269 317.724573973699</t>
  </si>
  <si>
    <t>-669.81695511261 183.407977469484 777.341002981616</t>
  </si>
  <si>
    <t>-518.795535989421 187.770697699958 832.634085584162</t>
  </si>
  <si>
    <t>-613.2333536335 -83.0852694617774 321.253888931889</t>
  </si>
  <si>
    <t>-656.708310034919 -108.087521567634 781.728403021347</t>
  </si>
  <si>
    <t>-502.513305119965 -117.634927127674 826.634631342976</t>
  </si>
  <si>
    <t>9763-20170724T115636.858947600.bin</t>
  </si>
  <si>
    <t>-620.913682081351 21.2657295464826 -94.0491791947285</t>
  </si>
  <si>
    <t>-641.907339930874 17.4479584532749 -202.687013563771</t>
  </si>
  <si>
    <t>-653.545647968906 15.8499396457571 -294.816529031085</t>
  </si>
  <si>
    <t>-662.575287216173 14.9644895458418 -378.217963084315</t>
  </si>
  <si>
    <t>-669.552579630759 14.6890091679763 -461.820485672921</t>
  </si>
  <si>
    <t>-677.49836837786 14.9550311310234 -584.220439689663</t>
  </si>
  <si>
    <t>-664.696403591107 19.4533480132261 -661.396046667456</t>
  </si>
  <si>
    <t>-676.879366385826 46.0671002697916 -530.25831511193</t>
  </si>
  <si>
    <t>-664.503314626028 199.185316693941 -503.111365880314</t>
  </si>
  <si>
    <t>-668.292940086969 233.725857040108 -223.16274990273</t>
  </si>
  <si>
    <t>-445.455026422049 179.7152240353 -186.086841195932</t>
  </si>
  <si>
    <t>-629.087810271841 113.710989671393 -97.2236487146247</t>
  </si>
  <si>
    <t>-640.526340430191 134.782792828018 317.659102587002</t>
  </si>
  <si>
    <t>-669.846070810427 183.367957293735 777.279646406076</t>
  </si>
  <si>
    <t>-518.837730802099 187.800528723684 832.602885179487</t>
  </si>
  <si>
    <t>-613.442491206432 -83.4485812585037 321.163768350756</t>
  </si>
  <si>
    <t>-656.828059622288 -108.103384037771 781.676985090427</t>
  </si>
  <si>
    <t>-502.595415100434 -118.13590117014 826.347515253684</t>
  </si>
  <si>
    <t>9763-20170724T115636.926135300.bin</t>
  </si>
  <si>
    <t>-621.066932724762 21.1545742181634 -94.118695726771</t>
  </si>
  <si>
    <t>-641.795014806264 17.3394428953311 -202.80766037013</t>
  </si>
  <si>
    <t>-653.23738846616 15.8045961016967 -294.962669800499</t>
  </si>
  <si>
    <t>-662.101631131987 15.0004802411152 -378.382742891376</t>
  </si>
  <si>
    <t>-668.924867457585 14.831651764694 -461.998261617061</t>
  </si>
  <si>
    <t>-676.658286562661 15.2805906308467 -584.411201390698</t>
  </si>
  <si>
    <t>-663.608308863968 19.857342921563 -661.540697277679</t>
  </si>
  <si>
    <t>-676.13905165432 46.3114369174496 -530.401333193939</t>
  </si>
  <si>
    <t>-664.09736627027 199.44656056343 -503.12215376793</t>
  </si>
  <si>
    <t>-669.722453863295 234.228178651681 -223.234291883902</t>
  </si>
  <si>
    <t>-447.06221817996 179.653726619038 -185.917140523519</t>
  </si>
  <si>
    <t>-629.211497216082 113.398069299525 -97.307538829163</t>
  </si>
  <si>
    <t>-640.867372151178 134.784481893214 317.553134118702</t>
  </si>
  <si>
    <t>-669.916059842321 183.307643780606 777.181390387967</t>
  </si>
  <si>
    <t>-518.915154186358 187.927606813269 832.509472153474</t>
  </si>
  <si>
    <t>-613.833392588526 -84.0023528511476 321.056119290492</t>
  </si>
  <si>
    <t>-656.957729123575 -108.095315554742 781.618013981644</t>
  </si>
  <si>
    <t>-502.617187778189 -117.897464862062 825.965881502576</t>
  </si>
  <si>
    <t>9763-20170724T115636.959224200.bin</t>
  </si>
  <si>
    <t>-621.113636193864 21.0859024351421 -94.1571122279555</t>
  </si>
  <si>
    <t>-641.746799126326 17.2571811459429 -202.863662469004</t>
  </si>
  <si>
    <t>-653.130948309121 15.7303682756071 -295.026034141325</t>
  </si>
  <si>
    <t>-661.951379943285 14.9415556092836 -378.450944030732</t>
  </si>
  <si>
    <t>-668.73966639945 14.7959335778583 -462.069350142378</t>
  </si>
  <si>
    <t>-676.431751582758 15.2876070895281 -584.484655291434</t>
  </si>
  <si>
    <t>-663.271101422634 19.9426750276982 -661.590606727947</t>
  </si>
  <si>
    <t>-675.932136456027 46.2995390111728 -530.463743115661</t>
  </si>
  <si>
    <t>-664.018172200236 199.436805352931 -503.170256431034</t>
  </si>
  <si>
    <t>-670.652810223794 234.261414437287 -223.309869343909</t>
  </si>
  <si>
    <t>-448.087234699604 179.359341243736 -185.908592397269</t>
  </si>
  <si>
    <t>-629.255352958546 113.301752796822 -97.366089674839</t>
  </si>
  <si>
    <t>-640.924569391843 134.7993636689 317.488363975164</t>
  </si>
  <si>
    <t>-669.94739709267 183.292055182258 777.118965195079</t>
  </si>
  <si>
    <t>-518.946152128024 187.838622616533 832.452278470455</t>
  </si>
  <si>
    <t>-613.971447318104 -84.144574015832 321.031548465314</t>
  </si>
  <si>
    <t>-656.984008242152 -108.073977228207 781.602161229413</t>
  </si>
  <si>
    <t>-502.596429262243 -117.59211898251 825.848197118608</t>
  </si>
  <si>
    <t>9763-20170724T115637.023399800.bin</t>
  </si>
  <si>
    <t>-621.127855661874 21.0828309176857 -94.2307043454693</t>
  </si>
  <si>
    <t>-641.650963610368 17.2341837942768 -202.957352565557</t>
  </si>
  <si>
    <t>-653.025320534923 15.6878935273817 -295.12069054787</t>
  </si>
  <si>
    <t>-661.870331215945 14.8799424324743 -378.542808199326</t>
  </si>
  <si>
    <t>-668.716789422849 14.7135770601171 -462.156353813154</t>
  </si>
  <si>
    <t>-676.530774419425 15.1732209311997 -584.564173943366</t>
  </si>
  <si>
    <t>-663.202000057528 20.0336664439558 -661.628598058376</t>
  </si>
  <si>
    <t>-675.98173925845 46.1988085024561 -530.551553229663</t>
  </si>
  <si>
    <t>-664.212826052888 199.358439520581 -503.344080311792</t>
  </si>
  <si>
    <t>-672.615453737775 234.191979758306 -223.532218538743</t>
  </si>
  <si>
    <t>-450.205190785257 178.922481265993 -185.750123628575</t>
  </si>
  <si>
    <t>-629.25676903491 113.324851662838 -97.4720464280402</t>
  </si>
  <si>
    <t>-640.94380841 134.871806417901 317.379442874109</t>
  </si>
  <si>
    <t>-670.002112103616 183.331701893382 777.007342180488</t>
  </si>
  <si>
    <t>-519.006900092253 187.867282826076 832.358066102846</t>
  </si>
  <si>
    <t>-614.073383070847 -84.4217045344908 320.996974144284</t>
  </si>
  <si>
    <t>-657.011952340892 -108.120698641922 781.585149250507</t>
  </si>
  <si>
    <t>-502.618136911895 -118.08597936261 825.710759578456</t>
  </si>
  <si>
    <t>9763-20170724T115637.060498300.bin</t>
  </si>
  <si>
    <t>-621.144519264288 21.1780227213917 -94.2530334450479</t>
  </si>
  <si>
    <t>-641.655933341688 17.31084305276 -202.981287303312</t>
  </si>
  <si>
    <t>-653.063646246522 15.7422104672821 -295.139981971946</t>
  </si>
  <si>
    <t>-661.956274215529 14.9111763888711 -378.556939903034</t>
  </si>
  <si>
    <t>-668.867948197072 14.7190360800862 -462.165011688736</t>
  </si>
  <si>
    <t>-676.796685700246 15.1379098952109 -584.565627534212</t>
  </si>
  <si>
    <t>-663.416116973835 20.1117431862017 -661.613858721349</t>
  </si>
  <si>
    <t>-676.21091809913 46.1802048005156 -530.562884343495</t>
  </si>
  <si>
    <t>-664.528108776639 199.364023179197 -503.434488042431</t>
  </si>
  <si>
    <t>-673.74852700387 234.310246387736 -223.662657126094</t>
  </si>
  <si>
    <t>-451.418837168481 178.93859938861 -185.55721556456</t>
  </si>
  <si>
    <t>-629.317573860234 113.400701063423 -97.5059841324279</t>
  </si>
  <si>
    <t>-640.981857504499 134.979236815558 317.344488881536</t>
  </si>
  <si>
    <t>-670.038377346139 183.3174554268 776.971035188378</t>
  </si>
  <si>
    <t>-519.044283468846 187.969910461735 832.315144047043</t>
  </si>
  <si>
    <t>-614.0477804369 -84.3918376131646 320.98545373353</t>
  </si>
  <si>
    <t>-657.004468192137 -108.1196481607 781.576309410117</t>
  </si>
  <si>
    <t>-502.609869712766 -118.239033209958 825.664021172945</t>
  </si>
  <si>
    <t>9763-20170724T115637.124696800.bin</t>
  </si>
  <si>
    <t>-621.262459395363 21.5920500705495 -94.2786908118809</t>
  </si>
  <si>
    <t>-641.814696551989 17.669888542923 -202.997211656123</t>
  </si>
  <si>
    <t>-653.333681218306 16.0039722427964 -295.140357535623</t>
  </si>
  <si>
    <t>-662.357854292299 15.0635457727142 -378.541984488805</t>
  </si>
  <si>
    <t>-669.432266863694 14.7409859326315 -462.136176529076</t>
  </si>
  <si>
    <t>-677.633125685018 14.9462126730402 -584.519258018565</t>
  </si>
  <si>
    <t>-664.241923828004 20.1089261623372 -661.553289293854</t>
  </si>
  <si>
    <t>-676.951218687657 46.0805082255722 -530.570748216498</t>
  </si>
  <si>
    <t>-665.539632751717 199.340614380624 -503.740678673129</t>
  </si>
  <si>
    <t>-676.308986044346 234.779893083707 -224.086084931047</t>
  </si>
  <si>
    <t>-454.170498799262 179.120854032217 -185.290551507639</t>
  </si>
  <si>
    <t>-629.549701892972 113.915818814242 -97.5746543631251</t>
  </si>
  <si>
    <t>-641.081442884613 135.309899782239 317.289069067119</t>
  </si>
  <si>
    <t>-670.09308393643 183.434872422484 776.935449642151</t>
  </si>
  <si>
    <t>-519.076586098382 187.867191214171 832.236380647097</t>
  </si>
  <si>
    <t>-613.982690714286 -83.9869210504171 320.987406354954</t>
  </si>
  <si>
    <t>-656.947047300565 -108.1182718437 781.561089090442</t>
  </si>
  <si>
    <t>-502.552675779563 -118.263361156484 825.643754857625</t>
  </si>
  <si>
    <t>9763-20170724T115637.189668700.bin</t>
  </si>
  <si>
    <t>-621.382962559412 22.153050356229 -94.2779121695509</t>
  </si>
  <si>
    <t>-641.98043692393 18.2003789506618 -202.986898811885</t>
  </si>
  <si>
    <t>-653.585815415686 16.4120569646809 -295.116828995961</t>
  </si>
  <si>
    <t>-662.707348533655 15.3211116583614 -378.505881299098</t>
  </si>
  <si>
    <t>-669.898564789646 14.807614825655 -462.089131475306</t>
  </si>
  <si>
    <t>-678.291361880139 14.6892870350232 -584.459440203861</t>
  </si>
  <si>
    <t>-664.94537700838 20.0010437454039 -661.49113143764</t>
  </si>
  <si>
    <t>-677.515992569621 45.9669014856679 -530.595279972868</t>
  </si>
  <si>
    <t>-666.197856547687 199.319128701067 -504.257072731336</t>
  </si>
  <si>
    <t>-678.615963588377 235.486182816943 -224.763988600921</t>
  </si>
  <si>
    <t>-456.63154692162 179.73218753047 -185.229987967092</t>
  </si>
  <si>
    <t>-629.8561131652 114.493495480184 -97.5914287923472</t>
  </si>
  <si>
    <t>-641.274398469144 135.604994067462 317.289951503802</t>
  </si>
  <si>
    <t>-670.188744186402 183.401070144581 776.971819808148</t>
  </si>
  <si>
    <t>-519.142040551276 187.823042959757 832.19111553377</t>
  </si>
  <si>
    <t>-613.738665395308 -83.3473035220518 321.021056719461</t>
  </si>
  <si>
    <t>-656.571056159248 -108.069916399023 781.567991905381</t>
  </si>
  <si>
    <t>-502.304890076434 -117.616896447908 826.229300599858</t>
  </si>
  <si>
    <t>9763-20170724T115637.225742100.bin</t>
  </si>
  <si>
    <t>-621.399470589983 22.4914731769095 -94.2290881994271</t>
  </si>
  <si>
    <t>-642.012337440928 18.5401369060464 -202.935064869972</t>
  </si>
  <si>
    <t>-653.643831666666 16.6977768456672 -295.060808418488</t>
  </si>
  <si>
    <t>-662.794249314655 15.5353929479973 -378.445885639432</t>
  </si>
  <si>
    <t>-670.019540104693 14.9275264564694 -462.025519214353</t>
  </si>
  <si>
    <t>-678.46783087607 14.6459095521186 -584.391613145062</t>
  </si>
  <si>
    <t>-665.193658599358 19.9709420265244 -661.434803449319</t>
  </si>
  <si>
    <t>-677.656107359645 45.9966286819408 -530.570338924345</t>
  </si>
  <si>
    <t>-666.321585106108 199.388920331143 -504.490384934445</t>
  </si>
  <si>
    <t>-679.948828805631 236.17816933839 -225.135062106139</t>
  </si>
  <si>
    <t>-458.068775365356 180.292015290258 -185.203575310671</t>
  </si>
  <si>
    <t>-630.024792074438 114.881384478246 -97.5540732709336</t>
  </si>
  <si>
    <t>-641.374942390629 135.808894106223 317.338459201933</t>
  </si>
  <si>
    <t>-670.211566587052 183.489656150663 777.033316905878</t>
  </si>
  <si>
    <t>-519.142417534771 187.780728803795 832.201541001398</t>
  </si>
  <si>
    <t>-613.420811840125 -83.0242752824568 321.083864582912</t>
  </si>
  <si>
    <t>-656.078612926538 -108.122662043659 781.669847357109</t>
  </si>
  <si>
    <t>-502.01985621218 -117.538258763077 827.068932133005</t>
  </si>
  <si>
    <t>9763-20170724T115637.258830300.bin</t>
  </si>
  <si>
    <t>-621.385021166782 22.7405922508456 -94.1456271299152</t>
  </si>
  <si>
    <t>-642.011951417772 18.8021429935864 -202.849349911138</t>
  </si>
  <si>
    <t>-653.667157413658 16.9080826702887 -294.971170076839</t>
  </si>
  <si>
    <t>-662.843636396803 15.673941900862 -378.352118732771</t>
  </si>
  <si>
    <t>-670.099818378103 14.9687191960934 -461.928418394225</t>
  </si>
  <si>
    <t>-678.598524764054 14.5165759317872 -584.290542652484</t>
  </si>
  <si>
    <t>-665.455508055762 19.7820923503232 -661.360319507481</t>
  </si>
  <si>
    <t>-677.757432162041 45.9427813077339 -530.513923402477</t>
  </si>
  <si>
    <t>-666.497136739917 199.396129115592 -504.729277750226</t>
  </si>
  <si>
    <t>-681.29566891132 236.764738706169 -225.510526879629</t>
  </si>
  <si>
    <t>-459.548763876235 180.631159416477 -185.188363948915</t>
  </si>
  <si>
    <t>-630.150753703204 115.154709990335 -97.4714895231651</t>
  </si>
  <si>
    <t>-641.482590296326 135.911837552035 317.430060576973</t>
  </si>
  <si>
    <t>-670.261413401601 183.435643391965 777.137314157559</t>
  </si>
  <si>
    <t>-519.170559042306 187.765511651069 832.242984603347</t>
  </si>
  <si>
    <t>-613.105441744211 -82.7664440958288 321.191664049266</t>
  </si>
  <si>
    <t>-655.706343400725 -108.181196541738 781.80875729989</t>
  </si>
  <si>
    <t>-501.823723565465 -117.666581211643 827.786824785473</t>
  </si>
  <si>
    <t>9763-20170724T115637.324023600.bin</t>
  </si>
  <si>
    <t>-621.359112766042 23.1775263795489 -93.9395943152174</t>
  </si>
  <si>
    <t>-642.017146926014 19.2390299025501 -202.637586212018</t>
  </si>
  <si>
    <t>-653.776698126851 17.2347017408501 -294.74353828622</t>
  </si>
  <si>
    <t>-663.079113753674 15.8557909897277 -378.108488292789</t>
  </si>
  <si>
    <t>-670.492922810513 14.9608877047829 -461.669151400261</t>
  </si>
  <si>
    <t>-679.257032485211 14.1814086627094 -584.010834111692</t>
  </si>
  <si>
    <t>-666.463657123686 19.2007223918079 -661.155729686562</t>
  </si>
  <si>
    <t>-678.292573568659 45.7520902072697 -530.320859415775</t>
  </si>
  <si>
    <t>-667.125493773514 199.287174445859 -504.991420754858</t>
  </si>
  <si>
    <t>-683.908276539564 237.84247861888 -226.046188481212</t>
  </si>
  <si>
    <t>-462.421109044619 181.399580467622 -184.74045682996</t>
  </si>
  <si>
    <t>-630.300669399104 115.651670293613 -97.2764786291149</t>
  </si>
  <si>
    <t>-641.644131019025 136.063129982054 317.641980149835</t>
  </si>
  <si>
    <t>-670.311250431556 183.507372887882 777.352984802492</t>
  </si>
  <si>
    <t>-519.174956824142 187.617357689454 832.35077129461</t>
  </si>
  <si>
    <t>-612.714820032328 -82.2032332435749 321.385413437542</t>
  </si>
  <si>
    <t>-655.164626722739 -108.279545211941 781.929148546119</t>
  </si>
  <si>
    <t>-501.569923030438 -117.824832162417 828.847968595325</t>
  </si>
  <si>
    <t>9763-20170724T115637.391733800.bin</t>
  </si>
  <si>
    <t>-621.274731700192 23.3244506801482 -93.7588869188509</t>
  </si>
  <si>
    <t>-642.045371135807 19.3777885176996 -202.434967407307</t>
  </si>
  <si>
    <t>-653.954769105102 17.2726068810389 -294.519537118612</t>
  </si>
  <si>
    <t>-663.41464329125 15.7643515368638 -377.864464698448</t>
  </si>
  <si>
    <t>-671.008261917801 14.7011738195101 -461.406917269885</t>
  </si>
  <si>
    <t>-680.059631678644 13.6331127220105 -583.72565278216</t>
  </si>
  <si>
    <t>-667.620112758847 18.3405287062201 -660.948070189267</t>
  </si>
  <si>
    <t>-678.959368432543 45.3312796207472 -530.113545428702</t>
  </si>
  <si>
    <t>-667.777511630134 198.92864361321 -505.1900744106</t>
  </si>
  <si>
    <t>-686.561049107211 238.559081984474 -226.523124560676</t>
  </si>
  <si>
    <t>-465.430581158442 181.628740960279 -183.993332588456</t>
  </si>
  <si>
    <t>-630.402772066237 115.823085662465 -97.0911969028059</t>
  </si>
  <si>
    <t>-641.703201756126 135.998676368449 317.840007906456</t>
  </si>
  <si>
    <t>-670.385624842728 183.432418527858 777.554980363912</t>
  </si>
  <si>
    <t>-519.211300398628 187.479824940565 832.452649182118</t>
  </si>
  <si>
    <t>-612.364361190917 -81.6789594362792 321.550482740788</t>
  </si>
  <si>
    <t>-654.818628360953 -108.306499844578 782.046495469627</t>
  </si>
  <si>
    <t>-501.397749460708 -117.917333814555 829.517379143152</t>
  </si>
  <si>
    <t>9763-20170724T115637.425822000.bin</t>
  </si>
  <si>
    <t>-621.232973289502 23.3776975559533 -93.7042818807283</t>
  </si>
  <si>
    <t>-642.082306568262 19.4298175628549 -202.365303674922</t>
  </si>
  <si>
    <t>-654.08763921346 17.2782784634005 -294.436348097297</t>
  </si>
  <si>
    <t>-663.646202626465 15.7094121397161 -377.768894532658</t>
  </si>
  <si>
    <t>-671.350488735259 14.5672125810593 -461.300175039662</t>
  </si>
  <si>
    <t>-680.576985957158 13.3628565440008 -583.604454476979</t>
  </si>
  <si>
    <t>-668.288833870234 17.9204687953074 -660.860200393417</t>
  </si>
  <si>
    <t>-679.397986208832 45.1208061714594 -530.029424531991</t>
  </si>
  <si>
    <t>-668.221927159478 198.753701659341 -505.338518167846</t>
  </si>
  <si>
    <t>-687.827822203171 238.760976920656 -226.782155460792</t>
  </si>
  <si>
    <t>-466.836832643057 181.73777565261 -183.655943115224</t>
  </si>
  <si>
    <t>-630.431776501028 115.930990118005 -97.0283059497943</t>
  </si>
  <si>
    <t>-641.699388551764 135.956082292946 317.910985373611</t>
  </si>
  <si>
    <t>-670.395018759285 183.415023053985 777.626980160813</t>
  </si>
  <si>
    <t>-519.214294799025 187.609055206316 832.496216857485</t>
  </si>
  <si>
    <t>-612.185626660027 -81.4386285743842 321.603248502489</t>
  </si>
  <si>
    <t>-654.728822564186 -108.281689353948 782.071830869614</t>
  </si>
  <si>
    <t>-501.334730348096 -117.660597756896 829.675469252626</t>
  </si>
  <si>
    <t>9763-20170724T115637.458910500.bin</t>
  </si>
  <si>
    <t>-621.184817231453 23.4541563913278 -93.6529717611361</t>
  </si>
  <si>
    <t>-642.099917274571 19.511977075349 -202.301571450385</t>
  </si>
  <si>
    <t>-654.2077095341 17.3262204887878 -294.35830368178</t>
  </si>
  <si>
    <t>-663.877816766863 15.7108967680622 -377.677143509911</t>
  </si>
  <si>
    <t>-671.712924005072 14.5063839825871 -461.195367273177</t>
  </si>
  <si>
    <t>-681.15166149379 13.1938447089074 -583.48238082995</t>
  </si>
  <si>
    <t>-669.005062153235 17.630349105382 -660.767489286369</t>
  </si>
  <si>
    <t>-679.878979967861 44.9992558561644 -529.937563223284</t>
  </si>
  <si>
    <t>-668.659491481487 198.655361782283 -505.415762653517</t>
  </si>
  <si>
    <t>-688.993703152498 238.893404679014 -226.944904464862</t>
  </si>
  <si>
    <t>-468.085293891703 181.856478135539 -183.415694742759</t>
  </si>
  <si>
    <t>-630.403564025475 116.047417493922 -96.9672558172002</t>
  </si>
  <si>
    <t>-641.671853005805 135.916846444284 317.979524677164</t>
  </si>
  <si>
    <t>-670.431241568529 183.361156904449 777.700601574614</t>
  </si>
  <si>
    <t>-519.239689576972 187.305566706432 832.558314747211</t>
  </si>
  <si>
    <t>-612.023248865213 -81.2565115438165 321.648537897258</t>
  </si>
  <si>
    <t>-654.682015750143 -108.255214207426 782.080461311604</t>
  </si>
  <si>
    <t>-501.311678301306 -117.661062049803 829.755291747338</t>
  </si>
  <si>
    <t>9763-20170724T115637.524089000.bin</t>
  </si>
  <si>
    <t>-620.972779058797 23.5915070314779 -93.5801009289847</t>
  </si>
  <si>
    <t>-641.979539192308 19.6638530162504 -202.21149609602</t>
  </si>
  <si>
    <t>-654.251806396798 17.4312712304763 -294.245454508286</t>
  </si>
  <si>
    <t>-664.105777238423 15.7502754615568 -377.541238204298</t>
  </si>
  <si>
    <t>-672.160391309473 14.4565720767719 -461.037396399845</t>
  </si>
  <si>
    <t>-681.959176962668 12.9883448113683 -583.294344004654</t>
  </si>
  <si>
    <t>-669.999863222159 17.240221015755 -660.618984056646</t>
  </si>
  <si>
    <t>-680.53013014913 44.8618342016409 -529.793917382078</t>
  </si>
  <si>
    <t>-669.239105678085 198.560367024829 -505.57316331298</t>
  </si>
  <si>
    <t>-691.170677821756 239.473349883319 -227.32186804035</t>
  </si>
  <si>
    <t>-470.452128309059 182.033168462915 -183.361985678618</t>
  </si>
  <si>
    <t>-630.171816369344 116.193427346801 -96.8552707441635</t>
  </si>
  <si>
    <t>-641.503699336679 135.956175788802 318.094870014235</t>
  </si>
  <si>
    <t>-670.422479387455 183.354089479263 777.824573445918</t>
  </si>
  <si>
    <t>-519.229894256959 187.51758543177 832.663324760712</t>
  </si>
  <si>
    <t>-611.806224738057 -80.9938504369832 321.697893330586</t>
  </si>
  <si>
    <t>-654.616920029916 -108.16286971109 782.091411198624</t>
  </si>
  <si>
    <t>-501.25330779668 -117.227377203498 829.853857424736</t>
  </si>
  <si>
    <t>9763-20170724T115637.588825600.bin</t>
  </si>
  <si>
    <t>-620.780235904111 23.681158151735 -93.5282934094312</t>
  </si>
  <si>
    <t>-641.80445026468 19.7674118313701 -202.156852395692</t>
  </si>
  <si>
    <t>-654.186993724696 17.508944598809 -294.175329257216</t>
  </si>
  <si>
    <t>-664.179383902726 15.7899218732443 -377.453985069003</t>
  </si>
  <si>
    <t>-672.411434485797 14.4438910838551 -460.93191382386</t>
  </si>
  <si>
    <t>-682.512663919294 12.8834388882838 -583.163090676854</t>
  </si>
  <si>
    <t>-670.64967159134 17.0499775384401 -660.507206698567</t>
  </si>
  <si>
    <t>-680.961189179748 44.7963979354029 -529.689775958164</t>
  </si>
  <si>
    <t>-669.72068986165 198.530795999987 -505.690623855088</t>
  </si>
  <si>
    <t>-693.354434260871 240.177673199826 -227.687824517045</t>
  </si>
  <si>
    <t>-472.871393031783 181.966459608795 -183.560748527443</t>
  </si>
  <si>
    <t>-629.975002835416 116.284394689981 -96.7806134256867</t>
  </si>
  <si>
    <t>-641.369516549391 135.909539161179 318.174341935608</t>
  </si>
  <si>
    <t>-670.428565794586 183.315321058698 777.917941136086</t>
  </si>
  <si>
    <t>-519.235325065625 187.422553137778 832.759226697852</t>
  </si>
  <si>
    <t>-611.660202865988 -80.8860448571234 321.734205500429</t>
  </si>
  <si>
    <t>-654.578347677846 -108.174120840132 782.102479802614</t>
  </si>
  <si>
    <t>-501.256641450616 -117.642636218516 829.921108809829</t>
  </si>
  <si>
    <t>9763-20170724T115637.626928400.bin</t>
  </si>
  <si>
    <t>-620.6928283528 23.7057030557605 -93.5016459136622</t>
  </si>
  <si>
    <t>-641.70940605099 19.7991964676344 -202.131870293246</t>
  </si>
  <si>
    <t>-654.142267128566 17.5452328651056 -294.143811629726</t>
  </si>
  <si>
    <t>-664.203008497859 15.8299785317906 -377.414306380675</t>
  </si>
  <si>
    <t>-672.52645827962 14.4877993812693 -460.883148571283</t>
  </si>
  <si>
    <t>-682.786852389002 12.932868422334 -583.101201188692</t>
  </si>
  <si>
    <t>-670.956404843954 17.1199576207182 -660.449080220979</t>
  </si>
  <si>
    <t>-681.175676281078 44.8423630564719 -529.627444386594</t>
  </si>
  <si>
    <t>-669.963434299317 198.589087904468 -505.678433188258</t>
  </si>
  <si>
    <t>-694.250409973222 240.520640253455 -227.774730349719</t>
  </si>
  <si>
    <t>-473.837830841644 182.04892414427 -183.640054610486</t>
  </si>
  <si>
    <t>-629.87613237916 116.278163025477 -96.7434130215379</t>
  </si>
  <si>
    <t>-641.301556266977 135.921662823026 318.209791791222</t>
  </si>
  <si>
    <t>-670.428253669578 183.300273493708 777.956662457816</t>
  </si>
  <si>
    <t>-519.237454412982 187.501166648526 832.797373393944</t>
  </si>
  <si>
    <t>-611.588795408478 -80.8891428021525 321.749318970916</t>
  </si>
  <si>
    <t>-654.565026342239 -108.141588798747 782.111032817596</t>
  </si>
  <si>
    <t>-501.236226225213 -117.466322070155 829.935258403394</t>
  </si>
  <si>
    <t>9763-20170724T115637.658018600.bin</t>
  </si>
  <si>
    <t>-620.61734499015 23.7202866037885 -93.4817916292243</t>
  </si>
  <si>
    <t>-641.636648970915 19.8041706696974 -202.111197435778</t>
  </si>
  <si>
    <t>-654.090750182853 17.5528808734164 -294.120262601984</t>
  </si>
  <si>
    <t>-664.178375276055 15.8443926316411 -377.387661702206</t>
  </si>
  <si>
    <t>-672.536511937786 14.5135796416598 -460.85324787831</t>
  </si>
  <si>
    <t>-682.856179578445 12.9803803549696 -583.066460958428</t>
  </si>
  <si>
    <t>-671.015336283273 17.2251768162466 -660.409758585266</t>
  </si>
  <si>
    <t>-681.232907457407 44.8792539350843 -529.586758479701</t>
  </si>
  <si>
    <t>-670.10872390818 198.634953852936 -505.6691001273</t>
  </si>
  <si>
    <t>-694.96871165674 240.749918943565 -227.843687466696</t>
  </si>
  <si>
    <t>-474.598353559114 182.118190726495 -183.710350135242</t>
  </si>
  <si>
    <t>-629.807381932117 116.271366336798 -96.7180364684208</t>
  </si>
  <si>
    <t>-641.230008295708 135.915700572589 318.235294583752</t>
  </si>
  <si>
    <t>-670.435993976317 183.277695723454 777.985150492649</t>
  </si>
  <si>
    <t>-519.243513797419 187.344954446956 832.831334901202</t>
  </si>
  <si>
    <t>-611.528901275108 -80.9173249453836 321.765691468389</t>
  </si>
  <si>
    <t>-654.570205779918 -108.129896455671 782.11402871101</t>
  </si>
  <si>
    <t>-501.239352587306 -117.564714285345 829.909965767207</t>
  </si>
  <si>
    <t>9763-20170724T115637.722807100.bin</t>
  </si>
  <si>
    <t>-620.496724791455 23.6527535233465 -93.4812421468481</t>
  </si>
  <si>
    <t>-641.452063492142 19.7272819977034 -202.122612432605</t>
  </si>
  <si>
    <t>-653.850164695206 17.47702926838 -294.139402209431</t>
  </si>
  <si>
    <t>-663.886422365317 15.7730360293665 -377.412982288181</t>
  </si>
  <si>
    <t>-672.192461215754 14.4507302824759 -460.884017643908</t>
  </si>
  <si>
    <t>-682.43507679397 12.9349376248622 -583.10376912065</t>
  </si>
  <si>
    <t>-670.539628709318 17.334977430608 -660.430161092117</t>
  </si>
  <si>
    <t>-680.866783539396 44.8241761248912 -529.61690090304</t>
  </si>
  <si>
    <t>-670.007392020958 198.627592164022 -505.815901880033</t>
  </si>
  <si>
    <t>-696.423865092468 240.762208167049 -228.137202950855</t>
  </si>
  <si>
    <t>-476.14238023862 181.937926138465 -183.816819744735</t>
  </si>
  <si>
    <t>-629.673542355805 116.10723093803 -96.7027005159584</t>
  </si>
  <si>
    <t>-641.207611479488 135.830307661838 318.243805301145</t>
  </si>
  <si>
    <t>-670.418716597575 183.277079930567 778.000536997621</t>
  </si>
  <si>
    <t>-519.232796266479 187.454350557784 832.856626287271</t>
  </si>
  <si>
    <t>-611.579296481593 -81.0532534471404 321.765028201786</t>
  </si>
  <si>
    <t>-654.675350909723 -108.036510903694 782.105663775025</t>
  </si>
  <si>
    <t>-501.250232539353 -117.025187873985 829.68469042031</t>
  </si>
  <si>
    <t>9763-20170724T115637.759915500.bin</t>
  </si>
  <si>
    <t>-620.488218661644 23.5779509127422 -93.4764754747014</t>
  </si>
  <si>
    <t>-641.375339163776 19.6456522744511 -202.130875841028</t>
  </si>
  <si>
    <t>-653.722415338376 17.3801302021172 -294.153840865635</t>
  </si>
  <si>
    <t>-663.715150272727 15.6585375823677 -377.432421893997</t>
  </si>
  <si>
    <t>-671.980309576483 14.3147453051088 -460.907171315437</t>
  </si>
  <si>
    <t>-682.166120836392 12.7631925702037 -583.131333584747</t>
  </si>
  <si>
    <t>-670.215025233333 17.2491630837299 -660.444051508417</t>
  </si>
  <si>
    <t>-680.62658034077 44.6676392387235 -529.652506801714</t>
  </si>
  <si>
    <t>-669.892585895651 198.492768217753 -505.954320306767</t>
  </si>
  <si>
    <t>-697.159473729792 240.583928771436 -228.35126472481</t>
  </si>
  <si>
    <t>-476.991954329169 181.639351219772 -183.626385113214</t>
  </si>
  <si>
    <t>-629.665903860893 115.975191939424 -96.710679274481</t>
  </si>
  <si>
    <t>-641.236807355344 135.75357947985 318.232159023602</t>
  </si>
  <si>
    <t>-670.416812313391 183.271092291384 777.987306518689</t>
  </si>
  <si>
    <t>-519.23675827072 187.450392471404 832.85933361452</t>
  </si>
  <si>
    <t>-611.690100489769 -81.2167081689072 321.752913639105</t>
  </si>
  <si>
    <t>-654.782051812538 -108.00378376147 782.086508982748</t>
  </si>
  <si>
    <t>-501.298462741829 -117.032200921088 829.468968990098</t>
  </si>
  <si>
    <t>9763-20170724T115637.823094200.bin</t>
  </si>
  <si>
    <t>-620.4309989396 23.3563940129509 -93.5251153547464</t>
  </si>
  <si>
    <t>-641.196802817547 19.4084022693312 -202.202065438513</t>
  </si>
  <si>
    <t>-653.438353570106 17.117258920495 -294.23859989063</t>
  </si>
  <si>
    <t>-663.334475151041 15.3671652784346 -377.528047193779</t>
  </si>
  <si>
    <t>-671.501607382332 13.9894234222381 -461.011868741342</t>
  </si>
  <si>
    <t>-681.542611967719 12.3820155491703 -583.247424780558</t>
  </si>
  <si>
    <t>-669.448342266428 17.0258769624097 -660.528558063409</t>
  </si>
  <si>
    <t>-680.059572221934 44.3115807239731 -529.782020839697</t>
  </si>
  <si>
    <t>-669.470670774292 198.1598252099 -506.192590670755</t>
  </si>
  <si>
    <t>-698.375174874104 240.494968867596 -228.792527876356</t>
  </si>
  <si>
    <t>-478.474969695573 181.133460348018 -183.310033058031</t>
  </si>
  <si>
    <t>-629.51334117026 115.688102602544 -96.7582407161149</t>
  </si>
  <si>
    <t>-641.271835257508 135.651619561362 318.170444041144</t>
  </si>
  <si>
    <t>-670.408372058209 183.279707388725 777.918387469056</t>
  </si>
  <si>
    <t>-519.242979535006 187.420144500593 832.833862017721</t>
  </si>
  <si>
    <t>-612.02630816833 -81.6059389460559 321.684971304022</t>
  </si>
  <si>
    <t>-655.202121519001 -107.949203735085 782.010662594259</t>
  </si>
  <si>
    <t>-501.508550753942 -117.307204521481 828.642642328174</t>
  </si>
  <si>
    <t>9763-20170724T115637.862191000.bin</t>
  </si>
  <si>
    <t>-620.422831895849 23.2667282444454 -93.5955430384305</t>
  </si>
  <si>
    <t>-641.117033076485 19.3159821209963 -202.286168523985</t>
  </si>
  <si>
    <t>-653.305821137089 17.0184577729081 -294.3295224697</t>
  </si>
  <si>
    <t>-663.15734792226 15.2613939021664 -377.624145482777</t>
  </si>
  <si>
    <t>-671.282965257051 13.8753456531624 -461.111780690656</t>
  </si>
  <si>
    <t>-681.266796249259 12.2540928570324 -583.351928879585</t>
  </si>
  <si>
    <t>-669.130322243048 16.9654667122131 -660.622256360893</t>
  </si>
  <si>
    <t>-679.807845245434 44.189775019875 -529.889375801174</t>
  </si>
  <si>
    <t>-669.268117833288 198.044709004603 -506.338099551665</t>
  </si>
  <si>
    <t>-698.958213365589 240.580446902206 -229.051593004988</t>
  </si>
  <si>
    <t>-479.19235278952 180.994808497378 -183.214503661591</t>
  </si>
  <si>
    <t>-629.417207324262 115.573968921473 -96.8298619599493</t>
  </si>
  <si>
    <t>-641.250387167179 135.638995251825 318.091806837246</t>
  </si>
  <si>
    <t>-670.417710627487 183.290860905948 777.844850260563</t>
  </si>
  <si>
    <t>-519.261342422818 187.432910469502 832.785092372899</t>
  </si>
  <si>
    <t>-612.257050890727 -81.7870905279767 321.614678600878</t>
  </si>
  <si>
    <t>-655.522817969398 -107.894877828617 781.932060239602</t>
  </si>
  <si>
    <t>-501.672924265797 -117.469317103828 828.001259166437</t>
  </si>
  <si>
    <t>9763-20170724T115637.924870800.bin</t>
  </si>
  <si>
    <t>-620.442216019685 23.0424619957307 -93.7790160340769</t>
  </si>
  <si>
    <t>-640.998907485279 19.0941700322912 -202.495765882892</t>
  </si>
  <si>
    <t>-653.08240330107 16.785992705072 -294.552679973998</t>
  </si>
  <si>
    <t>-662.843349824649 15.0149584282794 -377.857702269277</t>
  </si>
  <si>
    <t>-670.882725451604 13.610443262613 -461.353398310098</t>
  </si>
  <si>
    <t>-680.745380774493 11.9573163020166 -583.60286725413</t>
  </si>
  <si>
    <t>-668.504592091353 16.7369361957315 -660.852603379316</t>
  </si>
  <si>
    <t>-679.319627558514 43.9087335702195 -530.148946240618</t>
  </si>
  <si>
    <t>-668.84364160209 197.787568047121 -506.707699749701</t>
  </si>
  <si>
    <t>-700.24556556971 240.550518243123 -229.644886565983</t>
  </si>
  <si>
    <t>-480.716284712576 180.647807883398 -183.092791705132</t>
  </si>
  <si>
    <t>-629.166545561658 115.276532666183 -97.0239782251265</t>
  </si>
  <si>
    <t>-641.149701810581 135.553396095928 317.883097969458</t>
  </si>
  <si>
    <t>-670.416643068963 183.267546496085 777.618896426534</t>
  </si>
  <si>
    <t>-519.288161251467 187.446364723813 832.632945956327</t>
  </si>
  <si>
    <t>-612.693024883444 -82.3031549683726 321.425150601704</t>
  </si>
  <si>
    <t>-656.101825725518 -107.794999059958 781.747903761119</t>
  </si>
  <si>
    <t>-501.981259908004 -117.882608603245 826.791380266247</t>
  </si>
  <si>
    <t>9763-20170724T115637.961971400.bin</t>
  </si>
  <si>
    <t>-620.387361175691 22.8622705010896 -93.8740344913085</t>
  </si>
  <si>
    <t>-640.893125501726 18.9154272922622 -202.600418822028</t>
  </si>
  <si>
    <t>-652.926837187653 16.6067170811812 -294.664068912626</t>
  </si>
  <si>
    <t>-662.640064312953 14.8354217874303 -377.974539885842</t>
  </si>
  <si>
    <t>-670.629026561141 13.4303825285458 -461.475039229727</t>
  </si>
  <si>
    <t>-680.414954656184 11.7764321960401 -583.73071236649</t>
  </si>
  <si>
    <t>-668.130141290187 16.5628051921931 -660.972988094377</t>
  </si>
  <si>
    <t>-679.007362881339 43.7296247282686 -530.277299715766</t>
  </si>
  <si>
    <t>-668.494652018581 197.608394944616 -506.848575581949</t>
  </si>
  <si>
    <t>-700.764877910513 240.454516995055 -229.89832706226</t>
  </si>
  <si>
    <t>-481.329167783826 180.435409112603 -183.055927712351</t>
  </si>
  <si>
    <t>-628.974562091225 115.066590023513 -97.1296597877753</t>
  </si>
  <si>
    <t>-641.100358076534 135.423079780045 317.769338252915</t>
  </si>
  <si>
    <t>-670.433310418405 183.220118606615 777.497653671606</t>
  </si>
  <si>
    <t>-519.319488488816 187.551967339294 832.540122653186</t>
  </si>
  <si>
    <t>-612.844098900027 -82.6065496230929 321.335203861247</t>
  </si>
  <si>
    <t>-656.273471556587 -107.754752302335 781.690514952705</t>
  </si>
  <si>
    <t>-502.04751481833 -117.721582913812 826.398918311844</t>
  </si>
  <si>
    <t>9763-20170724T115638.027660800.bin</t>
  </si>
  <si>
    <t>-620.102049602491 22.5312779630328 -94.0396464797677</t>
  </si>
  <si>
    <t>-640.53356440473 18.5635928485403 -202.779357142557</t>
  </si>
  <si>
    <t>-652.494540148453 16.2567845885012 -294.852315201752</t>
  </si>
  <si>
    <t>-662.138085828729 14.4953272789232 -378.171203698664</t>
  </si>
  <si>
    <t>-670.053288834024 13.1079992759471 -461.679111265784</t>
  </si>
  <si>
    <t>-679.726763676713 11.4891845286295 -583.944092237806</t>
  </si>
  <si>
    <t>-667.371179229532 16.2247757468283 -661.17831541935</t>
  </si>
  <si>
    <t>-678.353081528122 43.4285027761332 -530.481580766983</t>
  </si>
  <si>
    <t>-667.77385648445 197.301715028447 -507.025477280827</t>
  </si>
  <si>
    <t>-701.687074435368 240.322779238672 -230.298829596696</t>
  </si>
  <si>
    <t>-482.500794322323 179.930980660719 -182.772729026155</t>
  </si>
  <si>
    <t>-628.564375503322 114.759611148435 -97.3286285645701</t>
  </si>
  <si>
    <t>-640.827149377399 135.295381680134 317.557461437529</t>
  </si>
  <si>
    <t>-670.453288981859 183.19897571777 777.250756164477</t>
  </si>
  <si>
    <t>-519.363143919539 187.543471755181 832.35725311046</t>
  </si>
  <si>
    <t>-612.93919847119 -83.0557437829623 321.215032330528</t>
  </si>
  <si>
    <t>-656.435290453146 -107.761838448866 781.633396088532</t>
  </si>
  <si>
    <t>-502.145679465084 -118.287919309754 825.992701687643</t>
  </si>
  <si>
    <t>9763-20170724T115638.058744400.bin</t>
  </si>
  <si>
    <t>-619.882849807849 22.4096525425452 -94.0991349687467</t>
  </si>
  <si>
    <t>-640.309817553266 18.4428883701535 -202.839698995569</t>
  </si>
  <si>
    <t>-652.263320872396 16.1446577692163 -294.913860646322</t>
  </si>
  <si>
    <t>-661.898630307054 14.3943554389766 -378.233920161503</t>
  </si>
  <si>
    <t>-669.804090019895 13.0214346192045 -461.742886437993</t>
  </si>
  <si>
    <t>-679.461654216442 11.4272803415704 -584.009636289655</t>
  </si>
  <si>
    <t>-667.087383479602 16.1161073988831 -661.243615162481</t>
  </si>
  <si>
    <t>-678.090353354038 43.3561872162509 -530.540800569435</t>
  </si>
  <si>
    <t>-667.498123393627 197.223853260504 -507.078907054175</t>
  </si>
  <si>
    <t>-702.248212324192 240.400665941202 -230.480400904933</t>
  </si>
  <si>
    <t>-483.243123418944 179.657007942532 -182.568803945206</t>
  </si>
  <si>
    <t>-628.334782579678 114.662532351434 -97.4033746480339</t>
  </si>
  <si>
    <t>-640.666094744009 135.245247005937 317.478466090028</t>
  </si>
  <si>
    <t>-670.457706368346 183.206841714248 777.146360510211</t>
  </si>
  <si>
    <t>-519.377425716722 187.478718195356 832.285420964203</t>
  </si>
  <si>
    <t>-612.872083724773 -83.1694227030744 321.177647259445</t>
  </si>
  <si>
    <t>-656.474576703409 -107.759840293445 781.613834726219</t>
  </si>
  <si>
    <t>-502.145709084168 -118.159611220038 825.866198013949</t>
  </si>
  <si>
    <t>9763-20170724T115638.127535400.bin</t>
  </si>
  <si>
    <t>-619.480737783413 22.254832516539 -94.1801491519481</t>
  </si>
  <si>
    <t>-639.90052298611 18.2907390252831 -202.922128982255</t>
  </si>
  <si>
    <t>-651.869077109188 15.995865152589 -294.994502673019</t>
  </si>
  <si>
    <t>-661.526612942184 14.2490248005699 -378.312037339911</t>
  </si>
  <si>
    <t>-669.462992905494 12.8802309122227 -461.818191216352</t>
  </si>
  <si>
    <t>-679.175257262419 11.2930736080871 -584.080512534938</t>
  </si>
  <si>
    <t>-666.786247304164 15.8811483881868 -661.318289361875</t>
  </si>
  <si>
    <t>-677.784252871861 43.2185060582665 -530.610325587904</t>
  </si>
  <si>
    <t>-667.245277740826 197.097839933413 -507.184243489074</t>
  </si>
  <si>
    <t>-703.721554357401 240.650295564916 -230.866923090276</t>
  </si>
  <si>
    <t>-485.129811841337 179.075618773761 -182.135704017231</t>
  </si>
  <si>
    <t>-627.929021163636 114.482218106877 -97.5054589544748</t>
  </si>
  <si>
    <t>-640.423074480649 135.11714608998 317.368881057189</t>
  </si>
  <si>
    <t>-670.475798585898 183.175208174416 776.991113423191</t>
  </si>
  <si>
    <t>-519.416181281779 187.541999591514 832.17957609313</t>
  </si>
  <si>
    <t>-612.675426857658 -83.3011534943198 321.130678199533</t>
  </si>
  <si>
    <t>-656.496299757124 -107.723403684958 781.57641612313</t>
  </si>
  <si>
    <t>-502.128862206136 -118.014575846675 825.71936875167</t>
  </si>
  <si>
    <t>9763-20170724T115638.161623300.bin</t>
  </si>
  <si>
    <t>-619.286719931259 22.2281621946597 -94.1871328031555</t>
  </si>
  <si>
    <t>-639.708342182849 18.2684380359203 -202.928910745147</t>
  </si>
  <si>
    <t>-651.691662961146 15.9712426551675 -294.999245605352</t>
  </si>
  <si>
    <t>-661.367815370233 14.2204169980412 -378.314688480114</t>
  </si>
  <si>
    <t>-669.328191431917 12.8456718525488 -461.818392416206</t>
  </si>
  <si>
    <t>-679.081606799802 11.2475982247872 -584.077298788752</t>
  </si>
  <si>
    <t>-666.687339418021 15.7985459695849 -661.316430049987</t>
  </si>
  <si>
    <t>-677.681136059832 43.1770229410445 -530.6097393403</t>
  </si>
  <si>
    <t>-667.225527761104 197.06231024709 -507.214489352877</t>
  </si>
  <si>
    <t>-704.607611955889 240.751634674564 -231.03991268465</t>
  </si>
  <si>
    <t>-486.174070347914 178.988142284509 -181.840254747588</t>
  </si>
  <si>
    <t>-627.7416810337 114.400135175948 -97.5257015363452</t>
  </si>
  <si>
    <t>-640.289639707965 135.038552911171 317.346832525327</t>
  </si>
  <si>
    <t>-670.504140765205 183.098459962214 776.942134369271</t>
  </si>
  <si>
    <t>-519.453078922188 187.60927840257 832.142297526833</t>
  </si>
  <si>
    <t>-612.578019149231 -83.2982696135441 321.124577236049</t>
  </si>
  <si>
    <t>-656.4865176309 -107.672402552734 781.55868607567</t>
  </si>
  <si>
    <t>-502.094335455653 -117.708877442969 825.673819910083</t>
  </si>
  <si>
    <t>9763-20170724T115638.225810200.bin</t>
  </si>
  <si>
    <t>-618.920887973261 22.3546106578017 -94.2143045212223</t>
  </si>
  <si>
    <t>-639.380992472772 18.3745514136735 -202.948193406479</t>
  </si>
  <si>
    <t>-651.389768309411 16.0714888493364 -295.015051949807</t>
  </si>
  <si>
    <t>-661.086261928177 14.3197458267352 -378.328051121165</t>
  </si>
  <si>
    <t>-669.06429021003 12.9493734539255 -461.830145363541</t>
  </si>
  <si>
    <t>-678.840726180149 11.3635004854539 -584.087323372618</t>
  </si>
  <si>
    <t>-666.434156728336 15.8900799914441 -661.325923072735</t>
  </si>
  <si>
    <t>-677.45752365316 43.28508413913 -530.614570590668</t>
  </si>
  <si>
    <t>-667.16823516512 197.190073714951 -507.262007148289</t>
  </si>
  <si>
    <t>-706.451820163744 241.201288825142 -231.402719738434</t>
  </si>
  <si>
    <t>-488.196057992206 179.49850094572 -181.345629370168</t>
  </si>
  <si>
    <t>-627.40948700464 114.54594175893 -97.5672598093548</t>
  </si>
  <si>
    <t>-640.079696910008 135.081801344201 317.306673712849</t>
  </si>
  <si>
    <t>-670.514332219405 183.161054632788 776.868524255382</t>
  </si>
  <si>
    <t>-519.469101113678 187.453301363265 832.102040366185</t>
  </si>
  <si>
    <t>-612.352573777186 -83.1757605877553 321.122322672387</t>
  </si>
  <si>
    <t>-656.442686085599 -107.68948840437 781.538091337667</t>
  </si>
  <si>
    <t>-502.076689914686 -118.059008436056 825.667883239304</t>
  </si>
  <si>
    <t>9763-20170724T115638.257896900.bin</t>
  </si>
  <si>
    <t>-618.774635696597 22.4171993604282 -94.2203319605972</t>
  </si>
  <si>
    <t>-639.263116883067 18.41351044461 -202.948009557668</t>
  </si>
  <si>
    <t>-651.270854246689 16.094359034332 -295.014633804765</t>
  </si>
  <si>
    <t>-660.956375409248 14.3295412231553 -378.328552464619</t>
  </si>
  <si>
    <t>-668.913505924393 12.9480970408465 -461.832572813363</t>
  </si>
  <si>
    <t>-678.648392139926 11.3487076592794 -584.092949788061</t>
  </si>
  <si>
    <t>-666.230061873541 15.867284684336 -661.330054545747</t>
  </si>
  <si>
    <t>-677.31781004332 43.2730762279543 -530.620381202358</t>
  </si>
  <si>
    <t>-667.204816258848 197.199443808435 -507.291991673252</t>
  </si>
  <si>
    <t>-707.285811113572 241.356079524019 -231.570647404037</t>
  </si>
  <si>
    <t>-489.070821368523 179.838935949486 -181.108823624533</t>
  </si>
  <si>
    <t>-627.327291885606 114.588023929017 -97.5822777145047</t>
  </si>
  <si>
    <t>-640.014041589369 135.103565666253 317.292118846918</t>
  </si>
  <si>
    <t>-670.533601231275 183.145793339546 776.852060036883</t>
  </si>
  <si>
    <t>-519.48980169353 187.472506388146 832.086821760394</t>
  </si>
  <si>
    <t>-612.211635349922 -83.0425740395292 321.1349173542</t>
  </si>
  <si>
    <t>-656.388195982498 -107.677686796183 781.537823568427</t>
  </si>
  <si>
    <t>-502.018680179192 -117.741484706139 825.726018414499</t>
  </si>
  <si>
    <t>9763-20170724T115638.325081800.bin</t>
  </si>
  <si>
    <t>-618.534342251094 22.4407533534816 -94.1957035951593</t>
  </si>
  <si>
    <t>-639.079040026628 18.394481149794 -202.911091525277</t>
  </si>
  <si>
    <t>-651.064016020474 16.0486628160652 -294.98018155464</t>
  </si>
  <si>
    <t>-660.700521197852 14.2624523124427 -378.299322689907</t>
  </si>
  <si>
    <t>-668.580228445899 12.8637816600176 -461.810270747347</t>
  </si>
  <si>
    <t>-678.17076354857 11.2440816201574 -584.081793662208</t>
  </si>
  <si>
    <t>-665.719993087297 15.7416343529487 -661.31499800846</t>
  </si>
  <si>
    <t>-676.977613451522 43.1702316449532 -530.607154336696</t>
  </si>
  <si>
    <t>-667.213585293453 197.110391309291 -507.264952880621</t>
  </si>
  <si>
    <t>-708.702350209282 241.394288698779 -231.77243198318</t>
  </si>
  <si>
    <t>-490.523313762507 180.416634662303 -180.506718437514</t>
  </si>
  <si>
    <t>-627.315190875311 114.621049687206 -97.5845453252263</t>
  </si>
  <si>
    <t>-639.984740249711 135.065309814149 317.29386161261</t>
  </si>
  <si>
    <t>-670.578375458908 183.074326276821 776.852223063096</t>
  </si>
  <si>
    <t>-519.534720764249 187.513360251825 832.07853587709</t>
  </si>
  <si>
    <t>-611.908949170305 -82.7843587375405 321.179005542474</t>
  </si>
  <si>
    <t>-656.207152349495 -107.698961922983 781.557636689849</t>
  </si>
  <si>
    <t>-501.912847174281 -117.813631505555 825.996159959702</t>
  </si>
  <si>
    <t>9763-20170724T115638.357166400.bin</t>
  </si>
  <si>
    <t>-618.453983402353 22.4630926614209 -94.1677785075221</t>
  </si>
  <si>
    <t>-639.022286171195 18.4024364201236 -202.878202858683</t>
  </si>
  <si>
    <t>-651.003184244596 16.0541301392959 -294.947619006732</t>
  </si>
  <si>
    <t>-660.626364943423 14.2686492321477 -378.268220992624</t>
  </si>
  <si>
    <t>-668.483173743869 12.8744734573754 -461.781545082341</t>
  </si>
  <si>
    <t>-678.029667827965 11.2658479091558 -584.056709969657</t>
  </si>
  <si>
    <t>-665.57818300746 15.7554108600823 -661.290232953831</t>
  </si>
  <si>
    <t>-676.899621441435 43.1829654153851 -530.575246618731</t>
  </si>
  <si>
    <t>-667.365923221974 197.139181368258 -507.22416702174</t>
  </si>
  <si>
    <t>-709.524151826731 241.475057140889 -231.841477962901</t>
  </si>
  <si>
    <t>-491.331143714986 180.792281939646 -180.286062323645</t>
  </si>
  <si>
    <t>-627.359763292035 114.62317381354 -97.5647125353182</t>
  </si>
  <si>
    <t>-639.999237909278 135.069793873869 317.314479712772</t>
  </si>
  <si>
    <t>-670.588374998664 183.084176032183 776.86755120815</t>
  </si>
  <si>
    <t>-519.541509577193 187.519420022144 832.08534512642</t>
  </si>
  <si>
    <t>-611.762380508964 -82.6504916328227 321.207698060791</t>
  </si>
  <si>
    <t>-656.071265646153 -107.694859692604 781.572520584429</t>
  </si>
  <si>
    <t>-501.814279067277 -117.46716072973 826.216718739471</t>
  </si>
  <si>
    <t>9763-20170724T115638.425878400.bin</t>
  </si>
  <si>
    <t>-618.370715917949 22.4381590288499 -94.104956837069</t>
  </si>
  <si>
    <t>-638.991981727519 18.3519984231662 -202.804355229457</t>
  </si>
  <si>
    <t>-650.951411641017 16.0148237499718 -294.876870354997</t>
  </si>
  <si>
    <t>-660.528431272169 14.251936565094 -378.203424501479</t>
  </si>
  <si>
    <t>-668.312433189828 12.8947290064398 -461.724104916839</t>
  </si>
  <si>
    <t>-677.723461612796 11.3561476293162 -584.010600489036</t>
  </si>
  <si>
    <t>-665.264349490821 15.8575334905456 -661.242234990157</t>
  </si>
  <si>
    <t>-676.748709640504 43.2331758937894 -530.502083483848</t>
  </si>
  <si>
    <t>-667.955652819327 197.237381838324 -507.210356220206</t>
  </si>
  <si>
    <t>-711.352301323606 241.584260281499 -232.021938111775</t>
  </si>
  <si>
    <t>-493.165949094664 181.36639459915 -179.896545774214</t>
  </si>
  <si>
    <t>-627.518937349869 114.600895888246 -97.5014259636898</t>
  </si>
  <si>
    <t>-640.014005131406 135.023948203431 317.383314547433</t>
  </si>
  <si>
    <t>-670.614187918718 183.090605645911 776.93240314131</t>
  </si>
  <si>
    <t>-519.556990633999 187.436742803603 832.128932457486</t>
  </si>
  <si>
    <t>-611.477903815384 -82.5047385756977 321.283575104484</t>
  </si>
  <si>
    <t>-655.749372386459 -107.76684698524 781.633085826957</t>
  </si>
  <si>
    <t>-501.630851975727 -117.360877878982 826.791087777778</t>
  </si>
  <si>
    <t>9763-20170724T115638.459974700.bin</t>
  </si>
  <si>
    <t>-618.37529451969 22.3471045279252 -94.0632927656144</t>
  </si>
  <si>
    <t>-639.001585784679 18.2601688307377 -202.761702456912</t>
  </si>
  <si>
    <t>-650.904889302045 15.9418237425095 -294.841892239324</t>
  </si>
  <si>
    <t>-660.4067874763 14.2038278484124 -378.177543662565</t>
  </si>
  <si>
    <t>-668.091395987247 12.879735003622 -461.708003685166</t>
  </si>
  <si>
    <t>-677.330335376302 11.3994153185527 -584.00828819124</t>
  </si>
  <si>
    <t>-664.827713776313 15.9262068072235 -661.23143346789</t>
  </si>
  <si>
    <t>-676.470447572609 43.2469539563633 -530.480375901513</t>
  </si>
  <si>
    <t>-667.888961826117 197.261055820188 -507.128104235077</t>
  </si>
  <si>
    <t>-712.011980914516 241.595581653716 -232.053289905466</t>
  </si>
  <si>
    <t>-493.860097570528 181.5140884547 -179.627013018569</t>
  </si>
  <si>
    <t>-627.604459993117 114.499961324653 -97.4529046968267</t>
  </si>
  <si>
    <t>-640.020014578819 134.974808607039 317.43170279394</t>
  </si>
  <si>
    <t>-670.622546186976 183.09098116835 776.974884350348</t>
  </si>
  <si>
    <t>-519.562746980883 187.43445523494 832.164503616197</t>
  </si>
  <si>
    <t>-611.354771691956 -82.5157028678789 321.328290507976</t>
  </si>
  <si>
    <t>-655.543200576713 -107.825168739334 781.687013840837</t>
  </si>
  <si>
    <t>-501.545149542075 -117.769750734875 827.179035464049</t>
  </si>
  <si>
    <t>9763-20170724T115638.527653600.bin</t>
  </si>
  <si>
    <t>-618.406631632927 22.1905969124971 -93.9445653236522</t>
  </si>
  <si>
    <t>-638.993772105962 18.1050905409161 -202.65054808214</t>
  </si>
  <si>
    <t>-650.77613532248 15.8062806072771 -294.746803562299</t>
  </si>
  <si>
    <t>-660.13338814524 14.0922583207414 -378.099335167757</t>
  </si>
  <si>
    <t>-667.637789278947 12.7999850727826 -461.646643361858</t>
  </si>
  <si>
    <t>-676.574311775122 11.3749320787572 -583.970084911889</t>
  </si>
  <si>
    <t>-663.994805691879 15.9656881600604 -661.176951804945</t>
  </si>
  <si>
    <t>-675.906435169617 43.1919778796041 -530.421401131437</t>
  </si>
  <si>
    <t>-667.882603281923 197.232656385258 -507.059456038845</t>
  </si>
  <si>
    <t>-713.429011073142 241.589937476612 -232.220264768761</t>
  </si>
  <si>
    <t>-495.499136160365 181.480469203117 -178.910363782516</t>
  </si>
  <si>
    <t>-627.840760630225 114.301266041572 -97.3238472572228</t>
  </si>
  <si>
    <t>-640.106907065762 134.843368188164 317.56190056895</t>
  </si>
  <si>
    <t>-670.652522407164 183.010198697965 777.089233816758</t>
  </si>
  <si>
    <t>-519.589463069445 187.468346042442 832.260728183643</t>
  </si>
  <si>
    <t>-611.153507771175 -82.5792872999041 321.427336065592</t>
  </si>
  <si>
    <t>-655.082781449439 -107.955281456389 781.81180779656</t>
  </si>
  <si>
    <t>-501.29863321413 -117.5752539151 828.090451213949</t>
  </si>
  <si>
    <t>9763-20170724T115638.560741800.bin</t>
  </si>
  <si>
    <t>-618.435993984446 22.0753387655795 -93.8826895743032</t>
  </si>
  <si>
    <t>-638.991914504383 17.998488802167 -202.594861803676</t>
  </si>
  <si>
    <t>-650.719595241571 15.7157592208496 -294.698552190685</t>
  </si>
  <si>
    <t>-660.015896543699 14.0196683596253 -378.058294222967</t>
  </si>
  <si>
    <t>-667.447769315036 12.7490587509039 -461.612331029728</t>
  </si>
  <si>
    <t>-676.265666128738 11.3597486577833 -583.9448221963</t>
  </si>
  <si>
    <t>-663.627113240069 15.9910622355198 -661.139591965257</t>
  </si>
  <si>
    <t>-675.672552184741 43.158892406434 -530.384414132359</t>
  </si>
  <si>
    <t>-667.83044623416 197.203139445877 -506.993236143167</t>
  </si>
  <si>
    <t>-714.189183213715 241.614881876654 -232.298776309411</t>
  </si>
  <si>
    <t>-496.438910044107 181.328809952669 -178.456941303531</t>
  </si>
  <si>
    <t>-627.971325038732 114.16672259356 -97.2543601163389</t>
  </si>
  <si>
    <t>-640.181377198043 134.783380137147 317.629318111408</t>
  </si>
  <si>
    <t>-670.652283238618 183.021720738365 777.15170711528</t>
  </si>
  <si>
    <t>-519.589284599685 187.482684040062 832.323100495954</t>
  </si>
  <si>
    <t>-611.085020047683 -82.6372784789578 321.483417228632</t>
  </si>
  <si>
    <t>-654.944780671926 -107.959198405717 781.877763129286</t>
  </si>
  <si>
    <t>-501.205211224187 -117.3139920127 828.358503704242</t>
  </si>
  <si>
    <t>9763-20170724T115638.624913500.bin</t>
  </si>
  <si>
    <t>-618.620638623295 21.8400203609797 -93.7973064777309</t>
  </si>
  <si>
    <t>-639.123313259025 17.7687507707474 -202.519783798247</t>
  </si>
  <si>
    <t>-650.795127112255 15.5250350466586 -294.631510335568</t>
  </si>
  <si>
    <t>-660.036515281232 13.8770620043131 -377.998255627938</t>
  </si>
  <si>
    <t>-667.40919723418 12.6686188583799 -461.558444133338</t>
  </si>
  <si>
    <t>-676.135862100141 11.3860869598016 -583.898684759955</t>
  </si>
  <si>
    <t>-663.400428371982 16.1198595001983 -661.071239368159</t>
  </si>
  <si>
    <t>-675.640795218197 43.1321269932716 -530.305941368023</t>
  </si>
  <si>
    <t>-668.226981856138 197.18411520472 -506.832420572808</t>
  </si>
  <si>
    <t>-716.056308865006 241.361776686515 -232.35246896391</t>
  </si>
  <si>
    <t>-498.554629238199 181.036571918484 -177.558120161205</t>
  </si>
  <si>
    <t>-628.262830731132 113.842821734616 -97.1440813665145</t>
  </si>
  <si>
    <t>-640.355939935702 134.679017804348 317.732044973042</t>
  </si>
  <si>
    <t>-670.642424006462 183.061991008826 777.247345545429</t>
  </si>
  <si>
    <t>-519.580116627753 187.466335771624 832.425286417921</t>
  </si>
  <si>
    <t>-611.173903101606 -82.8460532328502 321.522287145802</t>
  </si>
  <si>
    <t>-654.930986161347 -107.938136269313 781.875407676317</t>
  </si>
  <si>
    <t>-501.189141336962 -117.069470106164 828.393018096666</t>
  </si>
  <si>
    <t>9763-20170724T115638.656998900.bin</t>
  </si>
  <si>
    <t>-618.757864415611 21.7181204599053 -93.772369170307</t>
  </si>
  <si>
    <t>-639.264950994311 17.6547964197566 -202.49421429863</t>
  </si>
  <si>
    <t>-650.917912617503 15.4305062634107 -294.608784336751</t>
  </si>
  <si>
    <t>-660.133255899999 13.8047876219227 -377.978815698372</t>
  </si>
  <si>
    <t>-667.470784927181 12.6241773347808 -461.542622531783</t>
  </si>
  <si>
    <t>-676.136204904751 11.3883554604961 -583.887609675155</t>
  </si>
  <si>
    <t>-663.341450576742 16.1720495519642 -661.047450055427</t>
  </si>
  <si>
    <t>-675.694652831029 43.1110774395488 -530.280575525682</t>
  </si>
  <si>
    <t>-668.522149407452 197.168553190389 -506.737421784483</t>
  </si>
  <si>
    <t>-717.033617955868 241.137499183292 -232.343633906422</t>
  </si>
  <si>
    <t>-499.60334660435 181.077997175054 -176.976947785284</t>
  </si>
  <si>
    <t>-628.458762798564 113.704346576669 -97.1051419582902</t>
  </si>
  <si>
    <t>-640.413174502905 134.617798444156 317.771094107467</t>
  </si>
  <si>
    <t>-670.645329945332 183.036207050848 777.286922501626</t>
  </si>
  <si>
    <t>-519.584638054377 187.488548016921 832.465452939079</t>
  </si>
  <si>
    <t>-611.205215323008 -82.9316892827671 321.518507511171</t>
  </si>
  <si>
    <t>-654.872468415046 -107.983251818694 781.876510825739</t>
  </si>
  <si>
    <t>-501.152026065011 -116.965501164572 828.493655613168</t>
  </si>
  <si>
    <t>9763-20170724T115638.725737700.bin</t>
  </si>
  <si>
    <t>-618.975021100415 21.3835983288805 -93.739631573669</t>
  </si>
  <si>
    <t>-639.508454434057 17.3187934607145 -202.456610133732</t>
  </si>
  <si>
    <t>-651.107539272432 15.1577847812746 -294.579372665808</t>
  </si>
  <si>
    <t>-660.243531748836 13.6147554967511 -377.959693522908</t>
  </si>
  <si>
    <t>-667.471126996882 12.5434372551872 -461.534652658834</t>
  </si>
  <si>
    <t>-675.942191765158 11.4972898715232 -583.895093405615</t>
  </si>
  <si>
    <t>-663.008507145246 16.4187470334946 -661.02295385358</t>
  </si>
  <si>
    <t>-675.64473022164 43.1305590694922 -530.234167433641</t>
  </si>
  <si>
    <t>-668.879330304977 197.172629995023 -506.49008615411</t>
  </si>
  <si>
    <t>-718.815577128022 240.613277318966 -232.26783733911</t>
  </si>
  <si>
    <t>-501.513017246009 181.312410682888 -175.597362644996</t>
  </si>
  <si>
    <t>-628.784598809022 113.342322854618 -97.0348854587647</t>
  </si>
  <si>
    <t>-640.50797222912 134.46520530475 317.837389572025</t>
  </si>
  <si>
    <t>-670.64574420458 183.014351985024 777.36180246979</t>
  </si>
  <si>
    <t>-519.582965945689 187.507659867928 832.531304772699</t>
  </si>
  <si>
    <t>-611.185041608924 -83.1141794576899 321.543028376248</t>
  </si>
  <si>
    <t>-654.72775776691 -108.036469202804 781.921931347323</t>
  </si>
  <si>
    <t>-501.076222304297 -116.985455026251 828.772170808916</t>
  </si>
  <si>
    <t>9763-20170724T115638.790458100.bin</t>
  </si>
  <si>
    <t>-619.193476922591 21.0824419533826 -93.688541762253</t>
  </si>
  <si>
    <t>-639.724003357991 17.0158753621897 -202.405884341896</t>
  </si>
  <si>
    <t>-651.274311985117 14.9371019764224 -294.536757302237</t>
  </si>
  <si>
    <t>-660.347427589673 13.5011564366671 -377.925921361632</t>
  </si>
  <si>
    <t>-667.493392315523 12.5710002253263 -461.509500388739</t>
  </si>
  <si>
    <t>-675.824706834155 11.7687259417964 -583.881388741477</t>
  </si>
  <si>
    <t>-662.783335836388 16.8574379926004 -660.98019636898</t>
  </si>
  <si>
    <t>-675.647555614456 43.2884193668037 -530.153128701101</t>
  </si>
  <si>
    <t>-669.378636609595 197.313028070532 -506.168658785475</t>
  </si>
  <si>
    <t>-720.553014474997 240.298553718172 -232.102920760693</t>
  </si>
  <si>
    <t>-503.339295699242 181.970951327705 -174.097501306413</t>
  </si>
  <si>
    <t>-629.186654676807 113.010380824947 -96.9659989003171</t>
  </si>
  <si>
    <t>-640.611983037871 134.322248218083 317.904871357648</t>
  </si>
  <si>
    <t>-670.653728614409 182.9669917589 777.433652161572</t>
  </si>
  <si>
    <t>-519.586819403255 187.511640760297 832.587537936479</t>
  </si>
  <si>
    <t>-611.129812983693 -83.2531921326647 321.584567577333</t>
  </si>
  <si>
    <t>-654.504211459076 -108.105395755371 781.983116916852</t>
  </si>
  <si>
    <t>-500.960034310753 -116.887702957804 829.215313052243</t>
  </si>
  <si>
    <t>9763-20170724T115638.822556100.bin</t>
  </si>
  <si>
    <t>-619.306794394339 20.9601063618793 -93.652699843365</t>
  </si>
  <si>
    <t>-639.830820711453 16.8928562209314 -202.371169224981</t>
  </si>
  <si>
    <t>-651.348417014002 14.863080675208 -294.507313728137</t>
  </si>
  <si>
    <t>-660.38095910567 13.4908724848544 -377.901895119038</t>
  </si>
  <si>
    <t>-667.475454639306 12.6444191467804 -461.490782152877</t>
  </si>
  <si>
    <t>-675.719517754897 11.9866815281234 -583.869369925711</t>
  </si>
  <si>
    <t>-662.634048975371 17.1742900535903 -660.954294270806</t>
  </si>
  <si>
    <t>-675.61230564412 43.4393651494429 -530.101719827567</t>
  </si>
  <si>
    <t>-669.529700139815 197.448964677032 -505.979883771778</t>
  </si>
  <si>
    <t>-721.333951652681 240.244143316188 -232.002706443758</t>
  </si>
  <si>
    <t>-504.157944381791 182.22967576106 -173.54396804804</t>
  </si>
  <si>
    <t>-629.390287756961 112.857652974169 -96.9188672281106</t>
  </si>
  <si>
    <t>-640.692260572152 134.283813569882 317.949545416362</t>
  </si>
  <si>
    <t>-670.646668500105 182.999992515929 777.479517407461</t>
  </si>
  <si>
    <t>-519.572988541525 187.486016112876 832.619888304998</t>
  </si>
  <si>
    <t>-611.093848179236 -83.2971108596062 321.615539226462</t>
  </si>
  <si>
    <t>-654.399397396524 -108.121601740625 782.021949123225</t>
  </si>
  <si>
    <t>-500.896198149786 -116.678706710677 829.428425755329</t>
  </si>
  <si>
    <t>9763-20170724T115638.948895300.bin</t>
  </si>
  <si>
    <t>-619.40441164067 20.8590688368113 -93.6218973496884</t>
  </si>
  <si>
    <t>-639.914475817052 16.7929490876729 -202.343203640472</t>
  </si>
  <si>
    <t>-651.407237012265 14.8180996395968 -294.483511709526</t>
  </si>
  <si>
    <t>-660.412115368688 13.5166650488882 -377.882253653429</t>
  </si>
  <si>
    <t>-667.473638280622 12.7631220128415 -461.474805340049</t>
  </si>
  <si>
    <t>-675.663899809819 12.265344606086 -583.857834062398</t>
  </si>
  <si>
    <t>-662.550113709716 17.5598883541809 -660.930474858781</t>
  </si>
  <si>
    <t>-675.609706513189 43.644372631092 -530.047068745651</t>
  </si>
  <si>
    <t>-669.701943685615 197.635914986466 -505.774508670598</t>
  </si>
  <si>
    <t>-722.097737799767 240.307972378498 -231.890583086377</t>
  </si>
  <si>
    <t>-504.959367363096 182.558044334636 -173.031468292778</t>
  </si>
  <si>
    <t>-629.540551648116 112.751833190259 -96.87902187752</t>
  </si>
  <si>
    <t>-640.779207175225 134.252325974589 317.987257499342</t>
  </si>
  <si>
    <t>-670.640356872352 183.052130806132 777.523727442668</t>
  </si>
  <si>
    <t>-519.558361195564 187.407417927375 832.651709507499</t>
  </si>
  <si>
    <t>-611.077554072368 -83.3493171040047 321.640436209021</t>
  </si>
  <si>
    <t>-654.325572161898 -108.133976018764 782.054508472971</t>
  </si>
  <si>
    <t>-500.853324625178 -116.553976659051 829.585448204409</t>
  </si>
  <si>
    <t>9763-20170724T115638.959915000.bin</t>
  </si>
  <si>
    <t>-619.793720431052 20.4439838305211 -93.5433625458055</t>
  </si>
  <si>
    <t>-640.206663364652 16.3876613071952 -202.283146676145</t>
  </si>
  <si>
    <t>-651.653903819559 14.5693239133961 -294.432531591818</t>
  </si>
  <si>
    <t>-660.632498330545 13.4678888532712 -377.836952206841</t>
  </si>
  <si>
    <t>-667.683158089196 12.9750250987834 -461.432337438003</t>
  </si>
  <si>
    <t>-675.874717301879 12.9255940182611 -583.816247083598</t>
  </si>
  <si>
    <t>-662.727865140198 18.5212661109392 -660.862084142134</t>
  </si>
  <si>
    <t>-675.923323359019 44.0953082463473 -529.884006681653</t>
  </si>
  <si>
    <t>-670.156827885001 197.9556315797 -504.752315257584</t>
  </si>
  <si>
    <t>-724.180441746641 240.016074327684 -231.090180080845</t>
  </si>
  <si>
    <t>-507.086998274938 183.137734735701 -171.225061994749</t>
  </si>
  <si>
    <t>-630.077153262262 112.181056816106 -96.7560459011274</t>
  </si>
  <si>
    <t>-641.122600458007 133.973752646598 318.100197683688</t>
  </si>
  <si>
    <t>-670.66830823073 182.941486777466 777.631457726602</t>
  </si>
  <si>
    <t>-519.585167781136 187.564772092074 832.734442371774</t>
  </si>
  <si>
    <t>-611.241521530882 -83.7438786719663 321.664961343194</t>
  </si>
  <si>
    <t>-654.304787995892 -108.194648487012 782.079111606424</t>
  </si>
  <si>
    <t>-500.854154810401 -116.704712325674 829.663866963701</t>
  </si>
  <si>
    <t>9763-20170724T115639.024127300.bin</t>
  </si>
  <si>
    <t>-620.05746210106 20.2913593101125 -93.516247842829</t>
  </si>
  <si>
    <t>-640.431184341348 16.2470038508513 -202.263925822899</t>
  </si>
  <si>
    <t>-651.872372648239 14.5445720571765 -294.416229545764</t>
  </si>
  <si>
    <t>-660.856575663609 13.5896675209212 -377.821832058117</t>
  </si>
  <si>
    <t>-667.924286420023 13.2863721964195 -461.416728565718</t>
  </si>
  <si>
    <t>-676.153554244982 13.5621967818956 -583.797730656663</t>
  </si>
  <si>
    <t>-663.012979255322 19.3573234208106 -660.829890326744</t>
  </si>
  <si>
    <t>-676.25958668449 44.5796044593758 -529.777781938211</t>
  </si>
  <si>
    <t>-670.333437592881 198.338827355764 -504.04464874809</t>
  </si>
  <si>
    <t>-725.689624558966 239.966926859875 -230.582831415245</t>
  </si>
  <si>
    <t>-508.707531214324 183.532125336589 -169.899805218252</t>
  </si>
  <si>
    <t>-630.438271589068 111.973440040798 -96.697611732211</t>
  </si>
  <si>
    <t>-641.362785469743 133.939473016204 318.152679314735</t>
  </si>
  <si>
    <t>-670.661257106962 183.020986270627 777.677776505016</t>
  </si>
  <si>
    <t>-519.570317861354 187.591332538964 832.763709642759</t>
  </si>
  <si>
    <t>-611.316154744699 -83.9020513888993 321.664893865436</t>
  </si>
  <si>
    <t>-654.291972700514 -108.247833876094 782.08659050876</t>
  </si>
  <si>
    <t>-500.859693434508 -116.883779341751 829.707850614107</t>
  </si>
  <si>
    <t>9763-20170724T115639.060220400.bin</t>
  </si>
  <si>
    <t>-620.174883479612 20.238199689587 -93.5034551452457</t>
  </si>
  <si>
    <t>-640.521002622346 16.1916344447225 -202.256258950179</t>
  </si>
  <si>
    <t>-651.938972895376 14.5363498286465 -294.412113290318</t>
  </si>
  <si>
    <t>-660.902249217346 13.6431690796003 -377.820686933907</t>
  </si>
  <si>
    <t>-667.949163432175 13.4216629133541 -461.417573690966</t>
  </si>
  <si>
    <t>-676.148339312597 13.8385608698102 -583.800261014448</t>
  </si>
  <si>
    <t>-662.994845906595 19.7121677202015 -660.824280381369</t>
  </si>
  <si>
    <t>-676.298733256879 44.7900140446577 -529.74257483227</t>
  </si>
  <si>
    <t>-670.543745899753 198.520190648437 -503.828521410367</t>
  </si>
  <si>
    <t>-726.466795620034 239.883023084107 -230.441831096172</t>
  </si>
  <si>
    <t>-509.499462365238 183.662363163643 -169.507913829351</t>
  </si>
  <si>
    <t>-630.599242819186 111.893107349233 -96.6822063062669</t>
  </si>
  <si>
    <t>-641.462095383672 133.911709198635 318.166907170811</t>
  </si>
  <si>
    <t>-670.663413556979 183.012925530018 777.698697253037</t>
  </si>
  <si>
    <t>-519.570215003086 187.570078503682 832.779608278051</t>
  </si>
  <si>
    <t>-611.322392640205 -83.9607817273163 321.666179026561</t>
  </si>
  <si>
    <t>-654.276857506865 -108.256376660172 782.093693400047</t>
  </si>
  <si>
    <t>-500.836700540304 -116.631841482478 829.736043000674</t>
  </si>
  <si>
    <t>9763-20170724T115639.124447900.bin</t>
  </si>
  <si>
    <t>-620.410370676737 20.180620081338 -93.4806254287356</t>
  </si>
  <si>
    <t>-640.70390512763 16.1423841189385 -202.243533965733</t>
  </si>
  <si>
    <t>-652.074355146952 14.5839823880046 -294.407079340925</t>
  </si>
  <si>
    <t>-660.993555931875 13.8134684330491 -377.82153165269</t>
  </si>
  <si>
    <t>-667.995523812913 13.7511126207614 -461.42240798322</t>
  </si>
  <si>
    <t>-676.128131076464 14.4413966429379 -583.808475002559</t>
  </si>
  <si>
    <t>-662.949324447795 20.453101473443 -660.817445529326</t>
  </si>
  <si>
    <t>-676.369439399358 45.2644268874692 -529.677888228179</t>
  </si>
  <si>
    <t>-671.156357985813 198.974237758116 -503.516289873755</t>
  </si>
  <si>
    <t>-728.238260727733 239.706527899634 -230.274579261081</t>
  </si>
  <si>
    <t>-511.212804873782 183.984110134928 -169.090333922583</t>
  </si>
  <si>
    <t>-630.977769252481 111.801996090317 -96.6363934100706</t>
  </si>
  <si>
    <t>-641.690289525635 133.932677922365 318.210717841516</t>
  </si>
  <si>
    <t>-670.661774711597 183.072067156497 777.754529719021</t>
  </si>
  <si>
    <t>-519.560588332075 187.649097915309 832.811981218773</t>
  </si>
  <si>
    <t>-611.349623980777 -84.0568419748101 321.668253787964</t>
  </si>
  <si>
    <t>-654.226621795759 -108.298822738333 782.108636339517</t>
  </si>
  <si>
    <t>-500.824539287577 -116.868715853934 829.838931792273</t>
  </si>
  <si>
    <t>9763-20170724T115639.156552600.bin</t>
  </si>
  <si>
    <t>-620.499447254241 20.2103191273811 -93.4702350257136</t>
  </si>
  <si>
    <t>-640.786470938022 16.1638895664094 -202.234087399927</t>
  </si>
  <si>
    <t>-652.156381331566 14.6410897628875 -294.398276390224</t>
  </si>
  <si>
    <t>-661.077238462145 13.9194410428609 -377.813130646361</t>
  </si>
  <si>
    <t>-668.083194459781 13.923601173454 -461.413658705683</t>
  </si>
  <si>
    <t>-676.224455973935 14.7304626439093 -583.798237258418</t>
  </si>
  <si>
    <t>-663.05280776053 20.8122979772172 -660.803049359341</t>
  </si>
  <si>
    <t>-676.505894087186 45.4965410320065 -529.635412270021</t>
  </si>
  <si>
    <t>-671.684311994176 199.2093816889 -503.416222705878</t>
  </si>
  <si>
    <t>-729.174930863488 239.553702937711 -230.202441993022</t>
  </si>
  <si>
    <t>-512.074847015508 184.189436369045 -168.958071624085</t>
  </si>
  <si>
    <t>-631.116764765936 111.833958088237 -96.6219314267902</t>
  </si>
  <si>
    <t>-641.765829757207 133.986173020715 318.22561357969</t>
  </si>
  <si>
    <t>-670.654619561355 183.119447501854 777.778903266161</t>
  </si>
  <si>
    <t>-519.545975024483 187.577381853211 832.825506274544</t>
  </si>
  <si>
    <t>-611.351874544367 -84.0423644749724 321.673660424424</t>
  </si>
  <si>
    <t>-654.21236950563 -108.303421249411 782.111977114332</t>
  </si>
  <si>
    <t>-500.816942702962 -116.84073545006 829.869464024653</t>
  </si>
  <si>
    <t>9763-20170724T115639.225735800.bin</t>
  </si>
  <si>
    <t>-620.690617764357 20.2874939319763 -93.4295178008782</t>
  </si>
  <si>
    <t>-640.992248258906 16.2261373779645 -202.189929571777</t>
  </si>
  <si>
    <t>-652.35551627757 14.7895498158248 -294.356333112885</t>
  </si>
  <si>
    <t>-661.262923955769 14.1848233246999 -377.773656387553</t>
  </si>
  <si>
    <t>-668.248501628482 14.3465506172802 -461.37581073013</t>
  </si>
  <si>
    <t>-676.352500785264 15.4295693914548 -583.760613336574</t>
  </si>
  <si>
    <t>-663.212283661614 21.7040251580684 -660.755222975945</t>
  </si>
  <si>
    <t>-676.742235310328 46.0618604588678 -529.522683254162</t>
  </si>
  <si>
    <t>-672.601622702167 199.759035091468 -503.097388741145</t>
  </si>
  <si>
    <t>-730.686769465206 239.551740507507 -229.928418801516</t>
  </si>
  <si>
    <t>-513.417936232494 184.827596746016 -168.707037937472</t>
  </si>
  <si>
    <t>-631.444627056045 111.878736063112 -96.5779684164459</t>
  </si>
  <si>
    <t>-641.890445842552 134.050714653954 318.273660490255</t>
  </si>
  <si>
    <t>-670.663246553731 183.11695255057 777.835453682376</t>
  </si>
  <si>
    <t>-519.547429016628 187.608415554737 832.85973183651</t>
  </si>
  <si>
    <t>-611.290684576185 -83.9200311911402 321.697248442438</t>
  </si>
  <si>
    <t>-654.144302345612 -108.297829339976 782.132592588922</t>
  </si>
  <si>
    <t>-500.751499889476 -116.290102676968 829.992796379981</t>
  </si>
  <si>
    <t>9763-20170724T115639.288902500.bin</t>
  </si>
  <si>
    <t>-620.829563680232 20.3149243507826 -93.4131142074365</t>
  </si>
  <si>
    <t>-641.126932157919 16.2223931204703 -202.173280404643</t>
  </si>
  <si>
    <t>-652.482404229226 14.8170710892809 -294.341208340664</t>
  </si>
  <si>
    <t>-661.381123015694 14.262337811801 -377.759566946696</t>
  </si>
  <si>
    <t>-668.356670835568 14.4973653359216 -461.362272822415</t>
  </si>
  <si>
    <t>-676.444740371446 15.7132102904775 -583.747209194497</t>
  </si>
  <si>
    <t>-663.355141987369 22.182670933302 -660.734303009093</t>
  </si>
  <si>
    <t>-676.914364667129 46.2770517202789 -529.471216740247</t>
  </si>
  <si>
    <t>-673.339055545241 199.968898484679 -502.938190804497</t>
  </si>
  <si>
    <t>-731.771886207113 239.448683870507 -229.798060961234</t>
  </si>
  <si>
    <t>-514.431188703027 185.101016606227 -168.496379421748</t>
  </si>
  <si>
    <t>-631.733285560327 111.875730056408 -96.5464879776179</t>
  </si>
  <si>
    <t>-642.057156423847 134.07253081975 318.306871585118</t>
  </si>
  <si>
    <t>-670.66372227384 183.13505164409 777.886894368396</t>
  </si>
  <si>
    <t>-519.537766038594 187.606437788565 832.884882877936</t>
  </si>
  <si>
    <t>-611.231179097037 -83.8371215649217 321.722713007207</t>
  </si>
  <si>
    <t>-654.11134374519 -108.358629479931 782.146945487248</t>
  </si>
  <si>
    <t>-500.769358462908 -116.785936573737 830.095289771863</t>
  </si>
  <si>
    <t>9763-20170724T115639.328009900.bin</t>
  </si>
  <si>
    <t>-620.854532423129 20.3668877483112 -93.3940223839734</t>
  </si>
  <si>
    <t>-641.150376545248 16.2662690386023 -202.154105503312</t>
  </si>
  <si>
    <t>-652.521633925298 14.8668156364622 -294.320158953805</t>
  </si>
  <si>
    <t>-661.441539251968 14.3217213000803 -377.736302021213</t>
  </si>
  <si>
    <t>-668.445255320771 14.5715080890882 -461.336673398502</t>
  </si>
  <si>
    <t>-676.582339547781 15.8145473223576 -583.71799514381</t>
  </si>
  <si>
    <t>-663.521456988646 22.3680733195104 -660.70283888573</t>
  </si>
  <si>
    <t>-677.065141272978 46.3618382765283 -529.432829885108</t>
  </si>
  <si>
    <t>-673.707920943156 200.055849582664 -502.875253046755</t>
  </si>
  <si>
    <t>-732.32770576661 239.635382037153 -229.789672564079</t>
  </si>
  <si>
    <t>-514.987223930099 185.282553550747 -168.491767288905</t>
  </si>
  <si>
    <t>-631.84260133843 111.907206327673 -96.5248650825199</t>
  </si>
  <si>
    <t>-642.111527825378 134.085204460794 318.33088230774</t>
  </si>
  <si>
    <t>-670.673546654675 183.101278616545 777.912658725243</t>
  </si>
  <si>
    <t>-519.547710014434 187.67124644549 832.902811573999</t>
  </si>
  <si>
    <t>-611.169206202023 -83.7691691019331 321.734466748994</t>
  </si>
  <si>
    <t>-654.084836732298 -108.336212245472 782.1522759757</t>
  </si>
  <si>
    <t>-500.737893351676 -116.455262127899 830.137899712882</t>
  </si>
  <si>
    <t>9763-20170724T115639.360096600.bin</t>
  </si>
  <si>
    <t>-620.848254226906 20.440032013496 -93.3685977023416</t>
  </si>
  <si>
    <t>-641.166258837007 16.3298034962431 -202.124311900859</t>
  </si>
  <si>
    <t>-652.576149113319 14.9271495048854 -294.285394035186</t>
  </si>
  <si>
    <t>-661.53900751356 14.3804939171669 -377.697065754377</t>
  </si>
  <si>
    <t>-668.593895857286 14.6307580157231 -461.293094893433</t>
  </si>
  <si>
    <t>-676.814934179142 15.8766071934544 -583.668741504943</t>
  </si>
  <si>
    <t>-663.792529965324 22.4977444019194 -660.654379981546</t>
  </si>
  <si>
    <t>-677.295639057894 46.4179207744717 -529.380204703098</t>
  </si>
  <si>
    <t>-674.206451287353 200.117909164185 -502.822938187215</t>
  </si>
  <si>
    <t>-732.857286020986 239.823655986864 -229.762323972691</t>
  </si>
  <si>
    <t>-515.515812971694 185.453972636697 -168.482979948188</t>
  </si>
  <si>
    <t>-631.896407744129 111.978540047948 -96.5010232219803</t>
  </si>
  <si>
    <t>-642.119962663281 134.141688906136 318.356616896385</t>
  </si>
  <si>
    <t>-670.656283163477 183.166748130169 777.93509201705</t>
  </si>
  <si>
    <t>-519.528734151414 187.711545853458 832.922722051138</t>
  </si>
  <si>
    <t>-611.099745736014 -83.7098244995243 321.745313725246</t>
  </si>
  <si>
    <t>-654.063824185366 -108.35792780824 782.160189280771</t>
  </si>
  <si>
    <t>-500.726955167963 -116.464919830157 830.180089043022</t>
  </si>
  <si>
    <t>9763-20170724T115639.429200400.bin</t>
  </si>
  <si>
    <t>-620.799290270655 20.563918545015 -93.3271484896529</t>
  </si>
  <si>
    <t>-641.212486617704 16.4405203435094 -202.064431031761</t>
  </si>
  <si>
    <t>-652.729672422035 15.0326777494815 -294.212107198865</t>
  </si>
  <si>
    <t>-661.800522396173 14.4832704939133 -377.612118656444</t>
  </si>
  <si>
    <t>-668.974836975352 14.7338539099087 -461.197873484231</t>
  </si>
  <si>
    <t>-677.383246881869 15.9839803826872 -583.560846047425</t>
  </si>
  <si>
    <t>-664.456255234216 22.7297419011668 -660.551691078957</t>
  </si>
  <si>
    <t>-677.844873792583 46.5149091218689 -529.266246758738</t>
  </si>
  <si>
    <t>-675.119568578605 200.223711458155 -502.719572691657</t>
  </si>
  <si>
    <t>-733.789312127914 239.877727398164 -229.65544653627</t>
  </si>
  <si>
    <t>-516.308354198682 185.78272357188 -168.628501056252</t>
  </si>
  <si>
    <t>-631.944158594981 112.102361428507 -96.4470904674845</t>
  </si>
  <si>
    <t>-642.05861739926 134.212247931162 318.416101770369</t>
  </si>
  <si>
    <t>-670.651675650642 183.178172012864 777.998850699663</t>
  </si>
  <si>
    <t>-519.518745005365 187.746268666808 832.969721994215</t>
  </si>
  <si>
    <t>-610.882271360688 -83.5143304359754 321.78218119758</t>
  </si>
  <si>
    <t>-654.026486441134 -108.350978707321 782.167817460939</t>
  </si>
  <si>
    <t>-500.687977917145 -116.070192841425 830.246156691021</t>
  </si>
  <si>
    <t>9763-20170724T115639.465296400.bin</t>
  </si>
  <si>
    <t>-620.765477378239 20.588372958631 -93.3074230980847</t>
  </si>
  <si>
    <t>-641.22640904725 16.4583696965533 -202.035423354981</t>
  </si>
  <si>
    <t>-652.795855192074 15.0386707595894 -294.176463273946</t>
  </si>
  <si>
    <t>-661.918843305758 14.4760689613038 -377.570665353095</t>
  </si>
  <si>
    <t>-669.150459154849 14.7113812013338 -461.151601506275</t>
  </si>
  <si>
    <t>-677.648228454974 15.937527173242 -583.508544771923</t>
  </si>
  <si>
    <t>-664.78300284007 22.72062375518 -660.506451295276</t>
  </si>
  <si>
    <t>-678.096489179384 46.4755816384477 -529.217885376881</t>
  </si>
  <si>
    <t>-675.58529759867 200.197104655338 -502.734294355202</t>
  </si>
  <si>
    <t>-734.299155541011 239.837133145095 -229.677693218352</t>
  </si>
  <si>
    <t>-516.780026811675 185.785416218238 -168.748439553307</t>
  </si>
  <si>
    <t>-631.922260691014 112.160359813591 -96.4280730719131</t>
  </si>
  <si>
    <t>-642.014246835466 134.226403137146 318.437970028553</t>
  </si>
  <si>
    <t>-670.652669003228 183.168354336893 778.023064951813</t>
  </si>
  <si>
    <t>-519.518762757743 187.766419229553 832.988781589363</t>
  </si>
  <si>
    <t>-610.775694409199 -83.4136155953838 321.803550314807</t>
  </si>
  <si>
    <t>-654.008682070096 -108.363328978524 782.172468075361</t>
  </si>
  <si>
    <t>-500.704154777721 -116.476336323456 830.294428968392</t>
  </si>
  <si>
    <t>9763-20170724T115639.525054100.bin</t>
  </si>
  <si>
    <t>-620.669060962635 20.5113467295751 -93.2798326305922</t>
  </si>
  <si>
    <t>-641.266933158109 16.3321653308228 -201.980221234301</t>
  </si>
  <si>
    <t>-652.956725914433 14.8758119797794 -294.105409187413</t>
  </si>
  <si>
    <t>-662.190532783308 14.281645275076 -377.487271002694</t>
  </si>
  <si>
    <t>-669.535235468474 14.4877562714457 -461.058411146199</t>
  </si>
  <si>
    <t>-678.200967016911 15.6739496633315 -583.40398936127</t>
  </si>
  <si>
    <t>-665.499506937247 22.5029065760466 -660.42502818595</t>
  </si>
  <si>
    <t>-678.6160349454 46.2240166140152 -529.119792483536</t>
  </si>
  <si>
    <t>-676.373348869368 199.971206379171 -502.74095209283</t>
  </si>
  <si>
    <t>-735.532027867247 239.821244698932 -229.810777507264</t>
  </si>
  <si>
    <t>-517.928415859143 185.657400960439 -169.284081190922</t>
  </si>
  <si>
    <t>-631.905508068057 112.1695573102 -96.398582053827</t>
  </si>
  <si>
    <t>-641.94422648191 134.178521382883 318.471819326319</t>
  </si>
  <si>
    <t>-670.652713176885 183.180909542905 778.068875746258</t>
  </si>
  <si>
    <t>-519.515216726948 187.847277070945 833.01876395458</t>
  </si>
  <si>
    <t>-610.643130079504 -83.2188244864756 321.846822987637</t>
  </si>
  <si>
    <t>-653.983954386734 -108.388360135265 782.186143746693</t>
  </si>
  <si>
    <t>-500.718709714026 -116.886705752174 830.366805970215</t>
  </si>
  <si>
    <t>9763-20170724T115639.563156200.bin</t>
  </si>
  <si>
    <t>-620.660247323808 20.4293108752308 -93.2717234140091</t>
  </si>
  <si>
    <t>-641.302096927659 16.2406158944277 -201.963317673951</t>
  </si>
  <si>
    <t>-653.030399564438 14.7700748063194 -294.083514751184</t>
  </si>
  <si>
    <t>-662.299437586184 14.160342681924 -377.461199712134</t>
  </si>
  <si>
    <t>-669.680065943613 14.3483795107668 -461.029299300602</t>
  </si>
  <si>
    <t>-678.398966443696 15.5056857977377 -583.371337013559</t>
  </si>
  <si>
    <t>-665.819863821862 22.3258296130757 -660.413298899417</t>
  </si>
  <si>
    <t>-678.811276673106 46.065819421259 -529.092858217341</t>
  </si>
  <si>
    <t>-676.682785604846 199.824564120266 -502.764802448427</t>
  </si>
  <si>
    <t>-736.278898509463 239.816318064851 -229.950726102668</t>
  </si>
  <si>
    <t>-518.707226941598 185.443929501942 -169.496140792017</t>
  </si>
  <si>
    <t>-631.957787306891 112.154495857187 -96.3853913001044</t>
  </si>
  <si>
    <t>-641.958337147437 134.144115984315 318.486958770547</t>
  </si>
  <si>
    <t>-670.649369657415 183.216785107162 778.088936454713</t>
  </si>
  <si>
    <t>-519.504539719574 187.778344902326 833.027671800561</t>
  </si>
  <si>
    <t>-610.588152964796 -83.1167547872051 321.85749957771</t>
  </si>
  <si>
    <t>-653.976588179741 -108.373805355953 782.194809170665</t>
  </si>
  <si>
    <t>-500.703857124329 -116.701734722371 830.38129369148</t>
  </si>
  <si>
    <t>9763-20170724T115639.625359200.bin</t>
  </si>
  <si>
    <t>-620.815411595085 20.2220890125279 -93.2452371154517</t>
  </si>
  <si>
    <t>-641.509176989126 16.0253799271379 -201.926635529439</t>
  </si>
  <si>
    <t>-653.286723195157 14.5306340579843 -294.040122500547</t>
  </si>
  <si>
    <t>-662.602289424573 13.8905028533202 -377.412385013078</t>
  </si>
  <si>
    <t>-670.03155522206 14.0406982562813 -460.97627294116</t>
  </si>
  <si>
    <t>-678.823904278952 15.1343881220757 -583.313702437792</t>
  </si>
  <si>
    <t>-666.513145655354 21.8524648040259 -660.407941144108</t>
  </si>
  <si>
    <t>-679.25515728674 45.7154866064084 -529.047169467183</t>
  </si>
  <si>
    <t>-677.44269119929 199.505084570311 -502.883909799418</t>
  </si>
  <si>
    <t>-737.787951421929 239.70232184411 -230.264688980433</t>
  </si>
  <si>
    <t>-520.301551173207 184.971725451933 -169.826603283266</t>
  </si>
  <si>
    <t>-632.295793467668 111.959356423044 -96.339676537046</t>
  </si>
  <si>
    <t>-642.097049307458 134.052259125264 318.53198539545</t>
  </si>
  <si>
    <t>-670.63681868646 183.258085814619 778.127099255803</t>
  </si>
  <si>
    <t>-519.48653291454 187.810155349337 833.051589989284</t>
  </si>
  <si>
    <t>-610.578196606577 -83.0673555614578 321.875800172172</t>
  </si>
  <si>
    <t>-653.992210392751 -108.349069900154 782.198645726911</t>
  </si>
  <si>
    <t>-500.705028765797 -116.463842600179 830.375427888021</t>
  </si>
  <si>
    <t>9763-20170724T115639.690339500.bin</t>
  </si>
  <si>
    <t>-621.155400811691 19.9041504852926 -93.2248623822915</t>
  </si>
  <si>
    <t>-641.88567346427 15.6933860543581 -201.898777324602</t>
  </si>
  <si>
    <t>-653.704940044944 14.155383684589 -294.006207242269</t>
  </si>
  <si>
    <t>-663.062364263942 13.4616840100161 -377.373500147589</t>
  </si>
  <si>
    <t>-670.537807226786 13.5450379940805 -460.933287516548</t>
  </si>
  <si>
    <t>-679.402491067743 14.5265128536109 -583.266305308946</t>
  </si>
  <si>
    <t>-667.365477465851 21.0991689498883 -660.4163388224</t>
  </si>
  <si>
    <t>-679.873603588063 45.1472328674436 -529.02256121732</t>
  </si>
  <si>
    <t>-678.565460104356 198.972210943412 -503.056115640606</t>
  </si>
  <si>
    <t>-739.550341106447 239.116763687869 -230.571483342085</t>
  </si>
  <si>
    <t>-522.113764791667 184.589946666117 -169.771065349518</t>
  </si>
  <si>
    <t>-632.838317681547 111.626046926488 -96.2935223161668</t>
  </si>
  <si>
    <t>-642.333243545313 133.950814087928 318.572771669508</t>
  </si>
  <si>
    <t>-670.624177872432 183.273579594616 778.16728636857</t>
  </si>
  <si>
    <t>-519.46589608369 187.730470371499 833.077504312828</t>
  </si>
  <si>
    <t>-610.695312267015 -83.1075339673694 321.868960664019</t>
  </si>
  <si>
    <t>-653.981046629378 -108.361967390395 782.204458098134</t>
  </si>
  <si>
    <t>-500.69661811872 -116.315120477354 830.417126572558</t>
  </si>
  <si>
    <t>9763-20170724T115639.725430900.bin</t>
  </si>
  <si>
    <t>-621.380725949949 19.689035477649 -93.2113709884746</t>
  </si>
  <si>
    <t>-642.135440910388 15.4542232089364 -201.879690635833</t>
  </si>
  <si>
    <t>-653.969723520403 13.8726088832975 -293.984431561779</t>
  </si>
  <si>
    <t>-663.338137982081 13.1289822392357 -377.349999432201</t>
  </si>
  <si>
    <t>-670.822132045234 13.1523566559999 -460.90912340145</t>
  </si>
  <si>
    <t>-679.696455235216 14.0351806661524 -583.242206252979</t>
  </si>
  <si>
    <t>-667.776583008657 20.5310076592043 -660.416938459593</t>
  </si>
  <si>
    <t>-680.20202522733 44.6942157596302 -529.02030827727</t>
  </si>
  <si>
    <t>-679.232371162822 198.551556561411 -503.219376861746</t>
  </si>
  <si>
    <t>-740.557237439865 238.592588438783 -230.795845418908</t>
  </si>
  <si>
    <t>-523.184988555616 184.299357483376 -169.558052396109</t>
  </si>
  <si>
    <t>-633.201160115886 111.406344983947 -96.2750526595257</t>
  </si>
  <si>
    <t>-642.516062408305 133.87524999297 318.587541191748</t>
  </si>
  <si>
    <t>-670.618592528764 183.293780744646 778.184069953929</t>
  </si>
  <si>
    <t>-519.453410440352 187.722081258547 833.077690918915</t>
  </si>
  <si>
    <t>-610.784009505344 -83.1415540927633 321.86653705131</t>
  </si>
  <si>
    <t>-653.977564708065 -108.347270560165 782.20988052638</t>
  </si>
  <si>
    <t>-500.693892757069 -116.200346195946 830.4413765746</t>
  </si>
  <si>
    <t>9763-20170724T115639.757524700.bin</t>
  </si>
  <si>
    <t>-621.640540861221 19.4148291726974 -93.2086718151361</t>
  </si>
  <si>
    <t>-642.41206624246 15.1616833855637 -201.873024155311</t>
  </si>
  <si>
    <t>-654.268254239924 13.5362273923085 -293.974218844731</t>
  </si>
  <si>
    <t>-663.659339714308 12.7399265593037 -377.336731191412</t>
  </si>
  <si>
    <t>-671.168872039751 12.6985865898059 -460.893505150778</t>
  </si>
  <si>
    <t>-680.083744143274 13.4731081706993 -583.224482120207</t>
  </si>
  <si>
    <t>-668.282291118505 19.8964498082528 -660.423363504224</t>
  </si>
  <si>
    <t>-680.613714727192 44.1739152929315 -529.026454419537</t>
  </si>
  <si>
    <t>-680.016230655017 198.065132153507 -503.409934936389</t>
  </si>
  <si>
    <t>-741.639567531355 237.970492564849 -231.033874912243</t>
  </si>
  <si>
    <t>-524.327163907908 184.075174801865 -169.234707029146</t>
  </si>
  <si>
    <t>-633.608181012395 111.104770976299 -96.2576224137559</t>
  </si>
  <si>
    <t>-642.722897667357 133.754723991161 318.599665732211</t>
  </si>
  <si>
    <t>-670.624739214773 183.293325677885 778.195750327201</t>
  </si>
  <si>
    <t>-519.45054792722 187.746180652432 833.062579472267</t>
  </si>
  <si>
    <t>-610.870389021017 -83.2270718506163 321.867672155003</t>
  </si>
  <si>
    <t>-653.968802599645 -108.401497385255 782.218939200511</t>
  </si>
  <si>
    <t>-500.715508450174 -116.624520544178 830.485269643946</t>
  </si>
  <si>
    <t>9763-20170724T115639.825713500.bin</t>
  </si>
  <si>
    <t>-622.325115478114 18.8191714312375 -93.2222589365083</t>
  </si>
  <si>
    <t>-643.023550280588 14.5553239365861 -201.900144656941</t>
  </si>
  <si>
    <t>-654.858679567741 12.8563691696088 -294.002724545902</t>
  </si>
  <si>
    <t>-664.246577004525 11.9644062955638 -377.364601324198</t>
  </si>
  <si>
    <t>-671.769147374027 11.7997411474491 -460.920108323283</t>
  </si>
  <si>
    <t>-680.72073373429 12.3642073896463 -583.249561737924</t>
  </si>
  <si>
    <t>-669.148850304866 18.662319577925 -660.493567597566</t>
  </si>
  <si>
    <t>-681.353671007643 43.1405998074156 -529.095599264359</t>
  </si>
  <si>
    <t>-681.560325073789 197.082936717765 -503.811808306152</t>
  </si>
  <si>
    <t>-744.153545595071 237.185168811969 -231.685848164493</t>
  </si>
  <si>
    <t>-526.903874116172 183.975076109742 -169.077715108481</t>
  </si>
  <si>
    <t>-634.660565005624 110.369245147652 -96.2145620027222</t>
  </si>
  <si>
    <t>-643.302479443093 133.518100828704 318.625266614632</t>
  </si>
  <si>
    <t>-670.649986703769 183.316982890262 778.218773071536</t>
  </si>
  <si>
    <t>-519.448519529268 187.770129345826 833.010367323689</t>
  </si>
  <si>
    <t>-611.037352834262 -83.4840562634624 321.835061536393</t>
  </si>
  <si>
    <t>-653.942108993951 -108.363084367556 782.224430128142</t>
  </si>
  <si>
    <t>-500.688158815361 -116.190091438153 830.554386353931</t>
  </si>
  <si>
    <t>9763-20170724T115639.889886300.bin</t>
  </si>
  <si>
    <t>-623.125551143947 18.1781704747982 -93.1973962920831</t>
  </si>
  <si>
    <t>-643.646302508557 13.9129414798413 -201.908886656787</t>
  </si>
  <si>
    <t>-655.396850289828 12.146928062893 -294.021093302408</t>
  </si>
  <si>
    <t>-664.734044311475 11.1630595414349 -377.38750759164</t>
  </si>
  <si>
    <t>-672.231985185225 10.8782331974928 -460.944973784795</t>
  </si>
  <si>
    <t>-681.176145981679 11.2359534110101 -583.275626417327</t>
  </si>
  <si>
    <t>-669.810763610613 17.3913070082012 -660.561836008133</t>
  </si>
  <si>
    <t>-681.972084630398 42.0797884618491 -529.162210818256</t>
  </si>
  <si>
    <t>-683.289220605333 196.081262974764 -504.250856157096</t>
  </si>
  <si>
    <t>-746.55975251548 236.512839040765 -232.33041698767</t>
  </si>
  <si>
    <t>-529.260143800618 184.343508740282 -169.023313540281</t>
  </si>
  <si>
    <t>-635.928648099423 109.461822051024 -96.1298337553494</t>
  </si>
  <si>
    <t>-644.076571375061 133.23027875269 318.684877538506</t>
  </si>
  <si>
    <t>-670.686378156097 183.33530877628 778.272287928544</t>
  </si>
  <si>
    <t>-519.452699709363 187.758624552928 832.977249791536</t>
  </si>
  <si>
    <t>-611.124533405403 -83.9226542811839 321.801286515576</t>
  </si>
  <si>
    <t>-653.843218854376 -108.409563354676 782.239596494595</t>
  </si>
  <si>
    <t>-500.65317854694 -116.301854139416 830.76123314092</t>
  </si>
  <si>
    <t>9763-20170724T115639.927000300.bin</t>
  </si>
  <si>
    <t>-623.573080285851 17.884867538859 -93.161280597226</t>
  </si>
  <si>
    <t>-643.973055374246 13.6413769227033 -201.896459945666</t>
  </si>
  <si>
    <t>-655.685646032972 11.8497544299864 -294.012910986788</t>
  </si>
  <si>
    <t>-665.014035461248 10.8220087012389 -377.379905783684</t>
  </si>
  <si>
    <t>-672.528811376619 10.4745951876462 -460.935500190257</t>
  </si>
  <si>
    <t>-681.525997633334 10.7195927790119 -583.262647804465</t>
  </si>
  <si>
    <t>-670.257845954855 16.7821633109882 -660.570441273173</t>
  </si>
  <si>
    <t>-682.390631493975 41.5990057150395 -529.170426054684</t>
  </si>
  <si>
    <t>-684.224261466688 195.616610318467 -504.383880815933</t>
  </si>
  <si>
    <t>-747.611088172272 236.030835253855 -232.488033554678</t>
  </si>
  <si>
    <t>-530.152920765401 184.556975345881 -169.15616439833</t>
  </si>
  <si>
    <t>-636.617211863208 108.951231755712 -96.0488961450268</t>
  </si>
  <si>
    <t>-644.486272620814 133.114851774711 318.748379092036</t>
  </si>
  <si>
    <t>-670.704392867298 183.33332300808 778.322411071925</t>
  </si>
  <si>
    <t>-519.456439368144 187.793736595476 832.984814439171</t>
  </si>
  <si>
    <t>-611.091074304191 -84.3520155638305 321.789706049275</t>
  </si>
  <si>
    <t>-653.807448341715 -108.524584565203 782.24928718905</t>
  </si>
  <si>
    <t>-500.667898289541 -116.856291943685 830.85664373206</t>
  </si>
  <si>
    <t>9763-20170724T115639.989658900.bin</t>
  </si>
  <si>
    <t>-624.425550277217 17.499878737965 -93.0636310733942</t>
  </si>
  <si>
    <t>-644.649824208789 13.2558733046083 -201.831633870988</t>
  </si>
  <si>
    <t>-656.389099057691 11.3989382867599 -293.943358816758</t>
  </si>
  <si>
    <t>-665.811152137915 10.2802963280851 -377.298630557056</t>
  </si>
  <si>
    <t>-673.489883946451 9.81255710224582 -460.838716377604</t>
  </si>
  <si>
    <t>-682.803868087544 9.84914194901762 -583.142497785727</t>
  </si>
  <si>
    <t>-671.740362564095 15.6756417768365 -660.497857077912</t>
  </si>
  <si>
    <t>-683.699656250087 40.7934898698613 -529.087915705942</t>
  </si>
  <si>
    <t>-686.638752181436 194.827851511188 -504.557119692252</t>
  </si>
  <si>
    <t>-749.609363585083 235.342291055524 -232.579417926922</t>
  </si>
  <si>
    <t>-531.667278878299 185.1066324339 -169.920374978906</t>
  </si>
  <si>
    <t>-637.959387033328 108.10718593443 -95.8687411707122</t>
  </si>
  <si>
    <t>-645.20465478756 132.948765709754 318.899839012064</t>
  </si>
  <si>
    <t>-670.698730838213 183.359881661527 778.453260887984</t>
  </si>
  <si>
    <t>-519.425432365918 187.920247433286 833.03727544539</t>
  </si>
  <si>
    <t>-611.104907706076 -85.0587765937789 321.778363902138</t>
  </si>
  <si>
    <t>-653.765670869108 -108.58994874513 782.247475802204</t>
  </si>
  <si>
    <t>-500.644968036655 -116.696995704869 830.952172815341</t>
  </si>
  <si>
    <t>9763-20170724T115640.027840700.bin</t>
  </si>
  <si>
    <t>-624.778169381776 17.2499553488155 -93.0071490761158</t>
  </si>
  <si>
    <t>-644.944420127042 12.982762628073 -201.78486052301</t>
  </si>
  <si>
    <t>-656.711542015101 11.0898732435983 -293.892413256837</t>
  </si>
  <si>
    <t>-666.189381317197 9.92947921668929 -377.240806631177</t>
  </si>
  <si>
    <t>-673.954897563246 9.41199121384784 -460.772613532852</t>
  </si>
  <si>
    <t>-683.429743482098 9.36721859038494 -583.063900670275</t>
  </si>
  <si>
    <t>-672.446992482451 15.0752297271843 -660.439692397076</t>
  </si>
  <si>
    <t>-684.338004809696 40.3338947400941 -529.022379031352</t>
  </si>
  <si>
    <t>-687.789104515759 194.384232535512 -504.637682922159</t>
  </si>
  <si>
    <t>-750.410810042596 234.971840281422 -232.590387077087</t>
  </si>
  <si>
    <t>-532.193046835303 185.220901016435 -170.506657280802</t>
  </si>
  <si>
    <t>-638.519345737888 107.687289335924 -95.794511372945</t>
  </si>
  <si>
    <t>-645.491221098783 132.883649089534 318.957382105056</t>
  </si>
  <si>
    <t>-670.70841153237 183.37021148595 778.507129600527</t>
  </si>
  <si>
    <t>-519.423374517972 187.944787239488 833.057350447268</t>
  </si>
  <si>
    <t>-611.131995245699 -85.3626721381563 321.792349501612</t>
  </si>
  <si>
    <t>-653.74544465084 -108.67365304566 782.264169099005</t>
  </si>
  <si>
    <t>-500.655909521237 -117.039460117495 831.023140022814</t>
  </si>
  <si>
    <t>9763-20170724T115640.091599500.bin</t>
  </si>
  <si>
    <t>-625.296887182285 16.7033963251142 -92.9369496524821</t>
  </si>
  <si>
    <t>-645.348186897923 12.3811153026347 -201.733949583847</t>
  </si>
  <si>
    <t>-657.17814079744 10.3622259033998 -293.830610539979</t>
  </si>
  <si>
    <t>-666.77626821202 9.051831504446 -377.162952772109</t>
  </si>
  <si>
    <t>-674.726291044271 8.34925628412407 -460.676218937513</t>
  </si>
  <si>
    <t>-684.541090658857 7.99569119427724 -582.940147170101</t>
  </si>
  <si>
    <t>-673.720651962445 13.3990826722229 -660.360622553399</t>
  </si>
  <si>
    <t>-685.415304875681 39.0793857953943 -528.965350834576</t>
  </si>
  <si>
    <t>-689.743473425376 193.160058346386 -504.910449637073</t>
  </si>
  <si>
    <t>-751.730003680465 233.995586652682 -232.754802141683</t>
  </si>
  <si>
    <t>-533.175430032527 184.688123440646 -171.507638445954</t>
  </si>
  <si>
    <t>-639.434708769875 106.87981118477 -95.6874659332481</t>
  </si>
  <si>
    <t>-646.032182125338 132.6102812375 319.037756385553</t>
  </si>
  <si>
    <t>-670.726591467242 183.495222623996 778.564207643008</t>
  </si>
  <si>
    <t>-519.411705861542 188.276149074275 833.013884812863</t>
  </si>
  <si>
    <t>-611.221437614118 -85.9680944777863 321.812575976034</t>
  </si>
  <si>
    <t>-653.765631685736 -108.754976067245 782.277428428567</t>
  </si>
  <si>
    <t>-500.649250761464 -116.664185533419 831.028193991108</t>
  </si>
  <si>
    <t>9763-20170724T115640.123667600.bin</t>
  </si>
  <si>
    <t>-625.42165325714 16.4297275864244 -92.9264589744826</t>
  </si>
  <si>
    <t>-645.421830386023 12.0754063086283 -201.731366317883</t>
  </si>
  <si>
    <t>-657.304262621331 9.98925464073068 -293.819908646588</t>
  </si>
  <si>
    <t>-666.988027945884 8.59970720009187 -377.141217119712</t>
  </si>
  <si>
    <t>-675.061962621136 7.80068473213123 -460.641567769193</t>
  </si>
  <si>
    <t>-685.100199946123 7.28613163650084 -582.886794136269</t>
  </si>
  <si>
    <t>-674.358741762618 12.5433657375786 -660.328310300471</t>
  </si>
  <si>
    <t>-685.921528369023 38.4330835124317 -528.947645836955</t>
  </si>
  <si>
    <t>-690.536956045059 192.528035985865 -505.055697675812</t>
  </si>
  <si>
    <t>-752.29630141092 233.619679129598 -232.886872331729</t>
  </si>
  <si>
    <t>-533.612652299713 184.434039163508 -172.003839629507</t>
  </si>
  <si>
    <t>-639.713569120539 106.482407635017 -95.657512784964</t>
  </si>
  <si>
    <t>-646.211917697377 132.489091792892 319.052004720883</t>
  </si>
  <si>
    <t>-670.748366978122 183.59644388674 778.558396793919</t>
  </si>
  <si>
    <t>-519.414523007699 188.439284691682 832.949855166183</t>
  </si>
  <si>
    <t>-611.252170299511 -86.2835474566796 321.818479497851</t>
  </si>
  <si>
    <t>-653.778577117891 -108.768015859538 782.28332307648</t>
  </si>
  <si>
    <t>-500.637246416679 -116.316149415892 831.013031688659</t>
  </si>
  <si>
    <t>9763-20170724T115640.157767400.bin</t>
  </si>
  <si>
    <t>-625.466942666782 16.1776016453396 -92.9148117029796</t>
  </si>
  <si>
    <t>-645.401903588231 11.7838089228351 -201.730197864161</t>
  </si>
  <si>
    <t>-657.343163878488 9.62835995040541 -293.809494742693</t>
  </si>
  <si>
    <t>-667.125676745476 8.15977387841212 -377.117847992872</t>
  </si>
  <si>
    <t>-675.344177060412 7.26601556006926 -460.603137036676</t>
  </si>
  <si>
    <t>-685.644073937752 6.59538859197119 -582.825880132873</t>
  </si>
  <si>
    <t>-674.982575421046 11.7128878960816 -660.287826566301</t>
  </si>
  <si>
    <t>-686.390227459024 37.8043988916718 -528.921541084754</t>
  </si>
  <si>
    <t>-691.26107916357 191.919370077437 -505.200518417425</t>
  </si>
  <si>
    <t>-752.79848054546 233.281403056271 -233.022346013377</t>
  </si>
  <si>
    <t>-533.974569854787 184.260622899082 -172.511239212951</t>
  </si>
  <si>
    <t>-639.865719440175 106.148116799836 -95.6561925246367</t>
  </si>
  <si>
    <t>-646.35959623713 132.440147613436 319.035450843019</t>
  </si>
  <si>
    <t>-670.765268892798 183.724182628679 778.532517130302</t>
  </si>
  <si>
    <t>-519.409971391024 188.547476290863 832.86605645384</t>
  </si>
  <si>
    <t>-611.248149063801 -86.6020759350401 321.825748425039</t>
  </si>
  <si>
    <t>-653.791587792992 -108.86220439857 782.291437750003</t>
  </si>
  <si>
    <t>-500.657850507746 -116.582668084338 831.017974694691</t>
  </si>
  <si>
    <t>9763-20170724T115640.224529800.bin</t>
  </si>
  <si>
    <t>-625.432417743543 15.6303693948094 -92.9012538599718</t>
  </si>
  <si>
    <t>-645.288996501541 11.1478760635687 -201.727415637451</t>
  </si>
  <si>
    <t>-657.361039247783 8.84860794732231 -293.786169232261</t>
  </si>
  <si>
    <t>-667.340393769455 7.21947790477998 -377.068085926606</t>
  </si>
  <si>
    <t>-675.835137728163 6.134854702344 -460.523545893137</t>
  </si>
  <si>
    <t>-686.625803256695 5.15226722709212 -582.701731325007</t>
  </si>
  <si>
    <t>-676.095396319037 9.97352285979719 -660.200615414953</t>
  </si>
  <si>
    <t>-687.230191908583 36.4861119341547 -528.867950129224</t>
  </si>
  <si>
    <t>-692.538601198457 190.641547627223 -505.488173116091</t>
  </si>
  <si>
    <t>-754.148737257317 232.612232774322 -233.419696107566</t>
  </si>
  <si>
    <t>-534.990469018473 184.043140747634 -173.760542817345</t>
  </si>
  <si>
    <t>-640.084168093536 105.512750213565 -95.6728186551396</t>
  </si>
  <si>
    <t>-646.55013067408 132.356282739545 318.983981694072</t>
  </si>
  <si>
    <t>-670.790804096735 184.009868222236 778.456463555782</t>
  </si>
  <si>
    <t>-519.406661733814 188.843472856228 832.708592414583</t>
  </si>
  <si>
    <t>-611.185160029963 -87.1686508050334 321.843182379216</t>
  </si>
  <si>
    <t>-653.80862020625 -109.021325073764 782.309762043882</t>
  </si>
  <si>
    <t>-500.686419875863 -116.978746498963 831.034434277331</t>
  </si>
  <si>
    <t>9763-20170724T115640.256616900.bin</t>
  </si>
  <si>
    <t>-625.409671985551 15.3093455242181 -92.8947615676971</t>
  </si>
  <si>
    <t>-645.224091845452 10.7896275609096 -201.726924807745</t>
  </si>
  <si>
    <t>-657.331329030946 8.42557267624306 -293.779445961306</t>
  </si>
  <si>
    <t>-667.370725849765 6.72289460891488 -377.052826275504</t>
  </si>
  <si>
    <t>-675.953842953466 5.55047868780935 -460.497923442843</t>
  </si>
  <si>
    <t>-686.904976132302 4.42310464411707 -582.660613757729</t>
  </si>
  <si>
    <t>-676.402252849659 9.09365934641164 -660.172567838173</t>
  </si>
  <si>
    <t>-687.474287384928 35.8144637404509 -528.860129777157</t>
  </si>
  <si>
    <t>-693.004912851507 189.989122156376 -505.663415494904</t>
  </si>
  <si>
    <t>-754.933564981284 232.341977696148 -233.726560193316</t>
  </si>
  <si>
    <t>-535.608499043267 184.142563398877 -174.381114991344</t>
  </si>
  <si>
    <t>-640.178846709545 105.130325356615 -95.6781962365412</t>
  </si>
  <si>
    <t>-646.553257136249 132.304872522589 318.958466122211</t>
  </si>
  <si>
    <t>-670.813268818528 184.134530373565 778.412068023606</t>
  </si>
  <si>
    <t>-519.410409038177 188.929081484518 832.615377497115</t>
  </si>
  <si>
    <t>-611.108120888472 -87.4116536334641 321.858762972719</t>
  </si>
  <si>
    <t>-653.808869555799 -109.018712597398 782.320535285674</t>
  </si>
  <si>
    <t>-500.648691845466 -116.291195270554 831.032986143965</t>
  </si>
  <si>
    <t>9763-20170724T115640.323781700.bin</t>
  </si>
  <si>
    <t>-625.479732699816 14.4508316909112 -92.8729436118788</t>
  </si>
  <si>
    <t>-645.240345915016 9.84739534088044 -201.711541021547</t>
  </si>
  <si>
    <t>-657.390094084978 7.35904838836041 -293.755021789626</t>
  </si>
  <si>
    <t>-667.502768243085 5.51909311265422 -377.016625677011</t>
  </si>
  <si>
    <t>-676.19436214168 4.1857203275747 -460.448138388732</t>
  </si>
  <si>
    <t>-687.342638865173 2.79708736593102 -582.590231243836</t>
  </si>
  <si>
    <t>-676.869545103594 7.22207791379128 -660.120568913911</t>
  </si>
  <si>
    <t>-687.915008691093 34.2875533212325 -528.847774414594</t>
  </si>
  <si>
    <t>-694.004849458262 188.484459413567 -505.92603074742</t>
  </si>
  <si>
    <t>-756.180460406764 231.405841785736 -234.134689057021</t>
  </si>
  <si>
    <t>-536.601147794755 183.982819861389 -175.104940124215</t>
  </si>
  <si>
    <t>-640.583971527365 104.148375288641 -95.6660931918508</t>
  </si>
  <si>
    <t>-646.672579093105 132.098940730752 318.92324992493</t>
  </si>
  <si>
    <t>-670.842406272888 184.382114901347 778.312008041454</t>
  </si>
  <si>
    <t>-519.406935350844 189.308134770613 832.412459999167</t>
  </si>
  <si>
    <t>-610.991781107898 -88.0206815278616 321.8990722364</t>
  </si>
  <si>
    <t>-653.7947624726 -109.17148603662 782.34983465426</t>
  </si>
  <si>
    <t>-500.665082263282 -116.716424508644 831.116572530053</t>
  </si>
  <si>
    <t>9763-20170724T115640.356868400.bin</t>
  </si>
  <si>
    <t>-625.581914180968 13.9585987506905 -92.8624882548445</t>
  </si>
  <si>
    <t>-645.314094127772 9.32384772093428 -201.704857986578</t>
  </si>
  <si>
    <t>-657.481966412838 6.78074690056587 -293.744536073123</t>
  </si>
  <si>
    <t>-667.627585000531 4.87824404957973 -377.00065170961</t>
  </si>
  <si>
    <t>-676.369003311561 3.46989334030877 -460.42566070862</t>
  </si>
  <si>
    <t>-687.608541430789 1.95812838226425 -582.558137668417</t>
  </si>
  <si>
    <t>-677.13697470098 6.28582877005942 -660.094110869348</t>
  </si>
  <si>
    <t>-688.190484516025 33.4939210746361 -528.842233075921</t>
  </si>
  <si>
    <t>-694.633615508253 187.693268021473 -506.064962586496</t>
  </si>
  <si>
    <t>-756.914683692127 230.587767513109 -234.293593739233</t>
  </si>
  <si>
    <t>-537.143299506725 184.119975176049 -175.218978473448</t>
  </si>
  <si>
    <t>-640.867363159812 103.634245339419 -95.6586069321653</t>
  </si>
  <si>
    <t>-646.794270769137 131.94129394274 318.908869306111</t>
  </si>
  <si>
    <t>-670.844143978028 184.469542738148 778.273593196417</t>
  </si>
  <si>
    <t>-519.398376833361 189.449041606727 832.340358829248</t>
  </si>
  <si>
    <t>-611.009770364452 -88.3730771873877 321.913862823509</t>
  </si>
  <si>
    <t>-653.800797499867 -109.247424106092 782.367042176192</t>
  </si>
  <si>
    <t>-500.674884413911 -116.827062785826 831.140302763289</t>
  </si>
  <si>
    <t>9763-20170724T115640.424054300.bin</t>
  </si>
  <si>
    <t>-625.774121364881 12.7892661176727 -92.9316298716336</t>
  </si>
  <si>
    <t>-645.317434310748 8.11053700733464 -201.806099884468</t>
  </si>
  <si>
    <t>-657.429806406398 5.50781957540175 -293.851515702017</t>
  </si>
  <si>
    <t>-667.566735180323 3.53960593618035 -377.107186104987</t>
  </si>
  <si>
    <t>-676.341420235106 2.05591412239323 -460.527482902811</t>
  </si>
  <si>
    <t>-687.675841842269 0.423387139441274 -582.649542171703</t>
  </si>
  <si>
    <t>-677.15678080237 4.62601566305989 -660.185954378864</t>
  </si>
  <si>
    <t>-688.338897785132 31.9900910502895 -528.952695246496</t>
  </si>
  <si>
    <t>-695.362325333498 186.168588101389 -506.224037663952</t>
  </si>
  <si>
    <t>-759.882941135308 229.278562987611 -235.00963975907</t>
  </si>
  <si>
    <t>-539.837227080322 184.990047867799 -175.285861608333</t>
  </si>
  <si>
    <t>-641.265358198215 102.309086743258 -95.707467987963</t>
  </si>
  <si>
    <t>-647.124940077755 131.572756598804 318.794471430301</t>
  </si>
  <si>
    <t>-670.864799539609 184.735103032324 778.132501134336</t>
  </si>
  <si>
    <t>-519.390480719559 189.832392689409 832.108087493598</t>
  </si>
  <si>
    <t>-611.19325824969 -89.3077822059213 321.880230349367</t>
  </si>
  <si>
    <t>-653.820768179364 -109.33469321996 782.383264542285</t>
  </si>
  <si>
    <t>-500.658759046117 -116.257229306979 831.140818512056</t>
  </si>
  <si>
    <t>9763-20170724T115640.462155700.bin</t>
  </si>
  <si>
    <t>-626.003137411746 12.1406903782267 -92.9380341562692</t>
  </si>
  <si>
    <t>-645.415982666444 7.44152992472914 -201.835074704924</t>
  </si>
  <si>
    <t>-657.435199934988 4.84070121263267 -293.892710915358</t>
  </si>
  <si>
    <t>-667.494728347835 2.8803884606848 -377.157998720541</t>
  </si>
  <si>
    <t>-676.199084186264 1.41261557313624 -460.585784495572</t>
  </si>
  <si>
    <t>-676.845326431114 4.00707595602307 -660.243795711828</t>
  </si>
  <si>
    <t>-688.249723527476 31.3452036683295 -529.002380483904</t>
  </si>
  <si>
    <t>-695.553703945963 185.492543433922 -506.162603977108</t>
  </si>
  <si>
    <t>-763.486741338105 229.40220584053 -235.911588006772</t>
  </si>
  <si>
    <t>-543.561360393943 185.824810555109 -175.228891821909</t>
  </si>
  <si>
    <t>-641.626557673417 101.566215748349 -95.7202692472947</t>
  </si>
  <si>
    <t>-647.222784365638 131.448872828126 318.741168041469</t>
  </si>
  <si>
    <t>-670.864737155816 184.853312604954 778.049683811229</t>
  </si>
  <si>
    <t>-519.382627215579 189.978020135745 832.000911815944</t>
  </si>
  <si>
    <t>-611.343532998227 -89.9080154791759 321.855721488027</t>
  </si>
  <si>
    <t>-653.840278816304 -109.415240292873 782.387943885728</t>
  </si>
  <si>
    <t>-500.672981488931 -116.354384191343 831.12655515505</t>
  </si>
  <si>
    <t>9763-20170724T115640.526851800.bin</t>
  </si>
  <si>
    <t>-626.894247738397 10.7079387420738 -92.8674603142063</t>
  </si>
  <si>
    <t>-646.223806465305 5.9004439628518 -201.774602003994</t>
  </si>
  <si>
    <t>-658.068126672984 3.25325566184279 -293.853590086568</t>
  </si>
  <si>
    <t>-667.9267292407 1.26278180911845 -377.142023439558</t>
  </si>
  <si>
    <t>-676.332760285011 2.47320781286226 -660.242099388155</t>
  </si>
  <si>
    <t>-688.594359794489 29.6459607360064 -529.014467053888</t>
  </si>
  <si>
    <t>-697.420058811423 183.698184618333 -505.986507201869</t>
  </si>
  <si>
    <t>-772.455215108221 228.646139173835 -237.792450845869</t>
  </si>
  <si>
    <t>-552.896859085099 186.040238614376 -175.123595186829</t>
  </si>
  <si>
    <t>-643.315507126562 99.8945970120503 -95.6619257724393</t>
  </si>
  <si>
    <t>-647.738951319156 131.008520961526 318.723097679434</t>
  </si>
  <si>
    <t>-670.845417883117 185.002039571878 777.934826954859</t>
  </si>
  <si>
    <t>-519.357439642346 190.247562846193 831.85794884433</t>
  </si>
  <si>
    <t>-611.508658119194 -90.93543572762 321.838494676861</t>
  </si>
  <si>
    <t>-653.832884100003 -109.602298165976 782.403378113002</t>
  </si>
  <si>
    <t>-500.702678315134 -116.96143054187 831.196935518038</t>
  </si>
  <si>
    <t>9763-20170724T115640.590518200.bin</t>
  </si>
  <si>
    <t>-628.494882424039 8.96488944596445 -92.7625639843513</t>
  </si>
  <si>
    <t>-648.049728904766 3.89662210438883 -201.617530278657</t>
  </si>
  <si>
    <t>-659.834425964707 1.14152383626811 -293.701099030145</t>
  </si>
  <si>
    <t>-676.786580634185 0.586702949064602 -660.098326660241</t>
  </si>
  <si>
    <t>-690.206283304045 27.3317233056853 -528.904334798907</t>
  </si>
  <si>
    <t>-701.465227611192 181.17967864083 -505.633638233282</t>
  </si>
  <si>
    <t>-780.236512151494 225.47125517591 -238.403635399258</t>
  </si>
  <si>
    <t>-560.573427431956 185.376896140121 -174.457591456743</t>
  </si>
  <si>
    <t>-646.607973776289 97.6290777026859 -95.4754445945941</t>
  </si>
  <si>
    <t>-649.142534449496 130.332309017413 318.803067553183</t>
  </si>
  <si>
    <t>-670.847550017574 185.046679923117 777.918729950695</t>
  </si>
  <si>
    <t>-519.346463716125 190.501028630728 831.784021477485</t>
  </si>
  <si>
    <t>-611.257809780387 -91.5071703887279 321.851323040733</t>
  </si>
  <si>
    <t>-653.779005329486 -109.712473848724 782.416762109699</t>
  </si>
  <si>
    <t>-500.65088855605 -116.416381342753 831.311171668294</t>
  </si>
  <si>
    <t>9763-20170724T115640.622610900.bin</t>
  </si>
  <si>
    <t>-629.400799961861 7.96396472251695 -92.7149657917307</t>
  </si>
  <si>
    <t>-649.090339070001 2.73254419951468 -201.537967152175</t>
  </si>
  <si>
    <t>-691.16517973758 25.9360722708152 -528.851052857708</t>
  </si>
  <si>
    <t>-704.058116449644 179.665487907115 -505.590498718718</t>
  </si>
  <si>
    <t>-782.907145596917 223.217205913435 -238.261766137814</t>
  </si>
  <si>
    <t>-562.782514725254 185.631165954115 -174.379276890676</t>
  </si>
  <si>
    <t>-648.571400809527 96.2605967476543 -95.3528424260328</t>
  </si>
  <si>
    <t>-649.958031844554 129.937939671558 318.85304205055</t>
  </si>
  <si>
    <t>-670.851562266847 185.046911537512 777.942651638788</t>
  </si>
  <si>
    <t>-519.34049738805 190.655596608691 831.764263011844</t>
  </si>
  <si>
    <t>-611.12999868017 -91.5654787182655 321.866913065864</t>
  </si>
  <si>
    <t>-653.718849249183 -109.7585621132 782.418442663586</t>
  </si>
  <si>
    <t>-500.610537065117 -115.993250508378 831.436775207555</t>
  </si>
  <si>
    <t>9763-20170724T115640.659703400.bin</t>
  </si>
  <si>
    <t>-630.326376816503 6.94154409688281 -92.6686606052522</t>
  </si>
  <si>
    <t>-650.180486096949 1.52902496327897 -201.452900068475</t>
  </si>
  <si>
    <t>-692.252706552673 24.3504660283336 -528.79670298324</t>
  </si>
  <si>
    <t>-706.903883321218 177.9381945806 -505.629355105805</t>
  </si>
  <si>
    <t>-785.079346497195 220.269540864374 -237.907052349983</t>
  </si>
  <si>
    <t>-564.336733091553 185.50891509636 -174.55926004772</t>
  </si>
  <si>
    <t>-650.714634721171 95.0162218284206 -95.2376779130667</t>
  </si>
  <si>
    <t>-650.682042621101 129.341593076941 318.917274057643</t>
  </si>
  <si>
    <t>-670.833049858873 185.063692150851 777.989108315788</t>
  </si>
  <si>
    <t>-519.315000105745 190.81707516018 831.775750756198</t>
  </si>
  <si>
    <t>-610.852257729357 -91.5227302104856 321.915361295046</t>
  </si>
  <si>
    <t>-653.635695559121 -109.920071748176 782.434447065962</t>
  </si>
  <si>
    <t>-500.607109365035 -116.529645921831 831.652223301327</t>
  </si>
  <si>
    <t>9763-20170724T115640.728891900.bin</t>
  </si>
  <si>
    <t>-631.889777316632 4.70368515372616 -92.5430892615382</t>
  </si>
  <si>
    <t>-694.920995016844 20.7001937739615 -528.569759054512</t>
  </si>
  <si>
    <t>-712.286220224107 174.040477002949 -505.594891876666</t>
  </si>
  <si>
    <t>-789.096235049125 213.79749362746 -237.083927288044</t>
  </si>
  <si>
    <t>-567.42641932919 184.770724693761 -174.088116125704</t>
  </si>
  <si>
    <t>-654.779573209554 93.01386598829 -95.0483453239247</t>
  </si>
  <si>
    <t>-651.278186963931 126.946477930237 319.124254171765</t>
  </si>
  <si>
    <t>-670.701319559882 185.138393746364 778.113178816133</t>
  </si>
  <si>
    <t>-519.201462275076 191.202090912448 831.916979818083</t>
  </si>
  <si>
    <t>-610.492608945266 -90.9225913704097 322.054920844816</t>
  </si>
  <si>
    <t>-653.592067144071 -110.081676464341 782.467596270021</t>
  </si>
  <si>
    <t>-500.623247704886 -116.42592869177 831.905564234668</t>
  </si>
  <si>
    <t>9763-20170724T115640.757969000.bin</t>
  </si>
  <si>
    <t>-632.547045969237 3.90096224919148 -92.5154936219532</t>
  </si>
  <si>
    <t>-696.51837967654 19.085735325338 -528.445328688643</t>
  </si>
  <si>
    <t>-714.717707828331 172.328617885254 -505.567472701347</t>
  </si>
  <si>
    <t>-791.351115672888 211.372530648969 -236.901219173975</t>
  </si>
  <si>
    <t>-569.585610841709 184.270126112146 -173.387098491299</t>
  </si>
  <si>
    <t>-656.399455842255 92.3504755698461 -94.9701107265421</t>
  </si>
  <si>
    <t>-651.438284395822 125.575731639037 319.244867236149</t>
  </si>
  <si>
    <t>-670.656613197743 185.225739123623 778.144306002088</t>
  </si>
  <si>
    <t>-519.146155769688 191.444089463882 831.900495236442</t>
  </si>
  <si>
    <t>-610.632561592511 -90.793307795082 322.069484061574</t>
  </si>
  <si>
    <t>-653.740512767447 -110.15577286447 782.453638115676</t>
  </si>
  <si>
    <t>-500.693996145186 -115.762624491243 831.740022097695</t>
  </si>
  <si>
    <t>9763-20170724T115640.824104100.bin</t>
  </si>
  <si>
    <t>-633.668254533295 2.66377228213719 -92.5528385236074</t>
  </si>
  <si>
    <t>-700.245011534064 16.0206900612059 -528.179806750284</t>
  </si>
  <si>
    <t>-719.428351357049 169.138877369395 -505.298733595553</t>
  </si>
  <si>
    <t>-796.41215195599 207.964033891091 -236.701033871943</t>
  </si>
  <si>
    <t>-574.949508524601 183.08206304583 -171.250957007646</t>
  </si>
  <si>
    <t>-659.016915576492 91.1165789939712 -94.875041373188</t>
  </si>
  <si>
    <t>-651.046688343694 123.636300908468 319.348967119099</t>
  </si>
  <si>
    <t>-670.542235178122 185.490246058129 778.009067008223</t>
  </si>
  <si>
    <t>-519.014597772673 191.912273938864 831.692789529155</t>
  </si>
  <si>
    <t>-611.368461542614 -91.0129321261679 322.022852526327</t>
  </si>
  <si>
    <t>-654.192708869134 -110.320979026662 782.387441206076</t>
  </si>
  <si>
    <t>-500.940207517039 -115.066090692647 831.121189064307</t>
  </si>
  <si>
    <t>9763-20170724T115640.856183500.bin</t>
  </si>
  <si>
    <t>-634.416627074111 1.90663666517435 -92.5549394759876</t>
  </si>
  <si>
    <t>-702.158108291608 14.3893093797669 -528.042098795078</t>
  </si>
  <si>
    <t>-721.672943022699 167.457559135882 -505.14345823595</t>
  </si>
  <si>
    <t>-798.806118176037 205.979040936418 -236.544977198091</t>
  </si>
  <si>
    <t>-577.676625950521 182.012777440026 -169.642738625103</t>
  </si>
  <si>
    <t>-660.468089590839 89.9910730173456 -94.7674731059126</t>
  </si>
  <si>
    <t>-650.299063610308 123.230636575839 319.351256865087</t>
  </si>
  <si>
    <t>-670.377347308191 185.698099177404 777.889008944729</t>
  </si>
  <si>
    <t>-518.892901162121 192.261565961701 831.67768299023</t>
  </si>
  <si>
    <t>-612.007860959562 -91.270677317752 321.980743963687</t>
  </si>
  <si>
    <t>-654.463709781829 -110.372849928952 782.349923011077</t>
  </si>
  <si>
    <t>-501.084106258962 -114.438340071297 830.74410080857</t>
  </si>
  <si>
    <t>9763-20170724T115640.924373600.bin</t>
  </si>
  <si>
    <t>-705.00778179865 10.6968891865356 -527.702345559245</t>
  </si>
  <si>
    <t>-725.172886801974 163.69646469832 -504.854814412116</t>
  </si>
  <si>
    <t>-802.825904492185 201.520694283558 -236.307040678531</t>
  </si>
  <si>
    <t>-582.072984411988 179.92703486882 -167.383847385595</t>
  </si>
  <si>
    <t>-661.677703902256 86.737399592 -94.6135210152863</t>
  </si>
  <si>
    <t>-650.976363841612 122.44982587962 319.285915489229</t>
  </si>
  <si>
    <t>-670.095377322462 186.26896167636 777.533895444547</t>
  </si>
  <si>
    <t>-518.702898243124 193.052739230561 831.553507335919</t>
  </si>
  <si>
    <t>-612.950364484291 -92.5896427694745 321.964992300218</t>
  </si>
  <si>
    <t>-655.018472015724 -110.511429169129 782.303727175015</t>
  </si>
  <si>
    <t>-501.37811818246 -113.38102433201 829.950658374807</t>
  </si>
  <si>
    <t>9763-20170724T115640.990045800.bin</t>
  </si>
  <si>
    <t>-706.179385558858 7.27595165573666 -527.733308625897</t>
  </si>
  <si>
    <t>-727.02928997732 160.226763930212 -505.09329139894</t>
  </si>
  <si>
    <t>-805.761745255165 197.577068292553 -236.793618822557</t>
  </si>
  <si>
    <t>-585.220927622727 177.794474528584 -166.65841262558</t>
  </si>
  <si>
    <t>-663.048075455159 83.5519856668716 -94.7655916334822</t>
  </si>
  <si>
    <t>-652.102931774049 121.421620218761 318.935698478311</t>
  </si>
  <si>
    <t>-669.864481098212 186.994345572056 777.043403099812</t>
  </si>
  <si>
    <t>-518.536416715309 193.995481594324 831.215666124229</t>
  </si>
  <si>
    <t>-613.837584716947 -94.3389468505711 321.878579934947</t>
  </si>
  <si>
    <t>-655.499113683032 -110.761342886801 782.273848306388</t>
  </si>
  <si>
    <t>-501.669417462236 -113.583003950168 829.308727224646</t>
  </si>
  <si>
    <t>9763-20170724T115641.027164700.bin</t>
  </si>
  <si>
    <t>-706.671446148972 5.74863797784906 -527.871753764624</t>
  </si>
  <si>
    <t>-727.920824823605 158.662094340577 -505.414799454674</t>
  </si>
  <si>
    <t>-807.319332776596 195.918201630975 -237.298239208758</t>
  </si>
  <si>
    <t>-586.971371097969 176.634654721019 -166.421950100091</t>
  </si>
  <si>
    <t>-663.96017272128 82.0466349738765 -94.8187252898534</t>
  </si>
  <si>
    <t>-652.026308842979 121.212727337488 318.734505717792</t>
  </si>
  <si>
    <t>-669.74553968505 187.335160566346 776.764411657289</t>
  </si>
  <si>
    <t>-518.447304416736 194.483456193822 831.000854497967</t>
  </si>
  <si>
    <t>-614.269620071722 -95.096289825321 321.807944204288</t>
  </si>
  <si>
    <t>-655.752527416927 -110.816849751112 782.248052994821</t>
  </si>
  <si>
    <t>-501.804839787951 -113.191571995087 828.920197387529</t>
  </si>
  <si>
    <t>9763-20170724T115641.060252900.bin</t>
  </si>
  <si>
    <t>-707.170019525208 4.47060666831544 -528.023143370037</t>
  </si>
  <si>
    <t>-728.673121998009 157.390751096818 -505.849866105694</t>
  </si>
  <si>
    <t>-808.861199117908 194.588219473455 -237.960254379554</t>
  </si>
  <si>
    <t>-588.636773575007 175.879801080637 -166.548027711856</t>
  </si>
  <si>
    <t>-664.849538991371 80.8768211240183 -94.8697870229585</t>
  </si>
  <si>
    <t>-651.847290631774 121.007991741157 318.558590458656</t>
  </si>
  <si>
    <t>-669.621817864347 187.62065540764 776.495171616183</t>
  </si>
  <si>
    <t>-518.364946694528 194.926665842911 830.825727043</t>
  </si>
  <si>
    <t>-614.771148539934 -95.899745839627 321.725834173634</t>
  </si>
  <si>
    <t>-655.961519754419 -110.949489276987 782.226719718406</t>
  </si>
  <si>
    <t>-501.926304536702 -113.223404305274 828.614321168465</t>
  </si>
  <si>
    <t>9763-20170724T115641.124935200.bin</t>
  </si>
  <si>
    <t>-707.79505824701 2.44260956140647 -528.381139679248</t>
  </si>
  <si>
    <t>-729.726119932089 155.369950022859 -506.714186773566</t>
  </si>
  <si>
    <t>-810.621188339179 192.990826763077 -239.096477807427</t>
  </si>
  <si>
    <t>-590.316308421689 175.647391605768 -167.587695927274</t>
  </si>
  <si>
    <t>-665.93450124337 79.191690951076 -95.0120080887996</t>
  </si>
  <si>
    <t>-651.651410320526 120.675680408423 318.240537908857</t>
  </si>
  <si>
    <t>-669.412044676399 188.034201958976 776.005660948791</t>
  </si>
  <si>
    <t>-518.22778026438 195.597530271745 830.502847637662</t>
  </si>
  <si>
    <t>-615.956045980518 -97.2995053935756 321.548432554013</t>
  </si>
  <si>
    <t>-656.27864271327 -111.30691529618 782.202693846904</t>
  </si>
  <si>
    <t>-502.123725480163 -113.622578810924 828.188714297951</t>
  </si>
  <si>
    <t>9763-20170724T115641.157022300.bin</t>
  </si>
  <si>
    <t>-708.130409092737 1.75083292661725 -528.565862200083</t>
  </si>
  <si>
    <t>-730.152410434606 154.687002355159 -507.028635910631</t>
  </si>
  <si>
    <t>-810.72166818087 192.607059870363 -239.354840369465</t>
  </si>
  <si>
    <t>-590.20826649937 175.958684453839 -168.325437514498</t>
  </si>
  <si>
    <t>-666.376654035444 78.6321624549123 -95.1268282554438</t>
  </si>
  <si>
    <t>-651.590731826421 120.559046937934 318.063369164751</t>
  </si>
  <si>
    <t>-669.330272191974 188.172173563207 775.774331911765</t>
  </si>
  <si>
    <t>-518.17731059688 195.843751058862 830.343144857059</t>
  </si>
  <si>
    <t>-616.625908030897 -97.8089545436605 321.447066529508</t>
  </si>
  <si>
    <t>-656.432082078597 -111.418905480668 782.177212416136</t>
  </si>
  <si>
    <t>-502.20829476727 -113.295768232736 827.951898260313</t>
  </si>
  <si>
    <t>9763-20170724T115641.224229700.bin</t>
  </si>
  <si>
    <t>-708.825819918741 0.859576277807037 -528.881583694146</t>
  </si>
  <si>
    <t>-730.718417992305 153.861954547726 -507.693702254777</t>
  </si>
  <si>
    <t>-809.180946088478 191.941206120283 -239.417224833607</t>
  </si>
  <si>
    <t>-588.082573040084 177.291897086961 -169.779308448466</t>
  </si>
  <si>
    <t>-666.785790719823 78.1881589599807 -95.396821490919</t>
  </si>
  <si>
    <t>-651.315309121724 120.833008759843 317.694808919601</t>
  </si>
  <si>
    <t>-669.20395622641 188.390834769584 775.359053213881</t>
  </si>
  <si>
    <t>-518.09124484053 196.117108721378 830.0315145085</t>
  </si>
  <si>
    <t>-617.950294406556 -98.3470593668362 321.230045324197</t>
  </si>
  <si>
    <t>-656.722284039118 -111.677677739327 782.116810407873</t>
  </si>
  <si>
    <t>-502.387574405137 -113.859408626051 827.502517700073</t>
  </si>
  <si>
    <t>9763-20170724T115641.261328600.bin</t>
  </si>
  <si>
    <t>-709.126258612607 0.831761253086825 -529.011892377743</t>
  </si>
  <si>
    <t>-730.722497662696 153.89372538826 -507.972297433838</t>
  </si>
  <si>
    <t>-808.030474601078 191.989227981378 -239.363296173436</t>
  </si>
  <si>
    <t>-586.636591422999 178.220912029827 -170.488466864583</t>
  </si>
  <si>
    <t>-666.674826395897 78.4819164644889 -95.5805121054068</t>
  </si>
  <si>
    <t>-651.087684411032 121.219460570236 317.497203797875</t>
  </si>
  <si>
    <t>-669.157593471122 188.495746414654 775.187667143723</t>
  </si>
  <si>
    <t>-518.056319539956 196.234961525156 829.889923190633</t>
  </si>
  <si>
    <t>-618.230790743154 -98.1816529938928 321.153030891667</t>
  </si>
  <si>
    <t>-656.81806919737 -111.76068758005 782.080909509148</t>
  </si>
  <si>
    <t>-502.444889772969 -114.074685090506 827.328982062508</t>
  </si>
  <si>
    <t>9763-20170724T115641.326040900.bin</t>
  </si>
  <si>
    <t>-709.667509215006 1.56612880556236 -529.247449995793</t>
  </si>
  <si>
    <t>-730.312439855553 154.810324075637 -508.52998252662</t>
  </si>
  <si>
    <t>-806.18528035895 193.090632274066 -239.538109271296</t>
  </si>
  <si>
    <t>-584.369884662195 180.472740940847 -171.808778015533</t>
  </si>
  <si>
    <t>-666.351014282469 80.0875685715687 -95.9835781459084</t>
  </si>
  <si>
    <t>-650.333954338369 122.312272146036 317.130366354391</t>
  </si>
  <si>
    <t>-669.034436059352 188.763674323862 774.906481920707</t>
  </si>
  <si>
    <t>-517.978762511865 196.366401484875 829.753734483161</t>
  </si>
  <si>
    <t>-618.512284460256 -97.1804036625717 321.033409569271</t>
  </si>
  <si>
    <t>-656.887557371729 -111.698127496765 782.023216866502</t>
  </si>
  <si>
    <t>-502.479778932589 -113.626334030696 827.171157100805</t>
  </si>
  <si>
    <t>9763-20170724T115641.390713700.bin</t>
  </si>
  <si>
    <t>-710.236509496242 3.34745174187151 -529.441862997559</t>
  </si>
  <si>
    <t>-729.972082050549 156.753198192676 -509.067033644841</t>
  </si>
  <si>
    <t>-805.023541741834 196.072602329481 -239.994828818741</t>
  </si>
  <si>
    <t>-583.110131624996 183.59110519325 -172.56194364063</t>
  </si>
  <si>
    <t>-665.579792295719 82.7906838007859 -96.3618085629601</t>
  </si>
  <si>
    <t>-649.658056748538 123.830380126383 316.875114958684</t>
  </si>
  <si>
    <t>-668.92676688011 189.041206712205 774.77029646586</t>
  </si>
  <si>
    <t>-517.919132119078 196.425846503672 829.779297872122</t>
  </si>
  <si>
    <t>-618.595514563522 -95.7027822577948 320.943920323959</t>
  </si>
  <si>
    <t>-656.844391363894 -111.717973706991 781.972480569955</t>
  </si>
  <si>
    <t>-502.470608491468 -114.132622387438 827.213241388784</t>
  </si>
  <si>
    <t>9763-20170724T115641.423331500.bin</t>
  </si>
  <si>
    <t>-710.370644812561 4.5533357846432 -529.519763070203</t>
  </si>
  <si>
    <t>-729.558135388926 158.055986739653 -509.310502298794</t>
  </si>
  <si>
    <t>-804.392338654711 197.90423536753 -240.255622500641</t>
  </si>
  <si>
    <t>-582.486864519537 185.243874520229 -172.829945134451</t>
  </si>
  <si>
    <t>-665.091872755866 84.5128417774788 -96.5480288505214</t>
  </si>
  <si>
    <t>-649.455576398587 124.635268806709 316.78986591075</t>
  </si>
  <si>
    <t>-668.881416752597 189.150609923051 774.763673786445</t>
  </si>
  <si>
    <t>-517.894727917 196.336131422078 829.856427681056</t>
  </si>
  <si>
    <t>-618.50480029056 -94.8153179621061 320.911815802973</t>
  </si>
  <si>
    <t>-656.742202989633 -111.697309808418 781.961609076669</t>
  </si>
  <si>
    <t>-502.420696092245 -114.351489137263 827.367027717372</t>
  </si>
  <si>
    <t>9763-20170724T115641.459435600.bin</t>
  </si>
  <si>
    <t>-710.354119000396 5.84587807105208 -529.584516700098</t>
  </si>
  <si>
    <t>-729.028153651871 159.440509119177 -509.580791605898</t>
  </si>
  <si>
    <t>-803.61165823339 199.723061185629 -240.520960094995</t>
  </si>
  <si>
    <t>-581.725376241886 186.903576939868 -173.062381525812</t>
  </si>
  <si>
    <t>-664.540421584345 86.3746354805023 -96.724238718377</t>
  </si>
  <si>
    <t>-649.231029818749 125.50514857944 316.721075136657</t>
  </si>
  <si>
    <t>-668.842707022227 189.279002251973 774.789075398669</t>
  </si>
  <si>
    <t>-517.874798801481 196.345675860545 829.94857553265</t>
  </si>
  <si>
    <t>-618.364149187817 -93.7927547400311 320.9002652555</t>
  </si>
  <si>
    <t>-656.579293553032 -111.642738211099 781.961586911952</t>
  </si>
  <si>
    <t>-502.34663637037 -114.70812493701 827.64212797494</t>
  </si>
  <si>
    <t>9763-20170724T115641.522130200.bin</t>
  </si>
  <si>
    <t>-641.251159952024 1.74594261267089 -94.1182218680437</t>
  </si>
  <si>
    <t>-709.865944906652 8.91834099532434 -529.689164967484</t>
  </si>
  <si>
    <t>-727.663199246562 162.658016259192 -510.065145916379</t>
  </si>
  <si>
    <t>-802.132637295758 203.914883648994 -241.121300155172</t>
  </si>
  <si>
    <t>-580.323029672564 190.622629408588 -173.502128007022</t>
  </si>
  <si>
    <t>-663.389353108922 90.4518732416054 -96.989596499492</t>
  </si>
  <si>
    <t>-648.587593050204 127.386510117352 316.67612246017</t>
  </si>
  <si>
    <t>-668.744191384355 189.459828263231 774.947675212885</t>
  </si>
  <si>
    <t>-517.828395822717 196.092168282456 830.303495340797</t>
  </si>
  <si>
    <t>-618.02252466756 -91.3701903576937 320.931086995855</t>
  </si>
  <si>
    <t>-656.244490735095 -111.432643415102 781.978290286476</t>
  </si>
  <si>
    <t>-502.171725883161 -114.287226073316 828.208717045043</t>
  </si>
  <si>
    <t>9763-20170724T115641.559232900.bin</t>
  </si>
  <si>
    <t>-641.031318792479 3.58839898985138 -94.1667279267613</t>
  </si>
  <si>
    <t>-709.443031373506 10.722625378625 -529.756908399538</t>
  </si>
  <si>
    <t>-726.809550215065 164.5249962136 -510.282037408562</t>
  </si>
  <si>
    <t>-801.476141287856 206.272546675975 -241.468639157192</t>
  </si>
  <si>
    <t>-579.726107246769 192.715406277209 -173.706886173855</t>
  </si>
  <si>
    <t>-662.832054061343 92.6196599968744 -97.1018214221201</t>
  </si>
  <si>
    <t>-648.325694702879 128.365770863641 316.678803157635</t>
  </si>
  <si>
    <t>-668.674031223136 189.535135066954 775.075768523569</t>
  </si>
  <si>
    <t>-517.799925834177 196.033999188983 830.560861814702</t>
  </si>
  <si>
    <t>-617.895364029725 -90.1188094672523 320.958407111972</t>
  </si>
  <si>
    <t>-656.121526134484 -111.372063934422 781.980571040113</t>
  </si>
  <si>
    <t>-502.116356744079 -114.401505065475 828.424660588171</t>
  </si>
  <si>
    <t>9763-20170724T115641.626921000.bin</t>
  </si>
  <si>
    <t>-640.546982322913 7.28589235262575 -94.2481355855201</t>
  </si>
  <si>
    <t>-664.171028157877 0.274450631846321 -202.18442182503</t>
  </si>
  <si>
    <t>-707.680870339444 14.6767022308934 -529.986608567102</t>
  </si>
  <si>
    <t>-724.109914268452 168.618450956339 -510.707588568729</t>
  </si>
  <si>
    <t>-799.347270727417 210.851984026751 -242.129372955223</t>
  </si>
  <si>
    <t>-577.759791827486 196.781747641309 -173.941695560579</t>
  </si>
  <si>
    <t>-661.574848967223 96.9062552750299 -97.3233386788492</t>
  </si>
  <si>
    <t>-648.212799271408 130.454292303509 316.679831868197</t>
  </si>
  <si>
    <t>-668.641985085991 189.674088990583 775.348722356042</t>
  </si>
  <si>
    <t>-517.793356365631 195.71743461559 830.954416490242</t>
  </si>
  <si>
    <t>-617.734252472958 -87.6815079654775 321.013015106144</t>
  </si>
  <si>
    <t>-656.001777130527 -111.295545803063 781.967126776769</t>
  </si>
  <si>
    <t>-502.077256073358 -114.915846548181 828.635845808248</t>
  </si>
  <si>
    <t>9763-20170724T115641.659005300.bin</t>
  </si>
  <si>
    <t>-640.266609032999 9.18786986293867 -94.279561213113</t>
  </si>
  <si>
    <t>-663.88975293045 2.18898651413951 -202.216918633063</t>
  </si>
  <si>
    <t>-706.641376411221 16.6627048281077 -530.110878277921</t>
  </si>
  <si>
    <t>-722.580582927777 170.667762411122 -510.897559667414</t>
  </si>
  <si>
    <t>-798.013798491981 213.04451732353 -242.396758358558</t>
  </si>
  <si>
    <t>-576.52343214495 198.654740934687 -173.960733305054</t>
  </si>
  <si>
    <t>-660.924608110431 99.1373487421629 -97.4411508525499</t>
  </si>
  <si>
    <t>-648.229523443134 131.415589154072 316.683889821681</t>
  </si>
  <si>
    <t>-668.635221275722 189.723980015791 775.486088767318</t>
  </si>
  <si>
    <t>-517.785463420103 195.510471815978 831.1159839908</t>
  </si>
  <si>
    <t>-617.682400943396 -86.3638092622705 321.05240513992</t>
  </si>
  <si>
    <t>-655.964662474679 -111.184129946266 781.959490375134</t>
  </si>
  <si>
    <t>-502.055997581899 -114.744043371036 828.684947325154</t>
  </si>
  <si>
    <t>9763-20170724T115641.727810000.bin</t>
  </si>
  <si>
    <t>-639.66020694373 12.9635569710902 -94.3248072572576</t>
  </si>
  <si>
    <t>-663.258115989619 6.02731708146507 -202.271723308227</t>
  </si>
  <si>
    <t>-676.078617730463 1.16920215402934 -294.129572312616</t>
  </si>
  <si>
    <t>-704.628578787307 20.6965065378929 -530.326724155574</t>
  </si>
  <si>
    <t>-719.534033434647 174.814222351134 -511.220332538047</t>
  </si>
  <si>
    <t>-795.07085452424 217.657420873023 -242.822843578869</t>
  </si>
  <si>
    <t>-573.741267762413 202.291592156279 -174.079655124244</t>
  </si>
  <si>
    <t>-659.722978573109 103.60157392458 -97.6145405900954</t>
  </si>
  <si>
    <t>-648.319050478389 133.378392671255 316.735380508951</t>
  </si>
  <si>
    <t>-668.596861584763 189.748336775119 775.827704292415</t>
  </si>
  <si>
    <t>-517.768305278953 195.043298584007 831.56395144926</t>
  </si>
  <si>
    <t>-617.577008955898 -83.8988536074985 321.118242779489</t>
  </si>
  <si>
    <t>-655.865715367609 -111.076540552009 781.952642791431</t>
  </si>
  <si>
    <t>-502.025334518341 -115.523173389673 828.826902403695</t>
  </si>
  <si>
    <t>9763-20170724T115641.764909900.bin</t>
  </si>
  <si>
    <t>-639.34544275572 14.8718960847418 -94.3062127114749</t>
  </si>
  <si>
    <t>-662.91324897787 8.01411608152034 -202.264587599091</t>
  </si>
  <si>
    <t>-675.626264232821 3.20606440245979 -294.140121442439</t>
  </si>
  <si>
    <t>-703.610461990256 22.8699980091551 -530.393122428086</t>
  </si>
  <si>
    <t>-717.968344409142 177.035263085924 -511.297372811754</t>
  </si>
  <si>
    <t>-793.414093446469 220.20999809531 -242.927409766659</t>
  </si>
  <si>
    <t>-572.124754948539 204.337496742711 -174.169712854619</t>
  </si>
  <si>
    <t>-659.035283159771 105.754466039062 -97.6381616835852</t>
  </si>
  <si>
    <t>-648.498068142322 134.428569490874 316.812521813126</t>
  </si>
  <si>
    <t>-668.595950566233 189.684748822616 776.046905788604</t>
  </si>
  <si>
    <t>-517.76790943214 194.76856991625 831.804292907518</t>
  </si>
  <si>
    <t>-617.391057755326 -82.7161029043982 321.161250844303</t>
  </si>
  <si>
    <t>-655.766361955724 -110.980106359943 781.954384561293</t>
  </si>
  <si>
    <t>-501.97668234474 -115.64986615234 828.972995899724</t>
  </si>
  <si>
    <t>9763-20170724T115641.826962400.bin</t>
  </si>
  <si>
    <t>-638.691554912966 18.8872592269204 -94.2152229125612</t>
  </si>
  <si>
    <t>-662.328055410428 12.2320529315082 -202.171377657738</t>
  </si>
  <si>
    <t>-674.912987027744 7.57571063138516 -294.072195983488</t>
  </si>
  <si>
    <t>-684.264002029736 3.57265968126148 -377.346950526449</t>
  </si>
  <si>
    <t>-701.915458677445 27.6826014086125 -530.398293958513</t>
  </si>
  <si>
    <t>-714.975300622159 181.958604706557 -511.25444788458</t>
  </si>
  <si>
    <t>-790.023039111797 225.775394834407 -242.876801042046</t>
  </si>
  <si>
    <t>-568.751386467641 208.883021614424 -174.305450950651</t>
  </si>
  <si>
    <t>-657.775442861323 110.688938099779 -97.6332407931561</t>
  </si>
  <si>
    <t>-649.193344799522 136.240188715728 317.066765402424</t>
  </si>
  <si>
    <t>-668.697830753228 189.234562621776 776.607055737929</t>
  </si>
  <si>
    <t>-517.825060898493 193.743410303715 832.292901474071</t>
  </si>
  <si>
    <t>-616.983729415354 -80.3266964808611 321.257541464396</t>
  </si>
  <si>
    <t>-655.463107165287 -110.75183000886 781.98091767345</t>
  </si>
  <si>
    <t>-501.826594519724 -115.691524952482 829.470348826977</t>
  </si>
  <si>
    <t>9763-20170724T115641.892144800.bin</t>
  </si>
  <si>
    <t>-638.071312355864 22.9881576452181 -94.1288720940722</t>
  </si>
  <si>
    <t>-661.817374044211 16.5745768777783 -202.075550992255</t>
  </si>
  <si>
    <t>-674.2884876842 12.0854058809748 -294.000310970972</t>
  </si>
  <si>
    <t>-683.455127985886 8.22973907702863 -377.302333538225</t>
  </si>
  <si>
    <t>-689.961586734549 4.69871879352536 -460.86871316816</t>
  </si>
  <si>
    <t>-670.571436435757 4.36159591861724 -657.048159513742</t>
  </si>
  <si>
    <t>-700.254239802822 32.6571372159215 -530.398540691134</t>
  </si>
  <si>
    <t>-711.800384595332 187.040981362678 -511.115218449432</t>
  </si>
  <si>
    <t>-786.022775452997 231.234380856276 -242.569852091609</t>
  </si>
  <si>
    <t>-564.765182488051 212.934519322231 -174.314921658457</t>
  </si>
  <si>
    <t>-656.243339762963 115.665092908311 -97.5507583917412</t>
  </si>
  <si>
    <t>-650.043268227422 137.341639429685 317.412293142693</t>
  </si>
  <si>
    <t>-669.070258420153 188.438002529613 777.248450695334</t>
  </si>
  <si>
    <t>-517.989985951843 192.401367422283 832.410640072072</t>
  </si>
  <si>
    <t>-616.784508837197 -77.9819467551492 321.387363372526</t>
  </si>
  <si>
    <t>-655.185532644943 -110.58754363684 782.033124674574</t>
  </si>
  <si>
    <t>-501.744795838631 -116.720759591044 830.013757290133</t>
  </si>
  <si>
    <t>9763-20170724T115641.926272500.bin</t>
  </si>
  <si>
    <t>-637.701917288726 24.6165698916552 -94.0832380646493</t>
  </si>
  <si>
    <t>-661.430389047872 18.3736877192753 -202.043801224025</t>
  </si>
  <si>
    <t>-673.819373380413 14.0039818183639 -293.985343714984</t>
  </si>
  <si>
    <t>-682.88564243575 10.252748522201 -377.303319628376</t>
  </si>
  <si>
    <t>-689.264790521792 6.81930696572567 -460.883494246273</t>
  </si>
  <si>
    <t>-695.639506731221 2.16133821566723 -583.286805769291</t>
  </si>
  <si>
    <t>-669.456056109799 6.54828183292625 -657.011980912122</t>
  </si>
  <si>
    <t>-699.259685681498 34.8915418335955 -530.410865490408</t>
  </si>
  <si>
    <t>-709.96955898363 189.317335960947 -511.032064325586</t>
  </si>
  <si>
    <t>-783.748698174652 233.64422602678 -242.386684992</t>
  </si>
  <si>
    <t>-562.517685327296 214.461998693394 -174.288036324169</t>
  </si>
  <si>
    <t>-655.339016355438 117.616452716625 -97.4814834897663</t>
  </si>
  <si>
    <t>-650.509181315039 137.644708173943 317.582576034904</t>
  </si>
  <si>
    <t>-669.357862696747 187.933446053536 777.539868185913</t>
  </si>
  <si>
    <t>-518.112412167884 191.63770693947 832.265710398623</t>
  </si>
  <si>
    <t>-616.766090143747 -77.103234041057 321.427764125371</t>
  </si>
  <si>
    <t>-655.068776392517 -110.462627509108 782.060481075785</t>
  </si>
  <si>
    <t>-501.705926852866 -116.908589143771 830.248746830916</t>
  </si>
  <si>
    <t>9763-20170724T115641.960346200.bin</t>
  </si>
  <si>
    <t>-637.300622019059 26.0157286177284 -93.9986059459409</t>
  </si>
  <si>
    <t>-660.985021298052 19.9800412168463 -201.980551108498</t>
  </si>
  <si>
    <t>-673.283250352415 15.7582458635645 -293.941215933443</t>
  </si>
  <si>
    <t>-682.24707274483 12.1366563016359 -377.275955331554</t>
  </si>
  <si>
    <t>-688.502487393887 8.82564541986426 -460.870406631134</t>
  </si>
  <si>
    <t>-694.672975559148 4.33922830920642 -583.290784856333</t>
  </si>
  <si>
    <t>-668.23561371035 8.66344864123039 -656.928855036989</t>
  </si>
  <si>
    <t>-698.190441675264 37.0342684458817 -530.386052461238</t>
  </si>
  <si>
    <t>-707.96457234061 191.513325135585 -510.888644451711</t>
  </si>
  <si>
    <t>-781.390854645247 235.817906313551 -242.14288789895</t>
  </si>
  <si>
    <t>-560.189870581818 215.970073260678 -174.137514996377</t>
  </si>
  <si>
    <t>-654.277491581114 119.231516266952 -97.3705160700547</t>
  </si>
  <si>
    <t>-651.081818823804 137.988983156213 317.768655591684</t>
  </si>
  <si>
    <t>-669.659426347354 187.461957534743 777.814166280492</t>
  </si>
  <si>
    <t>-518.24613276168 190.868528525986 832.093275234841</t>
  </si>
  <si>
    <t>-616.722149945707 -76.392267662977 321.471307061023</t>
  </si>
  <si>
    <t>-654.960134501051 -110.333685763651 782.083479126819</t>
  </si>
  <si>
    <t>-501.662967997462 -116.861269157152 830.469265898116</t>
  </si>
  <si>
    <t>9763-20170724T115642.027701000.bin</t>
  </si>
  <si>
    <t>-636.318148384381 28.0234302545762 -93.8100953548754</t>
  </si>
  <si>
    <t>-660.045109692207 22.4399999979926 -201.80721422225</t>
  </si>
  <si>
    <t>-672.196047276662 18.5404537996271 -293.801541204477</t>
  </si>
  <si>
    <t>-680.955107556109 15.2025094893015 -377.169908889689</t>
  </si>
  <si>
    <t>-686.93217825846 12.1611748999217 -460.795086986178</t>
  </si>
  <si>
    <t>-692.615118598541 8.05491973938706 -583.252289511611</t>
  </si>
  <si>
    <t>-665.524600368097 12.2300369655793 -656.661270543972</t>
  </si>
  <si>
    <t>-695.9357665918 40.6647367228254 -530.2823441402</t>
  </si>
  <si>
    <t>-703.694775098027 195.210614599911 -510.459647615426</t>
  </si>
  <si>
    <t>-776.613733919082 239.770226491919 -241.617984347396</t>
  </si>
  <si>
    <t>-555.428149566515 218.339511288247 -174.044317883287</t>
  </si>
  <si>
    <t>-651.781084991718 121.589157770163 -97.12065678659</t>
  </si>
  <si>
    <t>-651.969780095056 138.568487985643 318.107361340349</t>
  </si>
  <si>
    <t>-670.176636432498 186.745186799984 778.309275448056</t>
  </si>
  <si>
    <t>-518.480294813898 189.637972429513 831.822484692501</t>
  </si>
  <si>
    <t>-616.344255887694 -75.3673965865614 321.569070773119</t>
  </si>
  <si>
    <t>-654.810544614357 -110.136576152769 782.121816307873</t>
  </si>
  <si>
    <t>-501.626049894401 -117.115723996205 830.800659566721</t>
  </si>
  <si>
    <t>9763-20170724T115642.061790700.bin</t>
  </si>
  <si>
    <t>-635.909999124815 28.7285795969894 -93.7365566456684</t>
  </si>
  <si>
    <t>-659.647974085576 23.3598771686723 -201.742136992734</t>
  </si>
  <si>
    <t>-671.692024529142 19.629901609929 -293.757534034925</t>
  </si>
  <si>
    <t>-680.30882054925 16.448676554578 -377.146794583202</t>
  </si>
  <si>
    <t>-686.096910571088 13.5644871364721 -460.790720711889</t>
  </si>
  <si>
    <t>-691.452359461748 9.68912145810305 -583.270256911254</t>
  </si>
  <si>
    <t>-663.997251526226 13.7939576341364 -656.547798664505</t>
  </si>
  <si>
    <t>-694.698625732732 42.2388296266477 -530.258802008317</t>
  </si>
  <si>
    <t>-701.430168850004 196.813527592391 -510.242033203814</t>
  </si>
  <si>
    <t>-774.309302824686 241.682922320337 -241.440968916939</t>
  </si>
  <si>
    <t>-553.162112372288 219.329938667765 -174.040891020961</t>
  </si>
  <si>
    <t>-650.646463079383 122.521970775181 -97.0140987672005</t>
  </si>
  <si>
    <t>-651.912243092912 138.852376228485 318.238012490953</t>
  </si>
  <si>
    <t>-670.303314597212 186.495849536499 778.534827609182</t>
  </si>
  <si>
    <t>-518.531307392237 189.137850835239 831.846174398899</t>
  </si>
  <si>
    <t>-616.240035816359 -74.9435612597497 321.60853656763</t>
  </si>
  <si>
    <t>-654.771455748466 -110.065727543885 782.136215689959</t>
  </si>
  <si>
    <t>-501.618865953106 -117.202903823871 830.892496490287</t>
  </si>
  <si>
    <t>9763-20170724T115642.124189400.bin</t>
  </si>
  <si>
    <t>-635.100384599686 29.5052870484863 -93.5379181425402</t>
  </si>
  <si>
    <t>-658.723319231933 24.5535288485287 -201.588547554443</t>
  </si>
  <si>
    <t>-670.467016867678 21.1882193382241 -293.656941789058</t>
  </si>
  <si>
    <t>-678.732366816566 18.3572612221383 -377.09440210186</t>
  </si>
  <si>
    <t>-684.087446471983 15.8369749774272 -460.778959002198</t>
  </si>
  <si>
    <t>-688.720528117224 12.5096790368318 -583.304080419918</t>
  </si>
  <si>
    <t>-660.700784392611 16.5360675436677 -656.371813366928</t>
  </si>
  <si>
    <t>-691.859164997974 44.8948442685685 -530.185338803369</t>
  </si>
  <si>
    <t>-696.622222847494 199.477467649646 -509.702271570972</t>
  </si>
  <si>
    <t>-769.785635783653 244.744099498629 -241.045145074518</t>
  </si>
  <si>
    <t>-548.797386309396 220.824513533588 -173.6613822999</t>
  </si>
  <si>
    <t>-648.315279101752 123.483453433761 -96.7369064487752</t>
  </si>
  <si>
    <t>-651.523832541963 139.707859561303 318.50888694538</t>
  </si>
  <si>
    <t>-670.377023520894 186.18750931199 778.934184346175</t>
  </si>
  <si>
    <t>-518.557436551611 188.555501052102 832.122679903168</t>
  </si>
  <si>
    <t>-616.276736186661 -74.600761228661 321.710863692593</t>
  </si>
  <si>
    <t>-654.756966346258 -109.891839218132 782.176847061062</t>
  </si>
  <si>
    <t>-501.626701885371 -117.165742502026 830.982952979503</t>
  </si>
  <si>
    <t>9763-20170724T115642.189866100.bin</t>
  </si>
  <si>
    <t>-634.197376190869 30.3179826745966 -93.4089717955817</t>
  </si>
  <si>
    <t>-657.563145137936 25.7012502612636 -201.53028127959</t>
  </si>
  <si>
    <t>-669.008797873962 22.709780766854 -293.649128033882</t>
  </si>
  <si>
    <t>-676.974388594021 20.2654596149762 -377.128005221759</t>
  </si>
  <si>
    <t>-681.998121665565 18.173617038743 -460.844862664845</t>
  </si>
  <si>
    <t>-686.112578288131 15.5181659739012 -583.404873884347</t>
  </si>
  <si>
    <t>-657.773115812195 19.5831988264445 -656.347023824271</t>
  </si>
  <si>
    <t>-689.066114638014 47.6772220960547 -530.138385846544</t>
  </si>
  <si>
    <t>-691.788431116999 202.211905232571 -508.955349002084</t>
  </si>
  <si>
    <t>-765.115314344803 247.170963783248 -240.291110964062</t>
  </si>
  <si>
    <t>-544.269348277336 222.295084862356 -172.787151003208</t>
  </si>
  <si>
    <t>-645.996062916021 124.436705044406 -96.5600777358744</t>
  </si>
  <si>
    <t>-651.034880540165 140.213422708882 318.684785277215</t>
  </si>
  <si>
    <t>-670.36965264582 185.998508953015 779.201543286025</t>
  </si>
  <si>
    <t>-518.557808643281 188.143464755194 832.421605061081</t>
  </si>
  <si>
    <t>-616.348872953016 -74.4276491781391 321.785216054462</t>
  </si>
  <si>
    <t>-654.80664811601 -109.783884934507 782.223170680986</t>
  </si>
  <si>
    <t>-501.675754660515 -117.536230525021 830.953555833162</t>
  </si>
  <si>
    <t>9763-20170724T115642.227371900.bin</t>
  </si>
  <si>
    <t>-633.659832019483 30.2419885053532 -93.3367074895089</t>
  </si>
  <si>
    <t>-656.857781770494 25.7890729652945 -201.501113398398</t>
  </si>
  <si>
    <t>-668.164645092369 22.992325998094 -293.643125513646</t>
  </si>
  <si>
    <t>-676.007033566923 20.7514764120758 -377.139338839361</t>
  </si>
  <si>
    <t>-680.909413281456 18.8875007724462 -460.868809570505</t>
  </si>
  <si>
    <t>-684.848753030965 16.5915060510908 -583.44176003094</t>
  </si>
  <si>
    <t>-656.387638655586 20.71868107771 -656.333107940569</t>
  </si>
  <si>
    <t>-687.696875511857 48.6213726431979 -530.091863157386</t>
  </si>
  <si>
    <t>-689.452796178189 203.113005347242 -508.45391861574</t>
  </si>
  <si>
    <t>-762.507985114233 247.780692817585 -239.667069913227</t>
  </si>
  <si>
    <t>-541.620059619021 222.804099635782 -172.337936149231</t>
  </si>
  <si>
    <t>-644.832600581466 124.233998926255 -96.4467835658382</t>
  </si>
  <si>
    <t>-650.800870682352 140.5831390931 318.763617191634</t>
  </si>
  <si>
    <t>-670.34087988854 185.881163000349 779.301200949485</t>
  </si>
  <si>
    <t>-518.548798359832 188.001469538305 832.578643805513</t>
  </si>
  <si>
    <t>-616.40978095588 -74.6265586638413 321.806800798683</t>
  </si>
  <si>
    <t>-654.849044682187 -109.753567191855 782.240948634445</t>
  </si>
  <si>
    <t>-501.727080832847 -118.102581797802 830.900910275936</t>
  </si>
  <si>
    <t>9763-20170724T115642.259443100.bin</t>
  </si>
  <si>
    <t>-633.020313327079 30.0640309090275 -93.2696714331503</t>
  </si>
  <si>
    <t>-656.068611978529 25.7672133655062 -201.472440696725</t>
  </si>
  <si>
    <t>-667.236964358344 23.1520600547801 -293.636677031941</t>
  </si>
  <si>
    <t>-674.950213843775 21.100595555441 -377.149723514528</t>
  </si>
  <si>
    <t>-679.719150975251 19.4487106377251 -460.891356104414</t>
  </si>
  <si>
    <t>-683.459145670263 17.4873528321791 -583.476386871077</t>
  </si>
  <si>
    <t>-654.885867967227 21.6977328625835 -656.319070284869</t>
  </si>
  <si>
    <t>-686.240087433166 49.393757631497 -530.048971534663</t>
  </si>
  <si>
    <t>-687.307124713124 203.830274264055 -507.995488963423</t>
  </si>
  <si>
    <t>-759.705401998278 248.138041593388 -238.971481293312</t>
  </si>
  <si>
    <t>-538.647997049346 223.311622486654 -172.144936617987</t>
  </si>
  <si>
    <t>-643.640578470401 124.140543100069 -96.3808341500285</t>
  </si>
  <si>
    <t>-650.386412017708 140.805102323834 318.805112399407</t>
  </si>
  <si>
    <t>-670.296171702603 185.753183838861 779.384066913206</t>
  </si>
  <si>
    <t>-518.535049272849 187.897114981241 832.748751996523</t>
  </si>
  <si>
    <t>-616.509925526428 -74.898452417897 321.824573946677</t>
  </si>
  <si>
    <t>-654.939171684974 -109.685211696653 782.255472025562</t>
  </si>
  <si>
    <t>-501.762317704154 -118.024664702744 830.744026981549</t>
  </si>
  <si>
    <t>9763-20170724T115642.326191100.bin</t>
  </si>
  <si>
    <t>-631.915444708326 30.336625943449 -93.2712531618173</t>
  </si>
  <si>
    <t>-654.737798794621 26.3366911980734 -201.533211359925</t>
  </si>
  <si>
    <t>-665.668399753115 24.0920660435409 -293.735815887623</t>
  </si>
  <si>
    <t>-673.149697341159 22.4344041955731 -377.278676870108</t>
  </si>
  <si>
    <t>-677.669358189176 21.2308415169402 -461.041797042883</t>
  </si>
  <si>
    <t>-681.026298161882 19.9864167798537 -583.647207028205</t>
  </si>
  <si>
    <t>-652.256301356299 24.4572842430989 -656.396947940419</t>
  </si>
  <si>
    <t>-683.710803436553 51.6163195659528 -530.050611565047</t>
  </si>
  <si>
    <t>-683.757317686277 205.92551114096 -507.165859517912</t>
  </si>
  <si>
    <t>-754.159610300287 249.337975003768 -237.467038610508</t>
  </si>
  <si>
    <t>-532.517354634384 225.184175115972 -172.353186962675</t>
  </si>
  <si>
    <t>-641.407843796685 124.711331982621 -96.3572022705458</t>
  </si>
  <si>
    <t>-649.206358622741 140.860094425966 318.830713018195</t>
  </si>
  <si>
    <t>-670.140268344204 185.463873250225 779.473293500344</t>
  </si>
  <si>
    <t>-518.478427098335 187.752231194489 833.113488177884</t>
  </si>
  <si>
    <t>-616.722426623113 -75.3321737164906 321.764880137801</t>
  </si>
  <si>
    <t>-655.325444972128 -109.55183726687 782.212854783432</t>
  </si>
  <si>
    <t>-501.969244089921 -118.566392400769 830.008650529975</t>
  </si>
  <si>
    <t>9763-20170724T115642.362288900.bin</t>
  </si>
  <si>
    <t>-631.617207171467 30.5749790274831 -93.2978784432182</t>
  </si>
  <si>
    <t>-654.30073381252 26.7195783403779 -201.594118417028</t>
  </si>
  <si>
    <t>-665.126840878984 24.6592620033396 -293.813426286029</t>
  </si>
  <si>
    <t>-672.519842987438 23.1981301159606 -377.36771351469</t>
  </si>
  <si>
    <t>-676.957232339069 22.2196296322688 -461.138225272625</t>
  </si>
  <si>
    <t>-680.2009631156 21.3353305256981 -583.749906927154</t>
  </si>
  <si>
    <t>-651.361479589868 25.9661711933027 -656.462118140184</t>
  </si>
  <si>
    <t>-682.813384302399 52.8235841694902 -530.066478937957</t>
  </si>
  <si>
    <t>-682.333337410974 207.081028386487 -506.772206367623</t>
  </si>
  <si>
    <t>-751.632005359354 249.804027953955 -236.677868838789</t>
  </si>
  <si>
    <t>-529.625904082674 226.214259867139 -172.604725918501</t>
  </si>
  <si>
    <t>-640.539709836048 124.86173095995 -96.3260860350829</t>
  </si>
  <si>
    <t>-648.74269517902 140.995235734762 318.854647773292</t>
  </si>
  <si>
    <t>-670.062925179747 185.31116175586 779.495265395331</t>
  </si>
  <si>
    <t>-518.459156347507 187.605531928226 833.299255439694</t>
  </si>
  <si>
    <t>-616.946049803249 -75.6003243050393 321.695729410866</t>
  </si>
  <si>
    <t>-655.620311876663 -109.504839529111 782.153688668428</t>
  </si>
  <si>
    <t>-502.135352711398 -119.021677249366 829.4360757374</t>
  </si>
  <si>
    <t>9763-20170724T115642.423981700.bin</t>
  </si>
  <si>
    <t>-631.047495921044 31.1942618982523 -93.4002254450113</t>
  </si>
  <si>
    <t>-653.442984458107 27.5797931961733 -201.7648275821</t>
  </si>
  <si>
    <t>-664.097742959633 25.832717337046 -294.010476525886</t>
  </si>
  <si>
    <t>-671.36699843 24.7094091909091 -377.581000225976</t>
  </si>
  <si>
    <t>-675.711963041574 24.1200171274766 -461.359842006239</t>
  </si>
  <si>
    <t>-678.855787597436 23.8623743028024 -583.977117128287</t>
  </si>
  <si>
    <t>-649.950975190716 28.832310891821 -656.640875673764</t>
  </si>
  <si>
    <t>-681.297854824106 55.1028048834587 -530.141109734699</t>
  </si>
  <si>
    <t>-679.894361500027 209.24444740736 -506.138181314906</t>
  </si>
  <si>
    <t>-746.564976505563 250.578495088754 -235.167447766423</t>
  </si>
  <si>
    <t>-523.815072976962 228.290937199457 -173.245903483013</t>
  </si>
  <si>
    <t>-638.718320188817 125.361989868972 -96.3975438036313</t>
  </si>
  <si>
    <t>-647.867390726115 141.443563342917 318.765406058818</t>
  </si>
  <si>
    <t>-669.94438891055 185.082776758988 779.418930518159</t>
  </si>
  <si>
    <t>-518.439454475412 187.462680523342 833.49681491079</t>
  </si>
  <si>
    <t>-617.624896569606 -76.0834339721232 321.524757612617</t>
  </si>
  <si>
    <t>-656.349400576344 -109.336108541653 781.980350061777</t>
  </si>
  <si>
    <t>-502.475247654306 -118.977420565301 827.954452158204</t>
  </si>
  <si>
    <t>9763-20170724T115642.459074900.bin</t>
  </si>
  <si>
    <t>-630.658078493233 31.5106972586889 -93.5096501553581</t>
  </si>
  <si>
    <t>-652.941857014298 27.9913597068783 -201.900393607262</t>
  </si>
  <si>
    <t>-663.515124526228 26.3681959369226 -294.157535348802</t>
  </si>
  <si>
    <t>-670.716768455565 25.3791428350762 -377.7356539239</t>
  </si>
  <si>
    <t>-675.000165885302 24.9446258071362 -461.518717318975</t>
  </si>
  <si>
    <t>-678.061014010514 24.9362104827273 -584.138256072258</t>
  </si>
  <si>
    <t>-649.120927557896 30.059847265783 -656.777431500523</t>
  </si>
  <si>
    <t>-680.43038068344 56.0804493534097 -530.243305083451</t>
  </si>
  <si>
    <t>-678.482173124444 210.166071352152 -505.928031433814</t>
  </si>
  <si>
    <t>-743.927287238938 250.758155666639 -234.546675491552</t>
  </si>
  <si>
    <t>-520.808676927874 229.206676879336 -173.701366046629</t>
  </si>
  <si>
    <t>-637.801069365559 125.662386805131 -96.4995460156715</t>
  </si>
  <si>
    <t>-647.466440764327 141.585767022661 318.657876854173</t>
  </si>
  <si>
    <t>-669.931429743076 184.953352275232 779.329749361965</t>
  </si>
  <si>
    <t>-518.468807170224 187.146120098499 833.533895442816</t>
  </si>
  <si>
    <t>-617.972523928087 -76.2337362699911 321.390046596576</t>
  </si>
  <si>
    <t>-656.686663457378 -109.245910753338 781.877213180106</t>
  </si>
  <si>
    <t>-502.642819861554 -119.123951223359 827.228533559623</t>
  </si>
  <si>
    <t>9763-20170724T115642.524756200.bin</t>
  </si>
  <si>
    <t>-629.905919364839 32.3853266803899 -93.6930273594768</t>
  </si>
  <si>
    <t>-651.888446592132 29.010395094303 -202.149871719773</t>
  </si>
  <si>
    <t>-662.256539932409 27.5306936367169 -294.432835450354</t>
  </si>
  <si>
    <t>-669.293802015032 26.6867995186549 -378.026472824478</t>
  </si>
  <si>
    <t>-673.433670684422 26.4088265161979 -461.817395605672</t>
  </si>
  <si>
    <t>-676.307768944858 26.6418695131645 -584.441290435556</t>
  </si>
  <si>
    <t>-647.275545078435 31.9902679131319 -657.027348633659</t>
  </si>
  <si>
    <t>-678.534353911946 57.7059387016081 -530.494023409581</t>
  </si>
  <si>
    <t>-675.556189851469 211.736094752814 -505.904388794964</t>
  </si>
  <si>
    <t>-738.483325210102 251.068575020935 -233.743082255601</t>
  </si>
  <si>
    <t>-514.679505678848 230.945515870925 -174.960113236155</t>
  </si>
  <si>
    <t>-636.118383350085 126.399899670185 -96.7260194693575</t>
  </si>
  <si>
    <t>-646.630919987257 142.017069994127 318.422418414783</t>
  </si>
  <si>
    <t>-669.896536405863 184.83119641059 779.100834168289</t>
  </si>
  <si>
    <t>-518.505731434939 187.06745795502 833.50356916546</t>
  </si>
  <si>
    <t>-618.261802511627 -76.3113648678332 321.214562803908</t>
  </si>
  <si>
    <t>-657.159053487004 -109.135564593425 781.726898387003</t>
  </si>
  <si>
    <t>-502.879730250337 -119.506476450016 826.158352131172</t>
  </si>
  <si>
    <t>9763-20170724T115642.589438100.bin</t>
  </si>
  <si>
    <t>-628.761461328358 33.1755084216418 -93.7891452571663</t>
  </si>
  <si>
    <t>-650.612001225055 29.8817259164507 -202.27512503366</t>
  </si>
  <si>
    <t>-660.85603520081 28.4187956199844 -294.572241076082</t>
  </si>
  <si>
    <t>-667.776283818276 27.5731503449126 -378.175544774307</t>
  </si>
  <si>
    <t>-671.793590535998 27.2725626500767 -461.972397360109</t>
  </si>
  <si>
    <t>-674.482298440491 27.4488447405745 -584.600651442511</t>
  </si>
  <si>
    <t>-645.373787811875 32.8769833384167 -657.150269053778</t>
  </si>
  <si>
    <t>-676.579755562404 58.5607571996798 -530.675803241902</t>
  </si>
  <si>
    <t>-672.617954674367 212.610347623875 -506.32212395868</t>
  </si>
  <si>
    <t>-733.295770930677 251.355578189385 -233.566521694892</t>
  </si>
  <si>
    <t>-508.912512077129 233.042357696371 -176.423630099455</t>
  </si>
  <si>
    <t>-634.403760451169 127.165540758149 -96.8869126396809</t>
  </si>
  <si>
    <t>-645.760678023338 142.35072322666 318.255269123403</t>
  </si>
  <si>
    <t>-669.912925761943 184.717507686968 778.881713264009</t>
  </si>
  <si>
    <t>-518.57668385182 186.862045181938 833.4395488379</t>
  </si>
  <si>
    <t>-617.783169090092 -76.1839464108868 321.150620202358</t>
  </si>
  <si>
    <t>-657.318021455351 -108.9963949081 781.648217573481</t>
  </si>
  <si>
    <t>-502.963480756038 -120.043050931233 825.653519267206</t>
  </si>
  <si>
    <t>9763-20170724T115642.626036600.bin</t>
  </si>
  <si>
    <t>-628.134439642448 33.5908952810225 -93.8268157910237</t>
  </si>
  <si>
    <t>-649.968316486374 30.3044246641175 -202.31636648184</t>
  </si>
  <si>
    <t>-660.210350410014 28.8079356076312 -294.613099711177</t>
  </si>
  <si>
    <t>-667.133393219018 27.916913992583 -378.215686761535</t>
  </si>
  <si>
    <t>-671.157785228972 27.5536183549518 -462.011982742088</t>
  </si>
  <si>
    <t>-673.861354463536 27.6184135117744 -584.639928238699</t>
  </si>
  <si>
    <t>-644.754667805628 33.0323836425152 -657.191335493243</t>
  </si>
  <si>
    <t>-675.864772186948 58.7883863706836 -530.745074889971</t>
  </si>
  <si>
    <t>-671.453504229345 212.874191792568 -506.689246215613</t>
  </si>
  <si>
    <t>-730.535055924759 251.253578259763 -233.531718932618</t>
  </si>
  <si>
    <t>-505.842741901201 234.475860971672 -177.136843007223</t>
  </si>
  <si>
    <t>-633.657526291413 127.568703174719 -96.9458000517052</t>
  </si>
  <si>
    <t>-645.321349271553 142.52403654243 318.196222413723</t>
  </si>
  <si>
    <t>-669.925364556429 184.660684225357 778.800871901977</t>
  </si>
  <si>
    <t>-518.613315871247 186.715224693914 833.429190054545</t>
  </si>
  <si>
    <t>-617.36378075811 -75.9950828635547 321.146261260632</t>
  </si>
  <si>
    <t>-657.340660359283 -108.933735867647 781.621057311899</t>
  </si>
  <si>
    <t>-502.943126668334 -119.877210478389 825.501202855393</t>
  </si>
  <si>
    <t>9763-20170724T115642.661130800.bin</t>
  </si>
  <si>
    <t>-627.5451802672 34.0255181826897 -93.8477528597357</t>
  </si>
  <si>
    <t>-649.378769374321 30.7158097633767 -202.336624137628</t>
  </si>
  <si>
    <t>-659.663922693899 29.161311872163 -294.627624378197</t>
  </si>
  <si>
    <t>-666.643156564783 28.2016077947778 -378.224860747034</t>
  </si>
  <si>
    <t>-670.740781444669 27.7511781635835 -462.01720374368</t>
  </si>
  <si>
    <t>-673.569556591842 27.6678572990647 -584.642290005441</t>
  </si>
  <si>
    <t>-644.51082770543 33.0304892415706 -657.216670623929</t>
  </si>
  <si>
    <t>-675.443749095316 58.9104685391335 -530.784759383517</t>
  </si>
  <si>
    <t>-670.721039931561 213.025836577095 -507.023262126975</t>
  </si>
  <si>
    <t>-727.573718109848 250.681530666531 -233.292807514614</t>
  </si>
  <si>
    <t>-502.506867173189 236.153520279608 -177.773556604194</t>
  </si>
  <si>
    <t>-633.022963001282 128.006872523475 -97.0040836264543</t>
  </si>
  <si>
    <t>-644.88322097155 142.757643668868 318.139716633584</t>
  </si>
  <si>
    <t>-669.927071376188 184.630402293003 778.72843082278</t>
  </si>
  <si>
    <t>-518.63668504348 186.808246957894 833.412092746215</t>
  </si>
  <si>
    <t>-616.921425413904 -75.7288709962324 321.158821627536</t>
  </si>
  <si>
    <t>-657.345870358402 -108.848796976507 781.598815017245</t>
  </si>
  <si>
    <t>-502.926009883428 -119.83712515179 825.389124777525</t>
  </si>
  <si>
    <t>9763-20170724T115642.724919600.bin</t>
  </si>
  <si>
    <t>-626.450649653225 34.94931969142 -93.8646263767185</t>
  </si>
  <si>
    <t>-648.347996759869 31.5135819997181 -202.336647020147</t>
  </si>
  <si>
    <t>-658.750193210445 29.8511287935951 -294.612735918766</t>
  </si>
  <si>
    <t>-665.859913833727 28.7895059118262 -378.197793085721</t>
  </si>
  <si>
    <t>-670.112247261238 28.2283849041598 -461.981661418312</t>
  </si>
  <si>
    <t>-673.193214052293 27.9702240546146 -584.60050939448</t>
  </si>
  <si>
    <t>-644.339560574832 33.2226600100985 -657.264733868701</t>
  </si>
  <si>
    <t>-674.810142070035 59.3038572975297 -530.787545735313</t>
  </si>
  <si>
    <t>-669.544870089704 213.473266731415 -507.490088206771</t>
  </si>
  <si>
    <t>-720.470428506782 248.977696359895 -232.309130849801</t>
  </si>
  <si>
    <t>-494.423638613752 240.117282403815 -179.650954183192</t>
  </si>
  <si>
    <t>-632.00575671893 128.878856544744 -97.1202333398624</t>
  </si>
  <si>
    <t>-644.211571451467 143.237492489322 318.027253784287</t>
  </si>
  <si>
    <t>-669.968520686064 184.551293772879 778.602787073965</t>
  </si>
  <si>
    <t>-518.710393523231 186.667085056754 833.378008411012</t>
  </si>
  <si>
    <t>-616.0547149631 -75.1347039187854 321.24317717328</t>
  </si>
  <si>
    <t>-657.323120279586 -108.715221694251 781.564519369076</t>
  </si>
  <si>
    <t>-502.887078645372 -119.957049918794 825.233105083745</t>
  </si>
  <si>
    <t>9763-20170724T115642.789596700.bin</t>
  </si>
  <si>
    <t>-625.616921815037 35.7137323749398 -93.8995297801782</t>
  </si>
  <si>
    <t>-647.571992106025 32.1422607572724 -202.355529016654</t>
  </si>
  <si>
    <t>-658.106109375608 30.3527685044669 -294.614254660158</t>
  </si>
  <si>
    <t>-665.368333715226 29.1681763845597 -378.184627598859</t>
  </si>
  <si>
    <t>-669.80616462673 28.4749625662525 -461.957812063676</t>
  </si>
  <si>
    <t>-673.194191967641 28.0122673296091 -584.567901774049</t>
  </si>
  <si>
    <t>-644.63900068201 33.1816469430521 -657.355901643532</t>
  </si>
  <si>
    <t>-674.638370671992 59.4392711220323 -530.80455101665</t>
  </si>
  <si>
    <t>-669.163470573704 213.73754145315 -508.414373899181</t>
  </si>
  <si>
    <t>-711.581826482822 246.947906917873 -231.509392169188</t>
  </si>
  <si>
    <t>-484.589657630087 244.702522937602 -182.336075465574</t>
  </si>
  <si>
    <t>-631.269678871189 129.62096661729 -97.2519185203332</t>
  </si>
  <si>
    <t>-643.626320549285 143.647916276818 317.902460463252</t>
  </si>
  <si>
    <t>-670.0193866423 184.491927341906 778.47792204951</t>
  </si>
  <si>
    <t>-518.781489962553 186.562328619967 833.310682513777</t>
  </si>
  <si>
    <t>-615.333423295152 -74.8031078806328 321.295099823075</t>
  </si>
  <si>
    <t>-657.267254607841 -108.535567679745 781.539663451505</t>
  </si>
  <si>
    <t>-502.797155440828 -119.591707451363 825.135196592068</t>
  </si>
  <si>
    <t>9763-20170724T115642.827732600.bin</t>
  </si>
  <si>
    <t>-625.342307829343 36.0998935690623 -93.9005918892243</t>
  </si>
  <si>
    <t>-647.332834953375 32.4580932250713 -202.347159695375</t>
  </si>
  <si>
    <t>-657.959305921837 30.5969409242757 -294.593822384797</t>
  </si>
  <si>
    <t>-665.329936941235 29.3411740413337 -378.153538183909</t>
  </si>
  <si>
    <t>-669.901272799076 28.5698245932106 -461.919050561653</t>
  </si>
  <si>
    <t>-673.511849070876 27.9848210293792 -584.522165660911</t>
  </si>
  <si>
    <t>-645.118519145509 33.1029815851066 -657.377056743271</t>
  </si>
  <si>
    <t>-674.866031090657 59.4647582864266 -530.787443702728</t>
  </si>
  <si>
    <t>-669.34605394521 213.805744369479 -508.786465661541</t>
  </si>
  <si>
    <t>-706.206770129166 245.870587638737 -230.952485001903</t>
  </si>
  <si>
    <t>-478.870379294004 246.842210055931 -183.352521032615</t>
  </si>
  <si>
    <t>-631.122305579207 130.064373200131 -97.3090066008049</t>
  </si>
  <si>
    <t>-643.436835694623 143.834868238967 317.855232041384</t>
  </si>
  <si>
    <t>-670.043123071684 184.45820746258 778.427342190336</t>
  </si>
  <si>
    <t>-518.813945832727 186.622813061586 833.280506841024</t>
  </si>
  <si>
    <t>-615.027748555703 -74.6008591859274 321.318762696259</t>
  </si>
  <si>
    <t>-657.237770398976 -108.481941402649 781.533902992059</t>
  </si>
  <si>
    <t>-502.783343194241 -119.843703071891 825.106353367533</t>
  </si>
  <si>
    <t>9763-20170724T115642.859816800.bin</t>
  </si>
  <si>
    <t>-625.088953974932 36.5391199776332 -93.9110035989594</t>
  </si>
  <si>
    <t>-647.105322150966 32.8162092890641 -202.34955676367</t>
  </si>
  <si>
    <t>-657.85665865929 30.8904463873207 -294.580382380625</t>
  </si>
  <si>
    <t>-665.381567750739 29.5755224239899 -378.125443572686</t>
  </si>
  <si>
    <t>-670.148797069397 28.7436865176132 -461.879457629581</t>
  </si>
  <si>
    <t>-674.091080464628 28.0684535055343 -584.471956070402</t>
  </si>
  <si>
    <t>-645.875269353536 33.1316620712917 -657.399575727716</t>
  </si>
  <si>
    <t>-675.305310475284 59.587410319054 -530.756761225397</t>
  </si>
  <si>
    <t>-669.527469458855 213.957865761807 -508.961613758911</t>
  </si>
  <si>
    <t>-700.790388551863 244.988546755599 -230.325059248805</t>
  </si>
  <si>
    <t>-473.142686224223 248.394322138841 -184.352839549213</t>
  </si>
  <si>
    <t>-631.018950107748 130.511922109411 -97.3604424629057</t>
  </si>
  <si>
    <t>-643.351289924932 144.036555760192 317.81127578118</t>
  </si>
  <si>
    <t>-670.106012763398 184.38376122304 778.385814081875</t>
  </si>
  <si>
    <t>-518.87862695156 186.390863869168 833.25002819444</t>
  </si>
  <si>
    <t>-614.723856273354 -74.2778156812321 321.344059688091</t>
  </si>
  <si>
    <t>-657.211348859649 -108.397513341133 781.520014014407</t>
  </si>
  <si>
    <t>-502.73704276796 -119.635306507844 825.054162341645</t>
  </si>
  <si>
    <t>9763-20170724T115642.923063700.bin</t>
  </si>
  <si>
    <t>-624.573798340713 37.4621857169286 -93.9541653784454</t>
  </si>
  <si>
    <t>-646.589647059218 33.5657564503013 -202.386851277495</t>
  </si>
  <si>
    <t>-657.570074227908 31.4929187124978 -294.587387760758</t>
  </si>
  <si>
    <t>-665.394052231485 30.0383001025311 -378.102827120139</t>
  </si>
  <si>
    <t>-670.552388485407 29.0586171593577 -461.831868246454</t>
  </si>
  <si>
    <t>-675.167172581786 28.1550515066706 -584.399447902647</t>
  </si>
  <si>
    <t>-647.294802707121 33.0937732462078 -657.467564489588</t>
  </si>
  <si>
    <t>-676.069180977399 59.7756261401964 -530.737841170826</t>
  </si>
  <si>
    <t>-669.612522636901 214.168958408727 -509.359173257472</t>
  </si>
  <si>
    <t>-689.746288854172 243.320895790454 -229.495973299727</t>
  </si>
  <si>
    <t>-461.933810881066 251.112057573227 -184.894423253706</t>
  </si>
  <si>
    <t>-630.86775024385 131.325998085499 -97.4664830778352</t>
  </si>
  <si>
    <t>-643.295487919947 144.49857219796 317.713742081078</t>
  </si>
  <si>
    <t>-670.178302761939 184.327939363852 778.309345787256</t>
  </si>
  <si>
    <t>-518.95139498367 186.452356646923 833.170401514358</t>
  </si>
  <si>
    <t>-614.099914081542 -73.4642200635208 321.405089202826</t>
  </si>
  <si>
    <t>-657.163492484699 -108.231180233813 781.490891180518</t>
  </si>
  <si>
    <t>-502.668530896282 -119.454303997964 824.955553464699</t>
  </si>
  <si>
    <t>9763-20170724T115642.961161800.bin</t>
  </si>
  <si>
    <t>-624.359817944495 37.9030515715228 -93.9622027646386</t>
  </si>
  <si>
    <t>-646.338417650338 33.9366289383381 -202.399796424462</t>
  </si>
  <si>
    <t>-657.404331816606 31.8030723111358 -294.588899172168</t>
  </si>
  <si>
    <t>-665.35244965915 30.2898968075881 -378.091362586714</t>
  </si>
  <si>
    <t>-670.681916336413 29.2468716827548 -461.809090053762</t>
  </si>
  <si>
    <t>-675.59823834921 28.2442436205515 -584.364081439643</t>
  </si>
  <si>
    <t>-647.901671288743 33.137154047846 -657.50215517796</t>
  </si>
  <si>
    <t>-676.348019300165 59.9101073820498 -530.726860149761</t>
  </si>
  <si>
    <t>-669.357625197517 214.272991890273 -509.335187156175</t>
  </si>
  <si>
    <t>-683.870397330028 242.56792404497 -229.036449295394</t>
  </si>
  <si>
    <t>-456.074982444756 251.56419054222 -184.574662778799</t>
  </si>
  <si>
    <t>-630.826572184133 131.714896277907 -97.5129094304461</t>
  </si>
  <si>
    <t>-643.304738093185 144.714271580569 317.67122890107</t>
  </si>
  <si>
    <t>-670.22838749483 184.287771727279 778.285608958953</t>
  </si>
  <si>
    <t>-518.997953978384 186.306653459642 833.14087443349</t>
  </si>
  <si>
    <t>-613.791067785784 -73.0771274473852 321.435674925737</t>
  </si>
  <si>
    <t>-657.135494396579 -108.160490819351 781.476144692975</t>
  </si>
  <si>
    <t>-502.638547877852 -119.468494281484 824.911676432823</t>
  </si>
  <si>
    <t>9763-20170724T115643.027978900.bin</t>
  </si>
  <si>
    <t>-623.75777852778 38.7935652877566 -93.9661863992071</t>
  </si>
  <si>
    <t>-645.69940702975 34.7465479765438 -202.408297129926</t>
  </si>
  <si>
    <t>-656.933761016376 32.5772175468542 -294.576101297647</t>
  </si>
  <si>
    <t>-665.114318691265 31.041343235036 -378.055837727296</t>
  </si>
  <si>
    <t>-670.756377402683 29.9821389344306 -461.752717354412</t>
  </si>
  <si>
    <t>-676.217234232188 28.9605299881077 -584.284674725767</t>
  </si>
  <si>
    <t>-648.833307486731 33.7591600381695 -657.546487524096</t>
  </si>
  <si>
    <t>-676.611422200205 60.6452520476523 -530.654840956244</t>
  </si>
  <si>
    <t>-668.657144199859 214.963428550987 -509.207420055334</t>
  </si>
  <si>
    <t>-674.677924792888 241.517509685532 -228.427873554723</t>
  </si>
  <si>
    <t>-446.873564388923 251.67329861803 -184.262405035661</t>
  </si>
  <si>
    <t>-630.329277973436 132.663792155203 -97.594747994973</t>
  </si>
  <si>
    <t>-643.120735191587 145.200043480593 317.594171482996</t>
  </si>
  <si>
    <t>-670.323419453442 184.226958756448 778.242564993406</t>
  </si>
  <si>
    <t>-519.093373779149 186.105704108845 833.103848044248</t>
  </si>
  <si>
    <t>-613.343091342988 -72.3507938532389 321.482196592021</t>
  </si>
  <si>
    <t>-657.079129307633 -107.957852529304 781.442661543832</t>
  </si>
  <si>
    <t>-502.553150373805 -119.104908131889 824.816416397266</t>
  </si>
  <si>
    <t>9763-20170724T115643.091648500.bin</t>
  </si>
  <si>
    <t>-623.079118885477 39.5608149497457 -93.9901202592838</t>
  </si>
  <si>
    <t>-644.953826234044 35.5635629026062 -202.447452561432</t>
  </si>
  <si>
    <t>-656.331786963361 33.3390713382 -294.596551851756</t>
  </si>
  <si>
    <t>-664.723218050033 31.7174648095872 -378.05363136428</t>
  </si>
  <si>
    <t>-670.657550930622 30.5338629516327 -461.728708707933</t>
  </si>
  <si>
    <t>-676.63493068833 29.2881182146918 -584.234457853971</t>
  </si>
  <si>
    <t>-649.425818623919 33.914231889534 -657.572454949568</t>
  </si>
  <si>
    <t>-676.678965493202 61.0817852322 -530.667658266833</t>
  </si>
  <si>
    <t>-668.267868620616 215.410981501012 -509.411065642059</t>
  </si>
  <si>
    <t>-666.779103452333 240.019705161787 -228.393627435555</t>
  </si>
  <si>
    <t>-439.777239818605 252.122603547463 -180.726145563947</t>
  </si>
  <si>
    <t>-629.342014844754 133.608837329665 -97.6509109682831</t>
  </si>
  <si>
    <t>-642.492496372724 145.609495292193 317.542613564405</t>
  </si>
  <si>
    <t>-670.348252513436 184.235174667595 778.198483304082</t>
  </si>
  <si>
    <t>-519.142831869614 186.203030414435 833.124715621174</t>
  </si>
  <si>
    <t>-612.939423257825 -71.7653474678261 321.495646438556</t>
  </si>
  <si>
    <t>-656.989119710919 -107.782587760977 781.423829120288</t>
  </si>
  <si>
    <t>-502.479912251564 -119.12609749717 824.806493870199</t>
  </si>
  <si>
    <t>9763-20170724T115643.125150300.bin</t>
  </si>
  <si>
    <t>-622.716962718867 39.9900893028273 -93.9604110754441</t>
  </si>
  <si>
    <t>-644.594596626431 36.0251286108848 -202.418490510141</t>
  </si>
  <si>
    <t>-656.039552149592 33.7909113846617 -294.558780172418</t>
  </si>
  <si>
    <t>-664.517776839828 32.1470925334654 -378.006786497457</t>
  </si>
  <si>
    <t>-670.565035680969 30.9257976387826 -461.673210142177</t>
  </si>
  <si>
    <t>-676.73605651236 29.6075333590261 -584.168467728811</t>
  </si>
  <si>
    <t>-649.571814398849 34.1458918597109 -657.528779246677</t>
  </si>
  <si>
    <t>-676.593347556114 61.4414125407147 -530.62566955544</t>
  </si>
  <si>
    <t>-667.44524389746 215.702270561869 -509.211478103172</t>
  </si>
  <si>
    <t>-664.647828019926 239.73613044553 -228.154379905504</t>
  </si>
  <si>
    <t>-437.998073469336 250.435974640591 -178.516356113479</t>
  </si>
  <si>
    <t>-628.801416064178 134.173277155914 -97.6510187711597</t>
  </si>
  <si>
    <t>-642.181035442265 145.849139573055 317.544512729152</t>
  </si>
  <si>
    <t>-670.351478893599 184.22161441176 778.191290755115</t>
  </si>
  <si>
    <t>-519.168805283122 186.06771536821 833.184205873377</t>
  </si>
  <si>
    <t>-612.798786021347 -71.4895089087659 321.521141469846</t>
  </si>
  <si>
    <t>-656.952332180027 -107.710488753073 781.421677026754</t>
  </si>
  <si>
    <t>-502.449642227072 -119.1768091126 824.795150932358</t>
  </si>
  <si>
    <t>9763-20170724T115643.189321000.bin</t>
  </si>
  <si>
    <t>-621.703053838613 40.6871890774817 -93.9847556401068</t>
  </si>
  <si>
    <t>-643.598136665787 36.7824355281641 -202.441495894585</t>
  </si>
  <si>
    <t>-655.122628376316 34.5100398875616 -294.571110020062</t>
  </si>
  <si>
    <t>-663.69898407813 32.799939780042 -378.00759373136</t>
  </si>
  <si>
    <t>-669.870300087501 31.4754123967739 -461.663374762618</t>
  </si>
  <si>
    <t>-676.250904905315 29.9642371897219 -584.145744316214</t>
  </si>
  <si>
    <t>-649.093787957748 34.2509255411358 -657.523732728088</t>
  </si>
  <si>
    <t>-675.763038942415 61.9020046137127 -530.667026294308</t>
  </si>
  <si>
    <t>-665.080593553786 216.065335636048 -509.23760114411</t>
  </si>
  <si>
    <t>-663.566961447907 239.945967544353 -228.157561771247</t>
  </si>
  <si>
    <t>-438.51999566117 247.144597557352 -171.14371378886</t>
  </si>
  <si>
    <t>-627.279998068457 135.094510876261 -97.6901991562667</t>
  </si>
  <si>
    <t>-641.421811744046 146.320397846147 317.492367194464</t>
  </si>
  <si>
    <t>-670.345321542331 184.196113282238 778.161992846549</t>
  </si>
  <si>
    <t>-519.216055080646 185.879359638608 833.30672763156</t>
  </si>
  <si>
    <t>-612.358496895044 -70.82465084826 321.554587492551</t>
  </si>
  <si>
    <t>-656.867191694354 -107.60089482566 781.413918952789</t>
  </si>
  <si>
    <t>-502.405895257028 -119.582940254749 824.795518723095</t>
  </si>
  <si>
    <t>9763-20170724T115643.225969500.bin</t>
  </si>
  <si>
    <t>-621.186807167883 40.9310529626262 -93.9622579021261</t>
  </si>
  <si>
    <t>-643.113915536348 37.0711910393361 -202.414148852655</t>
  </si>
  <si>
    <t>-654.681148027341 34.7933881501915 -294.538227709417</t>
  </si>
  <si>
    <t>-663.302469919899 33.063746310286 -377.969730786002</t>
  </si>
  <si>
    <t>-669.525143635432 31.7024414429261 -461.621108896042</t>
  </si>
  <si>
    <t>-675.987717136849 30.1183389712633 -584.098345220751</t>
  </si>
  <si>
    <t>-648.834492768714 34.2910358687418 -657.484288956626</t>
  </si>
  <si>
    <t>-675.357894273744 62.0956225674045 -530.644490281202</t>
  </si>
  <si>
    <t>-663.982490183712 216.212938448469 -509.291304298019</t>
  </si>
  <si>
    <t>-664.841539028743 240.095122300479 -228.208424119468</t>
  </si>
  <si>
    <t>-440.992142447278 245.623894105002 -166.488263582991</t>
  </si>
  <si>
    <t>-626.597301524318 135.472420521828 -97.6886415143092</t>
  </si>
  <si>
    <t>-640.966420039755 146.470009798641 317.492351307735</t>
  </si>
  <si>
    <t>-670.338739877674 184.160974785651 778.152143640692</t>
  </si>
  <si>
    <t>-519.232823764764 185.906618915644 833.358838557534</t>
  </si>
  <si>
    <t>-611.9929101837 -70.453658855203 321.59995589177</t>
  </si>
  <si>
    <t>-656.829934122725 -107.512448645192 781.409785918235</t>
  </si>
  <si>
    <t>-502.358440383152 -119.4013494126 824.780645728508</t>
  </si>
  <si>
    <t>9763-20170724T115643.260059900.bin</t>
  </si>
  <si>
    <t>-620.650823875544 41.1379630342972 -93.9231143206482</t>
  </si>
  <si>
    <t>-642.665783867425 37.3084277435694 -202.358136299854</t>
  </si>
  <si>
    <t>-654.282433761819 35.0428608937536 -294.476388577084</t>
  </si>
  <si>
    <t>-662.938581845669 33.3208136249318 -377.904416517307</t>
  </si>
  <si>
    <t>-669.185954027609 31.9620145258878 -461.554137504954</t>
  </si>
  <si>
    <t>-675.673488134882 30.3757792266192 -584.02983867143</t>
  </si>
  <si>
    <t>-648.526144040879 34.4558463546568 -657.423212312884</t>
  </si>
  <si>
    <t>-674.935487318556 62.360662018707 -530.582148511588</t>
  </si>
  <si>
    <t>-662.995776603478 216.433896939345 -509.260800251762</t>
  </si>
  <si>
    <t>-666.855865518862 240.446146583368 -228.214296199959</t>
  </si>
  <si>
    <t>-444.188374891092 243.987935492682 -162.220664153153</t>
  </si>
  <si>
    <t>-625.918036827688 135.878621067413 -97.6863106056078</t>
  </si>
  <si>
    <t>-640.506257851003 146.56546198617 317.495079242826</t>
  </si>
  <si>
    <t>-670.343374153898 184.086462090587 778.148954802707</t>
  </si>
  <si>
    <t>-519.259083494553 185.773619717974 833.416577470383</t>
  </si>
  <si>
    <t>-611.683444000481 -70.0330795202422 321.657681955019</t>
  </si>
  <si>
    <t>-656.805924029041 -107.419292805848 781.410384059302</t>
  </si>
  <si>
    <t>-502.334095076062 -119.368376754281 824.76353419125</t>
  </si>
  <si>
    <t>9763-20170724T115643.323851100.bin</t>
  </si>
  <si>
    <t>-619.524483954224 41.5276250101949 -93.9281819908745</t>
  </si>
  <si>
    <t>-641.747320975225 37.7249493663198 -202.321835395128</t>
  </si>
  <si>
    <t>-653.430026914085 35.4642655311557 -294.431667476549</t>
  </si>
  <si>
    <t>-662.101802733895 33.7430611068928 -377.85819247138</t>
  </si>
  <si>
    <t>-668.320209583959 32.3788306557947 -461.509892618638</t>
  </si>
  <si>
    <t>-674.716313817713 30.7773003222114 -583.990247903295</t>
  </si>
  <si>
    <t>-647.478551909772 34.6573965278988 -657.361006257809</t>
  </si>
  <si>
    <t>-673.86713940212 62.7785189088527 -530.554049905611</t>
  </si>
  <si>
    <t>-660.894117676459 216.751378174294 -508.994626804137</t>
  </si>
  <si>
    <t>-671.444229895345 240.131024873291 -228.066312274356</t>
  </si>
  <si>
    <t>-451.065659355241 239.997310244589 -154.705647012344</t>
  </si>
  <si>
    <t>-669.952426515421 0.181376632267302 -529.939899737607</t>
  </si>
  <si>
    <t>-624.4468045966 136.533176293533 -97.7161275351774</t>
  </si>
  <si>
    <t>-639.612377263813 146.678266417711 317.45809759703</t>
  </si>
  <si>
    <t>-670.361249553215 183.933550450905 778.107883841632</t>
  </si>
  <si>
    <t>-519.311435256121 185.561501563482 833.471535420215</t>
  </si>
  <si>
    <t>-611.129421434343 -69.3398702173295 321.743031609778</t>
  </si>
  <si>
    <t>-656.75066848108 -107.233614263242 781.40715063524</t>
  </si>
  <si>
    <t>-502.308354909428 -119.643586013851 824.735955774832</t>
  </si>
  <si>
    <t>9763-20170724T115643.355936500.bin</t>
  </si>
  <si>
    <t>-619.108252360406 41.7703847644057 -93.9328299949226</t>
  </si>
  <si>
    <t>-641.394520659032 37.9680255859835 -202.313583827386</t>
  </si>
  <si>
    <t>-653.097337381199 35.6835852541317 -294.420300522353</t>
  </si>
  <si>
    <t>-661.773634269826 33.9324276570289 -377.845691954515</t>
  </si>
  <si>
    <t>-667.982947988025 32.5288404997018 -461.497359960134</t>
  </si>
  <si>
    <t>-674.350661944026 30.8595721500571 -583.978275448673</t>
  </si>
  <si>
    <t>-647.040537479433 34.6554272788226 -657.326535761864</t>
  </si>
  <si>
    <t>-673.476667657544 62.8927810877262 -530.561441941835</t>
  </si>
  <si>
    <t>-660.12754086663 216.796572833429 -508.83680083692</t>
  </si>
  <si>
    <t>-673.979497588805 239.722660134372 -228.014672220768</t>
  </si>
  <si>
    <t>-454.785677759487 238.000499660669 -151.205602268565</t>
  </si>
  <si>
    <t>-669.636442792606 0.291349696124144 -529.907929923358</t>
  </si>
  <si>
    <t>-623.944284856549 136.829623366431 -97.7298663518924</t>
  </si>
  <si>
    <t>-639.255979035353 146.747481661667 317.444504278359</t>
  </si>
  <si>
    <t>-670.368866493872 183.871190747343 778.080944489301</t>
  </si>
  <si>
    <t>-519.333194721699 185.531742549295 833.482145729246</t>
  </si>
  <si>
    <t>-610.837465120358 -69.0889138167172 321.769283667513</t>
  </si>
  <si>
    <t>-656.715910993187 -107.159345653482 781.406223050617</t>
  </si>
  <si>
    <t>-502.304161066092 -119.923401135425 824.741051780679</t>
  </si>
  <si>
    <t>9763-20170724T115643.428864400.bin</t>
  </si>
  <si>
    <t>-618.422316915912 42.195661268986 -93.9038903758849</t>
  </si>
  <si>
    <t>-640.877010664236 38.3476078511965 -202.248197849378</t>
  </si>
  <si>
    <t>-652.652808188377 36.0066310080038 -294.34414208848</t>
  </si>
  <si>
    <t>-661.366871365476 34.1966264491887 -377.764455846821</t>
  </si>
  <si>
    <t>-667.585599452501 32.7254605695548 -461.414267326584</t>
  </si>
  <si>
    <t>-673.935692741294 30.9476101668263 -583.89461397143</t>
  </si>
  <si>
    <t>-646.507040259159 34.6618783772344 -657.202749549637</t>
  </si>
  <si>
    <t>-673.043239732147 63.0296088786947 -530.507473828317</t>
  </si>
  <si>
    <t>-658.891683668466 216.776903940498 -508.165722257941</t>
  </si>
  <si>
    <t>-678.895197382757 240.04682778636 -227.742810993231</t>
  </si>
  <si>
    <t>-461.93690607018 234.837406890759 -144.975258778522</t>
  </si>
  <si>
    <t>-669.255412262736 0.425814282263673 -529.795136803913</t>
  </si>
  <si>
    <t>-623.311105485566 137.331655936708 -97.7430484990189</t>
  </si>
  <si>
    <t>-638.957746710436 146.869534386517 317.427804834538</t>
  </si>
  <si>
    <t>-670.408523199031 183.693832103279 778.049249564864</t>
  </si>
  <si>
    <t>-519.395525303322 185.33178978167 833.512940601417</t>
  </si>
  <si>
    <t>-610.387438997625 -68.5998576942648 321.817494201005</t>
  </si>
  <si>
    <t>-656.655861870497 -106.939692599732 781.402626549199</t>
  </si>
  <si>
    <t>-502.225359863826 -119.554597108121 824.714343032478</t>
  </si>
  <si>
    <t>9763-20170724T115643.458946900.bin</t>
  </si>
  <si>
    <t>-618.173317766689 42.3570261958082 -93.9072445287385</t>
  </si>
  <si>
    <t>-640.723784039188 38.4545810046448 -202.229650106397</t>
  </si>
  <si>
    <t>-652.54967494751 36.0722239063114 -294.318313072376</t>
  </si>
  <si>
    <t>-661.296386608532 34.2250185595906 -377.734134235347</t>
  </si>
  <si>
    <t>-667.535015151742 32.7171365081588 -461.381865296505</t>
  </si>
  <si>
    <t>-673.900222286089 30.8856048704313 -583.860617711129</t>
  </si>
  <si>
    <t>-646.442683845754 34.5994907754052 -657.15802391211</t>
  </si>
  <si>
    <t>-673.013041492842 62.9903322367909 -530.487165946633</t>
  </si>
  <si>
    <t>-658.826460889055 216.717719015745 -508.036066991182</t>
  </si>
  <si>
    <t>-681.738786370509 240.559762981128 -227.88408305151</t>
  </si>
  <si>
    <t>-465.822834150768 233.295595845445 -142.584247780941</t>
  </si>
  <si>
    <t>-669.201409936893 0.388176761885688 -529.749065217915</t>
  </si>
  <si>
    <t>-623.153688284008 137.466449989992 -97.7641799632224</t>
  </si>
  <si>
    <t>-638.889019335051 146.925510734027 317.405098744036</t>
  </si>
  <si>
    <t>-670.423722117498 183.622801379346 778.030896598777</t>
  </si>
  <si>
    <t>-519.418258541061 185.304776181273 833.513659422593</t>
  </si>
  <si>
    <t>-610.176940655786 -68.3684239547565 321.836256160758</t>
  </si>
  <si>
    <t>-656.628239528742 -106.858278834817 781.39648188382</t>
  </si>
  <si>
    <t>-502.198704137021 -119.530922289946 824.694808121714</t>
  </si>
  <si>
    <t>9763-20170724T115643.524130300.bin</t>
  </si>
  <si>
    <t>-617.983789129151 42.5163179740061 -93.8998562527307</t>
  </si>
  <si>
    <t>-640.682426513043 38.5328277052881 -202.188287111181</t>
  </si>
  <si>
    <t>-652.612511966705 36.0719840106283 -294.261374375651</t>
  </si>
  <si>
    <t>-661.444579413435 34.1462928068813 -377.666554468662</t>
  </si>
  <si>
    <t>-667.759695530573 32.5536269963395 -461.306977301605</t>
  </si>
  <si>
    <t>-674.226951122828 30.5902218286085 -583.778455841946</t>
  </si>
  <si>
    <t>-646.776296952379 34.3561872761418 -657.075793235533</t>
  </si>
  <si>
    <t>-673.358264668938 62.7485872477077 -530.436701276933</t>
  </si>
  <si>
    <t>-659.537364481017 216.522283347944 -508.061192401849</t>
  </si>
  <si>
    <t>-688.053443138541 241.982911944308 -228.56676136186</t>
  </si>
  <si>
    <t>-473.986584487747 231.123078072714 -139.090621737754</t>
  </si>
  <si>
    <t>-669.420057527239 0.155009176575504 -529.641286958557</t>
  </si>
  <si>
    <t>-623.283874171184 137.54153958955 -97.7787526824744</t>
  </si>
  <si>
    <t>-638.862309371563 146.929609051057 317.39801741541</t>
  </si>
  <si>
    <t>-670.462843217676 183.465290539093 778.017911417556</t>
  </si>
  <si>
    <t>-519.462884560644 185.261986303182 833.512132111138</t>
  </si>
  <si>
    <t>-609.797098589017 -67.9788613631351 321.86277355349</t>
  </si>
  <si>
    <t>-656.586342034237 -106.657172260563 781.371987433444</t>
  </si>
  <si>
    <t>-502.145678354085 -119.318699961457 824.633907835984</t>
  </si>
  <si>
    <t>9763-20170724T115643.562229800.bin</t>
  </si>
  <si>
    <t>-617.981026935643 42.4804064919799 -93.8910732262343</t>
  </si>
  <si>
    <t>-640.74017536642 38.4700347475953 -202.165920410112</t>
  </si>
  <si>
    <t>-652.702350317576 35.9816431284078 -294.23415935347</t>
  </si>
  <si>
    <t>-661.555593926842 34.0281763074295 -377.636333079758</t>
  </si>
  <si>
    <t>-667.88417682533 32.4056691308792 -461.275068131806</t>
  </si>
  <si>
    <t>-674.362616531163 30.3968349092402 -583.745291210435</t>
  </si>
  <si>
    <t>-646.930400963523 34.2136815666495 -657.046891870865</t>
  </si>
  <si>
    <t>-673.548534103035 62.5712537219538 -530.41252812388</t>
  </si>
  <si>
    <t>-660.018456848717 216.386121100266 -508.156274654662</t>
  </si>
  <si>
    <t>-690.949317142551 242.258910845509 -228.956514023809</t>
  </si>
  <si>
    <t>-477.541100614602 230.710940815076 -138.005420998033</t>
  </si>
  <si>
    <t>-623.423729980697 137.436942158952 -97.7692963309021</t>
  </si>
  <si>
    <t>-638.92163040493 146.835347694167 317.41027205164</t>
  </si>
  <si>
    <t>-670.513116131609 183.337154086279 778.026316515761</t>
  </si>
  <si>
    <t>-519.511447621404 184.98167975458 833.520547835573</t>
  </si>
  <si>
    <t>-609.684850291775 -67.8819328491338 321.867298113653</t>
  </si>
  <si>
    <t>-656.554927477478 -106.59464273797 781.36031420537</t>
  </si>
  <si>
    <t>-502.133307319291 -119.484845006053 824.622766698888</t>
  </si>
  <si>
    <t>9763-20170724T115643.625382200.bin</t>
  </si>
  <si>
    <t>-618.216928872752 42.4501146914313 -93.8817241949331</t>
  </si>
  <si>
    <t>-641.06564102522 38.3739494333183 -202.135218998086</t>
  </si>
  <si>
    <t>-653.080422457302 35.8422749526844 -294.195309320726</t>
  </si>
  <si>
    <t>-661.971847796516 33.8519771355152 -377.59268395259</t>
  </si>
  <si>
    <t>-668.329537863246 32.198545455411 -461.22879172462</t>
  </si>
  <si>
    <t>-674.840484199896 30.1525278706965 -583.696482488499</t>
  </si>
  <si>
    <t>-647.495006977572 34.0604836893199 -657.025622500653</t>
  </si>
  <si>
    <t>-674.187153632608 62.3314451186673 -530.364199027148</t>
  </si>
  <si>
    <t>-661.932300038689 216.255698136801 -508.161724275785</t>
  </si>
  <si>
    <t>-695.51249455938 242.223424101686 -229.276981849518</t>
  </si>
  <si>
    <t>-482.590218152966 232.044205040671 -137.032724349526</t>
  </si>
  <si>
    <t>-624.01507294487 137.230676676913 -97.7358394436948</t>
  </si>
  <si>
    <t>-639.207674302588 146.69864672075 317.453416509153</t>
  </si>
  <si>
    <t>-670.572576375502 183.130845547855 778.067160286586</t>
  </si>
  <si>
    <t>-519.564677328158 184.917324943014 833.540001769829</t>
  </si>
  <si>
    <t>-609.61633856756 -67.6752124586399 321.871220491431</t>
  </si>
  <si>
    <t>-656.51055966506 -106.459058979792 781.340173704348</t>
  </si>
  <si>
    <t>-502.083018783776 -119.372360897293 824.574465380388</t>
  </si>
  <si>
    <t>9763-20170724T115643.691059600.bin</t>
  </si>
  <si>
    <t>-618.597792307324 42.4702974541865 -93.8705580342664</t>
  </si>
  <si>
    <t>-641.533633010249 38.311707041775 -202.102562804326</t>
  </si>
  <si>
    <t>-653.615792944817 35.7636897146797 -294.153302007642</t>
  </si>
  <si>
    <t>-662.565427606547 33.7763890696885 -377.544561669733</t>
  </si>
  <si>
    <t>-668.978804435868 32.1481823811901 -461.17677360164</t>
  </si>
  <si>
    <t>-675.568695674799 30.1633859861643 -583.6413676619</t>
  </si>
  <si>
    <t>-648.310772340112 34.1260698081292 -657.000184913388</t>
  </si>
  <si>
    <t>-675.074059134878 62.3015408246799 -530.282628408827</t>
  </si>
  <si>
    <t>-664.161705961167 216.322061106993 -507.99050861507</t>
  </si>
  <si>
    <t>-698.501391790043 242.630019684636 -229.230241102744</t>
  </si>
  <si>
    <t>-485.087989952101 234.738206992876 -137.901302285721</t>
  </si>
  <si>
    <t>-624.815549942635 136.901872734753 -97.7017357726992</t>
  </si>
  <si>
    <t>-639.694725817359 146.541988041294 317.494908295538</t>
  </si>
  <si>
    <t>-670.649063018769 182.924527854421 778.124429321889</t>
  </si>
  <si>
    <t>-519.631665433941 184.673985343189 833.572635188725</t>
  </si>
  <si>
    <t>-609.637825175695 -67.4176254139854 321.856519432022</t>
  </si>
  <si>
    <t>-656.478591766314 -106.247869052321 781.312656805886</t>
  </si>
  <si>
    <t>-501.986529649134 -118.59760956059 824.481002260876</t>
  </si>
  <si>
    <t>9763-20170724T115643.725653400.bin</t>
  </si>
  <si>
    <t>-618.915069319901 42.4739713413801 -93.8568732915294</t>
  </si>
  <si>
    <t>-641.923318449393 38.2656516037623 -202.071571820623</t>
  </si>
  <si>
    <t>-654.03845660797 35.6963337350041 -294.117461979755</t>
  </si>
  <si>
    <t>-663.006292442448 33.6958910973822 -377.506420830003</t>
  </si>
  <si>
    <t>-669.426450026486 32.0625748824989 -461.138026728415</t>
  </si>
  <si>
    <t>-676.013686784559 30.0792829684203 -583.602750270511</t>
  </si>
  <si>
    <t>-648.813205075229 34.0874247064069 -656.980341263853</t>
  </si>
  <si>
    <t>-675.62194598261 62.2087797142281 -530.238127142572</t>
  </si>
  <si>
    <t>-665.255737764022 216.261252270593 -507.881763600629</t>
  </si>
  <si>
    <t>-699.489894862574 242.865074498984 -229.136682548347</t>
  </si>
  <si>
    <t>-485.545519720098 236.053733548566 -138.970509375195</t>
  </si>
  <si>
    <t>-625.424312640405 136.739021478639 -97.6772216243809</t>
  </si>
  <si>
    <t>-640.010880996593 146.421874991525 317.528864384744</t>
  </si>
  <si>
    <t>-670.689880507398 182.822881364591 778.169244780326</t>
  </si>
  <si>
    <t>-519.666814856833 184.536420991553 833.603064870037</t>
  </si>
  <si>
    <t>-609.63994511722 -67.2753040525267 321.848109702223</t>
  </si>
  <si>
    <t>-656.46815410907 -106.158257246129 781.293900190269</t>
  </si>
  <si>
    <t>-501.941405332787 -118.232931032995 824.416060646786</t>
  </si>
  <si>
    <t>9763-20170724T115643.790328700.bin</t>
  </si>
  <si>
    <t>-619.812858146034 42.307085148653 -93.8519735552519</t>
  </si>
  <si>
    <t>-642.900344778263 37.9835760427361 -202.045207752508</t>
  </si>
  <si>
    <t>-654.9838326091 35.3175082212867 -294.092652139459</t>
  </si>
  <si>
    <t>-663.882627957522 33.2250843097245 -377.486543034806</t>
  </si>
  <si>
    <t>-670.19350782371 31.498682652636 -461.124704374026</t>
  </si>
  <si>
    <t>-676.576724927207 29.3790049797476 -583.597870275245</t>
  </si>
  <si>
    <t>-649.398123299674 33.4945085526124 -656.977684206948</t>
  </si>
  <si>
    <t>-676.482059772394 61.550618641284 -530.257372392479</t>
  </si>
  <si>
    <t>-667.118602594278 215.669775164103 -507.921846581934</t>
  </si>
  <si>
    <t>-699.938967964613 243.160823990104 -229.092778182705</t>
  </si>
  <si>
    <t>-484.637485544944 238.447135933145 -142.077808108115</t>
  </si>
  <si>
    <t>-626.975228839148 136.236393705347 -97.6311627708874</t>
  </si>
  <si>
    <t>-640.881663268534 146.105590186664 317.593831648812</t>
  </si>
  <si>
    <t>-670.792612314472 182.618844742221 778.267236803806</t>
  </si>
  <si>
    <t>-519.747764353401 184.122651867209 833.64782265472</t>
  </si>
  <si>
    <t>-609.747503108882 -67.0897013216429 321.841838920825</t>
  </si>
  <si>
    <t>-656.456741387137 -106.068730706368 781.258968399393</t>
  </si>
  <si>
    <t>-501.905778778118 -118.078827691219 824.312216843026</t>
  </si>
  <si>
    <t>9763-20170724T115643.825543900.bin</t>
  </si>
  <si>
    <t>-620.329265492382 42.1782505184269 -93.8233919055242</t>
  </si>
  <si>
    <t>-643.407280325489 37.7980894606042 -202.016368249363</t>
  </si>
  <si>
    <t>-655.480329617713 35.0703821639001 -294.063283534988</t>
  </si>
  <si>
    <t>-664.368493269255 32.9137084116007 -377.456832715976</t>
  </si>
  <si>
    <t>-670.667675143249 31.1162565037926 -461.094401405675</t>
  </si>
  <si>
    <t>-677.032574271158 28.8855170814993 -583.566473569392</t>
  </si>
  <si>
    <t>-649.835981335649 33.0306379371493 -656.937986873604</t>
  </si>
  <si>
    <t>-677.038673361204 61.0974810940463 -530.250197449108</t>
  </si>
  <si>
    <t>-667.909757578675 215.251323766205 -508.050519264752</t>
  </si>
  <si>
    <t>-699.5699903804 243.070246695332 -229.119832257487</t>
  </si>
  <si>
    <t>-483.368613317255 238.975993213063 -144.333583993921</t>
  </si>
  <si>
    <t>-627.803315799287 135.956584061958 -97.597901304072</t>
  </si>
  <si>
    <t>-641.446963064472 145.949138643569 317.632859868104</t>
  </si>
  <si>
    <t>-670.844441651274 182.521706189423 778.322636030102</t>
  </si>
  <si>
    <t>-519.783953316978 184.019677851321 833.660728323976</t>
  </si>
  <si>
    <t>-609.868447976882 -67.0442727250727 321.847399645129</t>
  </si>
  <si>
    <t>-656.434438143786 -106.007840199227 781.247363374914</t>
  </si>
  <si>
    <t>-501.872684565502 -117.884927426729 824.298774593292</t>
  </si>
  <si>
    <t>9763-20170724T115643.860624000.bin</t>
  </si>
  <si>
    <t>-620.804732572969 42.0905134596123 -93.803658603313</t>
  </si>
  <si>
    <t>-643.874935494479 37.6623412293159 -201.996346761895</t>
  </si>
  <si>
    <t>-655.960923504803 34.8527707812464 -294.03897875921</t>
  </si>
  <si>
    <t>-664.868402983025 32.6030036029254 -377.428114207622</t>
  </si>
  <si>
    <t>-671.194728738286 30.6942735922744 -461.061040429694</t>
  </si>
  <si>
    <t>-677.607787118959 28.2808208085219 -583.527213716025</t>
  </si>
  <si>
    <t>-650.379139802052 32.4084540761833 -656.887935140216</t>
  </si>
  <si>
    <t>-677.664414480525 60.5658765954754 -530.255308104836</t>
  </si>
  <si>
    <t>-668.884768142017 214.778814762416 -508.382699136528</t>
  </si>
  <si>
    <t>-698.975716523106 242.802482055311 -229.298761135359</t>
  </si>
  <si>
    <t>-481.899505058245 239.131106198374 -146.758041960524</t>
  </si>
  <si>
    <t>-628.562999224812 135.693695797674 -97.5632889550145</t>
  </si>
  <si>
    <t>-641.974990054396 145.859712860724 317.670782153969</t>
  </si>
  <si>
    <t>-670.905883380163 182.431014825616 778.379343922814</t>
  </si>
  <si>
    <t>-519.82401524811 183.968493624726 833.657938736304</t>
  </si>
  <si>
    <t>-610.005763702382 -67.0118174160991 321.850000407808</t>
  </si>
  <si>
    <t>-656.342681396565 -105.964022623543 781.238879869509</t>
  </si>
  <si>
    <t>-501.786544060649 -117.434305413237 824.420614129613</t>
  </si>
  <si>
    <t>9763-20170724T115643.926533800.bin</t>
  </si>
  <si>
    <t>-621.456687101202 41.9475228011902 -93.7208781934511</t>
  </si>
  <si>
    <t>-644.505083687155 37.4587209154834 -201.915719473067</t>
  </si>
  <si>
    <t>-656.580130731733 34.4900440375422 -293.954971817164</t>
  </si>
  <si>
    <t>-665.480565803323 32.0500229872896 -377.339342354543</t>
  </si>
  <si>
    <t>-671.802736247092 29.9063227962558 -460.966921995531</t>
  </si>
  <si>
    <t>-678.212972270221 27.0999752467376 -583.424946467099</t>
  </si>
  <si>
    <t>-650.892989578718 31.128810709879 -656.757124025147</t>
  </si>
  <si>
    <t>-678.357868125011 59.5478421702678 -530.252042585567</t>
  </si>
  <si>
    <t>-670.559017670331 213.938578084302 -509.28993099439</t>
  </si>
  <si>
    <t>-697.404077536286 242.172977972797 -229.896311865523</t>
  </si>
  <si>
    <t>-478.352338166886 238.831251371752 -152.736248652063</t>
  </si>
  <si>
    <t>-629.633731495394 135.31992993001 -97.4860829965709</t>
  </si>
  <si>
    <t>-642.61584942035 145.72791512585 317.755772884658</t>
  </si>
  <si>
    <t>-671.007699714892 182.295903017784 778.51171061052</t>
  </si>
  <si>
    <t>-519.881361977192 183.859178967904 833.667861156621</t>
  </si>
  <si>
    <t>-609.929150788219 -66.8962854418764 321.915123682357</t>
  </si>
  <si>
    <t>-655.655815710477 -105.951630983083 781.333321387174</t>
  </si>
  <si>
    <t>-501.376578850208 -116.835508280619 825.642256223127</t>
  </si>
  <si>
    <t>9763-20170724T115643.958620900.bin</t>
  </si>
  <si>
    <t>-621.563113156871 41.8878009106513 -93.6312742795025</t>
  </si>
  <si>
    <t>-644.653031690435 37.3914496173272 -201.816905149848</t>
  </si>
  <si>
    <t>-656.723344843192 34.3605528633882 -293.854803983469</t>
  </si>
  <si>
    <t>-665.603377272083 31.8423116840797 -377.239077544317</t>
  </si>
  <si>
    <t>-671.888957577643 29.5986731028322 -460.866717830485</t>
  </si>
  <si>
    <t>-678.22801845089 26.6224718726539 -583.324426827965</t>
  </si>
  <si>
    <t>-650.898753065552 30.5660134258765 -656.657656700552</t>
  </si>
  <si>
    <t>-678.415085954207 59.1430011544164 -530.195930611327</t>
  </si>
  <si>
    <t>-671.091596331821 213.613580187603 -509.649724285573</t>
  </si>
  <si>
    <t>-696.529577663797 241.760003099725 -230.115698357157</t>
  </si>
  <si>
    <t>-476.474875635785 238.716594092852 -155.851321429485</t>
  </si>
  <si>
    <t>-629.879086870797 135.244053868629 -97.4102293592482</t>
  </si>
  <si>
    <t>-642.684121334413 145.666569189237 317.836752375376</t>
  </si>
  <si>
    <t>-671.04587579625 182.234832138107 778.603292427884</t>
  </si>
  <si>
    <t>-519.899753767234 183.711901647807 833.707653892755</t>
  </si>
  <si>
    <t>-609.658180753249 -66.8538665149565 322.024907129376</t>
  </si>
  <si>
    <t>-655.130836570949 -106.03169787077 781.500593115453</t>
  </si>
  <si>
    <t>-501.073249410881 -116.699843570315 826.625694793928</t>
  </si>
  <si>
    <t>9763-20170724T115644.026453500.bin</t>
  </si>
  <si>
    <t>-621.738489940703 41.6817644845544 -93.4490016635333</t>
  </si>
  <si>
    <t>-644.921624798107 37.1896604334968 -201.614923462079</t>
  </si>
  <si>
    <t>-657.027547328627 34.0489692716608 -293.644376989307</t>
  </si>
  <si>
    <t>-665.922501845284 31.3891466372265 -377.022717921346</t>
  </si>
  <si>
    <t>-672.205656813312 28.9608244963003 -460.645445697208</t>
  </si>
  <si>
    <t>-678.522060707366 25.6680979934069 -583.096219305743</t>
  </si>
  <si>
    <t>-651.183275793452 29.2907841080796 -656.442475460112</t>
  </si>
  <si>
    <t>-678.68022724291 58.3294059559469 -530.054031055065</t>
  </si>
  <si>
    <t>-671.613663201321 212.904852655761 -510.145179690362</t>
  </si>
  <si>
    <t>-694.685176355966 240.840232768613 -230.384705279837</t>
  </si>
  <si>
    <t>-472.853780970492 239.121123270314 -161.563036452143</t>
  </si>
  <si>
    <t>-630.042195094078 135.083838323512 -97.2453875765962</t>
  </si>
  <si>
    <t>-642.660217794485 145.475085569278 318.008040942222</t>
  </si>
  <si>
    <t>-671.104971889068 182.121957747271 778.778227259435</t>
  </si>
  <si>
    <t>-519.93644194336 183.466619130006 833.824443892047</t>
  </si>
  <si>
    <t>-609.404878550192 -66.8015529907855 322.273192185452</t>
  </si>
  <si>
    <t>-654.583580798461 -106.049306069965 781.719535215615</t>
  </si>
  <si>
    <t>-500.817613295015 -116.982837302395 827.766331843044</t>
  </si>
  <si>
    <t>9763-20170724T115644.091123800.bin</t>
  </si>
  <si>
    <t>-621.992742147961 41.4756349650347 -93.3638537696534</t>
  </si>
  <si>
    <t>-645.254336585743 37.0072306497348 -201.513928269078</t>
  </si>
  <si>
    <t>-657.40004406893 33.7520222247849 -293.534064383874</t>
  </si>
  <si>
    <t>-666.320406414886 30.9387463983239 -376.904716843606</t>
  </si>
  <si>
    <t>-672.618357169505 28.3045472310371 -460.52006898841</t>
  </si>
  <si>
    <t>-678.944477837431 24.6540393707685 -582.96018048178</t>
  </si>
  <si>
    <t>-651.531389470387 27.9295802362581 -656.295060249662</t>
  </si>
  <si>
    <t>-678.992583047526 57.4797854296658 -530.019565291977</t>
  </si>
  <si>
    <t>-671.408455902191 212.105425089931 -510.736653639426</t>
  </si>
  <si>
    <t>-693.058288109421 240.268715984724 -230.885535784698</t>
  </si>
  <si>
    <t>-469.830099058211 240.368094413764 -166.71607436291</t>
  </si>
  <si>
    <t>-629.973618893547 134.96340531288 -97.1751394124025</t>
  </si>
  <si>
    <t>-642.525744669096 145.387208840706 318.079529165091</t>
  </si>
  <si>
    <t>-671.105133625789 182.066270752264 778.867448242866</t>
  </si>
  <si>
    <t>-519.93820111419 183.384199169024 833.918691644772</t>
  </si>
  <si>
    <t>-609.656941676573 -66.8209677364564 322.355782547735</t>
  </si>
  <si>
    <t>-654.574405261953 -105.936132506713 781.767164600655</t>
  </si>
  <si>
    <t>-500.812727678241 -116.970609621386 827.804258052024</t>
  </si>
  <si>
    <t>9763-20170724T115644.128261100.bin</t>
  </si>
  <si>
    <t>-622.164951406189 41.3486258063849 -93.3725742270422</t>
  </si>
  <si>
    <t>-645.431407656715 36.8947871010623 -201.522223515549</t>
  </si>
  <si>
    <t>-657.550652008781 33.5908306002507 -293.544171349381</t>
  </si>
  <si>
    <t>-666.435025006769 30.7107270347899 -376.916282671001</t>
  </si>
  <si>
    <t>-672.684496725971 27.9864299500346 -460.53235111615</t>
  </si>
  <si>
    <t>-678.926330447694 24.178248506511 -582.972047369009</t>
  </si>
  <si>
    <t>-651.453065833358 27.3054282813664 -656.290868464755</t>
  </si>
  <si>
    <t>-678.95450102748 57.0771459548901 -530.076800118103</t>
  </si>
  <si>
    <t>-670.98236686396 211.716762019747 -511.07353160766</t>
  </si>
  <si>
    <t>-691.921633472258 240.160547988155 -231.19666503413</t>
  </si>
  <si>
    <t>-468.164211121205 241.378063190117 -168.909741881779</t>
  </si>
  <si>
    <t>-629.909811641082 134.889793879889 -97.1906002610323</t>
  </si>
  <si>
    <t>-642.492709975048 145.322634401027 318.062845893259</t>
  </si>
  <si>
    <t>-671.108234651007 182.037553819848 778.861239863704</t>
  </si>
  <si>
    <t>-519.942857424619 183.355839221639 833.916883509204</t>
  </si>
  <si>
    <t>-609.934046901793 -66.8675440416027 322.341860636519</t>
  </si>
  <si>
    <t>-654.729573252719 -105.886152834319 781.752351997827</t>
  </si>
  <si>
    <t>-500.912150237933 -117.278709818029 827.515249146571</t>
  </si>
  <si>
    <t>9763-20170724T115644.189426400.bin</t>
  </si>
  <si>
    <t>-622.572707971804 41.1209968603971 -93.4982870380811</t>
  </si>
  <si>
    <t>-645.767873986844 36.69700074456 -201.664351472636</t>
  </si>
  <si>
    <t>-657.817173530285 33.2740546228106 -293.691214523321</t>
  </si>
  <si>
    <t>-666.634636302283 30.232429932076 -377.064653114965</t>
  </si>
  <si>
    <t>-672.813397374134 27.2904658230511 -460.678733901363</t>
  </si>
  <si>
    <t>-678.947506918506 23.1030945609784 -583.111471270284</t>
  </si>
  <si>
    <t>-651.358186639816 25.9383739473885 -656.398509133935</t>
  </si>
  <si>
    <t>-678.919044012992 56.1744672194652 -530.323945976982</t>
  </si>
  <si>
    <t>-670.391811053878 210.853935669408 -511.87412327484</t>
  </si>
  <si>
    <t>-689.19215172035 239.661722952718 -231.882704308317</t>
  </si>
  <si>
    <t>-464.628716529645 243.561437379202 -172.682984214717</t>
  </si>
  <si>
    <t>-629.837841217122 134.723785643161 -97.3405060053074</t>
  </si>
  <si>
    <t>-642.472733163388 145.204470519037 317.910167875961</t>
  </si>
  <si>
    <t>-671.117378122023 181.965956697776 778.742332582889</t>
  </si>
  <si>
    <t>-519.954775411738 183.368530154922 833.803357843566</t>
  </si>
  <si>
    <t>-610.757659564496 -67.0230639543283 322.218838581734</t>
  </si>
  <si>
    <t>-655.286372799505 -105.709547873592 781.630432285649</t>
  </si>
  <si>
    <t>-501.211660736822 -117.489446591907 826.419304787004</t>
  </si>
  <si>
    <t>9763-20170724T115644.223573500.bin</t>
  </si>
  <si>
    <t>-622.783425251984 41.0278051901907 -93.6011167968361</t>
  </si>
  <si>
    <t>-645.940867047499 36.6111021394015 -201.775702865529</t>
  </si>
  <si>
    <t>-657.973471677732 33.1235194593987 -293.802182262712</t>
  </si>
  <si>
    <t>-666.782172263572 29.9961017303888 -377.173466086111</t>
  </si>
  <si>
    <t>-672.958299992695 26.9404195902448 -460.783518787359</t>
  </si>
  <si>
    <t>-679.095502817484 22.5555485996993 -583.209249585781</t>
  </si>
  <si>
    <t>-651.461935344533 25.247508764088 -656.485049049681</t>
  </si>
  <si>
    <t>-679.022577544025 55.7155323394422 -530.477245921072</t>
  </si>
  <si>
    <t>-670.339076473887 210.421600372064 -512.339352409192</t>
  </si>
  <si>
    <t>-687.611876639319 239.250907742476 -232.25167420098</t>
  </si>
  <si>
    <t>-462.723699476596 244.628763399551 -174.416498976945</t>
  </si>
  <si>
    <t>-629.857163035486 134.633478527233 -97.4539427205514</t>
  </si>
  <si>
    <t>-642.536460218976 145.155070746564 317.794351803447</t>
  </si>
  <si>
    <t>-671.141375567368 181.913241274748 778.648576348344</t>
  </si>
  <si>
    <t>-519.980939451682 183.114098571166 833.72040907474</t>
  </si>
  <si>
    <t>-611.191282351994 -67.1113056651202 322.124837575277</t>
  </si>
  <si>
    <t>-655.538183359436 -105.630629620824 781.55815411991</t>
  </si>
  <si>
    <t>-501.339422164854 -117.513275747389 825.890655871547</t>
  </si>
  <si>
    <t>9763-20170724T115644.291755900.bin</t>
  </si>
  <si>
    <t>-622.980786956839 40.8521602823753 -93.8232986238842</t>
  </si>
  <si>
    <t>-646.039726914618 36.4125767764015 -202.017873390725</t>
  </si>
  <si>
    <t>-657.992998367719 32.8276207166148 -294.051101207006</t>
  </si>
  <si>
    <t>-666.731607191995 29.5818823424988 -377.425122452473</t>
  </si>
  <si>
    <t>-672.839307057944 26.3758803309943 -461.034751821357</t>
  </si>
  <si>
    <t>-678.87816349452 21.7359908796875 -583.455860805853</t>
  </si>
  <si>
    <t>-651.132743788898 24.2013070415171 -656.697291233386</t>
  </si>
  <si>
    <t>-678.784648503203 55.010776136565 -530.796411509901</t>
  </si>
  <si>
    <t>-669.857726896464 209.76183490418 -513.211217289201</t>
  </si>
  <si>
    <t>-683.786232128437 237.952374536695 -232.872310659373</t>
  </si>
  <si>
    <t>-458.439047772771 247.465708213513 -177.404463007527</t>
  </si>
  <si>
    <t>-629.825998880222 134.400724558652 -97.6907185151599</t>
  </si>
  <si>
    <t>-642.634338996054 145.073453733489 317.549720639953</t>
  </si>
  <si>
    <t>-671.176232684186 181.829792616085 778.424612734154</t>
  </si>
  <si>
    <t>-520.015428494864 183.180904352837 833.491928379596</t>
  </si>
  <si>
    <t>-611.717354350577 -67.2665587904651 321.95591857294</t>
  </si>
  <si>
    <t>-655.836063660114 -105.497656156326 781.470259678503</t>
  </si>
  <si>
    <t>-501.46028927297 -117.196649235868 825.231804343312</t>
  </si>
  <si>
    <t>9763-20170724T115644.324854000.bin</t>
  </si>
  <si>
    <t>-622.90657904664 40.7284811015206 -93.8977083104231</t>
  </si>
  <si>
    <t>-645.962816753093 36.282357261349 -202.092645470695</t>
  </si>
  <si>
    <t>-657.908967093105 32.6666652696103 -294.125371784431</t>
  </si>
  <si>
    <t>-666.639284285161 29.3833469857045 -377.499009713918</t>
  </si>
  <si>
    <t>-672.736712923603 26.1295346119864 -461.107342103926</t>
  </si>
  <si>
    <t>-678.758381436072 21.4087546174358 -583.526221692417</t>
  </si>
  <si>
    <t>-650.979524701212 23.7700355248467 -656.758461168437</t>
  </si>
  <si>
    <t>-678.65192835486 54.7200526175429 -530.889864088256</t>
  </si>
  <si>
    <t>-669.724807515393 209.494199809246 -513.470551576625</t>
  </si>
  <si>
    <t>-681.622281827707 237.36248547913 -233.006099560083</t>
  </si>
  <si>
    <t>-456.21010375891 249.305521375242 -178.277209684092</t>
  </si>
  <si>
    <t>-629.699778678038 134.242190978717 -97.787843013595</t>
  </si>
  <si>
    <t>-642.577552033057 144.999182285243 317.448261311852</t>
  </si>
  <si>
    <t>-671.201995522897 181.761990549935 778.321458538084</t>
  </si>
  <si>
    <t>-520.043659420633 182.921676666577 833.399988147675</t>
  </si>
  <si>
    <t>-611.781958888961 -67.3465780834874 321.908019198703</t>
  </si>
  <si>
    <t>-655.879892807747 -105.46091467832 781.448153268806</t>
  </si>
  <si>
    <t>-501.466084132262 -117.074272658872 825.098197690168</t>
  </si>
  <si>
    <t>9763-20170724T115644.360949300.bin</t>
  </si>
  <si>
    <t>-622.740687704687 40.5914309915336 -93.9485430084535</t>
  </si>
  <si>
    <t>-645.828525149546 36.1474763819849 -202.136808617965</t>
  </si>
  <si>
    <t>-657.768657182537 32.4946271801432 -294.168960317977</t>
  </si>
  <si>
    <t>-666.480412438542 29.1620325960339 -377.54241044782</t>
  </si>
  <si>
    <t>-672.545933299624 25.8431604854748 -461.150636066452</t>
  </si>
  <si>
    <t>-678.50636562715 21.0093615561232 -583.568163270577</t>
  </si>
  <si>
    <t>-650.683534635814 23.2618593598761 -656.787065564721</t>
  </si>
  <si>
    <t>-678.399888214436 54.3712375705356 -530.963953070697</t>
  </si>
  <si>
    <t>-669.506212240877 209.168744960844 -513.687849410613</t>
  </si>
  <si>
    <t>-679.542277201565 236.714059101254 -233.118542984761</t>
  </si>
  <si>
    <t>-454.283341266416 251.175875623863 -178.366247504197</t>
  </si>
  <si>
    <t>-629.493791033078 134.112151912481 -97.8608374561175</t>
  </si>
  <si>
    <t>-642.399416494428 144.904932192405 317.373472595204</t>
  </si>
  <si>
    <t>-671.201968930406 181.721221160007 778.229434836033</t>
  </si>
  <si>
    <t>-520.047366056534 183.046504906073 833.314391871124</t>
  </si>
  <si>
    <t>-611.71062193348 -67.415290802252 321.877575006684</t>
  </si>
  <si>
    <t>-655.869397233338 -105.415169866276 781.442805816538</t>
  </si>
  <si>
    <t>-501.442455249853 -116.942296508757 825.069324525371</t>
  </si>
  <si>
    <t>9763-20170724T115644.425218000.bin</t>
  </si>
  <si>
    <t>-622.259570280406 40.2952790367367 -94.0214756519006</t>
  </si>
  <si>
    <t>-645.428361788409 35.8760276282821 -202.193525842786</t>
  </si>
  <si>
    <t>-657.383837132485 32.1826236775175 -294.222074298935</t>
  </si>
  <si>
    <t>-666.088017228021 28.7905477173699 -377.593848327456</t>
  </si>
  <si>
    <t>-672.124350538711 25.3882297182547 -461.200812370936</t>
  </si>
  <si>
    <t>-678.018306360513 20.4065503774411 -583.615586168008</t>
  </si>
  <si>
    <t>-650.153716003355 22.5250156003231 -656.822656751948</t>
  </si>
  <si>
    <t>-677.89441512709 53.8355422671118 -531.053942679142</t>
  </si>
  <si>
    <t>-668.613414520742 208.596174027789 -513.694071951554</t>
  </si>
  <si>
    <t>-676.100937489447 236.401755191766 -233.070866213154</t>
  </si>
  <si>
    <t>-451.788763918606 254.68891778939 -175.641282596446</t>
  </si>
  <si>
    <t>-628.928537418043 133.821987494025 -97.9412547172195</t>
  </si>
  <si>
    <t>-641.996086462834 144.631535116959 317.287552075496</t>
  </si>
  <si>
    <t>-671.203614372727 181.630257114572 778.085912660597</t>
  </si>
  <si>
    <t>-520.065085255169 183.03216788678 833.213020937915</t>
  </si>
  <si>
    <t>-611.459425323862 -67.5925642946543 321.855286762445</t>
  </si>
  <si>
    <t>-655.860835558946 -105.35540112918 781.436160317385</t>
  </si>
  <si>
    <t>-501.436254854195 -117.05363638506 825.025454352125</t>
  </si>
  <si>
    <t>9763-20170724T115644.459307200.bin</t>
  </si>
  <si>
    <t>-621.898255195147 40.1582426026132 -94.0286784549376</t>
  </si>
  <si>
    <t>-645.105143739789 35.7623301804799 -202.193369414513</t>
  </si>
  <si>
    <t>-657.075334991426 32.0547567948668 -294.219591579332</t>
  </si>
  <si>
    <t>-665.785801915701 28.6370886083264 -377.589665899683</t>
  </si>
  <si>
    <t>-671.821269175058 25.195983073887 -461.195102410073</t>
  </si>
  <si>
    <t>-677.706232182849 20.1425910033277 -583.607340142037</t>
  </si>
  <si>
    <t>-649.834589392674 22.2118999492084 -656.813212780017</t>
  </si>
  <si>
    <t>-677.552978787363 53.6049642705666 -531.067086538334</t>
  </si>
  <si>
    <t>-667.903818902762 208.323020536822 -513.499359122637</t>
  </si>
  <si>
    <t>-674.913923028743 236.735599077189 -232.924636907144</t>
  </si>
  <si>
    <t>-451.428996577133 255.697308963455 -172.56333998295</t>
  </si>
  <si>
    <t>-628.48368051052 133.662136552972 -97.9506364543508</t>
  </si>
  <si>
    <t>-641.808351671826 144.504576004867 317.26918540727</t>
  </si>
  <si>
    <t>-671.206104601464 181.58049130506 778.032477409315</t>
  </si>
  <si>
    <t>-520.071288393847 183.016298355381 833.169038523601</t>
  </si>
  <si>
    <t>-611.32751097387 -67.6997068038322 321.848955502002</t>
  </si>
  <si>
    <t>-655.845233322708 -105.335101526674 781.41986984263</t>
  </si>
  <si>
    <t>-501.428814030045 -117.116280921357 825.015574611821</t>
  </si>
  <si>
    <t>9763-20170724T115644.525489600.bin</t>
  </si>
  <si>
    <t>-620.973979891876 39.9256849024723 -94.0166273409689</t>
  </si>
  <si>
    <t>-644.273801849585 35.6130340932821 -202.164769840975</t>
  </si>
  <si>
    <t>-656.290774247094 31.9151393238926 -294.185072930134</t>
  </si>
  <si>
    <t>-665.030717648 28.4846385519704 -377.551726917947</t>
  </si>
  <si>
    <t>-671.082850716604 25.0077933165087 -461.154486787162</t>
  </si>
  <si>
    <t>-676.977868870462 19.8780335825716 -583.563042690427</t>
  </si>
  <si>
    <t>-649.1101717614 21.9024385899281 -656.771713230612</t>
  </si>
  <si>
    <t>-676.768613445602 53.3770653187503 -531.046167285156</t>
  </si>
  <si>
    <t>-666.320979274118 207.990388184457 -513.050858209964</t>
  </si>
  <si>
    <t>-675.619461982806 237.571217126111 -232.663435930109</t>
  </si>
  <si>
    <t>-454.271607091775 254.050926224323 -164.237743737192</t>
  </si>
  <si>
    <t>-627.353674677202 133.415615184285 -97.9458608249486</t>
  </si>
  <si>
    <t>-641.19653340829 144.244567278334 317.257331057796</t>
  </si>
  <si>
    <t>-671.211757663292 181.477674897018 777.953651901942</t>
  </si>
  <si>
    <t>-520.093111327457 182.81150787191 833.136991116847</t>
  </si>
  <si>
    <t>-610.897447953847 -67.8953638093192 321.841575710744</t>
  </si>
  <si>
    <t>-655.806078628898 -105.314565170022 781.408821483297</t>
  </si>
  <si>
    <t>-501.400353431482 -117.197928693339 825.014767339907</t>
  </si>
  <si>
    <t>9763-20170724T115644.558578100.bin</t>
  </si>
  <si>
    <t>-620.39043742344 39.8878012794194 -94.0035927495858</t>
  </si>
  <si>
    <t>-643.767273637249 35.6080837955672 -202.136408228284</t>
  </si>
  <si>
    <t>-655.811829508612 31.9286092117118 -294.153997899013</t>
  </si>
  <si>
    <t>-664.561580222124 28.5119749739192 -377.520036801908</t>
  </si>
  <si>
    <t>-670.608142206341 25.0464459378966 -461.123634135475</t>
  </si>
  <si>
    <t>-676.478268527457 19.9297858841351 -583.533868337767</t>
  </si>
  <si>
    <t>-648.600779521302 21.94709352567 -656.739042333979</t>
  </si>
  <si>
    <t>-676.254232572627 53.425040359695 -531.014851385235</t>
  </si>
  <si>
    <t>-665.544912596363 208.005677301805 -512.918169644237</t>
  </si>
  <si>
    <t>-677.501159677741 238.136053366281 -232.690158315013</t>
  </si>
  <si>
    <t>-457.495791469676 252.07303869681 -159.533186302386</t>
  </si>
  <si>
    <t>-626.670190150715 133.383457293532 -97.9272335569507</t>
  </si>
  <si>
    <t>-640.822196823903 144.133966495938 317.267599434917</t>
  </si>
  <si>
    <t>-671.191623052857 181.456211121309 777.928348826059</t>
  </si>
  <si>
    <t>-520.088793949751 182.839089264062 833.153839293556</t>
  </si>
  <si>
    <t>-610.57663634916 -67.9043955122909 321.846653064596</t>
  </si>
  <si>
    <t>-655.799020462722 -105.278719522302 781.397238020438</t>
  </si>
  <si>
    <t>-501.374007241232 -116.999120506787 824.978975008994</t>
  </si>
  <si>
    <t>9763-20170724T115644.627766900.bin</t>
  </si>
  <si>
    <t>-619.118378260636 39.9787346212574 -93.9508060685209</t>
  </si>
  <si>
    <t>-642.663712445449 35.7585808699803 -202.049375689917</t>
  </si>
  <si>
    <t>-654.776259916024 32.1505762979664 -294.060713972999</t>
  </si>
  <si>
    <t>-663.557319803839 28.8086386946097 -377.42662709723</t>
  </si>
  <si>
    <t>-669.604844266873 25.4278323335097 -461.033603059484</t>
  </si>
  <si>
    <t>-675.442954789858 20.4465189968821 -583.451070251586</t>
  </si>
  <si>
    <t>-647.501821077688 22.5018353038715 -656.630805635671</t>
  </si>
  <si>
    <t>-675.214552516668 53.8849462304795 -530.895874779285</t>
  </si>
  <si>
    <t>-664.274700976723 208.427618527558 -512.68914985018</t>
  </si>
  <si>
    <t>-683.359917557889 238.21135889851 -232.819121200354</t>
  </si>
  <si>
    <t>-466.227617957393 245.103810063711 -150.63269423368</t>
  </si>
  <si>
    <t>-625.287115361889 133.480771655921 -97.8439045437254</t>
  </si>
  <si>
    <t>-639.931875850561 144.050999817996 317.338459001763</t>
  </si>
  <si>
    <t>-671.142795129417 181.410130145184 777.914663666388</t>
  </si>
  <si>
    <t>-520.081725498022 182.85635225372 833.252641612708</t>
  </si>
  <si>
    <t>-609.722496913285 -67.7754413328078 321.893077013831</t>
  </si>
  <si>
    <t>-655.823251931064 -105.183359649494 781.363119141109</t>
  </si>
  <si>
    <t>-501.382349964726 -117.057401173415 824.84696200557</t>
  </si>
  <si>
    <t>9763-20170724T115644.659851900.bin</t>
  </si>
  <si>
    <t>-618.471145252462 40.1388383887984 -93.9145904543883</t>
  </si>
  <si>
    <t>-642.097445833463 35.9266218312421 -201.995801844044</t>
  </si>
  <si>
    <t>-654.223760182582 32.3766530068306 -294.007709315387</t>
  </si>
  <si>
    <t>-662.995110044853 29.1079958607731 -377.377461205762</t>
  </si>
  <si>
    <t>-669.010699503645 25.8213400578422 -460.990539464439</t>
  </si>
  <si>
    <t>-674.777589635352 21.0007727478319 -583.417840510925</t>
  </si>
  <si>
    <t>-646.783448766241 23.1255225971825 -656.575342897762</t>
  </si>
  <si>
    <t>-674.580056615935 54.370252392782 -530.818463814846</t>
  </si>
  <si>
    <t>-663.652216040905 208.895677809767 -512.433002391084</t>
  </si>
  <si>
    <t>-686.787980996459 237.585894360497 -232.754321367867</t>
  </si>
  <si>
    <t>-471.007452454193 240.718976052766 -146.86192891797</t>
  </si>
  <si>
    <t>-624.603125642839 133.641717468894 -97.8011742621562</t>
  </si>
  <si>
    <t>-639.489011858492 144.118348522387 317.37503872556</t>
  </si>
  <si>
    <t>-671.121231271314 181.388409233705 777.916105145398</t>
  </si>
  <si>
    <t>-520.080866563929 182.956429981697 833.307209900879</t>
  </si>
  <si>
    <t>-609.297356188149 -67.6641898912005 321.921201403944</t>
  </si>
  <si>
    <t>-655.847453520958 -105.137300915152 781.339702352373</t>
  </si>
  <si>
    <t>-501.3906263134 -117.051884954013 824.755793758638</t>
  </si>
  <si>
    <t>9763-20170724T115644.723619500.bin</t>
  </si>
  <si>
    <t>-617.406706478434 40.5219867751093 -93.8814148733449</t>
  </si>
  <si>
    <t>-641.131236612564 36.2701504096433 -201.939594045412</t>
  </si>
  <si>
    <t>-653.256728371226 32.8248607792057 -293.955429702825</t>
  </si>
  <si>
    <t>-661.993218679846 29.7070626052373 -377.334603175452</t>
  </si>
  <si>
    <t>-667.939880205801 26.6297314012593 -460.960575992957</t>
  </si>
  <si>
    <t>-673.568534948044 22.181276857714 -583.40838920228</t>
  </si>
  <si>
    <t>-645.471783022051 24.5829082927855 -656.518078132141</t>
  </si>
  <si>
    <t>-673.533595088795 55.3831351025337 -530.702715974745</t>
  </si>
  <si>
    <t>-663.11858067721 209.892840197867 -511.839183665433</t>
  </si>
  <si>
    <t>-692.775321775672 235.995321729599 -232.522773917222</t>
  </si>
  <si>
    <t>-479.609428156332 233.607211830017 -140.310266608834</t>
  </si>
  <si>
    <t>-623.564289736704 133.982231303243 -97.7757766521734</t>
  </si>
  <si>
    <t>-638.716082565895 144.273800215629 317.395490738534</t>
  </si>
  <si>
    <t>-671.113472265616 181.293706213542 777.884179573901</t>
  </si>
  <si>
    <t>-520.11458699169 182.780932370347 833.390559130547</t>
  </si>
  <si>
    <t>-608.587462609062 -67.4038328164991 321.97006873215</t>
  </si>
  <si>
    <t>-655.869199008319 -105.05214109866 781.304340529249</t>
  </si>
  <si>
    <t>-501.391436592206 -117.083967133201 824.613450950036</t>
  </si>
  <si>
    <t>9763-20170724T115644.790298700.bin</t>
  </si>
  <si>
    <t>-616.82054805793 40.7658843643276 -93.8433391269681</t>
  </si>
  <si>
    <t>-640.564476889952 36.422119912595 -201.893586865637</t>
  </si>
  <si>
    <t>-652.635153789924 33.0503395231397 -293.919485832972</t>
  </si>
  <si>
    <t>-661.293130970613 30.0585606505078 -377.311443483932</t>
  </si>
  <si>
    <t>-667.132452548365 27.1716555299927 -460.951802622611</t>
  </si>
  <si>
    <t>-672.572617568295 23.0739827554471 -583.420385819714</t>
  </si>
  <si>
    <t>-644.380450367369 25.9170248418043 -656.477351509188</t>
  </si>
  <si>
    <t>-672.81621213294 56.1089919786393 -530.610492699112</t>
  </si>
  <si>
    <t>-663.13934224571 210.600692592727 -511.133159068838</t>
  </si>
  <si>
    <t>-697.101103882987 235.819155646703 -232.225956169043</t>
  </si>
  <si>
    <t>-485.976539732522 227.959743783562 -135.721104713611</t>
  </si>
  <si>
    <t>-623.250215394909 134.121822162468 -97.7688993869073</t>
  </si>
  <si>
    <t>-638.430229073283 144.39889757014 317.401630848903</t>
  </si>
  <si>
    <t>-671.122903004527 181.216929953526 777.863062056394</t>
  </si>
  <si>
    <t>-520.149421929985 182.816196733824 833.435347410798</t>
  </si>
  <si>
    <t>-608.117299420436 -67.2666501603046 322.001668311594</t>
  </si>
  <si>
    <t>-655.861222479576 -104.901673728854 781.282588301659</t>
  </si>
  <si>
    <t>-501.330573612326 -116.493947222029 824.522920776986</t>
  </si>
  <si>
    <t>9763-20170724T115644.827716300.bin</t>
  </si>
  <si>
    <t>-616.689849897221 40.7684707887556 -93.8208449675719</t>
  </si>
  <si>
    <t>-640.421219609996 36.3658490708472 -201.871438710069</t>
  </si>
  <si>
    <t>-652.46253543093 33.0044882792322 -293.901550339428</t>
  </si>
  <si>
    <t>-661.086187467546 30.0441887481156 -377.298163861613</t>
  </si>
  <si>
    <t>-666.883640824996 27.2127618409124 -460.943417404879</t>
  </si>
  <si>
    <t>-672.25431197751 23.2232295314363 -583.418535011033</t>
  </si>
  <si>
    <t>-644.026667881789 26.2925632572392 -656.452696788606</t>
  </si>
  <si>
    <t>-672.635748354542 56.2024141584775 -530.5747274314</t>
  </si>
  <si>
    <t>-663.405066916313 210.692849565766 -510.887381760858</t>
  </si>
  <si>
    <t>-698.512754737023 236.017488338061 -232.131621416123</t>
  </si>
  <si>
    <t>-488.256082057312 225.825280401494 -133.964702028231</t>
  </si>
  <si>
    <t>-623.382840820995 134.050544943609 -97.757943298358</t>
  </si>
  <si>
    <t>-638.475313700406 144.36770415718 317.414780750046</t>
  </si>
  <si>
    <t>-671.143480158402 181.136488209446 777.876382230654</t>
  </si>
  <si>
    <t>-520.174928676485 182.843510438403 833.458784403072</t>
  </si>
  <si>
    <t>-607.903242251551 -67.273873582795 322.017212840142</t>
  </si>
  <si>
    <t>-655.856790535464 -104.889827249036 781.276340634805</t>
  </si>
  <si>
    <t>-501.34551306386 -116.8091810426 824.49696580829</t>
  </si>
  <si>
    <t>9763-20170724T115644.859801700.bin</t>
  </si>
  <si>
    <t>-616.641562724012 40.7404054376616 -93.7897134591323</t>
  </si>
  <si>
    <t>-640.348876032561 36.2769736454413 -201.843206537588</t>
  </si>
  <si>
    <t>-652.373451628054 32.9289158784889 -293.876060585454</t>
  </si>
  <si>
    <t>-660.983306453967 30.0030421844303 -377.275218438556</t>
  </si>
  <si>
    <t>-666.76835999627 27.2310239352275 -460.923210826554</t>
  </si>
  <si>
    <t>-672.122624175615 23.3553075678624 -583.402779861576</t>
  </si>
  <si>
    <t>-643.881643248225 26.6473843334452 -656.422074512887</t>
  </si>
  <si>
    <t>-672.624665336118 56.2753040655373 -530.523134392968</t>
  </si>
  <si>
    <t>-663.77079289066 210.75215510182 -510.556057712841</t>
  </si>
  <si>
    <t>-699.593855752241 236.337482546891 -231.915330564979</t>
  </si>
  <si>
    <t>-489.945063710373 224.145378897763 -132.681838924528</t>
  </si>
  <si>
    <t>-623.704406053964 133.89951621476 -97.7251205282673</t>
  </si>
  <si>
    <t>-638.63514318286 144.3116998002 317.451056256172</t>
  </si>
  <si>
    <t>-671.159019948197 181.083818698919 777.903494871892</t>
  </si>
  <si>
    <t>-520.193204703704 182.773329951875 833.493783460672</t>
  </si>
  <si>
    <t>-607.680945556184 -67.2772568849728 322.029993180815</t>
  </si>
  <si>
    <t>-655.85582236111 -104.843275773766 781.26094391153</t>
  </si>
  <si>
    <t>-501.333607313985 -116.748104331247 824.446381037324</t>
  </si>
  <si>
    <t>9763-20170724T115644.928631100.bin</t>
  </si>
  <si>
    <t>-616.585692376069 40.5125770040972 -93.7517099167879</t>
  </si>
  <si>
    <t>-640.244904952337 35.9115202736707 -201.809938536608</t>
  </si>
  <si>
    <t>-652.196699975069 32.5975248821094 -293.85337594409</t>
  </si>
  <si>
    <t>-660.727151840759 29.7555677906685 -377.263710342952</t>
  </si>
  <si>
    <t>-666.41966495785 27.1243449430101 -460.922527608341</t>
  </si>
  <si>
    <t>-671.624326479968 23.5167331109394 -583.416801501642</t>
  </si>
  <si>
    <t>-643.319449919671 27.1624787783944 -656.394546945333</t>
  </si>
  <si>
    <t>-672.41966575295 56.2995584072944 -530.455503913235</t>
  </si>
  <si>
    <t>-664.531521619451 210.747990176696 -509.915291786416</t>
  </si>
  <si>
    <t>-700.681882797682 237.199351446075 -231.397653935425</t>
  </si>
  <si>
    <t>-491.743583276359 222.446902810971 -131.019965233768</t>
  </si>
  <si>
    <t>-624.394370637135 133.401514849963 -97.6419365796426</t>
  </si>
  <si>
    <t>-639.058935596656 144.146898652053 317.53519360204</t>
  </si>
  <si>
    <t>-671.197852358528 180.952402411134 777.999008534099</t>
  </si>
  <si>
    <t>-520.23569935925 182.733527557564 833.596407543883</t>
  </si>
  <si>
    <t>-607.274005120431 -67.3447676640983 322.043629619314</t>
  </si>
  <si>
    <t>-655.871460715858 -104.758803261075 781.224675290677</t>
  </si>
  <si>
    <t>-501.296858969457 -116.305543861802 824.319763518229</t>
  </si>
  <si>
    <t>9763-20170724T115644.992302500.bin</t>
  </si>
  <si>
    <t>-616.791660692361 40.2514549778355 -93.699467972182</t>
  </si>
  <si>
    <t>-640.379542207613 35.556875983018 -201.769207748493</t>
  </si>
  <si>
    <t>-652.122096038932 32.3327817015177 -293.842799861849</t>
  </si>
  <si>
    <t>-660.402730652464 29.633833801023 -377.28307093224</t>
  </si>
  <si>
    <t>-665.784805812145 27.2121387340831 -460.968847008525</t>
  </si>
  <si>
    <t>-670.469375914388 23.9843139295822 -583.494597601781</t>
  </si>
  <si>
    <t>-642.075226902194 27.5976064440692 -656.439359838166</t>
  </si>
  <si>
    <t>-671.722362732486 56.5791231494177 -530.426214526664</t>
  </si>
  <si>
    <t>-664.990146771592 211.023414378131 -509.430338747697</t>
  </si>
  <si>
    <t>-701.177937928707 237.776648498205 -230.946375324425</t>
  </si>
  <si>
    <t>-492.961576696597 223.044384306964 -129.07674060996</t>
  </si>
  <si>
    <t>-625.314030573649 132.923591154002 -97.5423585124122</t>
  </si>
  <si>
    <t>-639.430430506205 143.988328996969 317.64539199502</t>
  </si>
  <si>
    <t>-671.216360754745 180.860807322162 778.10844854467</t>
  </si>
  <si>
    <t>-520.259353945944 182.690872843212 833.718297378159</t>
  </si>
  <si>
    <t>-607.01310949889 -67.428476773073 322.051462905225</t>
  </si>
  <si>
    <t>-655.885811598894 -104.711133876847 781.191986295008</t>
  </si>
  <si>
    <t>-501.278011891637 -116.080683810656 824.215038338613</t>
  </si>
  <si>
    <t>9763-20170724T115645.024523300.bin</t>
  </si>
  <si>
    <t>-617.036576707896 40.1060026538253 -93.6762407023208</t>
  </si>
  <si>
    <t>-640.514418615042 35.3669883777254 -201.767923213925</t>
  </si>
  <si>
    <t>-652.042782412203 32.2039873645438 -293.870773151559</t>
  </si>
  <si>
    <t>-660.080650549527 29.5965017172907 -377.337765611247</t>
  </si>
  <si>
    <t>-665.170622577609 27.3053621426427 -461.045488323292</t>
  </si>
  <si>
    <t>-669.374282383646 24.3111333639608 -583.594600976085</t>
  </si>
  <si>
    <t>-641.006618258913 27.6642870724802 -656.562021586886</t>
  </si>
  <si>
    <t>-670.953461717218 56.792025598264 -530.465121396413</t>
  </si>
  <si>
    <t>-665.065019240712 211.232440331269 -509.239779071482</t>
  </si>
  <si>
    <t>-701.099502203702 237.802806124073 -230.718465694469</t>
  </si>
  <si>
    <t>-493.019081306617 223.540672086214 -128.504592422664</t>
  </si>
  <si>
    <t>-625.909926519168 132.659529718629 -97.4883935264437</t>
  </si>
  <si>
    <t>-639.70446295376 143.868058703068 317.706348260322</t>
  </si>
  <si>
    <t>-671.242410493462 180.766643521608 778.178849534203</t>
  </si>
  <si>
    <t>-520.285866057568 182.794542381833 833.783090798526</t>
  </si>
  <si>
    <t>-607.010503022583 -67.5126382468368 322.040963917449</t>
  </si>
  <si>
    <t>-655.883991135608 -104.68522768231 781.179713591362</t>
  </si>
  <si>
    <t>-501.261501739305 -115.923617689069 824.184449789278</t>
  </si>
  <si>
    <t>9763-20170724T115645.058613900.bin</t>
  </si>
  <si>
    <t>-617.319452481917 39.9527502245712 -93.64642608858</t>
  </si>
  <si>
    <t>-640.672805992143 35.17319858684 -201.763400444849</t>
  </si>
  <si>
    <t>-651.943826026074 32.1141230522023 -293.901604987293</t>
  </si>
  <si>
    <t>-659.687154901152 29.6526732902855 -377.400781610428</t>
  </si>
  <si>
    <t>-664.420649306561 27.561581029179 -461.134641173373</t>
  </si>
  <si>
    <t>-668.035459439214 24.9188633387244 -583.71058941156</t>
  </si>
  <si>
    <t>-639.78866242877 27.920559551133 -656.740226004958</t>
  </si>
  <si>
    <t>-669.979163773993 57.2351788715471 -530.493000948132</t>
  </si>
  <si>
    <t>-664.940195270987 211.647457220123 -508.835435194924</t>
  </si>
  <si>
    <t>-700.861112499626 237.481614407266 -230.230352168683</t>
  </si>
  <si>
    <t>-492.703097918955 224.254282022991 -128.035349506492</t>
  </si>
  <si>
    <t>-626.564241809224 132.366088704413 -97.416336268077</t>
  </si>
  <si>
    <t>-640.104516728293 143.789136027271 317.780900763259</t>
  </si>
  <si>
    <t>-671.259747681123 180.752566083069 778.264241453283</t>
  </si>
  <si>
    <t>-520.298122484809 182.871838901374 833.851288714114</t>
  </si>
  <si>
    <t>-607.078144607152 -67.6362026100962 322.029788413574</t>
  </si>
  <si>
    <t>-655.873156215843 -104.691714848357 781.172971939091</t>
  </si>
  <si>
    <t>-501.246987838408 -115.909559983951 824.169854077657</t>
  </si>
  <si>
    <t>9763-20170724T115645.125322400.bin</t>
  </si>
  <si>
    <t>-618.188841119921 39.4974262173512 -93.6130570794381</t>
  </si>
  <si>
    <t>-641.152161807952 34.6617450301437 -201.811016804704</t>
  </si>
  <si>
    <t>-651.857142225781 31.9302359749374 -294.026968887942</t>
  </si>
  <si>
    <t>-658.992690755458 29.906448089989 -377.591911334839</t>
  </si>
  <si>
    <t>-663.02195802121 28.3974233269914 -461.375217650972</t>
  </si>
  <si>
    <t>-665.501933820181 26.7622605006115 -583.997089274868</t>
  </si>
  <si>
    <t>-637.720931606404 28.583356092756 -657.243951727506</t>
  </si>
  <si>
    <t>-668.088872776798 58.6230277544105 -530.532575358424</t>
  </si>
  <si>
    <t>-664.669320998959 212.914303783095 -507.735632156331</t>
  </si>
  <si>
    <t>-700.48843285661 236.499207176576 -228.917918086849</t>
  </si>
  <si>
    <t>-492.039806859619 226.600731517532 -126.938837442284</t>
  </si>
  <si>
    <t>-628.108207057595 131.626028751473 -97.283717946528</t>
  </si>
  <si>
    <t>-641.169445899995 143.578217630288 317.914041611359</t>
  </si>
  <si>
    <t>-671.317790170771 180.693234933103 778.449829023284</t>
  </si>
  <si>
    <t>-520.33441392141 182.937701952025 833.97276548905</t>
  </si>
  <si>
    <t>-607.435643887603 -68.0594350956887 321.978937123686</t>
  </si>
  <si>
    <t>-655.849906673146 -104.709667018006 781.172582521871</t>
  </si>
  <si>
    <t>-501.236669422738 -116.075991616999 824.177027198386</t>
  </si>
  <si>
    <t>9763-20170724T115645.189995900.bin</t>
  </si>
  <si>
    <t>-619.372685440507 38.8952299521513 -93.5977981939295</t>
  </si>
  <si>
    <t>-641.830398132521 34.0864533788297 -201.903029799969</t>
  </si>
  <si>
    <t>-651.823121740969 31.7631944364041 -294.210039519538</t>
  </si>
  <si>
    <t>-658.198435705365 30.2551253131494 -377.847369553271</t>
  </si>
  <si>
    <t>-661.350076757036 29.4054577631343 -461.677560848596</t>
  </si>
  <si>
    <t>-662.418348145335 28.8881028116784 -584.329620237265</t>
  </si>
  <si>
    <t>-635.318925371528 28.7499673077268 -657.853786853728</t>
  </si>
  <si>
    <t>-665.571025978524 60.2663867173278 -530.610701086322</t>
  </si>
  <si>
    <t>-662.532274638589 214.375791473593 -506.495271276594</t>
  </si>
  <si>
    <t>-699.157195024751 235.436948860782 -227.580214823143</t>
  </si>
  <si>
    <t>-489.732713386836 227.451935166916 -127.449478554526</t>
  </si>
  <si>
    <t>-629.710299402204 130.836854416658 -97.1891056709835</t>
  </si>
  <si>
    <t>-642.358459440316 143.371982138525 318.004180936769</t>
  </si>
  <si>
    <t>-671.382649929416 180.74427094053 778.598352686583</t>
  </si>
  <si>
    <t>-520.357806371555 182.942598588385 834.010367778764</t>
  </si>
  <si>
    <t>-608.196588015105 -68.6645484422129 321.894940679046</t>
  </si>
  <si>
    <t>-655.814590661654 -104.748662498033 781.182128405563</t>
  </si>
  <si>
    <t>-501.212441603527 -116.205915208821 824.202234579921</t>
  </si>
  <si>
    <t>9763-20170724T115645.222613000.bin</t>
  </si>
  <si>
    <t>-619.937300867588 38.5054177541188 -93.6062458441027</t>
  </si>
  <si>
    <t>-642.13434920083 33.7522588943657 -201.967578122582</t>
  </si>
  <si>
    <t>-651.733218383651 31.6449278991424 -294.321600854395</t>
  </si>
  <si>
    <t>-657.681730148968 30.396302793514 -377.994717572973</t>
  </si>
  <si>
    <t>-660.334809840849 29.8672180483866 -461.844657818574</t>
  </si>
  <si>
    <t>-660.595362447664 29.8831850347547 -584.502161387797</t>
  </si>
  <si>
    <t>-633.975026728397 28.6678594936384 -658.191243263735</t>
  </si>
  <si>
    <t>-663.993053620579 61.0401052719876 -530.669577062694</t>
  </si>
  <si>
    <t>-660.686239281015 215.065917756265 -506.071282557006</t>
  </si>
  <si>
    <t>-698.031406623792 234.856588832 -227.158568292831</t>
  </si>
  <si>
    <t>-488.003651100634 227.67515072165 -128.237863742153</t>
  </si>
  <si>
    <t>-630.311174819823 130.354003755578 -97.1594988557887</t>
  </si>
  <si>
    <t>-642.870581275747 143.183632765663 318.027529034239</t>
  </si>
  <si>
    <t>-671.422443551089 180.724513554938 778.633741314833</t>
  </si>
  <si>
    <t>-520.379649600642 182.992029817194 833.9940942136</t>
  </si>
  <si>
    <t>-608.663209388281 -69.0231211465436 321.836488314299</t>
  </si>
  <si>
    <t>-655.794402754061 -104.736694132027 781.192249301307</t>
  </si>
  <si>
    <t>-501.15841173502 -115.704151594982 824.218467140417</t>
  </si>
  <si>
    <t>9763-20170724T115645.260714000.bin</t>
  </si>
  <si>
    <t>-620.44973168745 38.0410278062543 -93.6210497666743</t>
  </si>
  <si>
    <t>-642.385860628944 33.3762294579756 -202.039535315299</t>
  </si>
  <si>
    <t>-651.592250549167 31.4671193300987 -294.437769296866</t>
  </si>
  <si>
    <t>-657.115786243897 30.444600163368 -378.143107049316</t>
  </si>
  <si>
    <t>-659.272506531932 30.1844307187196 -462.008525637859</t>
  </si>
  <si>
    <t>-658.729161465642 30.6370446870951 -584.664214754574</t>
  </si>
  <si>
    <t>-632.54163731995 28.4201496267251 -658.485020585875</t>
  </si>
  <si>
    <t>-662.316438859474 61.6201728667299 -530.743666858506</t>
  </si>
  <si>
    <t>-658.236926293251 215.557503529627 -505.677822236466</t>
  </si>
  <si>
    <t>-696.61466209713 234.469861080302 -226.844428799816</t>
  </si>
  <si>
    <t>-485.939597163635 227.872475685063 -129.268855617807</t>
  </si>
  <si>
    <t>-630.742414295564 129.864120451977 -97.1379082098334</t>
  </si>
  <si>
    <t>-643.317924303198 142.937878216306 318.04097358085</t>
  </si>
  <si>
    <t>-671.465943423536 180.686818149278 778.6638097507</t>
  </si>
  <si>
    <t>-520.408718801161 182.86618678085 833.988335031749</t>
  </si>
  <si>
    <t>-609.159539935202 -69.4360379983689 321.775880019296</t>
  </si>
  <si>
    <t>-655.771231721652 -104.799555437295 781.203435992847</t>
  </si>
  <si>
    <t>-501.163214594042 -116.037594204324 824.26034812522</t>
  </si>
  <si>
    <t>9763-20170724T115645.326400900.bin</t>
  </si>
  <si>
    <t>-621.177884175677 37.1871533560488 -93.6995083195129</t>
  </si>
  <si>
    <t>-642.580834077149 32.748776395083 -202.233909960588</t>
  </si>
  <si>
    <t>-651.106330158808 31.0633311049562 -294.701838175449</t>
  </si>
  <si>
    <t>-655.920221706794 30.2538834337481 -378.453302110722</t>
  </si>
  <si>
    <t>-657.271237498285 30.2051710655064 -462.335908231228</t>
  </si>
  <si>
    <t>-655.444272855301 30.9587812764526 -584.977820352586</t>
  </si>
  <si>
    <t>-629.920504150758 26.997723060801 -658.957911749956</t>
  </si>
  <si>
    <t>-659.143763486976 61.8547476875024 -531.014935832768</t>
  </si>
  <si>
    <t>-652.634549830672 215.670565318972 -505.713231391375</t>
  </si>
  <si>
    <t>-693.694435857217 233.962819082458 -227.220849906685</t>
  </si>
  <si>
    <t>-481.936719150308 228.017616375048 -131.974469291139</t>
  </si>
  <si>
    <t>-630.948889571862 129.086276727779 -97.1438993068034</t>
  </si>
  <si>
    <t>-643.71246125401 142.541663818368 318.017086947579</t>
  </si>
  <si>
    <t>-671.506002904648 180.656696176239 778.680835700758</t>
  </si>
  <si>
    <t>-520.436202930691 182.783860167497 833.973031449935</t>
  </si>
  <si>
    <t>-610.156064053488 -70.2343118097426 321.645389662325</t>
  </si>
  <si>
    <t>-655.704532018098 -104.831594366039 781.23257786071</t>
  </si>
  <si>
    <t>-501.08135843245 -115.65616059778 824.340934641212</t>
  </si>
  <si>
    <t>9763-20170724T115645.360492300.bin</t>
  </si>
  <si>
    <t>-621.450093941458 36.8652944698958 -93.7442073793848</t>
  </si>
  <si>
    <t>-642.590014533618 32.5290967757298 -202.334279554681</t>
  </si>
  <si>
    <t>-650.879250406705 30.8473088767716 -294.823748136754</t>
  </si>
  <si>
    <t>-655.474272338126 30.0083938159557 -378.587272163429</t>
  </si>
  <si>
    <t>-656.600229997598 29.8922725781008 -462.473164425711</t>
  </si>
  <si>
    <t>-654.437610953298 30.5025691015237 -585.110355337486</t>
  </si>
  <si>
    <t>-629.210665462633 25.8501558141545 -659.152023196939</t>
  </si>
  <si>
    <t>-658.042081383414 61.4831397810526 -531.189510783391</t>
  </si>
  <si>
    <t>-650.133607580622 215.248201523333 -506.054831887518</t>
  </si>
  <si>
    <t>-692.425993561622 234.196961592412 -227.790769189558</t>
  </si>
  <si>
    <t>-480.158927874507 228.17707750296 -133.689805985326</t>
  </si>
  <si>
    <t>-630.825138998007 128.833146064391 -97.1807754081302</t>
  </si>
  <si>
    <t>-643.778056877523 142.425919644945 317.96978887453</t>
  </si>
  <si>
    <t>-671.514154862097 180.65340641478 778.65618426839</t>
  </si>
  <si>
    <t>-520.446767668547 182.801729060797 833.954116036114</t>
  </si>
  <si>
    <t>-610.626120502798 -70.6546076696802 321.595528452054</t>
  </si>
  <si>
    <t>-655.679764326523 -104.859618236743 781.25209061624</t>
  </si>
  <si>
    <t>-501.061485687086 -115.611205879605 824.396182304857</t>
  </si>
  <si>
    <t>9763-20170724T115645.425285700.bin</t>
  </si>
  <si>
    <t>-621.874385766905 36.5111635695077 -93.843161976758</t>
  </si>
  <si>
    <t>-642.734781670692 32.3446890725013 -202.49394013864</t>
  </si>
  <si>
    <t>-650.773711073693 30.5301733064828 -295.002965702295</t>
  </si>
  <si>
    <t>-655.137841918567 29.4660388742695 -378.776146041296</t>
  </si>
  <si>
    <t>-656.027798110063 29.0089830502516 -462.663794531881</t>
  </si>
  <si>
    <t>-653.514638855857 28.9913812858633 -585.295706544353</t>
  </si>
  <si>
    <t>-628.941205299224 23.3948531678038 -659.49174607207</t>
  </si>
  <si>
    <t>-656.829821360549 60.2821390635229 -531.535861277679</t>
  </si>
  <si>
    <t>-646.641558249514 214.025239619856 -507.154014658188</t>
  </si>
  <si>
    <t>-690.031559218904 235.635997273352 -229.253192897363</t>
  </si>
  <si>
    <t>-476.400140048816 228.65657972909 -138.360764620673</t>
  </si>
  <si>
    <t>-630.352973767186 128.72395433854 -97.3145292278325</t>
  </si>
  <si>
    <t>-643.719118541935 142.334011486639 317.822439354471</t>
  </si>
  <si>
    <t>-671.533814110505 180.645541382572 778.53401151433</t>
  </si>
  <si>
    <t>-520.475324916221 182.796819339702 833.856116198119</t>
  </si>
  <si>
    <t>-611.618251646495 -71.272575295553 321.509355385625</t>
  </si>
  <si>
    <t>-655.622558806091 -104.944313806293 781.297740527854</t>
  </si>
  <si>
    <t>-501.04825294301 -116.137116617364 824.487124864241</t>
  </si>
  <si>
    <t>9763-20170724T115645.457370000.bin</t>
  </si>
  <si>
    <t>-622.055853847675 36.5594042195446 -93.9078252253787</t>
  </si>
  <si>
    <t>-642.841019499858 32.4426274347354 -202.574846737032</t>
  </si>
  <si>
    <t>-650.821653686286 30.5415207562548 -295.08721647731</t>
  </si>
  <si>
    <t>-655.135806723877 29.3500397716418 -378.861233615407</t>
  </si>
  <si>
    <t>-655.9783291458 28.712319597314 -462.748206223921</t>
  </si>
  <si>
    <t>-653.398690412476 28.3708147628352 -585.378321621795</t>
  </si>
  <si>
    <t>-629.152530930422 22.4584306586275 -659.65735809016</t>
  </si>
  <si>
    <t>-656.545190613757 59.8168389027576 -531.698781636914</t>
  </si>
  <si>
    <t>-645.375612084881 213.540361725763 -507.676603824732</t>
  </si>
  <si>
    <t>-688.7426004993 236.561038372277 -229.88541373728</t>
  </si>
  <si>
    <t>-474.28672207952 229.299867197728 -140.978244924941</t>
  </si>
  <si>
    <t>-630.082965307502 128.883048550992 -97.4138022782905</t>
  </si>
  <si>
    <t>-643.634474938132 142.406589940653 317.71996496997</t>
  </si>
  <si>
    <t>-671.546440780828 180.646024901514 778.444309404032</t>
  </si>
  <si>
    <t>-520.493178385705 182.715148453988 833.783831031339</t>
  </si>
  <si>
    <t>-612.131133745493 -71.3227072523787 321.46899836414</t>
  </si>
  <si>
    <t>-655.60595036042 -104.94356269606 781.317469741673</t>
  </si>
  <si>
    <t>-501.026008724016 -116.082336715958 824.50074494029</t>
  </si>
  <si>
    <t>9763-20170724T115645.529308800.bin</t>
  </si>
  <si>
    <t>-622.276122064344 36.9659864394989 -94.0602147210827</t>
  </si>
  <si>
    <t>-642.975099205999 32.8718217973976 -202.74460635607</t>
  </si>
  <si>
    <t>-650.92077184852 30.7635836386451 -295.255340463958</t>
  </si>
  <si>
    <t>-655.21952265972 29.2966886943145 -379.02598249854</t>
  </si>
  <si>
    <t>-656.062517817328 28.2871397125598 -462.909237398312</t>
  </si>
  <si>
    <t>-653.500949763988 27.2938593906681 -585.536127831178</t>
  </si>
  <si>
    <t>-629.95753370432 20.8323809070776 -659.995419648337</t>
  </si>
  <si>
    <t>-656.276943710055 59.0460049196859 -532.016660415701</t>
  </si>
  <si>
    <t>-643.444225245521 212.777268350574 -508.7968690568</t>
  </si>
  <si>
    <t>-686.016576242221 237.892977461519 -231.064430040957</t>
  </si>
  <si>
    <t>-469.908797408155 230.694683199466 -146.245991217078</t>
  </si>
  <si>
    <t>-629.626912095586 129.516854994977 -97.6602493602106</t>
  </si>
  <si>
    <t>-643.503422164048 142.712738998961 317.473385153107</t>
  </si>
  <si>
    <t>-671.581579293995 180.673056923008 778.223752330785</t>
  </si>
  <si>
    <t>-520.533524202325 182.658610509399 833.580430778943</t>
  </si>
  <si>
    <t>-612.675639884988 -71.2221681006604 321.420997632857</t>
  </si>
  <si>
    <t>-655.563097859051 -104.978568062631 781.340934797217</t>
  </si>
  <si>
    <t>-501.030324010049 -116.73294198595 824.529863274977</t>
  </si>
  <si>
    <t>9763-20170724T115645.556380300.bin</t>
  </si>
  <si>
    <t>-622.327968135596 37.2878876746975 -94.1346828589334</t>
  </si>
  <si>
    <t>-643.021421212086 33.1787069167535 -202.819511847736</t>
  </si>
  <si>
    <t>-651.023362041425 30.9444598089997 -295.322515663936</t>
  </si>
  <si>
    <t>-655.397936950391 29.3189662706031 -379.08626993176</t>
  </si>
  <si>
    <t>-656.341725159324 28.1023026159778 -462.965711811873</t>
  </si>
  <si>
    <t>-653.954913097082 26.7514230510267 -585.592794333838</t>
  </si>
  <si>
    <t>-630.737771440664 20.0137063313734 -660.129853940181</t>
  </si>
  <si>
    <t>-656.492565868633 58.6676319807145 -532.159213356626</t>
  </si>
  <si>
    <t>-642.980301664219 212.415382862669 -509.427369183917</t>
  </si>
  <si>
    <t>-684.810050277894 238.407621490808 -231.662736619314</t>
  </si>
  <si>
    <t>-468.052097395683 231.256542001661 -148.515965304269</t>
  </si>
  <si>
    <t>-629.459830011613 129.942727548126 -97.7907845845747</t>
  </si>
  <si>
    <t>-643.42200103108 142.921943007294 317.346795060464</t>
  </si>
  <si>
    <t>-671.611630718 180.671555272674 778.115853466826</t>
  </si>
  <si>
    <t>-520.561790404253 182.61342816509 833.469309172503</t>
  </si>
  <si>
    <t>-612.769229516436 -70.9813935791553 321.413319531322</t>
  </si>
  <si>
    <t>-655.542471431914 -104.947576208512 781.345199993712</t>
  </si>
  <si>
    <t>-501.017026558219 -116.804786470394 824.532175778572</t>
  </si>
  <si>
    <t>9763-20170724T115645.627138500.bin</t>
  </si>
  <si>
    <t>-622.311166647038 38.082705753422 -94.239344749816</t>
  </si>
  <si>
    <t>-643.082220713687 33.9148782245572 -202.907079267894</t>
  </si>
  <si>
    <t>-651.261118733034 31.4130913831191 -295.387838396135</t>
  </si>
  <si>
    <t>-655.841322643127 29.4583326390532 -379.133559220728</t>
  </si>
  <si>
    <t>-657.03654936176 27.8180514786741 -463.0025486411</t>
  </si>
  <si>
    <t>-655.067563611268 25.7415484931055 -585.626885049051</t>
  </si>
  <si>
    <t>-632.426242877379 18.4850543036546 -660.292316492204</t>
  </si>
  <si>
    <t>-657.139718700706 57.9858149109398 -532.370426950775</t>
  </si>
  <si>
    <t>-642.482132339779 211.773797308771 -510.61194973579</t>
  </si>
  <si>
    <t>-682.6144006174 239.673750755331 -232.781782699728</t>
  </si>
  <si>
    <t>-464.939563321297 231.881958975913 -152.125210322794</t>
  </si>
  <si>
    <t>-629.121116549046 130.970328646925 -98.0353529607614</t>
  </si>
  <si>
    <t>-643.138415516352 143.455749953717 317.115474508627</t>
  </si>
  <si>
    <t>-671.671786116755 180.654706850314 777.911628595413</t>
  </si>
  <si>
    <t>-520.614658679663 182.467182721464 833.249523909948</t>
  </si>
  <si>
    <t>-612.772059029002 -70.2971852628991 321.433064262408</t>
  </si>
  <si>
    <t>-655.506360472539 -104.875451921163 781.345361820866</t>
  </si>
  <si>
    <t>-500.994247231873 -116.973123690025 824.513336323854</t>
  </si>
  <si>
    <t>9763-20170724T115645.659223500.bin</t>
  </si>
  <si>
    <t>-622.236981073632 38.4513935027721 -94.2792834874548</t>
  </si>
  <si>
    <t>-643.07060900463 34.2706272966034 -202.934496802996</t>
  </si>
  <si>
    <t>-651.358470121017 31.6355231347052 -295.40196268175</t>
  </si>
  <si>
    <t>-656.060274525511 29.5107270655831 -379.136717693359</t>
  </si>
  <si>
    <t>-657.400452419219 27.6479399643517 -462.998875734594</t>
  </si>
  <si>
    <t>-655.669090251008 25.1869224200721 -585.619817333078</t>
  </si>
  <si>
    <t>-633.300091649781 17.6603197935642 -660.340493020392</t>
  </si>
  <si>
    <t>-657.514858851893 57.6025149287236 -532.459024100034</t>
  </si>
  <si>
    <t>-642.286634113491 211.399167841019 -511.128783141029</t>
  </si>
  <si>
    <t>-681.689893403493 240.142254940333 -233.28016058514</t>
  </si>
  <si>
    <t>-463.751790687646 231.844837775853 -153.388596869769</t>
  </si>
  <si>
    <t>-628.962133680285 131.425970395758 -98.1218579683434</t>
  </si>
  <si>
    <t>-642.97538707889 143.684022366296 317.035905990251</t>
  </si>
  <si>
    <t>-671.705816693758 180.645977151607 777.825808744454</t>
  </si>
  <si>
    <t>-520.641051667796 182.465785239724 833.142705025296</t>
  </si>
  <si>
    <t>-612.68254626829 -69.9394205041644 321.43616983</t>
  </si>
  <si>
    <t>-655.492908115018 -104.83033045896 781.336184470622</t>
  </si>
  <si>
    <t>-500.976892707756 -116.929008598564 824.489996356693</t>
  </si>
  <si>
    <t>9763-20170724T115645.729048800.bin</t>
  </si>
  <si>
    <t>-621.877819264421 38.8030518452331 -94.346541634099</t>
  </si>
  <si>
    <t>-642.907635136878 34.6413422822643 -202.964758491249</t>
  </si>
  <si>
    <t>-651.471312840315 31.7640217665394 -295.399690438622</t>
  </si>
  <si>
    <t>-656.468195649781 29.3159960003552 -379.108546516921</t>
  </si>
  <si>
    <t>-658.149830803387 27.0204593506428 -462.953951339129</t>
  </si>
  <si>
    <t>-656.968979411304 23.8041074397606 -585.563852842139</t>
  </si>
  <si>
    <t>-635.079867590588 15.7163158651013 -660.368055257815</t>
  </si>
  <si>
    <t>-658.358016360269 56.5535504206357 -532.594190615169</t>
  </si>
  <si>
    <t>-642.044470488314 210.355009841177 -512.153715662028</t>
  </si>
  <si>
    <t>-680.577754294636 240.536813453208 -234.335792817618</t>
  </si>
  <si>
    <t>-462.416274929497 230.982901254617 -155.197638614392</t>
  </si>
  <si>
    <t>-628.362749101428 131.853733503756 -98.1993068883332</t>
  </si>
  <si>
    <t>-642.681206189143 143.862739689268 316.955346961857</t>
  </si>
  <si>
    <t>-671.76960270639 180.592042698666 777.710922520096</t>
  </si>
  <si>
    <t>-520.694756523292 182.301454457788 833.003757064282</t>
  </si>
  <si>
    <t>-612.322453594006 -69.4563376564658 321.439346033459</t>
  </si>
  <si>
    <t>-655.456286121263 -104.749288438503 781.307787619532</t>
  </si>
  <si>
    <t>-500.921916355818 -116.675463853523 824.443822511208</t>
  </si>
  <si>
    <t>9763-20170724T115645.757122400.bin</t>
  </si>
  <si>
    <t>-621.668691727541 38.8485195009221 -94.3553866681885</t>
  </si>
  <si>
    <t>-642.789972064593 34.7075076335761 -202.956678701705</t>
  </si>
  <si>
    <t>-651.484826476098 31.7406701329362 -295.376533384066</t>
  </si>
  <si>
    <t>-656.622555146078 29.1693330902992 -379.07318131827</t>
  </si>
  <si>
    <t>-658.467871598863 26.7057653499996 -462.910353055924</t>
  </si>
  <si>
    <t>-657.551334321519 23.1944889843114 -585.514326592213</t>
  </si>
  <si>
    <t>-635.881794070589 14.8594837093062 -660.355404601409</t>
  </si>
  <si>
    <t>-658.740902014574 56.0734721907788 -532.620163597874</t>
  </si>
  <si>
    <t>-641.968493347101 209.86743539826 -512.563671280494</t>
  </si>
  <si>
    <t>-680.321521040401 240.657302618169 -234.787417639612</t>
  </si>
  <si>
    <t>-462.094933056481 230.523264189271 -155.901409816671</t>
  </si>
  <si>
    <t>-628.08864689967 131.969253374656 -98.2167753112977</t>
  </si>
  <si>
    <t>-642.462399551987 143.867655206228 316.939089726668</t>
  </si>
  <si>
    <t>-671.767930842153 180.575650035137 777.682116439357</t>
  </si>
  <si>
    <t>-520.697245689939 182.423419754982 832.981750975928</t>
  </si>
  <si>
    <t>-612.152121168642 -69.3405568747687 321.438814960505</t>
  </si>
  <si>
    <t>-655.439267238792 -104.762193090952 781.293464771681</t>
  </si>
  <si>
    <t>-500.942070977879 -117.138030780403 824.43599133122</t>
  </si>
  <si>
    <t>9763-20170724T115645.825937700.bin</t>
  </si>
  <si>
    <t>-621.340850242274 38.8361750693316 -94.3639751028329</t>
  </si>
  <si>
    <t>-642.58438504897 34.7162445363467 -202.942205281024</t>
  </si>
  <si>
    <t>-651.407725699866 31.6514679846418 -295.346626746487</t>
  </si>
  <si>
    <t>-656.672618107546 28.9457758746412 -379.031152839419</t>
  </si>
  <si>
    <t>-658.656297094635 26.2994681040464 -462.859517484809</t>
  </si>
  <si>
    <t>-657.954755370844 22.4665639847956 -585.455457770558</t>
  </si>
  <si>
    <t>-636.530663708757 13.7504595191558 -660.323618392729</t>
  </si>
  <si>
    <t>-658.9173012302 55.4873020643272 -532.645019276724</t>
  </si>
  <si>
    <t>-641.445257896 209.255882191667 -513.018728805713</t>
  </si>
  <si>
    <t>-679.994430100434 240.979223048879 -235.374848184156</t>
  </si>
  <si>
    <t>-461.653350504852 230.304823531574 -156.877837972942</t>
  </si>
  <si>
    <t>-627.612726819494 132.043403500006 -98.2462116104605</t>
  </si>
  <si>
    <t>-642.097802687986 143.829078055315 316.909086569534</t>
  </si>
  <si>
    <t>-671.768595717542 180.529515504893 777.635080722819</t>
  </si>
  <si>
    <t>-520.711874270943 182.372292471233 832.973002684872</t>
  </si>
  <si>
    <t>-612.064816260519 -69.2016347003691 321.446912471975</t>
  </si>
  <si>
    <t>-655.413049753166 -104.703382217867 781.273564695716</t>
  </si>
  <si>
    <t>-500.903857957723 -116.992980303561 824.397805433144</t>
  </si>
  <si>
    <t>9763-20170724T115645.860028800.bin</t>
  </si>
  <si>
    <t>-621.247533490939 38.7176150829655 -94.3779647098281</t>
  </si>
  <si>
    <t>-642.517703971529 34.6078740374555 -202.951419850615</t>
  </si>
  <si>
    <t>-651.352122815763 31.5237542733037 -295.354248919128</t>
  </si>
  <si>
    <t>-656.622521645731 28.7901904421701 -379.037413469207</t>
  </si>
  <si>
    <t>-658.607365265273 26.1042839361817 -462.864526364679</t>
  </si>
  <si>
    <t>-657.902843780574 22.2002891880686 -585.458102204678</t>
  </si>
  <si>
    <t>-636.55832679281 13.3588999404722 -660.334352464869</t>
  </si>
  <si>
    <t>-658.815377901567 55.2527323352429 -532.666557510812</t>
  </si>
  <si>
    <t>-641.15952982896 209.015797673993 -513.11155538117</t>
  </si>
  <si>
    <t>-679.740849125726 240.957083731189 -235.497041302261</t>
  </si>
  <si>
    <t>-461.329955132964 230.384044883637 -157.180763704243</t>
  </si>
  <si>
    <t>-627.428836163383 131.882547946918 -98.2612339356135</t>
  </si>
  <si>
    <t>-641.967681331626 143.73463661496 316.890228693159</t>
  </si>
  <si>
    <t>-671.776026867981 180.489883986027 777.604143688313</t>
  </si>
  <si>
    <t>-520.724819571635 182.297926604371 832.958432369595</t>
  </si>
  <si>
    <t>-612.092704956511 -69.2263480736799 321.44439721123</t>
  </si>
  <si>
    <t>-655.399904043913 -104.658633961342 781.269370780878</t>
  </si>
  <si>
    <t>-500.871799655844 -116.747129677666 824.382730250883</t>
  </si>
  <si>
    <t>9763-20170724T115645.924725200.bin</t>
  </si>
  <si>
    <t>-621.123700765868 38.3587205078181 -94.3867869797588</t>
  </si>
  <si>
    <t>-642.394137942483 34.2564359492928 -202.960475921396</t>
  </si>
  <si>
    <t>-651.227895230149 31.1700845877501 -295.363273628121</t>
  </si>
  <si>
    <t>-656.497489508504 28.4314434103753 -379.046464523168</t>
  </si>
  <si>
    <t>-658.481245755312 25.7363170188223 -462.873145974079</t>
  </si>
  <si>
    <t>-657.774878809999 21.8140944911133 -585.466219137588</t>
  </si>
  <si>
    <t>-636.584040820164 12.8592202951711 -660.372693938874</t>
  </si>
  <si>
    <t>-658.636225618482 54.8753398327922 -532.679365921723</t>
  </si>
  <si>
    <t>-640.686056579921 208.602086838295 -513.08867663761</t>
  </si>
  <si>
    <t>-679.559486380277 240.650636890286 -235.527298080601</t>
  </si>
  <si>
    <t>-461.033449524624 230.175143348948 -157.519884614476</t>
  </si>
  <si>
    <t>-627.259150656432 131.492732209995 -98.290513637611</t>
  </si>
  <si>
    <t>-641.782964328814 143.489508375471 316.857380337199</t>
  </si>
  <si>
    <t>-671.776639789062 180.425339594184 777.540793853943</t>
  </si>
  <si>
    <t>-520.739807320367 182.309822015406 832.931608285992</t>
  </si>
  <si>
    <t>-612.17360963189 -69.4439259001574 321.433231152498</t>
  </si>
  <si>
    <t>-655.366301071182 -104.622737114241 781.26844282795</t>
  </si>
  <si>
    <t>-500.821084341581 -116.497062130898 824.379912495472</t>
  </si>
  <si>
    <t>9763-20170724T115645.958815900.bin</t>
  </si>
  <si>
    <t>-621.040220795679 38.0769241288185 -94.4068333034304</t>
  </si>
  <si>
    <t>-642.304420925316 33.9772147812578 -202.981719408213</t>
  </si>
  <si>
    <t>-651.125315403632 30.8999999857538 -295.386167066364</t>
  </si>
  <si>
    <t>-656.380117013278 28.1722355460577 -379.070506922537</t>
  </si>
  <si>
    <t>-658.345869773723 25.490101820207 -462.898134639491</t>
  </si>
  <si>
    <t>-657.609734867116 21.5886244063493 -585.49165477287</t>
  </si>
  <si>
    <t>-636.497240725853 12.6019841039638 -660.416364811555</t>
  </si>
  <si>
    <t>-658.469091160875 54.6411924890208 -532.699405489659</t>
  </si>
  <si>
    <t>-640.437076011708 208.354831827253 -513.080466472324</t>
  </si>
  <si>
    <t>-679.475345866558 240.506320262836 -235.554205832247</t>
  </si>
  <si>
    <t>-460.907842931981 229.922233315342 -157.677668121942</t>
  </si>
  <si>
    <t>-627.190020769763 131.187119536973 -98.3005579009488</t>
  </si>
  <si>
    <t>-641.7320105839 143.331455451653 316.842352945277</t>
  </si>
  <si>
    <t>-671.766668282341 180.400974764964 777.51061711543</t>
  </si>
  <si>
    <t>-520.740098135275 182.368689930365 832.926485372103</t>
  </si>
  <si>
    <t>-612.199265176529 -69.6612453919502 321.418539890663</t>
  </si>
  <si>
    <t>-655.354930357126 -104.611750078755 781.270732546044</t>
  </si>
  <si>
    <t>-500.825067878736 -116.679392363179 824.383471869662</t>
  </si>
  <si>
    <t>9763-20170724T115646.023032400.bin</t>
  </si>
  <si>
    <t>-620.923737843018 37.3568569473225 -94.4275358030494</t>
  </si>
  <si>
    <t>-642.198755210182 33.2570966141602 -203.000454327014</t>
  </si>
  <si>
    <t>-651.042089049828 30.2033658605851 -295.403347202787</t>
  </si>
  <si>
    <t>-656.322307138293 27.5051494726536 -379.087153733845</t>
  </si>
  <si>
    <t>-658.318598751369 24.8607896568697 -462.915247397865</t>
  </si>
  <si>
    <t>-657.632547851075 21.0232930965583 -585.511023008881</t>
  </si>
  <si>
    <t>-636.704447265256 12.0422467698615 -660.488195578601</t>
  </si>
  <si>
    <t>-658.480933772182 54.0481460822887 -532.701252927626</t>
  </si>
  <si>
    <t>-640.446745424539 207.753816487574 -513.025625431417</t>
  </si>
  <si>
    <t>-679.706618179382 239.766159417559 -235.514493537478</t>
  </si>
  <si>
    <t>-461.039585255828 228.851308290539 -157.963675731713</t>
  </si>
  <si>
    <t>-627.217442671789 130.389995630755 -98.3195435830675</t>
  </si>
  <si>
    <t>-641.62174558464 142.91193331977 316.816913281505</t>
  </si>
  <si>
    <t>-671.733535068616 180.35443872818 777.460485858325</t>
  </si>
  <si>
    <t>-520.728442336023 182.438490636659 832.930651157467</t>
  </si>
  <si>
    <t>-612.185929605615 -70.1339317548857 321.374509526623</t>
  </si>
  <si>
    <t>-655.334132854863 -104.625111252904 781.264368037692</t>
  </si>
  <si>
    <t>-500.799878415776 -116.676862026524 824.365989641926</t>
  </si>
  <si>
    <t>9763-20170724T115646.060131200.bin</t>
  </si>
  <si>
    <t>-620.831676981995 36.9665458181553 -94.4338700321691</t>
  </si>
  <si>
    <t>-642.145929165461 32.860940504188 -202.998738213567</t>
  </si>
  <si>
    <t>-651.01833954168 29.8106552071486 -295.399110839236</t>
  </si>
  <si>
    <t>-656.323153698319 27.1178364549608 -379.081456603968</t>
  </si>
  <si>
    <t>-658.342265903682 24.4814914518056 -462.90931506268</t>
  </si>
  <si>
    <t>-657.687545129559 20.6583075470005 -585.505811498854</t>
  </si>
  <si>
    <t>-636.846988204819 11.6793190898591 -660.507466074045</t>
  </si>
  <si>
    <t>-658.527838266069 53.6769732642072 -532.691774632953</t>
  </si>
  <si>
    <t>-640.536851768969 207.38453573708 -512.984016275697</t>
  </si>
  <si>
    <t>-679.814959973644 239.153806413425 -235.447375180568</t>
  </si>
  <si>
    <t>-461.035950311423 228.198549944134 -158.218743104275</t>
  </si>
  <si>
    <t>-627.205024272351 129.957739698453 -98.3218876703679</t>
  </si>
  <si>
    <t>-641.510387672661 142.633819076867 316.813397031299</t>
  </si>
  <si>
    <t>-671.751695860291 180.210495922623 777.42590297532</t>
  </si>
  <si>
    <t>-520.757757227569 182.42275482613 832.921513876967</t>
  </si>
  <si>
    <t>-612.124743630824 -70.3657904840454 321.363614343205</t>
  </si>
  <si>
    <t>-655.329611961972 -104.599259959185 781.258791005238</t>
  </si>
  <si>
    <t>-500.778897586377 -116.498539258966 824.343771178375</t>
  </si>
  <si>
    <t>9763-20170724T115646.124864000.bin</t>
  </si>
  <si>
    <t>-620.554687174034 36.3088240470056 -94.4675066330016</t>
  </si>
  <si>
    <t>-641.990989985005 32.1806212520139 -203.007581789241</t>
  </si>
  <si>
    <t>-650.9847369468 29.1432317650888 -295.396454197288</t>
  </si>
  <si>
    <t>-656.406174095736 26.4744802607374 -379.072257871337</t>
  </si>
  <si>
    <t>-658.548800139306 23.8749004656083 -462.898164144227</t>
  </si>
  <si>
    <t>-658.081822949958 20.1198704586609 -585.497583735499</t>
  </si>
  <si>
    <t>-637.356418838915 11.1498997210097 -660.532211257326</t>
  </si>
  <si>
    <t>-658.870500218255 53.10856962558 -532.664214652802</t>
  </si>
  <si>
    <t>-640.997793253298 206.815635141281 -512.853588807396</t>
  </si>
  <si>
    <t>-680.091898491543 238.115042897959 -235.237742878291</t>
  </si>
  <si>
    <t>-460.985013396145 227.255430431459 -158.930586292742</t>
  </si>
  <si>
    <t>-627.079093933693 129.247754388892 -98.3460376630237</t>
  </si>
  <si>
    <t>-641.230760663845 142.177907209989 316.786654318319</t>
  </si>
  <si>
    <t>-671.749840709792 180.113574898741 777.345945742446</t>
  </si>
  <si>
    <t>-520.772931166577 182.356486908315 832.886507311207</t>
  </si>
  <si>
    <t>-611.963313273412 -70.7578535001239 321.342497551798</t>
  </si>
  <si>
    <t>-655.3277486022 -104.574093773948 781.243907973024</t>
  </si>
  <si>
    <t>-500.76010075541 -116.368176120025 824.29706542284</t>
  </si>
  <si>
    <t>9763-20170724T115646.162964300.bin</t>
  </si>
  <si>
    <t>-620.412744962941 36.0244601157231 -94.4828131288663</t>
  </si>
  <si>
    <t>-641.916035051803 31.8730911410378 -203.008680288908</t>
  </si>
  <si>
    <t>-650.972793224953 28.8289150392031 -295.391275455786</t>
  </si>
  <si>
    <t>-656.453490959751 26.15868364217 -379.063139573309</t>
  </si>
  <si>
    <t>-658.657747174571 23.5620576710455 -462.887575350469</t>
  </si>
  <si>
    <t>-658.28327468025 19.8162198111593 -585.48753025269</t>
  </si>
  <si>
    <t>-637.610265825105 10.8324821072563 -660.535019155</t>
  </si>
  <si>
    <t>-659.04332549643 52.8007796127729 -532.651150601035</t>
  </si>
  <si>
    <t>-641.264152927243 206.520178832864 -512.810677670052</t>
  </si>
  <si>
    <t>-680.154688778986 237.767469849036 -235.160352892674</t>
  </si>
  <si>
    <t>-460.860518610038 226.941627580048 -159.388204251471</t>
  </si>
  <si>
    <t>-627.035969499471 128.914374986914 -98.3608488045969</t>
  </si>
  <si>
    <t>-641.081209310406 141.979543523753 316.771242835971</t>
  </si>
  <si>
    <t>-671.742776961453 180.086474368401 777.311294508673</t>
  </si>
  <si>
    <t>-520.77250751108 182.315693646863 832.87052045266</t>
  </si>
  <si>
    <t>-611.854568681176 -70.9064106120145 321.336520747974</t>
  </si>
  <si>
    <t>-655.332843412773 -104.539113815033 781.236153189496</t>
  </si>
  <si>
    <t>-500.726716537936 -115.944068126031 824.255908916789</t>
  </si>
  <si>
    <t>9763-20170724T115646.223533700.bin</t>
  </si>
  <si>
    <t>-620.205778192438 35.3950000331622 -94.4919060952782</t>
  </si>
  <si>
    <t>-641.875224542188 31.2274793487036 -202.984082284269</t>
  </si>
  <si>
    <t>-651.098027313675 28.1767123750801 -295.350084782934</t>
  </si>
  <si>
    <t>-656.738980352551 25.5007848413238 -379.011078519138</t>
  </si>
  <si>
    <t>-659.113503268383 22.8994202762851 -462.83079306912</t>
  </si>
  <si>
    <t>-658.998827578111 19.1468197763452 -585.430912885595</t>
  </si>
  <si>
    <t>-638.48190064433 10.1539419434023 -660.520253238971</t>
  </si>
  <si>
    <t>-659.666646440219 52.1338254054458 -532.594883407165</t>
  </si>
  <si>
    <t>-641.927219969347 205.853369278106 -512.761577861442</t>
  </si>
  <si>
    <t>-680.45714155062 237.268754608832 -235.079940197614</t>
  </si>
  <si>
    <t>-460.79087438096 226.537087881006 -160.379898514382</t>
  </si>
  <si>
    <t>-627.062505427327 128.196156227468 -98.3480086030446</t>
  </si>
  <si>
    <t>-640.922010277663 141.515902435829 316.782191227996</t>
  </si>
  <si>
    <t>-671.74335798879 179.994393634879 777.276686903947</t>
  </si>
  <si>
    <t>-520.779463181779 182.291327459168 832.850501627758</t>
  </si>
  <si>
    <t>-611.595609633575 -71.2120193845174 321.322286911377</t>
  </si>
  <si>
    <t>-655.340047301944 -104.55124403929 781.214341884672</t>
  </si>
  <si>
    <t>-500.754338790589 -116.332799149736 824.20595675968</t>
  </si>
  <si>
    <t>9763-20170724T115646.261634700.bin</t>
  </si>
  <si>
    <t>-620.173210305561 35.0481090004428 -94.4831095489283</t>
  </si>
  <si>
    <t>-641.941165430216 30.8764672195373 -202.955492898061</t>
  </si>
  <si>
    <t>-651.254393818896 27.8209933829348 -295.312233919923</t>
  </si>
  <si>
    <t>-656.979814968245 25.1397618774611 -378.967214301601</t>
  </si>
  <si>
    <t>-659.441657009148 22.5317828214161 -462.784204955328</t>
  </si>
  <si>
    <t>-659.457640679948 18.7682033885212 -585.384134074071</t>
  </si>
  <si>
    <t>-639.036461962184 9.77681783565777 -660.499610836696</t>
  </si>
  <si>
    <t>-660.081587353482 51.7597638636835 -532.550237517083</t>
  </si>
  <si>
    <t>-642.369033797436 205.482775365021 -512.720720501636</t>
  </si>
  <si>
    <t>-680.630394544124 237.169078124844 -235.032843739744</t>
  </si>
  <si>
    <t>-460.779685880475 226.388930406983 -160.884274242425</t>
  </si>
  <si>
    <t>-627.148351573351 127.775905868771 -98.3188050467346</t>
  </si>
  <si>
    <t>-640.979069660508 141.185276069145 316.809544976933</t>
  </si>
  <si>
    <t>-671.760880045373 179.897130073085 777.27893286278</t>
  </si>
  <si>
    <t>-520.796290035701 182.299458775027 832.846343666365</t>
  </si>
  <si>
    <t>-611.452640808249 -71.3657579615367 321.322205045102</t>
  </si>
  <si>
    <t>-655.343106304059 -104.543021253884 781.20511499583</t>
  </si>
  <si>
    <t>-500.76924665569 -116.492616489946 824.192930174381</t>
  </si>
  <si>
    <t>9763-20170724T115646.327353300.bin</t>
  </si>
  <si>
    <t>-620.135245018349 34.4678900888987 -94.4514558284736</t>
  </si>
  <si>
    <t>-642.128253763413 30.2958427461183 -202.878455730047</t>
  </si>
  <si>
    <t>-651.626091272608 27.225599745226 -295.215800844596</t>
  </si>
  <si>
    <t>-657.515964987757 24.5239040600161 -378.858792755939</t>
  </si>
  <si>
    <t>-660.139773199917 21.8891647509081 -462.669959358187</t>
  </si>
  <si>
    <t>-660.389860079993 18.0783223996168 -585.268251951712</t>
  </si>
  <si>
    <t>-640.148337503806 9.08617470963168 -660.432291818534</t>
  </si>
  <si>
    <t>-660.930411581465 51.0899500297558 -532.446067630977</t>
  </si>
  <si>
    <t>-643.279807688525 204.830906407498 -512.688499253653</t>
  </si>
  <si>
    <t>-681.068291420764 236.91104335553 -234.981064593892</t>
  </si>
  <si>
    <t>-460.829157119304 226.071401698941 -162.003259202663</t>
  </si>
  <si>
    <t>-627.291987536164 127.076236850577 -98.2496658404167</t>
  </si>
  <si>
    <t>-641.121944424253 140.617161712604 316.874407505812</t>
  </si>
  <si>
    <t>-671.775720009118 179.837001172693 777.309876221609</t>
  </si>
  <si>
    <t>-520.794225451901 182.161936987681 832.834808542033</t>
  </si>
  <si>
    <t>-611.245455061304 -71.5731266013465 321.335483704175</t>
  </si>
  <si>
    <t>-655.317224265555 -104.520026692028 781.196089306104</t>
  </si>
  <si>
    <t>-500.705040052023 -115.897861092412 824.201180119836</t>
  </si>
  <si>
    <t>9763-20170724T115646.359424200.bin</t>
  </si>
  <si>
    <t>-620.162964896893 34.2454851599873 -94.4357720643761</t>
  </si>
  <si>
    <t>-642.257534408381 30.0731762362477 -202.842111433117</t>
  </si>
  <si>
    <t>-651.839489289367 26.9973684615445 -295.17063891541</t>
  </si>
  <si>
    <t>-657.804550710527 24.2882536306297 -378.808012297651</t>
  </si>
  <si>
    <t>-660.502887354996 21.6429991102812 -462.61644017348</t>
  </si>
  <si>
    <t>-660.860888258867 17.8141098487883 -585.213820310053</t>
  </si>
  <si>
    <t>-640.689886669087 8.80968429301288 -660.395500522643</t>
  </si>
  <si>
    <t>-661.353891966281 50.8334582499392 -532.396051712434</t>
  </si>
  <si>
    <t>-643.734922272427 204.583877094453 -512.678784008056</t>
  </si>
  <si>
    <t>-681.247447889499 236.715490950089 -234.939729630102</t>
  </si>
  <si>
    <t>-460.850785715705 225.906687178808 -162.434485866887</t>
  </si>
  <si>
    <t>-627.389517107197 126.82746139261 -98.2150154392679</t>
  </si>
  <si>
    <t>-641.192125519107 140.408057082985 316.908661095523</t>
  </si>
  <si>
    <t>-671.788642302468 179.80286425993 777.339178782885</t>
  </si>
  <si>
    <t>-520.794462287442 182.110529036062 832.830245285105</t>
  </si>
  <si>
    <t>-611.172044111635 -71.6467673335703 321.345773671261</t>
  </si>
  <si>
    <t>-655.286978463522 -104.5267323035 781.197632128461</t>
  </si>
  <si>
    <t>-500.676579997966 -115.750108485451 824.249628220003</t>
  </si>
  <si>
    <t>9763-20170724T115646.427110800.bin</t>
  </si>
  <si>
    <t>-620.187919030075 33.9210134798595 -94.3984497352587</t>
  </si>
  <si>
    <t>-642.447388187673 29.7521759267313 -202.771071269634</t>
  </si>
  <si>
    <t>-652.146734063228 26.6784430734535 -295.087483516638</t>
  </si>
  <si>
    <t>-658.208825778871 23.9708176772388 -378.717959526757</t>
  </si>
  <si>
    <t>-660.995031123555 21.3263764887256 -462.523459088873</t>
  </si>
  <si>
    <t>-661.471397142145 17.4976538023029 -585.120617118617</t>
  </si>
  <si>
    <t>-641.370885062292 8.46459549960423 -660.317584619584</t>
  </si>
  <si>
    <t>-661.911530351804 50.5169594023735 -532.302251279139</t>
  </si>
  <si>
    <t>-644.280313791314 204.266883842075 -512.627185397469</t>
  </si>
  <si>
    <t>-681.392387303859 236.609018821106 -234.858757173021</t>
  </si>
  <si>
    <t>-460.724892159819 225.428254275691 -163.238915826775</t>
  </si>
  <si>
    <t>-627.446075398155 126.435462657349 -98.1648603526287</t>
  </si>
  <si>
    <t>-641.204089220169 140.116171611125 316.956952121444</t>
  </si>
  <si>
    <t>-671.799319496196 179.745003852289 777.375472911714</t>
  </si>
  <si>
    <t>-520.791721038557 182.071985205871 832.829053449964</t>
  </si>
  <si>
    <t>-611.072398908876 -71.7303476144077 321.36974588102</t>
  </si>
  <si>
    <t>-655.259082054012 -104.54293503668 781.210095741959</t>
  </si>
  <si>
    <t>-500.69100316989 -116.138455617649 824.315556309426</t>
  </si>
  <si>
    <t>9763-20170724T115646.461202200.bin</t>
  </si>
  <si>
    <t>-620.200905527407 33.7903354807443 -94.3811215269243</t>
  </si>
  <si>
    <t>-642.525103780006 29.6292028754963 -202.740795237967</t>
  </si>
  <si>
    <t>-652.273607152045 26.5604742644548 -295.052068711228</t>
  </si>
  <si>
    <t>-658.37805318408 23.8564076434325 -378.679563279075</t>
  </si>
  <si>
    <t>-661.204307163966 21.2150378485369 -462.483860603301</t>
  </si>
  <si>
    <t>-661.736742296685 17.3897434617265 -585.080975849014</t>
  </si>
  <si>
    <t>-641.669223263716 8.34122086243224 -660.28484347356</t>
  </si>
  <si>
    <t>-662.142580689778 50.4078844022099 -532.26145848147</t>
  </si>
  <si>
    <t>-644.423457612535 204.155568202995 -512.611768724445</t>
  </si>
  <si>
    <t>-681.492845334423 236.584285953006 -234.847678810618</t>
  </si>
  <si>
    <t>-460.726316628324 225.164204476064 -163.572022545655</t>
  </si>
  <si>
    <t>-627.463128379248 126.270945485474 -98.1407603573947</t>
  </si>
  <si>
    <t>-641.198794907668 139.984908597829 316.980742341693</t>
  </si>
  <si>
    <t>-671.809298615892 179.6653955621 777.385492979107</t>
  </si>
  <si>
    <t>-520.802361195788 182.107074638773 832.836010229192</t>
  </si>
  <si>
    <t>-611.052275156295 -71.7469372436697 321.374701486514</t>
  </si>
  <si>
    <t>-655.260804367861 -104.515082479579 781.205436366964</t>
  </si>
  <si>
    <t>-500.663824455313 -115.779422931104 824.294937169715</t>
  </si>
  <si>
    <t>9763-20170724T115646.525898600.bin</t>
  </si>
  <si>
    <t>-620.263063908247 33.6181489304272 -94.3707141274308</t>
  </si>
  <si>
    <t>-642.655008263094 29.4867481593355 -202.717505774825</t>
  </si>
  <si>
    <t>-652.464790730434 26.4425333287327 -295.023204461862</t>
  </si>
  <si>
    <t>-658.626176323829 23.7617553482644 -378.64720086773</t>
  </si>
  <si>
    <t>-661.511054428815 21.1442195440764 -462.450275922365</t>
  </si>
  <si>
    <t>-662.130805098943 17.3548529720952 -585.048027390709</t>
  </si>
  <si>
    <t>-642.085686527962 8.27186841548678 -660.253814248843</t>
  </si>
  <si>
    <t>-662.471979671665 50.3579451477135 -532.218794953628</t>
  </si>
  <si>
    <t>-644.541089132116 204.081461871039 -512.587888658347</t>
  </si>
  <si>
    <t>-681.532256580553 236.653441070012 -234.830273644898</t>
  </si>
  <si>
    <t>-460.571008728794 224.642992806491 -164.258286810872</t>
  </si>
  <si>
    <t>-627.414370726965 126.103956857045 -98.1200603360536</t>
  </si>
  <si>
    <t>-641.154163313999 139.867338168605 316.999647043568</t>
  </si>
  <si>
    <t>-671.794094407963 179.674877714504 777.391686915896</t>
  </si>
  <si>
    <t>-520.787885327379 182.03419373793 832.847827442196</t>
  </si>
  <si>
    <t>-611.130344521786 -71.7852994063742 321.374211769162</t>
  </si>
  <si>
    <t>-655.286286523154 -104.496859348618 781.205660456442</t>
  </si>
  <si>
    <t>-500.655114226271 -115.471143524667 824.247379065117</t>
  </si>
  <si>
    <t>9763-20170724T115646.556979700.bin</t>
  </si>
  <si>
    <t>-620.292135327241 33.5793166916785 -94.3644739788748</t>
  </si>
  <si>
    <t>-642.707681004848 29.4643217962034 -202.707053825252</t>
  </si>
  <si>
    <t>-652.529408411706 26.4311793814441 -295.011750160483</t>
  </si>
  <si>
    <t>-658.698258491995 23.7605038221432 -378.635610179905</t>
  </si>
  <si>
    <t>-661.587395952045 21.1523676745314 -462.438888049625</t>
  </si>
  <si>
    <t>-662.209793148554 17.3765080602493 -585.036876776404</t>
  </si>
  <si>
    <t>-642.156271190293 8.26501198433311 -660.236885269656</t>
  </si>
  <si>
    <t>-662.540258777393 50.3741441848344 -532.204097726191</t>
  </si>
  <si>
    <t>-644.507914188757 204.088292366835 -512.578707040862</t>
  </si>
  <si>
    <t>-681.420328987129 236.70648538355 -234.816052796734</t>
  </si>
  <si>
    <t>-460.360228740368 224.45126468346 -164.596542032622</t>
  </si>
  <si>
    <t>-627.373906864449 126.084595016066 -98.1137928900524</t>
  </si>
  <si>
    <t>-641.135399357221 139.856766374188 317.004991979712</t>
  </si>
  <si>
    <t>-671.789553808714 179.694628706061 777.393963166017</t>
  </si>
  <si>
    <t>-520.78236245969 181.987442608826 832.850283931357</t>
  </si>
  <si>
    <t>-611.200117391161 -71.8104399100907 321.373903559359</t>
  </si>
  <si>
    <t>-655.303937987547 -104.519814020919 781.205088898677</t>
  </si>
  <si>
    <t>-500.699963820009 -115.930025676345 824.231180157183</t>
  </si>
  <si>
    <t>9763-20170724T115646.625668500.bin</t>
  </si>
  <si>
    <t>-620.306779109134 33.5266689839896 -94.3621272269897</t>
  </si>
  <si>
    <t>-642.791802017161 29.4522307943175 -202.691845507062</t>
  </si>
  <si>
    <t>-652.637554289716 26.4491532946286 -294.99497013093</t>
  </si>
  <si>
    <t>-658.814143557216 23.8050706165263 -378.619208914851</t>
  </si>
  <si>
    <t>-661.696884942185 21.2227742608015 -462.423463266745</t>
  </si>
  <si>
    <t>-662.294417909987 17.4839766888542 -585.022736852831</t>
  </si>
  <si>
    <t>-642.205682107716 8.34331058536964 -660.209823772857</t>
  </si>
  <si>
    <t>-662.613677249741 50.4657881671203 -532.180066389736</t>
  </si>
  <si>
    <t>-644.305135144783 204.142086987252 -512.53737815671</t>
  </si>
  <si>
    <t>-681.097745366246 236.933109366341 -234.779219530124</t>
  </si>
  <si>
    <t>-459.823724990586 224.232432982943 -165.316764642949</t>
  </si>
  <si>
    <t>-627.275489514073 126.026602910233 -98.1041478202501</t>
  </si>
  <si>
    <t>-641.07595969604 139.787443725567 317.013587644589</t>
  </si>
  <si>
    <t>-671.80027597305 179.616425103959 777.397781848203</t>
  </si>
  <si>
    <t>-520.792804551012 182.008311467873 832.849127536306</t>
  </si>
  <si>
    <t>-611.22786219929 -71.7781729453216 321.359606856597</t>
  </si>
  <si>
    <t>-655.317728807725 -104.472682301982 781.198349318571</t>
  </si>
  <si>
    <t>-500.679263109437 -115.539609533514 824.190162979118</t>
  </si>
  <si>
    <t>9763-20170724T115646.658757700.bin</t>
  </si>
  <si>
    <t>-620.252060819503 33.5519101472134 -94.3621506983038</t>
  </si>
  <si>
    <t>-642.802401907981 29.4989676036582 -202.679176141715</t>
  </si>
  <si>
    <t>-652.681994542738 26.5157849369232 -294.979282534209</t>
  </si>
  <si>
    <t>-658.880472386821 23.8910620050126 -378.602373823017</t>
  </si>
  <si>
    <t>-661.776343772058 21.3291844316263 -462.406912209994</t>
  </si>
  <si>
    <t>-662.383498444745 17.6212098645008 -585.007090772029</t>
  </si>
  <si>
    <t>-642.276794896271 8.47479661149805 -660.188678352244</t>
  </si>
  <si>
    <t>-662.681117372907 50.5901729868981 -532.156187959547</t>
  </si>
  <si>
    <t>-644.189162739204 204.2429404293 -512.501862256162</t>
  </si>
  <si>
    <t>-681.091019988189 237.192769794555 -234.776874190573</t>
  </si>
  <si>
    <t>-459.682474142772 224.391878068299 -165.762879071521</t>
  </si>
  <si>
    <t>-627.144779520249 126.076140272266 -98.0973398081726</t>
  </si>
  <si>
    <t>-641.014203527206 139.789045656017 317.019698943191</t>
  </si>
  <si>
    <t>-671.793821819996 179.623450754931 777.398240080583</t>
  </si>
  <si>
    <t>-520.786306983665 182.032612802571 832.848715789283</t>
  </si>
  <si>
    <t>-611.185639248822 -71.7189763122112 321.354792553769</t>
  </si>
  <si>
    <t>-655.300052575493 -104.449568179921 781.19638849564</t>
  </si>
  <si>
    <t>-500.665873707925 -115.464955221915 824.216814305896</t>
  </si>
  <si>
    <t>9763-20170724T115646.723947100.bin</t>
  </si>
  <si>
    <t>-620.163050950931 33.6028277326479 -94.3508647458542</t>
  </si>
  <si>
    <t>-642.85866310045 29.6160054079739 -202.63986978587</t>
  </si>
  <si>
    <t>-652.784425353366 26.6916283829394 -294.936988306254</t>
  </si>
  <si>
    <t>-658.993567508725 24.1240100845498 -378.56110100764</t>
  </si>
  <si>
    <t>-661.868853840817 21.6230837344153 -462.368091003469</t>
  </si>
  <si>
    <t>-662.411502034799 18.0093049555073 -584.971356934707</t>
  </si>
  <si>
    <t>-642.067411338373 8.92621822561887 -660.096807524299</t>
  </si>
  <si>
    <t>-662.718590521637 50.9379887682408 -532.095681143092</t>
  </si>
  <si>
    <t>-643.954242090806 204.548357556985 -512.396689705109</t>
  </si>
  <si>
    <t>-681.380821290117 237.794761728313 -234.777411787474</t>
  </si>
  <si>
    <t>-459.663370947688 225.206501717655 -166.722578822383</t>
  </si>
  <si>
    <t>-626.878591088841 126.193844798171 -98.0641242180006</t>
  </si>
  <si>
    <t>-640.834360763144 139.770048286338 317.054564885036</t>
  </si>
  <si>
    <t>-671.792390403566 179.595007620592 777.427428996236</t>
  </si>
  <si>
    <t>-520.783031788167 182.024939457963 832.871936271477</t>
  </si>
  <si>
    <t>-611.052111910125 -71.5772828883578 321.36236800769</t>
  </si>
  <si>
    <t>-655.223877786329 -104.476468238946 781.204654303206</t>
  </si>
  <si>
    <t>-500.631503657199 -115.592236948889 824.349278763456</t>
  </si>
  <si>
    <t>9763-20170724T115646.790123800.bin</t>
  </si>
  <si>
    <t>-619.822815732399 33.5378257935226 -94.3073457661905</t>
  </si>
  <si>
    <t>-642.609138359236 29.7184223029883 -202.583400658787</t>
  </si>
  <si>
    <t>-652.803814427725 26.872917182731 -294.853743478192</t>
  </si>
  <si>
    <t>-659.334512320033 24.3606031880147 -378.454896941428</t>
  </si>
  <si>
    <t>-662.610297878871 21.8999965932423 -462.248388071476</t>
  </si>
  <si>
    <t>-663.824919194468 18.3315359275448 -584.848217991631</t>
  </si>
  <si>
    <t>-642.534760343334 10.0258812965922 -659.801258589635</t>
  </si>
  <si>
    <t>-663.78404103399 51.2416546335887 -531.959933750999</t>
  </si>
  <si>
    <t>-644.010214433478 204.740581708499 -512.324040733161</t>
  </si>
  <si>
    <t>-682.553578416154 238.903798332761 -234.968893305202</t>
  </si>
  <si>
    <t>-460.346646489053 225.228871883961 -168.745050912292</t>
  </si>
  <si>
    <t>-626.034167879714 126.257257616419 -97.974402428266</t>
  </si>
  <si>
    <t>-640.390134678298 139.814576233016 317.131301905032</t>
  </si>
  <si>
    <t>-671.751299872085 179.721377956108 777.484510425754</t>
  </si>
  <si>
    <t>-520.737754839785 181.860261668826 832.929611669035</t>
  </si>
  <si>
    <t>-610.762045744028 -71.492066162634 321.403667396567</t>
  </si>
  <si>
    <t>-654.74459185923 -104.580005804107 781.268576933154</t>
  </si>
  <si>
    <t>-500.36497480692 -115.382230335147 825.246623395346</t>
  </si>
  <si>
    <t>9763-20170724T115646.827877100.bin</t>
  </si>
  <si>
    <t>-619.391349211409 33.4599024778665 -94.2274790429622</t>
  </si>
  <si>
    <t>-642.289070967908 29.7415557360594 -202.483475765315</t>
  </si>
  <si>
    <t>-652.828863728815 26.9047246511466 -294.715335612085</t>
  </si>
  <si>
    <t>-659.773764007569 24.3771171255733 -378.28270438923</t>
  </si>
  <si>
    <t>-663.566483850779 21.8809747234839 -462.053355250078</t>
  </si>
  <si>
    <t>-665.649618206334 18.2409554796445 -584.639417443864</t>
  </si>
  <si>
    <t>-643.629659315816 10.6806551453576 -659.460336117849</t>
  </si>
  <si>
    <t>-665.23854804381 51.1817192603469 -531.771781068911</t>
  </si>
  <si>
    <t>-645.254540770668 204.67523648852 -512.346776210186</t>
  </si>
  <si>
    <t>-683.261588559751 239.815719572385 -235.039724380433</t>
  </si>
  <si>
    <t>-460.517860263359 224.741840416448 -170.957473641795</t>
  </si>
  <si>
    <t>-625.325024018935 126.273923397196 -97.8902974735862</t>
  </si>
  <si>
    <t>-639.963034182891 139.715083258239 317.2093430372</t>
  </si>
  <si>
    <t>-671.741030799063 179.679040950023 777.526062372568</t>
  </si>
  <si>
    <t>-520.733489887032 181.850654209736 832.986225057094</t>
  </si>
  <si>
    <t>-610.422969833803 -71.5525733636832 321.475096644262</t>
  </si>
  <si>
    <t>-654.273260787075 -104.725988621174 781.351774338009</t>
  </si>
  <si>
    <t>-500.142447508242 -115.518823380773 826.196333129367</t>
  </si>
  <si>
    <t>9763-20170724T115646.855951800.bin</t>
  </si>
  <si>
    <t>-618.79873345581 33.4123351228131 -94.1081663946088</t>
  </si>
  <si>
    <t>-641.863081405427 29.8135091749889 -202.332973612795</t>
  </si>
  <si>
    <t>-652.79189732711 26.9651955324689 -294.519070429419</t>
  </si>
  <si>
    <t>-660.189618452791 24.3906142862206 -378.046255371919</t>
  </si>
  <si>
    <t>-664.53729047185 21.8133366733412 -461.787348001682</t>
  </si>
  <si>
    <t>-667.543430336629 18.0219153991259 -584.349557973356</t>
  </si>
  <si>
    <t>-644.513617626914 11.393777743916 -658.954589430229</t>
  </si>
  <si>
    <t>-666.761906979117 51.0275543394814 -531.526750824029</t>
  </si>
  <si>
    <t>-646.775844711602 204.540205625269 -512.299729629277</t>
  </si>
  <si>
    <t>-683.756039184283 240.95689884552 -235.018416470727</t>
  </si>
  <si>
    <t>-460.199707374665 224.246987243387 -174.257600786797</t>
  </si>
  <si>
    <t>-624.477484745762 126.355619452832 -97.7719906945891</t>
  </si>
  <si>
    <t>-639.409135532547 139.634915138316 317.322373913738</t>
  </si>
  <si>
    <t>-671.710869870309 179.669746511073 777.584355781019</t>
  </si>
  <si>
    <t>-520.711897962911 181.770293385343 833.07047355501</t>
  </si>
  <si>
    <t>-609.947752190286 -71.5145288529855 321.580782310741</t>
  </si>
  <si>
    <t>-653.692721204503 -104.833917221593 781.544496668469</t>
  </si>
  <si>
    <t>-499.826656841831 -115.49337457914 827.32049632209</t>
  </si>
  <si>
    <t>9763-20170724T115646.925646200.bin</t>
  </si>
  <si>
    <t>-617.685795084372 33.409002764585 -93.8203836307669</t>
  </si>
  <si>
    <t>-641.315416875793 29.9408122850964 -201.927339699471</t>
  </si>
  <si>
    <t>-652.973692629295 26.9752813274247 -294.020329834812</t>
  </si>
  <si>
    <t>-661.133181526105 24.2155390355224 -377.470558599919</t>
  </si>
  <si>
    <t>-666.346327436185 21.3786092801997 -461.153933405666</t>
  </si>
  <si>
    <t>-670.731472255949 17.1313592675979 -583.659762090563</t>
  </si>
  <si>
    <t>-645.732887629987 12.1846829208891 -657.759697721905</t>
  </si>
  <si>
    <t>-669.462825583169 50.3313966487308 -530.968196249853</t>
  </si>
  <si>
    <t>-649.830387109342 203.983787069861 -512.393963060821</t>
  </si>
  <si>
    <t>-684.712931318752 243.09910331115 -235.208452027526</t>
  </si>
  <si>
    <t>-459.308897114284 223.7944814968 -182.588199309529</t>
  </si>
  <si>
    <t>-623.101749874883 126.597924909004 -97.5141711725441</t>
  </si>
  <si>
    <t>-638.161247391353 139.451333788292 317.588948495476</t>
  </si>
  <si>
    <t>-671.644643109536 179.545720816866 777.75122049812</t>
  </si>
  <si>
    <t>-520.669811615815 181.727768341965 833.299959297838</t>
  </si>
  <si>
    <t>-608.812370357094 -71.0960881522817 321.872573807051</t>
  </si>
  <si>
    <t>-653.172049741276 -104.912442422987 781.730567362663</t>
  </si>
  <si>
    <t>-499.615527197048 -115.785448053553 828.485261709874</t>
  </si>
  <si>
    <t>9763-20170724T115646.962744400.bin</t>
  </si>
  <si>
    <t>-617.2827527724 33.537820688754 -93.6905055420099</t>
  </si>
  <si>
    <t>-641.25256150417 30.0651301091848 -201.722419300769</t>
  </si>
  <si>
    <t>-653.100655614807 27.0171006046246 -293.788435567101</t>
  </si>
  <si>
    <t>-661.392270268455 24.151747022657 -377.222061377167</t>
  </si>
  <si>
    <t>-666.697928331799 21.1797348572975 -460.894873941296</t>
  </si>
  <si>
    <t>-671.174798645527 16.7033461184108 -583.389337924205</t>
  </si>
  <si>
    <t>-645.457729152331 12.7236533461798 -657.301442674816</t>
  </si>
  <si>
    <t>-669.918479201932 50.0007850608749 -530.758976988557</t>
  </si>
  <si>
    <t>-650.824801418874 203.729135064066 -512.459052389921</t>
  </si>
  <si>
    <t>-685.114725234827 244.613558735009 -235.455097251294</t>
  </si>
  <si>
    <t>-458.724393167905 223.496041586939 -188.020927416053</t>
  </si>
  <si>
    <t>-622.762422826475 126.73680697669 -97.3754702576497</t>
  </si>
  <si>
    <t>-637.670549609535 139.413876183504 317.738516554598</t>
  </si>
  <si>
    <t>-671.619450109271 179.454399029024 777.858462441685</t>
  </si>
  <si>
    <t>-520.652696470981 181.715638915106 833.426141584954</t>
  </si>
  <si>
    <t>-608.191347261418 -70.634905389682 321.998939464367</t>
  </si>
  <si>
    <t>-652.990608755163 -104.833129580402 781.775378877218</t>
  </si>
  <si>
    <t>-499.497143564982 -115.245041491169 828.840959291057</t>
  </si>
  <si>
    <t>9763-20170724T115647.022710100.bin</t>
  </si>
  <si>
    <t>-616.896907965403 33.7572724363988 -93.4840431596067</t>
  </si>
  <si>
    <t>-641.234654020328 30.1863761608433 -201.430448692669</t>
  </si>
  <si>
    <t>-653.313540454168 27.0604911280836 -293.46389636386</t>
  </si>
  <si>
    <t>-661.780768332818 24.1243810810613 -376.877440375489</t>
  </si>
  <si>
    <t>-667.228996245713 21.0841731999385 -460.538719141662</t>
  </si>
  <si>
    <t>-671.877516657302 16.5122062239648 -583.023141433089</t>
  </si>
  <si>
    <t>-645.235689669402 14.0971003969253 -656.674887941119</t>
  </si>
  <si>
    <t>-670.701153747406 49.8469915647484 -530.414723651981</t>
  </si>
  <si>
    <t>-652.448170112715 203.738574701237 -512.44128973532</t>
  </si>
  <si>
    <t>-686.866933808237 247.743256089005 -235.931751793915</t>
  </si>
  <si>
    <t>-458.737499419512 222.895704595889 -200.041879867728</t>
  </si>
  <si>
    <t>-622.812644459523 126.893205065742 -97.1268176734849</t>
  </si>
  <si>
    <t>-637.33808635689 139.488355778666 318.003226661958</t>
  </si>
  <si>
    <t>-671.563088986738 179.382985990595 778.121773517669</t>
  </si>
  <si>
    <t>-520.594755306832 181.635212593611 833.685350689325</t>
  </si>
  <si>
    <t>-606.793665718143 -70.0137619446527 322.270630261119</t>
  </si>
  <si>
    <t>-652.877170615335 -104.736394969753 781.817437301313</t>
  </si>
  <si>
    <t>-499.471738171117 -115.315909205614 829.131993307791</t>
  </si>
  <si>
    <t>9763-20170724T115647.060806500.bin</t>
  </si>
  <si>
    <t>-616.789674651209 33.7046891151581 -93.3904110009609</t>
  </si>
  <si>
    <t>-641.182954988353 30.0393011347671 -201.321023158191</t>
  </si>
  <si>
    <t>-653.322541609933 26.8784115825899 -293.345386218967</t>
  </si>
  <si>
    <t>-661.849742787178 23.9258448869962 -376.752278712461</t>
  </si>
  <si>
    <t>-667.363200744166 20.8856781521074 -460.409202104043</t>
  </si>
  <si>
    <t>-672.112796037527 16.3316746720711 -582.890408936062</t>
  </si>
  <si>
    <t>-645.343182067838 14.4578072820127 -656.511694085063</t>
  </si>
  <si>
    <t>-670.986630565691 49.656198417543 -530.274244109454</t>
  </si>
  <si>
    <t>-653.599899333596 203.662147781165 -512.447441270848</t>
  </si>
  <si>
    <t>-687.441093792925 249.488793159942 -236.162742687918</t>
  </si>
  <si>
    <t>-458.70458683418 222.28042876336 -206.366035113542</t>
  </si>
  <si>
    <t>-623.007264807079 126.708471948753 -97.0226497327714</t>
  </si>
  <si>
    <t>-637.374708995013 139.463451916351 318.108051932273</t>
  </si>
  <si>
    <t>-671.554469498106 179.296130343429 778.246148008</t>
  </si>
  <si>
    <t>-520.580182342655 181.618652243634 833.79068236143</t>
  </si>
  <si>
    <t>-606.38811963373 -69.9645684310651 322.369436846988</t>
  </si>
  <si>
    <t>-652.933932610885 -104.686085129337 781.812144564556</t>
  </si>
  <si>
    <t>-499.498532620305 -115.12326857313 829.061149333313</t>
  </si>
  <si>
    <t>9763-20170724T115647.124990900.bin</t>
  </si>
  <si>
    <t>-616.583082726116 33.6110619322235 -93.2457944501476</t>
  </si>
  <si>
    <t>-640.930984035625 29.7771539483811 -201.180842644177</t>
  </si>
  <si>
    <t>-653.120277413548 26.5735270105959 -293.197049542906</t>
  </si>
  <si>
    <t>-661.727501012639 23.6165881449238 -376.595663149405</t>
  </si>
  <si>
    <t>-667.356262452635 20.6106628553116 -460.246216750664</t>
  </si>
  <si>
    <t>-672.312892999415 16.1496259834812 -582.722458777887</t>
  </si>
  <si>
    <t>-645.552300891833 15.081790111248 -656.363227868713</t>
  </si>
  <si>
    <t>-671.322282749865 49.4267710838462 -530.073765206093</t>
  </si>
  <si>
    <t>-655.402252719082 203.578700721933 -512.140384575326</t>
  </si>
  <si>
    <t>-687.716267603907 252.030820210722 -236.120860064683</t>
  </si>
  <si>
    <t>-458.555423204267 219.147510176957 -217.344829822533</t>
  </si>
  <si>
    <t>-623.386126393198 126.412498745329 -96.887030269361</t>
  </si>
  <si>
    <t>-637.626721692345 139.404245327841 318.240667674388</t>
  </si>
  <si>
    <t>-671.50093720147 179.277006404034 778.410658691962</t>
  </si>
  <si>
    <t>-520.510757060068 181.61127698071 833.911488216166</t>
  </si>
  <si>
    <t>-606.367403091054 -70.2116519139665 322.42337291362</t>
  </si>
  <si>
    <t>-653.227808716514 -104.578458941783 781.7764421651</t>
  </si>
  <si>
    <t>-499.638417505798 -114.705736508774 828.590536526344</t>
  </si>
  <si>
    <t>9763-20170724T115647.190166600.bin</t>
  </si>
  <si>
    <t>-616.310356023323 33.1852881637431 -93.2627074788543</t>
  </si>
  <si>
    <t>-640.573466615355 29.2398820950436 -201.21284156731</t>
  </si>
  <si>
    <t>-652.806012312649 26.0531425525437 -293.22391740315</t>
  </si>
  <si>
    <t>-661.498332388509 23.1527482555402 -376.615684115693</t>
  </si>
  <si>
    <t>-667.258404136336 20.2480250425151 -460.260821084031</t>
  </si>
  <si>
    <t>-672.457389927027 15.9849204974917 -582.734159670103</t>
  </si>
  <si>
    <t>-645.932992046326 15.4700566448025 -656.466190351777</t>
  </si>
  <si>
    <t>-671.516449773752 49.1711407804194 -530.027140211045</t>
  </si>
  <si>
    <t>-656.514130521764 203.38498837371 -511.818963909005</t>
  </si>
  <si>
    <t>-686.894259394307 253.233728540447 -235.828410968305</t>
  </si>
  <si>
    <t>-458.15600805956 214.078069856451 -226.124076015337</t>
  </si>
  <si>
    <t>-623.41684986262 125.748871723848 -96.8852120327393</t>
  </si>
  <si>
    <t>-637.671868330252 139.099240899929 318.230630779689</t>
  </si>
  <si>
    <t>-671.458208804939 179.16202213169 778.429192582669</t>
  </si>
  <si>
    <t>-520.478202475256 181.648124381963 833.951032836719</t>
  </si>
  <si>
    <t>-606.365118071637 -70.6569959161973 322.357740583674</t>
  </si>
  <si>
    <t>-653.704692647191 -104.485114033644 781.696105972679</t>
  </si>
  <si>
    <t>-499.896002054371 -114.804113314977 827.742073584838</t>
  </si>
  <si>
    <t>9763-20170724T115647.223259300.bin</t>
  </si>
  <si>
    <t>-616.069106483956 32.8267351462957 -93.2981833451969</t>
  </si>
  <si>
    <t>-640.320229108288 28.8403096636575 -201.249567665977</t>
  </si>
  <si>
    <t>-652.577985575419 25.6770135564964 -293.25813562015</t>
  </si>
  <si>
    <t>-661.307249433741 22.8199534325913 -376.647347866109</t>
  </si>
  <si>
    <t>-667.118298446082 19.9816299428094 -460.291347076923</t>
  </si>
  <si>
    <t>-672.407270823054 15.8403177506088 -582.765003253268</t>
  </si>
  <si>
    <t>-646.004538768616 15.5222865724863 -656.541817328715</t>
  </si>
  <si>
    <t>-671.457355927577 48.9727193488934 -530.024361191726</t>
  </si>
  <si>
    <t>-656.619005747518 203.186144167952 -511.626318076688</t>
  </si>
  <si>
    <t>-686.241701132309 253.227424755094 -235.5883695898</t>
  </si>
  <si>
    <t>-457.852547982888 211.343772904544 -229.871306740198</t>
  </si>
  <si>
    <t>-623.228259717779 125.319299325414 -96.9122879538785</t>
  </si>
  <si>
    <t>-637.525103425459 138.841963229845 318.196533901225</t>
  </si>
  <si>
    <t>-671.440702140393 179.044187821437 778.386044242295</t>
  </si>
  <si>
    <t>-520.47689820473 181.67047015389 833.945525870137</t>
  </si>
  <si>
    <t>-606.314540369419 -70.9532037559748 322.314209715303</t>
  </si>
  <si>
    <t>-654.003415130852 -104.46820432529 781.632509488544</t>
  </si>
  <si>
    <t>-500.085126485443 -115.251814491972 827.203335890113</t>
  </si>
  <si>
    <t>9763-20170724T115647.261356400.bin</t>
  </si>
  <si>
    <t>-615.7600762064 32.5072958775377 -93.3586085564641</t>
  </si>
  <si>
    <t>-640.005756134703 28.4983672299006 -201.310366793598</t>
  </si>
  <si>
    <t>-652.298329350295 25.3655907278121 -293.315286505048</t>
  </si>
  <si>
    <t>-661.074824853935 22.5554360071246 -376.701183257972</t>
  </si>
  <si>
    <t>-666.948819133054 19.7838994594667 -460.342902885523</t>
  </si>
  <si>
    <t>-672.347029113725 15.76168908817 -582.815893929759</t>
  </si>
  <si>
    <t>-646.060302706555 15.6051782223146 -656.634505685002</t>
  </si>
  <si>
    <t>-671.359449903535 48.8424418908621 -530.043417809211</t>
  </si>
  <si>
    <t>-656.489763181601 203.02539818287 -511.464409026795</t>
  </si>
  <si>
    <t>-685.433962039221 253.263021180947 -235.390206026668</t>
  </si>
  <si>
    <t>-457.481486799367 208.746110865494 -233.282616654393</t>
  </si>
  <si>
    <t>-622.88907163699 124.950902314654 -96.9601703994323</t>
  </si>
  <si>
    <t>-637.290130727992 138.610877621313 318.14063260643</t>
  </si>
  <si>
    <t>-671.418657929572 178.934435091761 778.313468580104</t>
  </si>
  <si>
    <t>-520.475218694304 181.708221720844 833.921123074896</t>
  </si>
  <si>
    <t>-606.224533594897 -71.2293057722216 322.256897606967</t>
  </si>
  <si>
    <t>-654.299448275995 -104.374524823686 781.55823186841</t>
  </si>
  <si>
    <t>-500.201659924579 -114.672502121024 826.631976775031</t>
  </si>
  <si>
    <t>9763-20170724T115647.325284900.bin</t>
  </si>
  <si>
    <t>-614.83006208617 31.8752506009466 -93.4631576448509</t>
  </si>
  <si>
    <t>-639.1226384842 27.8728791788863 -201.404518054874</t>
  </si>
  <si>
    <t>-651.492186357502 24.8107115762705 -293.401629655113</t>
  </si>
  <si>
    <t>-660.353147422574 22.0916457282153 -376.781667043625</t>
  </si>
  <si>
    <t>-666.326431977981 19.4382724961929 -460.420236045695</t>
  </si>
  <si>
    <t>-671.885932925601 15.6186603430529 -582.892292690894</t>
  </si>
  <si>
    <t>-645.735160867349 15.6419295561236 -656.759415156101</t>
  </si>
  <si>
    <t>-670.807781298182 48.6128687136786 -530.067597669276</t>
  </si>
  <si>
    <t>-655.347642397366 202.688729203661 -511.084959124758</t>
  </si>
  <si>
    <t>-682.778595889893 253.978752575114 -235.049615204324</t>
  </si>
  <si>
    <t>-456.013543113939 203.903933011788 -239.368500805575</t>
  </si>
  <si>
    <t>-621.737148135491 124.251705693838 -97.0580052173316</t>
  </si>
  <si>
    <t>-636.510770955918 138.155087266143 318.021527975731</t>
  </si>
  <si>
    <t>-671.333344266424 178.872595916938 778.111971310147</t>
  </si>
  <si>
    <t>-520.443495154502 181.764320539465 833.858900402301</t>
  </si>
  <si>
    <t>-605.942816181815 -71.8256265664882 322.161361567292</t>
  </si>
  <si>
    <t>-654.701779748607 -104.334347819912 781.445692013618</t>
  </si>
  <si>
    <t>-500.433480184461 -114.930078023093 825.862508101792</t>
  </si>
  <si>
    <t>9763-20170724T115647.358377600.bin</t>
  </si>
  <si>
    <t>-614.274970874185 31.5868826184699 -93.4975068173549</t>
  </si>
  <si>
    <t>-638.624231217271 27.5867767901527 -201.426189916047</t>
  </si>
  <si>
    <t>-651.040916241799 24.5483890946666 -293.417714244526</t>
  </si>
  <si>
    <t>-659.9440591736 21.8603562381995 -376.794225111207</t>
  </si>
  <si>
    <t>-665.959066616311 19.2466085209126 -460.430959565671</t>
  </si>
  <si>
    <t>-671.579014623007 15.4940023513423 -582.902539804684</t>
  </si>
  <si>
    <t>-645.471638639552 15.5404915915381 -656.785085030882</t>
  </si>
  <si>
    <t>-670.437653430095 48.460945106495 -530.061915962367</t>
  </si>
  <si>
    <t>-654.621484246206 202.47759092064 -510.918241365468</t>
  </si>
  <si>
    <t>-681.045069887113 254.612233826673 -234.942870558571</t>
  </si>
  <si>
    <t>-455.006347919837 201.602186162393 -241.647808663777</t>
  </si>
  <si>
    <t>-621.073487170867 123.96563832751 -97.1047569302324</t>
  </si>
  <si>
    <t>-636.04714996895 137.930906407568 317.96559363008</t>
  </si>
  <si>
    <t>-671.297928539896 178.818654544168 778.007326098929</t>
  </si>
  <si>
    <t>-520.435445141669 181.777185423811 833.824707145083</t>
  </si>
  <si>
    <t>-605.733431280189 -72.0854664261105 322.141816867878</t>
  </si>
  <si>
    <t>-654.826906450533 -104.310065748864 781.422835979056</t>
  </si>
  <si>
    <t>-500.490025337284 -114.789979605255 825.628335437558</t>
  </si>
  <si>
    <t>9763-20170724T115647.425069500.bin</t>
  </si>
  <si>
    <t>-613.147130812777 31.0190174893537 -93.567771807584</t>
  </si>
  <si>
    <t>-637.614249253699 27.0368848133724 -201.470538445682</t>
  </si>
  <si>
    <t>-650.156340636433 24.070264927482 -293.447336841056</t>
  </si>
  <si>
    <t>-659.183040059733 21.4697342795409 -376.813358140862</t>
  </si>
  <si>
    <t>-665.331697519923 18.9627500820307 -460.443752524973</t>
  </si>
  <si>
    <t>-671.157612728186 15.3865704512168 -582.910854365459</t>
  </si>
  <si>
    <t>-645.157133434878 15.3972047933892 -656.830941559149</t>
  </si>
  <si>
    <t>-669.784581302154 48.2829247901861 -530.031884132015</t>
  </si>
  <si>
    <t>-652.864317907539 202.133719722333 -510.507691139753</t>
  </si>
  <si>
    <t>-677.608199579739 255.715750390214 -234.653960220375</t>
  </si>
  <si>
    <t>-453.130607736306 196.892982893792 -244.5647038129</t>
  </si>
  <si>
    <t>-619.717816017829 123.450580667802 -97.1876320319491</t>
  </si>
  <si>
    <t>-635.116241633915 137.536543695887 317.863030534217</t>
  </si>
  <si>
    <t>-671.215963609974 178.781170022689 777.80396911685</t>
  </si>
  <si>
    <t>-520.409945799591 181.836097860454 833.768622060626</t>
  </si>
  <si>
    <t>-605.169089258449 -72.5266938830171 322.118695680202</t>
  </si>
  <si>
    <t>-655.050184083285 -104.325162606977 781.3756048811</t>
  </si>
  <si>
    <t>-500.657255249496 -115.443082386525 825.228063003314</t>
  </si>
  <si>
    <t>9763-20170724T115647.457155600.bin</t>
  </si>
  <si>
    <t>-612.573888023191 30.6999075843632 -93.5924135420837</t>
  </si>
  <si>
    <t>-637.076839500864 26.7325572392749 -201.48763008123</t>
  </si>
  <si>
    <t>-649.648627465815 23.8009086806762 -293.461434365008</t>
  </si>
  <si>
    <t>-658.701833148676 21.2409830844904 -376.825810193065</t>
  </si>
  <si>
    <t>-664.87650163921 18.7815486246466 -460.455723394332</t>
  </si>
  <si>
    <t>-670.739916825778 15.2809821003225 -582.923238594183</t>
  </si>
  <si>
    <t>-644.798259257004 15.2430529951503 -656.864032377381</t>
  </si>
  <si>
    <t>-669.254566420575 48.1480368312793 -530.029028441117</t>
  </si>
  <si>
    <t>-651.671098795477 201.903421317241 -510.30172220415</t>
  </si>
  <si>
    <t>-675.862144143845 255.962742241494 -234.49215602856</t>
  </si>
  <si>
    <t>-452.08950893294 194.659978931277 -245.276602258077</t>
  </si>
  <si>
    <t>-618.965534670763 123.136019730665 -97.2212677625006</t>
  </si>
  <si>
    <t>-634.632393740718 137.34373583094 317.815275837941</t>
  </si>
  <si>
    <t>-671.204277365808 178.670099182002 777.711772764577</t>
  </si>
  <si>
    <t>-520.425629041085 181.923357066239 833.738879034243</t>
  </si>
  <si>
    <t>-604.921128300491 -72.7590040324778 322.108554915226</t>
  </si>
  <si>
    <t>-655.145658205097 -104.329169798192 781.347447341938</t>
  </si>
  <si>
    <t>-500.713332559314 -115.51148439747 825.044411519717</t>
  </si>
  <si>
    <t>9763-20170724T115647.522835100.bin</t>
  </si>
  <si>
    <t>-611.583095765576 30.0968259931581 -93.6226360347467</t>
  </si>
  <si>
    <t>-636.095250110729 26.2112406290921 -201.51873288887</t>
  </si>
  <si>
    <t>-648.665644658742 23.346466006831 -293.494829308145</t>
  </si>
  <si>
    <t>-657.713965256446 20.8477960525308 -376.86160430544</t>
  </si>
  <si>
    <t>-663.879906101806 18.4458120824681 -460.493835871199</t>
  </si>
  <si>
    <t>-669.726371033271 15.0231686904058 -582.964334355097</t>
  </si>
  <si>
    <t>-643.898391897807 14.8564406178537 -656.944807049216</t>
  </si>
  <si>
    <t>-668.042170121235 47.8627541527626 -530.059052221434</t>
  </si>
  <si>
    <t>-649.17077581911 201.434140358799 -510.103703342512</t>
  </si>
  <si>
    <t>-673.150767146097 256.391821149218 -234.453199253612</t>
  </si>
  <si>
    <t>-450.638629064327 190.752910022107 -245.785400077179</t>
  </si>
  <si>
    <t>-617.624968090935 122.605091756334 -97.266084571311</t>
  </si>
  <si>
    <t>-633.806084225287 136.963798687015 317.745461183377</t>
  </si>
  <si>
    <t>-671.143117618993 178.645123200435 777.530501652844</t>
  </si>
  <si>
    <t>-520.410233285824 181.844313454722 833.683716093339</t>
  </si>
  <si>
    <t>-604.654812469756 -73.2272957593605 322.085267532969</t>
  </si>
  <si>
    <t>-655.236187026284 -104.301911196784 781.322889710297</t>
  </si>
  <si>
    <t>-500.74776842467 -115.296402061098 824.869134902103</t>
  </si>
  <si>
    <t>9763-20170724T115647.556925100.bin</t>
  </si>
  <si>
    <t>-611.208868617078 29.6802887976346 -93.6479641096662</t>
  </si>
  <si>
    <t>-635.706635695496 25.8480929941845 -201.549227029321</t>
  </si>
  <si>
    <t>-648.267052025511 23.0121311939754 -293.527597308372</t>
  </si>
  <si>
    <t>-657.307431373025 20.534623674301 -376.895899501276</t>
  </si>
  <si>
    <t>-663.46654410621 18.1466416997703 -460.528955840099</t>
  </si>
  <si>
    <t>-669.304057260347 14.736735494776 -583.00032242642</t>
  </si>
  <si>
    <t>-643.508289079166 14.498018477753 -656.991596470898</t>
  </si>
  <si>
    <t>-667.517725198452 47.5733851165367 -530.096582439295</t>
  </si>
  <si>
    <t>-648.065256949051 201.071267630633 -510.148136126487</t>
  </si>
  <si>
    <t>-672.298624152332 256.500278986687 -234.614279696497</t>
  </si>
  <si>
    <t>-450.413619011956 188.786026006211 -246.031761327236</t>
  </si>
  <si>
    <t>-617.00954465144 122.184168112829 -97.2936245014287</t>
  </si>
  <si>
    <t>-633.459539660183 136.659396998584 317.703395739522</t>
  </si>
  <si>
    <t>-671.132681024783 178.535923400213 777.437562566936</t>
  </si>
  <si>
    <t>-520.424944669592 181.943235328894 833.646037164758</t>
  </si>
  <si>
    <t>-604.658397249453 -73.5380757705955 322.071353554356</t>
  </si>
  <si>
    <t>-655.271057941386 -104.279472920809 781.320719706725</t>
  </si>
  <si>
    <t>-500.758130950111 -115.151215291969 824.810860417009</t>
  </si>
  <si>
    <t>9763-20170724T115647.625112100.bin</t>
  </si>
  <si>
    <t>-610.627902534169 28.7442971119599 -93.699541136278</t>
  </si>
  <si>
    <t>-635.096326242949 25.0335943662519 -201.611637444338</t>
  </si>
  <si>
    <t>-647.604063473862 22.2862915853673 -293.599999700601</t>
  </si>
  <si>
    <t>-656.585769207372 19.8878266588267 -376.976924583002</t>
  </si>
  <si>
    <t>-662.674877937138 17.5736841538512 -460.617161967256</t>
  </si>
  <si>
    <t>-668.397774586043 14.2647876266017 -583.096709943466</t>
  </si>
  <si>
    <t>-642.572689223089 13.8914671900982 -657.077291936638</t>
  </si>
  <si>
    <t>-666.446945978594 47.0620786525456 -530.174420441735</t>
  </si>
  <si>
    <t>-645.813441588731 200.390043356044 -510.111956295824</t>
  </si>
  <si>
    <t>-670.758596173641 256.2802232051 -234.734806926617</t>
  </si>
  <si>
    <t>-449.698577470038 185.975084349356 -246.49016774763</t>
  </si>
  <si>
    <t>-615.868360093516 121.320960231077 -97.3614832446641</t>
  </si>
  <si>
    <t>-632.782865998549 136.090394043637 317.606465445253</t>
  </si>
  <si>
    <t>-671.107098990193 178.412613139154 777.25031341897</t>
  </si>
  <si>
    <t>-520.432921894791 181.923142663326 833.542370160369</t>
  </si>
  <si>
    <t>-604.822180107148 -74.245711079725 322.025930022637</t>
  </si>
  <si>
    <t>-655.323376799106 -104.341631103904 781.323156553199</t>
  </si>
  <si>
    <t>-500.807794140284 -115.479281282491 824.736414131404</t>
  </si>
  <si>
    <t>9763-20170724T115647.658199900.bin</t>
  </si>
  <si>
    <t>-610.440281587774 28.2293082023409 -93.7412978951694</t>
  </si>
  <si>
    <t>-634.870633065181 24.5893772443994 -201.664516193225</t>
  </si>
  <si>
    <t>-647.309969326569 21.9007258355473 -293.663664684233</t>
  </si>
  <si>
    <t>-656.215327628148 19.5573300636872 -377.050344209048</t>
  </si>
  <si>
    <t>-662.213405339851 17.2985627313756 -460.698779707469</t>
  </si>
  <si>
    <t>-667.787094420224 14.0710168368589 -583.187360031542</t>
  </si>
  <si>
    <t>-641.909837125432 13.6516184186466 -657.149457734177</t>
  </si>
  <si>
    <t>-665.812543687478 46.834498108296 -530.245036358912</t>
  </si>
  <si>
    <t>-644.729548353862 200.088552981819 -510.065007311315</t>
  </si>
  <si>
    <t>-669.75847607783 256.119604142636 -234.724046578857</t>
  </si>
  <si>
    <t>-449.074412933096 184.704112931131 -246.8440727922</t>
  </si>
  <si>
    <t>-615.387653471032 120.866328194213 -97.4067684499689</t>
  </si>
  <si>
    <t>-632.457317920155 135.823073110598 317.548039444095</t>
  </si>
  <si>
    <t>-671.076431970761 178.426301454872 777.142289341541</t>
  </si>
  <si>
    <t>-520.417967690312 181.879376911176 833.479895381978</t>
  </si>
  <si>
    <t>-604.969772115277 -74.6341956441831 321.990537833441</t>
  </si>
  <si>
    <t>-655.349396647862 -104.37045882862 781.328053118163</t>
  </si>
  <si>
    <t>-500.834095384199 -115.655378900814 824.7041568409</t>
  </si>
  <si>
    <t>9763-20170724T115647.724017300.bin</t>
  </si>
  <si>
    <t>-610.245860795687 27.134016101204 -93.8462831787431</t>
  </si>
  <si>
    <t>-634.430254416628 23.592159001249 -201.828079614266</t>
  </si>
  <si>
    <t>-646.620598712161 20.9657121859718 -293.862494190371</t>
  </si>
  <si>
    <t>-655.284590494295 18.6731850799722 -377.275954837968</t>
  </si>
  <si>
    <t>-661.024700501372 16.4564490081732 -460.943594029829</t>
  </si>
  <si>
    <t>-666.203450955702 13.2794427408428 -583.450751525388</t>
  </si>
  <si>
    <t>-640.152585549217 12.7696933985067 -657.351465121413</t>
  </si>
  <si>
    <t>-664.227602497193 46.0230980487213 -530.496259811762</t>
  </si>
  <si>
    <t>-642.331981418864 199.145536996058 -510.157530241906</t>
  </si>
  <si>
    <t>-667.135148768567 255.337240516629 -234.828868739307</t>
  </si>
  <si>
    <t>-447.222315407118 181.779015734721 -248.098046793277</t>
  </si>
  <si>
    <t>-614.793440236396 119.788185567969 -97.5155123677156</t>
  </si>
  <si>
    <t>-632.098569236232 135.146052315491 317.414944186527</t>
  </si>
  <si>
    <t>-671.048431180106 178.311013641696 776.927910520925</t>
  </si>
  <si>
    <t>-520.420833584401 181.86536614006 833.341763123123</t>
  </si>
  <si>
    <t>-605.426584988766 -75.5547648411532 321.889869881847</t>
  </si>
  <si>
    <t>-655.392397933292 -104.427436043636 781.324157938446</t>
  </si>
  <si>
    <t>-500.856134255245 -115.648995573026 824.642042531923</t>
  </si>
  <si>
    <t>9763-20170724T115647.788690800.bin</t>
  </si>
  <si>
    <t>-610.024515101612 25.9280982806956 -93.956167540494</t>
  </si>
  <si>
    <t>-633.827740049792 22.4403959378781 -202.024447512356</t>
  </si>
  <si>
    <t>-645.730457017274 19.8412168248242 -294.097191106613</t>
  </si>
  <si>
    <t>-654.148865452124 17.5662637522205 -377.536278703366</t>
  </si>
  <si>
    <t>-659.657783906207 15.3566617367678 -461.219745690808</t>
  </si>
  <si>
    <t>-664.514640189894 12.1774394616198 -583.740051767144</t>
  </si>
  <si>
    <t>-638.291776744928 11.6082505222812 -657.579346523321</t>
  </si>
  <si>
    <t>-662.533388809123 44.9228968878717 -530.786770287963</t>
  </si>
  <si>
    <t>-639.927373568027 197.919952225436 -510.34041291255</t>
  </si>
  <si>
    <t>-663.944607245002 254.548645822028 -235.031676778528</t>
  </si>
  <si>
    <t>-444.666367077725 179.367157422827 -249.637538674459</t>
  </si>
  <si>
    <t>-614.349124248041 118.39617440534 -97.620764230375</t>
  </si>
  <si>
    <t>-632.009035874683 134.477666199752 317.267342042953</t>
  </si>
  <si>
    <t>-671.036825965571 178.150278092385 776.717642432359</t>
  </si>
  <si>
    <t>-520.432624488177 181.796145277375 833.188110709914</t>
  </si>
  <si>
    <t>-605.793270018679 -76.7070827529683 321.792687586564</t>
  </si>
  <si>
    <t>-655.406948718484 -104.472178963836 781.327568460702</t>
  </si>
  <si>
    <t>-500.840692018997 -115.399335455487 824.613824122529</t>
  </si>
  <si>
    <t>9763-20170724T115647.825290700.bin</t>
  </si>
  <si>
    <t>-609.922909370751 25.3134838447265 -94.0075760089638</t>
  </si>
  <si>
    <t>-633.539161177231 21.820263405785 -202.116648573</t>
  </si>
  <si>
    <t>-645.307868137324 19.223475771259 -294.206717849584</t>
  </si>
  <si>
    <t>-653.614942363931 16.9536099850316 -377.657150800838</t>
  </si>
  <si>
    <t>-659.022337125449 14.7510067644303 -461.347268481472</t>
  </si>
  <si>
    <t>-663.741569213156 11.5836961283221 -583.873407364535</t>
  </si>
  <si>
    <t>-637.442472298617 10.9989427681805 -657.685540285881</t>
  </si>
  <si>
    <t>-661.773793034606 44.3242146251484 -530.916479929268</t>
  </si>
  <si>
    <t>-638.959861205838 197.291685813941 -510.483263242847</t>
  </si>
  <si>
    <t>-662.193976287954 254.239750377627 -235.173033414775</t>
  </si>
  <si>
    <t>-443.333752260263 177.96489408448 -250.367563325056</t>
  </si>
  <si>
    <t>-614.184910026268 117.703237492796 -97.6978009607428</t>
  </si>
  <si>
    <t>-631.960222187108 134.11842742613 317.172262733586</t>
  </si>
  <si>
    <t>-671.031220401757 178.070393822885 776.599086451321</t>
  </si>
  <si>
    <t>-520.4440815303 181.935919159776 833.100341406874</t>
  </si>
  <si>
    <t>-605.960603537753 -77.4591982704785 321.749023798945</t>
  </si>
  <si>
    <t>-655.415515018207 -104.539526612265 781.332283878102</t>
  </si>
  <si>
    <t>-500.87252233693 -115.805691654223 824.614642822391</t>
  </si>
  <si>
    <t>9763-20170724T115647.858377500.bin</t>
  </si>
  <si>
    <t>-609.81431125018 24.7285282121122 -94.0769360267428</t>
  </si>
  <si>
    <t>-633.276859609375 21.2219181181808 -202.219093075023</t>
  </si>
  <si>
    <t>-644.9444193895 18.6152252235695 -294.321740643521</t>
  </si>
  <si>
    <t>-653.171834205456 16.3372554614155 -377.779768683545</t>
  </si>
  <si>
    <t>-658.51132921575 14.1269501097606 -461.474148003418</t>
  </si>
  <si>
    <t>-663.144382207843 10.9484985484726 -584.003270585371</t>
  </si>
  <si>
    <t>-636.769987576052 10.3467994608775 -657.7882974348</t>
  </si>
  <si>
    <t>-661.187190238587 43.6938339059197 -531.048901068454</t>
  </si>
  <si>
    <t>-638.290939896029 196.652694400842 -510.648284972775</t>
  </si>
  <si>
    <t>-660.299412256969 253.599325313325 -235.237162096633</t>
  </si>
  <si>
    <t>-441.762092922019 176.447740715061 -250.651432319886</t>
  </si>
  <si>
    <t>-614.043319241795 117.108144880582 -97.7860880788592</t>
  </si>
  <si>
    <t>-631.862625626475 133.751271321955 317.072984123768</t>
  </si>
  <si>
    <t>-671.030292399677 177.972614721413 776.471867909079</t>
  </si>
  <si>
    <t>-520.460136507499 181.948368431721 833.010717069254</t>
  </si>
  <si>
    <t>-606.13014251987 -78.1957191378181 321.699313861397</t>
  </si>
  <si>
    <t>-655.416021316308 -104.594546436316 781.338768697004</t>
  </si>
  <si>
    <t>-500.874313949201 -115.860172850182 824.625718288748</t>
  </si>
  <si>
    <t>9763-20170724T115647.923553800.bin</t>
  </si>
  <si>
    <t>-609.674986793203 23.6864188926704 -94.2186818514749</t>
  </si>
  <si>
    <t>-632.867278360293 20.135281593525 -202.417640163922</t>
  </si>
  <si>
    <t>-644.367371307563 17.489691831646 -294.540218162728</t>
  </si>
  <si>
    <t>-652.46818131042 15.1757512778397 -378.009733737588</t>
  </si>
  <si>
    <t>-657.705963385625 12.9270970908419 -461.709541146439</t>
  </si>
  <si>
    <t>-662.217761907565 9.68921415356135 -584.241449809057</t>
  </si>
  <si>
    <t>-635.751087121074 9.03534073693709 -657.99311711037</t>
  </si>
  <si>
    <t>-660.250016169789 42.4602827895951 -531.303472099066</t>
  </si>
  <si>
    <t>-636.947692285445 195.347381372273 -510.81363862829</t>
  </si>
  <si>
    <t>-656.467896126515 251.438103320384 -235.039589344996</t>
  </si>
  <si>
    <t>-438.290735617766 173.518214795791 -251.645063409613</t>
  </si>
  <si>
    <t>-613.826314969759 116.134603022705 -97.9739469775179</t>
  </si>
  <si>
    <t>-631.741510245462 133.179066823057 316.864749638428</t>
  </si>
  <si>
    <t>-671.032430873039 177.866753923098 776.221535565962</t>
  </si>
  <si>
    <t>-520.485525338372 181.883131253996 832.819572118747</t>
  </si>
  <si>
    <t>-606.413083531613 -79.5574768540532 321.603401871438</t>
  </si>
  <si>
    <t>-655.389488083836 -104.663406387243 781.356131584671</t>
  </si>
  <si>
    <t>-500.872865631777 -116.12841489961 824.680397437319</t>
  </si>
  <si>
    <t>9763-20170724T115647.961656200.bin</t>
  </si>
  <si>
    <t>-609.600009028062 23.3214387776843 -94.2934589898185</t>
  </si>
  <si>
    <t>-632.614091332602 19.7445726929082 -202.529600108631</t>
  </si>
  <si>
    <t>-644.005246326218 17.0721267039326 -294.664981361278</t>
  </si>
  <si>
    <t>-652.0246550341 14.7315033478401 -378.14157715938</t>
  </si>
  <si>
    <t>-657.198068865761 12.4530524866575 -461.844494706684</t>
  </si>
  <si>
    <t>-661.634698140611 9.16810336725644 -584.378003160899</t>
  </si>
  <si>
    <t>-635.164666530191 8.48272943258212 -658.12816349273</t>
  </si>
  <si>
    <t>-659.66714894466 41.9594226998552 -531.452608882145</t>
  </si>
  <si>
    <t>-636.204526903019 194.824149406727 -510.978460240154</t>
  </si>
  <si>
    <t>-654.475354700525 250.287982114415 -234.991944438286</t>
  </si>
  <si>
    <t>-436.343753871337 172.428589073777 -252.457458721874</t>
  </si>
  <si>
    <t>-613.669042310122 115.743780512689 -98.060682235658</t>
  </si>
  <si>
    <t>-631.65082266686 132.994053416219 316.766641911635</t>
  </si>
  <si>
    <t>-671.043797899339 177.789586431916 776.09567909623</t>
  </si>
  <si>
    <t>-520.511811435566 182.038583402975 832.716251323212</t>
  </si>
  <si>
    <t>-606.567695137246 -80.0068607393148 321.562532962716</t>
  </si>
  <si>
    <t>-655.362108788686 -104.672347741173 781.364281841742</t>
  </si>
  <si>
    <t>-500.82024989622 -115.708806380381 824.709750029366</t>
  </si>
  <si>
    <t>9763-20170724T115648.025831100.bin</t>
  </si>
  <si>
    <t>-609.372768652678 23.0394428591649 -94.4619644676264</t>
  </si>
  <si>
    <t>-631.942199907314 19.4222879588276 -202.790305383489</t>
  </si>
  <si>
    <t>-643.128056427862 16.6809495988005 -294.948894726788</t>
  </si>
  <si>
    <t>-651.031338990258 14.2651259799109 -378.434554600784</t>
  </si>
  <si>
    <t>-656.158495208344 11.8983926053752 -462.13778860099</t>
  </si>
  <si>
    <t>-660.604545078156 8.47005542101192 -584.666978732763</t>
  </si>
  <si>
    <t>-634.162837232038 7.68753675767812 -658.426240323246</t>
  </si>
  <si>
    <t>-658.602243778847 41.3232225004992 -531.781207328496</t>
  </si>
  <si>
    <t>-634.917647957915 194.163396465227 -511.415259432189</t>
  </si>
  <si>
    <t>-650.706443498892 248.602942242796 -235.071996414878</t>
  </si>
  <si>
    <t>-432.746027990336 170.50254673591 -253.568706211349</t>
  </si>
  <si>
    <t>-613.27014820082 115.575750167209 -98.2781043819051</t>
  </si>
  <si>
    <t>-631.518211869891 132.954555437711 316.532233275938</t>
  </si>
  <si>
    <t>-671.031020394719 177.846034369301 775.845842119937</t>
  </si>
  <si>
    <t>-520.516911944073 181.984953917332 832.522025544906</t>
  </si>
  <si>
    <t>-607.016899537721 -80.8044123574568 321.456946576189</t>
  </si>
  <si>
    <t>-655.221188029777 -104.71813392613 781.39347201225</t>
  </si>
  <si>
    <t>-500.750950202312 -115.926070636568 824.949736419374</t>
  </si>
  <si>
    <t>9763-20170724T115648.090007400.bin</t>
  </si>
  <si>
    <t>-609.146821190775 23.1871229614362 -94.5638788863532</t>
  </si>
  <si>
    <t>-631.310786175145 19.5934639181207 -202.976726825748</t>
  </si>
  <si>
    <t>-642.335694033027 16.8147043106637 -295.153466506407</t>
  </si>
  <si>
    <t>-650.167541944346 14.3466812877452 -378.644257978623</t>
  </si>
  <si>
    <t>-655.297885376242 11.9086342991518 -462.345273143619</t>
  </si>
  <si>
    <t>-659.830832514042 8.35615749805947 -584.867785441942</t>
  </si>
  <si>
    <t>-633.468317633127 7.43612861451379 -658.653911819193</t>
  </si>
  <si>
    <t>-657.718445368055 41.2626478937109 -532.019418275615</t>
  </si>
  <si>
    <t>-633.508457038918 194.048178093036 -511.784734304079</t>
  </si>
  <si>
    <t>-647.826552568982 248.060000345421 -235.277399529875</t>
  </si>
  <si>
    <t>-429.991453573827 169.979311096863 -255.272673241491</t>
  </si>
  <si>
    <t>-612.596418382802 115.726388521249 -98.4690463384228</t>
  </si>
  <si>
    <t>-631.348023997961 133.09204078871 316.319376358628</t>
  </si>
  <si>
    <t>-671.039049695898 177.863285025477 775.614282805713</t>
  </si>
  <si>
    <t>-520.542848718486 182.012676284255 832.337194529026</t>
  </si>
  <si>
    <t>-607.473802602579 -81.2979490246785 321.3899643687</t>
  </si>
  <si>
    <t>-655.092568261688 -104.756392463898 781.428574394633</t>
  </si>
  <si>
    <t>-500.69462034375 -116.240064421015 825.16901369741</t>
  </si>
  <si>
    <t>9763-20170724T115648.124702100.bin</t>
  </si>
  <si>
    <t>-608.98952364974 23.401797298236 -94.6033284984983</t>
  </si>
  <si>
    <t>-630.997135740133 19.8398178703776 -203.049048657324</t>
  </si>
  <si>
    <t>-641.971481109114 17.026861700728 -295.23087446253</t>
  </si>
  <si>
    <t>-649.791120963885 14.5063537819742 -378.721177785914</t>
  </si>
  <si>
    <t>-654.943100216856 11.9938191306992 -462.418763265489</t>
  </si>
  <si>
    <t>-659.544982453904 8.30960392979682 -584.934795507674</t>
  </si>
  <si>
    <t>-633.227469761804 7.28251907026834 -658.7354296418</t>
  </si>
  <si>
    <t>-657.363826630662 41.2726737196144 -532.124423241602</t>
  </si>
  <si>
    <t>-633.067257940133 194.075114152947 -512.108338439396</t>
  </si>
  <si>
    <t>-646.388478630641 247.954233657587 -235.525322317756</t>
  </si>
  <si>
    <t>-428.458283170871 170.299005386634 -256.131649062212</t>
  </si>
  <si>
    <t>-612.204271497993 116.007564337188 -98.5548577828012</t>
  </si>
  <si>
    <t>-631.196420920267 133.223211253092 316.228832162943</t>
  </si>
  <si>
    <t>-671.030509304375 177.935947770532 775.509364534893</t>
  </si>
  <si>
    <t>-520.54229346041 182.040793178492 832.25681134327</t>
  </si>
  <si>
    <t>-607.620794364676 -81.2984287256565 321.363039781404</t>
  </si>
  <si>
    <t>-655.047485435995 -104.782158468686 781.432683339452</t>
  </si>
  <si>
    <t>-500.664535188065 -116.264780013733 825.226300225409</t>
  </si>
  <si>
    <t>9763-20170724T115648.161801000.bin</t>
  </si>
  <si>
    <t>-608.84577111915 23.6618153565389 -94.6255733054518</t>
  </si>
  <si>
    <t>-630.753356003395 20.1355412346295 -203.092765670204</t>
  </si>
  <si>
    <t>-641.698876170292 17.289292461624 -295.276985214384</t>
  </si>
  <si>
    <t>-649.515389726759 14.7154423183231 -378.765973395881</t>
  </si>
  <si>
    <t>-654.687458350989 12.1255532387331 -462.459868880436</t>
  </si>
  <si>
    <t>-659.344533668504 8.30210071218676 -584.96959600019</t>
  </si>
  <si>
    <t>-633.078652897168 7.16906993061366 -658.787099135134</t>
  </si>
  <si>
    <t>-657.092543805673 41.3247520562697 -532.199563353461</t>
  </si>
  <si>
    <t>-632.679820871977 194.130288671789 -512.398253170938</t>
  </si>
  <si>
    <t>-644.89375763267 248.02527464864 -235.767078281395</t>
  </si>
  <si>
    <t>-426.937054094154 170.530267058886 -256.693958738643</t>
  </si>
  <si>
    <t>-611.894344001394 116.343575969067 -98.6145765282928</t>
  </si>
  <si>
    <t>-631.028698493519 133.399598273947 316.16918216026</t>
  </si>
  <si>
    <t>-671.046021181859 177.912059787101 775.423076733787</t>
  </si>
  <si>
    <t>-520.566618205795 181.999728978683 832.195095211722</t>
  </si>
  <si>
    <t>-607.653443766939 -81.1627815604038 321.346757262112</t>
  </si>
  <si>
    <t>-655.009198226453 -104.807653315306 781.434533679254</t>
  </si>
  <si>
    <t>-500.667448305263 -116.647332746764 825.278183652878</t>
  </si>
  <si>
    <t>9763-20170724T115648.225516400.bin</t>
  </si>
  <si>
    <t>-608.52442009784 24.2592178203486 -94.6628710468648</t>
  </si>
  <si>
    <t>-630.321498929831 20.7743985215689 -203.15363048785</t>
  </si>
  <si>
    <t>-641.253538311505 17.8901577121383 -295.338248882786</t>
  </si>
  <si>
    <t>-649.090696521553 15.2527529071238 -378.823253643264</t>
  </si>
  <si>
    <t>-654.316615564147 12.5675409343505 -462.510985520197</t>
  </si>
  <si>
    <t>-659.089195288987 8.56853130341483 -585.01055817632</t>
  </si>
  <si>
    <t>-632.988003270985 7.25524045160614 -658.883517414685</t>
  </si>
  <si>
    <t>-656.65807155435 41.6655586960724 -532.295151615828</t>
  </si>
  <si>
    <t>-631.38598993146 194.355543800624 -512.645306926544</t>
  </si>
  <si>
    <t>-641.489815926098 248.008194971141 -235.881938051123</t>
  </si>
  <si>
    <t>-423.471074794586 170.945153537848 -257.737157107109</t>
  </si>
  <si>
    <t>-611.460925697263 117.02075456579 -98.6734379684904</t>
  </si>
  <si>
    <t>-630.884508911687 133.759435397918 316.109785828994</t>
  </si>
  <si>
    <t>-671.044771199564 178.018664081942 775.32785547352</t>
  </si>
  <si>
    <t>-520.565631428466 181.937608494548 832.112457410444</t>
  </si>
  <si>
    <t>-607.514749751829 -80.5964078723146 321.328267790581</t>
  </si>
  <si>
    <t>-654.964980029732 -104.702185847269 781.411300177371</t>
  </si>
  <si>
    <t>-500.602585721208 -116.252744474877 825.259480460297</t>
  </si>
  <si>
    <t>9763-20170724T115648.289688900.bin</t>
  </si>
  <si>
    <t>-608.160316097005 24.7592958814412 -94.6936053561216</t>
  </si>
  <si>
    <t>-629.841330811581 21.3106960036523 -203.208792455729</t>
  </si>
  <si>
    <t>-640.787743116174 18.4078539847278 -295.391110535834</t>
  </si>
  <si>
    <t>-648.683790132142 15.7332968671842 -378.869485170877</t>
  </si>
  <si>
    <t>-654.014847278786 12.9882335747682 -462.548416724486</t>
  </si>
  <si>
    <t>-658.992298574747 8.87536485323244 -585.036218391432</t>
  </si>
  <si>
    <t>-633.126836551279 7.40396319731803 -658.989083218994</t>
  </si>
  <si>
    <t>-656.351183158209 42.0195874654123 -532.360579976671</t>
  </si>
  <si>
    <t>-630.582994430037 194.631436360838 -512.82121996331</t>
  </si>
  <si>
    <t>-637.605657960673 247.984676950132 -235.904801542301</t>
  </si>
  <si>
    <t>-419.610587116595 171.325919836278 -259.359372936264</t>
  </si>
  <si>
    <t>-611.032234800687 117.403222710926 -98.6782053960191</t>
  </si>
  <si>
    <t>-630.834647834193 133.956731067551 316.094552274733</t>
  </si>
  <si>
    <t>-671.098234001986 177.904558156725 775.317144892835</t>
  </si>
  <si>
    <t>-520.616353225567 182.019347158024 832.080753595443</t>
  </si>
  <si>
    <t>-607.307064253233 -80.1824358574634 321.313714941529</t>
  </si>
  <si>
    <t>-654.944556135815 -104.675970967026 781.367954415815</t>
  </si>
  <si>
    <t>-500.580271777923 -116.270640618996 825.197741607813</t>
  </si>
  <si>
    <t>9763-20170724T115648.322862700.bin</t>
  </si>
  <si>
    <t>-607.981634718567 25.0232837925232 -94.6897989968212</t>
  </si>
  <si>
    <t>-629.605938903333 21.6062974919873 -203.217269590385</t>
  </si>
  <si>
    <t>-640.561731992742 18.7150369844292 -295.398809525905</t>
  </si>
  <si>
    <t>-648.48958906152 16.0456336038717 -378.874365735589</t>
  </si>
  <si>
    <t>-653.875931240266 13.2995549520163 -462.549874532129</t>
  </si>
  <si>
    <t>-658.960097996313 9.17797131448765 -585.032879278062</t>
  </si>
  <si>
    <t>-633.24509468576 7.65303950032012 -659.036971604369</t>
  </si>
  <si>
    <t>-656.216386655299 42.3250455453767 -532.364194324693</t>
  </si>
  <si>
    <t>-630.17516267244 194.897755643866 -512.86420902733</t>
  </si>
  <si>
    <t>-635.791336660685 248.17167780315 -235.900432280947</t>
  </si>
  <si>
    <t>-417.897955892858 171.46872799117 -260.142227621513</t>
  </si>
  <si>
    <t>-610.747154029433 117.676239658612 -98.680170031206</t>
  </si>
  <si>
    <t>-630.717291119702 134.097165638639 316.089833389434</t>
  </si>
  <si>
    <t>-671.096267165296 177.947977600295 775.30805151802</t>
  </si>
  <si>
    <t>-520.614571606505 182.033999761539 832.074121490595</t>
  </si>
  <si>
    <t>-607.274315638545 -80.047513835294 321.304145271013</t>
  </si>
  <si>
    <t>-654.925671867442 -104.676453215768 781.353163856298</t>
  </si>
  <si>
    <t>-500.554927924442 -116.179764254927 825.18436668465</t>
  </si>
  <si>
    <t>9763-20170724T115648.358958400.bin</t>
  </si>
  <si>
    <t>-607.805232391346 25.2533788218391 -94.6985866198993</t>
  </si>
  <si>
    <t>-629.380697171293 21.8785193902484 -203.237161602435</t>
  </si>
  <si>
    <t>-640.342637261763 19.007290106751 -295.418487028226</t>
  </si>
  <si>
    <t>-648.295287390252 16.3515069420421 -378.892165413732</t>
  </si>
  <si>
    <t>-653.725936283552 13.6131191164998 -462.56496978117</t>
  </si>
  <si>
    <t>-658.89621430973 9.4966847343378 -585.044602566012</t>
  </si>
  <si>
    <t>-633.337839622784 7.92964273345774 -659.102184846649</t>
  </si>
  <si>
    <t>-656.053868108273 42.640399135136 -532.379037775873</t>
  </si>
  <si>
    <t>-629.718089334979 195.168868508271 -512.919176772239</t>
  </si>
  <si>
    <t>-634.13352695332 248.415827977328 -235.928521424242</t>
  </si>
  <si>
    <t>-416.286980249876 171.716418553628 -260.598355650051</t>
  </si>
  <si>
    <t>-610.398782919093 117.956522522871 -98.6869060972998</t>
  </si>
  <si>
    <t>-630.547824523437 134.201083693895 316.081374937779</t>
  </si>
  <si>
    <t>-671.103853829912 177.949892985738 775.298747362022</t>
  </si>
  <si>
    <t>-520.626140801891 182.026784418135 832.07608024559</t>
  </si>
  <si>
    <t>-607.272823181446 -79.9225202400867 321.28949563204</t>
  </si>
  <si>
    <t>-654.894540795611 -104.690963129937 781.346512128633</t>
  </si>
  <si>
    <t>-500.55983127838 -116.557114211252 825.207808434184</t>
  </si>
  <si>
    <t>9763-20170724T115648.424950300.bin</t>
  </si>
  <si>
    <t>-607.372705091396 25.7804701401549 -94.7012150664109</t>
  </si>
  <si>
    <t>-628.872927244954 22.4929537600462 -203.257319380351</t>
  </si>
  <si>
    <t>-639.858066569486 19.6846219952135 -295.438025641814</t>
  </si>
  <si>
    <t>-647.866882915606 17.0856498791989 -378.908073794523</t>
  </si>
  <si>
    <t>-653.38892693974 14.4025157171848 -462.5767120114</t>
  </si>
  <si>
    <t>-658.731817740844 10.3648166041228 -585.051380111648</t>
  </si>
  <si>
    <t>-633.447853505365 8.76571921048549 -659.202567434633</t>
  </si>
  <si>
    <t>-655.691560365361 43.4719455545023 -532.373877066399</t>
  </si>
  <si>
    <t>-628.599070278161 195.857144019325 -512.843613466709</t>
  </si>
  <si>
    <t>-631.623410790466 249.114225042427 -235.836080124232</t>
  </si>
  <si>
    <t>-413.93693776789 171.957222803278 -260.492204658246</t>
  </si>
  <si>
    <t>-609.590827740962 118.560330647538 -98.6847934933213</t>
  </si>
  <si>
    <t>-630.136810834173 134.483193920841 316.076437353062</t>
  </si>
  <si>
    <t>-671.115882266005 177.947294607454 775.283072639257</t>
  </si>
  <si>
    <t>-520.649091125643 181.938844586629 832.095343994863</t>
  </si>
  <si>
    <t>-607.174695146791 -79.6486153567373 321.283167789065</t>
  </si>
  <si>
    <t>-654.816589601012 -104.667201445694 781.343597698086</t>
  </si>
  <si>
    <t>-500.510787576779 -116.64999317942 825.274828656633</t>
  </si>
  <si>
    <t>9763-20170724T115648.459041000.bin</t>
  </si>
  <si>
    <t>-607.104679391519 26.0901533750509 -94.6906498383896</t>
  </si>
  <si>
    <t>-628.596339620465 22.8413990059851 -203.249587948427</t>
  </si>
  <si>
    <t>-639.601198362685 20.07584936131 -295.429305577728</t>
  </si>
  <si>
    <t>-647.638669790409 17.521422259741 -378.89785153786</t>
  </si>
  <si>
    <t>-653.200256856997 14.8875574751216 -462.565455528901</t>
  </si>
  <si>
    <t>-658.612824048914 10.927098998226 -585.039696758844</t>
  </si>
  <si>
    <t>-633.434490369187 9.32201575176623 -659.226633656119</t>
  </si>
  <si>
    <t>-655.476643245263 43.9993567872161 -532.346000516576</t>
  </si>
  <si>
    <t>-627.985211717435 196.308267736568 -512.759759667254</t>
  </si>
  <si>
    <t>-630.855755819195 249.710452012227 -235.778614548536</t>
  </si>
  <si>
    <t>-413.333793547948 172.055833913737 -260.324107269152</t>
  </si>
  <si>
    <t>-609.136404628971 118.897280244702 -98.6815903564831</t>
  </si>
  <si>
    <t>-629.914853885079 134.616723515862 316.075868364526</t>
  </si>
  <si>
    <t>-671.110625723547 177.97341709224 775.269552050972</t>
  </si>
  <si>
    <t>-520.651838498268 181.934013894118 832.105246506815</t>
  </si>
  <si>
    <t>-607.097024531382 -79.4442394553846 321.297396036889</t>
  </si>
  <si>
    <t>-654.786053932283 -104.662652665999 781.341656028176</t>
  </si>
  <si>
    <t>-500.476830965827 -116.53144118489 825.291843353607</t>
  </si>
  <si>
    <t>9763-20170724T115648.524243500.bin</t>
  </si>
  <si>
    <t>-606.606314473195 26.6509547400494 -94.6703160735591</t>
  </si>
  <si>
    <t>-628.144271375394 23.4788777193169 -203.222421819075</t>
  </si>
  <si>
    <t>-639.235001342947 20.8028650928075 -295.394238183852</t>
  </si>
  <si>
    <t>-647.368670460189 18.3427537233358 -378.856349242386</t>
  </si>
  <si>
    <t>-653.045253256993 15.8145371791868 -462.519581756412</t>
  </si>
  <si>
    <t>-658.646223898327 12.0214551799172 -584.990714826167</t>
  </si>
  <si>
    <t>-633.623026004296 10.4073590925457 -659.229802559567</t>
  </si>
  <si>
    <t>-655.323673354552 45.0188229510484 -532.261382791445</t>
  </si>
  <si>
    <t>-627.376089522189 197.240635893313 -512.63873832309</t>
  </si>
  <si>
    <t>-629.975977933099 250.671489023042 -235.660419585222</t>
  </si>
  <si>
    <t>-412.524590090594 172.568331799834 -259.394653463417</t>
  </si>
  <si>
    <t>-608.331032762239 119.547702072518 -98.6645807872534</t>
  </si>
  <si>
    <t>-629.419212694754 134.849792244591 316.092812950618</t>
  </si>
  <si>
    <t>-671.102888624759 178.029014891192 775.260471381994</t>
  </si>
  <si>
    <t>-520.659416870426 181.936701558421 832.140259696075</t>
  </si>
  <si>
    <t>-606.830984525017 -79.0069601025575 321.320371663942</t>
  </si>
  <si>
    <t>-654.723044228059 -104.667302834444 781.339728196631</t>
  </si>
  <si>
    <t>-500.459953058842 -116.950981549403 825.33785585249</t>
  </si>
  <si>
    <t>9763-20170724T115648.590949400.bin</t>
  </si>
  <si>
    <t>-606.231327123726 27.1740817363443 -94.6269130271563</t>
  </si>
  <si>
    <t>-627.85996398931 24.042719714065 -203.162060212745</t>
  </si>
  <si>
    <t>-639.012225190687 21.4722384989705 -295.329659894199</t>
  </si>
  <si>
    <t>-647.194936892413 19.1364103790856 -378.790525507185</t>
  </si>
  <si>
    <t>-652.913685194143 16.7595147412176 -462.45524564407</t>
  </si>
  <si>
    <t>-658.568469274617 13.2165731268067 -584.931460085468</t>
  </si>
  <si>
    <t>-633.613540211704 11.6424244144387 -659.19430685902</t>
  </si>
  <si>
    <t>-655.137371619633 46.103583980188 -532.140181422016</t>
  </si>
  <si>
    <t>-626.688306082771 198.199127674831 -512.230189993567</t>
  </si>
  <si>
    <t>-629.343113771145 250.456903855277 -235.028757338292</t>
  </si>
  <si>
    <t>-411.579271140258 172.837335411011 -257.448319663824</t>
  </si>
  <si>
    <t>-607.854499696661 120.113720551406 -98.6134938689742</t>
  </si>
  <si>
    <t>-629.110583235295 135.058770117231 316.148341949289</t>
  </si>
  <si>
    <t>-671.110352539942 178.03370193854 775.288024529734</t>
  </si>
  <si>
    <t>-520.678343889165 181.929046494289 832.199061890029</t>
  </si>
  <si>
    <t>-606.530139003946 -78.5190424565574 321.362765335114</t>
  </si>
  <si>
    <t>-654.694911149145 -104.60299687598 781.32565973266</t>
  </si>
  <si>
    <t>-500.423033094034 -116.875973470796 825.295915419741</t>
  </si>
  <si>
    <t>9763-20170724T115648.625543300.bin</t>
  </si>
  <si>
    <t>-606.063439916045 27.4223405967568 -94.6177026279319</t>
  </si>
  <si>
    <t>-627.693461798419 24.2945736835195 -203.152767000984</t>
  </si>
  <si>
    <t>-638.856668502472 21.7660417451382 -295.320153025697</t>
  </si>
  <si>
    <t>-647.053017171506 19.4833844447278 -378.781229240422</t>
  </si>
  <si>
    <t>-652.788986909034 17.1742034007739 -462.446511955604</t>
  </si>
  <si>
    <t>-658.47274566076 13.7456986084819 -584.924507605392</t>
  </si>
  <si>
    <t>-633.549879866586 12.1885142176054 -659.198621898966</t>
  </si>
  <si>
    <t>-654.991270800163 46.582145234428 -532.105164470832</t>
  </si>
  <si>
    <t>-626.342138219477 198.628906414834 -512.098096456023</t>
  </si>
  <si>
    <t>-629.323579379374 250.156769651719 -234.76333328593</t>
  </si>
  <si>
    <t>-411.312200730212 173.08897862385 -256.674871188208</t>
  </si>
  <si>
    <t>-607.653882874688 120.31213936065 -98.5842948891</t>
  </si>
  <si>
    <t>-629.031905641302 135.18492659123 316.173913559322</t>
  </si>
  <si>
    <t>-671.134059036474 177.989103075585 775.316806232378</t>
  </si>
  <si>
    <t>-520.703132372912 181.926024348457 832.227792324728</t>
  </si>
  <si>
    <t>-606.401822323372 -78.3017535572776 321.376069370191</t>
  </si>
  <si>
    <t>-654.682413344162 -104.563958075402 781.31656495584</t>
  </si>
  <si>
    <t>-500.396446565801 -116.707595601413 825.27330476754</t>
  </si>
  <si>
    <t>9763-20170724T115648.657629000.bin</t>
  </si>
  <si>
    <t>-605.950624000873 27.5966972334315 -94.5862533394633</t>
  </si>
  <si>
    <t>-627.581798933901 24.4804747225999 -203.121375974652</t>
  </si>
  <si>
    <t>-638.75619998162 21.9907848324947 -295.288463793204</t>
  </si>
  <si>
    <t>-646.966680232202 19.7547055187667 -378.749450199876</t>
  </si>
  <si>
    <t>-652.720568959101 17.5037714135633 -462.415162173921</t>
  </si>
  <si>
    <t>-658.434619037279 14.173047866316 -584.894364244379</t>
  </si>
  <si>
    <t>-633.516572234137 12.6291865142728 -659.17046811261</t>
  </si>
  <si>
    <t>-654.930360728029 46.9669584736887 -532.050220409002</t>
  </si>
  <si>
    <t>-626.262447696881 198.996580678686 -511.977412403654</t>
  </si>
  <si>
    <t>-629.536991603583 249.938374322027 -234.537705043568</t>
  </si>
  <si>
    <t>-411.103882496423 173.835339761693 -255.605138756085</t>
  </si>
  <si>
    <t>-607.552762264617 120.434877751606 -98.554475713774</t>
  </si>
  <si>
    <t>-628.999417611818 135.235559389945 316.202820665487</t>
  </si>
  <si>
    <t>-671.168597886219 177.878545719861 775.349050446778</t>
  </si>
  <si>
    <t>-520.74097150842 182.064319213335 832.250999389854</t>
  </si>
  <si>
    <t>-606.308831855525 -78.1796809115458 321.387311896084</t>
  </si>
  <si>
    <t>-654.661935417771 -104.556938566977 781.311317704564</t>
  </si>
  <si>
    <t>-500.379604959363 -116.747776143036 825.267775207666</t>
  </si>
  <si>
    <t>9763-20170724T115648.724580400.bin</t>
  </si>
  <si>
    <t>-606.000718285036 27.8552850046326 -94.5548332675069</t>
  </si>
  <si>
    <t>-627.606850393619 24.7329071041995 -203.094773763219</t>
  </si>
  <si>
    <t>-638.759376072556 22.2988921949095 -295.265940008961</t>
  </si>
  <si>
    <t>-646.949314603898 20.13773469177 -378.730817193568</t>
  </si>
  <si>
    <t>-652.681661012432 17.9871362634767 -462.400830955164</t>
  </si>
  <si>
    <t>-658.362928453005 14.8310432761978 -584.886296917396</t>
  </si>
  <si>
    <t>-633.374098851595 13.309141133358 -659.138774692051</t>
  </si>
  <si>
    <t>-654.90127637217 47.5504722199651 -531.993028118572</t>
  </si>
  <si>
    <t>-626.31249141347 199.553037165977 -511.62246024309</t>
  </si>
  <si>
    <t>-629.815706656348 250.110790761614 -234.115293000299</t>
  </si>
  <si>
    <t>-410.86415218062 175.183003095587 -253.979130866464</t>
  </si>
  <si>
    <t>-607.650348860877 120.76412909293 -98.5382105694707</t>
  </si>
  <si>
    <t>-629.04060177054 135.419831685683 316.227129828522</t>
  </si>
  <si>
    <t>-671.174990461232 177.968491205634 775.394934884214</t>
  </si>
  <si>
    <t>-520.740401199842 181.790171939908 832.304186750399</t>
  </si>
  <si>
    <t>-606.36450065307 -78.059594537531 321.394756028551</t>
  </si>
  <si>
    <t>-654.628966907632 -104.535699670701 781.311945747891</t>
  </si>
  <si>
    <t>-500.344467113351 -116.716521873171 825.26354315798</t>
  </si>
  <si>
    <t>9763-20170724T115648.759677100.bin</t>
  </si>
  <si>
    <t>-606.108986765715 27.9233839118945 -94.5551561662203</t>
  </si>
  <si>
    <t>-627.693925530743 24.7876158830395 -203.098931399752</t>
  </si>
  <si>
    <t>-638.846805514038 22.388309679221 -295.271054762425</t>
  </si>
  <si>
    <t>-647.044195064884 20.2764518722145 -378.736386379616</t>
  </si>
  <si>
    <t>-652.790976477889 18.1933751590861 -462.407177556885</t>
  </si>
  <si>
    <t>-658.500756776544 15.156429958306 -584.894189325958</t>
  </si>
  <si>
    <t>-633.504499505647 13.6671576892236 -659.145035223467</t>
  </si>
  <si>
    <t>-655.046065080481 47.8252770816457 -531.969141572845</t>
  </si>
  <si>
    <t>-626.480714165085 199.807381030989 -511.396756073968</t>
  </si>
  <si>
    <t>-630.117205437596 250.298106695784 -233.879141377475</t>
  </si>
  <si>
    <t>-410.980209352736 175.901416456143 -253.694369386803</t>
  </si>
  <si>
    <t>-607.808138250563 120.83050724702 -98.5321181935076</t>
  </si>
  <si>
    <t>-629.161442366359 135.500062209697 316.234647484156</t>
  </si>
  <si>
    <t>-671.176341437582 178.028416774752 775.414931423483</t>
  </si>
  <si>
    <t>-520.736830058246 181.748204652002 832.317808593085</t>
  </si>
  <si>
    <t>-606.4284182496 -78.0450361151825 321.391930089927</t>
  </si>
  <si>
    <t>-654.608553929906 -104.547240046378 781.310742925327</t>
  </si>
  <si>
    <t>-500.340979290879 -116.923855437715 825.266974580681</t>
  </si>
  <si>
    <t>9763-20170724T115648.823502600.bin</t>
  </si>
  <si>
    <t>-606.40087505359 27.8825594902758 -94.5510467592943</t>
  </si>
  <si>
    <t>-627.936449053603 24.7181619304899 -203.10378978537</t>
  </si>
  <si>
    <t>-639.089564452237 22.3340664412874 -295.276276249135</t>
  </si>
  <si>
    <t>-647.303882373868 20.2502831807412 -378.740724259428</t>
  </si>
  <si>
    <t>-653.084219660513 18.210903459056 -462.410065658509</t>
  </si>
  <si>
    <t>-658.861101883682 15.2550469717753 -584.895979187449</t>
  </si>
  <si>
    <t>-633.86374129594 13.8261606521003 -659.147726885982</t>
  </si>
  <si>
    <t>-655.427877079006 47.8902410611768 -531.948955529648</t>
  </si>
  <si>
    <t>-627.240754396874 199.923234484565 -511.269172638335</t>
  </si>
  <si>
    <t>-630.507194668126 250.37003118402 -233.738979805987</t>
  </si>
  <si>
    <t>-411.252896151817 176.274567138189 -253.384587771049</t>
  </si>
  <si>
    <t>-608.271464082225 120.705128116477 -98.5177549062622</t>
  </si>
  <si>
    <t>-629.486809269329 135.469599296311 316.252686063003</t>
  </si>
  <si>
    <t>-671.234546067815 177.911892679036 775.470324120517</t>
  </si>
  <si>
    <t>-520.787093688989 181.916115100528 832.332865225205</t>
  </si>
  <si>
    <t>-606.552735660773 -78.0402318914239 321.383449926066</t>
  </si>
  <si>
    <t>-654.576810237095 -104.510878544451 781.314732934388</t>
  </si>
  <si>
    <t>-500.272271780486 -116.479896788805 825.25415193993</t>
  </si>
  <si>
    <t>9763-20170724T115648.861604600.bin</t>
  </si>
  <si>
    <t>-606.54747423816 27.8474313084675 -94.5492819141579</t>
  </si>
  <si>
    <t>-628.069265844342 24.6759491573043 -203.104593932164</t>
  </si>
  <si>
    <t>-639.216039318552 22.294917373154 -295.277987696073</t>
  </si>
  <si>
    <t>-647.426605092778 20.2170171469318 -378.742832614693</t>
  </si>
  <si>
    <t>-653.205234797692 18.1866703866656 -462.412576376578</t>
  </si>
  <si>
    <t>-658.981820110787 15.2475168623791 -584.899030217612</t>
  </si>
  <si>
    <t>-634.007607095867 13.8668045287016 -659.159331253482</t>
  </si>
  <si>
    <t>-655.569238708311 47.8760089382386 -531.946356552062</t>
  </si>
  <si>
    <t>-627.463184724572 199.92388850896 -511.207656627823</t>
  </si>
  <si>
    <t>-630.857887128634 250.16704005291 -233.642108165727</t>
  </si>
  <si>
    <t>-411.560838540563 176.162030371278 -253.150665419635</t>
  </si>
  <si>
    <t>-608.52457433275 120.679410719636 -98.5118871328012</t>
  </si>
  <si>
    <t>-629.659783123132 135.479168021792 316.261367861572</t>
  </si>
  <si>
    <t>-671.249296208821 177.901973382506 775.492073929262</t>
  </si>
  <si>
    <t>-520.794476222097 181.858762859724 832.338440717288</t>
  </si>
  <si>
    <t>-606.624561374773 -78.0436902556569 321.381340146152</t>
  </si>
  <si>
    <t>-654.572598711866 -104.507525051442 781.311403560194</t>
  </si>
  <si>
    <t>-500.27518654375 -116.635280570954 825.232335552135</t>
  </si>
  <si>
    <t>9763-20170724T115648.926786200.bin</t>
  </si>
  <si>
    <t>-606.692928611308 27.8284838908717 -94.5595592898051</t>
  </si>
  <si>
    <t>-628.17327674069 24.6386501171023 -203.122530315157</t>
  </si>
  <si>
    <t>-639.294909118488 22.2588834545927 -295.298910535377</t>
  </si>
  <si>
    <t>-647.486675458753 20.1874633548207 -378.765792358565</t>
  </si>
  <si>
    <t>-653.250330001291 18.1699708416827 -462.436861914883</t>
  </si>
  <si>
    <t>-659.009251879706 15.2563712475312 -584.924801150195</t>
  </si>
  <si>
    <t>-634.129862993471 13.9723849860982 -659.218605179617</t>
  </si>
  <si>
    <t>-655.646439384389 47.8751619207294 -531.962942914707</t>
  </si>
  <si>
    <t>-627.820304509719 199.964510613308 -511.183584993484</t>
  </si>
  <si>
    <t>-632.100282329691 249.938340727768 -233.581627715336</t>
  </si>
  <si>
    <t>-412.648560712897 176.069717945607 -251.827135449757</t>
  </si>
  <si>
    <t>-608.818316214872 120.581299966887 -98.5009995906105</t>
  </si>
  <si>
    <t>-629.922421399381 135.43032551214 316.272103990525</t>
  </si>
  <si>
    <t>-671.276882331809 177.892909165048 775.532066924892</t>
  </si>
  <si>
    <t>-520.80859538992 181.701451714334 832.352949787612</t>
  </si>
  <si>
    <t>-606.699933255986 -78.0384962089131 321.359899521143</t>
  </si>
  <si>
    <t>-654.567916483732 -104.486232439864 781.300602024712</t>
  </si>
  <si>
    <t>-500.243770571637 -116.44306818326 825.174358844455</t>
  </si>
  <si>
    <t>9763-20170724T115648.957868700.bin</t>
  </si>
  <si>
    <t>-606.678762981477 27.7611925348847 -94.5617715234835</t>
  </si>
  <si>
    <t>-628.113341789714 24.5710367658803 -203.133848122978</t>
  </si>
  <si>
    <t>-639.219878811875 22.2054629300546 -295.312324102114</t>
  </si>
  <si>
    <t>-647.407415870652 20.1530044065257 -378.780305325404</t>
  </si>
  <si>
    <t>-653.176277235038 18.160854698971 -462.451567253919</t>
  </si>
  <si>
    <t>-658.953004091356 15.2922400378015 -584.939493795972</t>
  </si>
  <si>
    <t>-634.138704199649 14.0576125859586 -659.25605373804</t>
  </si>
  <si>
    <t>-655.606408300028 47.8921819819766 -531.965123740685</t>
  </si>
  <si>
    <t>-627.876775515599 199.996558493519 -511.1768959639</t>
  </si>
  <si>
    <t>-633.167542656566 249.998007201109 -233.597229853297</t>
  </si>
  <si>
    <t>-413.567029414105 176.310640047167 -250.753097698465</t>
  </si>
  <si>
    <t>-608.814455393534 120.487754301616 -98.4923752398661</t>
  </si>
  <si>
    <t>-629.945554448053 135.377881344604 316.277858029114</t>
  </si>
  <si>
    <t>-671.278919695442 177.928908487045 775.539307976431</t>
  </si>
  <si>
    <t>-520.808650023134 181.68244017095 832.358744054309</t>
  </si>
  <si>
    <t>-606.720220671226 -78.1522871300594 321.350435098177</t>
  </si>
  <si>
    <t>-654.552451758935 -104.495917623243 781.299778815671</t>
  </si>
  <si>
    <t>-500.246228954884 -116.651300635582 825.182059600717</t>
  </si>
  <si>
    <t>9763-20170724T115649.025712300.bin</t>
  </si>
  <si>
    <t>-606.580646107897 27.6948663957889 -94.5526455891002</t>
  </si>
  <si>
    <t>-627.907172876021 24.5180539078958 -203.14623434866</t>
  </si>
  <si>
    <t>-638.977817314334 22.1959475597296 -295.33020235097</t>
  </si>
  <si>
    <t>-647.15523456394 20.1967103623765 -378.8004473412</t>
  </si>
  <si>
    <t>-652.936116754017 18.2734077509851 -462.472481217092</t>
  </si>
  <si>
    <t>-658.754898031169 15.5226096902804 -584.961325711884</t>
  </si>
  <si>
    <t>-634.061307086277 14.3865899736145 -659.319449327968</t>
  </si>
  <si>
    <t>-655.428762863157 48.0725264510099 -531.95484074042</t>
  </si>
  <si>
    <t>-627.774866408074 200.173727798832 -511.025091239342</t>
  </si>
  <si>
    <t>-635.484599999743 250.230633084589 -233.512048365759</t>
  </si>
  <si>
    <t>-415.417010648585 177.375213136449 -248.033544357979</t>
  </si>
  <si>
    <t>-608.672871008587 120.427990064939 -98.4823625541997</t>
  </si>
  <si>
    <t>-629.910809243458 135.32562549634 316.282073785477</t>
  </si>
  <si>
    <t>-671.297065182338 177.929611531227 775.541062673886</t>
  </si>
  <si>
    <t>-520.8297474522 181.724552629036 832.365411791599</t>
  </si>
  <si>
    <t>-606.719342785135 -78.4093992242408 321.343057896666</t>
  </si>
  <si>
    <t>-654.481066492646 -104.518870652122 781.31133815339</t>
  </si>
  <si>
    <t>-500.196575569431 -116.700589354959 825.262713396689</t>
  </si>
  <si>
    <t>9763-20170724T115649.060800500.bin</t>
  </si>
  <si>
    <t>-606.527488692912 27.6058135958972 -94.5421880294629</t>
  </si>
  <si>
    <t>-627.817644296532 24.4399116118593 -203.143300913874</t>
  </si>
  <si>
    <t>-638.882833155861 22.1465826838171 -295.328650792554</t>
  </si>
  <si>
    <t>-647.065397947329 20.1824721195123 -378.799206890018</t>
  </si>
  <si>
    <t>-652.861524177894 18.304036788858 -462.471192504839</t>
  </si>
  <si>
    <t>-658.713636774224 15.630052291008 -584.960136603425</t>
  </si>
  <si>
    <t>-634.07473297903 14.5402019584139 -659.337147578072</t>
  </si>
  <si>
    <t>-655.392155172371 48.1471622317165 -531.933139152575</t>
  </si>
  <si>
    <t>-627.78140335263 200.245615121828 -510.935714968143</t>
  </si>
  <si>
    <t>-636.791239125355 250.335498400395 -233.46785152047</t>
  </si>
  <si>
    <t>-416.455456370283 178.046108630086 -246.693591288941</t>
  </si>
  <si>
    <t>-608.572872580184 120.380328078372 -98.477179071577</t>
  </si>
  <si>
    <t>-629.875276742602 135.256655394159 316.284715165013</t>
  </si>
  <si>
    <t>-671.320859352746 177.854014198734 775.53820326499</t>
  </si>
  <si>
    <t>-520.857171886224 181.697238112255 832.368945957472</t>
  </si>
  <si>
    <t>-606.70932825764 -78.6028669628115 321.342849144953</t>
  </si>
  <si>
    <t>-654.437351539205 -104.510131446092 781.322021597912</t>
  </si>
  <si>
    <t>-500.152367451989 -116.540211891022 825.313464457391</t>
  </si>
  <si>
    <t>9763-20170724T115649.122606200.bin</t>
  </si>
  <si>
    <t>-606.410538742036 27.4723987459352 -94.5447892266094</t>
  </si>
  <si>
    <t>-627.676040171501 24.2948622927076 -203.150450453566</t>
  </si>
  <si>
    <t>-638.745079225839 22.022407293782 -295.335808832058</t>
  </si>
  <si>
    <t>-646.940968391025 20.090135160453 -378.805821321092</t>
  </si>
  <si>
    <t>-652.760223454827 18.2575142307783 -462.477139738464</t>
  </si>
  <si>
    <t>-658.65675048036 15.6666861619283 -584.965706650553</t>
  </si>
  <si>
    <t>-634.277754353249 14.6466907429963 -659.42942061218</t>
  </si>
  <si>
    <t>-655.350676964686 48.148748250195 -531.916422229449</t>
  </si>
  <si>
    <t>-627.945434817195 200.273327652369 -510.84928717449</t>
  </si>
  <si>
    <t>-639.023866347525 250.649011241667 -233.508065482277</t>
  </si>
  <si>
    <t>-418.281810723371 179.172737197784 -244.12055220885</t>
  </si>
  <si>
    <t>-608.421695718508 120.303822056663 -98.4827320552647</t>
  </si>
  <si>
    <t>-629.726428690974 135.178035308047 316.279172983534</t>
  </si>
  <si>
    <t>-671.339008121753 177.811635822977 775.509456505303</t>
  </si>
  <si>
    <t>-520.883971176914 181.637363838781 832.364278546812</t>
  </si>
  <si>
    <t>-606.650357294118 -78.8535311335791 321.354666322163</t>
  </si>
  <si>
    <t>-654.359784116986 -104.50368078133 781.345407401566</t>
  </si>
  <si>
    <t>-500.071931122816 -116.25884327892 825.401098459363</t>
  </si>
  <si>
    <t>9763-20170724T115649.160707500.bin</t>
  </si>
  <si>
    <t>-606.416682366699 27.4229159800043 -94.5440996566552</t>
  </si>
  <si>
    <t>-627.677204563375 24.240063114396 -203.150538171946</t>
  </si>
  <si>
    <t>-638.719769643873 21.9735638718075 -295.339166270685</t>
  </si>
  <si>
    <t>-646.882562049034 20.0510211460285 -378.812527657354</t>
  </si>
  <si>
    <t>-652.659637999941 18.2319386266008 -462.487360956112</t>
  </si>
  <si>
    <t>-658.484301210104 15.6657445879478 -584.979773425921</t>
  </si>
  <si>
    <t>-634.455525205629 14.7079210715444 -659.558003269885</t>
  </si>
  <si>
    <t>-655.221078970529 48.1374571613003 -531.921530332199</t>
  </si>
  <si>
    <t>-627.89910910605 200.270632076176 -510.78999388751</t>
  </si>
  <si>
    <t>-640.207868510209 250.870737806501 -233.541505245832</t>
  </si>
  <si>
    <t>-419.324129729981 179.661830350099 -242.933272753109</t>
  </si>
  <si>
    <t>-608.446268226518 120.272795875086 -98.4848425387856</t>
  </si>
  <si>
    <t>-629.753193057914 135.139639985275 316.277257895403</t>
  </si>
  <si>
    <t>-671.357182847141 177.775683432933 775.504188198044</t>
  </si>
  <si>
    <t>-520.902368759589 181.635549452462 832.357403828816</t>
  </si>
  <si>
    <t>-606.626228924884 -78.8720611860454 321.363439163525</t>
  </si>
  <si>
    <t>-654.336077326872 -104.501584694646 781.354164896395</t>
  </si>
  <si>
    <t>-500.068467045608 -116.425752481336 825.435295692633</t>
  </si>
  <si>
    <t>9763-20170724T115649.226418800.bin</t>
  </si>
  <si>
    <t>-606.520768143179 27.3824857688905 -94.5611628068314</t>
  </si>
  <si>
    <t>-627.688601388579 24.2011994762158 -203.185723358043</t>
  </si>
  <si>
    <t>-638.621009837147 21.9376508013088 -295.387558400377</t>
  </si>
  <si>
    <t>-646.67148792134 20.0172417678848 -378.871982923053</t>
  </si>
  <si>
    <t>-652.323220337266 18.2006136412003 -462.555287930868</t>
  </si>
  <si>
    <t>-657.950513631307 15.6377473955624 -585.057121856509</t>
  </si>
  <si>
    <t>-634.935532210083 14.8131909085225 -659.955917553798</t>
  </si>
  <si>
    <t>-654.793453688559 48.1084274531288 -531.991845091822</t>
  </si>
  <si>
    <t>-627.637191101736 200.273544116345 -510.820354381346</t>
  </si>
  <si>
    <t>-643.300041089791 251.245819490235 -233.809279303521</t>
  </si>
  <si>
    <t>-422.186687786696 180.38865706666 -239.866594337044</t>
  </si>
  <si>
    <t>-608.618065000619 120.161670572266 -98.4800365172229</t>
  </si>
  <si>
    <t>-629.968866970763 135.097454767842 316.27733231993</t>
  </si>
  <si>
    <t>-671.399260754447 177.732646009307 775.520851611948</t>
  </si>
  <si>
    <t>-520.93691388847 181.730867675284 832.344470602383</t>
  </si>
  <si>
    <t>-606.656371903655 -78.8068874568833 321.352271638605</t>
  </si>
  <si>
    <t>-654.293693280918 -104.506708575293 781.354038425953</t>
  </si>
  <si>
    <t>-500.049032773884 -116.643893259453 825.457360359955</t>
  </si>
  <si>
    <t>9763-20170724T115649.259507300.bin</t>
  </si>
  <si>
    <t>-606.572479820522 27.3881294412181 -94.5556449406813</t>
  </si>
  <si>
    <t>-627.671146931549 24.2171582262329 -203.193931536676</t>
  </si>
  <si>
    <t>-638.548664215136 21.9467426887527 -295.402159861098</t>
  </si>
  <si>
    <t>-646.551110693016 20.0134135743535 -378.890879667251</t>
  </si>
  <si>
    <t>-652.15638154929 18.1771243206531 -462.576916540674</t>
  </si>
  <si>
    <t>-657.717550094976 15.577991055236 -585.08090875788</t>
  </si>
  <si>
    <t>-635.208630042878 14.7752774967448 -660.133730454796</t>
  </si>
  <si>
    <t>-654.585221059012 48.0643470647556 -532.023703199717</t>
  </si>
  <si>
    <t>-627.359490366171 200.213917467132 -510.845341133872</t>
  </si>
  <si>
    <t>-645.078549935369 251.476623445539 -234.012036650682</t>
  </si>
  <si>
    <t>-424.007171550479 180.331048144348 -237.792184423127</t>
  </si>
  <si>
    <t>-608.694394770734 120.15267445589 -98.4671919864418</t>
  </si>
  <si>
    <t>-630.071538293175 135.108511024217 316.288103053415</t>
  </si>
  <si>
    <t>-671.414511511253 177.750675251496 775.532750132098</t>
  </si>
  <si>
    <t>-520.944527370311 181.729563478034 832.33756933166</t>
  </si>
  <si>
    <t>-606.722291665271 -78.7612294398402 321.344235748019</t>
  </si>
  <si>
    <t>-654.282796452887 -104.485179861198 781.347832492626</t>
  </si>
  <si>
    <t>-500.016599685287 -116.394355511233 825.437966820947</t>
  </si>
  <si>
    <t>9763-20170724T115649.324191400.bin</t>
  </si>
  <si>
    <t>-606.542138738689 27.4223121711539 -94.5272997722404</t>
  </si>
  <si>
    <t>-627.573564922964 24.2783933094418 -203.179409372985</t>
  </si>
  <si>
    <t>-638.399795370287 21.9960832452405 -295.393415755472</t>
  </si>
  <si>
    <t>-646.358358700508 20.0375835549387 -378.885742463762</t>
  </si>
  <si>
    <t>-651.922233716222 18.1616383607909 -462.57360171421</t>
  </si>
  <si>
    <t>-657.425932249636 15.4879573759031 -585.078515288759</t>
  </si>
  <si>
    <t>-635.689973698827 14.6618104137863 -660.358503450987</t>
  </si>
  <si>
    <t>-654.30663219564 48.0062810598104 -532.040206403271</t>
  </si>
  <si>
    <t>-626.78245080774 200.08530128205 -510.812392427043</t>
  </si>
  <si>
    <t>-648.561842837388 252.255626553068 -234.438627730493</t>
  </si>
  <si>
    <t>-427.804496687818 180.055417400317 -233.074761875939</t>
  </si>
  <si>
    <t>-608.681336823518 120.145409236969 -98.4371088854605</t>
  </si>
  <si>
    <t>-630.201228279941 135.101337442609 316.310770496193</t>
  </si>
  <si>
    <t>-671.452393596249 177.72943211682 775.559929735605</t>
  </si>
  <si>
    <t>-520.970771467451 181.638911492056 832.338754027189</t>
  </si>
  <si>
    <t>-606.756480887018 -78.6782409113373 321.32764310164</t>
  </si>
  <si>
    <t>-654.271023279157 -104.467998976207 781.337547918302</t>
  </si>
  <si>
    <t>-499.990810131442 -116.345279297793 825.387128783509</t>
  </si>
  <si>
    <t>9763-20170724T115649.389887200.bin</t>
  </si>
  <si>
    <t>-606.385288567138 27.5369285253307 -94.5182288192573</t>
  </si>
  <si>
    <t>-627.474250955977 24.4070466274623 -203.15962922994</t>
  </si>
  <si>
    <t>-638.344487645632 22.1462834175882 -295.369080677909</t>
  </si>
  <si>
    <t>-646.340770446959 20.2111213022097 -378.858215472914</t>
  </si>
  <si>
    <t>-651.940449150614 18.3621029727149 -462.544259186353</t>
  </si>
  <si>
    <t>-657.494243030998 15.7317685366334 -585.047991765571</t>
  </si>
  <si>
    <t>-636.268333184749 14.910725641907 -660.473516192201</t>
  </si>
  <si>
    <t>-654.357385693045 48.2315223862104 -531.999213283651</t>
  </si>
  <si>
    <t>-626.683594807957 200.277524726203 -510.751751306309</t>
  </si>
  <si>
    <t>-652.162060273796 253.304469367002 -234.857579523486</t>
  </si>
  <si>
    <t>-431.732812722631 180.312718956613 -229.228371217024</t>
  </si>
  <si>
    <t>-608.598873516112 120.220585718567 -98.4099362989587</t>
  </si>
  <si>
    <t>-630.115397094952 135.092349457889 316.341162943106</t>
  </si>
  <si>
    <t>-671.465835106851 177.732473982056 775.584662116245</t>
  </si>
  <si>
    <t>-520.981430124082 181.579384207408 832.360206917088</t>
  </si>
  <si>
    <t>-606.582855817017 -78.5033479730544 321.333801145651</t>
  </si>
  <si>
    <t>-654.266561715636 -104.459812729095 781.32149189695</t>
  </si>
  <si>
    <t>-499.98525020793 -116.487063848239 825.32653703321</t>
  </si>
  <si>
    <t>9763-20170724T115649.427490900.bin</t>
  </si>
  <si>
    <t>-606.30606066455 27.6066714944939 -94.5026621080904</t>
  </si>
  <si>
    <t>-627.432060834114 24.4740880193012 -203.136837679858</t>
  </si>
  <si>
    <t>-638.296636595432 22.2299583064812 -295.34725953851</t>
  </si>
  <si>
    <t>-646.272768102092 20.3169078278559 -378.838860075084</t>
  </si>
  <si>
    <t>-651.837126809455 18.49709368703 -462.527950525784</t>
  </si>
  <si>
    <t>-657.322391046166 15.9177043471032 -585.035932288487</t>
  </si>
  <si>
    <t>-636.249153649226 15.1148813638201 -660.504217401668</t>
  </si>
  <si>
    <t>-654.226581625149 48.3956112710964 -531.971257506896</t>
  </si>
  <si>
    <t>-626.652930628395 200.463092187525 -510.732427943257</t>
  </si>
  <si>
    <t>-653.613109974447 253.643180858635 -235.008679901932</t>
  </si>
  <si>
    <t>-433.258811095699 180.552688249067 -227.916332237618</t>
  </si>
  <si>
    <t>-608.576408560966 120.242760483647 -98.3835885825714</t>
  </si>
  <si>
    <t>-630.09901332519 135.071280828804 316.368717727214</t>
  </si>
  <si>
    <t>-671.473867867332 177.716424854154 775.600645421883</t>
  </si>
  <si>
    <t>-520.989977273336 181.540790270128 832.379009371296</t>
  </si>
  <si>
    <t>-606.475654266775 -78.3990495568153 321.346325002002</t>
  </si>
  <si>
    <t>-654.267713006345 -104.44237685267 781.311415984538</t>
  </si>
  <si>
    <t>-499.960564575313 -116.25398933142 825.284284785716</t>
  </si>
  <si>
    <t>9763-20170724T115649.460578100.bin</t>
  </si>
  <si>
    <t>-606.2313962867 27.6702734060827 -94.4936892547836</t>
  </si>
  <si>
    <t>-627.364168216315 24.5328597651069 -203.126471749627</t>
  </si>
  <si>
    <t>-638.207873066208 22.3000554078662 -295.339487721608</t>
  </si>
  <si>
    <t>-646.15429897251 20.4030820539251 -378.83447362207</t>
  </si>
  <si>
    <t>-651.678006712587 18.6051642314387 -462.526740867294</t>
  </si>
  <si>
    <t>-657.091864477461 16.0639167486054 -585.038515419368</t>
  </si>
  <si>
    <t>-636.129621684032 15.2688211888099 -660.537932379837</t>
  </si>
  <si>
    <t>-654.038706977262 48.5255452841307 -531.961567484115</t>
  </si>
  <si>
    <t>-626.603284669376 200.623551930097 -510.680776908708</t>
  </si>
  <si>
    <t>-654.692635950582 253.715919553528 -235.052762960664</t>
  </si>
  <si>
    <t>-434.321357090857 180.780854567431 -226.95961855547</t>
  </si>
  <si>
    <t>-608.553072830024 120.22563956433 -98.3593054373275</t>
  </si>
  <si>
    <t>-630.097133098575 135.079903858819 316.390983944081</t>
  </si>
  <si>
    <t>-671.474807312741 177.747014574527 775.619121564175</t>
  </si>
  <si>
    <t>-520.989816828899 181.561047447924 832.395318697343</t>
  </si>
  <si>
    <t>-606.398123431843 -78.3295399517253 321.355420017847</t>
  </si>
  <si>
    <t>-654.265051050859 -104.441503922349 781.30049626282</t>
  </si>
  <si>
    <t>-499.951275273793 -116.234309281438 825.255187186469</t>
  </si>
  <si>
    <t>9763-20170724T115649.523332600.bin</t>
  </si>
  <si>
    <t>-606.213182035995 27.560529118507 -94.4702038123622</t>
  </si>
  <si>
    <t>-627.267882183012 24.3910587384537 -203.117088778345</t>
  </si>
  <si>
    <t>-638.029469204091 22.1717525562206 -295.340145815845</t>
  </si>
  <si>
    <t>-645.894993840715 20.3023279940098 -378.843274017915</t>
  </si>
  <si>
    <t>-651.330809741978 18.5486653525954 -462.542258592659</t>
  </si>
  <si>
    <t>-656.60844493385 16.0904831256296 -585.061676173139</t>
  </si>
  <si>
    <t>-635.768019196691 15.3475811022215 -660.595498137798</t>
  </si>
  <si>
    <t>-653.669224617766 48.5172877414216 -531.957048984976</t>
  </si>
  <si>
    <t>-626.663992932279 200.673112929306 -510.579799135708</t>
  </si>
  <si>
    <t>-655.682190960946 253.24579452203 -234.948428255215</t>
  </si>
  <si>
    <t>-435.116560823834 181.005847231608 -225.964396165309</t>
  </si>
  <si>
    <t>-608.61420953133 120.048873177773 -98.340085981082</t>
  </si>
  <si>
    <t>-630.123422459813 134.9983683146 316.408615851594</t>
  </si>
  <si>
    <t>-671.494406050194 177.735499194572 775.638055775126</t>
  </si>
  <si>
    <t>-521.009737802421 181.593366541845 832.41233116741</t>
  </si>
  <si>
    <t>-606.437533852222 -78.4980799186842 321.36708169638</t>
  </si>
  <si>
    <t>-654.247230876023 -104.466682301506 781.302580593866</t>
  </si>
  <si>
    <t>-499.950456120129 -116.508667754629 825.249393780369</t>
  </si>
  <si>
    <t>9763-20170724T115649.556421200.bin</t>
  </si>
  <si>
    <t>-606.18439301568 27.4593456203206 -94.4587208047</t>
  </si>
  <si>
    <t>-627.206899194223 24.2834755282536 -203.111706085299</t>
  </si>
  <si>
    <t>-637.948112274231 22.0739835101367 -295.337425160394</t>
  </si>
  <si>
    <t>-645.797933181286 20.2188388759155 -378.842305962331</t>
  </si>
  <si>
    <t>-651.220644102792 18.485844981609 -462.542497389552</t>
  </si>
  <si>
    <t>-656.482078188799 16.0648505179022 -585.063511093282</t>
  </si>
  <si>
    <t>-635.678439714728 15.354858414828 -660.607602965539</t>
  </si>
  <si>
    <t>-653.583269650385 48.4762235068572 -531.947198423564</t>
  </si>
  <si>
    <t>-626.782157722972 200.657572813682 -510.494773412918</t>
  </si>
  <si>
    <t>-655.639297083472 253.116704185098 -234.82496107831</t>
  </si>
  <si>
    <t>-434.94811638615 181.257913385865 -225.866472478976</t>
  </si>
  <si>
    <t>-608.626027210459 119.931215355864 -98.32659862842</t>
  </si>
  <si>
    <t>-630.16980226443 134.91626972474 316.419021738832</t>
  </si>
  <si>
    <t>-671.529939851774 177.633373578141 775.644287603143</t>
  </si>
  <si>
    <t>-521.046323455094 181.641676117615 832.410853316899</t>
  </si>
  <si>
    <t>-606.45834864262 -78.6215184413497 321.368684253002</t>
  </si>
  <si>
    <t>-654.236351334268 -104.49511217707 781.306078818135</t>
  </si>
  <si>
    <t>-499.944200265615 -116.604968467627 825.250369195239</t>
  </si>
  <si>
    <t>9763-20170724T115649.626612800.bin</t>
  </si>
  <si>
    <t>-606.090534774992 27.279649708863 -94.4647612684977</t>
  </si>
  <si>
    <t>-627.105526548127 24.0623349251807 -203.117913723412</t>
  </si>
  <si>
    <t>-637.865707165702 21.8540593898376 -295.341411367711</t>
  </si>
  <si>
    <t>-645.742643427061 20.0131036410048 -378.844102718901</t>
  </si>
  <si>
    <t>-651.202413490491 18.308171654257 -462.542462449342</t>
  </si>
  <si>
    <t>-656.528718885141 15.9436895725285 -585.061733712575</t>
  </si>
  <si>
    <t>-635.785104837139 15.2895261728736 -660.622929533637</t>
  </si>
  <si>
    <t>-653.648249192952 48.3314641375121 -531.930031134126</t>
  </si>
  <si>
    <t>-627.227410338162 200.561958488854 -510.364474360608</t>
  </si>
  <si>
    <t>-655.343286045091 252.998120592866 -234.613583094765</t>
  </si>
  <si>
    <t>-434.473519623784 181.633350337277 -226.12008917109</t>
  </si>
  <si>
    <t>-608.685714901193 119.722790619904 -98.333964443091</t>
  </si>
  <si>
    <t>-630.232644670283 134.822088462146 316.407327776954</t>
  </si>
  <si>
    <t>-671.552635681831 177.610373760877 775.636226542378</t>
  </si>
  <si>
    <t>-521.067010532765 181.522622248717 832.404121961675</t>
  </si>
  <si>
    <t>-606.418708017181 -78.8668312728958 321.359359086418</t>
  </si>
  <si>
    <t>-654.201750538937 -104.502389747527 781.313485578449</t>
  </si>
  <si>
    <t>-499.901557911456 -116.489504774062 825.263249804138</t>
  </si>
  <si>
    <t>9763-20170724T115649.691287700.bin</t>
  </si>
  <si>
    <t>-605.888629329568 27.1968487866104 -94.4405936949202</t>
  </si>
  <si>
    <t>-626.960168777242 23.9646461154116 -203.082487563211</t>
  </si>
  <si>
    <t>-637.695664109873 21.7540850356918 -295.308746875892</t>
  </si>
  <si>
    <t>-645.520878109644 19.9145079880152 -378.816333717162</t>
  </si>
  <si>
    <t>-650.899390617279 18.2144519393148 -462.519973262353</t>
  </si>
  <si>
    <t>-656.074374688099 15.860863677508 -585.046019821323</t>
  </si>
  <si>
    <t>-635.303840049885 15.22995488221 -660.59992696724</t>
  </si>
  <si>
    <t>-653.284184316326 48.2442104375923 -531.906778226692</t>
  </si>
  <si>
    <t>-627.153489108117 200.515769305698 -510.296408692285</t>
  </si>
  <si>
    <t>-654.976936218517 252.927963757968 -234.511287466856</t>
  </si>
  <si>
    <t>-434.054884933158 181.703159519334 -226.203865500235</t>
  </si>
  <si>
    <t>-608.540193070552 119.587877517507 -98.3166344586848</t>
  </si>
  <si>
    <t>-630.109700742604 134.756233850708 316.420950652516</t>
  </si>
  <si>
    <t>-671.579742915617 177.543946450939 775.62725689022</t>
  </si>
  <si>
    <t>-521.102172646084 181.680087920647 832.400727623838</t>
  </si>
  <si>
    <t>-606.247676180465 -78.972490595808 321.37239555324</t>
  </si>
  <si>
    <t>-654.177706848135 -104.498435434349 781.316275424162</t>
  </si>
  <si>
    <t>-499.857138774122 -116.252067266756 825.257611852477</t>
  </si>
  <si>
    <t>9763-20170724T115649.728412700.bin</t>
  </si>
  <si>
    <t>-605.740008027106 27.1936256887814 -94.4514507230074</t>
  </si>
  <si>
    <t>-626.869178914596 23.9748562333193 -203.082495153499</t>
  </si>
  <si>
    <t>-637.542013399153 21.7803040511319 -295.316466412633</t>
  </si>
  <si>
    <t>-645.265697734645 19.9572922006719 -378.833870040555</t>
  </si>
  <si>
    <t>-650.497458715489 18.2766333824206 -462.54726513627</t>
  </si>
  <si>
    <t>-655.408409819046 15.9543913126422 -585.084646883727</t>
  </si>
  <si>
    <t>-634.568555710394 15.3469776936515 -660.61980154647</t>
  </si>
  <si>
    <t>-652.761457132763 48.3247523505543 -531.930186525479</t>
  </si>
  <si>
    <t>-626.707074723484 200.59267511897 -510.196468863721</t>
  </si>
  <si>
    <t>-654.622563709318 252.889963179052 -234.398850747256</t>
  </si>
  <si>
    <t>-433.687134631334 181.711345913039 -226.052215252629</t>
  </si>
  <si>
    <t>-608.339830313233 119.578602838034 -98.3114965514842</t>
  </si>
  <si>
    <t>-629.961801111965 134.742103730825 316.423580671057</t>
  </si>
  <si>
    <t>-671.580415267089 177.554027145907 775.614800903313</t>
  </si>
  <si>
    <t>-521.105457885339 181.599465919607 832.401758675662</t>
  </si>
  <si>
    <t>-606.178732318269 -79.0230706691204 321.374397965139</t>
  </si>
  <si>
    <t>-654.166126345315 -104.508393744837 781.314922610722</t>
  </si>
  <si>
    <t>-499.847335701376 -116.30228414566 825.251637796038</t>
  </si>
  <si>
    <t>9763-20170724T115649.790580800.bin</t>
  </si>
  <si>
    <t>-605.398569153784 27.209140193356 -94.5030414290834</t>
  </si>
  <si>
    <t>-626.742441426568 24.029925546097 -203.093155285071</t>
  </si>
  <si>
    <t>-637.286151920118 21.8705874027803 -295.342883507234</t>
  </si>
  <si>
    <t>-644.767756641997 20.0828375615529 -378.88304674754</t>
  </si>
  <si>
    <t>-649.631683583761 18.4427294611014 -462.61957057648</t>
  </si>
  <si>
    <t>-653.866790189246 16.1875814165041 -585.183427729929</t>
  </si>
  <si>
    <t>-632.939843442866 15.6314490843836 -660.694775847969</t>
  </si>
  <si>
    <t>-651.634437494707 48.5304798766877 -531.993283363939</t>
  </si>
  <si>
    <t>-625.711207067064 200.761795928652 -509.831709009884</t>
  </si>
  <si>
    <t>-653.703554632825 252.623111581647 -233.95954945568</t>
  </si>
  <si>
    <t>-432.671721553272 181.754601499854 -225.526474572298</t>
  </si>
  <si>
    <t>-607.878137011815 119.662462582593 -98.3215514135923</t>
  </si>
  <si>
    <t>-629.708710125009 134.720953503807 316.406395234557</t>
  </si>
  <si>
    <t>-671.580490599404 177.603162265394 775.591596157735</t>
  </si>
  <si>
    <t>-521.111343823171 181.522919165533 832.402702844267</t>
  </si>
  <si>
    <t>-606.116184215771 -79.173188880578 321.33800093679</t>
  </si>
  <si>
    <t>-654.124313391266 -104.547642947746 781.310021200385</t>
  </si>
  <si>
    <t>-499.841303817246 -116.699551504914 825.274820943673</t>
  </si>
  <si>
    <t>9763-20170724T115649.824196200.bin</t>
  </si>
  <si>
    <t>-605.160947798892 27.2771061137362 -94.4983419669007</t>
  </si>
  <si>
    <t>-626.713585811055 24.1142903677476 -203.04783936418</t>
  </si>
  <si>
    <t>-637.184607099264 21.9688705383396 -295.305945456166</t>
  </si>
  <si>
    <t>-644.499932332377 20.1952040392243 -378.861304124996</t>
  </si>
  <si>
    <t>-649.096723313359 18.571638050505 -462.613064327861</t>
  </si>
  <si>
    <t>-652.830448437432 16.3448517596344 -585.193789372737</t>
  </si>
  <si>
    <t>-631.907387102768 15.8021732547645 -660.706429792888</t>
  </si>
  <si>
    <t>-650.887011942411 48.6763405090223 -531.985329247363</t>
  </si>
  <si>
    <t>-624.883117278545 200.846611646061 -509.517431102394</t>
  </si>
  <si>
    <t>-653.140906160814 252.302632321698 -233.596534386263</t>
  </si>
  <si>
    <t>-432.010174921998 181.73411285174 -225.240827413622</t>
  </si>
  <si>
    <t>-607.567258664298 119.757404738154 -98.3184208359845</t>
  </si>
  <si>
    <t>-629.445886447638 134.759381780579 316.409041336205</t>
  </si>
  <si>
    <t>-671.562336911252 177.696711712918 775.57943812443</t>
  </si>
  <si>
    <t>-521.096683140479 181.507924616683 832.407174679686</t>
  </si>
  <si>
    <t>-606.02353628096 -79.1458473422183 321.332019041447</t>
  </si>
  <si>
    <t>-654.098770845881 -104.542402941333 781.311230566602</t>
  </si>
  <si>
    <t>-499.82224389114 -116.714854332333 825.293126781682</t>
  </si>
  <si>
    <t>9763-20170724T115649.890356000.bin</t>
  </si>
  <si>
    <t>-604.960076062294 27.511155833834 -94.354010713079</t>
  </si>
  <si>
    <t>-626.965712470888 24.3819770823529 -202.813420055055</t>
  </si>
  <si>
    <t>-637.402299162625 22.2996816049447 -295.077080548454</t>
  </si>
  <si>
    <t>-644.517884355414 20.5992529413393 -378.651103200134</t>
  </si>
  <si>
    <t>-648.745265221939 19.068175146497 -462.424138406398</t>
  </si>
  <si>
    <t>-651.752849694795 16.9988309665307 -585.027604512477</t>
  </si>
  <si>
    <t>-630.832800790937 16.4831147464943 -660.541164423141</t>
  </si>
  <si>
    <t>-650.233458197575 49.2627572834485 -531.764312972358</t>
  </si>
  <si>
    <t>-624.181492505206 201.346408567324 -508.778664939671</t>
  </si>
  <si>
    <t>-653.157659152354 252.029981646271 -232.789250762279</t>
  </si>
  <si>
    <t>-431.814177778261 182.15399332503 -224.249320780763</t>
  </si>
  <si>
    <t>-607.258910837521 120.121500250669 -98.2612316984648</t>
  </si>
  <si>
    <t>-628.809552935666 134.733238205687 316.497285350866</t>
  </si>
  <si>
    <t>-671.578067122592 177.619147542925 775.57378678765</t>
  </si>
  <si>
    <t>-521.134672997198 181.691879373503 832.442147192351</t>
  </si>
  <si>
    <t>-605.691791826302 -78.8559494467904 321.409567683971</t>
  </si>
  <si>
    <t>-654.052067912376 -104.538102909521 781.311143122777</t>
  </si>
  <si>
    <t>-499.795410716372 -116.861765747341 825.320662370503</t>
  </si>
  <si>
    <t>9763-20170724T115649.923459700.bin</t>
  </si>
  <si>
    <t>-605.012038157258 27.6681248223222 -94.349429205324</t>
  </si>
  <si>
    <t>-627.164800247608 24.5459460523828 -202.779187902332</t>
  </si>
  <si>
    <t>-637.588022193031 22.4977082009559 -295.04500208295</t>
  </si>
  <si>
    <t>-644.635649793041 20.8405435854909 -378.625632222255</t>
  </si>
  <si>
    <t>-648.739058068159 19.3661084100208 -462.405848283186</t>
  </si>
  <si>
    <t>-651.503803851136 17.3952493273152 -585.016538578409</t>
  </si>
  <si>
    <t>-630.519996103096 16.9158286361658 -660.512686000264</t>
  </si>
  <si>
    <t>-650.140430065617 49.6167175754351 -531.723544477593</t>
  </si>
  <si>
    <t>-624.158084803621 201.67334734165 -508.442668928729</t>
  </si>
  <si>
    <t>-653.293702391274 252.130775235196 -232.428722510235</t>
  </si>
  <si>
    <t>-431.893669027803 182.471848750216 -223.58597177208</t>
  </si>
  <si>
    <t>-607.31259917607 120.303724662803 -98.2187804375843</t>
  </si>
  <si>
    <t>-628.76554704895 134.788025265264 316.549330634147</t>
  </si>
  <si>
    <t>-671.599747958471 177.587172620253 775.59826446074</t>
  </si>
  <si>
    <t>-521.15922448851 181.690736273844 832.471995649781</t>
  </si>
  <si>
    <t>-605.71167024103 -78.7441550118162 321.441988223156</t>
  </si>
  <si>
    <t>-654.042901781032 -104.524951829807 781.31301413866</t>
  </si>
  <si>
    <t>-499.780526100376 -116.78389734695 825.320555131463</t>
  </si>
  <si>
    <t>9763-20170724T115649.960557800.bin</t>
  </si>
  <si>
    <t>-604.948488728853 27.8594666148322 -94.3758087497758</t>
  </si>
  <si>
    <t>-627.347945122906 24.7238528707933 -202.754527949986</t>
  </si>
  <si>
    <t>-637.801899557411 22.6939579450755 -295.01727242938</t>
  </si>
  <si>
    <t>-644.805071706497 21.0660585838737 -378.602247461383</t>
  </si>
  <si>
    <t>-648.79158313377 19.6344603309124 -462.388937924305</t>
  </si>
  <si>
    <t>-651.305728506434 17.7417340517677 -585.006260234566</t>
  </si>
  <si>
    <t>-630.23308515032 17.3152713825752 -660.477847680109</t>
  </si>
  <si>
    <t>-650.102846492856 49.9295204721748 -531.688875275536</t>
  </si>
  <si>
    <t>-623.957465259115 201.893135986829 -507.948359332116</t>
  </si>
  <si>
    <t>-653.420370698109 252.113532546354 -231.925865069882</t>
  </si>
  <si>
    <t>-431.959545148981 182.690634215256 -222.755491066635</t>
  </si>
  <si>
    <t>-607.213873242119 120.416223725901 -98.2108035021141</t>
  </si>
  <si>
    <t>-628.870773475204 134.937619330029 316.545384697513</t>
  </si>
  <si>
    <t>-671.61664841645 177.616851325536 775.627247779407</t>
  </si>
  <si>
    <t>-521.166244491292 181.626160133686 832.481650349797</t>
  </si>
  <si>
    <t>-605.794438919943 -78.6830550019308 321.434775008182</t>
  </si>
  <si>
    <t>-654.027902449651 -104.511656534553 781.313593449676</t>
  </si>
  <si>
    <t>-499.758695484126 -116.671642506517 825.324566068707</t>
  </si>
  <si>
    <t>9763-20170724T115650.023733000.bin</t>
  </si>
  <si>
    <t>-605.708938139966 28.0360486778852 -94.4061465096985</t>
  </si>
  <si>
    <t>-628.638481947371 24.8192008124831 -202.671563448045</t>
  </si>
  <si>
    <t>-639.114934690537 22.797679065354 -294.932015652321</t>
  </si>
  <si>
    <t>-645.965458720394 21.2036158892799 -378.530237110938</t>
  </si>
  <si>
    <t>-649.625234438414 19.8323340384998 -462.332749333292</t>
  </si>
  <si>
    <t>-651.470485604204 18.0554246370873 -584.963687150469</t>
  </si>
  <si>
    <t>-630.129927123091 17.7757346841281 -660.36073755017</t>
  </si>
  <si>
    <t>-650.624867700118 50.1930210166795 -531.609256647333</t>
  </si>
  <si>
    <t>-624.131853100592 201.98536014135 -507.203244092607</t>
  </si>
  <si>
    <t>-655.050862560365 251.556977805166 -231.222773055996</t>
  </si>
  <si>
    <t>-433.555936415989 182.416823178818 -220.822553507097</t>
  </si>
  <si>
    <t>-608.360607608487 120.701048862013 -98.2851453010926</t>
  </si>
  <si>
    <t>-628.909951748486 135.005866278269 316.53494658875</t>
  </si>
  <si>
    <t>-671.636640308254 177.582719141586 775.65529289901</t>
  </si>
  <si>
    <t>-521.183876068693 181.610552111545 832.502121998323</t>
  </si>
  <si>
    <t>-605.715163293357 -78.4644620520876 321.413656291978</t>
  </si>
  <si>
    <t>-654.006799559571 -104.505113583385 781.307266909293</t>
  </si>
  <si>
    <t>-499.749652314489 -116.850332009807 825.308952570687</t>
  </si>
  <si>
    <t>9763-20170724T115650.057823000.bin</t>
  </si>
  <si>
    <t>-606.299985664188 28.0789443044848 -94.4046238331428</t>
  </si>
  <si>
    <t>-629.165010258674 24.8366279274589 -202.682914156734</t>
  </si>
  <si>
    <t>-639.516025547504 22.8163156649189 -294.957553475358</t>
  </si>
  <si>
    <t>-646.224160671666 21.2284829559592 -378.567378055999</t>
  </si>
  <si>
    <t>-649.712349592388 19.86769022264 -462.377486001425</t>
  </si>
  <si>
    <t>-651.274703195379 18.1092987705667 -585.012529785249</t>
  </si>
  <si>
    <t>-629.760439521625 17.9080411857544 -660.360505980617</t>
  </si>
  <si>
    <t>-650.56129701794 50.2387676344979 -531.651326167683</t>
  </si>
  <si>
    <t>-624.087759957973 202.024596878219 -507.169210505013</t>
  </si>
  <si>
    <t>-655.759567098407 251.374479671563 -231.234362488679</t>
  </si>
  <si>
    <t>-434.334118795889 182.138921420354 -220.020546926833</t>
  </si>
  <si>
    <t>-609.147719023248 120.712698185607 -98.2603085963326</t>
  </si>
  <si>
    <t>-629.398844737187 135.075519404067 316.572444124454</t>
  </si>
  <si>
    <t>-671.637548352441 177.682883966954 775.708357266522</t>
  </si>
  <si>
    <t>-521.170908370442 181.522169926899 832.531460420657</t>
  </si>
  <si>
    <t>-605.896874480683 -78.4637089885521 321.402271079097</t>
  </si>
  <si>
    <t>-653.995691238764 -104.503695247221 781.299475081179</t>
  </si>
  <si>
    <t>-499.725727245355 -116.661037571928 825.308665265103</t>
  </si>
  <si>
    <t>9763-20170724T115650.125007100.bin</t>
  </si>
  <si>
    <t>-607.191828715233 28.1090942352757 -94.359168370993</t>
  </si>
  <si>
    <t>-629.858180832928 24.8112262906429 -202.677499753716</t>
  </si>
  <si>
    <t>-639.99943834413 22.7697466728482 -294.9749575188</t>
  </si>
  <si>
    <t>-646.500870081554 21.1672277709208 -378.600932073639</t>
  </si>
  <si>
    <t>-649.764946635491 19.7964179988401 -462.41984833402</t>
  </si>
  <si>
    <t>-650.980803400831 18.0265809509051 -585.058778388293</t>
  </si>
  <si>
    <t>-629.054072420974 17.9059030745257 -660.287757617582</t>
  </si>
  <si>
    <t>-650.465841344488 50.1612214394581 -531.698219942912</t>
  </si>
  <si>
    <t>-623.8630956862 201.870373105651 -506.958501411515</t>
  </si>
  <si>
    <t>-656.717674786266 251.515222895325 -231.214827264325</t>
  </si>
  <si>
    <t>-435.520898969989 181.721276890954 -218.995098426413</t>
  </si>
  <si>
    <t>-610.349069031082 120.3200229335 -98.190905932434</t>
  </si>
  <si>
    <t>-630.617039978877 135.177579344201 316.623576771165</t>
  </si>
  <si>
    <t>-671.696611729802 177.678126855815 775.83597145113</t>
  </si>
  <si>
    <t>-521.191617511746 181.552659061787 832.55508752384</t>
  </si>
  <si>
    <t>-606.563144511364 -78.7796816319308 321.3583076528</t>
  </si>
  <si>
    <t>-653.967287328496 -104.531065219776 781.299036194731</t>
  </si>
  <si>
    <t>-499.675632381198 -116.400174624315 825.310748713372</t>
  </si>
  <si>
    <t>9763-20170724T115650.188678200.bin</t>
  </si>
  <si>
    <t>-608.440171949534 28.2007546101686 -94.3686131594018</t>
  </si>
  <si>
    <t>-631.197166566234 24.8796334871649 -202.667203875443</t>
  </si>
  <si>
    <t>-641.198077465828 22.7746149847806 -294.978522154244</t>
  </si>
  <si>
    <t>-647.485019654424 21.0959405666372 -378.619418149337</t>
  </si>
  <si>
    <t>-650.446735446576 19.630619509463 -462.447936407742</t>
  </si>
  <si>
    <t>-651.124447344238 17.7023245129863 -585.088606703906</t>
  </si>
  <si>
    <t>-628.533983211603 17.3550950577121 -660.120331131854</t>
  </si>
  <si>
    <t>-650.876649043209 49.9057563072961 -531.767676350954</t>
  </si>
  <si>
    <t>-624.240052892511 201.616009399017 -507.090013745006</t>
  </si>
  <si>
    <t>-657.849995634568 251.627637629887 -231.503740429653</t>
  </si>
  <si>
    <t>-436.856532202364 181.413350311909 -218.073424696726</t>
  </si>
  <si>
    <t>-611.75443296829 120.623708607829 -98.262046971731</t>
  </si>
  <si>
    <t>-630.809964551065 135.267401955248 316.617556595453</t>
  </si>
  <si>
    <t>-671.734876943352 177.627275605107 775.909384450563</t>
  </si>
  <si>
    <t>-521.21906130498 181.649687886381 832.589415779375</t>
  </si>
  <si>
    <t>-606.875913345646 -78.4861756543855 321.325905819589</t>
  </si>
  <si>
    <t>-653.939602872344 -104.534039669919 781.3055868585</t>
  </si>
  <si>
    <t>-499.663021877744 -116.554417348035 825.329025395497</t>
  </si>
  <si>
    <t>9763-20170724T115650.224994600.bin</t>
  </si>
  <si>
    <t>-608.926191191757 28.3395271748147 -94.3918558066351</t>
  </si>
  <si>
    <t>-631.622970889337 25.0196820841566 -202.703150402154</t>
  </si>
  <si>
    <t>-641.48341303586 22.8718364117733 -295.028594718908</t>
  </si>
  <si>
    <t>-647.607368901245 21.1366713216089 -378.680404580662</t>
  </si>
  <si>
    <t>-650.370150643435 19.5962917303195 -462.5144082868</t>
  </si>
  <si>
    <t>-650.717753488876 17.5381532755416 -585.154280059072</t>
  </si>
  <si>
    <t>-627.712116576159 16.7623288879388 -660.056626879593</t>
  </si>
  <si>
    <t>-650.608180633734 49.7981352250686 -531.867043352877</t>
  </si>
  <si>
    <t>-624.152097264497 201.5962913736 -507.449619118491</t>
  </si>
  <si>
    <t>-657.994099669172 251.963627597141 -231.956411817409</t>
  </si>
  <si>
    <t>-437.123785079406 181.444993811785 -218.101757416649</t>
  </si>
  <si>
    <t>-612.255103128405 120.810581942322 -98.2420888894043</t>
  </si>
  <si>
    <t>-631.076168269266 135.313306335811 316.653106365373</t>
  </si>
  <si>
    <t>-671.748206642444 177.654174621218 775.951002424295</t>
  </si>
  <si>
    <t>-521.227730457793 181.743253589253 832.613860049688</t>
  </si>
  <si>
    <t>-607.103315058072 -78.2836849946771 321.337766689318</t>
  </si>
  <si>
    <t>-653.929722837197 -104.515946646388 781.309152638775</t>
  </si>
  <si>
    <t>-499.64828265697 -116.445033646049 825.340455994353</t>
  </si>
  <si>
    <t>9763-20170724T115650.259084900.bin</t>
  </si>
  <si>
    <t>-609.33776516586 28.5386327370459 -94.3957749255748</t>
  </si>
  <si>
    <t>-631.926083341332 25.2102036931969 -202.729465780657</t>
  </si>
  <si>
    <t>-641.626865994316 23.0218278473876 -295.070862412566</t>
  </si>
  <si>
    <t>-647.579085172011 21.2350887672446 -378.734011927447</t>
  </si>
  <si>
    <t>-650.142828993425 19.6275339307263 -462.572964072335</t>
  </si>
  <si>
    <t>-650.169763435881 17.4534330117056 -585.211557582081</t>
  </si>
  <si>
    <t>-626.845724463521 16.0355134020895 -660.005745576314</t>
  </si>
  <si>
    <t>-650.200530159474 49.7636989405266 -531.954733149457</t>
  </si>
  <si>
    <t>-624.060429994146 201.65670661044 -507.839045538682</t>
  </si>
  <si>
    <t>-658.040230387514 252.650084657162 -232.478243092576</t>
  </si>
  <si>
    <t>-437.295146483631 181.784006538522 -218.401923338365</t>
  </si>
  <si>
    <t>-612.738378578066 120.946997374462 -98.2072116370935</t>
  </si>
  <si>
    <t>-631.468002643682 135.433857035592 316.692689874331</t>
  </si>
  <si>
    <t>-671.767454214726 177.685512567427 776.000492595342</t>
  </si>
  <si>
    <t>-521.231925346414 181.57327342154 832.637563933703</t>
  </si>
  <si>
    <t>-607.340223469043 -78.1251815753271 321.344313608449</t>
  </si>
  <si>
    <t>-653.917412021463 -104.510566756515 781.315647095323</t>
  </si>
  <si>
    <t>-499.649464281542 -116.571665092131 825.358254193334</t>
  </si>
  <si>
    <t>9763-20170724T115650.324850800.bin</t>
  </si>
  <si>
    <t>-610.525131779262 28.8868812294972 -94.4154469873821</t>
  </si>
  <si>
    <t>-632.773152316402 25.5172800371149 -202.818303994963</t>
  </si>
  <si>
    <t>-642.123495662743 23.3429226022445 -295.196235571998</t>
  </si>
  <si>
    <t>-647.733650922872 21.583928526321 -378.883499993361</t>
  </si>
  <si>
    <t>-649.92962979526 20.0205369090202 -462.733815074005</t>
  </si>
  <si>
    <t>-649.391333142899 17.9272168393525 -585.37250513221</t>
  </si>
  <si>
    <t>-625.91302019328 14.9398308102047 -660.072190400923</t>
  </si>
  <si>
    <t>-649.730711795409 50.2021555506656 -532.095359756579</t>
  </si>
  <si>
    <t>-624.26090838729 202.223664787219 -508.034528735697</t>
  </si>
  <si>
    <t>-658.37777969053 254.089792014848 -232.853720815204</t>
  </si>
  <si>
    <t>-437.804176961054 182.849488471655 -217.999985165416</t>
  </si>
  <si>
    <t>-614.217878127347 121.27514665025 -98.2404381441554</t>
  </si>
  <si>
    <t>-632.57951802297 135.776492163547 316.675452754012</t>
  </si>
  <si>
    <t>-671.825456901421 177.745156247483 776.147115622025</t>
  </si>
  <si>
    <t>-521.244600558349 181.64538108141 832.662788477715</t>
  </si>
  <si>
    <t>-607.90295835786 -77.6523524786498 321.300995890854</t>
  </si>
  <si>
    <t>-653.895199471092 -104.474452143868 781.319556175494</t>
  </si>
  <si>
    <t>-499.61237977419 -116.359255117919 825.358008030135</t>
  </si>
  <si>
    <t>9763-20170724T115650.391029300.bin</t>
  </si>
  <si>
    <t>-611.672196196706 28.9417632980685 -94.5391453577088</t>
  </si>
  <si>
    <t>-633.768401980408 25.5689589678905 -202.972825906062</t>
  </si>
  <si>
    <t>-643.125575379908 23.4287036222738 -295.350862606684</t>
  </si>
  <si>
    <t>-648.796790283271 21.7190287109354 -379.035120362695</t>
  </si>
  <si>
    <t>-651.108889813687 20.2252375128476 -462.883565724196</t>
  </si>
  <si>
    <t>-650.800629158249 18.258009258403 -585.525237709323</t>
  </si>
  <si>
    <t>-627.800417189764 13.4632231370044 -660.279433337121</t>
  </si>
  <si>
    <t>-651.074449970345 50.4779705538704 -532.214463699127</t>
  </si>
  <si>
    <t>-626.159633685037 202.610046227417 -508.254966223184</t>
  </si>
  <si>
    <t>-660.586645081517 254.161660461335 -233.053566203936</t>
  </si>
  <si>
    <t>-440.244627280795 182.482133868997 -216.929758751074</t>
  </si>
  <si>
    <t>-615.221130508218 121.477469065387 -98.3237052720559</t>
  </si>
  <si>
    <t>-633.164913395858 136.02674270355 316.608792642832</t>
  </si>
  <si>
    <t>-671.863035985532 177.895762271221 776.215357540382</t>
  </si>
  <si>
    <t>-521.241019740714 181.635617089368 832.632062427506</t>
  </si>
  <si>
    <t>-608.529607497229 -77.1489047454295 321.262646190121</t>
  </si>
  <si>
    <t>-653.882190801272 -104.433804100213 781.331808874398</t>
  </si>
  <si>
    <t>-499.596992876199 -116.310226061108 825.364115969535</t>
  </si>
  <si>
    <t>9763-20170724T115650.426657000.bin</t>
  </si>
  <si>
    <t>-612.080959506891 28.9791974709569 -94.5982905234081</t>
  </si>
  <si>
    <t>-634.145559416599 25.6766085170834 -203.040715357696</t>
  </si>
  <si>
    <t>-643.460571273426 23.5333222527836 -295.42283928117</t>
  </si>
  <si>
    <t>-649.087947473977 21.8003136070511 -379.109525416068</t>
  </si>
  <si>
    <t>-651.350733091377 20.2624104837391 -462.958494877341</t>
  </si>
  <si>
    <t>-650.964553114709 18.2093433419464 -585.59847259805</t>
  </si>
  <si>
    <t>-628.313189523039 12.5452803701451 -660.398553206454</t>
  </si>
  <si>
    <t>-651.233299718566 50.4670085432413 -532.310300212724</t>
  </si>
  <si>
    <t>-626.325254501982 202.592292689495 -508.36921624118</t>
  </si>
  <si>
    <t>-661.501493396283 254.479948375391 -233.325780738589</t>
  </si>
  <si>
    <t>-441.389216995776 182.255037814881 -216.512789311863</t>
  </si>
  <si>
    <t>-615.333797949028 121.668853545514 -98.3572461509117</t>
  </si>
  <si>
    <t>-633.290175751806 136.050110771593 316.580465509035</t>
  </si>
  <si>
    <t>-671.867303427874 177.97146511449 776.202853185797</t>
  </si>
  <si>
    <t>-521.231671954846 181.517115895098 832.595733059875</t>
  </si>
  <si>
    <t>-608.941473063211 -76.9511286926454 321.221626644066</t>
  </si>
  <si>
    <t>-653.879245488247 -104.46922500883 781.337938995027</t>
  </si>
  <si>
    <t>-499.623796462805 -116.736185040805 825.367539921276</t>
  </si>
  <si>
    <t>9763-20170724T115650.458742700.bin</t>
  </si>
  <si>
    <t>-612.376236084762 29.0807439045545 -94.6339482931409</t>
  </si>
  <si>
    <t>-634.530785663701 25.85886020259 -203.060416336067</t>
  </si>
  <si>
    <t>-643.790555849304 23.7191935425467 -295.448346518853</t>
  </si>
  <si>
    <t>-649.315256537109 21.9678960961987 -379.14135063074</t>
  </si>
  <si>
    <t>-651.422553001773 20.3887121514131 -462.993645881942</t>
  </si>
  <si>
    <t>-650.751429559011 18.2508993906538 -585.631003826239</t>
  </si>
  <si>
    <t>-628.463419153086 11.9329794554317 -660.487830513736</t>
  </si>
  <si>
    <t>-651.053833361397 50.5454679896734 -532.365526326205</t>
  </si>
  <si>
    <t>-625.868968596454 202.623494321253 -508.419765882912</t>
  </si>
  <si>
    <t>-662.425892396776 255.206174466496 -233.688504146356</t>
  </si>
  <si>
    <t>-442.576066690111 182.454561988428 -215.750188221622</t>
  </si>
  <si>
    <t>-615.288056134839 121.897740505451 -98.4145263938486</t>
  </si>
  <si>
    <t>-633.323224034567 136.099738346341 316.525977073071</t>
  </si>
  <si>
    <t>-671.882021893153 177.966480154218 776.17993876093</t>
  </si>
  <si>
    <t>-521.237721572702 181.420212418176 832.555468398152</t>
  </si>
  <si>
    <t>-609.300687332059 -76.6595156491212 321.183807432891</t>
  </si>
  <si>
    <t>-653.880121151912 -104.446254752257 781.335560848237</t>
  </si>
  <si>
    <t>-499.600507669672 -116.520873058921 825.333643153893</t>
  </si>
  <si>
    <t>9763-20170724T115650.525857700.bin</t>
  </si>
  <si>
    <t>-613.056887115144 29.2482716368547 -94.698070656127</t>
  </si>
  <si>
    <t>-635.519068328646 26.0996663359754 -203.063406820036</t>
  </si>
  <si>
    <t>-644.755747064515 23.9795826901834 -295.453965932601</t>
  </si>
  <si>
    <t>-650.144774419875 22.2349300773456 -379.156027181322</t>
  </si>
  <si>
    <t>-652.001395834822 20.6463994020323 -463.014165480052</t>
  </si>
  <si>
    <t>-650.837777270108 18.4770210088454 -585.647068859276</t>
  </si>
  <si>
    <t>-629.22329030562 11.4723862224462 -660.640148519695</t>
  </si>
  <si>
    <t>-651.149498081246 50.7846325849719 -532.389525983037</t>
  </si>
  <si>
    <t>-625.406880690582 202.805927546894 -508.649906664171</t>
  </si>
  <si>
    <t>-665.932696518737 257.055427878816 -234.801034382386</t>
  </si>
  <si>
    <t>-446.882487767555 183.131830492173 -212.421451873242</t>
  </si>
  <si>
    <t>-615.416507451475 122.250854432395 -98.5490866634193</t>
  </si>
  <si>
    <t>-632.982826569515 136.185768594909 316.420591047277</t>
  </si>
  <si>
    <t>-671.870121297006 178.025102705886 776.084302506724</t>
  </si>
  <si>
    <t>-521.22973288302 181.465861103246 832.47103749833</t>
  </si>
  <si>
    <t>-609.645076323448 -75.9417036391728 321.183388381486</t>
  </si>
  <si>
    <t>-653.922231368653 -104.389895136894 781.33193753202</t>
  </si>
  <si>
    <t>-499.616964352463 -116.495626607699 825.231412602812</t>
  </si>
  <si>
    <t>9763-20170724T115650.556940200.bin</t>
  </si>
  <si>
    <t>-613.354590929656 29.3814968964473 -94.7185334115399</t>
  </si>
  <si>
    <t>-635.967994528753 26.2214378474166 -203.052036930195</t>
  </si>
  <si>
    <t>-645.188362767481 24.1126468596601 -295.444541281058</t>
  </si>
  <si>
    <t>-650.503989885927 22.3855106030621 -379.151672008505</t>
  </si>
  <si>
    <t>-652.228233476256 20.8195757716621 -463.012910451095</t>
  </si>
  <si>
    <t>-650.806472095023 18.6875619811149 -585.643894559856</t>
  </si>
  <si>
    <t>-629.494637590828 11.466469510576 -660.70309814166</t>
  </si>
  <si>
    <t>-651.155310897308 50.9784531154558 -532.376460368534</t>
  </si>
  <si>
    <t>-625.266985754247 202.982059602114 -508.637957371255</t>
  </si>
  <si>
    <t>-667.921062588862 258.134130306462 -235.293042926602</t>
  </si>
  <si>
    <t>-449.313847816523 183.696739709941 -210.423610113596</t>
  </si>
  <si>
    <t>-615.704141351946 122.429204792979 -98.5853591759825</t>
  </si>
  <si>
    <t>-633.063373543242 136.227075045923 316.397655491862</t>
  </si>
  <si>
    <t>-671.863378856167 178.100966579361 776.052631791576</t>
  </si>
  <si>
    <t>-521.215449588512 181.307254774724 832.432868740846</t>
  </si>
  <si>
    <t>-609.771393817402 -75.6021174139519 321.194479371025</t>
  </si>
  <si>
    <t>-653.954612261167 -104.36706668859 781.321820856461</t>
  </si>
  <si>
    <t>-499.630909453768 -116.462433497361 825.159338676596</t>
  </si>
  <si>
    <t>9763-20170724T115650.623125800.bin</t>
  </si>
  <si>
    <t>-613.980708245413 29.3629497623692 -94.7454415518171</t>
  </si>
  <si>
    <t>-636.817322597016 26.1455064049296 -203.030524504201</t>
  </si>
  <si>
    <t>-646.008206649829 24.0526120897171 -295.426157714632</t>
  </si>
  <si>
    <t>-651.207988349098 22.3599083931974 -379.141353652909</t>
  </si>
  <si>
    <t>-652.726583101422 20.8451849555991 -463.007607086038</t>
  </si>
  <si>
    <t>-650.905709547807 18.8026049977768 -585.634804911151</t>
  </si>
  <si>
    <t>-630.022379281677 11.3006606765789 -660.786785207228</t>
  </si>
  <si>
    <t>-651.358250696298 51.0539716306519 -532.344088505352</t>
  </si>
  <si>
    <t>-625.416569721474 203.040396110999 -508.548016942603</t>
  </si>
  <si>
    <t>-671.9220407186 258.918549302151 -235.979761333404</t>
  </si>
  <si>
    <t>-454.009196272894 184.134768632409 -206.485430496705</t>
  </si>
  <si>
    <t>-616.585405289547 122.261248769686 -98.602881170779</t>
  </si>
  <si>
    <t>-633.662211201895 136.168102822748 316.388191813497</t>
  </si>
  <si>
    <t>-671.892567914504 178.112213551053 776.044160125036</t>
  </si>
  <si>
    <t>-521.206064943937 181.057882117812 832.335585928771</t>
  </si>
  <si>
    <t>-610.005046421684 -75.1327851327544 321.202549183718</t>
  </si>
  <si>
    <t>-654.020820088696 -104.296269560555 781.294510522124</t>
  </si>
  <si>
    <t>-499.658748074658 -116.338764094259 825.011346989784</t>
  </si>
  <si>
    <t>9763-20170724T115650.656214600.bin</t>
  </si>
  <si>
    <t>-614.358728571096 29.252504974789 -94.7643580144946</t>
  </si>
  <si>
    <t>-637.233738784054 26.0149872223949 -203.040644934041</t>
  </si>
  <si>
    <t>-646.401462722834 23.9571740925985 -295.439409999246</t>
  </si>
  <si>
    <t>-651.557427502126 22.3129209071856 -379.158297242366</t>
  </si>
  <si>
    <t>-653.008954927389 20.8626297519945 -463.026878753113</t>
  </si>
  <si>
    <t>-651.06443433766 18.9301427149601 -585.65399821579</t>
  </si>
  <si>
    <t>-630.287197051503 11.3425131113438 -660.826815086225</t>
  </si>
  <si>
    <t>-651.57472999432 51.1335705671715 -532.334924114283</t>
  </si>
  <si>
    <t>-625.765627602143 203.119476329401 -508.407749764822</t>
  </si>
  <si>
    <t>-673.859377903356 258.815648182466 -236.078041746987</t>
  </si>
  <si>
    <t>-456.208431171299 183.939487935342 -204.93055613349</t>
  </si>
  <si>
    <t>-617.186450123035 122.10384973284 -98.6234881086266</t>
  </si>
  <si>
    <t>-634.108194810687 136.057568858775 316.372324329689</t>
  </si>
  <si>
    <t>-671.921301374896 178.03464444271 776.059902070664</t>
  </si>
  <si>
    <t>-521.218169219523 181.18486246669 832.295624667526</t>
  </si>
  <si>
    <t>-610.125444011504 -75.0531134274588 321.175732095961</t>
  </si>
  <si>
    <t>-654.04960994149 -104.295573855995 781.275286181749</t>
  </si>
  <si>
    <t>-499.668108369724 -116.294710014815 824.935281556295</t>
  </si>
  <si>
    <t>9763-20170724T115650.722952000.bin</t>
  </si>
  <si>
    <t>-615.098158181783 29.1961414311681 -94.7711109156165</t>
  </si>
  <si>
    <t>-638.046322987665 25.9253844214254 -203.030956804853</t>
  </si>
  <si>
    <t>-647.172124451658 23.9849844347332 -295.436496682129</t>
  </si>
  <si>
    <t>-652.247049977889 22.499028777735 -379.163301840889</t>
  </si>
  <si>
    <t>-653.573731060018 21.2596532899399 -463.037240549361</t>
  </si>
  <si>
    <t>-651.398544395657 19.6908845487767 -585.665660033563</t>
  </si>
  <si>
    <t>-630.641949921172 12.0605282893262 -660.839767070092</t>
  </si>
  <si>
    <t>-652.083273189569 51.736723228533 -532.253682699908</t>
  </si>
  <si>
    <t>-626.722381177391 203.72055334565 -507.856282186946</t>
  </si>
  <si>
    <t>-676.853537215668 258.594968012212 -235.727089867026</t>
  </si>
  <si>
    <t>-459.402426329636 183.985045276668 -202.607605758193</t>
  </si>
  <si>
    <t>-618.384949232919 121.846289011011 -98.6031181686777</t>
  </si>
  <si>
    <t>-634.770218085655 136.04229706254 316.406032008191</t>
  </si>
  <si>
    <t>-671.923905263852 178.034581897888 776.123994602166</t>
  </si>
  <si>
    <t>-521.197796249581 181.113366841896 832.30209330384</t>
  </si>
  <si>
    <t>-610.246637232441 -74.9570107576701 321.123922189924</t>
  </si>
  <si>
    <t>-654.09868441094 -104.267860479227 781.230995210696</t>
  </si>
  <si>
    <t>-499.668471105848 -115.929396192873 824.810181833033</t>
  </si>
  <si>
    <t>9763-20170724T115650.757042300.bin</t>
  </si>
  <si>
    <t>-615.508477031407 29.0908761438257 -94.7832827163955</t>
  </si>
  <si>
    <t>-638.47101236135 25.8107247996657 -203.039709141999</t>
  </si>
  <si>
    <t>-647.547004038974 23.9453070666589 -295.451752326607</t>
  </si>
  <si>
    <t>-652.551244068686 22.5574819535709 -379.184522625165</t>
  </si>
  <si>
    <t>-653.781371239946 21.4469029004647 -463.061680480225</t>
  </si>
  <si>
    <t>-651.436248134245 20.100144402697 -585.689606151956</t>
  </si>
  <si>
    <t>-630.593316544213 12.5247921594118 -660.845469276149</t>
  </si>
  <si>
    <t>-652.255436411869 52.0498029129972 -532.221954399496</t>
  </si>
  <si>
    <t>-627.142820592453 204.019357115578 -507.517774510336</t>
  </si>
  <si>
    <t>-677.848793055785 258.307844704119 -235.37752950956</t>
  </si>
  <si>
    <t>-460.359824912961 184.06727417617 -201.681671003799</t>
  </si>
  <si>
    <t>-619.078388913595 121.633202978114 -98.5700814239491</t>
  </si>
  <si>
    <t>-635.089017533875 135.923835986954 316.450425564884</t>
  </si>
  <si>
    <t>-671.943458725971 177.930252530615 776.173210692204</t>
  </si>
  <si>
    <t>-521.212143734229 181.194106628415 832.326993734702</t>
  </si>
  <si>
    <t>-610.301423148636 -75.0138026932418 321.09490604543</t>
  </si>
  <si>
    <t>-654.115958209522 -104.269792768966 781.211936623271</t>
  </si>
  <si>
    <t>-499.668204790134 -115.806216967534 824.762198966118</t>
  </si>
  <si>
    <t>9763-20170724T115650.826236100.bin</t>
  </si>
  <si>
    <t>-616.214380181701 28.9296878468958 -94.6927969925316</t>
  </si>
  <si>
    <t>-639.056404809945 25.6131284373987 -202.973743990548</t>
  </si>
  <si>
    <t>-647.935022492252 23.8918278299243 -295.407687157375</t>
  </si>
  <si>
    <t>-652.721146428744 22.6982475625266 -379.156119808991</t>
  </si>
  <si>
    <t>-653.692860207549 21.8467458239079 -463.039834873391</t>
  </si>
  <si>
    <t>-650.925606087709 20.9483965346235 -585.662912216576</t>
  </si>
  <si>
    <t>-629.920338325668 13.5145667209463 -660.787705042151</t>
  </si>
  <si>
    <t>-652.035104312852 52.702691876266 -532.084434859716</t>
  </si>
  <si>
    <t>-627.296446398507 204.635242855617 -506.716525221321</t>
  </si>
  <si>
    <t>-678.650494959732 257.742488437357 -234.464807164564</t>
  </si>
  <si>
    <t>-460.865658546072 184.547204751625 -200.395131360326</t>
  </si>
  <si>
    <t>-620.192523312385 121.18060420542 -98.4437997396872</t>
  </si>
  <si>
    <t>-635.898718953098 135.912303909856 316.572896282722</t>
  </si>
  <si>
    <t>-671.954653478728 177.969463115142 776.323484924788</t>
  </si>
  <si>
    <t>-521.192424107877 181.137328021119 832.399682202855</t>
  </si>
  <si>
    <t>-610.550105243771 -75.2091714647238 321.078858246661</t>
  </si>
  <si>
    <t>-654.145863264804 -104.326827683456 781.192969316258</t>
  </si>
  <si>
    <t>-499.696115077104 -115.945834317885 824.714331051866</t>
  </si>
  <si>
    <t>9763-20170724T115650.859326400.bin</t>
  </si>
  <si>
    <t>-616.537508102508 28.8076348804159 -94.6455986979668</t>
  </si>
  <si>
    <t>-639.331821718789 25.4769207830911 -202.936114518036</t>
  </si>
  <si>
    <t>-648.155285227269 23.8199867023741 -295.376488585031</t>
  </si>
  <si>
    <t>-652.885111035133 22.7127895703418 -379.12936377906</t>
  </si>
  <si>
    <t>-653.793837416979 21.9767362607356 -463.014799238629</t>
  </si>
  <si>
    <t>-650.927044908853 21.2785187392728 -585.637076770606</t>
  </si>
  <si>
    <t>-629.887830311818 13.958393726426 -660.763510125625</t>
  </si>
  <si>
    <t>-652.131211377629 52.9454462543115 -532.008806868745</t>
  </si>
  <si>
    <t>-627.668500519431 204.871815534208 -506.37647851237</t>
  </si>
  <si>
    <t>-678.960878592538 257.386479406631 -233.998331946487</t>
  </si>
  <si>
    <t>-461.000259170128 184.725827114919 -199.908018909639</t>
  </si>
  <si>
    <t>-620.695477906516 120.980076319901 -98.3852253996386</t>
  </si>
  <si>
    <t>-636.207626480283 135.914816323673 316.631585048413</t>
  </si>
  <si>
    <t>-671.948330607767 178.023550949272 776.390930121563</t>
  </si>
  <si>
    <t>-521.173273817773 181.08399943073 832.438530888384</t>
  </si>
  <si>
    <t>-610.653530981149 -75.3140067105981 321.075623508486</t>
  </si>
  <si>
    <t>-654.154807167457 -104.292101916182 781.189196305105</t>
  </si>
  <si>
    <t>-499.660473806142 -115.405746233665 824.684162455831</t>
  </si>
  <si>
    <t>9763-20170724T115650.926343000.bin</t>
  </si>
  <si>
    <t>-617.041172971555 28.468274092204 -94.575546365342</t>
  </si>
  <si>
    <t>-639.777555878748 25.1564472238954 -202.878749633604</t>
  </si>
  <si>
    <t>-648.558851674294 23.6280800914337 -295.325324102766</t>
  </si>
  <si>
    <t>-653.252899352176 22.6813349062552 -379.082266828738</t>
  </si>
  <si>
    <t>-654.127928440817 22.1523917333636 -462.969659429835</t>
  </si>
  <si>
    <t>-651.213991942498 21.8085275275814 -585.592338161649</t>
  </si>
  <si>
    <t>-630.128550142257 14.7318956998856 -660.729019000803</t>
  </si>
  <si>
    <t>-652.534750735312 53.3203894942092 -531.875446997053</t>
  </si>
  <si>
    <t>-628.621140791411 205.297798531166 -506.006351231618</t>
  </si>
  <si>
    <t>-679.564627712768 256.924719708255 -233.393055429547</t>
  </si>
  <si>
    <t>-461.299549456943 185.093109294767 -199.494532265525</t>
  </si>
  <si>
    <t>-621.405685644446 120.636953441715 -98.2788460812696</t>
  </si>
  <si>
    <t>-636.62393103623 135.775696665673 316.741469300813</t>
  </si>
  <si>
    <t>-671.95339658897 178.02095085257 776.515054672428</t>
  </si>
  <si>
    <t>-521.16120872181 181.133477426039 832.513694204529</t>
  </si>
  <si>
    <t>-610.889692167733 -75.5511148686103 321.071458905824</t>
  </si>
  <si>
    <t>-654.170840643848 -104.332347650732 781.192167033925</t>
  </si>
  <si>
    <t>-499.689649327729 -115.637169193203 824.684481863536</t>
  </si>
  <si>
    <t>9763-20170724T115650.958432600.bin</t>
  </si>
  <si>
    <t>-617.1509700356 28.3136694006018 -94.5809478358394</t>
  </si>
  <si>
    <t>-639.907749872802 25.0211063377192 -202.880426493773</t>
  </si>
  <si>
    <t>-648.695120461753 23.5422719381415 -295.327386992051</t>
  </si>
  <si>
    <t>-653.390052607557 22.6542193488074 -379.084876360108</t>
  </si>
  <si>
    <t>-654.261316756867 22.1986453619661 -462.972725447238</t>
  </si>
  <si>
    <t>-651.336614596632 21.9790758464828 -585.595393592999</t>
  </si>
  <si>
    <t>-630.250451562942 14.990710232237 -660.740119102388</t>
  </si>
  <si>
    <t>-652.692010113488 53.4365248045276 -531.847495583879</t>
  </si>
  <si>
    <t>-629.028208784486 205.440200027949 -505.929014870312</t>
  </si>
  <si>
    <t>-679.809484398279 256.833631973557 -233.241278820393</t>
  </si>
  <si>
    <t>-461.344038397472 185.643547369924 -199.280379974977</t>
  </si>
  <si>
    <t>-621.518504885417 120.488796341579 -98.2415970342969</t>
  </si>
  <si>
    <t>-636.678978053432 135.680407158568 316.778769010483</t>
  </si>
  <si>
    <t>-671.950706361139 178.00606190699 776.552879574925</t>
  </si>
  <si>
    <t>-521.155133029457 181.090456572617 832.543928161897</t>
  </si>
  <si>
    <t>-610.950134859147 -75.6489097243539 321.067772173665</t>
  </si>
  <si>
    <t>-654.170311539932 -104.328248877769 781.197348093405</t>
  </si>
  <si>
    <t>-499.68513968515 -115.569341966767 824.692114604125</t>
  </si>
  <si>
    <t>9763-20170724T115651.023125500.bin</t>
  </si>
  <si>
    <t>-617.247375794622 28.1437047696402 -94.5921847761907</t>
  </si>
  <si>
    <t>-640.015053930684 24.8868700213532 -202.890505381864</t>
  </si>
  <si>
    <t>-648.806340011473 23.5012240967674 -295.338504368907</t>
  </si>
  <si>
    <t>-653.50250321008 22.7246718800536 -379.096962154691</t>
  </si>
  <si>
    <t>-654.372739012595 22.4091087815686 -462.98533280154</t>
  </si>
  <si>
    <t>-651.44402660193 22.4262273872178 -585.608176639919</t>
  </si>
  <si>
    <t>-630.36375684806 15.543367015867 -660.764435426078</t>
  </si>
  <si>
    <t>-652.8394629728 53.7797689383617 -531.800628286731</t>
  </si>
  <si>
    <t>-629.369968764019 205.778353201935 -505.66642611878</t>
  </si>
  <si>
    <t>-680.394854011361 256.836009112241 -232.961125443063</t>
  </si>
  <si>
    <t>-461.350606831022 188.029610066426 -197.83532689282</t>
  </si>
  <si>
    <t>-621.563596411184 120.37470645529 -98.2100509310767</t>
  </si>
  <si>
    <t>-636.6632486383 135.530795224315 316.813883206638</t>
  </si>
  <si>
    <t>-671.936489722802 177.977387273396 776.607025803067</t>
  </si>
  <si>
    <t>-521.144998860922 181.178896927873 832.602547604071</t>
  </si>
  <si>
    <t>-610.956248220463 -75.7532521757621 321.043775345194</t>
  </si>
  <si>
    <t>-654.175101842255 -104.350500023041 781.20529791163</t>
  </si>
  <si>
    <t>-499.669753128813 -115.351235651107 824.689883574888</t>
  </si>
  <si>
    <t>9763-20170724T115651.091811800.bin</t>
  </si>
  <si>
    <t>-617.2359536935 28.1513969857597 -94.5706568868964</t>
  </si>
  <si>
    <t>-640.062712614607 24.9162282325624 -202.857056579768</t>
  </si>
  <si>
    <t>-648.853354880324 23.61273855544 -295.30635059153</t>
  </si>
  <si>
    <t>-653.528203812034 22.9374292328821 -379.066925082494</t>
  </si>
  <si>
    <t>-654.35615123786 22.7508341032569 -462.956256347765</t>
  </si>
  <si>
    <t>-651.342689007762 22.9870220286914 -585.576657578039</t>
  </si>
  <si>
    <t>-630.1873999038 16.1549284366695 -660.716494982819</t>
  </si>
  <si>
    <t>-652.785533699892 54.2443888422913 -531.71439964225</t>
  </si>
  <si>
    <t>-629.316132318518 206.207735270944 -505.37089294028</t>
  </si>
  <si>
    <t>-681.015716305431 256.988254733329 -232.740937809536</t>
  </si>
  <si>
    <t>-461.679832526398 190.203711640761 -195.591010242787</t>
  </si>
  <si>
    <t>-621.478772200255 120.447680350958 -98.1712387697355</t>
  </si>
  <si>
    <t>-636.570492587048 135.541158180941 316.855290673672</t>
  </si>
  <si>
    <t>-671.923343426876 177.980440972768 776.648980389398</t>
  </si>
  <si>
    <t>-521.132449301164 181.169602148579 832.646876757092</t>
  </si>
  <si>
    <t>-610.885133166263 -75.7611027549992 321.0588928741</t>
  </si>
  <si>
    <t>-654.177916493057 -104.372681262918 781.213711531721</t>
  </si>
  <si>
    <t>-499.685828165873 -115.513644495785 824.709663588629</t>
  </si>
  <si>
    <t>9763-20170724T115651.126916200.bin</t>
  </si>
  <si>
    <t>-617.222910590373 28.2401017875018 -94.5603880127989</t>
  </si>
  <si>
    <t>-640.064876934477 25.0092670408451 -202.843857409531</t>
  </si>
  <si>
    <t>-648.839219619431 23.7284141709731 -295.294884489211</t>
  </si>
  <si>
    <t>-653.48759387583 23.0813986751732 -379.057196966792</t>
  </si>
  <si>
    <t>-654.277110239879 22.9312043903578 -462.946927016093</t>
  </si>
  <si>
    <t>-651.194431702493 23.2296742915662 -585.565646942706</t>
  </si>
  <si>
    <t>-629.985787032623 16.4126241389845 -660.691710234868</t>
  </si>
  <si>
    <t>-652.661685486381 54.4596242291909 -531.688182496568</t>
  </si>
  <si>
    <t>-629.154495782081 206.406202434433 -505.293782051529</t>
  </si>
  <si>
    <t>-681.263744429744 257.14963622598 -232.734988958878</t>
  </si>
  <si>
    <t>-461.850646483467 191.142194690229 -194.66336948106</t>
  </si>
  <si>
    <t>-621.408243359932 120.570122863899 -98.1605033103672</t>
  </si>
  <si>
    <t>-636.526065593762 135.580449195235 316.86805174901</t>
  </si>
  <si>
    <t>-671.927638710195 177.949266669273 776.671876483022</t>
  </si>
  <si>
    <t>-521.133335304285 181.108380884316 832.662243096717</t>
  </si>
  <si>
    <t>-610.872143957952 -75.6956237872503 321.074617871601</t>
  </si>
  <si>
    <t>-654.18021619265 -104.378248913279 781.217196153548</t>
  </si>
  <si>
    <t>-499.699613266589 -115.660074377018 824.717652656577</t>
  </si>
  <si>
    <t>9763-20170724T115651.159996300.bin</t>
  </si>
  <si>
    <t>-617.22373295319 28.32878012837 -94.5550099699919</t>
  </si>
  <si>
    <t>-640.071660076736 25.1014041754827 -202.837194798095</t>
  </si>
  <si>
    <t>-648.84458284608 23.8392163237013 -295.288727147397</t>
  </si>
  <si>
    <t>-653.488852527601 23.2165771215693 -379.051289403445</t>
  </si>
  <si>
    <t>-654.271584417051 23.097867167003 -462.941169852918</t>
  </si>
  <si>
    <t>-651.175962830871 23.4503469993706 -585.559461282391</t>
  </si>
  <si>
    <t>-629.919255835574 16.654538566786 -660.673916077556</t>
  </si>
  <si>
    <t>-652.6427291941 54.6565629262768 -531.668238903232</t>
  </si>
  <si>
    <t>-629.132111618918 206.60378934037 -505.292056872225</t>
  </si>
  <si>
    <t>-681.569129336436 257.382055617036 -232.802567531887</t>
  </si>
  <si>
    <t>-461.928818618049 192.746390361096 -193.701457657392</t>
  </si>
  <si>
    <t>-621.342966729895 120.681290716414 -98.1596944849426</t>
  </si>
  <si>
    <t>-636.519308731381 135.607679272485 316.869838886758</t>
  </si>
  <si>
    <t>-671.923454522272 177.953920527474 776.680092984088</t>
  </si>
  <si>
    <t>-521.12876796708 181.184183100271 832.665326430445</t>
  </si>
  <si>
    <t>-610.877894266252 -75.6344689367941 321.085299630432</t>
  </si>
  <si>
    <t>-654.182660103035 -104.372629338264 781.218908354095</t>
  </si>
  <si>
    <t>-499.704863108039 -115.698246194047 824.717950870778</t>
  </si>
  <si>
    <t>9763-20170724T115651.224709300.bin</t>
  </si>
  <si>
    <t>-617.160618798629 28.496134853003 -94.5534201480709</t>
  </si>
  <si>
    <t>-640.037532928139 25.2790379043258 -202.82989469459</t>
  </si>
  <si>
    <t>-648.819269867462 24.0397192760436 -295.28082207502</t>
  </si>
  <si>
    <t>-653.4652899778 23.4448435820418 -379.043512210572</t>
  </si>
  <si>
    <t>-654.243494882182 23.3613398550231 -462.933555037662</t>
  </si>
  <si>
    <t>-651.134374708492 23.774421372068 -585.551231757657</t>
  </si>
  <si>
    <t>-629.788858998162 16.9740557434227 -660.640088106969</t>
  </si>
  <si>
    <t>-652.605715050066 54.9541221424161 -531.644662701004</t>
  </si>
  <si>
    <t>-629.197308435727 206.928903134888 -505.292095145291</t>
  </si>
  <si>
    <t>-681.944839980794 257.603686500445 -232.843233508645</t>
  </si>
  <si>
    <t>-461.530656101886 195.70367852614 -193.670392636585</t>
  </si>
  <si>
    <t>-621.167985850861 120.921607742429 -98.1612289298861</t>
  </si>
  <si>
    <t>-636.452673532928 135.719785220181 316.868866803239</t>
  </si>
  <si>
    <t>-671.904682970806 178.027475594533 776.687812999654</t>
  </si>
  <si>
    <t>-521.104450188635 181.045243699228 832.670029603444</t>
  </si>
  <si>
    <t>-610.924667921958 -75.5425750681002 321.08988338512</t>
  </si>
  <si>
    <t>-654.183622040815 -104.383393107249 781.230811944021</t>
  </si>
  <si>
    <t>-499.719463352267 -115.855284399774 824.739900229772</t>
  </si>
  <si>
    <t>9763-20170724T115651.290904300.bin</t>
  </si>
  <si>
    <t>-617.187375686512 28.6217182010705 -94.5454099263956</t>
  </si>
  <si>
    <t>-640.06461876822 25.3995062080505 -202.821625927838</t>
  </si>
  <si>
    <t>-648.844523354099 24.1623128882852 -295.272791399865</t>
  </si>
  <si>
    <t>-653.487989974333 23.5725341647387 -379.035695188976</t>
  </si>
  <si>
    <t>-654.262847951253 23.4972133813169 -462.925688186227</t>
  </si>
  <si>
    <t>-651.147939046899 23.9259108290855 -585.543215311167</t>
  </si>
  <si>
    <t>-629.728426194838 17.0001683321407 -660.599462933305</t>
  </si>
  <si>
    <t>-652.622754906703 55.0986202454726 -531.632810883318</t>
  </si>
  <si>
    <t>-629.309419171053 207.092489037865 -505.307321674778</t>
  </si>
  <si>
    <t>-682.133723272918 257.70942839495 -232.862551452619</t>
  </si>
  <si>
    <t>-461.340652065954 197.496526023467 -193.197008581178</t>
  </si>
  <si>
    <t>-621.176565455298 121.045614959227 -98.1651782384724</t>
  </si>
  <si>
    <t>-636.488085971804 135.75919901877 316.866881672411</t>
  </si>
  <si>
    <t>-671.915798396552 177.970127192972 776.694786464054</t>
  </si>
  <si>
    <t>-521.116211949684 181.157441695329 832.669351033649</t>
  </si>
  <si>
    <t>-610.922986415715 -75.4701692603396 321.102657692175</t>
  </si>
  <si>
    <t>-654.186713231322 -104.389680576516 781.239847583343</t>
  </si>
  <si>
    <t>-499.728615386786 -115.942166335357 824.74917933092</t>
  </si>
  <si>
    <t>9763-20170724T115651.326085300.bin</t>
  </si>
  <si>
    <t>-617.215177316303 28.6484245273202 -94.5442962513531</t>
  </si>
  <si>
    <t>-640.089939711683 25.4250774397851 -202.821121039177</t>
  </si>
  <si>
    <t>-648.881260470801 24.1835232726985 -295.271170238131</t>
  </si>
  <si>
    <t>-653.540601194874 23.5881501153699 -379.03301623078</t>
  </si>
  <si>
    <t>-654.336865955006 23.505780836854 -462.922822239631</t>
  </si>
  <si>
    <t>-651.259249492461 23.9225301300789 -585.541198216632</t>
  </si>
  <si>
    <t>-629.825836386639 16.9451079475157 -660.588728157653</t>
  </si>
  <si>
    <t>-652.72152563939 55.1004850635954 -531.633559272923</t>
  </si>
  <si>
    <t>-629.46170551284 207.109466780787 -505.364238543246</t>
  </si>
  <si>
    <t>-682.203954793881 257.757934872942 -232.909543097142</t>
  </si>
  <si>
    <t>-461.380098058825 197.942776282436 -192.815911028276</t>
  </si>
  <si>
    <t>-621.223727525368 121.057011721858 -98.164358314216</t>
  </si>
  <si>
    <t>-636.528861252969 135.768851524041 316.868070822823</t>
  </si>
  <si>
    <t>-671.926379506221 177.92507805324 776.701105007835</t>
  </si>
  <si>
    <t>-521.124723401565 181.247188277674 832.662161743267</t>
  </si>
  <si>
    <t>-610.922113517692 -75.4449084101489 321.100422162828</t>
  </si>
  <si>
    <t>-654.189675577091 -104.348726081692 781.238905487574</t>
  </si>
  <si>
    <t>-499.704766541235 -115.595233827492 824.733198641596</t>
  </si>
  <si>
    <t>9763-20170724T115651.359177000.bin</t>
  </si>
  <si>
    <t>-617.232889145536 28.674277337868 -94.5370387013173</t>
  </si>
  <si>
    <t>-640.097405341026 25.4498715565092 -202.815967298506</t>
  </si>
  <si>
    <t>-648.89047408081 24.2082028741131 -295.265830441954</t>
  </si>
  <si>
    <t>-653.555481061429 23.6125984647765 -379.027472796189</t>
  </si>
  <si>
    <t>-654.361512333903 23.5294261236838 -462.917040115531</t>
  </si>
  <si>
    <t>-651.302609585593 23.9441613813281 -585.536057014689</t>
  </si>
  <si>
    <t>-629.858473064539 16.9122846328705 -660.575423613988</t>
  </si>
  <si>
    <t>-652.746908493642 55.1230505680785 -531.628458141634</t>
  </si>
  <si>
    <t>-629.372243722124 207.111722842769 -505.345915751347</t>
  </si>
  <si>
    <t>-682.254555446842 257.674297192994 -232.902312132293</t>
  </si>
  <si>
    <t>-461.337809146037 198.26642508603 -192.714960102185</t>
  </si>
  <si>
    <t>-621.258350701023 121.074432348471 -98.1585643430705</t>
  </si>
  <si>
    <t>-636.577026668369 135.806781170066 316.872676601976</t>
  </si>
  <si>
    <t>-671.925045803687 177.947451052519 776.711302354311</t>
  </si>
  <si>
    <t>-521.117566028617 181.222313063863 832.659388013551</t>
  </si>
  <si>
    <t>-610.924236092279 -75.4367118154457 321.105733295464</t>
  </si>
  <si>
    <t>-654.192180897324 -104.379580747261 781.238539721156</t>
  </si>
  <si>
    <t>-499.742933752971 -116.061493354897 824.74468909209</t>
  </si>
  <si>
    <t>9763-20170724T115651.422914700.bin</t>
  </si>
  <si>
    <t>-617.176205460795 28.7930590817405 -94.5329998694197</t>
  </si>
  <si>
    <t>-639.979594573023 25.5702891405306 -202.824856274802</t>
  </si>
  <si>
    <t>-648.740673511607 24.305460586497 -295.277471098484</t>
  </si>
  <si>
    <t>-653.38498983896 23.6786321806278 -379.040051638067</t>
  </si>
  <si>
    <t>-654.178478797844 23.5540600103868 -462.929779642747</t>
  </si>
  <si>
    <t>-651.110382412727 23.8964293745742 -585.548695172056</t>
  </si>
  <si>
    <t>-629.665381087209 16.7477868869578 -660.576810980604</t>
  </si>
  <si>
    <t>-652.545613025704 55.1071620531727 -531.659173718651</t>
  </si>
  <si>
    <t>-629.209734514695 207.122590202509 -505.485770072106</t>
  </si>
  <si>
    <t>-682.185146753532 257.948814479546 -233.109372493834</t>
  </si>
  <si>
    <t>-461.039802049676 199.610961210509 -192.612922902412</t>
  </si>
  <si>
    <t>-621.174127175431 121.186754246775 -98.1578959267084</t>
  </si>
  <si>
    <t>-636.621420627989 135.889303911877 316.869647470468</t>
  </si>
  <si>
    <t>-671.901013166657 178.066652363244 776.717701300074</t>
  </si>
  <si>
    <t>-521.082620083212 181.185027711004 832.64535848007</t>
  </si>
  <si>
    <t>-610.94286284767 -75.3948640260253 321.11477051286</t>
  </si>
  <si>
    <t>-654.194891566189 -104.382495473907 781.237919052337</t>
  </si>
  <si>
    <t>-499.718363178135 -115.750884079767 824.730299182763</t>
  </si>
  <si>
    <t>9763-20170724T115651.460014900.bin</t>
  </si>
  <si>
    <t>-617.118963068526 28.8110724728342 -94.529025296191</t>
  </si>
  <si>
    <t>-639.889660005872 25.5850443938764 -202.827625932727</t>
  </si>
  <si>
    <t>-648.646554341849 24.3048412855915 -295.280378193495</t>
  </si>
  <si>
    <t>-653.296698170087 23.6586083144855 -379.042525759846</t>
  </si>
  <si>
    <t>-654.105617284386 23.5090511037897 -462.932082106</t>
  </si>
  <si>
    <t>-651.070621419357 23.8086873764219 -585.551974522253</t>
  </si>
  <si>
    <t>-629.633946936772 16.6179900145303 -660.578406174577</t>
  </si>
  <si>
    <t>-652.483600853964 55.0383443403377 -531.672856150609</t>
  </si>
  <si>
    <t>-629.105998573439 207.052237704029 -505.548523620431</t>
  </si>
  <si>
    <t>-682.127890657085 257.98793195403 -233.201642534703</t>
  </si>
  <si>
    <t>-460.921343583027 200.022922981781 -192.504693508819</t>
  </si>
  <si>
    <t>-621.135762536343 121.168011754321 -98.1552967736502</t>
  </si>
  <si>
    <t>-636.614073200025 135.84977048192 316.871760914666</t>
  </si>
  <si>
    <t>-671.909908489996 178.012372861007 776.714564505542</t>
  </si>
  <si>
    <t>-521.092645884046 181.175163960303 832.642837800908</t>
  </si>
  <si>
    <t>-610.922998978091 -75.4057528583055 321.116663682469</t>
  </si>
  <si>
    <t>-654.19527048201 -104.375459871442 781.239280166187</t>
  </si>
  <si>
    <t>-499.720070670541 -115.768992913557 824.729708929238</t>
  </si>
  <si>
    <t>9763-20170724T115651.526201500.bin</t>
  </si>
  <si>
    <t>-616.8263451128 28.8270159956317 -94.5173412476227</t>
  </si>
  <si>
    <t>-639.564111274182 25.577301464308 -202.822195752415</t>
  </si>
  <si>
    <t>-648.340616698223 24.2647667266122 -295.27249601753</t>
  </si>
  <si>
    <t>-653.027369967061 23.5826793933597 -379.032366894113</t>
  </si>
  <si>
    <t>-653.891820213827 23.3891656553312 -462.92135339232</t>
  </si>
  <si>
    <t>-650.95853299651 23.6144317420192 -585.543695910345</t>
  </si>
  <si>
    <t>-629.547723647482 16.3452820607129 -660.570118743346</t>
  </si>
  <si>
    <t>-652.299073220354 54.8767508792394 -531.681712570846</t>
  </si>
  <si>
    <t>-628.820127862861 206.882683430745 -505.600313573385</t>
  </si>
  <si>
    <t>-681.795417329756 258.110067504502 -233.299080400408</t>
  </si>
  <si>
    <t>-460.505407672878 200.665763026888 -192.318415469593</t>
  </si>
  <si>
    <t>-620.902751075973 121.141654706144 -98.14465143563</t>
  </si>
  <si>
    <t>-636.534532965387 135.81273425254 316.877094406204</t>
  </si>
  <si>
    <t>-671.911625825788 177.971781365362 776.708200572351</t>
  </si>
  <si>
    <t>-521.097292784774 181.270677377037 832.636527686156</t>
  </si>
  <si>
    <t>-610.748895090157 -75.4455991873613 321.125786903032</t>
  </si>
  <si>
    <t>-654.200295435555 -104.411524392049 781.239832167714</t>
  </si>
  <si>
    <t>-499.743739049798 -116.066443986157 824.727297454353</t>
  </si>
  <si>
    <t>9763-20170724T115651.560289400.bin</t>
  </si>
  <si>
    <t>-616.62813703567 28.8937407863716 -94.5165491695637</t>
  </si>
  <si>
    <t>-639.357507589709 25.6338581747711 -202.822853895743</t>
  </si>
  <si>
    <t>-648.152022388388 24.3078532436791 -295.271340763448</t>
  </si>
  <si>
    <t>-652.865166693743 23.6105610633483 -379.029551744501</t>
  </si>
  <si>
    <t>-653.766038749931 23.3983948284122 -462.918032037451</t>
  </si>
  <si>
    <t>-650.896873023808 23.5924727803442 -585.542137685752</t>
  </si>
  <si>
    <t>-629.518364844314 16.2760316927008 -660.57299731208</t>
  </si>
  <si>
    <t>-652.199016624336 54.8685636530588 -531.687086007674</t>
  </si>
  <si>
    <t>-628.681595200666 206.870966256843 -505.633458596977</t>
  </si>
  <si>
    <t>-681.544057221065 258.187110645084 -233.326971881768</t>
  </si>
  <si>
    <t>-460.263821227603 200.797155025416 -192.217413638469</t>
  </si>
  <si>
    <t>-620.733008645668 121.190200732071 -98.1427874570807</t>
  </si>
  <si>
    <t>-636.448572962102 135.855968608623 316.875906561967</t>
  </si>
  <si>
    <t>-671.899649830602 178.004202725574 776.702133923438</t>
  </si>
  <si>
    <t>-521.085895253076 181.179540653926 832.639207635585</t>
  </si>
  <si>
    <t>-610.61313830513 -75.4231661094555 321.132041703218</t>
  </si>
  <si>
    <t>-654.199360242024 -104.390385575008 781.236771094513</t>
  </si>
  <si>
    <t>-499.720303310956 -115.767168895011 824.717916411569</t>
  </si>
  <si>
    <t>9763-20170724T115651.625475200.bin</t>
  </si>
  <si>
    <t>-616.17305137861 29.028965600427 -94.4934163543263</t>
  </si>
  <si>
    <t>-638.902633833094 25.7585915226073 -202.799274284614</t>
  </si>
  <si>
    <t>-647.777818074188 24.4073866512754 -295.239684291974</t>
  </si>
  <si>
    <t>-652.596400026933 23.680932002324 -378.991666382833</t>
  </si>
  <si>
    <t>-653.635343650356 23.4323920203879 -462.878466127993</t>
  </si>
  <si>
    <t>-651.003560819411 23.565287228796 -585.507933887792</t>
  </si>
  <si>
    <t>-629.759040455906 16.1525280124672 -660.567437208328</t>
  </si>
  <si>
    <t>-652.175323783682 54.8681788144327 -531.665545347386</t>
  </si>
  <si>
    <t>-628.605672331899 206.886125869275 -505.72164187747</t>
  </si>
  <si>
    <t>-681.35372093465 258.201500179932 -233.39298748325</t>
  </si>
  <si>
    <t>-460.126486410681 200.663726056393 -192.204904328583</t>
  </si>
  <si>
    <t>-620.242945757228 121.316355172324 -98.1386771260852</t>
  </si>
  <si>
    <t>-636.18840151625 135.908895936295 316.873831773048</t>
  </si>
  <si>
    <t>-671.884321667497 177.997956525011 776.685500708833</t>
  </si>
  <si>
    <t>-521.077761542621 181.128550123338 832.644444555452</t>
  </si>
  <si>
    <t>-610.361003325496 -75.4192210916988 321.154657914742</t>
  </si>
  <si>
    <t>-654.195869010699 -104.414975273949 781.233072322648</t>
  </si>
  <si>
    <t>-499.731336830735 -115.959385103201 824.721596924617</t>
  </si>
  <si>
    <t>9763-20170724T115651.659558900.bin</t>
  </si>
  <si>
    <t>-615.935408070504 29.0039222757939 -94.4899292614901</t>
  </si>
  <si>
    <t>-638.702928996979 25.7349536156153 -202.787959144908</t>
  </si>
  <si>
    <t>-647.70711052338 24.3723284654325 -295.215763279143</t>
  </si>
  <si>
    <t>-652.681551663231 23.6309284293832 -378.958513341527</t>
  </si>
  <si>
    <t>-653.915543072993 23.3627361654476 -462.842538581106</t>
  </si>
  <si>
    <t>-651.611696469182 23.4617582963888 -585.478658599723</t>
  </si>
  <si>
    <t>-630.509501182862 16.0015136272286 -660.573571098841</t>
  </si>
  <si>
    <t>-652.61303229638 54.779507111467 -531.641610454213</t>
  </si>
  <si>
    <t>-628.977606982636 206.802975063873 -505.78664432381</t>
  </si>
  <si>
    <t>-681.646261741179 258.073976456498 -233.434145044217</t>
  </si>
  <si>
    <t>-460.484885487973 200.407294840911 -192.073225534498</t>
  </si>
  <si>
    <t>-619.968205610202 121.302147422759 -98.1387057075407</t>
  </si>
  <si>
    <t>-635.978748243842 135.852097103027 316.872840889972</t>
  </si>
  <si>
    <t>-671.892313428751 177.917123678047 776.673473345876</t>
  </si>
  <si>
    <t>-521.093119011396 181.218716166196 832.642507032987</t>
  </si>
  <si>
    <t>-610.223651005406 -75.4724014815674 321.167956644312</t>
  </si>
  <si>
    <t>-654.193972578502 -104.403814883516 781.236864857302</t>
  </si>
  <si>
    <t>-499.742087400823 -116.094427896415 824.731240872705</t>
  </si>
  <si>
    <t>9763-20170724T115651.723734800.bin</t>
  </si>
  <si>
    <t>-615.567692727864 28.9630876220758 -94.4924344240335</t>
  </si>
  <si>
    <t>-638.315254619156 25.6986505884083 -202.794754515619</t>
  </si>
  <si>
    <t>-647.517401235871 24.3273685692013 -295.20296744763</t>
  </si>
  <si>
    <t>-652.757666256741 23.5745557844293 -378.929308209722</t>
  </si>
  <si>
    <t>-654.344598471797 23.290745056117 -462.807461686832</t>
  </si>
  <si>
    <t>-652.651657574524 23.3626114228618 -585.453461496828</t>
  </si>
  <si>
    <t>-631.828179911747 15.7680500149163 -660.612696617412</t>
  </si>
  <si>
    <t>-653.336310363885 54.6922956068531 -531.618362460736</t>
  </si>
  <si>
    <t>-629.42150688142 206.691204614541 -505.886431797881</t>
  </si>
  <si>
    <t>-681.814586511127 258.032041686045 -233.493950552253</t>
  </si>
  <si>
    <t>-460.768248227484 200.043756685608 -191.968067290856</t>
  </si>
  <si>
    <t>-619.509620693683 121.340185218815 -98.1488773329136</t>
  </si>
  <si>
    <t>-635.705937014103 135.826220581083 316.857769744107</t>
  </si>
  <si>
    <t>-671.863437925116 177.965923036164 776.633549631466</t>
  </si>
  <si>
    <t>-521.076728757384 181.263965454429 832.636303251866</t>
  </si>
  <si>
    <t>-610.017871064724 -75.622651660165 321.189603440273</t>
  </si>
  <si>
    <t>-654.194626600413 -104.406730716253 781.242686134181</t>
  </si>
  <si>
    <t>-499.727058862593 -115.90615430768 824.732312622339</t>
  </si>
  <si>
    <t>9763-20170724T115651.761836200.bin</t>
  </si>
  <si>
    <t>-615.369920691706 28.8973366970777 -94.4927916069761</t>
  </si>
  <si>
    <t>-638.09204309988 25.6372976879293 -202.80068977607</t>
  </si>
  <si>
    <t>-647.368407212521 24.2539281444685 -295.201127035406</t>
  </si>
  <si>
    <t>-652.714676223452 23.4839788729478 -378.920779611671</t>
  </si>
  <si>
    <t>-654.446576152436 23.1768288626045 -462.795863598667</t>
  </si>
  <si>
    <t>-653.008082565828 23.2080270812344 -585.445175155175</t>
  </si>
  <si>
    <t>-632.316563567319 15.5350172375872 -660.632950206375</t>
  </si>
  <si>
    <t>-653.561065357058 54.5554824614471 -531.618776263912</t>
  </si>
  <si>
    <t>-629.461810965062 206.54354548013 -505.977819722634</t>
  </si>
  <si>
    <t>-681.651626350244 257.983906593338 -233.565180613049</t>
  </si>
  <si>
    <t>-460.663970270704 199.825797724309 -191.964313082424</t>
  </si>
  <si>
    <t>-619.265834454835 121.284322359263 -98.1482735889346</t>
  </si>
  <si>
    <t>-635.626478700425 135.808637705878 316.850535264157</t>
  </si>
  <si>
    <t>-671.8523693481 178.003614012348 776.621170080585</t>
  </si>
  <si>
    <t>-521.066386649301 181.17993557647 832.632979981939</t>
  </si>
  <si>
    <t>-609.982674791027 -75.7585986036709 321.189554189677</t>
  </si>
  <si>
    <t>-654.189626525996 -104.422405087672 781.248178400289</t>
  </si>
  <si>
    <t>-499.741277431648 -116.13067554235 824.75042844735</t>
  </si>
  <si>
    <t>9763-20170724T115651.827558700.bin</t>
  </si>
  <si>
    <t>-615.03284762559 28.7864126641489 -94.4784030922856</t>
  </si>
  <si>
    <t>-637.722360701083 25.5302673489689 -202.793156099226</t>
  </si>
  <si>
    <t>-647.110963271883 24.109361700223 -295.181912984735</t>
  </si>
  <si>
    <t>-652.615522370504 23.289586100364 -378.890663983186</t>
  </si>
  <si>
    <t>-654.562705511686 22.9168701196336 -462.760901171979</t>
  </si>
  <si>
    <t>-653.501484805141 22.8344883079435 -585.414050488028</t>
  </si>
  <si>
    <t>-633.005728728048 14.9752032056199 -660.636133461303</t>
  </si>
  <si>
    <t>-653.86491153285 54.2316507210348 -531.615037599003</t>
  </si>
  <si>
    <t>-629.543578199891 206.217529943563 -506.203668719504</t>
  </si>
  <si>
    <t>-681.302150301214 258.04593548078 -233.782215882488</t>
  </si>
  <si>
    <t>-460.419899720627 199.681775151536 -191.911045190748</t>
  </si>
  <si>
    <t>-618.873148444067 121.190234066743 -98.1520006953743</t>
  </si>
  <si>
    <t>-635.425801988896 135.70638215346 316.839421623599</t>
  </si>
  <si>
    <t>-671.847598292716 177.963307915323 776.582805358398</t>
  </si>
  <si>
    <t>-521.072061539289 181.326174682535 832.611838535275</t>
  </si>
  <si>
    <t>-609.830884261914 -75.9184348095866 321.191512188644</t>
  </si>
  <si>
    <t>-654.177293852302 -104.424980673858 781.253125222266</t>
  </si>
  <si>
    <t>-499.729694246214 -116.114163850881 824.763266723538</t>
  </si>
  <si>
    <t>9763-20170724T115651.858643700.bin</t>
  </si>
  <si>
    <t>-614.831416158296 28.7902684041101 -94.478449226732</t>
  </si>
  <si>
    <t>-637.518571006288 25.540155791914 -202.793798451045</t>
  </si>
  <si>
    <t>-646.94222598411 24.1071816912026 -295.178836640216</t>
  </si>
  <si>
    <t>-652.493556014702 23.2699933034403 -378.884306450278</t>
  </si>
  <si>
    <t>-654.502734404535 22.8732210897572 -462.752889736213</t>
  </si>
  <si>
    <t>-653.548803448127 22.7486067576585 -585.406879426916</t>
  </si>
  <si>
    <t>-633.114996261318 14.798720447201 -660.636315368441</t>
  </si>
  <si>
    <t>-653.860875717995 54.1642470374306 -531.618542575328</t>
  </si>
  <si>
    <t>-629.435484657974 206.145408776721 -506.291334131361</t>
  </si>
  <si>
    <t>-681.154903556522 258.135150659367 -233.893148610607</t>
  </si>
  <si>
    <t>-460.369999489139 199.544326163575 -191.825739301693</t>
  </si>
  <si>
    <t>-618.65848808339 121.222841634901 -98.1541273343568</t>
  </si>
  <si>
    <t>-635.272943700266 135.722904933332 316.835448645572</t>
  </si>
  <si>
    <t>-671.831883784745 177.974701249056 776.564025124112</t>
  </si>
  <si>
    <t>-521.060781715691 181.15412563501 832.615766668117</t>
  </si>
  <si>
    <t>-609.684660551861 -75.9500344798112 321.193894151297</t>
  </si>
  <si>
    <t>-654.174094349748 -104.410681489953 781.252030534344</t>
  </si>
  <si>
    <t>-499.70730128516 -115.85090858788 824.760223230361</t>
  </si>
  <si>
    <t>9763-20170724T115651.925835600.bin</t>
  </si>
  <si>
    <t>-614.521968305757 28.6539556970008 -94.5021234111805</t>
  </si>
  <si>
    <t>-637.141465199552 25.3818838755283 -202.830969000001</t>
  </si>
  <si>
    <t>-646.580156630025 23.8886190541432 -295.213399043017</t>
  </si>
  <si>
    <t>-652.174528987158 22.9810953923509 -378.915403446078</t>
  </si>
  <si>
    <t>-654.256534760434 22.4976459909412 -462.781769604671</t>
  </si>
  <si>
    <t>-653.44166432468 22.2290041262779 -585.436547733463</t>
  </si>
  <si>
    <t>-633.079389048449 14.1136080749916 -660.667629852678</t>
  </si>
  <si>
    <t>-653.677808896123 53.7078287183435 -531.684540096984</t>
  </si>
  <si>
    <t>-629.162913091944 205.704321047182 -506.501219575654</t>
  </si>
  <si>
    <t>-680.917485004229 257.931462024235 -234.155129627755</t>
  </si>
  <si>
    <t>-460.292943730391 199.206359505713 -191.438609550045</t>
  </si>
  <si>
    <t>-618.29884583764 121.11929494266 -98.1755902607525</t>
  </si>
  <si>
    <t>-635.094317670262 135.618902463819 316.806698801561</t>
  </si>
  <si>
    <t>-671.801636294519 178.05070950675 776.516195824117</t>
  </si>
  <si>
    <t>-521.040817221275 181.168283772415 832.599034603421</t>
  </si>
  <si>
    <t>-609.578827516891 -76.2232561053295 321.192650775263</t>
  </si>
  <si>
    <t>-654.165625248387 -104.40852538393 781.257729935023</t>
  </si>
  <si>
    <t>-499.702062080343 -115.841735340337 824.779201024858</t>
  </si>
  <si>
    <t>9763-20170724T115651.961931900.bin</t>
  </si>
  <si>
    <t>-614.421055460344 28.591056081686 -94.5062522079883</t>
  </si>
  <si>
    <t>-636.994459000085 25.3091339624957 -202.844470811224</t>
  </si>
  <si>
    <t>-646.441163365467 23.7883534328917 -295.225582599846</t>
  </si>
  <si>
    <t>-652.061880304574 22.8479296721607 -378.925374569335</t>
  </si>
  <si>
    <t>-654.189484092877 22.3233514064391 -462.790365185616</t>
  </si>
  <si>
    <t>-653.462396971905 21.9857259702762 -585.445523515458</t>
  </si>
  <si>
    <t>-633.115209174736 13.8172770568681 -660.675027665729</t>
  </si>
  <si>
    <t>-653.656903194498 53.4946923896819 -531.711223661715</t>
  </si>
  <si>
    <t>-629.125554698975 205.503930150439 -506.629833000722</t>
  </si>
  <si>
    <t>-680.944294099556 257.785255059003 -234.306404594729</t>
  </si>
  <si>
    <t>-460.392532196454 199.03297953677 -191.252512602857</t>
  </si>
  <si>
    <t>-618.21824275837 121.082905192176 -98.1939517438676</t>
  </si>
  <si>
    <t>-635.070546185785 135.60452261614 316.785265142032</t>
  </si>
  <si>
    <t>-671.800514624085 178.057665572119 776.495009839553</t>
  </si>
  <si>
    <t>-521.040894270252 181.075416913229 832.586411642708</t>
  </si>
  <si>
    <t>-609.541870722983 -76.3632251726485 321.18707895391</t>
  </si>
  <si>
    <t>-654.153837159139 -104.432080999682 781.262627594414</t>
  </si>
  <si>
    <t>-499.714793593643 -116.111996200892 824.805613090938</t>
  </si>
  <si>
    <t>9763-20170724T115652.022096900.bin</t>
  </si>
  <si>
    <t>-614.311566513218 28.3025404636301 -94.5281429487432</t>
  </si>
  <si>
    <t>-636.806109080811 25.0077484061023 -202.882303984223</t>
  </si>
  <si>
    <t>-646.238117498112 23.4368850350504 -295.264295008142</t>
  </si>
  <si>
    <t>-651.866866445473 22.4349496524349 -378.962793409656</t>
  </si>
  <si>
    <t>-654.023934641977 21.8330268842701 -462.826454671706</t>
  </si>
  <si>
    <t>-653.363654002746 21.364466597046 -585.48158036124</t>
  </si>
  <si>
    <t>-632.979797987781 13.1193611170204 -660.692778166007</t>
  </si>
  <si>
    <t>-653.531474338702 52.930742494417 -531.780768224764</t>
  </si>
  <si>
    <t>-628.94980589383 204.960947917275 -506.892861248079</t>
  </si>
  <si>
    <t>-680.896806123934 257.570982933335 -234.657036266884</t>
  </si>
  <si>
    <t>-460.406080296734 198.828366697755 -191.278811249357</t>
  </si>
  <si>
    <t>-618.094207398866 120.868768565663 -98.2349664368761</t>
  </si>
  <si>
    <t>-635.074062817652 135.472310837213 316.736199885769</t>
  </si>
  <si>
    <t>-671.795840166303 178.057638234798 776.442255817182</t>
  </si>
  <si>
    <t>-521.041644812795 181.136724723435 832.544961243576</t>
  </si>
  <si>
    <t>-609.542702166103 -76.8208821452913 321.165780234283</t>
  </si>
  <si>
    <t>-654.127319882082 -104.442991194482 781.272765116888</t>
  </si>
  <si>
    <t>-499.712288480106 -116.279116668003 824.858584707302</t>
  </si>
  <si>
    <t>9763-20170724T115652.061204300.bin</t>
  </si>
  <si>
    <t>-614.322606511751 28.1651478301903 -94.5446241084718</t>
  </si>
  <si>
    <t>-636.799201025452 24.864425898847 -202.902383151679</t>
  </si>
  <si>
    <t>-646.221802584964 23.2684863316763 -295.284823796223</t>
  </si>
  <si>
    <t>-651.844535067667 22.2359978158649 -378.983275283195</t>
  </si>
  <si>
    <t>-653.99825019926 21.5956498192916 -462.846848752031</t>
  </si>
  <si>
    <t>-653.335984121814 21.0627186655149 -585.501572013317</t>
  </si>
  <si>
    <t>-632.9263708037 12.7894739003432 -660.702841863877</t>
  </si>
  <si>
    <t>-653.515806417199 52.6572949258357 -531.817525829368</t>
  </si>
  <si>
    <t>-628.922749249253 204.70168097875 -507.022243214854</t>
  </si>
  <si>
    <t>-680.948118759623 257.48924342362 -234.835908667169</t>
  </si>
  <si>
    <t>-460.469059832088 198.812660701865 -191.309093902106</t>
  </si>
  <si>
    <t>-618.105591085976 120.75408335025 -98.26054260655</t>
  </si>
  <si>
    <t>-635.050896300205 135.368095272359 316.711604482263</t>
  </si>
  <si>
    <t>-671.813409630924 177.950742503602 776.412414022206</t>
  </si>
  <si>
    <t>-521.065633494132 181.232614580544 832.520834070373</t>
  </si>
  <si>
    <t>-609.552148386377 -76.9582355671785 321.152968952101</t>
  </si>
  <si>
    <t>-654.11249974704 -104.428071858423 781.278251743665</t>
  </si>
  <si>
    <t>-499.674127793939 -115.92262109844 824.872885394945</t>
  </si>
  <si>
    <t>9763-20170724T115652.126949000.bin</t>
  </si>
  <si>
    <t>-614.431531998162 28.03801465994 -94.5839599496996</t>
  </si>
  <si>
    <t>-636.830651172485 24.7342568616905 -202.957608716762</t>
  </si>
  <si>
    <t>-646.243607937432 23.0968760400265 -295.340352151184</t>
  </si>
  <si>
    <t>-651.880653033594 22.0127635931756 -379.037165447137</t>
  </si>
  <si>
    <t>-654.071943990787 21.3074007832226 -462.899304942461</t>
  </si>
  <si>
    <t>-653.490342946768 20.6654500537466 -585.554046311507</t>
  </si>
  <si>
    <t>-633.019124708498 12.3640277209456 -660.735277030077</t>
  </si>
  <si>
    <t>-653.648025696168 52.3077943401338 -531.897842266702</t>
  </si>
  <si>
    <t>-629.081975733261 204.387780314477 -507.296997431139</t>
  </si>
  <si>
    <t>-681.473296161944 257.426141038198 -235.229600422113</t>
  </si>
  <si>
    <t>-461.10454468674 198.75741412686 -191.137578412562</t>
  </si>
  <si>
    <t>-618.171816242299 120.610599264963 -98.2979168122409</t>
  </si>
  <si>
    <t>-635.098595925768 135.280862071773 316.672942827436</t>
  </si>
  <si>
    <t>-671.828367851316 177.879744620522 776.37137960251</t>
  </si>
  <si>
    <t>-521.082698140468 181.236653800977 832.481155143716</t>
  </si>
  <si>
    <t>-609.642075039392 -77.095287418636 321.143451218278</t>
  </si>
  <si>
    <t>-654.090639708061 -104.445150546808 781.283876432331</t>
  </si>
  <si>
    <t>-499.677537974136 -116.161294034746 824.909017470386</t>
  </si>
  <si>
    <t>9763-20170724T115652.158027600.bin</t>
  </si>
  <si>
    <t>-614.485624556646 28.0675735318837 -94.6067389260832</t>
  </si>
  <si>
    <t>-636.833639934123 24.7700089969032 -202.991243802242</t>
  </si>
  <si>
    <t>-646.251023068744 23.1175377668092 -295.373097634715</t>
  </si>
  <si>
    <t>-651.911640150124 22.0130599910885 -379.068223561035</t>
  </si>
  <si>
    <t>-654.14635816941 21.281210907737 -462.928932105822</t>
  </si>
  <si>
    <t>-653.650028880066 20.594759700733 -585.583761673095</t>
  </si>
  <si>
    <t>-633.167272060096 12.2937345621674 -660.761862021076</t>
  </si>
  <si>
    <t>-653.780774719803 52.2565201004275 -531.93899171583</t>
  </si>
  <si>
    <t>-629.229895761024 204.349064808198 -507.398769571322</t>
  </si>
  <si>
    <t>-681.887200463626 257.489407590457 -235.402641780249</t>
  </si>
  <si>
    <t>-461.582772658882 198.811528332793 -191.002207091354</t>
  </si>
  <si>
    <t>-618.15793125383 120.618742260441 -98.3158283200272</t>
  </si>
  <si>
    <t>-635.147398539333 135.342496102405 316.650662155819</t>
  </si>
  <si>
    <t>-671.820618399944 177.958855950516 776.35744050787</t>
  </si>
  <si>
    <t>-521.06987383029 181.257500315332 832.457010428087</t>
  </si>
  <si>
    <t>-609.723951235939 -77.1195487826517 321.135297238749</t>
  </si>
  <si>
    <t>-654.075449280156 -104.482421412157 781.285767497001</t>
  </si>
  <si>
    <t>-499.691955245445 -116.487927923192 824.936929539698</t>
  </si>
  <si>
    <t>9763-20170724T115652.222890500.bin</t>
  </si>
  <si>
    <t>-614.543967176061 28.2941132881854 -94.6661895962343</t>
  </si>
  <si>
    <t>-636.80151961684 24.9790336709887 -203.068822715782</t>
  </si>
  <si>
    <t>-646.041221545253 23.250644601545 -295.467127782692</t>
  </si>
  <si>
    <t>-651.501161022382 22.0554640102716 -379.1743824955</t>
  </si>
  <si>
    <t>-653.495315073565 21.2128602397306 -463.040060088259</t>
  </si>
  <si>
    <t>-652.60413240777 20.3443191533433 -585.691412573619</t>
  </si>
  <si>
    <t>-632.051185877292 11.9738488705946 -660.842779454117</t>
  </si>
  <si>
    <t>-652.96725038473 52.0858248332563 -532.094962513172</t>
  </si>
  <si>
    <t>-628.659055478289 204.220955811664 -507.561595206959</t>
  </si>
  <si>
    <t>-682.020733566798 257.523143927493 -235.734431024745</t>
  </si>
  <si>
    <t>-461.762979338054 199.154610703628 -190.699199266903</t>
  </si>
  <si>
    <t>-618.151136015986 120.823201523601 -98.3916777738419</t>
  </si>
  <si>
    <t>-635.20453797335 135.52284559759 316.573114607573</t>
  </si>
  <si>
    <t>-671.834147308171 177.992002040857 776.320556633116</t>
  </si>
  <si>
    <t>-521.069908352629 181.116763831717 832.393734500455</t>
  </si>
  <si>
    <t>-609.911612370643 -77.0731040032026 321.109320206423</t>
  </si>
  <si>
    <t>-654.041516118083 -104.471513313807 781.286797302297</t>
  </si>
  <si>
    <t>-499.65212211415 -116.262113117657 824.975682605836</t>
  </si>
  <si>
    <t>9763-20170724T115652.254976200.bin</t>
  </si>
  <si>
    <t>-614.497176001717 28.4520345260555 -94.6605613160143</t>
  </si>
  <si>
    <t>-636.741242631179 25.1003228265399 -203.064726291852</t>
  </si>
  <si>
    <t>-645.763540360463 23.3191709018763 -295.483635138079</t>
  </si>
  <si>
    <t>-650.943796755388 22.0672417491746 -379.207829994337</t>
  </si>
  <si>
    <t>-652.575000565835 21.1593236492372 -463.080685703877</t>
  </si>
  <si>
    <t>-651.062556169611 20.1852665772526 -585.725268329787</t>
  </si>
  <si>
    <t>-630.38406411113 11.7769369004982 -660.837823169806</t>
  </si>
  <si>
    <t>-651.726234651434 51.9728939215356 -532.158906386484</t>
  </si>
  <si>
    <t>-627.43972270402 204.113718994373 -507.671471450914</t>
  </si>
  <si>
    <t>-681.448999089865 257.322760318777 -235.954048298203</t>
  </si>
  <si>
    <t>-461.21514608935 199.19045769389 -190.498191305541</t>
  </si>
  <si>
    <t>-618.121050280145 120.911977290708 -98.4289237090088</t>
  </si>
  <si>
    <t>-635.160099570043 135.617328962764 316.53614417828</t>
  </si>
  <si>
    <t>-671.847255178511 177.958220266474 776.288827520315</t>
  </si>
  <si>
    <t>-521.083747491201 181.258781249437 832.35400513234</t>
  </si>
  <si>
    <t>-609.859194161748 -76.9751244311356 321.116154081785</t>
  </si>
  <si>
    <t>-654.03142866064 -104.454405718939 781.289417714583</t>
  </si>
  <si>
    <t>-499.644747930897 -116.240263044089 824.989140902782</t>
  </si>
  <si>
    <t>9763-20170724T115652.327183400.bin</t>
  </si>
  <si>
    <t>-614.444461800401 28.7388248680884 -94.564328668839</t>
  </si>
  <si>
    <t>-636.728285022488 25.3472153551943 -202.959043949998</t>
  </si>
  <si>
    <t>-645.425027133288 23.4968559426709 -295.407921081137</t>
  </si>
  <si>
    <t>-650.165834993607 22.1661123249457 -379.156787989727</t>
  </si>
  <si>
    <t>-651.212217339759 21.1629054837949 -463.0379781092</t>
  </si>
  <si>
    <t>-648.686334454827 20.0305382946626 -585.664502537273</t>
  </si>
  <si>
    <t>-627.754817749804 11.6313223241032 -660.708047410463</t>
  </si>
  <si>
    <t>-649.826119058482 51.8872798986529 -532.147214425213</t>
  </si>
  <si>
    <t>-625.354540386586 204.006328338732 -507.689906433371</t>
  </si>
  <si>
    <t>-680.778955666478 257.263824279249 -236.267058037447</t>
  </si>
  <si>
    <t>-460.734993646734 199.11849810075 -189.917212635915</t>
  </si>
  <si>
    <t>-618.170041944795 121.213456800689 -98.4218036674395</t>
  </si>
  <si>
    <t>-635.039990312814 135.803588580023 316.554280110193</t>
  </si>
  <si>
    <t>-671.844157035263 177.970114155939 776.250606202431</t>
  </si>
  <si>
    <t>-521.081171115834 181.189408840324 832.321741550903</t>
  </si>
  <si>
    <t>-609.633866963627 -76.7420141871139 321.184512323127</t>
  </si>
  <si>
    <t>-654.032270074328 -104.432846323549 781.290707702726</t>
  </si>
  <si>
    <t>-499.654877223357 -116.372780214118 824.981447215321</t>
  </si>
  <si>
    <t>9763-20170724T115652.362274800.bin</t>
  </si>
  <si>
    <t>-614.40592080181 28.8859138803095 -94.5850275234859</t>
  </si>
  <si>
    <t>-636.674396646141 25.479239028132 -202.982477106232</t>
  </si>
  <si>
    <t>-645.319747417105 23.6149607737614 -295.435864717464</t>
  </si>
  <si>
    <t>-649.998737264955 22.2708295910763 -379.188031054499</t>
  </si>
  <si>
    <t>-650.967951931389 21.2540004772129 -463.069874517954</t>
  </si>
  <si>
    <t>-648.312365563478 20.1023119451804 -585.693495104437</t>
  </si>
  <si>
    <t>-627.257349320243 11.7465139316193 -660.70734929295</t>
  </si>
  <si>
    <t>-649.536530387376 51.9674101112039 -532.183114852078</t>
  </si>
  <si>
    <t>-625.086375314404 204.095973402656 -507.76585468988</t>
  </si>
  <si>
    <t>-680.892654330539 257.415117246525 -236.433433620176</t>
  </si>
  <si>
    <t>-460.978866387595 199.181956761757 -189.578762799787</t>
  </si>
  <si>
    <t>-618.183982519581 121.3527944152 -98.4222133739077</t>
  </si>
  <si>
    <t>-635.058729658886 135.908718619835 316.55481207644</t>
  </si>
  <si>
    <t>-671.83386684729 178.02169967335 776.246688788474</t>
  </si>
  <si>
    <t>-521.068614450935 181.220547111573 832.312996040405</t>
  </si>
  <si>
    <t>-609.605341689895 -76.6731691107468 321.198146103967</t>
  </si>
  <si>
    <t>-654.033539465913 -104.44711635867 781.287037897905</t>
  </si>
  <si>
    <t>-499.665665911749 -116.527164278164 824.972859486631</t>
  </si>
  <si>
    <t>9763-20170724T115652.425449300.bin</t>
  </si>
  <si>
    <t>-614.355467347441 29.1956283509942 -94.6693094464326</t>
  </si>
  <si>
    <t>-636.60316392146 25.7503724275937 -203.069781060048</t>
  </si>
  <si>
    <t>-645.161347516891 23.8770359239215 -295.5311249852</t>
  </si>
  <si>
    <t>-649.733591272017 22.5367290126571 -379.289313914956</t>
  </si>
  <si>
    <t>-650.568231220696 21.5389698835588 -463.172782039256</t>
  </si>
  <si>
    <t>-647.685831934574 20.4337333355002 -585.791655555479</t>
  </si>
  <si>
    <t>-626.359847313546 12.0811138591614 -660.729284472016</t>
  </si>
  <si>
    <t>-649.115623325187 52.2782517745138 -532.274076529518</t>
  </si>
  <si>
    <t>-624.912989927603 204.413875447169 -507.636966301226</t>
  </si>
  <si>
    <t>-681.092010734383 257.54679595921 -236.344888456953</t>
  </si>
  <si>
    <t>-461.268068285996 199.321289801206 -189.061341551334</t>
  </si>
  <si>
    <t>-618.155596324268 121.573883357424 -98.4848058596568</t>
  </si>
  <si>
    <t>-635.188426283156 136.091589808269 316.487130256217</t>
  </si>
  <si>
    <t>-671.856655197326 177.998310614977 776.248636408886</t>
  </si>
  <si>
    <t>-521.079441966714 181.223403385757 832.281245462026</t>
  </si>
  <si>
    <t>-609.699967839221 -76.5581439125242 321.176224314661</t>
  </si>
  <si>
    <t>-654.035657061905 -104.466149088784 781.278359481694</t>
  </si>
  <si>
    <t>-499.675449079588 -116.68054745413 824.953964243971</t>
  </si>
  <si>
    <t>9763-20170724T115652.456531400.bin</t>
  </si>
  <si>
    <t>-614.244545956245 29.4228740829142 -94.6674311269251</t>
  </si>
  <si>
    <t>-636.570829379946 25.9673773222103 -203.051405701816</t>
  </si>
  <si>
    <t>-645.023014473307 24.0788696533493 -295.522069992448</t>
  </si>
  <si>
    <t>-649.429868840656 22.7242305596003 -379.288864867145</t>
  </si>
  <si>
    <t>-650.029582267037 21.7126084702359 -463.174338785146</t>
  </si>
  <si>
    <t>-646.727919131055 20.5889715025362 -585.782488267839</t>
  </si>
  <si>
    <t>-625.16898967793 12.2125603760135 -660.650824098354</t>
  </si>
  <si>
    <t>-648.386088720267 52.4411396639853 -532.27617614916</t>
  </si>
  <si>
    <t>-624.125743315464 204.541469016028 -507.464646583805</t>
  </si>
  <si>
    <t>-680.67706279047 257.249454885945 -236.167146740274</t>
  </si>
  <si>
    <t>-460.79257374065 199.317653962772 -188.804059772867</t>
  </si>
  <si>
    <t>-617.969566343209 121.816670871166 -98.5230134112783</t>
  </si>
  <si>
    <t>-635.061937000527 136.278322194604 316.448400745733</t>
  </si>
  <si>
    <t>-671.843679825274 178.078421044064 776.234528499029</t>
  </si>
  <si>
    <t>-521.060238407956 181.093295494539 832.26211887028</t>
  </si>
  <si>
    <t>-609.681370834717 -76.4208417629168 321.169962289544</t>
  </si>
  <si>
    <t>-654.028788923026 -104.429229787845 781.277745116598</t>
  </si>
  <si>
    <t>-499.6334709904 -116.222583245529 824.944998216665</t>
  </si>
  <si>
    <t>9763-20170724T115652.524244500.bin</t>
  </si>
  <si>
    <t>-614.081193045226 29.6523733332931 -94.6208888864304</t>
  </si>
  <si>
    <t>-636.611002582262 26.2431834489303 -202.964243849063</t>
  </si>
  <si>
    <t>-645.064896055436 24.3516231250924 -295.434651741473</t>
  </si>
  <si>
    <t>-649.404682664487 22.981919480842 -379.204766363667</t>
  </si>
  <si>
    <t>-649.868731599549 21.9435029455851 -463.090539007685</t>
  </si>
  <si>
    <t>-646.293866267202 20.7695903790595 -585.690635238489</t>
  </si>
  <si>
    <t>-623.785822971892 12.8009419752814 -660.323761165494</t>
  </si>
  <si>
    <t>-648.049285309325 52.6437727705161 -532.200644840828</t>
  </si>
  <si>
    <t>-623.236797304257 204.660332685502 -507.449737820684</t>
  </si>
  <si>
    <t>-680.604639875665 256.605059351647 -236.176305412373</t>
  </si>
  <si>
    <t>-460.926668531895 198.67540216893 -187.862082904152</t>
  </si>
  <si>
    <t>-617.529800945167 122.204684732353 -98.534351159853</t>
  </si>
  <si>
    <t>-634.402631186368 136.397301403517 316.4553862445</t>
  </si>
  <si>
    <t>-671.828459507917 178.07307330708 776.176839522588</t>
  </si>
  <si>
    <t>-521.062661079397 181.147531193382 832.248504850906</t>
  </si>
  <si>
    <t>-609.435264188116 -76.1762853307725 321.212756605832</t>
  </si>
  <si>
    <t>-654.009904722978 -104.414510416022 781.282666982386</t>
  </si>
  <si>
    <t>-499.634243646506 -116.365413284416 824.976525860261</t>
  </si>
  <si>
    <t>9763-20170724T115652.561344400.bin</t>
  </si>
  <si>
    <t>-613.868357386333 29.6557790611735 -94.5883336128882</t>
  </si>
  <si>
    <t>-636.481207006081 26.2885798397622 -202.915761200692</t>
  </si>
  <si>
    <t>-645.134523890605 24.4199373626234 -295.368153010082</t>
  </si>
  <si>
    <t>-649.706913488282 23.0702539540766 -379.126230123921</t>
  </si>
  <si>
    <t>-650.456021553164 22.0513114631931 -463.0103370942</t>
  </si>
  <si>
    <t>-647.355050157762 20.906359480525 -585.623538223078</t>
  </si>
  <si>
    <t>-624.1372693104 13.4040086521698 -660.087338781461</t>
  </si>
  <si>
    <t>-648.865521036233 52.7681313562973 -532.118589532903</t>
  </si>
  <si>
    <t>-623.627537494757 204.73822986913 -507.492356648063</t>
  </si>
  <si>
    <t>-680.759164093502 256.98886616244 -236.227926175981</t>
  </si>
  <si>
    <t>-461.308631813346 198.536161798912 -187.511538070016</t>
  </si>
  <si>
    <t>-617.072381662637 122.284838325524 -98.5114216512292</t>
  </si>
  <si>
    <t>-634.154359731829 136.349405056828 316.474149229361</t>
  </si>
  <si>
    <t>-671.83411235068 178.012413896503 776.15321110436</t>
  </si>
  <si>
    <t>-521.076972652409 181.179831482609 832.242958803439</t>
  </si>
  <si>
    <t>-609.436764339591 -76.1470846388904 321.248811609816</t>
  </si>
  <si>
    <t>-654.005427186039 -104.422040835742 781.290880497952</t>
  </si>
  <si>
    <t>-499.655613778949 -116.645814262356 825.000577884878</t>
  </si>
  <si>
    <t>9763-20170724T115652.622558000.bin</t>
  </si>
  <si>
    <t>-613.340043090449 29.691625985181 -94.6375426192044</t>
  </si>
  <si>
    <t>-636.294007637008 26.392473335115 -202.895270839341</t>
  </si>
  <si>
    <t>-645.676981661573 24.5196320328216 -295.276368364383</t>
  </si>
  <si>
    <t>-651.087631599933 23.1486707399754 -378.98423089136</t>
  </si>
  <si>
    <t>-652.854135598272 22.0926218597485 -462.852408112854</t>
  </si>
  <si>
    <t>-651.435800854054 20.8786892971787 -585.49603256228</t>
  </si>
  <si>
    <t>-626.512855943153 14.7157773505651 -659.530278705036</t>
  </si>
  <si>
    <t>-652.18708657944 52.7706999026607 -531.993058376546</t>
  </si>
  <si>
    <t>-626.343589188651 204.624284174794 -507.289837972339</t>
  </si>
  <si>
    <t>-680.975235388639 258.35595059536 -235.799602287643</t>
  </si>
  <si>
    <t>-461.758653243013 198.948191275199 -187.185512755695</t>
  </si>
  <si>
    <t>-616.256205771914 122.480111747408 -98.5316345299261</t>
  </si>
  <si>
    <t>-633.601851115267 136.305414857172 316.451029860789</t>
  </si>
  <si>
    <t>-671.780520184895 178.087187614457 776.07748727676</t>
  </si>
  <si>
    <t>-521.038116529101 181.052507813316 832.217957379206</t>
  </si>
  <si>
    <t>-609.351136658318 -76.0581549629258 321.247863846952</t>
  </si>
  <si>
    <t>-654.002432984093 -104.383414416516 781.302845210468</t>
  </si>
  <si>
    <t>-499.625272405518 -116.30653891456 824.998947908333</t>
  </si>
  <si>
    <t>9763-20170724T115652.659656900.bin</t>
  </si>
  <si>
    <t>-612.967756821053 29.8239644206931 -94.7153001104391</t>
  </si>
  <si>
    <t>-636.20872162242 26.465237363183 -202.909923948266</t>
  </si>
  <si>
    <t>-645.84318869652 24.5077369463559 -295.263550329741</t>
  </si>
  <si>
    <t>-651.484365500101 23.0459486582963 -378.954420425882</t>
  </si>
  <si>
    <t>-653.484700834106 21.8838922498544 -462.816115464172</t>
  </si>
  <si>
    <t>-652.411271241126 20.4986439667709 -585.461344327717</t>
  </si>
  <si>
    <t>-626.321732039657 15.1789984850959 -659.158385219043</t>
  </si>
  <si>
    <t>-653.006048773885 52.4655018175138 -532.000976467258</t>
  </si>
  <si>
    <t>-626.88629041414 204.275518572562 -507.319907835261</t>
  </si>
  <si>
    <t>-680.06987272521 258.64563495761 -235.669333193614</t>
  </si>
  <si>
    <t>-460.777238091832 199.241724525432 -187.394726357883</t>
  </si>
  <si>
    <t>-615.98703191297 122.709021034332 -98.6261071558731</t>
  </si>
  <si>
    <t>-633.358689023622 136.300528777368 316.363112520348</t>
  </si>
  <si>
    <t>-671.776435254233 178.03619633485 776.044630622886</t>
  </si>
  <si>
    <t>-521.040035811275 181.099431175666 832.196069962296</t>
  </si>
  <si>
    <t>-609.113553135781 -75.7462904175995 321.234942227112</t>
  </si>
  <si>
    <t>-654.011219272021 -104.37532004214 781.296265205158</t>
  </si>
  <si>
    <t>-499.633887640132 -116.359583765927 824.975069116139</t>
  </si>
  <si>
    <t>9763-20170724T115652.727847800.bin</t>
  </si>
  <si>
    <t>-612.536065857297 30.0507970755532 -94.7502171432341</t>
  </si>
  <si>
    <t>-636.442774932653 26.5269727860912 -202.794389230907</t>
  </si>
  <si>
    <t>-646.405413053579 24.2939755926852 -295.106852961159</t>
  </si>
  <si>
    <t>-652.247631675136 22.5239109924282 -378.77804084477</t>
  </si>
  <si>
    <t>-654.352944137374 20.994537747391 -462.631254867484</t>
  </si>
  <si>
    <t>-653.327572014499 19.0058715254827 -585.268626402482</t>
  </si>
  <si>
    <t>-624.921048380376 15.6247812077738 -658.219624503921</t>
  </si>
  <si>
    <t>-653.937636041424 51.235100174488 -531.966244986701</t>
  </si>
  <si>
    <t>-626.663833581021 202.878353098611 -507.548076491873</t>
  </si>
  <si>
    <t>-678.340858450941 257.438622311964 -235.644935330806</t>
  </si>
  <si>
    <t>-458.869314847356 198.438720787247 -187.688963315677</t>
  </si>
  <si>
    <t>-615.905521680169 123.001991349158 -98.7343410286134</t>
  </si>
  <si>
    <t>-632.597617554834 136.427263668112 316.288278981145</t>
  </si>
  <si>
    <t>-671.716703149992 178.109399151693 775.964836075343</t>
  </si>
  <si>
    <t>-521.000937760168 180.966319150759 832.182459239379</t>
  </si>
  <si>
    <t>-608.226813931543 -75.1307218156212 321.313676938454</t>
  </si>
  <si>
    <t>-654.065190788005 -104.297339456034 781.264411597349</t>
  </si>
  <si>
    <t>-499.680775025931 -116.488903393725 824.860806551815</t>
  </si>
  <si>
    <t>9763-20170724T115652.761937400.bin</t>
  </si>
  <si>
    <t>-612.708271858299 30.2802970733451 -94.6797315453001</t>
  </si>
  <si>
    <t>-636.827982417698 26.6865682494736 -202.674251255341</t>
  </si>
  <si>
    <t>-646.793701152748 24.3210213555251 -294.983127148485</t>
  </si>
  <si>
    <t>-652.5667369571 22.4000911167793 -378.65585965486</t>
  </si>
  <si>
    <t>-654.530907025142 20.6883639283226 -462.508942974836</t>
  </si>
  <si>
    <t>-653.220365601269 18.398712061603 -585.138423728749</t>
  </si>
  <si>
    <t>-624.081307324835 15.7978494036108 -657.831911477333</t>
  </si>
  <si>
    <t>-653.981738098185 50.7585264234099 -531.917148474596</t>
  </si>
  <si>
    <t>-626.714266680477 202.460193163098 -507.957264483073</t>
  </si>
  <si>
    <t>-678.085860421624 257.590416836472 -236.111332057123</t>
  </si>
  <si>
    <t>-458.663384564046 198.694216666829 -187.804539696734</t>
  </si>
  <si>
    <t>-616.300326935112 123.238828985523 -98.7303592620498</t>
  </si>
  <si>
    <t>-632.562591289608 136.414242017271 316.317246257227</t>
  </si>
  <si>
    <t>-671.735213744591 177.945490877082 775.957411218063</t>
  </si>
  <si>
    <t>-521.029723697103 181.059212785737 832.18897876541</t>
  </si>
  <si>
    <t>-608.065301531268 -74.7564442407511 321.391937306549</t>
  </si>
  <si>
    <t>-654.105930886254 -104.259807182079 781.243651753769</t>
  </si>
  <si>
    <t>-499.701507524703 -116.424585567918 824.776591306558</t>
  </si>
  <si>
    <t>9763-20170724T115652.825619300.bin</t>
  </si>
  <si>
    <t>-613.610786246448 30.5039976327239 -94.6776039875696</t>
  </si>
  <si>
    <t>-637.6782176974 26.8147032044456 -202.680658897799</t>
  </si>
  <si>
    <t>-647.560669024762 24.3437688254319 -294.995614134026</t>
  </si>
  <si>
    <t>-653.242973821634 22.3163529224837 -378.671971985683</t>
  </si>
  <si>
    <t>-655.100866109983 20.4903655526359 -462.525124303487</t>
  </si>
  <si>
    <t>-653.618323002554 18.0257400592025 -585.149135041916</t>
  </si>
  <si>
    <t>-623.867968922096 16.6554043374144 -657.628401017143</t>
  </si>
  <si>
    <t>-654.579643608573 50.4605536989986 -531.976708075443</t>
  </si>
  <si>
    <t>-627.74061166719 202.324702637924 -508.386292024802</t>
  </si>
  <si>
    <t>-679.019084477846 258.566877901611 -236.750609331327</t>
  </si>
  <si>
    <t>-459.813387907038 199.597724989168 -187.556833963604</t>
  </si>
  <si>
    <t>-617.399100581798 123.287139425359 -98.7393292308815</t>
  </si>
  <si>
    <t>-633.371254767677 136.623324118721 316.3144353113</t>
  </si>
  <si>
    <t>-671.75038954957 177.922774035879 775.999396209433</t>
  </si>
  <si>
    <t>-521.022651085322 181.048847800378 832.170615489368</t>
  </si>
  <si>
    <t>-608.824882828806 -74.4285444878501 321.410290931261</t>
  </si>
  <si>
    <t>-654.153921526514 -104.211644772573 781.240044573548</t>
  </si>
  <si>
    <t>-499.690833772797 -115.875878609077 824.701801339734</t>
  </si>
  <si>
    <t>9763-20170724T115652.858707200.bin</t>
  </si>
  <si>
    <t>-614.017094491132 30.517404018052 -94.7367370926935</t>
  </si>
  <si>
    <t>-638.087120776261 26.8040943148387 -202.738320889632</t>
  </si>
  <si>
    <t>-647.952977119518 24.3213345114241 -295.054789122623</t>
  </si>
  <si>
    <t>-653.612615675023 22.2860343333534 -378.732601784483</t>
  </si>
  <si>
    <t>-655.440212873703 20.4564400951645 -462.586235911534</t>
  </si>
  <si>
    <t>-653.905067810998 17.9917240569632 -585.209638859035</t>
  </si>
  <si>
    <t>-624.045719924835 17.0314157466598 -657.650796028681</t>
  </si>
  <si>
    <t>-654.95378620613 50.4257909205567 -532.038538288534</t>
  </si>
  <si>
    <t>-628.137334849231 202.264504931246 -508.202594338088</t>
  </si>
  <si>
    <t>-679.368437340501 258.544315558244 -236.565820208388</t>
  </si>
  <si>
    <t>-460.199140355444 199.731844164977 -187.023449239591</t>
  </si>
  <si>
    <t>-617.870976653954 123.122983119334 -98.7738148158426</t>
  </si>
  <si>
    <t>-633.890438492686 136.689033008391 316.270676376184</t>
  </si>
  <si>
    <t>-671.787361237401 177.851652004845 776.02812056242</t>
  </si>
  <si>
    <t>-521.038704010287 181.102938293066 832.136019405427</t>
  </si>
  <si>
    <t>-609.292051567964 -74.4005811823922 321.344926210174</t>
  </si>
  <si>
    <t>-654.162339722871 -104.1770721159 781.243664163443</t>
  </si>
  <si>
    <t>-499.679399888094 -115.635303765218 824.68960306279</t>
  </si>
  <si>
    <t>9763-20170724T115652.923007200.bin</t>
  </si>
  <si>
    <t>-615.034541702001 30.2497479741696 -94.7559247431572</t>
  </si>
  <si>
    <t>-639.619765374734 26.5835412614515 -202.643094499347</t>
  </si>
  <si>
    <t>-649.598854057335 24.0708428446062 -294.946566927464</t>
  </si>
  <si>
    <t>-655.229635168746 21.9806613433439 -378.624781252745</t>
  </si>
  <si>
    <t>-656.896783192589 20.0713221870769 -462.480120223653</t>
  </si>
  <si>
    <t>-654.983010968787 17.4641097604222 -585.095191879668</t>
  </si>
  <si>
    <t>-624.693104723236 16.9022708414252 -657.361477328059</t>
  </si>
  <si>
    <t>-656.313568772279 49.9581941976562 -531.967024390013</t>
  </si>
  <si>
    <t>-626.832350430877 201.132203353822 -507.212801549563</t>
  </si>
  <si>
    <t>-679.850023633559 255.21997143312 -235.473527547474</t>
  </si>
  <si>
    <t>-461.097468693535 196.593896055342 -183.90979867852</t>
  </si>
  <si>
    <t>-619.172080507018 123.065082652386 -98.811547997979</t>
  </si>
  <si>
    <t>-633.997670387824 136.519314404481 316.280887971705</t>
  </si>
  <si>
    <t>-671.745823383419 177.898630881733 776.036029848566</t>
  </si>
  <si>
    <t>-520.989927192867 181.015699779437 832.132164548353</t>
  </si>
  <si>
    <t>-609.400004681724 -74.1192571245799 321.249767115534</t>
  </si>
  <si>
    <t>-654.180039469948 -104.183748504912 781.223720642755</t>
  </si>
  <si>
    <t>-499.713790754506 -115.903050640519 824.659380897741</t>
  </si>
  <si>
    <t>9763-20170724T115652.962110000.bin</t>
  </si>
  <si>
    <t>-615.734450709389 30.0848302242866 -94.7769255516938</t>
  </si>
  <si>
    <t>-640.322726626424 26.4358301168465 -202.66391998145</t>
  </si>
  <si>
    <t>-650.200740628597 23.9491919035422 -294.979013447065</t>
  </si>
  <si>
    <t>-655.698073948009 21.8871764120556 -378.666854703814</t>
  </si>
  <si>
    <t>-657.189712983482 20.0103391073799 -462.526309668847</t>
  </si>
  <si>
    <t>-654.973319846138 17.4558386285155 -585.137358913607</t>
  </si>
  <si>
    <t>-624.336833251159 16.9567471390953 -657.257840128847</t>
  </si>
  <si>
    <t>-656.449920823465 49.9268977498245 -531.998883330832</t>
  </si>
  <si>
    <t>-626.230306054161 200.93076194988 -507.230997922551</t>
  </si>
  <si>
    <t>-679.758270966465 255.11199419735 -235.610451823919</t>
  </si>
  <si>
    <t>-461.60100321296 195.574336953832 -182.58966586977</t>
  </si>
  <si>
    <t>-619.914476923745 122.979113198131 -98.7866237433486</t>
  </si>
  <si>
    <t>-634.236981354663 136.384270786051 316.325108081213</t>
  </si>
  <si>
    <t>-671.741423562223 177.868504755942 776.082314942842</t>
  </si>
  <si>
    <t>-520.98554601518 181.12754125237 832.170372213166</t>
  </si>
  <si>
    <t>-609.538486168304 -74.0800014896313 321.243934283033</t>
  </si>
  <si>
    <t>-654.184493287674 -104.15935456073 781.206267033827</t>
  </si>
  <si>
    <t>-499.713293028236 -115.767627546447 824.654251539323</t>
  </si>
  <si>
    <t>9763-20170724T115653.025287000.bin</t>
  </si>
  <si>
    <t>-616.76199283275 29.7861395980553 -94.6864448785963</t>
  </si>
  <si>
    <t>-641.073535591232 26.1743717497654 -202.637411138574</t>
  </si>
  <si>
    <t>-650.809419781599 23.8183414119928 -294.971044796744</t>
  </si>
  <si>
    <t>-656.215749515448 21.9136587882278 -378.668594772011</t>
  </si>
  <si>
    <t>-657.653956162505 20.2353288308166 -462.533052262972</t>
  </si>
  <si>
    <t>-655.400740972083 18.0166411003299 -585.150042837642</t>
  </si>
  <si>
    <t>-624.420217266671 17.6071797817222 -657.123943226906</t>
  </si>
  <si>
    <t>-656.964314339916 50.3408994184367 -531.92467147129</t>
  </si>
  <si>
    <t>-626.393042423337 201.233349683675 -506.79419016507</t>
  </si>
  <si>
    <t>-679.330015053744 257.279408652398 -235.436286637361</t>
  </si>
  <si>
    <t>-461.849723738936 196.205046823692 -181.392032293565</t>
  </si>
  <si>
    <t>-620.959845784534 122.481152641176 -98.6452652408765</t>
  </si>
  <si>
    <t>-635.221555539056 136.360978737147 316.452998924318</t>
  </si>
  <si>
    <t>-671.747264049415 177.936129964801 776.201560219512</t>
  </si>
  <si>
    <t>-520.961357566465 180.903783160617 832.225091348792</t>
  </si>
  <si>
    <t>-610.519812220191 -74.4504261218185 321.234545958778</t>
  </si>
  <si>
    <t>-654.197078374509 -104.172624955524 781.219584861625</t>
  </si>
  <si>
    <t>-499.726688537331 -115.739943758289 824.681236733466</t>
  </si>
  <si>
    <t>9763-20170724T115653.090461200.bin</t>
  </si>
  <si>
    <t>-617.405786900894 29.4818582321802 -94.6904873017571</t>
  </si>
  <si>
    <t>-641.50720806614 25.9606940253514 -202.691571710277</t>
  </si>
  <si>
    <t>-651.150177576684 23.7207070711427 -295.037882695056</t>
  </si>
  <si>
    <t>-656.507295090491 21.9387102634319 -378.741124747822</t>
  </si>
  <si>
    <t>-657.93131732711 20.4049537995752 -462.60862978576</t>
  </si>
  <si>
    <t>-655.696082629131 18.4234370936945 -585.230048858261</t>
  </si>
  <si>
    <t>-624.68535131536 17.9656627811232 -657.190751965474</t>
  </si>
  <si>
    <t>-657.377789200311 50.6420213038102 -531.9443323583</t>
  </si>
  <si>
    <t>-628.662821840958 202.037779813712 -507.494605351635</t>
  </si>
  <si>
    <t>-679.839307842861 258.239611750659 -235.831444895276</t>
  </si>
  <si>
    <t>-462.246697558458 197.593895938868 -181.756738963799</t>
  </si>
  <si>
    <t>-621.629368241264 122.105163338372 -98.5969303698312</t>
  </si>
  <si>
    <t>-635.742108350108 136.229488086967 316.498223632035</t>
  </si>
  <si>
    <t>-671.753473752053 177.877384298508 776.301666418306</t>
  </si>
  <si>
    <t>-520.943452451202 180.949189882097 832.254631780021</t>
  </si>
  <si>
    <t>-611.270060889226 -74.6381552559897 321.104370711415</t>
  </si>
  <si>
    <t>-654.180931405754 -104.173041244334 781.231111471147</t>
  </si>
  <si>
    <t>-499.695170370417 -115.428003007556 824.720220537057</t>
  </si>
  <si>
    <t>9763-20170724T115653.123407300.bin</t>
  </si>
  <si>
    <t>-617.67972874441 29.2543206097541 -94.7327244539756</t>
  </si>
  <si>
    <t>-641.749134504445 25.7038880768012 -202.739894479582</t>
  </si>
  <si>
    <t>-651.395818393709 23.4767190096522 -295.086022044178</t>
  </si>
  <si>
    <t>-656.768844249851 21.7218374359682 -378.789003619231</t>
  </si>
  <si>
    <t>-658.221402317868 20.2334177541186 -462.656862677664</t>
  </si>
  <si>
    <t>-656.041746391915 18.3396558802922 -585.28068124</t>
  </si>
  <si>
    <t>-625.36807609819 17.6768661529168 -657.384048134059</t>
  </si>
  <si>
    <t>-657.798030835412 50.5176012861468 -531.972673004252</t>
  </si>
  <si>
    <t>-630.949529729178 202.332504297292 -508.06603605679</t>
  </si>
  <si>
    <t>-680.816783178045 257.995819093121 -236.048651489507</t>
  </si>
  <si>
    <t>-462.832564148559 198.037363644743 -182.790886998989</t>
  </si>
  <si>
    <t>-622.079632154967 121.955331429728 -98.6036860737779</t>
  </si>
  <si>
    <t>-635.867497402906 136.073198355288 316.502510616141</t>
  </si>
  <si>
    <t>-671.74505220825 177.849716966434 776.3209092857</t>
  </si>
  <si>
    <t>-520.934592375485 180.919826770324 832.272772455106</t>
  </si>
  <si>
    <t>-611.26641631271 -74.7319056395036 321.083256503713</t>
  </si>
  <si>
    <t>-654.198286264425 -104.204148902306 781.2329736604</t>
  </si>
  <si>
    <t>-499.72960087766 -115.720364787359 824.714250351835</t>
  </si>
  <si>
    <t>9763-20170724T115653.190585800.bin</t>
  </si>
  <si>
    <t>-617.748194666831 28.9356270208345 -94.9060681724102</t>
  </si>
  <si>
    <t>-641.701440350145 25.2299914665036 -202.933912524427</t>
  </si>
  <si>
    <t>-651.091610217371 23.0343037068853 -295.30736593954</t>
  </si>
  <si>
    <t>-656.168157662333 21.3671061405039 -379.030545177856</t>
  </si>
  <si>
    <t>-657.259522989078 20.0276734317927 -462.906353987354</t>
  </si>
  <si>
    <t>-654.481049299447 18.4184930394767 -585.52212272685</t>
  </si>
  <si>
    <t>-625.515327387661 16.9112933084987 -658.315792331736</t>
  </si>
  <si>
    <t>-656.647281426775 50.4685496324173 -532.152193913505</t>
  </si>
  <si>
    <t>-633.480348785286 202.990858638579 -508.883520230258</t>
  </si>
  <si>
    <t>-680.913627679157 256.60346057989 -236.020318366592</t>
  </si>
  <si>
    <t>-461.869585534889 198.588498208368 -185.005606208429</t>
  </si>
  <si>
    <t>-622.605171167693 121.440357390298 -98.6683575434549</t>
  </si>
  <si>
    <t>-636.415832802136 135.960609212869 316.423253363249</t>
  </si>
  <si>
    <t>-671.746534334403 177.802162825724 776.343404406927</t>
  </si>
  <si>
    <t>-520.923714156844 180.787016279656 832.266436589786</t>
  </si>
  <si>
    <t>-611.039062213492 -74.9194336798325 321.0471456106</t>
  </si>
  <si>
    <t>-654.245434148409 -104.138636825641 781.21174703572</t>
  </si>
  <si>
    <t>-499.73183987594 -115.296648038838 824.626846416674</t>
  </si>
  <si>
    <t>9763-20170724T115653.222225800.bin</t>
  </si>
  <si>
    <t>-617.859021016921 28.8375521845633 -94.902183934709</t>
  </si>
  <si>
    <t>-641.790337499426 25.0658855187969 -202.932664745317</t>
  </si>
  <si>
    <t>-651.065097558922 22.9174616974638 -295.31875773272</t>
  </si>
  <si>
    <t>-655.997235974132 21.3271314898034 -379.052158373366</t>
  </si>
  <si>
    <t>-656.903735493688 20.0967876535967 -462.931713981161</t>
  </si>
  <si>
    <t>-653.810680575467 18.6791976905497 -585.542381316086</t>
  </si>
  <si>
    <t>-625.997947012128 16.5372569402452 -658.768503134373</t>
  </si>
  <si>
    <t>-656.120116002922 50.6456972591061 -532.128265741075</t>
  </si>
  <si>
    <t>-634.290403339426 203.374231519265 -508.943380742061</t>
  </si>
  <si>
    <t>-681.413714539316 255.524631864062 -235.743385853322</t>
  </si>
  <si>
    <t>-462.04049789545 198.3169644091 -185.23406879481</t>
  </si>
  <si>
    <t>-623.073648696664 121.193099879341 -98.6650730281144</t>
  </si>
  <si>
    <t>-636.717040242375 135.869660089688 316.426590616933</t>
  </si>
  <si>
    <t>-671.756083384289 177.772514945082 776.372952963536</t>
  </si>
  <si>
    <t>-520.922062304124 180.828017559798 832.262040865388</t>
  </si>
  <si>
    <t>-610.825521868495 -74.9601042450147 321.03023035096</t>
  </si>
  <si>
    <t>-654.27168830086 -104.174060091458 781.197072906049</t>
  </si>
  <si>
    <t>-499.764283868172 -115.545081839692 824.578918295449</t>
  </si>
  <si>
    <t>9763-20170724T115653.260327200.bin</t>
  </si>
  <si>
    <t>-618.121026272711 28.7388573244311 -94.8548203831542</t>
  </si>
  <si>
    <t>-641.958614176753 24.9594603455605 -202.905615131942</t>
  </si>
  <si>
    <t>-651.105478162226 22.9034373886464 -295.306618971575</t>
  </si>
  <si>
    <t>-655.901490608439 21.4297361102472 -379.050066983396</t>
  </si>
  <si>
    <t>-656.650998627182 20.3457419833915 -462.933305011359</t>
  </si>
  <si>
    <t>-653.305326512326 19.1714839230269 -585.539801605765</t>
  </si>
  <si>
    <t>-626.588960245917 16.1514638026699 -659.142242336645</t>
  </si>
  <si>
    <t>-655.673838382697 51.0333278804258 -532.065963176524</t>
  </si>
  <si>
    <t>-634.135745658353 203.770894659448 -508.696756244203</t>
  </si>
  <si>
    <t>-681.731292610188 254.516440537812 -235.314009020965</t>
  </si>
  <si>
    <t>-462.291663142158 197.66616138189 -184.689646271583</t>
  </si>
  <si>
    <t>-623.614567463779 121.05437365827 -98.6272072754189</t>
  </si>
  <si>
    <t>-637.054347075294 135.731319404955 316.471016542171</t>
  </si>
  <si>
    <t>-671.76003104549 177.730737570492 776.412506211639</t>
  </si>
  <si>
    <t>-520.917918860073 180.895074915942 832.273729538014</t>
  </si>
  <si>
    <t>-610.668855893184 -74.9320592840209 321.027370305561</t>
  </si>
  <si>
    <t>-654.303613687046 -104.135014340159 781.173776482732</t>
  </si>
  <si>
    <t>-499.772077020524 -115.370892034315 824.504901719016</t>
  </si>
  <si>
    <t>9763-20170724T115653.327058900.bin</t>
  </si>
  <si>
    <t>-618.241053304168 28.4346581310047 -94.7774667046234</t>
  </si>
  <si>
    <t>-642.009755211699 24.7118944718122 -202.845368791356</t>
  </si>
  <si>
    <t>-651.012865318808 22.7981411269805 -295.263665906094</t>
  </si>
  <si>
    <t>-655.643113651328 21.4842118631277 -379.019127955995</t>
  </si>
  <si>
    <t>-656.190248428146 20.5829677670622 -462.906079143542</t>
  </si>
  <si>
    <t>-652.50830349697 19.6948319736061 -585.505286231989</t>
  </si>
  <si>
    <t>-627.647077828231 14.6624800817492 -659.645736961704</t>
  </si>
  <si>
    <t>-654.785254922206 51.4377625260911 -531.95684716268</t>
  </si>
  <si>
    <t>-632.298439435854 203.958884334693 -508.127515506464</t>
  </si>
  <si>
    <t>-681.068085740359 253.908518796138 -234.80514955609</t>
  </si>
  <si>
    <t>-462.289625243666 195.783432298211 -182.785991390346</t>
  </si>
  <si>
    <t>-623.538813946976 120.711687205976 -98.5117698782449</t>
  </si>
  <si>
    <t>-637.164701622481 135.570708801699 316.573972585299</t>
  </si>
  <si>
    <t>-671.749772025682 177.709337699944 776.470164025702</t>
  </si>
  <si>
    <t>-520.903935236225 180.908196432001 832.319353248962</t>
  </si>
  <si>
    <t>-610.627116127245 -75.1321066149999 321.048572769857</t>
  </si>
  <si>
    <t>-654.33438119732 -104.122506561311 781.155195792262</t>
  </si>
  <si>
    <t>-499.763899340896 -114.9798936105 824.443922749181</t>
  </si>
  <si>
    <t>9763-20170724T115653.360145700.bin</t>
  </si>
  <si>
    <t>-618.136129387998 28.2774144757698 -94.7176699362711</t>
  </si>
  <si>
    <t>-641.977464472616 24.6618270485833 -202.77331015096</t>
  </si>
  <si>
    <t>-651.075550515636 22.8465234134335 -295.184094163119</t>
  </si>
  <si>
    <t>-655.805184882635 21.6270054818799 -378.93545585974</t>
  </si>
  <si>
    <t>-656.464925824531 20.8232887867196 -462.822563704035</t>
  </si>
  <si>
    <t>-652.961902648571 20.0806885252418 -585.42799089093</t>
  </si>
  <si>
    <t>-628.926325079359 14.2640868140586 -659.783135654479</t>
  </si>
  <si>
    <t>-655.036055936361 51.7625270734131 -531.835052425298</t>
  </si>
  <si>
    <t>-632.060229039103 204.156266652797 -507.764706279568</t>
  </si>
  <si>
    <t>-680.918915451677 254.818162013396 -234.589305645095</t>
  </si>
  <si>
    <t>-462.396949436687 195.850129451398 -182.440906928599</t>
  </si>
  <si>
    <t>-623.100826431149 120.630186253433 -98.4501875788284</t>
  </si>
  <si>
    <t>-636.90053717166 135.415970987171 316.632420262289</t>
  </si>
  <si>
    <t>-671.744442622648 177.68077557724 776.485038990055</t>
  </si>
  <si>
    <t>-520.899843812439 180.919252032068 832.335112214733</t>
  </si>
  <si>
    <t>-610.77087446448 -75.2737849951782 321.046180600904</t>
  </si>
  <si>
    <t>-654.332518088282 -104.15829529925 781.163541422875</t>
  </si>
  <si>
    <t>-499.779908168187 -115.231544691436 824.461331619171</t>
  </si>
  <si>
    <t>9763-20170724T115653.423879800.bin</t>
  </si>
  <si>
    <t>-617.948987303948 28.0758912434642 -94.6623530977854</t>
  </si>
  <si>
    <t>-642.287615438324 24.7642440441559 -202.61688936786</t>
  </si>
  <si>
    <t>-651.904929999559 23.2597693087018 -294.9805861015</t>
  </si>
  <si>
    <t>-657.143011665032 22.3523976853032 -378.70567365652</t>
  </si>
  <si>
    <t>-658.349669405592 21.8857785095854 -462.589231036169</t>
  </si>
  <si>
    <t>-655.687006703284 21.6629603984447 -585.217936213504</t>
  </si>
  <si>
    <t>-633.054551066288 14.9134019076437 -659.933553828136</t>
  </si>
  <si>
    <t>-657.057788140747 53.1212230807214 -531.470986620907</t>
  </si>
  <si>
    <t>-632.884979821199 205.233247430195 -506.626382866168</t>
  </si>
  <si>
    <t>-681.636942456063 256.449434045488 -233.535320353067</t>
  </si>
  <si>
    <t>-463.12937571234 196.980035905762 -181.898458403929</t>
  </si>
  <si>
    <t>-621.986245184748 120.92172417661 -98.4104797192069</t>
  </si>
  <si>
    <t>-635.871312725965 135.124854769346 316.689640025413</t>
  </si>
  <si>
    <t>-671.659972961581 177.706040088278 776.445098844629</t>
  </si>
  <si>
    <t>-520.848098977715 180.845756807249 832.389203556037</t>
  </si>
  <si>
    <t>-610.954325706286 -75.1545353133113 321.018279136265</t>
  </si>
  <si>
    <t>-654.310025449521 -104.199785489102 781.179315893853</t>
  </si>
  <si>
    <t>-499.806706077277 -115.764311033462 824.524455740455</t>
  </si>
  <si>
    <t>9763-20170724T115653.458971900.bin</t>
  </si>
  <si>
    <t>-617.975370461926 27.8843046864417 -94.7012891869474</t>
  </si>
  <si>
    <t>-642.652440835625 24.7152786634088 -202.583152763885</t>
  </si>
  <si>
    <t>-652.586081888026 23.3179693483075 -294.915197990214</t>
  </si>
  <si>
    <t>-658.121857025046 22.5061956313441 -378.622076117276</t>
  </si>
  <si>
    <t>-659.637610952171 22.1313187618125 -462.500982339425</t>
  </si>
  <si>
    <t>-657.438869529928 22.0379218815788 -585.139117748688</t>
  </si>
  <si>
    <t>-635.331093547233 15.0027390449577 -659.985332194847</t>
  </si>
  <si>
    <t>-658.450208252545 53.4400675959678 -531.351308862485</t>
  </si>
  <si>
    <t>-633.703075543386 205.431545327234 -506.293763493848</t>
  </si>
  <si>
    <t>-682.36417307132 256.021798998978 -233.069880644179</t>
  </si>
  <si>
    <t>-463.816173731756 196.695473093526 -181.439634755097</t>
  </si>
  <si>
    <t>-621.602284530084 120.887052134722 -98.3871896646597</t>
  </si>
  <si>
    <t>-635.281915177771 134.961318675703 316.724109015867</t>
  </si>
  <si>
    <t>-671.629312617201 177.637489911818 776.429435590428</t>
  </si>
  <si>
    <t>-520.843619008471 180.896525705092 832.437090549959</t>
  </si>
  <si>
    <t>-610.892089312934 -74.9785248293895 320.99396918921</t>
  </si>
  <si>
    <t>-654.281982142729 -104.17384042138 781.178275339095</t>
  </si>
  <si>
    <t>-499.786492775115 -115.684284590961 824.565765760223</t>
  </si>
  <si>
    <t>9763-20170724T115653.521687000.bin</t>
  </si>
  <si>
    <t>-618.211465495702 27.6584040207886 -94.6315046467056</t>
  </si>
  <si>
    <t>-643.459143210585 24.7648189757397 -202.389030147012</t>
  </si>
  <si>
    <t>-653.87887068077 23.5643984883422 -294.670165372638</t>
  </si>
  <si>
    <t>-659.854582693694 22.9212507897937 -378.348193461327</t>
  </si>
  <si>
    <t>-661.810474786422 22.7005932538525 -462.218783890773</t>
  </si>
  <si>
    <t>-660.254311821602 22.8164466420556 -584.866576313267</t>
  </si>
  <si>
    <t>-638.877731141191 15.5477636186336 -659.902688627072</t>
  </si>
  <si>
    <t>-660.75260896521 54.1263850271082 -531.017835800081</t>
  </si>
  <si>
    <t>-634.884947256564 205.862206021474 -505.653661905575</t>
  </si>
  <si>
    <t>-683.268766114992 255.349295073265 -232.178438077942</t>
  </si>
  <si>
    <t>-464.641956865318 196.002026801137 -180.907081555955</t>
  </si>
  <si>
    <t>-621.395615646372 120.945085210727 -98.2054085666834</t>
  </si>
  <si>
    <t>-634.878133108647 134.800710094111 316.919673751238</t>
  </si>
  <si>
    <t>-671.58305106143 177.557856444233 776.560886418108</t>
  </si>
  <si>
    <t>-520.816822837294 180.814020408684 832.621161374209</t>
  </si>
  <si>
    <t>-610.396922457192 -74.4871297893592 321.027349730345</t>
  </si>
  <si>
    <t>-653.413304727929 -104.345198137615 781.273843069899</t>
  </si>
  <si>
    <t>-499.346098732131 -115.624579482385 826.216982767523</t>
  </si>
  <si>
    <t>9763-20170724T115653.585858400.bin</t>
  </si>
  <si>
    <t>-618.239466747361 27.7892172076051 -94.5714683514892</t>
  </si>
  <si>
    <t>-643.697152135306 24.9738851017905 -202.281596762092</t>
  </si>
  <si>
    <t>-654.327527883284 23.8397291038527 -294.539639352725</t>
  </si>
  <si>
    <t>-660.506442014165 23.257796076653 -378.203386578783</t>
  </si>
  <si>
    <t>-662.678264763679 23.0977188528918 -462.068766023204</t>
  </si>
  <si>
    <t>-661.451295025133 23.3006395292903 -584.720254507258</t>
  </si>
  <si>
    <t>-640.349559257086 16.0277200782505 -659.833652623468</t>
  </si>
  <si>
    <t>-661.724394453312 54.571716995521 -530.84727808396</t>
  </si>
  <si>
    <t>-635.447077944407 206.201161783483 -505.282104267677</t>
  </si>
  <si>
    <t>-683.428707094071 255.51986637252 -231.705760635422</t>
  </si>
  <si>
    <t>-464.793896715628 195.999844783658 -180.669330568979</t>
  </si>
  <si>
    <t>-621.433222213432 121.15376703951 -98.0858470037549</t>
  </si>
  <si>
    <t>-634.748566372887 134.992620738647 317.045227224717</t>
  </si>
  <si>
    <t>-671.549883634954 177.614335544673 776.723598704111</t>
  </si>
  <si>
    <t>-520.771522297261 180.580205070397 832.767343006283</t>
  </si>
  <si>
    <t>-610.284992710247 -74.0392990736293 321.108235030319</t>
  </si>
  <si>
    <t>-652.592589227538 -104.44224652966 781.444261340644</t>
  </si>
  <si>
    <t>-498.906710726562 -115.08868640779 827.824445939791</t>
  </si>
  <si>
    <t>9763-20170724T115653.624980200.bin</t>
  </si>
  <si>
    <t>-618.611638224168 28.6073824016985 -94.14762620825</t>
  </si>
  <si>
    <t>-644.564528296592 25.937171727601 -201.743194218284</t>
  </si>
  <si>
    <t>-655.566295257672 24.9438484494294 -293.959319509893</t>
  </si>
  <si>
    <t>-662.060503609747 24.4958553977581 -377.600046699979</t>
  </si>
  <si>
    <t>-664.526518595072 24.473413320185 -461.45740668578</t>
  </si>
  <si>
    <t>-663.705690097729 24.879862339169 -584.111645917836</t>
  </si>
  <si>
    <t>-642.968797690327 17.660834268652 -659.331882472353</t>
  </si>
  <si>
    <t>-663.685730871847 56.0603301891492 -530.185607129997</t>
  </si>
  <si>
    <t>-636.907664580137 207.504997809788 -504.058557580901</t>
  </si>
  <si>
    <t>-683.925659201989 256.755098848939 -230.302593195408</t>
  </si>
  <si>
    <t>-465.352334818478 196.543514127561 -179.816862818902</t>
  </si>
  <si>
    <t>-622.185372322536 122.023288955631 -97.6623825841123</t>
  </si>
  <si>
    <t>-634.406641884037 135.756980600661 317.505788084944</t>
  </si>
  <si>
    <t>-671.511106363163 177.566136491542 777.238329960691</t>
  </si>
  <si>
    <t>-520.691731208701 180.569869436511 833.169704129788</t>
  </si>
  <si>
    <t>-609.514577590363 -72.3888854481313 321.542333876059</t>
  </si>
  <si>
    <t>-651.255127457589 -104.523221838114 781.88424237388</t>
  </si>
  <si>
    <t>-498.278005812588 -115.161357919663 830.553121399514</t>
  </si>
  <si>
    <t>9763-20170724T115653.690154400.bin</t>
  </si>
  <si>
    <t>-619.906512872476 29.5244103037851 -93.6670150412178</t>
  </si>
  <si>
    <t>-646.589432034022 26.9269993449855 -201.085697144975</t>
  </si>
  <si>
    <t>-657.876011859274 26.034151033135 -293.268420779248</t>
  </si>
  <si>
    <t>-664.490116574412 25.6861570394815 -376.90006882134</t>
  </si>
  <si>
    <t>-666.93708164982 25.7673330606549 -460.758058200154</t>
  </si>
  <si>
    <t>-665.935248436842 26.3243177314821 -583.410445520264</t>
  </si>
  <si>
    <t>-645.397070868015 19.0384761808016 -658.678677298163</t>
  </si>
  <si>
    <t>-665.868198770355 57.4367364297043 -529.445048626056</t>
  </si>
  <si>
    <t>-638.40298355756 208.690056605306 -502.872439239947</t>
  </si>
  <si>
    <t>-685.565862155883 256.825890228006 -228.943335648176</t>
  </si>
  <si>
    <t>-467.094609156919 196.206135271043 -178.504431801525</t>
  </si>
  <si>
    <t>-623.804312302772 123.159455954389 -97.1267417047568</t>
  </si>
  <si>
    <t>-634.749393789962 136.426557705612 318.092225826042</t>
  </si>
  <si>
    <t>-671.449505512342 177.583524455446 777.892140726867</t>
  </si>
  <si>
    <t>-520.589675770209 180.421951441941 833.723097987758</t>
  </si>
  <si>
    <t>-608.793013943748 -69.9844214844913 321.999196195996</t>
  </si>
  <si>
    <t>-650.623345358639 -104.436337801206 782.097313485371</t>
  </si>
  <si>
    <t>-498.016700240543 -115.06692916291 831.917304098817</t>
  </si>
  <si>
    <t>9763-20170724T115653.726813900.bin</t>
  </si>
  <si>
    <t>-620.938446222702 30.0698866618161 -93.4669270618059</t>
  </si>
  <si>
    <t>-647.697595630117 27.4480205717819 -200.866037303498</t>
  </si>
  <si>
    <t>-658.867326911134 26.5430027695124 -293.06281004867</t>
  </si>
  <si>
    <t>-665.301471105287 26.1833147603647 -376.708647018191</t>
  </si>
  <si>
    <t>-667.493603709726 26.2487900719475 -460.573447049762</t>
  </si>
  <si>
    <t>-666.037297385332 26.7757475618114 -583.221432771287</t>
  </si>
  <si>
    <t>-645.506360120633 19.3032441935538 -658.473491880629</t>
  </si>
  <si>
    <t>-666.103596248411 57.9001394365168 -529.263153669643</t>
  </si>
  <si>
    <t>-638.309536483557 209.0869281481 -502.615494841737</t>
  </si>
  <si>
    <t>-685.865325625727 256.634547819845 -228.651460237436</t>
  </si>
  <si>
    <t>-467.558544391578 195.577940145758 -178.027656983436</t>
  </si>
  <si>
    <t>-624.830338863052 123.694847097835 -96.8918533811756</t>
  </si>
  <si>
    <t>-635.444499224274 136.879853781511 318.338325864227</t>
  </si>
  <si>
    <t>-671.438427293981 177.663244842581 778.228432557995</t>
  </si>
  <si>
    <t>-520.538121753065 180.357172705211 833.956921691662</t>
  </si>
  <si>
    <t>-609.389408785758 -69.2120316601422 322.144376288764</t>
  </si>
  <si>
    <t>-650.579536771659 -104.328317397831 782.133121836474</t>
  </si>
  <si>
    <t>-498.03710591969 -115.140545608585 832.110313781171</t>
  </si>
  <si>
    <t>9763-20170724T115653.760905300.bin</t>
  </si>
  <si>
    <t>-622.023406254206 30.647541274029 -93.289474885747</t>
  </si>
  <si>
    <t>-648.703947464402 28.0373220815816 -200.708416128423</t>
  </si>
  <si>
    <t>-659.725057560448 27.1220918836914 -292.922961780623</t>
  </si>
  <si>
    <t>-665.991542465422 26.7430568824018 -376.581515747905</t>
  </si>
  <si>
    <t>-667.982556978545 26.7772832244621 -460.451480857203</t>
  </si>
  <si>
    <t>-666.196171882489 27.24329143767 -583.095217246989</t>
  </si>
  <si>
    <t>-645.694880460338 19.5593102652854 -658.333991310354</t>
  </si>
  <si>
    <t>-666.358685515987 58.3935094274686 -529.152045084505</t>
  </si>
  <si>
    <t>-638.225023638779 209.499025282647 -502.439738239225</t>
  </si>
  <si>
    <t>-686.155900278216 256.687048639654 -228.478987928109</t>
  </si>
  <si>
    <t>-468.072634640108 195.074277314656 -177.566587109579</t>
  </si>
  <si>
    <t>-625.789616880961 124.114964914109 -96.6957034929364</t>
  </si>
  <si>
    <t>-636.35496267535 137.348210788881 318.534158229856</t>
  </si>
  <si>
    <t>-671.466965858913 177.646438802306 778.536148204112</t>
  </si>
  <si>
    <t>-520.512965481728 180.219829253798 834.124739088149</t>
  </si>
  <si>
    <t>-610.353226016803 -68.6278503594299 322.20790069538</t>
  </si>
  <si>
    <t>-650.625691596754 -104.247119139924 782.157669691979</t>
  </si>
  <si>
    <t>-498.062098623493 -114.888919285277 832.106865597606</t>
  </si>
  <si>
    <t>9763-20170724T115653.826595400.bin</t>
  </si>
  <si>
    <t>-624.133534403692 31.2643417012359 -93.1042195579874</t>
  </si>
  <si>
    <t>-650.525261865717 28.755832967197 -200.596948405827</t>
  </si>
  <si>
    <t>-661.192040025001 27.8150990308197 -292.852942712938</t>
  </si>
  <si>
    <t>-667.094847779725 27.3696315218706 -376.53736661714</t>
  </si>
  <si>
    <t>-668.679432376672 27.2915357476909 -460.415981197495</t>
  </si>
  <si>
    <t>-666.253039974551 27.5428329596809 -583.049470879645</t>
  </si>
  <si>
    <t>-645.72312233452 19.4190614602528 -658.23415720155</t>
  </si>
  <si>
    <t>-666.611053417517 58.7856450170405 -529.160741394583</t>
  </si>
  <si>
    <t>-638.124023703305 209.88672094651 -502.749632149557</t>
  </si>
  <si>
    <t>-686.439262304755 256.748417300149 -228.80035164912</t>
  </si>
  <si>
    <t>-468.968378265925 193.914800004017 -176.772673444614</t>
  </si>
  <si>
    <t>-627.612139531944 124.689168797252 -96.4742509095042</t>
  </si>
  <si>
    <t>-637.897055660048 137.974462148555 318.760974678129</t>
  </si>
  <si>
    <t>-671.470065523145 177.80965850955 778.963586724737</t>
  </si>
  <si>
    <t>-520.416170905049 180.030759947278 834.295458711864</t>
  </si>
  <si>
    <t>-612.338961778694 -67.9886140872134 322.189228628557</t>
  </si>
  <si>
    <t>-650.793538090634 -104.181486424113 782.192531169002</t>
  </si>
  <si>
    <t>-498.194041929532 -115.21953432913 831.945656549663</t>
  </si>
  <si>
    <t>9763-20170724T115653.858680700.bin</t>
  </si>
  <si>
    <t>-625.062073803587 31.3159197810539 -93.098202544149</t>
  </si>
  <si>
    <t>-651.354930110711 28.8481663452508 -200.616151918837</t>
  </si>
  <si>
    <t>-661.885413686362 27.8795483716087 -292.887468652174</t>
  </si>
  <si>
    <t>-667.644427684934 27.3848194448576 -376.581701363433</t>
  </si>
  <si>
    <t>-669.064806083094 27.2332166173449 -460.463159615517</t>
  </si>
  <si>
    <t>-666.376568435453 27.3505201265473 -583.091287070912</t>
  </si>
  <si>
    <t>-645.832588848954 19.0353713473451 -658.251266375925</t>
  </si>
  <si>
    <t>-666.814850586536 58.6516039239093 -529.236974419556</t>
  </si>
  <si>
    <t>-638.116029818846 209.737682354835 -502.991124157491</t>
  </si>
  <si>
    <t>-686.811945089936 256.775798025384 -229.139512807353</t>
  </si>
  <si>
    <t>-469.617918581028 193.401662875045 -176.613191849087</t>
  </si>
  <si>
    <t>-628.373085717393 124.775152242341 -96.4371148599705</t>
  </si>
  <si>
    <t>-638.42626553086 138.080750140051 318.803140807128</t>
  </si>
  <si>
    <t>-671.477149185925 177.791041137797 779.086042261443</t>
  </si>
  <si>
    <t>-520.390694758115 180.038883450239 834.32780392824</t>
  </si>
  <si>
    <t>-613.048787145289 -67.8859912823223 322.17175646937</t>
  </si>
  <si>
    <t>-650.856083270087 -104.176011485765 782.218492322759</t>
  </si>
  <si>
    <t>-498.257373563887 -115.525622547772 831.903914988886</t>
  </si>
  <si>
    <t>9763-20170724T115653.925374400.bin</t>
  </si>
  <si>
    <t>-626.226739767165 31.159113176484 -93.189360411691</t>
  </si>
  <si>
    <t>-652.349602701576 28.7459311789501 -200.749831249516</t>
  </si>
  <si>
    <t>-662.71014219865 27.728555994722 -293.039946812268</t>
  </si>
  <si>
    <t>-668.305827064886 27.1539423395914 -376.744778630599</t>
  </si>
  <si>
    <t>-669.553794772453 26.8850395635291 -460.628664702012</t>
  </si>
  <si>
    <t>-666.604203165459 26.7900668410152 -583.250967888636</t>
  </si>
  <si>
    <t>-645.975179735376 18.2465098084142 -658.361791865531</t>
  </si>
  <si>
    <t>-667.095310948501 58.1826804747952 -529.450314809266</t>
  </si>
  <si>
    <t>-638.032529778175 209.239867657324 -503.525717439617</t>
  </si>
  <si>
    <t>-687.32265573419 257.417539301691 -229.978795273414</t>
  </si>
  <si>
    <t>-470.539307925262 193.435438476763 -176.501669919159</t>
  </si>
  <si>
    <t>-629.303783938778 124.693924931414 -96.4380435564485</t>
  </si>
  <si>
    <t>-639.079906102013 138.138410062659 318.804352040522</t>
  </si>
  <si>
    <t>-671.446121899086 177.823641552461 779.195675459643</t>
  </si>
  <si>
    <t>-520.318332530389 179.788059922591 834.335130820751</t>
  </si>
  <si>
    <t>-614.069388816034 -67.8821036211648 322.086792200796</t>
  </si>
  <si>
    <t>-650.939648750691 -104.106012468832 782.25175312258</t>
  </si>
  <si>
    <t>-498.312516459662 -115.394739247838 831.863697605732</t>
  </si>
  <si>
    <t>9763-20170724T115653.959464000.bin</t>
  </si>
  <si>
    <t>-626.47126785957 31.0739287364147 -93.21685697583</t>
  </si>
  <si>
    <t>-652.521087443925 28.6721895895553 -200.795309938211</t>
  </si>
  <si>
    <t>-662.826722257326 27.6368782881877 -293.091426849353</t>
  </si>
  <si>
    <t>-668.375835782465 27.0351828707396 -376.799057577574</t>
  </si>
  <si>
    <t>-669.580478587187 26.7277538168041 -460.683517017033</t>
  </si>
  <si>
    <t>-666.571325331684 26.563819022628 -583.304140839278</t>
  </si>
  <si>
    <t>-645.871744965647 17.9545294474976 -658.388212632091</t>
  </si>
  <si>
    <t>-667.067138707647 57.9859958490379 -529.520906037492</t>
  </si>
  <si>
    <t>-637.866831343557 209.035534873746 -503.66385076225</t>
  </si>
  <si>
    <t>-687.342826108399 257.79534411092 -230.253546264439</t>
  </si>
  <si>
    <t>-470.668241007032 193.751705336374 -176.410561594634</t>
  </si>
  <si>
    <t>-629.514210379045 124.593655959765 -96.4524959085855</t>
  </si>
  <si>
    <t>-639.262366260538 138.092379886015 318.78888129078</t>
  </si>
  <si>
    <t>-671.448887320533 177.728984512503 779.222343473782</t>
  </si>
  <si>
    <t>-520.308612471839 179.767387194477 834.324797810439</t>
  </si>
  <si>
    <t>-614.414475646776 -67.8887669247883 322.061564530399</t>
  </si>
  <si>
    <t>-650.969957854883 -104.07072380117 782.2660168295</t>
  </si>
  <si>
    <t>-498.332183623739 -115.278790173423 831.863532060077</t>
  </si>
  <si>
    <t>9763-20170724T115654.022186800.bin</t>
  </si>
  <si>
    <t>-626.45541718298 30.789896119865 -93.2488418591043</t>
  </si>
  <si>
    <t>-652.416772530224 28.3945431382124 -200.848869055332</t>
  </si>
  <si>
    <t>-662.636265641788 27.3331137644434 -293.154200516122</t>
  </si>
  <si>
    <t>-668.103321522571 26.6942945217581 -376.866968977438</t>
  </si>
  <si>
    <t>-669.221775302661 26.3352946132561 -460.752448029725</t>
  </si>
  <si>
    <t>-666.082407734925 26.0791891467732 -583.369751439983</t>
  </si>
  <si>
    <t>-645.196053643465 17.3663208112002 -658.390132621515</t>
  </si>
  <si>
    <t>-666.594996682079 57.5409148130811 -529.609621628135</t>
  </si>
  <si>
    <t>-637.198581045034 208.568552738516 -503.846488098666</t>
  </si>
  <si>
    <t>-687.095942079834 257.65050024329 -230.57044336346</t>
  </si>
  <si>
    <t>-470.395270251536 193.998206484453 -176.369547629208</t>
  </si>
  <si>
    <t>-629.416147324158 124.263837800183 -96.4920393750267</t>
  </si>
  <si>
    <t>-639.326958636555 137.838729304041 318.742959862791</t>
  </si>
  <si>
    <t>-671.395691196994 177.66243636765 779.19544321846</t>
  </si>
  <si>
    <t>-520.248665015081 179.723898651409 834.278550083883</t>
  </si>
  <si>
    <t>-614.531634454408 -68.2573018282546 322.052479218792</t>
  </si>
  <si>
    <t>-651.007603706636 -104.083555795246 782.29172285074</t>
  </si>
  <si>
    <t>-498.399353586785 -115.613151959182 831.906438751488</t>
  </si>
  <si>
    <t>9763-20170724T115654.056279200.bin</t>
  </si>
  <si>
    <t>-626.25848654859 30.6093523580007 -93.2579745051839</t>
  </si>
  <si>
    <t>-652.209914743493 28.1963587916935 -200.859933924259</t>
  </si>
  <si>
    <t>-662.448174455395 27.1295846921473 -293.163257345403</t>
  </si>
  <si>
    <t>-667.942994702963 26.489725517911 -376.874174995818</t>
  </si>
  <si>
    <t>-669.100107176594 26.1327324305505 -460.758963114293</t>
  </si>
  <si>
    <t>-666.029120483056 25.8827327480296 -583.378058161278</t>
  </si>
  <si>
    <t>-645.079371888819 17.1548900668986 -658.379029425356</t>
  </si>
  <si>
    <t>-666.505653135638 57.3415296518674 -529.615940038015</t>
  </si>
  <si>
    <t>-637.123199958771 208.368626758988 -503.847662538985</t>
  </si>
  <si>
    <t>-687.093098589327 257.324838927909 -230.562226067702</t>
  </si>
  <si>
    <t>-470.348351184372 193.864868049904 -176.312217403955</t>
  </si>
  <si>
    <t>-629.256104427959 124.034995893959 -96.5075621419456</t>
  </si>
  <si>
    <t>-639.195632392403 137.669078557929 318.724796279232</t>
  </si>
  <si>
    <t>-671.380743210815 177.546839826207 779.169328109512</t>
  </si>
  <si>
    <t>-520.237563278137 179.713704358456 834.258997586154</t>
  </si>
  <si>
    <t>-614.420148926185 -68.47765924225 322.048403805906</t>
  </si>
  <si>
    <t>-651.024284959207 -104.077105637052 782.302732215342</t>
  </si>
  <si>
    <t>-498.401739278127 -115.336507976611 831.935403522396</t>
  </si>
  <si>
    <t>9763-20170724T115654.123988100.bin</t>
  </si>
  <si>
    <t>-625.531332494361 30.2957955699144 -93.2928338190611</t>
  </si>
  <si>
    <t>-651.524548917879 27.8525901676671 -200.884042835224</t>
  </si>
  <si>
    <t>-661.812170265009 26.7996769450251 -293.181947834859</t>
  </si>
  <si>
    <t>-667.357010537422 26.1875429177203 -376.889839595108</t>
  </si>
  <si>
    <t>-668.569331094738 25.8744894913782 -460.774137813853</t>
  </si>
  <si>
    <t>-665.584513798042 25.706379370934 -583.395397703545</t>
  </si>
  <si>
    <t>-644.554989914995 16.955736004787 -658.371475681585</t>
  </si>
  <si>
    <t>-666.051124066063 57.129980283748 -529.61272937116</t>
  </si>
  <si>
    <t>-636.83330800095 208.164360199562 -503.702400478422</t>
  </si>
  <si>
    <t>-687.017145477458 256.574836358614 -230.359144943128</t>
  </si>
  <si>
    <t>-470.161750303458 193.436460203865 -176.175957125663</t>
  </si>
  <si>
    <t>-628.523304042584 123.663120285161 -96.5383238043646</t>
  </si>
  <si>
    <t>-638.665639425513 137.437700431061 318.68449579197</t>
  </si>
  <si>
    <t>-671.279144434082 177.536866539104 779.066940182885</t>
  </si>
  <si>
    <t>-520.157057144516 179.728357378861 834.213508199991</t>
  </si>
  <si>
    <t>-614.254845737575 -69.0357260831636 322.054357537249</t>
  </si>
  <si>
    <t>-651.073039689706 -104.044968779875 782.315205050711</t>
  </si>
  <si>
    <t>-498.418117428088 -114.866257191701 831.945782205621</t>
  </si>
  <si>
    <t>9763-20170724T115654.155070200.bin</t>
  </si>
  <si>
    <t>-625.098037873617 30.1810476944222 -93.3154361753309</t>
  </si>
  <si>
    <t>-651.068311190075 27.7073427273738 -200.91158956522</t>
  </si>
  <si>
    <t>-661.341827903981 26.6596358807478 -293.211091964079</t>
  </si>
  <si>
    <t>-666.875982300287 26.0643146829857 -376.919767553561</t>
  </si>
  <si>
    <t>-668.079543548268 25.7805027109805 -460.804352605709</t>
  </si>
  <si>
    <t>-665.083847849918 25.6691724477623 -583.425301655537</t>
  </si>
  <si>
    <t>-644.037669154426 16.936751610659 -658.3988631925</t>
  </si>
  <si>
    <t>-665.571876394433 57.0682543226683 -529.628579511188</t>
  </si>
  <si>
    <t>-636.473131267162 208.110447089632 -503.632174974986</t>
  </si>
  <si>
    <t>-686.788500433969 256.247689831114 -230.264701963413</t>
  </si>
  <si>
    <t>-469.95704402729 193.092923407273 -176.005136130747</t>
  </si>
  <si>
    <t>-628.126522803702 123.479389371237 -96.5620593333325</t>
  </si>
  <si>
    <t>-638.368459985898 137.293158939041 318.656991566752</t>
  </si>
  <si>
    <t>-671.244366120534 177.461493995637 779.01081180412</t>
  </si>
  <si>
    <t>-520.133698426787 179.623857537752 834.18969383431</t>
  </si>
  <si>
    <t>-614.09792537682 -69.3442772448861 322.049198076971</t>
  </si>
  <si>
    <t>-651.104635242008 -104.051293369188 782.315676933554</t>
  </si>
  <si>
    <t>-498.456698551154 -115.019889124859 831.935405812532</t>
  </si>
  <si>
    <t>9763-20170724T115654.222756900.bin</t>
  </si>
  <si>
    <t>-623.98461122283 29.6161494458688 -93.2907017363648</t>
  </si>
  <si>
    <t>-649.82438986465 27.0849437219433 -200.916891068193</t>
  </si>
  <si>
    <t>-659.954569572767 26.0384578566927 -293.232183766011</t>
  </si>
  <si>
    <t>-665.345641710844 25.4628608631804 -376.950372493676</t>
  </si>
  <si>
    <t>-666.392543787875 25.2174358549996 -460.837092375286</t>
  </si>
  <si>
    <t>-663.153119628908 25.1821159748006 -583.452163388343</t>
  </si>
  <si>
    <t>-642.04955354042 16.5002356403165 -658.41527969833</t>
  </si>
  <si>
    <t>-663.768607302181 56.5484979454307 -529.637482388928</t>
  </si>
  <si>
    <t>-634.63116202518 207.578792214289 -503.555879765059</t>
  </si>
  <si>
    <t>-685.804076882402 255.016899148015 -230.225312991668</t>
  </si>
  <si>
    <t>-469.150702844069 191.697298459183 -175.448693104654</t>
  </si>
  <si>
    <t>-627.059740339588 122.765253435929 -96.5850173422666</t>
  </si>
  <si>
    <t>-637.815345401397 136.82624355192 318.61283609339</t>
  </si>
  <si>
    <t>-671.177654288722 177.323283570303 778.890635766396</t>
  </si>
  <si>
    <t>-520.092821747728 179.66534955609 834.132985064823</t>
  </si>
  <si>
    <t>-613.340516634321 -70.1929033119084 322.074177734126</t>
  </si>
  <si>
    <t>-651.190138795447 -104.08032768437 782.318945797168</t>
  </si>
  <si>
    <t>-498.517049831297 -115.014580942691 831.868849057519</t>
  </si>
  <si>
    <t>9763-20170724T115654.290937800.bin</t>
  </si>
  <si>
    <t>-622.610482917921 29.0237637221524 -93.2762996372047</t>
  </si>
  <si>
    <t>-648.28374614288 26.4576096398691 -200.941481716534</t>
  </si>
  <si>
    <t>-658.325709855734 25.3962288297114 -293.266213245084</t>
  </si>
  <si>
    <t>-663.658733261482 24.8120328995594 -376.988175318819</t>
  </si>
  <si>
    <t>-664.669361025317 24.5640429980915 -460.875244831994</t>
  </si>
  <si>
    <t>-661.400910849575 24.531900313975 -583.489574930974</t>
  </si>
  <si>
    <t>-640.19379294736 15.9257484991758 -658.432133711216</t>
  </si>
  <si>
    <t>-662.074437990918 55.897946630889 -529.675301317873</t>
  </si>
  <si>
    <t>-633.109987297469 206.964895061035 -503.659658078039</t>
  </si>
  <si>
    <t>-684.535423323588 254.419601616208 -230.379441960154</t>
  </si>
  <si>
    <t>-468.104678806947 190.62889398995 -175.270269595278</t>
  </si>
  <si>
    <t>-625.701209965126 122.094209700586 -96.5919753232346</t>
  </si>
  <si>
    <t>-637.085198003096 136.34285309934 318.582629104731</t>
  </si>
  <si>
    <t>-671.114799526498 177.160528502927 778.753294153297</t>
  </si>
  <si>
    <t>-520.061511742319 179.62918460077 834.076316641142</t>
  </si>
  <si>
    <t>-612.440279603886 -71.373851898534 322.081813998468</t>
  </si>
  <si>
    <t>-651.433767118342 -104.031060479536 782.2910984248</t>
  </si>
  <si>
    <t>-498.638262340997 -114.861739019484 831.485189023715</t>
  </si>
  <si>
    <t>9763-20170724T115654.325044400.bin</t>
  </si>
  <si>
    <t>-621.806693859647 28.8242918343565 -93.3205316290915</t>
  </si>
  <si>
    <t>-647.440118947962 26.2383040507341 -200.994685523722</t>
  </si>
  <si>
    <t>-657.491771528476 25.1627544180419 -293.31836606355</t>
  </si>
  <si>
    <t>-662.851404617547 24.5673753808901 -377.038392237761</t>
  </si>
  <si>
    <t>-663.906569553893 24.3114013000245 -460.925054593102</t>
  </si>
  <si>
    <t>-660.722810943796 24.2719597327596 -583.541378785781</t>
  </si>
  <si>
    <t>-639.44453932143 15.6748872217634 -658.465019433999</t>
  </si>
  <si>
    <t>-661.397346434697 55.6421598207116 -529.729737145497</t>
  </si>
  <si>
    <t>-632.607243502073 206.743036102117 -503.723369574506</t>
  </si>
  <si>
    <t>-683.887874332146 254.324186375575 -230.437860151476</t>
  </si>
  <si>
    <t>-467.471545709261 190.513282246858 -175.29567955475</t>
  </si>
  <si>
    <t>-624.856474433571 121.839176638268 -96.6268126757344</t>
  </si>
  <si>
    <t>-636.649196108048 136.127621694575 318.535077685112</t>
  </si>
  <si>
    <t>-671.07980387056 177.089023593455 778.663700669865</t>
  </si>
  <si>
    <t>-520.046463330021 179.627482701958 834.0378149282</t>
  </si>
  <si>
    <t>-612.141766688178 -71.9239141073865 322.041925862353</t>
  </si>
  <si>
    <t>-651.693507028619 -104.015463510744 782.238550318497</t>
  </si>
  <si>
    <t>-498.776930722611 -114.977112680295 831.025672214052</t>
  </si>
  <si>
    <t>9763-20170724T115654.360139000.bin</t>
  </si>
  <si>
    <t>-621.004858488761 28.7049106690081 -93.4072757808035</t>
  </si>
  <si>
    <t>-646.622832280704 26.1008770543103 -201.084766844191</t>
  </si>
  <si>
    <t>-656.710987588072 25.0151005892424 -293.404356424432</t>
  </si>
  <si>
    <t>-662.123774083029 24.4137491970669 -377.120913314681</t>
  </si>
  <si>
    <t>-663.252393995401 24.155929245316 -461.00643008329</t>
  </si>
  <si>
    <t>-660.198150479759 24.1195604323279 -583.626245485712</t>
  </si>
  <si>
    <t>-638.871602474357 15.5120778822857 -658.534824441899</t>
  </si>
  <si>
    <t>-660.852716304463 55.4892397746496 -529.813944929745</t>
  </si>
  <si>
    <t>-632.204462888394 206.609787364569 -503.76424739667</t>
  </si>
  <si>
    <t>-683.399756572342 254.197722841228 -230.464047057532</t>
  </si>
  <si>
    <t>-466.93415373413 190.539144990012 -175.33891405443</t>
  </si>
  <si>
    <t>-624.028041430669 121.691248413806 -96.7045646404425</t>
  </si>
  <si>
    <t>-636.197343555314 135.916932113677 318.448618825559</t>
  </si>
  <si>
    <t>-671.040500330192 177.004554903229 778.541757671833</t>
  </si>
  <si>
    <t>-520.033020786112 179.684666639186 833.979864256284</t>
  </si>
  <si>
    <t>-611.918503399107 -72.3390125622282 321.967161647266</t>
  </si>
  <si>
    <t>-652.051493293803 -103.963315748168 782.150766010699</t>
  </si>
  <si>
    <t>-498.956541080909 -114.97280504138 830.364333051322</t>
  </si>
  <si>
    <t>9763-20170724T115654.424861800.bin</t>
  </si>
  <si>
    <t>-619.684571513697 28.5016735770055 -93.5866963946751</t>
  </si>
  <si>
    <t>-645.173351419467 25.8522574760675 -201.293679603408</t>
  </si>
  <si>
    <t>-655.20666990938 24.7270664162531 -293.618621642461</t>
  </si>
  <si>
    <t>-660.592405516862 24.0909330647962 -377.336863008478</t>
  </si>
  <si>
    <t>-661.716671940712 23.8011394692439 -461.222362257401</t>
  </si>
  <si>
    <t>-658.681045611601 23.722241714124 -583.842565983634</t>
  </si>
  <si>
    <t>-637.328142863422 15.0273674473667 -658.733560140007</t>
  </si>
  <si>
    <t>-659.377059115101 55.1116251287453 -530.04237154694</t>
  </si>
  <si>
    <t>-630.854986424741 206.265516735059 -504.034896882247</t>
  </si>
  <si>
    <t>-682.502288606626 253.672964953275 -230.788293574251</t>
  </si>
  <si>
    <t>-465.970013793696 190.573153900472 -175.284119298099</t>
  </si>
  <si>
    <t>-622.506916058789 121.360097536182 -96.8955167103508</t>
  </si>
  <si>
    <t>-635.371938486092 135.601074097229 318.236152223205</t>
  </si>
  <si>
    <t>-671.001509522207 176.827738926486 778.27711969361</t>
  </si>
  <si>
    <t>-520.040647153414 179.689968225613 833.833025019163</t>
  </si>
  <si>
    <t>-611.406397706571 -72.8055282063904 321.806096915163</t>
  </si>
  <si>
    <t>-652.88710481675 -103.779742768034 781.910464356361</t>
  </si>
  <si>
    <t>-499.353863156066 -114.687696510249 828.733444632709</t>
  </si>
  <si>
    <t>9763-20170724T115654.491038600.bin</t>
  </si>
  <si>
    <t>-618.585751888063 28.4399422505378 -93.7474765722562</t>
  </si>
  <si>
    <t>-643.738680142711 25.7345834301816 -201.532029222073</t>
  </si>
  <si>
    <t>-653.572437235626 24.5132606007789 -293.877236830635</t>
  </si>
  <si>
    <t>-658.813070018051 23.7709942306569 -377.603700022308</t>
  </si>
  <si>
    <t>-659.828096198764 23.3561052463592 -461.490084722836</t>
  </si>
  <si>
    <t>-656.672488069876 23.0742112285973 -584.106959519655</t>
  </si>
  <si>
    <t>-635.403675788383 14.2853953743161 -659.010927018135</t>
  </si>
  <si>
    <t>-657.431500511425 54.5528004873352 -530.359768078331</t>
  </si>
  <si>
    <t>-628.938778475914 205.77540434323 -504.713257484271</t>
  </si>
  <si>
    <t>-681.389323688949 253.759320082765 -231.720480818443</t>
  </si>
  <si>
    <t>-464.984169902805 190.756269896768 -175.613706368641</t>
  </si>
  <si>
    <t>-621.187605012128 121.175060158763 -97.0908645252188</t>
  </si>
  <si>
    <t>-634.780599158763 135.474210056881 318.015643487971</t>
  </si>
  <si>
    <t>-670.945598173668 176.872447898547 777.964039877167</t>
  </si>
  <si>
    <t>-520.019002340016 179.596335027434 833.619828738108</t>
  </si>
  <si>
    <t>-611.175148380037 -73.2899637478806 321.654367105878</t>
  </si>
  <si>
    <t>-653.660684196961 -103.585315330415 781.681032637696</t>
  </si>
  <si>
    <t>-499.725395500344 -114.387037512191 827.190093502032</t>
  </si>
  <si>
    <t>9763-20170724T115654.523666200.bin</t>
  </si>
  <si>
    <t>-617.964802769506 28.5052391938298 -93.8520796766227</t>
  </si>
  <si>
    <t>-642.893061250748 25.776239786956 -201.688318577401</t>
  </si>
  <si>
    <t>-652.6460024759 24.497820054838 -294.041309651573</t>
  </si>
  <si>
    <t>-657.858651143572 23.689568765933 -377.768972557551</t>
  </si>
  <si>
    <t>-658.891117581066 23.1954215681562 -461.654645701903</t>
  </si>
  <si>
    <t>-655.811043263628 22.7835856872407 -584.273039862299</t>
  </si>
  <si>
    <t>-634.586055529453 13.9536972185028 -659.184614385608</t>
  </si>
  <si>
    <t>-656.55156248707 54.3194878397683 -530.559172130651</t>
  </si>
  <si>
    <t>-628.059140286817 205.574497791391 -505.104166952959</t>
  </si>
  <si>
    <t>-680.689541119789 254.124830341634 -232.246245937216</t>
  </si>
  <si>
    <t>-464.385856732648 191.061684907943 -175.816787824456</t>
  </si>
  <si>
    <t>-620.446756125056 121.109500335162 -97.2056873998129</t>
  </si>
  <si>
    <t>-634.563972543153 135.446021869288 317.881999200721</t>
  </si>
  <si>
    <t>-670.949027734654 176.79790008673 777.801371024639</t>
  </si>
  <si>
    <t>-520.042617121621 179.757424273205 833.499843620347</t>
  </si>
  <si>
    <t>-611.13618595865 -73.6722703889259 321.577728157981</t>
  </si>
  <si>
    <t>-653.925905921397 -103.557120258614 781.5999843216</t>
  </si>
  <si>
    <t>-499.876455961592 -114.637688809537 826.653493109296</t>
  </si>
  <si>
    <t>9763-20170724T115654.559762600.bin</t>
  </si>
  <si>
    <t>-617.3351703293 28.4719685670993 -93.9490207032767</t>
  </si>
  <si>
    <t>-642.032408830675 25.7245591894593 -201.837723071887</t>
  </si>
  <si>
    <t>-651.713303145656 24.3916594668976 -294.197644181368</t>
  </si>
  <si>
    <t>-656.91160255857 23.5198264759608 -377.925478127887</t>
  </si>
  <si>
    <t>-657.980798378188 22.949060273045 -461.810318859761</t>
  </si>
  <si>
    <t>-655.010682716999 22.4115605252671 -584.430844465912</t>
  </si>
  <si>
    <t>-633.812375285274 13.5216514799415 -659.342953826525</t>
  </si>
  <si>
    <t>-655.719191372411 54.0027379083322 -530.749134674719</t>
  </si>
  <si>
    <t>-627.265650484594 205.290246053185 -505.46974947138</t>
  </si>
  <si>
    <t>-679.937654789667 254.482622721471 -232.734911852664</t>
  </si>
  <si>
    <t>-463.733093551396 191.321319505526 -176.035804761421</t>
  </si>
  <si>
    <t>-619.677214827235 120.971367268784 -97.3257280622156</t>
  </si>
  <si>
    <t>-634.337811305567 135.379731188546 317.740582506653</t>
  </si>
  <si>
    <t>-670.942155610991 176.795215174914 777.635740242067</t>
  </si>
  <si>
    <t>-520.052948106968 179.823448129735 833.377108478122</t>
  </si>
  <si>
    <t>-611.111772498563 -74.1941417440401 321.494924723679</t>
  </si>
  <si>
    <t>-654.098895025197 -103.577220090808 781.549926885175</t>
  </si>
  <si>
    <t>-499.981330610999 -114.916573524603 826.305035816975</t>
  </si>
  <si>
    <t>9763-20170724T115654.625444200.bin</t>
  </si>
  <si>
    <t>-616.060405375072 28.3381706767077 -94.1071030356034</t>
  </si>
  <si>
    <t>-640.358955879684 25.5686946166511 -202.08580544091</t>
  </si>
  <si>
    <t>-649.849900166585 24.1448620282358 -294.463950474177</t>
  </si>
  <si>
    <t>-654.937371261682 23.1632154050778 -378.197496946665</t>
  </si>
  <si>
    <t>-655.957391666383 22.4553267093363 -462.081808157363</t>
  </si>
  <si>
    <t>-652.983271476342 21.6888688407223 -584.701160659589</t>
  </si>
  <si>
    <t>-631.785936727639 12.6176398626212 -659.591704250575</t>
  </si>
  <si>
    <t>-653.696044756762 53.3802353529795 -531.078561928324</t>
  </si>
  <si>
    <t>-625.255544227091 204.736907939355 -506.158889039415</t>
  </si>
  <si>
    <t>-678.264845979872 254.914637540398 -233.668830795685</t>
  </si>
  <si>
    <t>-462.193267738368 191.649470819136 -176.579992203215</t>
  </si>
  <si>
    <t>-618.272070802936 120.776254345859 -97.5329927146231</t>
  </si>
  <si>
    <t>-633.726488031823 135.245340343087 317.502453866478</t>
  </si>
  <si>
    <t>-670.953847741802 176.667668737319 777.325157633257</t>
  </si>
  <si>
    <t>-520.101605713998 179.832392723992 833.158899069035</t>
  </si>
  <si>
    <t>-610.72377401245 -74.7731659558528 321.373993190606</t>
  </si>
  <si>
    <t>-654.24910407047 -103.57533674362 781.497704440029</t>
  </si>
  <si>
    <t>-500.043027287511 -114.893170950413 825.952317891334</t>
  </si>
  <si>
    <t>9763-20170724T115654.659534500.bin</t>
  </si>
  <si>
    <t>-615.386480486989 28.2408386161551 -94.1543001375695</t>
  </si>
  <si>
    <t>-639.492228185719 25.4518342569686 -202.17567280713</t>
  </si>
  <si>
    <t>-648.878843000322 23.9743353783401 -294.563728490015</t>
  </si>
  <si>
    <t>-653.896345432508 22.9297774396862 -378.300627660174</t>
  </si>
  <si>
    <t>-654.870945678545 22.1445631063887 -462.184882636732</t>
  </si>
  <si>
    <t>-651.857835639436 21.2486164249563 -584.802436433408</t>
  </si>
  <si>
    <t>-630.650812470402 12.0735748608174 -659.67746652132</t>
  </si>
  <si>
    <t>-652.572528346381 52.9964505486678 -531.21291623287</t>
  </si>
  <si>
    <t>-624.131591834192 204.386109537174 -506.524130971361</t>
  </si>
  <si>
    <t>-677.349155300757 255.024970961702 -234.160111769859</t>
  </si>
  <si>
    <t>-461.41512737432 191.606335714882 -176.722323614639</t>
  </si>
  <si>
    <t>-617.550969621423 120.705832574743 -97.6145677668991</t>
  </si>
  <si>
    <t>-633.349971007562 135.206824006323 317.406787965933</t>
  </si>
  <si>
    <t>-670.943478971752 176.68562361336 777.185864660971</t>
  </si>
  <si>
    <t>-520.109156290385 179.883226942936 833.066095152233</t>
  </si>
  <si>
    <t>-610.439804301598 -75.0775157206265 321.366491006745</t>
  </si>
  <si>
    <t>-654.273130179335 -103.611347550454 781.488709314637</t>
  </si>
  <si>
    <t>-500.074167042303 -115.237543023595 825.888397269393</t>
  </si>
  <si>
    <t>9763-20170724T115654.724723600.bin</t>
  </si>
  <si>
    <t>-614.017484514806 27.9650491694617 -94.226926359181</t>
  </si>
  <si>
    <t>-637.734904735895 25.1577022672525 -202.333751617123</t>
  </si>
  <si>
    <t>-646.906331369744 23.5937259519851 -294.741999323504</t>
  </si>
  <si>
    <t>-651.776288160938 22.443999863558 -378.486251782666</t>
  </si>
  <si>
    <t>-652.650951914372 21.5260320450536 -462.370269257916</t>
  </si>
  <si>
    <t>-649.54419815979 20.4071311931123 -584.983575315348</t>
  </si>
  <si>
    <t>-628.266598154118 11.0515123940106 -659.816465642979</t>
  </si>
  <si>
    <t>-650.266714849657 52.2516657290673 -531.45185700425</t>
  </si>
  <si>
    <t>-621.692437902041 203.674585307729 -507.144005653683</t>
  </si>
  <si>
    <t>-675.653984040528 255.272440366414 -235.106434864748</t>
  </si>
  <si>
    <t>-460.110959793916 191.257916109177 -176.866663827805</t>
  </si>
  <si>
    <t>-615.998702103956 120.493569125605 -97.747747749004</t>
  </si>
  <si>
    <t>-632.66537236053 135.006401884314 317.239247940296</t>
  </si>
  <si>
    <t>-670.950260022809 176.614718513725 776.93458919669</t>
  </si>
  <si>
    <t>-520.151082623916 179.915933140781 832.903598339439</t>
  </si>
  <si>
    <t>-609.833524032156 -75.8800265091486 321.343698699004</t>
  </si>
  <si>
    <t>-654.264130878641 -103.602389018281 781.474774413377</t>
  </si>
  <si>
    <t>-500.067312182724 -115.366738922984 825.845615946993</t>
  </si>
  <si>
    <t>9763-20170724T115654.758820200.bin</t>
  </si>
  <si>
    <t>-613.444149420477 27.9177973268315 -94.2586966985</t>
  </si>
  <si>
    <t>-636.963393450367 25.1198659472059 -202.40914765319</t>
  </si>
  <si>
    <t>-645.999732036061 23.5191593253173 -294.830016046336</t>
  </si>
  <si>
    <t>-650.76132162593 22.3195719923838 -378.57964806773</t>
  </si>
  <si>
    <t>-651.54169697686 21.3350606805066 -462.46399174721</t>
  </si>
  <si>
    <t>-648.312903395981 20.1005843287141 -585.072998211249</t>
  </si>
  <si>
    <t>-626.99117553474 10.6417859711401 -659.880231040822</t>
  </si>
  <si>
    <t>-649.064497196029 51.9950612154553 -531.571295279577</t>
  </si>
  <si>
    <t>-620.475966820296 203.446274002408 -507.453402569264</t>
  </si>
  <si>
    <t>-674.863641121822 255.430374788087 -235.574338031772</t>
  </si>
  <si>
    <t>-459.498283618245 191.223517845154 -176.890775767522</t>
  </si>
  <si>
    <t>-615.242294715009 120.468859709644 -97.8081525539487</t>
  </si>
  <si>
    <t>-632.384484536284 134.91205394915 317.1619097326</t>
  </si>
  <si>
    <t>-670.950217467098 176.615426867635 776.81598596614</t>
  </si>
  <si>
    <t>-520.16954858651 179.989137527327 832.830516620849</t>
  </si>
  <si>
    <t>-609.613080366734 -76.2404326950978 321.327444436376</t>
  </si>
  <si>
    <t>-654.238306642432 -103.59704283101 781.474100445512</t>
  </si>
  <si>
    <t>-500.040563560555 -115.311786940048 825.85479045026</t>
  </si>
  <si>
    <t>9763-20170724T115654.824526600.bin</t>
  </si>
  <si>
    <t>-612.449360215835 27.9510974347234 -94.3196226176232</t>
  </si>
  <si>
    <t>-635.586745984131 25.1462704749986 -202.552219573994</t>
  </si>
  <si>
    <t>-644.360539032964 23.4648532235312 -294.996908271858</t>
  </si>
  <si>
    <t>-648.910393962743 22.1648646210131 -378.756985962632</t>
  </si>
  <si>
    <t>-649.505123728063 21.0524939175366 -462.641029794361</t>
  </si>
  <si>
    <t>-646.034320420609 19.6016236277924 -585.241114089897</t>
  </si>
  <si>
    <t>-624.630640666186 9.96209560625607 -660.001958026681</t>
  </si>
  <si>
    <t>-646.85725203243 51.5896664170709 -531.796383370731</t>
  </si>
  <si>
    <t>-618.190789636675 203.075084930052 -507.978582508223</t>
  </si>
  <si>
    <t>-673.691480232456 255.47745212911 -236.404880517786</t>
  </si>
  <si>
    <t>-458.717471091208 190.968254132285 -176.628245271773</t>
  </si>
  <si>
    <t>-613.890310098089 120.588435579079 -97.9310111464796</t>
  </si>
  <si>
    <t>-631.672551013881 135.00805053311 317.012874907617</t>
  </si>
  <si>
    <t>-670.952749417792 176.609622745916 776.583300659644</t>
  </si>
  <si>
    <t>-520.208334374155 179.942869974294 832.697773569561</t>
  </si>
  <si>
    <t>-609.207017700124 -76.8880188938929 321.310859615259</t>
  </si>
  <si>
    <t>-654.167114552883 -103.660361742018 781.476740006988</t>
  </si>
  <si>
    <t>-500.030245006718 -115.915695798756 825.922794897583</t>
  </si>
  <si>
    <t>9763-20170724T115654.890702600.bin</t>
  </si>
  <si>
    <t>-611.658463274779 27.8124270577412 -94.4020314982713</t>
  </si>
  <si>
    <t>-634.417923538933 25.0267495314806 -202.71525686313</t>
  </si>
  <si>
    <t>-642.946140926995 23.2839589024243 -295.181812243775</t>
  </si>
  <si>
    <t>-647.305143941576 21.9009981699901 -378.950565218912</t>
  </si>
  <si>
    <t>-647.740692397953 20.6786407145464 -462.834187329515</t>
  </si>
  <si>
    <t>-644.072460476127 19.0386368413226 -585.426167703626</t>
  </si>
  <si>
    <t>-622.510083448109 9.23668610103368 -660.120170370594</t>
  </si>
  <si>
    <t>-644.948984032381 51.1083803865388 -532.03128657645</t>
  </si>
  <si>
    <t>-616.225463362639 202.641292537825 -508.553981075667</t>
  </si>
  <si>
    <t>-673.022007806064 255.514624427005 -237.339919359549</t>
  </si>
  <si>
    <t>-458.416681208077 190.942849341113 -176.318631697963</t>
  </si>
  <si>
    <t>-612.684463640193 120.532696501812 -98.0476601953148</t>
  </si>
  <si>
    <t>-631.179743161652 134.896043963745 316.867105652334</t>
  </si>
  <si>
    <t>-670.991026869653 176.512049613747 776.367254420677</t>
  </si>
  <si>
    <t>-520.290153551322 180.109062767568 832.582261564</t>
  </si>
  <si>
    <t>-608.866709865762 -77.6840273925752 321.261708681489</t>
  </si>
  <si>
    <t>-654.029811101605 -103.665023182038 781.493323238214</t>
  </si>
  <si>
    <t>-499.917989056181 -115.774988168018 826.065972237097</t>
  </si>
  <si>
    <t>9763-20170724T115654.922822100.bin</t>
  </si>
  <si>
    <t>-611.426925247729 27.7395977464223 -94.4513518544579</t>
  </si>
  <si>
    <t>-634.004084266385 24.9482221340525 -202.802575274992</t>
  </si>
  <si>
    <t>-642.406878152269 23.1641059905458 -295.279835286156</t>
  </si>
  <si>
    <t>-646.664775442403 21.7306555114071 -379.053087840612</t>
  </si>
  <si>
    <t>-647.011556407244 20.445708730663 -462.936084502987</t>
  </si>
  <si>
    <t>-643.227572876961 18.7013043735617 -585.523085277624</t>
  </si>
  <si>
    <t>-621.513784206888 8.82584968617925 -660.163525647848</t>
  </si>
  <si>
    <t>-644.154254311943 50.8164493237764 -532.156394611817</t>
  </si>
  <si>
    <t>-615.466345257378 202.377316197959 -508.840417224987</t>
  </si>
  <si>
    <t>-672.806244911795 255.721013713764 -237.832669021908</t>
  </si>
  <si>
    <t>-458.424604778049 191.049893263141 -176.134397377305</t>
  </si>
  <si>
    <t>-612.303187670879 120.545673457181 -98.1235510189354</t>
  </si>
  <si>
    <t>-631.003675286351 134.908760141346 316.782019398821</t>
  </si>
  <si>
    <t>-670.984144525639 176.564779725849 776.249982937082</t>
  </si>
  <si>
    <t>-520.307681676405 180.13553992635 832.532043672333</t>
  </si>
  <si>
    <t>-608.81338482708 -78.0394180142566 321.231439259593</t>
  </si>
  <si>
    <t>-653.950546381892 -103.660867145788 781.505388721185</t>
  </si>
  <si>
    <t>-499.860922408848 -115.757288973201 826.158427416903</t>
  </si>
  <si>
    <t>9763-20170724T115654.955908500.bin</t>
  </si>
  <si>
    <t>-611.358850098624 27.6486455260349 -94.511867717073</t>
  </si>
  <si>
    <t>-633.747197281675 24.8506370651089 -202.902026956773</t>
  </si>
  <si>
    <t>-642.003723697293 23.022681258738 -295.391636011709</t>
  </si>
  <si>
    <t>-646.135192570194 21.5359529218717 -379.170204919172</t>
  </si>
  <si>
    <t>-646.361857844554 20.1837517561946 -463.052580183397</t>
  </si>
  <si>
    <t>-642.409302519829 18.3270727915751 -585.63258936724</t>
  </si>
  <si>
    <t>-620.494987960795 8.35837143953813 -660.202007933603</t>
  </si>
  <si>
    <t>-643.41073195697 50.4912168423766 -532.296738823097</t>
  </si>
  <si>
    <t>-614.824128799653 202.097940605601 -509.122392611384</t>
  </si>
  <si>
    <t>-672.746293387208 255.964016744089 -238.34188323052</t>
  </si>
  <si>
    <t>-458.621760492527 191.132984276047 -175.922806182104</t>
  </si>
  <si>
    <t>-612.123916495888 120.587127711698 -98.2156209120358</t>
  </si>
  <si>
    <t>-630.968858689113 134.934302391679 316.683900524751</t>
  </si>
  <si>
    <t>-670.994433179466 176.57740150505 776.14831087154</t>
  </si>
  <si>
    <t>-520.341483316222 180.21698741934 832.489032427451</t>
  </si>
  <si>
    <t>-608.870879960135 -78.4232765771189 321.188998315524</t>
  </si>
  <si>
    <t>-653.870106996437 -103.670683552058 781.513783368894</t>
  </si>
  <si>
    <t>-499.818438682871 -115.936086821812 826.251481293495</t>
  </si>
  <si>
    <t>9763-20170724T115655.027616400.bin</t>
  </si>
  <si>
    <t>-611.614854816493 27.5353564195939 -94.6211159883542</t>
  </si>
  <si>
    <t>-633.581001453231 24.7161291969508 -203.097108123586</t>
  </si>
  <si>
    <t>-641.488672663848 22.8071660979729 -295.615501013235</t>
  </si>
  <si>
    <t>-645.309252844288 21.2231646607615 -379.40707919388</t>
  </si>
  <si>
    <t>-645.229797457528 19.7514144978147 -463.287702487412</t>
  </si>
  <si>
    <t>-640.83594362958 17.6961402471773 -585.849571013112</t>
  </si>
  <si>
    <t>-618.469464139068 7.52210823033056 -660.256768247109</t>
  </si>
  <si>
    <t>-642.060110263594 49.9473225953889 -532.570863391915</t>
  </si>
  <si>
    <t>-613.773030393478 201.657704194152 -509.741196435466</t>
  </si>
  <si>
    <t>-673.179910285237 256.384001542715 -239.455430665731</t>
  </si>
  <si>
    <t>-459.504017221796 191.619179829358 -175.450310589737</t>
  </si>
  <si>
    <t>-612.255248149933 120.540877751896 -98.3787571567777</t>
  </si>
  <si>
    <t>-631.172669620416 135.015630240881 316.513095922655</t>
  </si>
  <si>
    <t>-671.031969628474 176.604508203783 775.982878377175</t>
  </si>
  <si>
    <t>-520.409724975965 180.116712551137 832.413664414435</t>
  </si>
  <si>
    <t>-609.23735444244 -79.0105345072309 321.113019204947</t>
  </si>
  <si>
    <t>-653.721886482006 -103.703937775688 781.529491877488</t>
  </si>
  <si>
    <t>-499.723164743522 -116.078974128352 826.419024749833</t>
  </si>
  <si>
    <t>9763-20170724T115655.055690700.bin</t>
  </si>
  <si>
    <t>-611.938911940755 27.4707832475656 -94.6647861325783</t>
  </si>
  <si>
    <t>-633.657221713818 24.6300765123369 -203.190088990176</t>
  </si>
  <si>
    <t>-641.379215323987 22.6786749825947 -295.723341848787</t>
  </si>
  <si>
    <t>-645.042040100453 21.0476579693125 -379.521117357603</t>
  </si>
  <si>
    <t>-644.81529415187 19.5206488889889 -463.400528928752</t>
  </si>
  <si>
    <t>-640.217855670925 17.3765888557357 -585.953292916615</t>
  </si>
  <si>
    <t>-617.653636625123 7.10726364976767 -660.28773267011</t>
  </si>
  <si>
    <t>-641.555146182081 49.6669749500886 -532.701157357227</t>
  </si>
  <si>
    <t>-613.388464530265 201.419118365896 -509.992561125408</t>
  </si>
  <si>
    <t>-673.670030107825 256.522969264568 -239.977339374087</t>
  </si>
  <si>
    <t>-460.165523644694 192.095235455623 -175.066409311573</t>
  </si>
  <si>
    <t>-612.572611711252 120.443061843807 -98.4427426403561</t>
  </si>
  <si>
    <t>-631.467007688523 135.040922943565 316.445789243252</t>
  </si>
  <si>
    <t>-671.090863800925 176.530365872038 775.936377080535</t>
  </si>
  <si>
    <t>-520.475463905605 180.289298290826 832.369521343034</t>
  </si>
  <si>
    <t>-609.608565314321 -79.2286299261045 321.084641219976</t>
  </si>
  <si>
    <t>-653.666931978788 -103.659691415601 781.536036882802</t>
  </si>
  <si>
    <t>-499.64923888387 -115.670231313209 826.459558633498</t>
  </si>
  <si>
    <t>9763-20170724T115655.126492400.bin</t>
  </si>
  <si>
    <t>-612.971961985012 27.4194543477552 -94.7550539733352</t>
  </si>
  <si>
    <t>-634.161214837062 24.5353243761883 -203.383737778933</t>
  </si>
  <si>
    <t>-641.535881921939 22.5123508472191 -295.94375213186</t>
  </si>
  <si>
    <t>-644.926178518272 20.8035122885985 -379.751349915847</t>
  </si>
  <si>
    <t>-644.468789223737 19.1877830486178 -463.628224382246</t>
  </si>
  <si>
    <t>-639.580541891827 16.9036408834506 -586.167203803429</t>
  </si>
  <si>
    <t>-616.70768338532 6.54251127410953 -660.394603660097</t>
  </si>
  <si>
    <t>-641.113063247351 49.2561234411678 -532.95802386401</t>
  </si>
  <si>
    <t>-613.197823146128 201.090233571054 -510.47649736787</t>
  </si>
  <si>
    <t>-675.027691570759 256.877732805531 -240.952052592464</t>
  </si>
  <si>
    <t>-461.936478469586 193.064494440405 -174.104988674558</t>
  </si>
  <si>
    <t>-613.757051187574 120.324715513801 -98.5771562404328</t>
  </si>
  <si>
    <t>-632.516627153143 135.201405836124 316.307555274717</t>
  </si>
  <si>
    <t>-671.188129107544 176.522726727742 775.880085855499</t>
  </si>
  <si>
    <t>-520.550021504997 180.190283458197 832.258435367189</t>
  </si>
  <si>
    <t>-610.542280451539 -79.5723463066715 320.998406738128</t>
  </si>
  <si>
    <t>-653.614003821604 -103.707311412587 781.538541933771</t>
  </si>
  <si>
    <t>-499.645624524688 -116.286960851691 826.475442607237</t>
  </si>
  <si>
    <t>9763-20170724T115655.160583400.bin</t>
  </si>
  <si>
    <t>-613.621053639107 27.4177747741553 -94.8031360822087</t>
  </si>
  <si>
    <t>-634.670605658385 24.4870690704458 -203.457740245049</t>
  </si>
  <si>
    <t>-641.907739718918 22.4068860015727 -296.027272789523</t>
  </si>
  <si>
    <t>-645.16612629137 20.6381041679274 -379.838871757151</t>
  </si>
  <si>
    <t>-644.569420969482 18.9549844352302 -463.71359314919</t>
  </si>
  <si>
    <t>-639.469678170746 16.5643701555503 -586.2418465197</t>
  </si>
  <si>
    <t>-616.47781703401 6.16855630268469 -660.427595237758</t>
  </si>
  <si>
    <t>-641.138730419322 48.9638887310057 -533.06557627204</t>
  </si>
  <si>
    <t>-613.335510519561 200.820372352158 -510.554168387285</t>
  </si>
  <si>
    <t>-675.778147894791 256.854822994098 -241.22229290746</t>
  </si>
  <si>
    <t>-462.888797242239 193.282271466928 -173.508397600911</t>
  </si>
  <si>
    <t>-614.602166971521 120.261494701085 -98.6525633215706</t>
  </si>
  <si>
    <t>-633.123111830633 135.29373569871 316.237301130441</t>
  </si>
  <si>
    <t>-671.242809439546 176.516101606022 775.866450340366</t>
  </si>
  <si>
    <t>-520.582072590882 180.138947734554 832.187324198991</t>
  </si>
  <si>
    <t>-611.021483572857 -79.5273128053393 320.948318451912</t>
  </si>
  <si>
    <t>-653.589215080877 -103.696462761468 781.526170247631</t>
  </si>
  <si>
    <t>-499.602820816147 -116.070844473227 826.458167300704</t>
  </si>
  <si>
    <t>9763-20170724T115655.226768200.bin</t>
  </si>
  <si>
    <t>-614.946352895476 27.5430408057691 -94.9240963402145</t>
  </si>
  <si>
    <t>-636.097911219437 24.445768608208 -203.554331075815</t>
  </si>
  <si>
    <t>-642.989401377986 22.2256135381967 -296.147063807304</t>
  </si>
  <si>
    <t>-645.760779053375 20.3237109524 -379.973285569429</t>
  </si>
  <si>
    <t>-644.502580138759 18.5020618961862 -463.837682815183</t>
  </si>
  <si>
    <t>-638.245970386823 15.9011204383316 -586.308123390021</t>
  </si>
  <si>
    <t>-614.838129357875 5.40515984396097 -660.34944860877</t>
  </si>
  <si>
    <t>-640.541287570135 48.3937518239384 -533.211942808585</t>
  </si>
  <si>
    <t>-612.280135634706 200.069853776928 -510.122852959919</t>
  </si>
  <si>
    <t>-676.060583762539 255.719461216023 -241.024772076613</t>
  </si>
  <si>
    <t>-463.448103757483 193.211656949579 -171.474439958299</t>
  </si>
  <si>
    <t>-616.677081162029 120.382428893345 -98.849978781386</t>
  </si>
  <si>
    <t>-634.119361320346 135.501094779024 316.083534362841</t>
  </si>
  <si>
    <t>-671.316562656089 176.632473844019 775.858977869147</t>
  </si>
  <si>
    <t>-520.601009053086 179.938524743721 832.052530683094</t>
  </si>
  <si>
    <t>-611.484639114426 -78.8790604033643 320.902370324133</t>
  </si>
  <si>
    <t>-653.426378587215 -103.701446317679 781.515722386649</t>
  </si>
  <si>
    <t>-499.489898377358 -115.948270583652 826.653217576635</t>
  </si>
  <si>
    <t>9763-20170724T115655.257849700.bin</t>
  </si>
  <si>
    <t>-615.554272264016 27.5599909861226 -94.9072999007782</t>
  </si>
  <si>
    <t>-636.914864884231 24.3767852956569 -203.494044090736</t>
  </si>
  <si>
    <t>-643.60538049691 22.0884747208561 -296.099832957647</t>
  </si>
  <si>
    <t>-646.042177848175 20.1220554971749 -379.934948980279</t>
  </si>
  <si>
    <t>-644.296579083483 18.2325939549462 -463.789185869867</t>
  </si>
  <si>
    <t>-637.1611161082 15.5274141071741 -586.209350760833</t>
  </si>
  <si>
    <t>-613.53879858097 4.93472597514301 -660.168693821011</t>
  </si>
  <si>
    <t>-639.891369408496 48.0659500639233 -533.161772000187</t>
  </si>
  <si>
    <t>-611.335206703641 199.650407464529 -509.853129814027</t>
  </si>
  <si>
    <t>-676.129414903954 255.049637238718 -240.945779754197</t>
  </si>
  <si>
    <t>-463.82610936352 192.723014971899 -170.297256530003</t>
  </si>
  <si>
    <t>-617.656395656379 120.327031362711 -98.864867549279</t>
  </si>
  <si>
    <t>-634.482031566114 135.54085368659 316.090593473154</t>
  </si>
  <si>
    <t>-671.376201446021 176.556469076874 775.88820874011</t>
  </si>
  <si>
    <t>-520.639886476758 180.105703192546 832.011229261057</t>
  </si>
  <si>
    <t>-611.391394874722 -78.3870288939497 320.949535137368</t>
  </si>
  <si>
    <t>-653.262629740566 -103.687626050393 781.533793991918</t>
  </si>
  <si>
    <t>-499.366894597678 -115.564893520165 826.90837426253</t>
  </si>
  <si>
    <t>9763-20170724T115655.324582800.bin</t>
  </si>
  <si>
    <t>-616.860852753078 27.8227475428705 -94.8006762990607</t>
  </si>
  <si>
    <t>-638.363090112853 24.5381285249737 -203.356475474807</t>
  </si>
  <si>
    <t>-644.783545845755 22.1943529985729 -295.979999192808</t>
  </si>
  <si>
    <t>-646.818374304518 20.1829801356689 -379.824886876891</t>
  </si>
  <si>
    <t>-644.513299099583 18.2540007501013 -463.664597447728</t>
  </si>
  <si>
    <t>-636.38855548691 15.4957213147916 -586.021877405169</t>
  </si>
  <si>
    <t>-612.504603592459 4.77552962307277 -659.878753106176</t>
  </si>
  <si>
    <t>-639.659730180577 48.0583121738007 -533.019763308985</t>
  </si>
  <si>
    <t>-611.168381978602 199.599268685099 -509.387557573304</t>
  </si>
  <si>
    <t>-677.127580146578 255.032511300042 -240.770463697423</t>
  </si>
  <si>
    <t>-465.487874440023 192.929788903118 -167.966536983752</t>
  </si>
  <si>
    <t>-619.663751674213 120.479097418004 -98.7578736794328</t>
  </si>
  <si>
    <t>-635.511071340055 135.545996064458 316.241458696833</t>
  </si>
  <si>
    <t>-671.462014938371 176.587416901058 776.046645110564</t>
  </si>
  <si>
    <t>-520.653826464691 179.866203260294 831.992746941459</t>
  </si>
  <si>
    <t>-611.432384730776 -77.2670358068401 321.103904223341</t>
  </si>
  <si>
    <t>-653.008781481972 -103.684309373996 781.585880062633</t>
  </si>
  <si>
    <t>-499.202204227405 -115.185153828098 827.357992782562</t>
  </si>
  <si>
    <t>9763-20170724T115655.355665000.bin</t>
  </si>
  <si>
    <t>-617.279557621547 27.992491386007 -94.7609271475221</t>
  </si>
  <si>
    <t>-638.788579614135 24.6667966013481 -203.314081418009</t>
  </si>
  <si>
    <t>-645.245071060116 22.3444182582787 -295.935646499753</t>
  </si>
  <si>
    <t>-647.324385700508 20.3710120608409 -379.780273119937</t>
  </si>
  <si>
    <t>-645.075301205484 18.4990760584265 -463.622840863872</t>
  </si>
  <si>
    <t>-637.044862128979 15.8437132060656 -585.988623775993</t>
  </si>
  <si>
    <t>-613.125440099062 5.15341478521259 -659.838427246321</t>
  </si>
  <si>
    <t>-640.313245945757 48.3619840667352 -532.959256301894</t>
  </si>
  <si>
    <t>-611.94181624549 199.910052305695 -509.140006553518</t>
  </si>
  <si>
    <t>-678.186515752995 255.316405088917 -240.587665888424</t>
  </si>
  <si>
    <t>-466.891470420524 193.172844623574 -166.823794958289</t>
  </si>
  <si>
    <t>-620.413704311003 120.459988814106 -98.6869724134696</t>
  </si>
  <si>
    <t>-636.235581307906 135.591407463386 316.310934397201</t>
  </si>
  <si>
    <t>-671.501146683758 176.602639294043 776.156198818233</t>
  </si>
  <si>
    <t>-520.650793752348 179.870277534494 831.989156709039</t>
  </si>
  <si>
    <t>-611.585184921996 -76.7716383650986 321.152375580402</t>
  </si>
  <si>
    <t>-652.857008180646 -103.724102842995 781.615819988855</t>
  </si>
  <si>
    <t>-499.114350763635 -115.114794255295 827.629651659099</t>
  </si>
  <si>
    <t>9763-20170724T115655.426457100.bin</t>
  </si>
  <si>
    <t>-617.662349057073 28.2778748351197 -94.7127323493222</t>
  </si>
  <si>
    <t>-639.268738285029 24.8717656680724 -203.244148999653</t>
  </si>
  <si>
    <t>-645.859329311681 22.566345352006 -295.856677227432</t>
  </si>
  <si>
    <t>-648.079827405156 20.6364700880604 -379.698655045632</t>
  </si>
  <si>
    <t>-645.991649224536 18.8370263283173 -463.546900150174</t>
  </si>
  <si>
    <t>-638.217280362653 16.3184266643373 -585.932243344308</t>
  </si>
  <si>
    <t>-613.879708331394 5.58675811860735 -659.639134011149</t>
  </si>
  <si>
    <t>-641.486689156334 48.7780180963734 -532.866830292741</t>
  </si>
  <si>
    <t>-612.476562183494 200.068006804416 -508.173996900876</t>
  </si>
  <si>
    <t>-678.751281162087 255.012027429215 -239.534179320778</t>
  </si>
  <si>
    <t>-468.053482235167 192.192023791668 -164.643497348244</t>
  </si>
  <si>
    <t>-621.412090707023 120.322484790051 -98.6026672457348</t>
  </si>
  <si>
    <t>-637.109705112524 135.609623180048 316.394304748209</t>
  </si>
  <si>
    <t>-671.564720589199 176.597252851657 776.366725528796</t>
  </si>
  <si>
    <t>-520.648284437404 179.854228081078 832.021361566874</t>
  </si>
  <si>
    <t>-611.515478562902 -76.0590406343854 321.197788524287</t>
  </si>
  <si>
    <t>-652.744510035716 -103.733329198604 781.656901291695</t>
  </si>
  <si>
    <t>-499.00499762584 -114.532001839197 827.823698378844</t>
  </si>
  <si>
    <t>9763-20170724T115655.458534700.bin</t>
  </si>
  <si>
    <t>-617.571366568333 28.5516371141482 -94.6445208833013</t>
  </si>
  <si>
    <t>-639.457305696835 25.0877794848855 -203.117964216287</t>
  </si>
  <si>
    <t>-646.149798018159 22.8024715151357 -295.723757312311</t>
  </si>
  <si>
    <t>-648.40720232991 20.9174843524534 -379.565785715664</t>
  </si>
  <si>
    <t>-646.300410654069 19.192481314424 -463.41515449128</t>
  </si>
  <si>
    <t>-638.438023482102 16.815595508871 -585.797624861814</t>
  </si>
  <si>
    <t>-613.666994040429 6.01323994508607 -659.349692522696</t>
  </si>
  <si>
    <t>-641.867587542968 49.213871690346 -532.704958856692</t>
  </si>
  <si>
    <t>-611.651156348468 200.145016876644 -507.263801506593</t>
  </si>
  <si>
    <t>-678.17009230746 254.277260774367 -238.519636439144</t>
  </si>
  <si>
    <t>-467.726636670651 191.236997267819 -163.100673917106</t>
  </si>
  <si>
    <t>-621.656562342281 120.551125635531 -98.56586224731</t>
  </si>
  <si>
    <t>-637.04233791212 135.673776843565 316.448848323459</t>
  </si>
  <si>
    <t>-671.547257803673 176.661010370232 776.429566887045</t>
  </si>
  <si>
    <t>-520.618924158584 179.786526423284 832.059431190726</t>
  </si>
  <si>
    <t>-611.266113555783 -75.6362353085076 321.234345909995</t>
  </si>
  <si>
    <t>-652.834747905033 -103.697883089201 781.624894384682</t>
  </si>
  <si>
    <t>-499.053038806802 -114.534705609364 827.642003324238</t>
  </si>
  <si>
    <t>9763-20170724T115655.522260300.bin</t>
  </si>
  <si>
    <t>-617.647431045461 28.8119685551205 -94.6221936797344</t>
  </si>
  <si>
    <t>-640.013816390968 25.2417599045518 -202.994147029742</t>
  </si>
  <si>
    <t>-646.693020016094 22.9449944669307 -295.600613488313</t>
  </si>
  <si>
    <t>-648.767414598218 21.0752369026845 -379.447697956916</t>
  </si>
  <si>
    <t>-646.306494242404 19.3931317201582 -463.288373307514</t>
  </si>
  <si>
    <t>-637.739868896327 17.1084092841575 -585.625247988576</t>
  </si>
  <si>
    <t>-612.267317928455 6.18240714981471 -658.919015210307</t>
  </si>
  <si>
    <t>-641.646132227454 49.4662254190978 -532.540717435417</t>
  </si>
  <si>
    <t>-610.022080639177 199.887983725813 -505.968869598828</t>
  </si>
  <si>
    <t>-676.919994766441 254.291537843588 -237.373377628987</t>
  </si>
  <si>
    <t>-467.409691286887 190.001729225227 -160.426840935776</t>
  </si>
  <si>
    <t>-622.303323573316 120.843611423989 -98.4913895307802</t>
  </si>
  <si>
    <t>-636.618563358217 135.723857362034 316.57039399963</t>
  </si>
  <si>
    <t>-671.518079146777 176.603632530283 776.503027637772</t>
  </si>
  <si>
    <t>-520.608748359593 179.896409943183 832.174842030395</t>
  </si>
  <si>
    <t>-610.572566312251 -75.1123168337367 321.286208438685</t>
  </si>
  <si>
    <t>-653.153188773615 -103.605686223422 781.51555286122</t>
  </si>
  <si>
    <t>-499.215159104799 -114.550824166494 826.981109115495</t>
  </si>
  <si>
    <t>9763-20170724T115655.560362400.bin</t>
  </si>
  <si>
    <t>-617.913960524393 28.5047028481197 -94.6201022755015</t>
  </si>
  <si>
    <t>-640.18699586863 24.9671141681822 -203.012425015981</t>
  </si>
  <si>
    <t>-646.649907097364 22.6489348763016 -295.633623920392</t>
  </si>
  <si>
    <t>-648.473926901102 20.739382936822 -379.485797650145</t>
  </si>
  <si>
    <t>-645.708275532783 18.997414698161 -463.315621958064</t>
  </si>
  <si>
    <t>-636.637604816584 16.6033844575543 -585.6140476222</t>
  </si>
  <si>
    <t>-611.294291927645 5.75392894429729 -658.964058935676</t>
  </si>
  <si>
    <t>-640.781088234166 49.008298756223 -532.576381853755</t>
  </si>
  <si>
    <t>-608.856765375651 199.349352018818 -505.894662508212</t>
  </si>
  <si>
    <t>-676.214099497534 254.984608558975 -237.666533749486</t>
  </si>
  <si>
    <t>-467.157656894708 190.078093170423 -160.00645672549</t>
  </si>
  <si>
    <t>-622.509117716611 120.631855805049 -98.4242309021009</t>
  </si>
  <si>
    <t>-636.806246896988 135.565669911057 316.636161897017</t>
  </si>
  <si>
    <t>-671.517184723972 176.586237528001 776.548773153721</t>
  </si>
  <si>
    <t>-520.608741066622 179.914055297542 832.220986853149</t>
  </si>
  <si>
    <t>-610.706634392371 -75.4191013122397 321.268814554788</t>
  </si>
  <si>
    <t>-653.35888722262 -103.603023718644 781.458018735026</t>
  </si>
  <si>
    <t>-499.361087503919 -115.032258130082 826.600761586868</t>
  </si>
  <si>
    <t>9763-20170724T115655.627057100.bin</t>
  </si>
  <si>
    <t>-618.014349504844 28.3985383508316 -94.7385053272436</t>
  </si>
  <si>
    <t>-639.863914938327 24.892921322552 -203.218003813284</t>
  </si>
  <si>
    <t>-645.994378576467 22.5197210242104 -295.860472380406</t>
  </si>
  <si>
    <t>-647.5299260118 20.534345771616 -379.716476513445</t>
  </si>
  <si>
    <t>-644.488663445577 18.6941419964098 -463.534717314934</t>
  </si>
  <si>
    <t>-635.030203303201 16.1356350498054 -585.800525563493</t>
  </si>
  <si>
    <t>-610.370814639943 5.73804690520547 -659.448376636114</t>
  </si>
  <si>
    <t>-639.401177091935 48.6115168205952 -532.824453733539</t>
  </si>
  <si>
    <t>-606.706727699623 198.767125608459 -505.962663228273</t>
  </si>
  <si>
    <t>-675.093240682057 255.750971821945 -238.278743869</t>
  </si>
  <si>
    <t>-466.537777046831 190.590375795423 -159.492701404609</t>
  </si>
  <si>
    <t>-622.142012543044 120.424426807243 -98.4804394966727</t>
  </si>
  <si>
    <t>-637.354777676849 135.753985234396 316.533010182583</t>
  </si>
  <si>
    <t>-671.549731760269 176.676148271596 776.584125493642</t>
  </si>
  <si>
    <t>-520.611024341675 179.85775369564 832.182791387546</t>
  </si>
  <si>
    <t>-611.924463719449 -76.1528109698081 321.098907424476</t>
  </si>
  <si>
    <t>-653.68655202635 -103.592129132188 781.389677532414</t>
  </si>
  <si>
    <t>-499.548862457889 -115.264223502235 825.989602149771</t>
  </si>
  <si>
    <t>9763-20170724T115655.660143500.bin</t>
  </si>
  <si>
    <t>-617.784151556095 28.6612127896954 -94.7125195126471</t>
  </si>
  <si>
    <t>-639.834913858502 25.1778887814921 -203.152054265822</t>
  </si>
  <si>
    <t>-645.94813528751 22.7981680329754 -295.795454864519</t>
  </si>
  <si>
    <t>-647.392232310575 20.8016776505233 -379.652916982808</t>
  </si>
  <si>
    <t>-644.184049190564 18.9467051154113 -463.464656110447</t>
  </si>
  <si>
    <t>-634.399455985066 16.3652129395318 -585.704278244992</t>
  </si>
  <si>
    <t>-609.857361482513 6.1041221643452 -659.410376470588</t>
  </si>
  <si>
    <t>-638.942012300261 48.8507717024841 -532.748593901168</t>
  </si>
  <si>
    <t>-604.8068630166 198.618771469078 -505.394484051112</t>
  </si>
  <si>
    <t>-674.148522185828 255.310108190263 -237.894128961238</t>
  </si>
  <si>
    <t>-465.731011776688 190.207576129093 -158.696109743296</t>
  </si>
  <si>
    <t>-621.720376720362 120.745396975997 -98.5705742675341</t>
  </si>
  <si>
    <t>-637.01828279852 135.872156391064 316.447257964775</t>
  </si>
  <si>
    <t>-671.555553683458 176.650900105523 776.530001949569</t>
  </si>
  <si>
    <t>-520.61610336378 179.914440045558 832.12182889023</t>
  </si>
  <si>
    <t>-612.229571690998 -76.1211725248868 321.02381929271</t>
  </si>
  <si>
    <t>-653.768661242647 -103.542011848173 781.372499623648</t>
  </si>
  <si>
    <t>-499.556024687316 -114.871075781377 825.801492322941</t>
  </si>
  <si>
    <t>9763-20170724T115655.726873500.bin</t>
  </si>
  <si>
    <t>-617.865365445047 28.9682523052018 -94.815410861611</t>
  </si>
  <si>
    <t>-640.481819113163 25.6475557288068 -203.143481203675</t>
  </si>
  <si>
    <t>-646.319199815897 23.2921404361259 -295.805299848218</t>
  </si>
  <si>
    <t>-647.209193392219 21.2833186516832 -379.67009328585</t>
  </si>
  <si>
    <t>-643.143360332573 19.3850871767372 -463.443545143825</t>
  </si>
  <si>
    <t>-631.776324694503 16.7108149196838 -585.544250170671</t>
  </si>
  <si>
    <t>-606.609313375803 6.52077279111631 -659.049227841034</t>
  </si>
  <si>
    <t>-637.008943187556 49.2364537218814 -532.676983184855</t>
  </si>
  <si>
    <t>-601.298672883303 198.592938905339 -505.341352675926</t>
  </si>
  <si>
    <t>-670.552438363249 255.587735057142 -237.882633118772</t>
  </si>
  <si>
    <t>-462.958346652614 188.449061115847 -158.223280236254</t>
  </si>
  <si>
    <t>-621.387572872531 121.668519860162 -98.6689449229294</t>
  </si>
  <si>
    <t>-635.484836956529 136.038232599309 316.418272762956</t>
  </si>
  <si>
    <t>-671.439552599082 176.831950719173 776.370543372369</t>
  </si>
  <si>
    <t>-520.55408929368 179.916293838018 832.119047803787</t>
  </si>
  <si>
    <t>-611.482903520736 -75.465040052477 320.985193379258</t>
  </si>
  <si>
    <t>-653.807916981219 -103.525062566455 781.343691162227</t>
  </si>
  <si>
    <t>-499.598606369524 -115.280777789119 825.673271624862</t>
  </si>
  <si>
    <t>9763-20170724T115655.760964200.bin</t>
  </si>
  <si>
    <t>-617.785769603611 29.2069443107293 -94.8087464908961</t>
  </si>
  <si>
    <t>-640.482062879928 25.9211709957303 -203.121195303258</t>
  </si>
  <si>
    <t>-646.133759241874 23.5732169677324 -295.794693792176</t>
  </si>
  <si>
    <t>-646.753666289586 21.5649735109575 -379.661974514499</t>
  </si>
  <si>
    <t>-642.316295388412 19.6610566452343 -463.416380749799</t>
  </si>
  <si>
    <t>-630.296582069263 16.9722547783667 -585.454254803193</t>
  </si>
  <si>
    <t>-604.781786478223 6.75609066338961 -658.835737041813</t>
  </si>
  <si>
    <t>-635.797560593995 49.5044220154391 -532.61821199006</t>
  </si>
  <si>
    <t>-600.267816011036 198.995631317423 -505.698155028486</t>
  </si>
  <si>
    <t>-669.013750131629 257.317979950266 -238.394908999965</t>
  </si>
  <si>
    <t>-461.825435032918 188.458573619832 -159.148912598695</t>
  </si>
  <si>
    <t>-621.130922779683 122.006868152908 -98.6116422341013</t>
  </si>
  <si>
    <t>-635.228279226793 136.193323287325 316.481824028251</t>
  </si>
  <si>
    <t>-671.417676726187 176.849712949354 776.360158864072</t>
  </si>
  <si>
    <t>-520.554394465473 179.842507068025 832.173552298892</t>
  </si>
  <si>
    <t>-611.218031930559 -75.1808766649169 321.059170749971</t>
  </si>
  <si>
    <t>-653.804861184129 -103.516455185588 781.342488446554</t>
  </si>
  <si>
    <t>-499.614571364578 -115.466118810485 825.686353112156</t>
  </si>
  <si>
    <t>9763-20170724T115655.825215200.bin</t>
  </si>
  <si>
    <t>-617.546022752916 29.9850247607619 -94.8029463148997</t>
  </si>
  <si>
    <t>-639.980377649926 26.6747323076504 -203.169095275226</t>
  </si>
  <si>
    <t>-645.359208746393 24.3492161917136 -295.859396075247</t>
  </si>
  <si>
    <t>-645.712563614471 22.3813023086709 -379.729277911977</t>
  </si>
  <si>
    <t>-640.989225286623 20.5405870239738 -463.469439223135</t>
  </si>
  <si>
    <t>-628.531340425045 17.9706005559713 -585.466022397376</t>
  </si>
  <si>
    <t>-602.842776619277 7.77230284936832 -658.789134490996</t>
  </si>
  <si>
    <t>-634.278821782871 50.4506504613992 -532.624125843747</t>
  </si>
  <si>
    <t>-599.373653666073 200.07529350992 -505.536441031063</t>
  </si>
  <si>
    <t>-668.252117468998 259.690937196565 -238.55263796591</t>
  </si>
  <si>
    <t>-461.309892450792 189.03546304479 -160.250339579909</t>
  </si>
  <si>
    <t>-620.747303199975 122.72456076724 -98.6346866273836</t>
  </si>
  <si>
    <t>-635.582699467761 136.775556705883 316.43772006688</t>
  </si>
  <si>
    <t>-671.435991379142 176.861362855532 776.422689360775</t>
  </si>
  <si>
    <t>-520.567648203819 179.87214627549 832.221383508535</t>
  </si>
  <si>
    <t>-611.72526092331 -75.023204654352 321.069929846684</t>
  </si>
  <si>
    <t>-653.804896710007 -103.488152620854 781.346785278445</t>
  </si>
  <si>
    <t>-499.618451940252 -115.481062337277 825.69244330155</t>
  </si>
  <si>
    <t>9763-20170724T115655.861319000.bin</t>
  </si>
  <si>
    <t>-617.472636039747 30.4084962038912 -94.8049132865647</t>
  </si>
  <si>
    <t>-639.918099121899 27.0289188352874 -203.166722350359</t>
  </si>
  <si>
    <t>-645.170028325811 24.6943687153857 -295.864047043624</t>
  </si>
  <si>
    <t>-645.353356256796 22.7362434681443 -379.734610852842</t>
  </si>
  <si>
    <t>-640.405239183486 20.9224662319466 -463.462513310447</t>
  </si>
  <si>
    <t>-627.559575592091 18.410197402822 -585.41980701458</t>
  </si>
  <si>
    <t>-601.8073599554 8.280659319905 -658.730327378474</t>
  </si>
  <si>
    <t>-633.494497475045 50.8650097719155 -532.583329380038</t>
  </si>
  <si>
    <t>-598.696666916286 200.492452255681 -505.377234159279</t>
  </si>
  <si>
    <t>-668.538064983619 259.162689932189 -238.434327085478</t>
  </si>
  <si>
    <t>-461.784780403192 188.40540698138 -159.725852508615</t>
  </si>
  <si>
    <t>-620.782161184426 123.089435173313 -98.7171508612118</t>
  </si>
  <si>
    <t>-635.535461243683 137.100566484939 316.359530520102</t>
  </si>
  <si>
    <t>-671.44641154326 176.864133200103 776.424933099127</t>
  </si>
  <si>
    <t>-520.575943110479 180.067282319116 832.207234431447</t>
  </si>
  <si>
    <t>-611.843031102491 -74.7361642431358 321.052314909446</t>
  </si>
  <si>
    <t>-653.797262195492 -103.483034145389 781.357359315332</t>
  </si>
  <si>
    <t>-499.60500131102 -115.409741728113 825.700621426557</t>
  </si>
  <si>
    <t>9763-20170724T115655.925485400.bin</t>
  </si>
  <si>
    <t>-617.388646186668 30.8013276415741 -94.7300173626144</t>
  </si>
  <si>
    <t>-639.885513464298 27.2951814306625 -203.077227009759</t>
  </si>
  <si>
    <t>-645.158602773246 24.970474510015 -295.773563886092</t>
  </si>
  <si>
    <t>-645.351612745547 23.0648286466214 -379.645314880607</t>
  </si>
  <si>
    <t>-640.403409078501 21.349260089105 -463.375373492118</t>
  </si>
  <si>
    <t>-627.546659732768 19.0307551270791 -585.335341140098</t>
  </si>
  <si>
    <t>-601.651709481396 9.54475297001022 -658.681587418758</t>
  </si>
  <si>
    <t>-633.589679786034 51.4003006853652 -532.458671831103</t>
  </si>
  <si>
    <t>-600.673662578804 201.426920923533 -505.155146785727</t>
  </si>
  <si>
    <t>-670.634386169399 258.382248032599 -237.872237565281</t>
  </si>
  <si>
    <t>-463.823300559052 187.432452709962 -159.489567093864</t>
  </si>
  <si>
    <t>-621.113947542099 123.703361305681 -98.7270814065931</t>
  </si>
  <si>
    <t>-634.981617801205 137.400998833431 316.390574239407</t>
  </si>
  <si>
    <t>-671.432458406954 176.866571318089 776.389999662219</t>
  </si>
  <si>
    <t>-520.578038077635 179.946313083228 832.222641148355</t>
  </si>
  <si>
    <t>-611.069712908283 -74.0092853983429 321.15416593085</t>
  </si>
  <si>
    <t>-653.793848053113 -103.366320520654 781.362630371677</t>
  </si>
  <si>
    <t>-499.593687105524 -115.238630611975 825.692967624388</t>
  </si>
  <si>
    <t>9763-20170724T115655.977624500.bin</t>
  </si>
  <si>
    <t>-616.997955248668 30.8707710718411 -94.6913602670206</t>
  </si>
  <si>
    <t>-639.467083936032 27.3081705100324 -203.042437334596</t>
  </si>
  <si>
    <t>-645.116442334417 25.0583821891387 -295.718536140305</t>
  </si>
  <si>
    <t>-645.810333047322 23.270471131764 -379.590198844891</t>
  </si>
  <si>
    <t>-641.522526294151 21.7273638755801 -463.359916487804</t>
  </si>
  <si>
    <t>-629.802835117232 19.7238785694926 -585.439958373485</t>
  </si>
  <si>
    <t>-603.804218156331 11.0461901993247 -658.84963516606</t>
  </si>
  <si>
    <t>-635.533957302344 51.9536075025881 -532.443339367861</t>
  </si>
  <si>
    <t>-605.270672920401 202.485144605307 -504.891448305578</t>
  </si>
  <si>
    <t>-672.865773700413 259.556480685377 -237.025212178196</t>
  </si>
  <si>
    <t>-465.440882910132 188.749677048035 -160.149721052543</t>
  </si>
  <si>
    <t>-621.06625443415 123.762084501061 -98.6587055066781</t>
  </si>
  <si>
    <t>-635.007964289749 137.430068063882 316.457435029172</t>
  </si>
  <si>
    <t>-671.433016114714 176.816762223395 776.406752106939</t>
  </si>
  <si>
    <t>-520.584255001203 179.944073041176 832.251999819583</t>
  </si>
  <si>
    <t>-610.66899516544 -73.8803400009776 321.2166170436</t>
  </si>
  <si>
    <t>-653.804144789233 -103.361753803036 781.35531108597</t>
  </si>
  <si>
    <t>-499.615003618564 -115.420975356664 825.673517682856</t>
  </si>
  <si>
    <t>9763-20170724T115656.027773300.bin</t>
  </si>
  <si>
    <t>-615.404328553493 30.7445834357986 -94.5870233151149</t>
  </si>
  <si>
    <t>-637.577176821794 27.1618708892688 -202.998484085938</t>
  </si>
  <si>
    <t>-644.342769463082 24.9967835413315 -295.601725378348</t>
  </si>
  <si>
    <t>-646.598034367799 23.3287612876065 -379.448392042827</t>
  </si>
  <si>
    <t>-644.421506915769 21.9594442708462 -463.30252721915</t>
  </si>
  <si>
    <t>-636.383434665419 20.274914903463 -585.685068351235</t>
  </si>
  <si>
    <t>-609.678823653754 13.8389041323212 -659.072117351194</t>
  </si>
  <si>
    <t>-640.836367352224 52.3577079016661 -532.476976967901</t>
  </si>
  <si>
    <t>-617.741993559898 204.276106347383 -505.491257436474</t>
  </si>
  <si>
    <t>-676.857332735001 261.166864615532 -235.58863272243</t>
  </si>
  <si>
    <t>-466.830510899092 192.699430823422 -163.828810251034</t>
  </si>
  <si>
    <t>-619.698146252078 123.291140208708 -98.4693452069955</t>
  </si>
  <si>
    <t>-635.210013989945 137.26424400799 316.580949943422</t>
  </si>
  <si>
    <t>-671.457659770518 176.659866319514 776.486821531085</t>
  </si>
  <si>
    <t>-520.604322904297 180.055207876537 832.304156248604</t>
  </si>
  <si>
    <t>-610.154497699767 -74.3469399811811 321.260490780534</t>
  </si>
  <si>
    <t>-653.847662663279 -103.390476918473 781.342894072798</t>
  </si>
  <si>
    <t>-499.644978731122 -115.556821667264 825.584680080281</t>
  </si>
  <si>
    <t>9763-20170724T115656.056857500.bin</t>
  </si>
  <si>
    <t>-614.109365769178 30.9506423968996 -94.5887969568596</t>
  </si>
  <si>
    <t>-636.308437875234 27.3969618823833 -202.99577379718</t>
  </si>
  <si>
    <t>-643.616356865601 25.1696283677877 -295.55630832612</t>
  </si>
  <si>
    <t>-646.57212898046 23.4117596053768 -379.379480891766</t>
  </si>
  <si>
    <t>-645.305913278398 21.9203989943339 -463.25026643472</t>
  </si>
  <si>
    <t>-638.826476840938 20.0228188430499 -585.722082762975</t>
  </si>
  <si>
    <t>-610.895771300971 14.7629949212503 -658.745478570321</t>
  </si>
  <si>
    <t>-642.622879723957 52.1976311455721 -532.518529935941</t>
  </si>
  <si>
    <t>-621.801445442885 204.602297425594 -506.467144639827</t>
  </si>
  <si>
    <t>-676.611482712346 260.048311519816 -235.358054853972</t>
  </si>
  <si>
    <t>-465.048238347716 193.727638800603 -166.140251730138</t>
  </si>
  <si>
    <t>-618.36115381572 123.398110263596 -98.4591721858943</t>
  </si>
  <si>
    <t>-634.829044319307 137.210950894592 316.559653153556</t>
  </si>
  <si>
    <t>-671.423918892811 176.693986012395 776.490895753252</t>
  </si>
  <si>
    <t>-520.575353984627 179.995868357655 832.326673037608</t>
  </si>
  <si>
    <t>-609.684499055193 -74.4207758043785 321.209704735618</t>
  </si>
  <si>
    <t>-653.868112608955 -103.37255279299 781.322255189992</t>
  </si>
  <si>
    <t>-499.631459198733 -115.291680609053 825.51286825547</t>
  </si>
  <si>
    <t>9763-20170724T115656.128068900.bin</t>
  </si>
  <si>
    <t>-611.805941703686 31.5839557697188 -94.5623193556625</t>
  </si>
  <si>
    <t>-635.029173651588 28.0135484275452 -202.753983595827</t>
  </si>
  <si>
    <t>-643.622630933432 25.608676607658 -295.199775028974</t>
  </si>
  <si>
    <t>-647.908856393571 23.6313500423935 -378.960471048542</t>
  </si>
  <si>
    <t>-648.14077900615 21.8615064812125 -462.834910659627</t>
  </si>
  <si>
    <t>-644.03223151614 19.4947383078375 -585.400953867684</t>
  </si>
  <si>
    <t>-612.911188177109 16.1723642253887 -657.238766113826</t>
  </si>
  <si>
    <t>-646.722952521946 51.8755166674373 -532.255237405064</t>
  </si>
  <si>
    <t>-627.252481166302 204.662360606447 -507.461707107035</t>
  </si>
  <si>
    <t>-675.240103230303 257.786731658044 -234.59983869625</t>
  </si>
  <si>
    <t>-461.778609408246 193.185979670707 -169.7194697144</t>
  </si>
  <si>
    <t>-615.953475760421 124.430218128227 -98.534654270636</t>
  </si>
  <si>
    <t>-632.26067277001 137.28553863942 316.52129693141</t>
  </si>
  <si>
    <t>-671.312231318989 176.661241758389 776.386893743837</t>
  </si>
  <si>
    <t>-520.535567778039 179.94234112675 832.417793943703</t>
  </si>
  <si>
    <t>-607.655504970702 -73.3728833960797 321.341642967152</t>
  </si>
  <si>
    <t>-653.917537631932 -103.286181146201 781.280965921107</t>
  </si>
  <si>
    <t>-499.656686979339 -115.3538056743 825.346706023245</t>
  </si>
  <si>
    <t>9763-20170724T115656.161153600.bin</t>
  </si>
  <si>
    <t>-611.157817842587 31.8398823379298 -94.546129293485</t>
  </si>
  <si>
    <t>-634.965550362354 28.2472068453164 -202.609917506741</t>
  </si>
  <si>
    <t>-644.064950229794 25.7740772569168 -295.005329715359</t>
  </si>
  <si>
    <t>-648.812496249513 23.7184528644541 -378.739319766657</t>
  </si>
  <si>
    <t>-649.509095890055 21.8518087562497 -462.609332310676</t>
  </si>
  <si>
    <t>-646.082829376688 19.3226787327872 -585.193022711247</t>
  </si>
  <si>
    <t>-613.807742328041 16.7663871290633 -656.551287318112</t>
  </si>
  <si>
    <t>-648.362309181689 51.776963554011 -532.072756258015</t>
  </si>
  <si>
    <t>-628.771975599395 204.59884896065 -507.701396159263</t>
  </si>
  <si>
    <t>-673.91060737826 257.516711238491 -234.313845630593</t>
  </si>
  <si>
    <t>-459.806886558084 193.190251543548 -171.30400597731</t>
  </si>
  <si>
    <t>-615.037593866644 124.917018940091 -98.502361382021</t>
  </si>
  <si>
    <t>-631.093715684163 137.368187160233 316.575636948184</t>
  </si>
  <si>
    <t>-671.259937378368 176.681594992796 776.335521497658</t>
  </si>
  <si>
    <t>-520.525109781772 179.99326585977 832.47695709337</t>
  </si>
  <si>
    <t>-606.811728663977 -72.7011203889422 321.50377353904</t>
  </si>
  <si>
    <t>-653.971954831152 -103.220440174683 781.263240789841</t>
  </si>
  <si>
    <t>-499.69787376731 -115.467469109563 825.233003693926</t>
  </si>
  <si>
    <t>9763-20170724T115656.224850000.bin</t>
  </si>
  <si>
    <t>-610.96206117333 32.086114333337 -94.5895258722835</t>
  </si>
  <si>
    <t>-635.141844444695 28.5092790188546 -202.571301505864</t>
  </si>
  <si>
    <t>-644.723083794694 25.973264081071 -294.916208234262</t>
  </si>
  <si>
    <t>-649.973667812068 23.8379534604933 -378.618213096787</t>
  </si>
  <si>
    <t>-651.240716211502 21.8664051826865 -462.479049551984</t>
  </si>
  <si>
    <t>-648.721242726768 19.1577271460865 -585.080919629006</t>
  </si>
  <si>
    <t>-615.251118144984 18.0347734033144 -655.923720668954</t>
  </si>
  <si>
    <t>-650.439230865679 51.6935397979012 -531.989349867136</t>
  </si>
  <si>
    <t>-630.528962030232 204.559805037971 -508.018544231516</t>
  </si>
  <si>
    <t>-670.23195336401 259.070272792062 -234.100818100288</t>
  </si>
  <si>
    <t>-455.29818919694 194.628369146908 -174.10705911695</t>
  </si>
  <si>
    <t>-614.168069228667 125.150468749465 -98.484439679694</t>
  </si>
  <si>
    <t>-630.609733875861 137.42356436183 316.583825765948</t>
  </si>
  <si>
    <t>-671.262237781031 176.633756956555 776.287874338848</t>
  </si>
  <si>
    <t>-520.5442531153 179.975719693182 832.472773832533</t>
  </si>
  <si>
    <t>-607.000729639234 -72.4122479625969 321.612128010454</t>
  </si>
  <si>
    <t>-654.026235262651 -103.134542521446 781.266064515146</t>
  </si>
  <si>
    <t>-499.721436117131 -115.302310130555 825.149987920158</t>
  </si>
  <si>
    <t>9763-20170724T115656.257936800.bin</t>
  </si>
  <si>
    <t>-611.312853880007 31.9750294070923 -94.5898902133841</t>
  </si>
  <si>
    <t>-635.427701762886 28.4127727877567 -202.586569954899</t>
  </si>
  <si>
    <t>-645.049836057373 25.8294145132102 -294.9260817907</t>
  </si>
  <si>
    <t>-650.376389955914 23.629520337161 -378.621411827155</t>
  </si>
  <si>
    <t>-651.758698952211 21.5706273632672 -462.478409956888</t>
  </si>
  <si>
    <t>-649.450671200783 18.7097368022285 -585.081027325117</t>
  </si>
  <si>
    <t>-615.762484566298 18.1869610292192 -655.827339574797</t>
  </si>
  <si>
    <t>-651.033467862035 51.3123714068963 -532.026235868242</t>
  </si>
  <si>
    <t>-630.887135751622 204.189938559143 -508.228899337497</t>
  </si>
  <si>
    <t>-668.501976250223 259.695045735039 -234.216350930119</t>
  </si>
  <si>
    <t>-453.15709723179 195.546422977934 -175.393963838256</t>
  </si>
  <si>
    <t>-614.27796554627 124.952121401985 -98.5512043995457</t>
  </si>
  <si>
    <t>-630.958988492124 137.460808579016 316.500429975931</t>
  </si>
  <si>
    <t>-671.267063442903 176.664132783545 776.248829626087</t>
  </si>
  <si>
    <t>-520.535770907272 179.87410871312 832.405746182899</t>
  </si>
  <si>
    <t>-607.666613577082 -72.6736361855806 321.559121154028</t>
  </si>
  <si>
    <t>-654.019700636757 -103.135958611346 781.29181133631</t>
  </si>
  <si>
    <t>-499.712172465891 -115.267842921945 825.176126475519</t>
  </si>
  <si>
    <t>9763-20170724T115656.324158600.bin</t>
  </si>
  <si>
    <t>-612.373949759015 31.0525983422963 -94.6161876725334</t>
  </si>
  <si>
    <t>-636.495546271006 27.5154029417497 -202.612265950572</t>
  </si>
  <si>
    <t>-645.998885978395 24.8689986276104 -294.962209264892</t>
  </si>
  <si>
    <t>-651.167771794509 22.5763566294554 -378.664938595328</t>
  </si>
  <si>
    <t>-652.342015405961 20.387819635479 -462.521887989289</t>
  </si>
  <si>
    <t>-649.674927286793 17.2957480349485 -585.111614829661</t>
  </si>
  <si>
    <t>-615.708147977583 17.7213856927472 -655.725259190674</t>
  </si>
  <si>
    <t>-651.376049036327 49.9990165180252 -532.122467314501</t>
  </si>
  <si>
    <t>-630.760717556389 202.807399252173 -508.371474759701</t>
  </si>
  <si>
    <t>-665.770911449427 259.3954138327 -234.235311889484</t>
  </si>
  <si>
    <t>-449.765344922565 195.520192369288 -177.57767875583</t>
  </si>
  <si>
    <t>-615.450285084166 123.983651828686 -98.6957112257401</t>
  </si>
  <si>
    <t>-631.481001798177 137.022957265855 316.365331124499</t>
  </si>
  <si>
    <t>-671.290943432524 176.512696585873 776.144214987098</t>
  </si>
  <si>
    <t>-520.554804141416 179.879013289107 832.278906207071</t>
  </si>
  <si>
    <t>-608.47368051709 -73.2679794918065 321.419048289601</t>
  </si>
  <si>
    <t>-654.008143967547 -103.172751314057 781.320605919603</t>
  </si>
  <si>
    <t>-499.709714381258 -115.344267355024 825.22582419617</t>
  </si>
  <si>
    <t>9763-20170724T115656.390334300.bin</t>
  </si>
  <si>
    <t>-613.414332078904 29.7846642669858 -94.7201179638545</t>
  </si>
  <si>
    <t>-637.599781504959 26.2926079636229 -202.703276525939</t>
  </si>
  <si>
    <t>-646.916675347024 23.7202171005792 -295.074492755154</t>
  </si>
  <si>
    <t>-651.819282106387 21.5048883568541 -378.795256067525</t>
  </si>
  <si>
    <t>-652.629308958492 19.4042650199576 -462.658647763746</t>
  </si>
  <si>
    <t>-649.322905197548 16.4516350104736 -585.236363975294</t>
  </si>
  <si>
    <t>-615.013486786994 17.3443106720965 -655.679725286175</t>
  </si>
  <si>
    <t>-651.360873794297 49.0934659700197 -532.221239530729</t>
  </si>
  <si>
    <t>-630.438440468453 201.727402449772 -507.741677405412</t>
  </si>
  <si>
    <t>-662.975528605267 257.556113008163 -233.14544990446</t>
  </si>
  <si>
    <t>-446.209962081779 193.919179998028 -179.186671812904</t>
  </si>
  <si>
    <t>-616.892276368286 122.721590244383 -98.6690686584697</t>
  </si>
  <si>
    <t>-631.949592766709 136.277537740184 316.411814851437</t>
  </si>
  <si>
    <t>-671.281635049944 176.404712681679 776.117049649792</t>
  </si>
  <si>
    <t>-520.549712835958 179.858564566684 832.257696891553</t>
  </si>
  <si>
    <t>-608.615045428931 -73.9324288384119 321.333544451981</t>
  </si>
  <si>
    <t>-654.032083839433 -103.193627641541 781.289780248823</t>
  </si>
  <si>
    <t>-499.737395790409 -115.438274055362 825.187861677402</t>
  </si>
  <si>
    <t>9763-20170724T115656.423932000.bin</t>
  </si>
  <si>
    <t>-613.873901955211 29.3409798802213 -94.7236512479533</t>
  </si>
  <si>
    <t>-637.885420253496 25.8858629505337 -202.746900260231</t>
  </si>
  <si>
    <t>-647.104847437132 23.4122678266338 -295.130409639271</t>
  </si>
  <si>
    <t>-651.939588052386 21.3114014922553 -378.858171360086</t>
  </si>
  <si>
    <t>-652.702042007782 19.3512023265064 -462.725431623293</t>
  </si>
  <si>
    <t>-649.348420673767 16.6315467267968 -585.30718626166</t>
  </si>
  <si>
    <t>-614.781609959405 17.5984929200142 -655.623656438717</t>
  </si>
  <si>
    <t>-651.445439116514 49.1717848101553 -532.231925935707</t>
  </si>
  <si>
    <t>-630.660968923002 201.761529615184 -507.369779707493</t>
  </si>
  <si>
    <t>-661.813397499819 256.644398157799 -232.422527583334</t>
  </si>
  <si>
    <t>-444.614580449847 193.307010865691 -179.871735252484</t>
  </si>
  <si>
    <t>-617.481517250488 122.101761382369 -98.6090336820481</t>
  </si>
  <si>
    <t>-632.501674788232 136.082580200201 316.459079728835</t>
  </si>
  <si>
    <t>-671.284538843857 176.380173614659 776.159490306708</t>
  </si>
  <si>
    <t>-520.541389404126 179.72903201101 832.276379231161</t>
  </si>
  <si>
    <t>-608.931529092178 -74.4574418932118 321.278185420223</t>
  </si>
  <si>
    <t>-654.037500592757 -103.218797627542 781.270691358532</t>
  </si>
  <si>
    <t>-499.730991630867 -115.298822656551 825.172897463373</t>
  </si>
  <si>
    <t>9763-20170724T115656.489106600.bin</t>
  </si>
  <si>
    <t>-614.577420604637 28.7139644975839 -94.6717268908578</t>
  </si>
  <si>
    <t>-638.3957256474 25.3352584810903 -202.740063687843</t>
  </si>
  <si>
    <t>-647.443043851265 23.0490166598618 -295.145523536134</t>
  </si>
  <si>
    <t>-652.118777680002 21.1675263789346 -378.88749569258</t>
  </si>
  <si>
    <t>-652.718858034731 19.4776525132172 -462.762019500905</t>
  </si>
  <si>
    <t>-649.124440982907 17.209745223957 -585.34598876735</t>
  </si>
  <si>
    <t>-613.880156334547 18.2515068582786 -655.324346843145</t>
  </si>
  <si>
    <t>-651.371376865469 49.5531624877892 -532.156831139258</t>
  </si>
  <si>
    <t>-630.969714315316 202.115375895807 -506.767109150404</t>
  </si>
  <si>
    <t>-660.381758250731 254.302480023037 -231.104133021899</t>
  </si>
  <si>
    <t>-442.315216264858 192.045509356172 -180.908752826859</t>
  </si>
  <si>
    <t>-618.142026725508 121.127739526224 -98.5546005911031</t>
  </si>
  <si>
    <t>-633.236010883012 135.739849164707 316.489074093584</t>
  </si>
  <si>
    <t>-671.310645982721 176.232889483738 776.247218727142</t>
  </si>
  <si>
    <t>-520.549167642611 179.842256258284 832.298764197924</t>
  </si>
  <si>
    <t>-609.700189872488 -75.359235439051 321.155150210928</t>
  </si>
  <si>
    <t>-654.033230871873 -103.294621926674 781.26504706008</t>
  </si>
  <si>
    <t>-499.728999610432 -115.32316061586 825.189381914388</t>
  </si>
  <si>
    <t>9763-20170724T115656.522844300.bin</t>
  </si>
  <si>
    <t>-614.931331273384 28.4903403630678 -94.675649463227</t>
  </si>
  <si>
    <t>-638.774923096332 25.1562934401418 -202.739916563858</t>
  </si>
  <si>
    <t>-647.786715327786 22.9494189626998 -295.150632389238</t>
  </si>
  <si>
    <t>-652.407235065337 21.1593192263861 -378.897742356841</t>
  </si>
  <si>
    <t>-652.929019838253 19.5809816028557 -462.774914685771</t>
  </si>
  <si>
    <t>-649.194956775469 17.4992046421276 -585.358166345435</t>
  </si>
  <si>
    <t>-613.714185117684 18.6182654799607 -655.215696704926</t>
  </si>
  <si>
    <t>-651.499342128344 49.7619947395331 -532.122269597945</t>
  </si>
  <si>
    <t>-631.246632264579 202.31970646302 -506.613237915841</t>
  </si>
  <si>
    <t>-660.74742598633 253.342692139568 -230.741945814336</t>
  </si>
  <si>
    <t>-442.296061003567 191.661359553983 -181.518525241833</t>
  </si>
  <si>
    <t>-618.376754080375 120.991980601935 -98.5653825225219</t>
  </si>
  <si>
    <t>-633.140936412708 135.629666593342 316.489235933113</t>
  </si>
  <si>
    <t>-671.286638672484 176.286251167825 776.245978261901</t>
  </si>
  <si>
    <t>-520.523243591234 179.715454124212 832.303588398305</t>
  </si>
  <si>
    <t>-609.898781692962 -75.5663947005405 321.129820371546</t>
  </si>
  <si>
    <t>-654.0407893877 -103.305275378623 781.268083597687</t>
  </si>
  <si>
    <t>-499.726833285678 -115.254474655632 825.179828938506</t>
  </si>
  <si>
    <t>9763-20170724T115656.558939900.bin</t>
  </si>
  <si>
    <t>-615.235869404631 28.259178593446 -94.7228380898657</t>
  </si>
  <si>
    <t>-639.094431761058 24.9661666248289 -202.785079122935</t>
  </si>
  <si>
    <t>-648.090960638473 22.8259919984923 -295.198934027452</t>
  </si>
  <si>
    <t>-652.686551901726 21.1127388159653 -378.948913232717</t>
  </si>
  <si>
    <t>-653.172211957768 19.6288637314967 -462.827943351431</t>
  </si>
  <si>
    <t>-649.373148493237 17.705911883809 -585.411845405294</t>
  </si>
  <si>
    <t>-613.810632523224 18.9423197291624 -655.225735624619</t>
  </si>
  <si>
    <t>-651.697353832645 49.8998130647392 -532.135209484091</t>
  </si>
  <si>
    <t>-631.444657634698 202.461107661789 -506.589121717999</t>
  </si>
  <si>
    <t>-661.529905775243 252.724737436413 -230.641604525376</t>
  </si>
  <si>
    <t>-442.884607748671 191.456135868645 -181.765047438538</t>
  </si>
  <si>
    <t>-618.479834496843 120.843535230381 -98.5820431750577</t>
  </si>
  <si>
    <t>-633.028129180243 135.465054315079 316.480821127094</t>
  </si>
  <si>
    <t>-671.278786405487 176.252555618479 776.229802920775</t>
  </si>
  <si>
    <t>-520.521653467241 179.721038543896 832.301892151914</t>
  </si>
  <si>
    <t>-610.070276367643 -75.7247539642249 321.111821415005</t>
  </si>
  <si>
    <t>-654.04650465967 -103.3431048293 781.270619523416</t>
  </si>
  <si>
    <t>-499.752938786771 -115.557185380062 825.181269730037</t>
  </si>
  <si>
    <t>9763-20170724T115656.623649400.bin</t>
  </si>
  <si>
    <t>-615.593929228861 27.9023109771633 -94.7962439745356</t>
  </si>
  <si>
    <t>-639.473617759966 24.6686076408873 -202.855590317037</t>
  </si>
  <si>
    <t>-648.551654454774 22.5840425318186 -295.262700897582</t>
  </si>
  <si>
    <t>-653.247031617307 20.9297948991846 -379.008434531025</t>
  </si>
  <si>
    <t>-653.858655220318 19.5159273595491 -462.88782673884</t>
  </si>
  <si>
    <t>-650.272450025625 17.7098728964113 -585.47985156084</t>
  </si>
  <si>
    <t>-614.882698279589 19.1693264059277 -655.377210644013</t>
  </si>
  <si>
    <t>-652.513783137365 49.8527517413604 -532.168944572136</t>
  </si>
  <si>
    <t>-632.137464708513 202.397724550234 -506.57790555867</t>
  </si>
  <si>
    <t>-663.412514546725 252.22232105673 -230.683049592042</t>
  </si>
  <si>
    <t>-444.803020335057 190.976957118183 -181.617527547062</t>
  </si>
  <si>
    <t>-618.457448541384 120.46794319224 -98.6024911193755</t>
  </si>
  <si>
    <t>-633.094271221856 135.237158650529 316.451980291395</t>
  </si>
  <si>
    <t>-671.275229070935 176.282511514657 776.187550825294</t>
  </si>
  <si>
    <t>-520.516413223051 179.599755680774 832.264239317828</t>
  </si>
  <si>
    <t>-610.518833813161 -75.9848183283348 321.076907448113</t>
  </si>
  <si>
    <t>-654.03983828063 -103.328557841447 781.291451343987</t>
  </si>
  <si>
    <t>-499.728393076556 -115.27541459089 825.212650457421</t>
  </si>
  <si>
    <t>9763-20170724T115656.655735100.bin</t>
  </si>
  <si>
    <t>-615.807213965038 27.6506607603321 -94.7754392522725</t>
  </si>
  <si>
    <t>-639.78371926759 24.4323707960305 -202.813818220937</t>
  </si>
  <si>
    <t>-648.962406756486 22.338635659514 -295.210712351341</t>
  </si>
  <si>
    <t>-653.756343574334 20.6703748636721 -378.950582894309</t>
  </si>
  <si>
    <t>-654.474262616952 19.2383714773432 -462.82887266906</t>
  </si>
  <si>
    <t>-651.0516914599 17.4032811761278 -585.425100644339</t>
  </si>
  <si>
    <t>-615.79275585693 18.954113476572 -655.386708176775</t>
  </si>
  <si>
    <t>-653.261123928139 49.5579400156403 -532.119994440526</t>
  </si>
  <si>
    <t>-633.031477525444 202.135363432051 -506.605995185803</t>
  </si>
  <si>
    <t>-664.325297264525 252.041446290464 -230.727989621068</t>
  </si>
  <si>
    <t>-445.754828508155 190.665859920693 -181.651571492999</t>
  </si>
  <si>
    <t>-618.578740740368 120.229076205058 -98.6200956319911</t>
  </si>
  <si>
    <t>-633.179350554428 135.058760459691 316.433466952217</t>
  </si>
  <si>
    <t>-671.281388966189 176.25869689756 776.164506835981</t>
  </si>
  <si>
    <t>-520.517086398416 179.626681696112 832.223472824281</t>
  </si>
  <si>
    <t>-610.636067664282 -76.0613975939098 321.06228583281</t>
  </si>
  <si>
    <t>-654.028262567647 -103.334501696676 781.299317009578</t>
  </si>
  <si>
    <t>-499.737394710729 -115.481359414127 825.23796918361</t>
  </si>
  <si>
    <t>9763-20170724T115656.726497200.bin</t>
  </si>
  <si>
    <t>-616.540964714322 27.0625167868043 -94.7631163241747</t>
  </si>
  <si>
    <t>-640.922320087331 23.9106036260116 -202.712667098691</t>
  </si>
  <si>
    <t>-650.392833218363 21.7955132496325 -295.079660347657</t>
  </si>
  <si>
    <t>-655.429803112218 20.082831963068 -378.804578339661</t>
  </si>
  <si>
    <t>-656.369887060614 18.5869900963773 -462.679411379693</t>
  </si>
  <si>
    <t>-653.248999511402 16.6416502355785 -585.282077513947</t>
  </si>
  <si>
    <t>-618.09685381186 18.3173540694586 -655.294440199985</t>
  </si>
  <si>
    <t>-655.47326919375 48.8404881504837 -532.004289043575</t>
  </si>
  <si>
    <t>-635.773807397911 201.531709875552 -506.830577789865</t>
  </si>
  <si>
    <t>-666.070457794524 251.319964582793 -230.82008350768</t>
  </si>
  <si>
    <t>-447.280973693711 190.197063376647 -182.408468135274</t>
  </si>
  <si>
    <t>-619.35412916893 119.702989559695 -98.6046560263172</t>
  </si>
  <si>
    <t>-633.336753789746 134.529364461796 316.47040118061</t>
  </si>
  <si>
    <t>-671.275044311358 176.202397130965 776.144667289112</t>
  </si>
  <si>
    <t>-520.503129850328 179.60974709127 832.180757334493</t>
  </si>
  <si>
    <t>-610.448110274866 -75.9166035628525 321.067883673239</t>
  </si>
  <si>
    <t>-653.997817823386 -103.317627217216 781.303171404583</t>
  </si>
  <si>
    <t>-499.700551911034 -115.233191610183 825.282607746493</t>
  </si>
  <si>
    <t>9763-20170724T115656.758576900.bin</t>
  </si>
  <si>
    <t>-617.064220615929 26.8425740105076 -94.7833873049443</t>
  </si>
  <si>
    <t>-641.614765631899 23.7194665109778 -202.695534648476</t>
  </si>
  <si>
    <t>-651.220571728158 21.5998325050289 -295.048403737928</t>
  </si>
  <si>
    <t>-656.37653384167 19.8747712487066 -378.765684914458</t>
  </si>
  <si>
    <t>-657.432340590643 18.3611709127226 -462.63897313753</t>
  </si>
  <si>
    <t>-654.476906963685 16.386337231487 -585.245156747633</t>
  </si>
  <si>
    <t>-619.296062504168 18.1098896701749 -655.24197406137</t>
  </si>
  <si>
    <t>-656.713323401226 48.5955313169468 -531.974038801401</t>
  </si>
  <si>
    <t>-637.428446668808 201.358189381909 -506.927237901622</t>
  </si>
  <si>
    <t>-666.820646752524 251.19125048866 -230.827137837235</t>
  </si>
  <si>
    <t>-447.705587888846 190.486691003986 -183.370942095418</t>
  </si>
  <si>
    <t>-619.852327549877 119.558978314322 -98.5760346954147</t>
  </si>
  <si>
    <t>-633.501097148086 134.40461915814 316.509367798958</t>
  </si>
  <si>
    <t>-671.25761713754 176.254409908028 776.169691357821</t>
  </si>
  <si>
    <t>-520.47491148042 179.513216830527 832.185707357415</t>
  </si>
  <si>
    <t>-610.447958962582 -75.8201616454726 321.077742142021</t>
  </si>
  <si>
    <t>-654.005046034018 -103.332079979101 781.294949211229</t>
  </si>
  <si>
    <t>-499.714412552573 -115.324943002357 825.276672335833</t>
  </si>
  <si>
    <t>9763-20170724T115656.823799500.bin</t>
  </si>
  <si>
    <t>-618.374967789549 26.722479295122 -94.838508759339</t>
  </si>
  <si>
    <t>-642.862051925252 23.623931747755 -202.76569126175</t>
  </si>
  <si>
    <t>-652.578366118517 21.4873917214163 -295.106833160554</t>
  </si>
  <si>
    <t>-657.901102905747 19.7371716160933 -378.813029749745</t>
  </si>
  <si>
    <t>-659.191121177434 18.1942424132239 -462.68254966827</t>
  </si>
  <si>
    <t>-656.651808965254 16.176594741049 -585.297339650659</t>
  </si>
  <si>
    <t>-621.534970511499 18.0642572736701 -655.321951312123</t>
  </si>
  <si>
    <t>-658.890635974611 48.3983269568319 -532.03401878834</t>
  </si>
  <si>
    <t>-640.543713039928 201.31917898402 -507.232724205367</t>
  </si>
  <si>
    <t>-667.981027825407 250.928050893984 -230.890984276116</t>
  </si>
  <si>
    <t>-448.463174943082 190.592235105849 -184.847064779185</t>
  </si>
  <si>
    <t>-621.172261160604 119.3561099859 -98.5661966225491</t>
  </si>
  <si>
    <t>-634.552417833379 134.323725871858 316.523642100258</t>
  </si>
  <si>
    <t>-671.302711695786 176.17788608688 776.270887752116</t>
  </si>
  <si>
    <t>-520.483563284599 179.529942216163 832.183121473631</t>
  </si>
  <si>
    <t>-611.233639726584 -75.7196572653529 321.018498331933</t>
  </si>
  <si>
    <t>-654.010352683721 -103.317404319716 781.276426290701</t>
  </si>
  <si>
    <t>-499.691654642593 -114.922182608911 825.263906678384</t>
  </si>
  <si>
    <t>9763-20170724T115656.891981200.bin</t>
  </si>
  <si>
    <t>-619.591774825965 26.8033945995728 -94.8600949469742</t>
  </si>
  <si>
    <t>-643.782378627751 23.6904482603045 -202.853794486577</t>
  </si>
  <si>
    <t>-653.422959436263 21.5151532867587 -295.201768212435</t>
  </si>
  <si>
    <t>-658.748851938879 19.7215851063049 -378.906918492162</t>
  </si>
  <si>
    <t>-660.114130908595 18.1311495710947 -462.774359417313</t>
  </si>
  <si>
    <t>-657.76411514289 16.042046164745 -585.3917868251</t>
  </si>
  <si>
    <t>-622.937207559016 18.2018964247823 -655.553298437907</t>
  </si>
  <si>
    <t>-660.066508028818 48.2891688761476 -532.146413636978</t>
  </si>
  <si>
    <t>-642.30200673692 201.291826437145 -507.418645083757</t>
  </si>
  <si>
    <t>-668.537478976288 250.365251523908 -230.864643465342</t>
  </si>
  <si>
    <t>-448.574223282595 190.352317960521 -186.557271742751</t>
  </si>
  <si>
    <t>-622.424083576726 119.231711561104 -98.6003019330503</t>
  </si>
  <si>
    <t>-635.729985704775 134.501589969063 316.480907249996</t>
  </si>
  <si>
    <t>-671.339802582097 176.247866557891 776.357453134474</t>
  </si>
  <si>
    <t>-520.471770756426 179.415358495177 832.148359764321</t>
  </si>
  <si>
    <t>-612.295412677325 -75.6420704157722 320.93482297582</t>
  </si>
  <si>
    <t>-654.032122889797 -103.336672994886 781.288332965256</t>
  </si>
  <si>
    <t>-499.692778934055 -114.776647939372 825.246475944049</t>
  </si>
  <si>
    <t>9763-20170724T115656.925576800.bin</t>
  </si>
  <si>
    <t>-620.031170406168 26.9110850555282 -94.8725396569806</t>
  </si>
  <si>
    <t>-644.144942510626 23.7647208169499 -202.882403277429</t>
  </si>
  <si>
    <t>-653.761042128221 21.5644340299307 -295.232332867698</t>
  </si>
  <si>
    <t>-659.081425223284 19.7500097153591 -378.937533059025</t>
  </si>
  <si>
    <t>-660.458018160301 18.1428115601652 -462.804413795923</t>
  </si>
  <si>
    <t>-658.143038192276 16.0352518867624 -585.422243487654</t>
  </si>
  <si>
    <t>-623.446767072676 18.3408293116136 -655.643594077337</t>
  </si>
  <si>
    <t>-660.515245647119 48.2868563605132 -532.182604171708</t>
  </si>
  <si>
    <t>-643.018127250785 201.325534921745 -507.497565855273</t>
  </si>
  <si>
    <t>-668.711875418573 250.122629923307 -230.843829649787</t>
  </si>
  <si>
    <t>-448.543806393038 190.051198742654 -187.647070776857</t>
  </si>
  <si>
    <t>-622.967546769022 119.321056882951 -98.6427509610069</t>
  </si>
  <si>
    <t>-636.061170941115 134.626292181691 316.443922945006</t>
  </si>
  <si>
    <t>-671.351139610167 176.244676798822 776.367296915003</t>
  </si>
  <si>
    <t>-520.469977782901 179.311112480906 832.128309110065</t>
  </si>
  <si>
    <t>-612.563099875757 -75.5242277861157 320.906111657535</t>
  </si>
  <si>
    <t>-654.04570623666 -103.318406402784 781.280893349915</t>
  </si>
  <si>
    <t>-499.699767949305 -114.743424306193 825.21972032762</t>
  </si>
  <si>
    <t>9763-20170724T115656.956660700.bin</t>
  </si>
  <si>
    <t>-620.298447417042 27.1102490745209 -94.8698950862964</t>
  </si>
  <si>
    <t>-644.436515941088 23.9110597761737 -202.872855088244</t>
  </si>
  <si>
    <t>-654.045120469694 21.6833447601384 -295.222865716571</t>
  </si>
  <si>
    <t>-659.347431662895 19.8517253210391 -378.928644157492</t>
  </si>
  <si>
    <t>-660.694680402382 18.2380208847685 -462.795902696053</t>
  </si>
  <si>
    <t>-658.324749223368 16.1333820439213 -585.412791475396</t>
  </si>
  <si>
    <t>-623.691496793723 18.5436933898384 -655.661865401494</t>
  </si>
  <si>
    <t>-660.815390406341 48.379490263987 -532.175233036141</t>
  </si>
  <si>
    <t>-643.702318081561 201.473396518403 -507.560351348169</t>
  </si>
  <si>
    <t>-668.745110536575 249.936855028541 -230.788283244705</t>
  </si>
  <si>
    <t>-448.491283721724 189.050272873178 -189.199752923442</t>
  </si>
  <si>
    <t>-623.379134367606 119.49599004002 -98.6681332013436</t>
  </si>
  <si>
    <t>-636.205985133402 134.805316168878 316.426713201577</t>
  </si>
  <si>
    <t>-671.347629520822 176.296312607338 776.373229316717</t>
  </si>
  <si>
    <t>-520.458500044917 179.389017004834 832.111294853063</t>
  </si>
  <si>
    <t>-612.583716409618 -75.3190100484924 320.908908739988</t>
  </si>
  <si>
    <t>-653.982186557909 -103.29211993622 781.279406642378</t>
  </si>
  <si>
    <t>-499.661284128085 -114.627710585855 825.329160167462</t>
  </si>
  <si>
    <t>9763-20170724T115657.025851600.bin</t>
  </si>
  <si>
    <t>-620.254676588238 27.7087836654459 -94.8567737092453</t>
  </si>
  <si>
    <t>-644.557293819454 24.4100324733367 -202.819725254375</t>
  </si>
  <si>
    <t>-654.153032837776 22.1502289101109 -295.170379532578</t>
  </si>
  <si>
    <t>-659.382156593332 20.3131549476027 -378.88078142782</t>
  </si>
  <si>
    <t>-660.594787433725 18.7233172315978 -462.750516321934</t>
  </si>
  <si>
    <t>-657.961116515791 16.6896219298901 -585.363080064591</t>
  </si>
  <si>
    <t>-623.184498275061 19.1220063872672 -655.540606089385</t>
  </si>
  <si>
    <t>-660.756912166945 48.8954311580515 -532.11631860806</t>
  </si>
  <si>
    <t>-644.883062217453 202.147749548346 -507.627069355204</t>
  </si>
  <si>
    <t>-668.544690290714 250.22881435886 -230.667037071682</t>
  </si>
  <si>
    <t>-447.825434128602 188.186649485901 -193.487440556123</t>
  </si>
  <si>
    <t>-623.50546853957 120.145319484652 -98.6815863251836</t>
  </si>
  <si>
    <t>-636.157980295347 135.219552492349 316.427202577902</t>
  </si>
  <si>
    <t>-671.324571174015 176.416938287909 776.386698769159</t>
  </si>
  <si>
    <t>-520.433214287725 179.428197792653 832.123267014822</t>
  </si>
  <si>
    <t>-612.194215301098 -74.75711126386 321.011337808505</t>
  </si>
  <si>
    <t>-653.870297617351 -103.295257322334 781.340306661351</t>
  </si>
  <si>
    <t>-499.601530328031 -114.679353416098 825.559873869511</t>
  </si>
  <si>
    <t>9763-20170724T115657.060944700.bin</t>
  </si>
  <si>
    <t>-620.126139070902 28.0083776209328 -94.8587432944253</t>
  </si>
  <si>
    <t>-644.510566070063 24.6697563872019 -202.802040427842</t>
  </si>
  <si>
    <t>-654.074589907628 22.4113034662839 -295.156035146059</t>
  </si>
  <si>
    <t>-659.234113649345 20.590970716901 -378.871110445546</t>
  </si>
  <si>
    <t>-660.33627080982 19.0359552929929 -462.74298984836</t>
  </si>
  <si>
    <t>-657.496648622813 17.0743034494926 -585.352168481278</t>
  </si>
  <si>
    <t>-622.573825371197 19.4439663927658 -655.45923031861</t>
  </si>
  <si>
    <t>-660.459720659802 49.2445799410621 -532.092952026439</t>
  </si>
  <si>
    <t>-645.196913601869 202.561702048112 -507.599572610966</t>
  </si>
  <si>
    <t>-668.891578395144 250.412108538804 -230.602331955764</t>
  </si>
  <si>
    <t>-447.511347098377 188.788883696193 -196.81042033645</t>
  </si>
  <si>
    <t>-623.453890286869 120.459195044878 -98.6841477562582</t>
  </si>
  <si>
    <t>-636.069309405951 135.441267596749 316.429138131774</t>
  </si>
  <si>
    <t>-671.311480433796 176.459786913414 776.393343272855</t>
  </si>
  <si>
    <t>-520.422431480145 179.357669709976 832.142123979262</t>
  </si>
  <si>
    <t>-612.002797585646 -74.5236559638595 321.047211598325</t>
  </si>
  <si>
    <t>-653.896024219618 -103.285747634994 781.336895663958</t>
  </si>
  <si>
    <t>-499.625652313185 -114.767402753315 825.525684976006</t>
  </si>
  <si>
    <t>9763-20170724T115657.126641200.bin</t>
  </si>
  <si>
    <t>-620.105886490568 28.336258893145 -94.8488226479511</t>
  </si>
  <si>
    <t>-644.638754031708 24.9321398957102 -202.756438112103</t>
  </si>
  <si>
    <t>-654.209044144536 22.6291178530942 -295.108637115952</t>
  </si>
  <si>
    <t>-659.32578268746 20.7735570854384 -378.825569254269</t>
  </si>
  <si>
    <t>-660.336585113987 19.19169460225 -462.698030523369</t>
  </si>
  <si>
    <t>-657.31047678806 17.2012926461737 -585.302393829555</t>
  </si>
  <si>
    <t>-622.292654863169 19.3354698493713 -655.369516813885</t>
  </si>
  <si>
    <t>-660.447774997379 49.3787967832118 -532.057547995727</t>
  </si>
  <si>
    <t>-646.445586724219 202.870490874466 -507.875651955557</t>
  </si>
  <si>
    <t>-670.960280799471 250.81438250858 -230.965912464113</t>
  </si>
  <si>
    <t>-448.364072923426 190.588796727372 -203.17505174644</t>
  </si>
  <si>
    <t>-623.574584011183 120.795887319942 -98.7086151635494</t>
  </si>
  <si>
    <t>-636.068041947761 135.617378915832 316.414103726563</t>
  </si>
  <si>
    <t>-671.299442514709 176.442203188431 776.396314788745</t>
  </si>
  <si>
    <t>-520.421498061878 179.503155213068 832.166435227196</t>
  </si>
  <si>
    <t>-611.806039102702 -74.1885277308986 321.074979646413</t>
  </si>
  <si>
    <t>-654.002375321735 -103.250805162834 781.303829915117</t>
  </si>
  <si>
    <t>-499.671364119368 -114.570983306777 825.322236126593</t>
  </si>
  <si>
    <t>9763-20170724T115657.159729000.bin</t>
  </si>
  <si>
    <t>-620.220647111317 28.3049088603227 -94.8454523874134</t>
  </si>
  <si>
    <t>-644.808312465313 24.8795926225985 -202.739944757424</t>
  </si>
  <si>
    <t>-654.451302164758 22.5663282144928 -295.084343991347</t>
  </si>
  <si>
    <t>-659.64425144121 20.7042618747621 -378.796377242745</t>
  </si>
  <si>
    <t>-660.741916283039 19.1187754931907 -462.667791936188</t>
  </si>
  <si>
    <t>-657.854163228451 17.1270566595038 -585.275474756156</t>
  </si>
  <si>
    <t>-622.954140649809 19.1755580480781 -655.403956184776</t>
  </si>
  <si>
    <t>-660.962326307423 49.3033117928101 -532.028073231425</t>
  </si>
  <si>
    <t>-647.173113621541 202.837843319003 -508.007780146339</t>
  </si>
  <si>
    <t>-673.002709544408 251.114384528653 -231.275376457047</t>
  </si>
  <si>
    <t>-449.671372769538 192.536168743398 -205.972171650236</t>
  </si>
  <si>
    <t>-623.765170309318 120.78794546463 -98.7084206010412</t>
  </si>
  <si>
    <t>-636.177864674697 135.56931165822 316.418076092657</t>
  </si>
  <si>
    <t>-671.296771940258 176.428605589077 776.397813412845</t>
  </si>
  <si>
    <t>-520.42324005576 179.531941906041 832.177509377813</t>
  </si>
  <si>
    <t>-611.794368464586 -74.0907093256526 321.075666045441</t>
  </si>
  <si>
    <t>-654.029482848901 -103.250412391183 781.28650908392</t>
  </si>
  <si>
    <t>-499.664126394535 -114.281060900426 825.25793479374</t>
  </si>
  <si>
    <t>9763-20170724T115657.222957800.bin</t>
  </si>
  <si>
    <t>-620.522521960537 27.970281407534 -94.8718199858077</t>
  </si>
  <si>
    <t>-645.103290030518 24.5019197367569 -202.766479979335</t>
  </si>
  <si>
    <t>-654.79450240959 22.1691996242687 -295.10542034541</t>
  </si>
  <si>
    <t>-660.052742085949 20.2921700260024 -378.812974184944</t>
  </si>
  <si>
    <t>-661.237429447495 18.6942048901535 -462.682998360567</t>
  </si>
  <si>
    <t>-658.500609790768 16.6852769912271 -585.29378412586</t>
  </si>
  <si>
    <t>-623.848768534717 18.6284247159911 -655.548231010367</t>
  </si>
  <si>
    <t>-661.579591916052 48.866745924724 -532.048018260947</t>
  </si>
  <si>
    <t>-648.338750129992 202.51917650653 -508.492469136603</t>
  </si>
  <si>
    <t>-676.849116768287 253.235391237692 -232.460625795936</t>
  </si>
  <si>
    <t>-452.662669168431 196.684360022993 -210.303047090498</t>
  </si>
  <si>
    <t>-624.263188260063 120.382916847152 -98.6918829201446</t>
  </si>
  <si>
    <t>-636.642928655633 135.413429266654 316.426708075011</t>
  </si>
  <si>
    <t>-671.291120334309 176.439168811846 776.419984483537</t>
  </si>
  <si>
    <t>-520.415560287152 179.557599721572 832.193202665216</t>
  </si>
  <si>
    <t>-611.847228936259 -74.2536491592466 321.049968102955</t>
  </si>
  <si>
    <t>-654.041350881343 -103.254992698084 781.28113272053</t>
  </si>
  <si>
    <t>-499.689508945053 -114.499132554054 825.245905976788</t>
  </si>
  <si>
    <t>9763-20170724T115657.261059500.bin</t>
  </si>
  <si>
    <t>-620.829886206458 27.7777696508772 -94.8714696541111</t>
  </si>
  <si>
    <t>-645.338451225302 24.2801827115843 -202.781562347107</t>
  </si>
  <si>
    <t>-655.055240852504 21.9187079947753 -295.117074300073</t>
  </si>
  <si>
    <t>-660.371765701057 20.0100009409298 -378.820229839664</t>
  </si>
  <si>
    <t>-661.649809935849 18.3743266887077 -462.688148411839</t>
  </si>
  <si>
    <t>-659.087736863624 16.3021263954724 -585.301668878335</t>
  </si>
  <si>
    <t>-624.557078057748 18.2124566680868 -655.616569302591</t>
  </si>
  <si>
    <t>-662.106499959256 48.5100903327698 -532.068428509708</t>
  </si>
  <si>
    <t>-649.045594118189 202.223466731699 -508.814754508342</t>
  </si>
  <si>
    <t>-679.0076930315 254.539648700377 -233.235531177663</t>
  </si>
  <si>
    <t>-454.621699327697 198.587782272331 -211.582411981382</t>
  </si>
  <si>
    <t>-624.785753110459 120.133814407874 -98.684219797835</t>
  </si>
  <si>
    <t>-636.953049466619 135.358723555003 316.433565071175</t>
  </si>
  <si>
    <t>-671.28006979318 176.492319657122 776.438269804067</t>
  </si>
  <si>
    <t>-520.397324750734 179.421627973338 832.202350896643</t>
  </si>
  <si>
    <t>-611.941472040651 -74.4192979902457 321.031036094624</t>
  </si>
  <si>
    <t>-654.000485508187 -103.262107749352 781.276770494002</t>
  </si>
  <si>
    <t>-499.644912691098 -114.146953070798 825.318951746409</t>
  </si>
  <si>
    <t>9763-20170724T115657.327747200.bin</t>
  </si>
  <si>
    <t>-621.527537990997 27.3141691141002 -94.812743312271</t>
  </si>
  <si>
    <t>-645.844436029842 23.7751302333272 -202.764748104755</t>
  </si>
  <si>
    <t>-655.616738356656 21.3579538089173 -295.093050707847</t>
  </si>
  <si>
    <t>-661.071442912518 19.3820078330914 -378.785826658649</t>
  </si>
  <si>
    <t>-662.57593657222 17.6597624806448 -462.648239838259</t>
  </si>
  <si>
    <t>-660.440866983961 15.4374059794941 -585.267243789186</t>
  </si>
  <si>
    <t>-626.096539078824 17.2976240048497 -655.674720731119</t>
  </si>
  <si>
    <t>-663.294580152279 47.7093587629477 -532.063691934893</t>
  </si>
  <si>
    <t>-650.497395203926 201.516095664338 -509.345077628898</t>
  </si>
  <si>
    <t>-683.191654679444 256.72492456108 -234.642332138844</t>
  </si>
  <si>
    <t>-458.518391632629 201.922546924114 -213.0285342131</t>
  </si>
  <si>
    <t>-625.924516466194 119.439184809308 -98.6007745611145</t>
  </si>
  <si>
    <t>-637.751429830986 135.163020546744 316.508270319919</t>
  </si>
  <si>
    <t>-671.305327980986 176.431799484866 776.52711880648</t>
  </si>
  <si>
    <t>-520.40154236819 179.498480202659 832.227039995706</t>
  </si>
  <si>
    <t>-612.137871262616 -74.9622766251148 321.020242242744</t>
  </si>
  <si>
    <t>-653.851540032755 -103.373497630189 781.329511126527</t>
  </si>
  <si>
    <t>-499.564160317236 -114.169600809981 825.631616331279</t>
  </si>
  <si>
    <t>9763-20170724T115657.360848400.bin</t>
  </si>
  <si>
    <t>-621.860393130502 27.1318174068174 -94.7987380013791</t>
  </si>
  <si>
    <t>-646.096544233337 23.5722909026283 -202.76833678867</t>
  </si>
  <si>
    <t>-655.922091038933 21.1365303038347 -295.090415419985</t>
  </si>
  <si>
    <t>-661.47405485687 19.1411307213257 -378.776263456779</t>
  </si>
  <si>
    <t>-663.125256550208 17.3963199525542 -462.635443045802</t>
  </si>
  <si>
    <t>-661.258647816164 15.1370321050092 -585.258215566992</t>
  </si>
  <si>
    <t>-627.018742532951 17.0005726650952 -655.716495449915</t>
  </si>
  <si>
    <t>-664.027896363424 47.4230182075626 -532.058690787055</t>
  </si>
  <si>
    <t>-651.45130881837 201.268351421019 -509.512550242467</t>
  </si>
  <si>
    <t>-685.186239557933 257.457932622787 -235.134603445262</t>
  </si>
  <si>
    <t>-460.367109391481 203.334506080146 -213.327804875339</t>
  </si>
  <si>
    <t>-626.40778039678 119.152549487373 -98.5662609608601</t>
  </si>
  <si>
    <t>-638.105893428879 135.100028807971 316.537833111877</t>
  </si>
  <si>
    <t>-671.299571343802 176.469985609803 776.568214310848</t>
  </si>
  <si>
    <t>-520.384746473046 179.50416021073 832.239947188616</t>
  </si>
  <si>
    <t>-612.288363714436 -75.1907718851446 321.012873902396</t>
  </si>
  <si>
    <t>-653.83143066433 -103.401591230589 781.336771697389</t>
  </si>
  <si>
    <t>-499.550665697126 -114.066246315828 825.693549516177</t>
  </si>
  <si>
    <t>9763-20170724T115657.429568600.bin</t>
  </si>
  <si>
    <t>-622.595950862797 26.9083703963761 -94.750842138676</t>
  </si>
  <si>
    <t>-646.585304130918 23.3484835408378 -202.77548469722</t>
  </si>
  <si>
    <t>-656.448553020504 20.9589620054583 -295.094808917478</t>
  </si>
  <si>
    <t>-662.134915255401 19.0214345611362 -378.773097186543</t>
  </si>
  <si>
    <t>-664.021283684015 17.3526232954027 -462.628847130453</t>
  </si>
  <si>
    <t>-662.608992878648 15.223527430001 -585.259938090293</t>
  </si>
  <si>
    <t>-628.567245417783 17.1867393012594 -655.811471971588</t>
  </si>
  <si>
    <t>-665.273303538139 47.4470692210655 -532.017226486842</t>
  </si>
  <si>
    <t>-653.3189587177 201.346564761185 -509.52018654101</t>
  </si>
  <si>
    <t>-688.705749652127 258.492826261815 -235.548215228466</t>
  </si>
  <si>
    <t>-463.569857378913 205.674911789854 -213.808058684894</t>
  </si>
  <si>
    <t>-627.386321657071 118.755349027171 -98.4832737946851</t>
  </si>
  <si>
    <t>-638.769349293439 135.044965302563 316.61630310688</t>
  </si>
  <si>
    <t>-671.319865625246 176.445058595089 776.675424849907</t>
  </si>
  <si>
    <t>-520.380902329487 179.484600300066 832.281415779734</t>
  </si>
  <si>
    <t>-612.587609681988 -75.6721551888686 321.007224621732</t>
  </si>
  <si>
    <t>-653.579546727644 -103.531418531003 781.370145954254</t>
  </si>
  <si>
    <t>-499.428534364817 -114.112478792545 826.195706036948</t>
  </si>
  <si>
    <t>9763-20170724T115657.490732100.bin</t>
  </si>
  <si>
    <t>-622.960241964729 26.9865166189443 -94.6275528698098</t>
  </si>
  <si>
    <t>-646.857152631709 23.3788298117138 -202.671180790159</t>
  </si>
  <si>
    <t>-656.773732802626 21.0398429314857 -294.98584316744</t>
  </si>
  <si>
    <t>-662.561906690102 19.1835973524483 -378.659014901081</t>
  </si>
  <si>
    <t>-664.604180278985 17.6334177831709 -462.513435005325</t>
  </si>
  <si>
    <t>-663.479098913025 15.7196161034528 -585.151108809379</t>
  </si>
  <si>
    <t>-629.707783203891 17.8822200527154 -655.826595314765</t>
  </si>
  <si>
    <t>-666.105965131664 47.843847564418 -531.846435006153</t>
  </si>
  <si>
    <t>-654.779333527769 201.782589156676 -509.221755136199</t>
  </si>
  <si>
    <t>-691.254089169464 258.112703886177 -235.223366437643</t>
  </si>
  <si>
    <t>-465.684200139565 207.060871096119 -213.764835923153</t>
  </si>
  <si>
    <t>-627.960989025349 118.711800115028 -98.3896158501886</t>
  </si>
  <si>
    <t>-639.105042374796 135.136227962768 316.711209762178</t>
  </si>
  <si>
    <t>-671.33420582072 176.424532471888 776.802273613501</t>
  </si>
  <si>
    <t>-520.372763833263 179.647376217069 832.336797359614</t>
  </si>
  <si>
    <t>-612.553440326889 -75.8365934088408 321.102108462643</t>
  </si>
  <si>
    <t>-653.107997679841 -103.728872230242 781.509512691182</t>
  </si>
  <si>
    <t>-499.1864926265 -114.080676592421 827.169568468972</t>
  </si>
  <si>
    <t>9763-20170724T115657.527836600.bin</t>
  </si>
  <si>
    <t>-623.074509719454 27.1142633240379 -94.571025132237</t>
  </si>
  <si>
    <t>-646.923749032839 23.4715584628507 -202.623955530419</t>
  </si>
  <si>
    <t>-656.855741018805 21.1460698267972 -294.937553634492</t>
  </si>
  <si>
    <t>-662.680637466595 19.3180452329084 -378.608787134623</t>
  </si>
  <si>
    <t>-664.782452351954 17.8136011894003 -462.462487585807</t>
  </si>
  <si>
    <t>-663.769728466257 15.9854628519518 -585.102480731616</t>
  </si>
  <si>
    <t>-630.196493802509 18.2800373782554 -655.868224798533</t>
  </si>
  <si>
    <t>-666.392738323987 48.0692916734165 -531.77337439799</t>
  </si>
  <si>
    <t>-655.38618102521 202.016341969568 -509.043633680183</t>
  </si>
  <si>
    <t>-692.144320858998 257.491197334781 -234.908655185011</t>
  </si>
  <si>
    <t>-466.408892997123 207.20947795994 -213.372810087699</t>
  </si>
  <si>
    <t>-628.228685390594 118.84852771427 -98.3366210425339</t>
  </si>
  <si>
    <t>-639.205195870951 135.232262861872 316.770217728565</t>
  </si>
  <si>
    <t>-671.33128232885 176.468878640975 776.868341963338</t>
  </si>
  <si>
    <t>-520.357998917113 179.630565224006 832.374193809745</t>
  </si>
  <si>
    <t>-612.400708579811 -75.7884867043115 321.177825166195</t>
  </si>
  <si>
    <t>-652.843450766879 -103.796667369617 781.592269126149</t>
  </si>
  <si>
    <t>-499.057039012256 -114.108624951882 827.714072543163</t>
  </si>
  <si>
    <t>9763-20170724T115657.560924800.bin</t>
  </si>
  <si>
    <t>-623.081160883337 27.3026115476589 -94.4953009699117</t>
  </si>
  <si>
    <t>-646.913623858393 23.6201100118556 -202.550595126406</t>
  </si>
  <si>
    <t>-656.866902679464 21.3096338979344 -294.862105368267</t>
  </si>
  <si>
    <t>-662.725459866657 19.5136316677056 -378.531600422529</t>
  </si>
  <si>
    <t>-664.875688600423 18.0600268350324 -462.385094633465</t>
  </si>
  <si>
    <t>-663.949721895863 16.3277062052214 -585.027205556614</t>
  </si>
  <si>
    <t>-630.59501921265 18.7532394041755 -655.891753643978</t>
  </si>
  <si>
    <t>-666.586596893134 48.3662459510929 -531.671584178027</t>
  </si>
  <si>
    <t>-655.810587926793 202.314049333513 -508.829096661552</t>
  </si>
  <si>
    <t>-692.894768166688 256.846180042589 -234.549015388941</t>
  </si>
  <si>
    <t>-467.011144518069 207.244473155828 -212.989864376408</t>
  </si>
  <si>
    <t>-628.413940125559 119.035315876392 -98.2721509406784</t>
  </si>
  <si>
    <t>-639.2753962503 135.386783162405 316.839030507683</t>
  </si>
  <si>
    <t>-671.324427484138 176.515704261862 776.947537795726</t>
  </si>
  <si>
    <t>-520.338254459988 179.629041984866 832.421084818589</t>
  </si>
  <si>
    <t>-612.174939785447 -75.619454029033 321.26758669016</t>
  </si>
  <si>
    <t>-652.581642725832 -103.817714563034 781.666794264225</t>
  </si>
  <si>
    <t>-498.900224428875 -113.62397209049 828.24662264107</t>
  </si>
  <si>
    <t>9763-20170724T115657.624608200.bin</t>
  </si>
  <si>
    <t>-622.991859766048 27.7207348988343 -94.336353251198</t>
  </si>
  <si>
    <t>-646.783325287637 23.9834823341635 -202.398829874157</t>
  </si>
  <si>
    <t>-656.778704819948 21.7054232572709 -294.706605855244</t>
  </si>
  <si>
    <t>-662.706465552966 19.9675296180271 -378.372535520666</t>
  </si>
  <si>
    <t>-664.95743863071 18.6027793897022 -462.224800792613</t>
  </si>
  <si>
    <t>-664.213458450966 17.0338110388384 -584.870160778359</t>
  </si>
  <si>
    <t>-631.304916837001 19.6811821761835 -655.935296944973</t>
  </si>
  <si>
    <t>-666.880212009131 48.9933636679464 -531.46868153233</t>
  </si>
  <si>
    <t>-656.601404245218 202.942897981786 -508.418626765334</t>
  </si>
  <si>
    <t>-693.886297706162 256.052440999983 -233.886651979366</t>
  </si>
  <si>
    <t>-467.859773331361 207.031347989985 -212.497928612178</t>
  </si>
  <si>
    <t>-628.682090123694 119.399971491447 -98.1024622579671</t>
  </si>
  <si>
    <t>-639.510191551295 135.589669391271 317.015840273241</t>
  </si>
  <si>
    <t>-671.330381348955 176.52465453871 777.143712102153</t>
  </si>
  <si>
    <t>-520.31486197036 179.632299155551 832.537628824105</t>
  </si>
  <si>
    <t>-611.675779071883 -75.3055710052095 321.434062258462</t>
  </si>
  <si>
    <t>-652.210341316033 -103.925412603365 781.808221128033</t>
  </si>
  <si>
    <t>-498.74289126245 -113.860241415422 829.06140976354</t>
  </si>
  <si>
    <t>9763-20170724T115657.690780600.bin</t>
  </si>
  <si>
    <t>-622.673268099587 28.2751517881911 -94.1864232961937</t>
  </si>
  <si>
    <t>-646.441554928839 24.5232640360759 -202.253384541137</t>
  </si>
  <si>
    <t>-656.500454695556 22.2716714546018 -294.55506637049</t>
  </si>
  <si>
    <t>-662.519367251678 20.5705526918709 -378.215165467594</t>
  </si>
  <si>
    <t>-664.895379497276 19.2573034780285 -462.064807539183</t>
  </si>
  <si>
    <t>-664.371487489106 17.7794189096599 -584.712642430235</t>
  </si>
  <si>
    <t>-631.842913705872 20.5763366241031 -655.946536833188</t>
  </si>
  <si>
    <t>-667.024878297149 49.6928411189576 -531.282891024607</t>
  </si>
  <si>
    <t>-657.044721967558 203.632694141647 -508.012745788457</t>
  </si>
  <si>
    <t>-694.285377746983 255.728337984642 -233.280646943748</t>
  </si>
  <si>
    <t>-468.157128035996 207.040235335702 -212.208815675915</t>
  </si>
  <si>
    <t>-628.552196636473 119.878660124342 -97.9264348498389</t>
  </si>
  <si>
    <t>-639.609715117621 135.81451100909 317.195695648575</t>
  </si>
  <si>
    <t>-671.308165125104 176.58276844769 777.333799722441</t>
  </si>
  <si>
    <t>-520.274223502257 179.791400316237 832.671657144262</t>
  </si>
  <si>
    <t>-611.215963144495 -74.9263193416627 321.542464059671</t>
  </si>
  <si>
    <t>-652.042710234675 -103.964560851994 781.841126810165</t>
  </si>
  <si>
    <t>-498.668142637835 -113.687474765494 829.438755991765</t>
  </si>
  <si>
    <t>9763-20170724T115657.725391400.bin</t>
  </si>
  <si>
    <t>-622.429935496387 28.5791396520183 -94.1059460199873</t>
  </si>
  <si>
    <t>-646.21164310407 24.8291421466545 -202.170163012752</t>
  </si>
  <si>
    <t>-656.304968322932 22.5888510562322 -294.468229840335</t>
  </si>
  <si>
    <t>-662.364227249342 20.9013844772005 -378.125664060141</t>
  </si>
  <si>
    <t>-664.790012162576 19.6055320486321 -461.974236007613</t>
  </si>
  <si>
    <t>-664.349073756417 18.1573261618908 -584.622584801844</t>
  </si>
  <si>
    <t>-631.957115292838 21.0077435376479 -655.916667955558</t>
  </si>
  <si>
    <t>-666.994131666018 50.0557530896465 -531.183472732364</t>
  </si>
  <si>
    <t>-657.045542098665 203.976196812339 -507.787003688243</t>
  </si>
  <si>
    <t>-694.174007704521 255.694478476412 -232.9683623325</t>
  </si>
  <si>
    <t>-468.001813196203 207.110513647846 -212.129087605819</t>
  </si>
  <si>
    <t>-628.38416894516 120.185122135406 -97.8388048393603</t>
  </si>
  <si>
    <t>-639.507402805833 135.968717015103 317.287383923544</t>
  </si>
  <si>
    <t>-671.29128907035 176.599962298412 777.42593051618</t>
  </si>
  <si>
    <t>-520.250492193315 179.697390834873 832.751420015276</t>
  </si>
  <si>
    <t>-610.888857784999 -74.7093235939028 321.597151730605</t>
  </si>
  <si>
    <t>-651.961907881329 -104.000338128351 781.875105675</t>
  </si>
  <si>
    <t>-498.64520337413 -113.956200982476 829.610765012325</t>
  </si>
  <si>
    <t>9763-20170724T115657.790562100.bin</t>
  </si>
  <si>
    <t>-621.805951333227 29.2260030865584 -93.9943577405782</t>
  </si>
  <si>
    <t>-645.608667156939 25.497492461483 -202.054699761587</t>
  </si>
  <si>
    <t>-655.723513901449 23.2547206216848 -294.350365658112</t>
  </si>
  <si>
    <t>-661.803657750375 21.5562848696859 -378.006069238324</t>
  </si>
  <si>
    <t>-664.251813138437 20.24096261199 -461.853628566831</t>
  </si>
  <si>
    <t>-663.844984637568 18.755585707569 -584.501710767327</t>
  </si>
  <si>
    <t>-631.618097354768 21.6568907338431 -655.868608878367</t>
  </si>
  <si>
    <t>-666.500087026939 50.6682506880068 -531.071636706863</t>
  </si>
  <si>
    <t>-656.42230058765 204.555769722864 -507.49988295948</t>
  </si>
  <si>
    <t>-693.108399659789 255.998779869519 -232.57011928476</t>
  </si>
  <si>
    <t>-466.883123698819 207.439624371432 -212.255996003936</t>
  </si>
  <si>
    <t>-627.77370485233 120.881984466903 -97.6784202585849</t>
  </si>
  <si>
    <t>-639.226852391496 136.251863651676 317.454306845012</t>
  </si>
  <si>
    <t>-671.249981066725 176.673682703359 777.600575565609</t>
  </si>
  <si>
    <t>-520.204372474165 179.758688577504 832.913581173205</t>
  </si>
  <si>
    <t>-610.396958029627 -74.3064472659773 321.686689260383</t>
  </si>
  <si>
    <t>-651.989588456344 -104.021916805653 781.883953464478</t>
  </si>
  <si>
    <t>-498.685922730068 -114.215152746088 829.611361833326</t>
  </si>
  <si>
    <t>9763-20170724T115657.828183600.bin</t>
  </si>
  <si>
    <t>-621.384824405668 29.6538105928737 -93.9642297090933</t>
  </si>
  <si>
    <t>-645.142931728179 25.9424687153562 -202.034918998037</t>
  </si>
  <si>
    <t>-655.272401201008 23.6866322620074 -294.328655373745</t>
  </si>
  <si>
    <t>-661.387026885267 21.9648515212118 -377.981484540106</t>
  </si>
  <si>
    <t>-663.890734953219 20.6141674770838 -461.826850366941</t>
  </si>
  <si>
    <t>-663.588336767019 19.0629661349606 -584.474441659011</t>
  </si>
  <si>
    <t>-631.427277793547 21.9305351900412 -655.87230453971</t>
  </si>
  <si>
    <t>-666.171222739569 51.0064040066391 -531.059127282157</t>
  </si>
  <si>
    <t>-655.652070489291 204.827662657257 -507.266224019042</t>
  </si>
  <si>
    <t>-692.186384776905 256.306456252348 -232.322966467068</t>
  </si>
  <si>
    <t>-465.955553855546 207.674235347671 -212.246850855285</t>
  </si>
  <si>
    <t>-627.249364381486 121.333937564722 -97.6271967112696</t>
  </si>
  <si>
    <t>-639.049219329921 136.473193548938 317.504276058937</t>
  </si>
  <si>
    <t>-671.216014843092 176.764094050402 777.661746667407</t>
  </si>
  <si>
    <t>-520.171920329422 179.66475599727 832.988978733909</t>
  </si>
  <si>
    <t>-610.251991981332 -74.0759154863638 321.70208167578</t>
  </si>
  <si>
    <t>-652.089778929476 -103.989290760402 781.865864188149</t>
  </si>
  <si>
    <t>-498.721287016754 -114.013451357263 829.420576037475</t>
  </si>
  <si>
    <t>9763-20170724T115657.890349300.bin</t>
  </si>
  <si>
    <t>-620.45715468633 30.5394148920677 -93.9171594324895</t>
  </si>
  <si>
    <t>-644.113696749347 26.8646526890063 -202.01141200514</t>
  </si>
  <si>
    <t>-654.328129303461 24.6037774671343 -294.295703132562</t>
  </si>
  <si>
    <t>-660.588892935954 22.8632363864922 -377.937225381191</t>
  </si>
  <si>
    <t>-663.308196288312 21.477216543934 -461.77529478028</t>
  </si>
  <si>
    <t>-663.396727753755 19.8555856064033 -584.422290600214</t>
  </si>
  <si>
    <t>-631.401282744763 22.617754354987 -655.898664268738</t>
  </si>
  <si>
    <t>-665.719127135379 51.8366615304062 -531.017608003902</t>
  </si>
  <si>
    <t>-654.452692538955 205.589120379037 -507.143450380118</t>
  </si>
  <si>
    <t>-690.939765277274 256.957493335319 -232.173245547929</t>
  </si>
  <si>
    <t>-464.81164805793 207.813286657859 -212.186973227912</t>
  </si>
  <si>
    <t>-626.015484573478 122.234791556171 -97.5829512242428</t>
  </si>
  <si>
    <t>-638.578060072471 136.902332616924 317.543130910163</t>
  </si>
  <si>
    <t>-671.183688253801 176.870861329378 777.732602269079</t>
  </si>
  <si>
    <t>-520.14318710758 179.753598046715 833.070511800189</t>
  </si>
  <si>
    <t>-610.144754563963 -73.7375078703221 321.70540699397</t>
  </si>
  <si>
    <t>-652.497001006378 -103.906096616478 781.791733958851</t>
  </si>
  <si>
    <t>-498.927109729824 -114.088978190397 828.657808661255</t>
  </si>
  <si>
    <t>9763-20170724T115657.927507300.bin</t>
  </si>
  <si>
    <t>-620.01729668585 30.9479922325904 -93.9259478877284</t>
  </si>
  <si>
    <t>-643.615485703881 27.2828143282507 -202.033164285626</t>
  </si>
  <si>
    <t>-653.886653753857 25.0423172217379 -294.311694068422</t>
  </si>
  <si>
    <t>-660.241645885851 23.3257287909905 -377.946720860891</t>
  </si>
  <si>
    <t>-663.09826701261 21.9670011916542 -461.780536119398</t>
  </si>
  <si>
    <t>-663.434687712878 20.3881951510775 -584.427735119627</t>
  </si>
  <si>
    <t>-631.558715134966 23.0301553449146 -655.961999946031</t>
  </si>
  <si>
    <t>-665.577625753078 52.3559556642033 -531.007494404715</t>
  </si>
  <si>
    <t>-653.874575488973 206.058792509711 -507.023490136467</t>
  </si>
  <si>
    <t>-690.439887006451 257.258559663074 -232.032384574733</t>
  </si>
  <si>
    <t>-464.422125317871 207.635472359593 -211.98096007637</t>
  </si>
  <si>
    <t>-625.372243983115 122.728815948635 -97.601909771333</t>
  </si>
  <si>
    <t>-638.236453033747 137.153343508363 317.523417138782</t>
  </si>
  <si>
    <t>-671.17411714653 176.906677783155 777.719526627193</t>
  </si>
  <si>
    <t>-520.134489199227 179.712466632975 833.063751295219</t>
  </si>
  <si>
    <t>-610.140020457654 -73.5860291881859 321.6925633287</t>
  </si>
  <si>
    <t>-652.82477939236 -103.812530818101 781.723157801615</t>
  </si>
  <si>
    <t>-499.085135113986 -114.062657926704 828.014337422318</t>
  </si>
  <si>
    <t>9763-20170724T115657.960599100.bin</t>
  </si>
  <si>
    <t>-619.567120474911 31.0953535339677 -93.9947589436374</t>
  </si>
  <si>
    <t>-643.093780417764 27.4702408817473 -202.119014934448</t>
  </si>
  <si>
    <t>-653.436413680772 25.273228078099 -294.39061094121</t>
  </si>
  <si>
    <t>-659.909722355316 23.6013877194437 -378.017342069821</t>
  </si>
  <si>
    <t>-662.938596182372 22.2920034355129 -461.846098609021</t>
  </si>
  <si>
    <t>-663.58595152863 20.7899273340718 -584.492858610474</t>
  </si>
  <si>
    <t>-631.88588278783 23.2805772835752 -656.110629509654</t>
  </si>
  <si>
    <t>-665.540996710097 52.7279441327141 -531.047789757028</t>
  </si>
  <si>
    <t>-653.449034945762 206.383798759782 -506.934864479748</t>
  </si>
  <si>
    <t>-689.848358880835 257.379024882529 -231.883719420629</t>
  </si>
  <si>
    <t>-463.94516368651 207.254090981777 -211.789527191454</t>
  </si>
  <si>
    <t>-624.610855963637 123.032540945539 -97.6562112245638</t>
  </si>
  <si>
    <t>-637.852306326379 137.258627935726 317.46411065514</t>
  </si>
  <si>
    <t>-671.17275715282 176.893389014714 777.660102745003</t>
  </si>
  <si>
    <t>-520.138314739461 179.802757913598 833.013045022217</t>
  </si>
  <si>
    <t>-610.273899437314 -73.8014731766434 321.61911221386</t>
  </si>
  <si>
    <t>-653.179321459534 -103.747208893747 781.633297361662</t>
  </si>
  <si>
    <t>-499.293693370542 -114.48514771716 827.325055958872</t>
  </si>
  <si>
    <t>9763-20170724T115658.023777500.bin</t>
  </si>
  <si>
    <t>-618.36711138844 31.6929775381307 -94.1510404704939</t>
  </si>
  <si>
    <t>-641.741165591072 28.1689092476529 -202.311747081447</t>
  </si>
  <si>
    <t>-652.228279852761 25.9941879211742 -294.567598081633</t>
  </si>
  <si>
    <t>-658.94342978645 24.3214025746331 -378.175103666221</t>
  </si>
  <si>
    <t>-662.325717007495 22.9876500415619 -461.989938733819</t>
  </si>
  <si>
    <t>-663.611881303572 21.4249146601617 -584.630979152531</t>
  </si>
  <si>
    <t>-632.221639500028 23.4439622085829 -656.400030503088</t>
  </si>
  <si>
    <t>-665.171066562902 53.3976584640409 -531.193626062299</t>
  </si>
  <si>
    <t>-652.478328595951 206.997137875841 -507.028352448127</t>
  </si>
  <si>
    <t>-687.911454100371 257.562754950594 -231.771757922307</t>
  </si>
  <si>
    <t>-462.192414518502 206.552711080967 -211.836216164343</t>
  </si>
  <si>
    <t>-622.708468848834 123.930835734284 -97.8180455771619</t>
  </si>
  <si>
    <t>-636.921345973967 137.500846326081 317.292062411447</t>
  </si>
  <si>
    <t>-671.145516077219 176.946483803602 777.465938658047</t>
  </si>
  <si>
    <t>-520.14024461849 179.788137531918 832.901984792447</t>
  </si>
  <si>
    <t>-610.146610431656 -73.767566573586 321.462087686273</t>
  </si>
  <si>
    <t>-653.626558552327 -103.685344455606 781.485043562529</t>
  </si>
  <si>
    <t>-499.549570831504 -115.012490803777 826.382616852731</t>
  </si>
  <si>
    <t>9763-20170724T115658.060874600.bin</t>
  </si>
  <si>
    <t>-617.552768867097 32.0768165687848 -94.2060324259094</t>
  </si>
  <si>
    <t>-640.903151138973 28.6172072732522 -202.37396593477</t>
  </si>
  <si>
    <t>-651.48367145843 26.4499089230746 -294.619281256394</t>
  </si>
  <si>
    <t>-658.329220720147 24.7666866766499 -378.216110882001</t>
  </si>
  <si>
    <t>-661.887889924194 23.4034898186596 -462.02320865708</t>
  </si>
  <si>
    <t>-663.482253942765 21.7759777353504 -584.659718065896</t>
  </si>
  <si>
    <t>-632.193553521195 23.5356697799293 -656.479858267485</t>
  </si>
  <si>
    <t>-664.817746206151 53.7828225355995 -531.236756358174</t>
  </si>
  <si>
    <t>-651.608027361956 207.342967440509 -507.112045877222</t>
  </si>
  <si>
    <t>-686.710713118021 257.745971934082 -231.783365887594</t>
  </si>
  <si>
    <t>-461.05661530799 206.339601967607 -212.132902106545</t>
  </si>
  <si>
    <t>-621.559184910606 124.433437843034 -97.8815925168352</t>
  </si>
  <si>
    <t>-636.321497710892 137.713278737219 317.218754355928</t>
  </si>
  <si>
    <t>-671.130654235383 176.970552786107 777.364872310877</t>
  </si>
  <si>
    <t>-520.144398303506 179.722860451968 832.857128559562</t>
  </si>
  <si>
    <t>-609.921906730335 -73.6513919958174 321.421465520626</t>
  </si>
  <si>
    <t>-653.711268897155 -103.668269586143 781.458690872556</t>
  </si>
  <si>
    <t>-499.602419394702 -115.254398724024 826.18054196862</t>
  </si>
  <si>
    <t>9763-20170724T115658.126577400.bin</t>
  </si>
  <si>
    <t>-615.816732185578 32.8732058010532 -94.2529632816729</t>
  </si>
  <si>
    <t>-639.258441269351 29.5245185535343 -202.404590997172</t>
  </si>
  <si>
    <t>-650.050810033237 27.3312040088842 -294.624763334326</t>
  </si>
  <si>
    <t>-657.142216945879 25.5813294549407 -378.199767744542</t>
  </si>
  <si>
    <t>-661.001006464696 24.1035943068241 -461.991505360268</t>
  </si>
  <si>
    <t>-663.093129289802 22.2556677905952 -584.617581337767</t>
  </si>
  <si>
    <t>-631.834677425602 23.5376640056384 -656.460924231887</t>
  </si>
  <si>
    <t>-663.994729431257 54.3718155889094 -531.25093628812</t>
  </si>
  <si>
    <t>-649.371150336455 207.817313205509 -507.182849649306</t>
  </si>
  <si>
    <t>-683.850227735085 258.546482673557 -231.835172204685</t>
  </si>
  <si>
    <t>-458.282564661056 206.619768224266 -212.563997110298</t>
  </si>
  <si>
    <t>-619.105596475992 125.507524127702 -97.982673667668</t>
  </si>
  <si>
    <t>-634.847549146736 138.139123183421 317.101934708149</t>
  </si>
  <si>
    <t>-671.08801588515 177.008817432997 777.167836619649</t>
  </si>
  <si>
    <t>-520.151484137683 179.726173503504 832.79697787545</t>
  </si>
  <si>
    <t>-609.146927049098 -73.3156031857275 321.423209356207</t>
  </si>
  <si>
    <t>-653.76204935126 -103.646304471205 781.436065542941</t>
  </si>
  <si>
    <t>-499.654997819108 -115.814176771462 826.009496884927</t>
  </si>
  <si>
    <t>9763-20170724T115658.158663000.bin</t>
  </si>
  <si>
    <t>-614.981396071335 33.2840547473586 -94.2502124959219</t>
  </si>
  <si>
    <t>-638.555024545568 29.9886014218198 -202.374765943085</t>
  </si>
  <si>
    <t>-649.475892790758 27.7588785690784 -294.578929622063</t>
  </si>
  <si>
    <t>-656.690241345916 25.9463644612379 -378.141999919085</t>
  </si>
  <si>
    <t>-660.678491515742 24.374147016209 -461.926052069562</t>
  </si>
  <si>
    <t>-662.966884260989 22.3527120370886 -584.545799230742</t>
  </si>
  <si>
    <t>-631.687123270857 23.4479338019626 -656.383005700279</t>
  </si>
  <si>
    <t>-663.664120041999 54.5509718177873 -531.225687147401</t>
  </si>
  <si>
    <t>-648.235107264289 207.936420963168 -507.309391948211</t>
  </si>
  <si>
    <t>-682.640447878581 258.907353592307 -231.997072876416</t>
  </si>
  <si>
    <t>-457.125774204854 206.743559084098 -212.74611585826</t>
  </si>
  <si>
    <t>-617.97616260789 126.068176497028 -98.0137108563578</t>
  </si>
  <si>
    <t>-634.087556254993 138.297296201579 317.06882933581</t>
  </si>
  <si>
    <t>-671.072133025381 176.981940970538 777.082548389446</t>
  </si>
  <si>
    <t>-520.168316533823 179.799474891627 832.795583775401</t>
  </si>
  <si>
    <t>-608.675618741668 -73.0169373070858 321.461212159296</t>
  </si>
  <si>
    <t>-653.773369149701 -103.617080930037 781.426011362557</t>
  </si>
  <si>
    <t>-499.665678249199 -115.970237912827 825.946193882733</t>
  </si>
  <si>
    <t>9763-20170724T115658.228941400.bin</t>
  </si>
  <si>
    <t>-613.449749431637 33.9884764731662 -94.2376009618229</t>
  </si>
  <si>
    <t>-637.394149562296 30.778544851858 -202.283231596533</t>
  </si>
  <si>
    <t>-648.58527368673 28.4140851658594 -294.451570403213</t>
  </si>
  <si>
    <t>-656.025837522795 26.4025007721748 -377.990391404207</t>
  </si>
  <si>
    <t>-660.221632706746 24.5485055260876 -461.758357701595</t>
  </si>
  <si>
    <t>-662.792249097936 22.0236748037278 -584.363285138638</t>
  </si>
  <si>
    <t>-631.452837289708 22.8222919162718 -656.178352000801</t>
  </si>
  <si>
    <t>-663.099271740098 54.4538923408595 -531.180253306769</t>
  </si>
  <si>
    <t>-646.21130363315 207.78153466633 -507.845625376797</t>
  </si>
  <si>
    <t>-680.669763666711 259.700652846589 -232.717342784901</t>
  </si>
  <si>
    <t>-455.389053781701 206.73497351669 -212.924007673974</t>
  </si>
  <si>
    <t>-615.810019849611 127.084048072644 -98.052988156154</t>
  </si>
  <si>
    <t>-632.544607768134 138.714890848084 317.022009120505</t>
  </si>
  <si>
    <t>-671.02013799292 177.049009269278 776.932705968062</t>
  </si>
  <si>
    <t>-520.170878164155 179.775468266374 832.797586150798</t>
  </si>
  <si>
    <t>-607.771203578869 -72.2429299835765 321.56246342638</t>
  </si>
  <si>
    <t>-653.785606477279 -103.527088290236 781.405250512414</t>
  </si>
  <si>
    <t>-499.664614211107 -116.025089856099 825.838827073119</t>
  </si>
  <si>
    <t>9763-20170724T115658.288094300.bin</t>
  </si>
  <si>
    <t>-612.43456487314 34.615785035719 -94.2476405944976</t>
  </si>
  <si>
    <t>-636.585021864528 31.4048270343219 -202.247375698948</t>
  </si>
  <si>
    <t>-647.967356915663 28.8479296601388 -294.387107750332</t>
  </si>
  <si>
    <t>-655.5871804931 26.5871940494719 -377.903441604968</t>
  </si>
  <si>
    <t>-659.968289373133 24.4025004989908 -461.654049341117</t>
  </si>
  <si>
    <t>-662.815918647893 21.3026035376804 -584.239534967144</t>
  </si>
  <si>
    <t>-631.460817637721 21.960391971455 -656.049268487101</t>
  </si>
  <si>
    <t>-662.747191924066 53.9925017275837 -531.214892104218</t>
  </si>
  <si>
    <t>-644.681444452433 207.279030894061 -508.558689414789</t>
  </si>
  <si>
    <t>-679.271310568221 260.547556541931 -233.704952216164</t>
  </si>
  <si>
    <t>-454.343966508095 206.486695030706 -212.880911529656</t>
  </si>
  <si>
    <t>-614.446152158231 127.957661395833 -98.1361449147353</t>
  </si>
  <si>
    <t>-631.649737819375 138.973308532474 316.936475496856</t>
  </si>
  <si>
    <t>-671.004244453863 177.055508514074 776.822173994617</t>
  </si>
  <si>
    <t>-520.185026242807 179.665479210632 832.773744468198</t>
  </si>
  <si>
    <t>-607.067681138585 -71.4272455540222 321.666723514473</t>
  </si>
  <si>
    <t>-653.761604735119 -103.451195911031 781.39636607424</t>
  </si>
  <si>
    <t>-499.664563510415 -116.251807629995 825.826914803751</t>
  </si>
  <si>
    <t>9763-20170724T115658.335766400.bin</t>
  </si>
  <si>
    <t>-612.101282462201 34.8287032680266 -94.2395591548756</t>
  </si>
  <si>
    <t>-636.300666015076 31.5861135407044 -202.227404494619</t>
  </si>
  <si>
    <t>-647.725588223786 28.929872095591 -294.359069077943</t>
  </si>
  <si>
    <t>-655.384169092458 26.5497727633801 -377.868568920783</t>
  </si>
  <si>
    <t>-659.804265087919 24.2135420661245 -461.613015364155</t>
  </si>
  <si>
    <t>-662.708951526073 20.8557017240466 -584.19033248592</t>
  </si>
  <si>
    <t>-631.358204320339 21.5144524067205 -656.002014443482</t>
  </si>
  <si>
    <t>-662.52673651867 53.660160326792 -531.236963509042</t>
  </si>
  <si>
    <t>-644.053208320873 206.954911791244 -508.942449266646</t>
  </si>
  <si>
    <t>-678.449697642734 260.909324872823 -234.19810651189</t>
  </si>
  <si>
    <t>-453.7127826491 206.184673706036 -213.054306976432</t>
  </si>
  <si>
    <t>-614.061217734858 128.183204052778 -98.1654257788025</t>
  </si>
  <si>
    <t>-631.485726462664 139.096097197398 316.900683864887</t>
  </si>
  <si>
    <t>-671.028201419187 176.995940495603 776.788131674901</t>
  </si>
  <si>
    <t>-520.214481440981 179.717885904604 832.749142110591</t>
  </si>
  <si>
    <t>-606.701961886296 -71.0847111151666 321.726160830941</t>
  </si>
  <si>
    <t>-653.705445836867 -103.42047372821 781.408735483763</t>
  </si>
  <si>
    <t>-499.617619903416 -116.11097873841 825.902705188568</t>
  </si>
  <si>
    <t>9763-20170724T115658.391918200.bin</t>
  </si>
  <si>
    <t>-611.738750922456 35.2619991446229 -94.1898624611164</t>
  </si>
  <si>
    <t>-635.975796832047 31.9123729318073 -202.165959193972</t>
  </si>
  <si>
    <t>-647.469775746876 29.1078416933722 -294.284748539108</t>
  </si>
  <si>
    <t>-655.205777134613 26.5662275221723 -377.78222421279</t>
  </si>
  <si>
    <t>-659.718267356757 24.0382088282347 -461.516194400675</t>
  </si>
  <si>
    <t>-662.774330627429 20.3640749453248 -584.080744980316</t>
  </si>
  <si>
    <t>-631.505012224961 21.0658841246711 -655.927409295437</t>
  </si>
  <si>
    <t>-662.441204976209 53.3079183897535 -531.214614371804</t>
  </si>
  <si>
    <t>-643.573010215444 206.62070597997 -509.418657172586</t>
  </si>
  <si>
    <t>-676.992906973429 261.5253270476 -234.74214323378</t>
  </si>
  <si>
    <t>-452.522549046131 205.726694807464 -213.573929773009</t>
  </si>
  <si>
    <t>-613.879808923268 128.690851712479 -98.217635088581</t>
  </si>
  <si>
    <t>-631.449367844235 139.423514807959 316.847068658059</t>
  </si>
  <si>
    <t>-671.043476317783 177.042067806485 776.747189020584</t>
  </si>
  <si>
    <t>-520.220846906609 179.532977162669 832.694874611538</t>
  </si>
  <si>
    <t>-606.258250397798 -70.5176660336542 321.824981666943</t>
  </si>
  <si>
    <t>-653.655411315585 -103.304530570958 781.42488934087</t>
  </si>
  <si>
    <t>-499.559856067848 -115.840602655496 825.935864620625</t>
  </si>
  <si>
    <t>9763-20170724T115658.422068400.bin</t>
  </si>
  <si>
    <t>-611.634462747116 35.4464998979936 -94.1844485099803</t>
  </si>
  <si>
    <t>-635.881030589215 32.0390730017946 -202.156724401072</t>
  </si>
  <si>
    <t>-647.419744056802 29.1822827958504 -294.268276331732</t>
  </si>
  <si>
    <t>-655.211094522345 26.5898679525751 -377.759034561454</t>
  </si>
  <si>
    <t>-659.793869466706 24.0070085923744 -461.487499509174</t>
  </si>
  <si>
    <t>-662.969020806337 20.2476087446648 -584.046540413341</t>
  </si>
  <si>
    <t>-631.755482200686 20.9459327562711 -655.917439512697</t>
  </si>
  <si>
    <t>-662.579540906336 53.2283881034027 -531.203807083732</t>
  </si>
  <si>
    <t>-643.733560388941 206.570504068283 -509.558805546555</t>
  </si>
  <si>
    <t>-676.472116141609 261.603580535717 -234.825907679815</t>
  </si>
  <si>
    <t>-452.032115277295 205.574682218786 -213.945835301815</t>
  </si>
  <si>
    <t>-613.889604956099 128.797028924928 -98.2393116150998</t>
  </si>
  <si>
    <t>-631.534907179798 139.486641909019 316.823347223892</t>
  </si>
  <si>
    <t>-671.075612864623 176.964199233214 776.736391151146</t>
  </si>
  <si>
    <t>-520.249211248304 179.632404894178 832.665773994627</t>
  </si>
  <si>
    <t>-606.156271018165 -70.2782905402235 321.850823835413</t>
  </si>
  <si>
    <t>-653.673874757522 -103.273340660888 781.418098938984</t>
  </si>
  <si>
    <t>-499.579538139 -116.020467239482 825.873369434893</t>
  </si>
  <si>
    <t>9763-20170724T115658.456167500.bin</t>
  </si>
  <si>
    <t>-611.55792463192 35.6134797355733 -94.1896109323695</t>
  </si>
  <si>
    <t>-635.816691875842 32.1561953422556 -202.157433248025</t>
  </si>
  <si>
    <t>-647.403874174271 29.2598427107798 -294.261560686393</t>
  </si>
  <si>
    <t>-655.25438775949 26.6315018750172 -377.745709142655</t>
  </si>
  <si>
    <t>-659.911849380427 24.0124089136432 -461.468969274511</t>
  </si>
  <si>
    <t>-663.213094585388 20.1994627822212 -584.023030050687</t>
  </si>
  <si>
    <t>-632.033412303221 20.8947800771321 -655.90880063861</t>
  </si>
  <si>
    <t>-662.783962416286 53.2029347672712 -531.194698724869</t>
  </si>
  <si>
    <t>-644.106124145891 206.581295987214 -509.670553301288</t>
  </si>
  <si>
    <t>-676.243774716743 261.514218985156 -234.846733264987</t>
  </si>
  <si>
    <t>-451.784615542858 205.444280136901 -214.285343441889</t>
  </si>
  <si>
    <t>-613.900403347502 128.880445735811 -98.2648570974324</t>
  </si>
  <si>
    <t>-631.582614888802 139.57681106016 316.795994257235</t>
  </si>
  <si>
    <t>-671.086860167755 176.95619603506 776.71472729193</t>
  </si>
  <si>
    <t>-520.258595167755 179.56443344037 832.641908455509</t>
  </si>
  <si>
    <t>-606.090493155591 -70.0623614451126 321.865674331186</t>
  </si>
  <si>
    <t>-653.72176203344 -103.180978086691 781.401045917443</t>
  </si>
  <si>
    <t>-499.568944961502 -115.619163702281 825.740948874696</t>
  </si>
  <si>
    <t>9763-20170724T115658.527995700.bin</t>
  </si>
  <si>
    <t>-611.425020050469 35.7237829790213 -94.236839841554</t>
  </si>
  <si>
    <t>-635.695375239885 32.1527214445991 -202.198486256364</t>
  </si>
  <si>
    <t>-647.313873675932 29.1724938095249 -294.296050785035</t>
  </si>
  <si>
    <t>-655.201370968154 26.4710954045263 -377.774313275908</t>
  </si>
  <si>
    <t>-659.904615331875 23.7827752246055 -461.492817482318</t>
  </si>
  <si>
    <t>-663.282367968427 19.8731335317498 -584.041722166219</t>
  </si>
  <si>
    <t>-632.04493528469 20.608204278109 -655.901890774487</t>
  </si>
  <si>
    <t>-662.886452107982 52.9161224834215 -531.237753289524</t>
  </si>
  <si>
    <t>-644.751402940912 206.386177445535 -509.921082342917</t>
  </si>
  <si>
    <t>-676.189387497398 261.207423446689 -234.994114944502</t>
  </si>
  <si>
    <t>-451.668474985413 205.367857799212 -214.479849187089</t>
  </si>
  <si>
    <t>-613.977859495244 128.898985842522 -98.3524063444255</t>
  </si>
  <si>
    <t>-631.609316656373 139.629448573757 316.709748930634</t>
  </si>
  <si>
    <t>-671.105424527049 176.911997512458 776.641031003374</t>
  </si>
  <si>
    <t>-520.280292495933 179.61705683397 832.572109061873</t>
  </si>
  <si>
    <t>-606.021218603902 -69.9732837781246 321.85839113892</t>
  </si>
  <si>
    <t>-653.843348837906 -103.144231637894 781.360152547614</t>
  </si>
  <si>
    <t>-499.665500939818 -116.121466612087 825.457844531651</t>
  </si>
  <si>
    <t>9763-20170724T115658.561082800.bin</t>
  </si>
  <si>
    <t>-611.354328167366 35.6287476164323 -94.2753548522251</t>
  </si>
  <si>
    <t>-635.620301454945 32.0042139382433 -202.236093370909</t>
  </si>
  <si>
    <t>-647.23421146833 28.9745330414335 -294.332610967259</t>
  </si>
  <si>
    <t>-655.117158246935 26.2256011292827 -377.809872066618</t>
  </si>
  <si>
    <t>-659.815352256821 23.4876994279234 -461.527097988306</t>
  </si>
  <si>
    <t>-663.185459615407 19.5024051678577 -584.073689884207</t>
  </si>
  <si>
    <t>-631.891357843618 20.3114110553888 -655.908564454837</t>
  </si>
  <si>
    <t>-662.823311813327 52.5768379389888 -531.289224209768</t>
  </si>
  <si>
    <t>-644.925715676772 206.099061797655 -510.091742760933</t>
  </si>
  <si>
    <t>-676.438353332626 260.835655339547 -235.156434810279</t>
  </si>
  <si>
    <t>-451.87509304321 205.296368477889 -214.293232823141</t>
  </si>
  <si>
    <t>-614.030463028406 128.772410758133 -98.4068583129393</t>
  </si>
  <si>
    <t>-631.631005171068 139.571800306765 316.654916591761</t>
  </si>
  <si>
    <t>-671.116949383458 176.861099521589 776.591909971077</t>
  </si>
  <si>
    <t>-520.295525769198 179.553230915202 832.533578064432</t>
  </si>
  <si>
    <t>-605.988881174495 -70.0525488292828 321.834454539032</t>
  </si>
  <si>
    <t>-653.893569601348 -103.079859423865 781.334998599982</t>
  </si>
  <si>
    <t>-499.657981085621 -115.747822901784 825.320555719757</t>
  </si>
  <si>
    <t>9763-20170724T115658.623812700.bin</t>
  </si>
  <si>
    <t>-611.20376270652 35.1498063490012 -94.3493191725161</t>
  </si>
  <si>
    <t>-635.365926935411 31.4180630108738 -202.329761530005</t>
  </si>
  <si>
    <t>-646.9293171876 28.2867803207346 -294.429229522915</t>
  </si>
  <si>
    <t>-654.781709087248 25.4390773061375 -377.905880151973</t>
  </si>
  <si>
    <t>-659.464665770565 22.596933703835 -461.620482823126</t>
  </si>
  <si>
    <t>-662.829148790655 18.4541576657391 -584.162082777107</t>
  </si>
  <si>
    <t>-631.413199189121 19.5774961661962 -655.939367485649</t>
  </si>
  <si>
    <t>-662.563494371326 51.593115479018 -531.417484358566</t>
  </si>
  <si>
    <t>-645.184639068654 205.207617606371 -510.485024020148</t>
  </si>
  <si>
    <t>-677.374735362898 259.840409901677 -235.607570606151</t>
  </si>
  <si>
    <t>-452.685651897812 205.176718729932 -213.807719425338</t>
  </si>
  <si>
    <t>-614.15448127063 128.185701571374 -98.5009140622835</t>
  </si>
  <si>
    <t>-631.64411595224 139.254593842555 316.558348080478</t>
  </si>
  <si>
    <t>-671.137588449395 176.728188372419 776.47989534032</t>
  </si>
  <si>
    <t>-520.329675252248 179.650438569324 832.446392288288</t>
  </si>
  <si>
    <t>-605.865561814497 -70.481658618693 321.805188435228</t>
  </si>
  <si>
    <t>-653.945405779048 -103.056207836385 781.307962831407</t>
  </si>
  <si>
    <t>-499.662797783524 -115.648920365089 825.150016506141</t>
  </si>
  <si>
    <t>9763-20170724T115658.657903000.bin</t>
  </si>
  <si>
    <t>-611.133171321146 34.7855238582204 -94.3899326176653</t>
  </si>
  <si>
    <t>-635.202303087722 31.0019910156045 -202.389222463809</t>
  </si>
  <si>
    <t>-646.714296249184 27.8254454516014 -294.493657772409</t>
  </si>
  <si>
    <t>-654.531261681051 24.935514779128 -377.972225955999</t>
  </si>
  <si>
    <t>-659.189940260325 22.0513177862797 -461.686772529415</t>
  </si>
  <si>
    <t>-662.531291709078 17.8479035606381 -584.226845177816</t>
  </si>
  <si>
    <t>-631.065091438813 19.206274148899 -655.978145783258</t>
  </si>
  <si>
    <t>-662.353194873923 51.0099085342465 -531.496488731128</t>
  </si>
  <si>
    <t>-645.384810563729 204.681162835933 -510.660789645671</t>
  </si>
  <si>
    <t>-677.793898109939 259.234452087405 -235.793292275543</t>
  </si>
  <si>
    <t>-452.967026462377 205.359233249101 -213.458158758094</t>
  </si>
  <si>
    <t>-614.226720604527 127.774084990287 -98.5548690135334</t>
  </si>
  <si>
    <t>-631.650054495655 139.042355495395 316.50179094642</t>
  </si>
  <si>
    <t>-671.140320321718 176.676522386922 776.417358969552</t>
  </si>
  <si>
    <t>-520.340318057049 179.604765630995 832.404880928862</t>
  </si>
  <si>
    <t>-605.786956308213 -70.9219660960468 321.781301358124</t>
  </si>
  <si>
    <t>-653.953388881257 -103.054124042496 781.303807661697</t>
  </si>
  <si>
    <t>-499.66855397863 -115.731002423201 825.11367329027</t>
  </si>
  <si>
    <t>9763-20170724T115658.724126600.bin</t>
  </si>
  <si>
    <t>-611.031031471498 34.0028370158946 -94.465541669775</t>
  </si>
  <si>
    <t>-634.883054872698 30.0934943930963 -202.508566677966</t>
  </si>
  <si>
    <t>-646.228549604142 26.8692030949414 -294.63194947117</t>
  </si>
  <si>
    <t>-653.902026658572 23.9568760393879 -378.123048705574</t>
  </si>
  <si>
    <t>-658.424387762879 21.0754942408012 -461.845115259913</t>
  </si>
  <si>
    <t>-661.574512740002 16.9047049075155 -584.391566650169</t>
  </si>
  <si>
    <t>-629.936826827546 18.80410947267 -656.055036526121</t>
  </si>
  <si>
    <t>-661.664192158102 50.0447165523947 -531.647040191511</t>
  </si>
  <si>
    <t>-645.613184406031 203.814748121646 -510.781452704767</t>
  </si>
  <si>
    <t>-678.511006287114 257.828813089479 -235.865509099466</t>
  </si>
  <si>
    <t>-453.301154198526 205.963197322545 -212.648967257497</t>
  </si>
  <si>
    <t>-614.505583420359 126.945000388117 -98.6639272311737</t>
  </si>
  <si>
    <t>-631.811796329402 138.608417986857 316.386752323102</t>
  </si>
  <si>
    <t>-671.140650834947 176.611839799282 776.286413550959</t>
  </si>
  <si>
    <t>-520.35463401196 179.532030950866 832.311949018722</t>
  </si>
  <si>
    <t>-605.724535837642 -71.8239570307126 321.731740921815</t>
  </si>
  <si>
    <t>-653.957671998504 -103.037886034514 781.298635490872</t>
  </si>
  <si>
    <t>-499.649872968566 -115.592341505843 825.062905035582</t>
  </si>
  <si>
    <t>9763-20170724T115658.758234500.bin</t>
  </si>
  <si>
    <t>-611.030132853408 33.634267607262 -94.5103351875819</t>
  </si>
  <si>
    <t>-634.730972726322 29.6570928243661 -202.5841112075</t>
  </si>
  <si>
    <t>-645.968539238749 26.4205030504893 -294.720372996412</t>
  </si>
  <si>
    <t>-653.552524971501 23.5135707988381 -378.219862587061</t>
  </si>
  <si>
    <t>-657.993645823649 20.6559221136324 -461.947057790959</t>
  </si>
  <si>
    <t>-661.034149150944 16.5407516201435 -584.498086506007</t>
  </si>
  <si>
    <t>-629.286033402025 18.7082807867735 -656.105127492932</t>
  </si>
  <si>
    <t>-661.270418854611 49.6520384442592 -531.736007192089</t>
  </si>
  <si>
    <t>-645.753719740324 203.464679958995 -510.809415529013</t>
  </si>
  <si>
    <t>-678.834622943427 257.040125389319 -235.829571554641</t>
  </si>
  <si>
    <t>-453.388777076621 206.453486583174 -212.087410708059</t>
  </si>
  <si>
    <t>-614.681290494284 126.507391850579 -98.7209631117868</t>
  </si>
  <si>
    <t>-631.943112827851 138.422149517397 316.324473183636</t>
  </si>
  <si>
    <t>-671.148126501852 176.56791100714 776.219356264262</t>
  </si>
  <si>
    <t>-520.368563487999 179.476116508367 832.262958109216</t>
  </si>
  <si>
    <t>-605.691343646616 -72.306938553854 321.695637455222</t>
  </si>
  <si>
    <t>-653.938141228469 -103.042184001657 781.296805603353</t>
  </si>
  <si>
    <t>-499.627668844737 -115.547477202603 825.06567681594</t>
  </si>
  <si>
    <t>9763-20170724T115658.828432900.bin</t>
  </si>
  <si>
    <t>-611.012128068824 32.8843061920586 -94.5674309766068</t>
  </si>
  <si>
    <t>-634.48847545346 28.7825584816974 -202.685596915901</t>
  </si>
  <si>
    <t>-645.553052414223 25.5431114834819 -294.842495376285</t>
  </si>
  <si>
    <t>-652.987588838426 22.6712889064158 -378.356739062929</t>
  </si>
  <si>
    <t>-657.286471603562 19.8908999731623 -462.093967209064</t>
  </si>
  <si>
    <t>-660.1272125205 15.9361083415595 -584.655036051263</t>
  </si>
  <si>
    <t>-628.163200542132 18.6004751948171 -656.149183333524</t>
  </si>
  <si>
    <t>-660.659739622311 48.9671054284397 -531.844967821869</t>
  </si>
  <si>
    <t>-646.302706360106 202.872043785862 -510.775765020388</t>
  </si>
  <si>
    <t>-679.897556618793 255.317341912955 -235.64041003149</t>
  </si>
  <si>
    <t>-454.04087221012 207.278302213116 -210.549920738386</t>
  </si>
  <si>
    <t>-615.056449134979 125.654768052865 -98.8078768783616</t>
  </si>
  <si>
    <t>-632.193018937784 137.928677713587 316.232234685269</t>
  </si>
  <si>
    <t>-671.170824080102 176.46168858596 776.102982052714</t>
  </si>
  <si>
    <t>-520.408527104996 179.587325060009 832.18118148878</t>
  </si>
  <si>
    <t>-605.510353174422 -73.273028951771 321.64740849562</t>
  </si>
  <si>
    <t>-653.894577054936 -103.024818351245 781.305260100523</t>
  </si>
  <si>
    <t>-499.580613375354 -115.372489517169 825.106628674886</t>
  </si>
  <si>
    <t>9763-20170724T115658.861521400.bin</t>
  </si>
  <si>
    <t>-611.008572069037 32.5157513673555 -94.59289090167</t>
  </si>
  <si>
    <t>-634.411573376132 28.3426198157188 -202.724339575865</t>
  </si>
  <si>
    <t>-645.410381910225 25.1100975656684 -294.889447710873</t>
  </si>
  <si>
    <t>-652.783931565543 22.2694708635486 -378.41000505888</t>
  </si>
  <si>
    <t>-657.020431399163 19.5470335137372 -462.152293919066</t>
  </si>
  <si>
    <t>-659.768620546763 15.7064670591087 -584.719140875551</t>
  </si>
  <si>
    <t>-627.734622475384 18.6079335823306 -656.172771488707</t>
  </si>
  <si>
    <t>-660.437984589106 48.6828307729422 -531.876322010652</t>
  </si>
  <si>
    <t>-646.608499895348 202.629060023141 -510.704655270229</t>
  </si>
  <si>
    <t>-680.463743141455 254.227811749993 -235.441179607732</t>
  </si>
  <si>
    <t>-454.367832505369 207.745361023223 -209.584788896713</t>
  </si>
  <si>
    <t>-615.283207484873 125.237436674111 -98.8430974763662</t>
  </si>
  <si>
    <t>-632.314943307341 137.713521955977 316.195318610959</t>
  </si>
  <si>
    <t>-671.178793546522 176.435925821135 776.056131891023</t>
  </si>
  <si>
    <t>-520.4217570098 179.567546176693 832.148274803247</t>
  </si>
  <si>
    <t>-605.396643976845 -73.6972692051872 321.636381039531</t>
  </si>
  <si>
    <t>-653.88968328705 -103.008086325497 781.304275909412</t>
  </si>
  <si>
    <t>-499.577178769223 -115.40324148223 825.097347438004</t>
  </si>
  <si>
    <t>9763-20170724T115658.926034100.bin</t>
  </si>
  <si>
    <t>-611.104313365903 32.0136203947288 -94.6257321686738</t>
  </si>
  <si>
    <t>-634.387383712274 27.7163834979995 -202.778074099792</t>
  </si>
  <si>
    <t>-645.293514345276 24.490887239841 -294.954533925577</t>
  </si>
  <si>
    <t>-652.586899994158 21.6977448376899 -378.483816664267</t>
  </si>
  <si>
    <t>-656.74700379519 19.0679051447191 -462.232868221508</t>
  </si>
  <si>
    <t>-659.387999314274 15.4124259000773 -584.807734813613</t>
  </si>
  <si>
    <t>-627.290287053674 18.7508566024601 -656.213657162817</t>
  </si>
  <si>
    <t>-660.278625405427 48.298014341266 -531.911716349659</t>
  </si>
  <si>
    <t>-647.416961268837 202.311641308238 -510.601212736174</t>
  </si>
  <si>
    <t>-681.462953903176 251.853986497266 -234.983725820359</t>
  </si>
  <si>
    <t>-454.873978571726 208.7931622128 -207.566063153615</t>
  </si>
  <si>
    <t>-615.817965416381 124.512877536245 -98.8864468290703</t>
  </si>
  <si>
    <t>-632.606094221769 137.418198043203 316.14873981657</t>
  </si>
  <si>
    <t>-671.220490516063 176.319461737453 775.993133121965</t>
  </si>
  <si>
    <t>-520.463670824033 179.61054042493 832.076801451964</t>
  </si>
  <si>
    <t>-605.317382928411 -74.1309934095473 321.616953227989</t>
  </si>
  <si>
    <t>-653.890420090623 -103.041755504184 781.28922477075</t>
  </si>
  <si>
    <t>-499.566526201186 -115.421648647429 825.04649411791</t>
  </si>
  <si>
    <t>9763-20170724T115658.990203700.bin</t>
  </si>
  <si>
    <t>-611.40890782384 31.820138703504 -94.6517849817401</t>
  </si>
  <si>
    <t>-634.627766717261 27.3912190692902 -202.812563903337</t>
  </si>
  <si>
    <t>-645.474353200148 24.1409379885151 -294.99514218112</t>
  </si>
  <si>
    <t>-652.711785993116 21.3570871773934 -378.529539227271</t>
  </si>
  <si>
    <t>-656.814084252511 18.7715487153769 -462.282913955694</t>
  </si>
  <si>
    <t>-659.368696185572 15.220177319902 -584.862607419557</t>
  </si>
  <si>
    <t>-627.21228866512 18.9275449473869 -656.223872682048</t>
  </si>
  <si>
    <t>-660.455603265258 48.0500122831691 -531.935765831792</t>
  </si>
  <si>
    <t>-648.514750959181 202.127366544952 -510.603439538723</t>
  </si>
  <si>
    <t>-681.936671752993 249.611151839525 -234.547587464306</t>
  </si>
  <si>
    <t>-454.943778481396 210.192854576092 -205.06937684619</t>
  </si>
  <si>
    <t>-616.489817005795 124.144047813371 -98.956110171863</t>
  </si>
  <si>
    <t>-632.878079356507 137.29829324006 316.087251190584</t>
  </si>
  <si>
    <t>-671.265498792133 176.2392942642 775.938779563417</t>
  </si>
  <si>
    <t>-520.503515048732 179.700938538187 831.99816703776</t>
  </si>
  <si>
    <t>-605.309439575713 -74.3262273091207 321.614294159802</t>
  </si>
  <si>
    <t>-653.888085121743 -103.087638467707 781.282260419566</t>
  </si>
  <si>
    <t>-499.57018595059 -115.631046082224 825.014102054835</t>
  </si>
  <si>
    <t>9763-20170724T115659.025301100.bin</t>
  </si>
  <si>
    <t>-611.610322356578 31.9356737017729 -94.6569143816802</t>
  </si>
  <si>
    <t>-634.810306064165 27.4443370770648 -202.819211645251</t>
  </si>
  <si>
    <t>-645.63177525656 24.1740883077898 -295.004012845469</t>
  </si>
  <si>
    <t>-652.842737173969 21.3841364656469 -378.540529902725</t>
  </si>
  <si>
    <t>-656.914931147859 18.8057014904589 -462.295618685886</t>
  </si>
  <si>
    <t>-659.421679229745 15.2793715503958 -584.876985042656</t>
  </si>
  <si>
    <t>-627.219049171766 19.1488404281724 -656.208756691519</t>
  </si>
  <si>
    <t>-660.596343575076 48.0935988358299 -531.942419640198</t>
  </si>
  <si>
    <t>-649.051667732389 202.20174852949 -510.603110802252</t>
  </si>
  <si>
    <t>-681.99311248521 248.739801981768 -234.328609497066</t>
  </si>
  <si>
    <t>-454.853452691399 211.286304440878 -203.452346734408</t>
  </si>
  <si>
    <t>-616.864233519349 124.170493629257 -98.9848477824436</t>
  </si>
  <si>
    <t>-633.098748040046 137.350233513586 316.063759540573</t>
  </si>
  <si>
    <t>-671.298614547057 176.200172206302 775.927978744418</t>
  </si>
  <si>
    <t>-520.527543655282 179.718145028184 831.959458092294</t>
  </si>
  <si>
    <t>-605.30746436598 -74.2345388238646 321.620111870025</t>
  </si>
  <si>
    <t>-653.881829672718 -103.058681527822 781.274508063662</t>
  </si>
  <si>
    <t>-499.536336345038 -115.338111640284 824.983951116825</t>
  </si>
  <si>
    <t>9763-20170724T115659.089482000.bin</t>
  </si>
  <si>
    <t>-612.174946394266 32.5557922791845 -94.7102984407759</t>
  </si>
  <si>
    <t>-635.333252004406 27.9243295160779 -202.875579589216</t>
  </si>
  <si>
    <t>-646.099216118638 24.5966723187871 -295.064828605145</t>
  </si>
  <si>
    <t>-653.251599273929 21.7760546998311 -378.605331915746</t>
  </si>
  <si>
    <t>-657.257060582777 19.190309691895 -462.363307136499</t>
  </si>
  <si>
    <t>-659.657317974658 15.6793265128674 -584.94742519736</t>
  </si>
  <si>
    <t>-627.346752739454 19.8630897891026 -656.212567227561</t>
  </si>
  <si>
    <t>-661.005026810178 48.4775839981496 -532.006789877104</t>
  </si>
  <si>
    <t>-650.257722737158 202.654072054097 -510.795235444282</t>
  </si>
  <si>
    <t>-682.120732484546 247.285984275373 -234.079973822333</t>
  </si>
  <si>
    <t>-454.794602797888 214.189082407139 -199.787622474207</t>
  </si>
  <si>
    <t>-617.788785851039 124.67332978219 -99.0636615302013</t>
  </si>
  <si>
    <t>-633.736948309435 137.708890774462 316.000574456749</t>
  </si>
  <si>
    <t>-671.362154649792 176.244190226283 775.940609445039</t>
  </si>
  <si>
    <t>-520.55847108045 179.756509442538 831.884676526564</t>
  </si>
  <si>
    <t>-605.473472498182 -73.8032062271466 321.618376263974</t>
  </si>
  <si>
    <t>-653.869193918738 -103.015735551277 781.265419992294</t>
  </si>
  <si>
    <t>-499.495258040229 -115.063751668193 824.938716934573</t>
  </si>
  <si>
    <t>9763-20170724T115659.126252200.bin</t>
  </si>
  <si>
    <t>-612.533599701233 33.1164861877223 -94.7322247774207</t>
  </si>
  <si>
    <t>-635.652398584857 28.4128158462886 -202.902988338174</t>
  </si>
  <si>
    <t>-646.40240858988 25.0667836867431 -295.093445887287</t>
  </si>
  <si>
    <t>-653.547392000248 22.2445991143989 -378.634536053999</t>
  </si>
  <si>
    <t>-657.552607440201 19.673281938617 -462.39299426238</t>
  </si>
  <si>
    <t>-659.960468889668 16.2006803068575 -584.977905777998</t>
  </si>
  <si>
    <t>-627.605769239352 20.5359365444499 -656.214077526785</t>
  </si>
  <si>
    <t>-661.36250107547 48.9779288270199 -532.025695803198</t>
  </si>
  <si>
    <t>-650.974036683737 203.191037387594 -510.886923790923</t>
  </si>
  <si>
    <t>-682.231630991739 246.846294643708 -233.946971417165</t>
  </si>
  <si>
    <t>-454.928665773444 215.968005194465 -197.499547419239</t>
  </si>
  <si>
    <t>-618.285990273285 125.224490741951 -99.1144801894744</t>
  </si>
  <si>
    <t>-634.04673711906 138.100118002307 315.961895286943</t>
  </si>
  <si>
    <t>-671.382241842226 176.351992240866 775.955296294016</t>
  </si>
  <si>
    <t>-520.55600575798 179.6456321099 831.851729061481</t>
  </si>
  <si>
    <t>-605.595151963583 -73.4333130970929 321.61384250127</t>
  </si>
  <si>
    <t>-653.856695195094 -103.000230105609 781.260725482003</t>
  </si>
  <si>
    <t>-499.49039878418 -115.169879457039 824.927201665054</t>
  </si>
  <si>
    <t>9763-20170724T115659.159338700.bin</t>
  </si>
  <si>
    <t>-612.906411882489 33.7935182825413 -94.7293111317407</t>
  </si>
  <si>
    <t>-636.011860435935 29.0231329316239 -202.899951065452</t>
  </si>
  <si>
    <t>-646.765925933013 25.6532612792255 -295.088951844077</t>
  </si>
  <si>
    <t>-653.920835927584 22.8206723206711 -378.628952432694</t>
  </si>
  <si>
    <t>-657.942252802449 20.2512330274158 -462.386646003733</t>
  </si>
  <si>
    <t>-660.380690706904 16.7950408664024 -584.971500599419</t>
  </si>
  <si>
    <t>-627.986791810439 21.2557511768007 -656.182048112472</t>
  </si>
  <si>
    <t>-661.823336458073 49.5609170414514 -532.013439702591</t>
  </si>
  <si>
    <t>-651.764593986081 203.814143652818 -510.933035933225</t>
  </si>
  <si>
    <t>-682.382442722347 246.430069295383 -233.759753993527</t>
  </si>
  <si>
    <t>-455.181206715924 217.404932479363 -195.215600223758</t>
  </si>
  <si>
    <t>-618.785593360493 125.901234612174 -99.1520306951033</t>
  </si>
  <si>
    <t>-634.326563513046 138.551835951169 315.939508342673</t>
  </si>
  <si>
    <t>-671.415114410965 176.418007294723 775.974504536557</t>
  </si>
  <si>
    <t>-520.569598179982 179.688537762969 831.820319213706</t>
  </si>
  <si>
    <t>-605.680190166471 -72.9768168840965 321.623874860193</t>
  </si>
  <si>
    <t>-653.839901537448 -102.94033548259 781.257973968499</t>
  </si>
  <si>
    <t>-499.448242143428 -114.854787811952 824.905276230865</t>
  </si>
  <si>
    <t>9763-20170724T115659.229096900.bin</t>
  </si>
  <si>
    <t>-613.721207172306 35.604479893658 -94.7247676597506</t>
  </si>
  <si>
    <t>-636.877996213829 30.7342792895936 -202.879936252531</t>
  </si>
  <si>
    <t>-647.673679095291 27.2866652525756 -295.061308613016</t>
  </si>
  <si>
    <t>-654.865313591379 24.3841186464258 -378.595630150608</t>
  </si>
  <si>
    <t>-658.922646402788 21.7474724316753 -462.349572792559</t>
  </si>
  <si>
    <t>-661.412775519726 18.1960011026331 -584.930661738074</t>
  </si>
  <si>
    <t>-628.949500949584 22.8491581670839 -656.097259734288</t>
  </si>
  <si>
    <t>-662.931498230263 50.9951276634661 -531.995190470821</t>
  </si>
  <si>
    <t>-653.556793337825 205.327183361717 -511.189342798185</t>
  </si>
  <si>
    <t>-682.298084993551 245.338112064494 -233.427659332352</t>
  </si>
  <si>
    <t>-455.573752590939 220.977628323717 -189.255551092256</t>
  </si>
  <si>
    <t>-619.803439711201 127.79801090479 -99.2009507261218</t>
  </si>
  <si>
    <t>-634.919300676397 139.690466460659 315.928758131259</t>
  </si>
  <si>
    <t>-671.456964968456 176.671340203529 776.04933005454</t>
  </si>
  <si>
    <t>-520.56414854461 179.555424912986 831.788486101886</t>
  </si>
  <si>
    <t>-605.859715809078 -71.5676740936444 321.652256433879</t>
  </si>
  <si>
    <t>-653.813734383613 -102.876473153405 781.243763575441</t>
  </si>
  <si>
    <t>-499.434137174228 -115.044531870537 824.863692958635</t>
  </si>
  <si>
    <t>9763-20170724T115659.260179400.bin</t>
  </si>
  <si>
    <t>-614.210328186514 36.6856597374178 -94.728450210618</t>
  </si>
  <si>
    <t>-637.396816955441 31.7695052796921 -202.875105766163</t>
  </si>
  <si>
    <t>-648.215848901538 28.2993605041563 -295.052912966604</t>
  </si>
  <si>
    <t>-655.427775963981 25.3823739727879 -378.585073290799</t>
  </si>
  <si>
    <t>-659.504752522565 22.7378138251743 -462.337769791523</t>
  </si>
  <si>
    <t>-662.022815181148 19.1822566017497 -584.918149467667</t>
  </si>
  <si>
    <t>-629.531470401992 23.9371925191836 -656.065365076065</t>
  </si>
  <si>
    <t>-663.569397639701 51.9798031799958 -531.982521409044</t>
  </si>
  <si>
    <t>-654.365803887476 206.312053541338 -511.22409260782</t>
  </si>
  <si>
    <t>-682.171778393079 245.154746225054 -233.201316927061</t>
  </si>
  <si>
    <t>-455.864300144198 222.527669954354 -186.068652283837</t>
  </si>
  <si>
    <t>-620.371533874145 128.930352170149 -99.2237713384891</t>
  </si>
  <si>
    <t>-635.285555999648 140.361933660431 315.926141453862</t>
  </si>
  <si>
    <t>-671.479644739965 176.800401198326 776.104122115541</t>
  </si>
  <si>
    <t>-520.561783504077 179.486746356782 831.785412354435</t>
  </si>
  <si>
    <t>-606.011049632071 -70.6898543867471 321.673135788877</t>
  </si>
  <si>
    <t>-653.795627451097 -102.819672000374 781.236429352533</t>
  </si>
  <si>
    <t>-499.415391987215 -115.027086711144 824.843246366853</t>
  </si>
  <si>
    <t>9763-20170724T115659.322850800.bin</t>
  </si>
  <si>
    <t>-615.355011394433 38.9277822568115 -94.7368338781372</t>
  </si>
  <si>
    <t>-638.590596601732 33.9337707726293 -202.869365641099</t>
  </si>
  <si>
    <t>-649.399966245542 30.4805764324262 -295.049023894259</t>
  </si>
  <si>
    <t>-656.582316865499 27.6101145511921 -378.585308360489</t>
  </si>
  <si>
    <t>-660.608821041437 25.04320328416 -462.34276370216</t>
  </si>
  <si>
    <t>-663.030185271645 21.6350143259488 -584.929386758368</t>
  </si>
  <si>
    <t>-630.470969381336 26.5842589123017 -656.032157005598</t>
  </si>
  <si>
    <t>-664.633600841048 54.3676389191214 -531.955244109757</t>
  </si>
  <si>
    <t>-655.250071354063 208.67255692209 -510.997782024571</t>
  </si>
  <si>
    <t>-682.002375155971 245.064673926928 -232.540494109025</t>
  </si>
  <si>
    <t>-456.585474860064 225.934966844432 -179.911521091</t>
  </si>
  <si>
    <t>-621.624089303691 131.310137515573 -99.2684617747409</t>
  </si>
  <si>
    <t>-636.167151648762 141.789820524163 315.919767280887</t>
  </si>
  <si>
    <t>-671.544946867419 177.033686567393 776.256825899177</t>
  </si>
  <si>
    <t>-520.573826838879 179.51955706212 831.802838191552</t>
  </si>
  <si>
    <t>-606.43436041228 -68.852778733449 321.707469719146</t>
  </si>
  <si>
    <t>-653.737057237354 -102.733846694165 781.220558187896</t>
  </si>
  <si>
    <t>-499.376388487894 -115.165650557825 824.833189293091</t>
  </si>
  <si>
    <t>9763-20170724T115659.360953900.bin</t>
  </si>
  <si>
    <t>-615.969065396868 40.0374320127155 -94.7511411697874</t>
  </si>
  <si>
    <t>-639.204352193575 35.0372206508443 -202.883654188427</t>
  </si>
  <si>
    <t>-649.985374476809 31.6202015663 -295.067874071865</t>
  </si>
  <si>
    <t>-657.130719277249 28.7981282086025 -378.608832144548</t>
  </si>
  <si>
    <t>-661.108756328882 26.2949545519486 -462.370636653688</t>
  </si>
  <si>
    <t>-663.446709399679 22.9959648064585 -584.961740465639</t>
  </si>
  <si>
    <t>-630.830350713106 28.0252090360361 -656.032905674216</t>
  </si>
  <si>
    <t>-665.067489934772 55.6828391602721 -531.960093953332</t>
  </si>
  <si>
    <t>-655.531197137951 209.96201473205 -510.886015476354</t>
  </si>
  <si>
    <t>-681.663448279865 245.325651860343 -232.237249471561</t>
  </si>
  <si>
    <t>-456.731055768038 227.208565750728 -177.230601915176</t>
  </si>
  <si>
    <t>-622.246136428983 132.515478443619 -99.2830541726081</t>
  </si>
  <si>
    <t>-636.599026299598 142.518057486079 315.923616873023</t>
  </si>
  <si>
    <t>-671.611769911092 177.141718131356 776.33575805474</t>
  </si>
  <si>
    <t>-520.611415535967 179.535230139264 831.80645318672</t>
  </si>
  <si>
    <t>-606.661380438971 -67.9084759545797 321.708966485685</t>
  </si>
  <si>
    <t>-653.699859520557 -102.661203642645 781.211887606077</t>
  </si>
  <si>
    <t>-499.339681929299 -115.046114906939 824.839553398225</t>
  </si>
  <si>
    <t>9763-20170724T115659.425149200.bin</t>
  </si>
  <si>
    <t>-617.290396904581 42.1016839756001 -94.7487657331767</t>
  </si>
  <si>
    <t>-640.497656680159 37.1830259004935 -202.890968944696</t>
  </si>
  <si>
    <t>-651.233327912704 33.9245412873238 -295.086141834423</t>
  </si>
  <si>
    <t>-658.329041193809 31.2821754110139 -378.637375370693</t>
  </si>
  <si>
    <t>-662.248697421641 28.993997303525 -462.408056721013</t>
  </si>
  <si>
    <t>-664.491781738079 26.0472704165006 -585.009975365081</t>
  </si>
  <si>
    <t>-631.76745457695 31.2463615662543 -656.019049793483</t>
  </si>
  <si>
    <t>-666.095554505786 58.5864902117012 -531.916981595001</t>
  </si>
  <si>
    <t>-656.179575293066 212.78440841964 -510.418855161411</t>
  </si>
  <si>
    <t>-681.820776538076 246.770875206898 -231.553250790948</t>
  </si>
  <si>
    <t>-457.746456407929 229.199945230917 -172.982789529046</t>
  </si>
  <si>
    <t>-623.474542683717 134.76749335368 -99.2962068951997</t>
  </si>
  <si>
    <t>-637.538369925733 143.838270898664 315.941682451586</t>
  </si>
  <si>
    <t>-671.773040639824 177.12519371592 776.440572481675</t>
  </si>
  <si>
    <t>-520.71037641119 179.120195451509 831.757066285784</t>
  </si>
  <si>
    <t>-607.232747376903 -66.2531653460999 321.683145708777</t>
  </si>
  <si>
    <t>-653.614464202293 -102.584213300556 781.184183937641</t>
  </si>
  <si>
    <t>-499.294086218436 -115.233885918858 824.876663164237</t>
  </si>
  <si>
    <t>9763-20170724T115659.458237000.bin</t>
  </si>
  <si>
    <t>-617.919162878291 43.0309171510294 -94.7552222376852</t>
  </si>
  <si>
    <t>-641.11729853514 38.1997767704011 -202.903301840893</t>
  </si>
  <si>
    <t>-651.816109251414 35.0598856490342 -295.106934197617</t>
  </si>
  <si>
    <t>-658.866814590645 32.543926996653 -378.665758649806</t>
  </si>
  <si>
    <t>-662.729631246077 30.4000929579308 -462.443049503085</t>
  </si>
  <si>
    <t>-664.876749646391 27.6838281292917 -585.051870441413</t>
  </si>
  <si>
    <t>-632.063578637907 32.9656899322374 -656.013898553281</t>
  </si>
  <si>
    <t>-666.461719715868 60.1282337266487 -531.900160459313</t>
  </si>
  <si>
    <t>-656.254241923457 214.271647293427 -510.147588732348</t>
  </si>
  <si>
    <t>-681.835038334313 247.706937288642 -231.209793398308</t>
  </si>
  <si>
    <t>-458.102909087079 229.94618647639 -171.401418329206</t>
  </si>
  <si>
    <t>-623.927275037679 135.784341474617 -99.2774145964451</t>
  </si>
  <si>
    <t>-638.00850495037 144.469067847347 315.968185761221</t>
  </si>
  <si>
    <t>-671.841650121775 177.138593153695 776.529536470109</t>
  </si>
  <si>
    <t>-520.745357119505 179.186383856869 831.752350634967</t>
  </si>
  <si>
    <t>-607.527471183806 -65.5077716481824 321.644824276273</t>
  </si>
  <si>
    <t>-653.562061143084 -102.559306106562 781.162203456275</t>
  </si>
  <si>
    <t>-499.252795837596 -115.182811489066 824.901399388581</t>
  </si>
  <si>
    <t>9763-20170724T115659.524977600.bin</t>
  </si>
  <si>
    <t>-619.193049359576 44.3958930473204 -94.7100651973606</t>
  </si>
  <si>
    <t>-642.403457854867 39.7980966568491 -202.865611659436</t>
  </si>
  <si>
    <t>-653.047984253167 36.938871324006 -295.084712479317</t>
  </si>
  <si>
    <t>-660.023733926861 34.7144453971821 -378.658160271277</t>
  </si>
  <si>
    <t>-663.785600805418 32.8967085910192 -462.447672399419</t>
  </si>
  <si>
    <t>-665.756518539161 30.6953070363099 -585.069843202549</t>
  </si>
  <si>
    <t>-632.751372690799 36.1448722803407 -655.930144554429</t>
  </si>
  <si>
    <t>-667.259064823956 62.9286571303751 -531.787570764553</t>
  </si>
  <si>
    <t>-656.377039930326 216.94582869009 -509.424177490617</t>
  </si>
  <si>
    <t>-681.964673393597 249.207950570868 -230.34876240073</t>
  </si>
  <si>
    <t>-458.646919494399 230.661805928043 -169.244359100766</t>
  </si>
  <si>
    <t>-662.524303104647 0.39402478838565 -530.741023272213</t>
  </si>
  <si>
    <t>-624.719171877644 137.268442742429 -99.1617767955547</t>
  </si>
  <si>
    <t>-638.794435093627 145.258641507503 316.097943126563</t>
  </si>
  <si>
    <t>-672.006833881345 177.062032436494 776.764480189434</t>
  </si>
  <si>
    <t>-520.851534624592 178.537558287104 831.843687161187</t>
  </si>
  <si>
    <t>-608.204144885947 -64.4145002808373 321.583926988195</t>
  </si>
  <si>
    <t>-653.470661698585 -102.560007035102 781.13383461673</t>
  </si>
  <si>
    <t>-499.226652952132 -115.63072726651 824.971766541328</t>
  </si>
  <si>
    <t>9763-20170724T115659.558061900.bin</t>
  </si>
  <si>
    <t>-619.819699014996 44.9246524257542 -94.6465838913755</t>
  </si>
  <si>
    <t>-643.051101263381 40.4448425858666 -202.802566555371</t>
  </si>
  <si>
    <t>-653.667288232 37.7306915201743 -295.029375918064</t>
  </si>
  <si>
    <t>-660.598880059471 35.6567386951149 -378.610361516851</t>
  </si>
  <si>
    <t>-664.297586379229 34.0074690670497 -462.406193286744</t>
  </si>
  <si>
    <t>-666.155602407656 32.0703952683691 -585.034607819231</t>
  </si>
  <si>
    <t>-633.035852361358 37.6094831145485 -655.834266075944</t>
  </si>
  <si>
    <t>-667.612527623749 64.1958139475557 -531.685805549365</t>
  </si>
  <si>
    <t>-656.369868244456 218.141823878127 -509.044562447036</t>
  </si>
  <si>
    <t>-681.787233832455 249.719731660303 -229.875554937789</t>
  </si>
  <si>
    <t>-458.584602323857 230.885947518655 -168.43925933841</t>
  </si>
  <si>
    <t>-663.06811428016 1.6449163745358 -530.766731198981</t>
  </si>
  <si>
    <t>-625.171579470647 137.838310292655 -99.0596917266337</t>
  </si>
  <si>
    <t>-639.201815623743 145.552239748882 316.206787536492</t>
  </si>
  <si>
    <t>-672.063702161958 177.037252681374 776.90255586914</t>
  </si>
  <si>
    <t>-520.883433700217 178.549221386616 831.91219207043</t>
  </si>
  <si>
    <t>-608.592598542899 -63.9795514844425 321.563851313666</t>
  </si>
  <si>
    <t>-653.436231969917 -102.538662569781 781.120579644361</t>
  </si>
  <si>
    <t>-499.204753246958 -115.68040635882 824.98138149265</t>
  </si>
  <si>
    <t>9763-20170724T115659.625938900.bin</t>
  </si>
  <si>
    <t>-621.008422089343 45.6190833594724 -94.5292640527697</t>
  </si>
  <si>
    <t>-644.303926287764 41.4052082710577 -202.682290201176</t>
  </si>
  <si>
    <t>-654.880462260013 39.0358213551224 -294.922933499369</t>
  </si>
  <si>
    <t>-661.738228106622 37.3244191990925 -378.518281770017</t>
  </si>
  <si>
    <t>-665.32471105614 36.0841456323701 -462.325942318628</t>
  </si>
  <si>
    <t>-666.976384280247 34.7948377579646 -584.965895345731</t>
  </si>
  <si>
    <t>-633.60433651204 40.5439544233398 -655.630313581553</t>
  </si>
  <si>
    <t>-668.322484652899 66.6519178234944 -531.453624428005</t>
  </si>
  <si>
    <t>-656.18622771692 220.40468614972 -508.03139310525</t>
  </si>
  <si>
    <t>-680.886811271176 250.713765071199 -228.657301536534</t>
  </si>
  <si>
    <t>-457.733706922443 230.992113550776 -167.31996496543</t>
  </si>
  <si>
    <t>-664.180807470189 4.06927239520564 -530.851546470811</t>
  </si>
  <si>
    <t>-625.958376410324 138.61505430335 -98.8190169244067</t>
  </si>
  <si>
    <t>-639.950738826799 145.997412666104 316.454783133339</t>
  </si>
  <si>
    <t>-672.187466376225 176.925440586957 777.218720773014</t>
  </si>
  <si>
    <t>-520.965647371036 178.009958469386 832.124171723223</t>
  </si>
  <si>
    <t>-609.309249438237 -63.2494140330186 321.527755385384</t>
  </si>
  <si>
    <t>-653.387922277018 -102.539044903326 781.094647957552</t>
  </si>
  <si>
    <t>-499.167331168771 -115.763578191871 824.968820897509</t>
  </si>
  <si>
    <t>9763-20170724T115659.658016500.bin</t>
  </si>
  <si>
    <t>-621.62157773432 45.7724626518955 -94.4566627711667</t>
  </si>
  <si>
    <t>-644.976933122237 41.7020700343126 -202.602119979072</t>
  </si>
  <si>
    <t>-655.562079791778 39.5428931011502 -294.847227543943</t>
  </si>
  <si>
    <t>-662.410599377524 38.0585709889313 -378.447587158388</t>
  </si>
  <si>
    <t>-665.970768310745 37.0804679778514 -462.259879359855</t>
  </si>
  <si>
    <t>-667.565043533147 36.2128987732603 -584.904191811005</t>
  </si>
  <si>
    <t>-634.099705413013 42.0948177082018 -655.513532535031</t>
  </si>
  <si>
    <t>-668.856970316911 67.8907823574448 -531.284363474727</t>
  </si>
  <si>
    <t>-656.322080948826 221.533377533367 -507.32502274598</t>
  </si>
  <si>
    <t>-680.49094659353 251.09818506874 -227.824883913087</t>
  </si>
  <si>
    <t>-457.330810505608 231.191436114369 -166.572772110735</t>
  </si>
  <si>
    <t>-664.87404105559 5.29632425804493 -530.893443836746</t>
  </si>
  <si>
    <t>-626.433787262368 138.820650091181 -98.6723526667012</t>
  </si>
  <si>
    <t>-640.340983154353 146.089034274257 316.606263250252</t>
  </si>
  <si>
    <t>-672.271903991469 176.86476833215 777.394450360862</t>
  </si>
  <si>
    <t>-521.023341328077 177.824053090652 832.228514889298</t>
  </si>
  <si>
    <t>-609.604351068836 -63.0298091396664 321.508575148895</t>
  </si>
  <si>
    <t>-653.362491917372 -102.533018125905 781.084555552445</t>
  </si>
  <si>
    <t>-499.162455652156 -115.932154926532 824.977989109276</t>
  </si>
  <si>
    <t>9763-20170724T115659.721877200.bin</t>
  </si>
  <si>
    <t>-622.804001841532 45.8931141900709 -94.3473040599762</t>
  </si>
  <si>
    <t>-646.276027042263 42.0731671262326 -202.476715652301</t>
  </si>
  <si>
    <t>-656.87749412268 40.3105454671788 -294.728245744842</t>
  </si>
  <si>
    <t>-663.707491316576 39.2609541901904 -378.336810786971</t>
  </si>
  <si>
    <t>-667.215626727582 38.7925622517764 -462.155666926956</t>
  </si>
  <si>
    <t>-668.697232198819 38.7515412072346 -584.804545216304</t>
  </si>
  <si>
    <t>-635.133932427538 44.9440480459466 -655.340708280301</t>
  </si>
  <si>
    <t>-669.952560065345 70.0727948185499 -530.974713251256</t>
  </si>
  <si>
    <t>-657.093606653367 223.492925260402 -505.838551649904</t>
  </si>
  <si>
    <t>-680.269160447492 251.33067546088 -226.07706786771</t>
  </si>
  <si>
    <t>-456.991611372876 231.187139309964 -165.332529338805</t>
  </si>
  <si>
    <t>-666.141676832279 7.4662657192921 -530.999745304318</t>
  </si>
  <si>
    <t>-627.560014495539 138.895007980989 -98.3441457597189</t>
  </si>
  <si>
    <t>-641.164419639235 145.98155443457 316.947755762523</t>
  </si>
  <si>
    <t>-672.409767425998 176.688965467059 777.779663538962</t>
  </si>
  <si>
    <t>-521.122060624464 177.129537059368 832.512333996375</t>
  </si>
  <si>
    <t>-610.056642979234 -62.655323928672 321.463860161698</t>
  </si>
  <si>
    <t>-653.124084535172 -102.591218051451 781.089505005084</t>
  </si>
  <si>
    <t>-499.008395544493 -115.784334359562 825.34017214773</t>
  </si>
  <si>
    <t>9763-20170724T115659.760986700.bin</t>
  </si>
  <si>
    <t>-623.377839711267 45.8679857163236 -94.2808824575438</t>
  </si>
  <si>
    <t>-646.878630776061 42.127956075926 -202.40690242871</t>
  </si>
  <si>
    <t>-657.462404248747 40.5534906694265 -294.663766269967</t>
  </si>
  <si>
    <t>-664.259297150564 39.7225345322884 -378.277481431252</t>
  </si>
  <si>
    <t>-667.717142385952 39.5207518878069 -462.099471746716</t>
  </si>
  <si>
    <t>-669.106459330646 39.9216227724553 -584.748678092531</t>
  </si>
  <si>
    <t>-635.485548456222 46.3205514784256 -655.239111183554</t>
  </si>
  <si>
    <t>-670.374045918142 71.0504245826085 -530.807666358568</t>
  </si>
  <si>
    <t>-657.403279193236 224.365026868629 -505.07231522025</t>
  </si>
  <si>
    <t>-680.36468913532 251.32184264896 -225.206761088783</t>
  </si>
  <si>
    <t>-457.012793228054 231.189007969766 -164.732536225846</t>
  </si>
  <si>
    <t>-666.619651341912 8.44100575121684 -531.054856439907</t>
  </si>
  <si>
    <t>-628.144761295977 138.861537139535 -98.1962553894127</t>
  </si>
  <si>
    <t>-641.59436891097 145.963190287116 317.100375915592</t>
  </si>
  <si>
    <t>-672.442701938397 176.637793834155 777.98450247254</t>
  </si>
  <si>
    <t>-521.136074552294 177.115148061815 832.664670036571</t>
  </si>
  <si>
    <t>-610.202756607667 -62.5284516466377 321.488655287844</t>
  </si>
  <si>
    <t>-652.955204068311 -102.62807757771 781.129260211244</t>
  </si>
  <si>
    <t>-498.915403972783 -115.798589601395 825.650130923793</t>
  </si>
  <si>
    <t>9763-20170724T115659.825184600.bin</t>
  </si>
  <si>
    <t>-624.474203482561 45.5844163073211 -94.0683231391577</t>
  </si>
  <si>
    <t>-648.019893880444 41.9322394162671 -202.187526935617</t>
  </si>
  <si>
    <t>-658.537836862175 40.6467403037709 -294.45643334732</t>
  </si>
  <si>
    <t>-665.233025063585 40.1615702579418 -378.081044093445</t>
  </si>
  <si>
    <t>-668.546734702004 40.3898821284147 -461.908918107824</t>
  </si>
  <si>
    <t>-669.678787427269 41.5115728166045 -584.556242493872</t>
  </si>
  <si>
    <t>-635.962642256885 48.349836002325 -654.959928974545</t>
  </si>
  <si>
    <t>-671.05496543327 72.3232202334873 -530.43606131848</t>
  </si>
  <si>
    <t>-658.143491330936 225.474145244985 -503.691046586323</t>
  </si>
  <si>
    <t>-681.280847404944 250.863956579437 -223.693486535896</t>
  </si>
  <si>
    <t>-457.867490911068 230.812621721416 -163.419499608586</t>
  </si>
  <si>
    <t>-667.309118665149 9.7156686433857 -531.043188358236</t>
  </si>
  <si>
    <t>-629.404093699115 138.513164393075 -97.8937639968514</t>
  </si>
  <si>
    <t>-642.389056005787 145.752580003708 317.415279827952</t>
  </si>
  <si>
    <t>-672.558675779801 176.472658243576 778.367827457891</t>
  </si>
  <si>
    <t>-521.205921875049 176.744808253107 832.921279345712</t>
  </si>
  <si>
    <t>-610.491172945762 -62.5233066647352 321.569900375182</t>
  </si>
  <si>
    <t>-652.661011980965 -102.66815476461 781.209632117647</t>
  </si>
  <si>
    <t>-498.718895369538 -115.369670241956 826.202142486838</t>
  </si>
  <si>
    <t>9763-20170724T115659.861283000.bin</t>
  </si>
  <si>
    <t>-624.994575708204 45.379744668048 -93.9690246961909</t>
  </si>
  <si>
    <t>-648.572128913196 41.7733251937543 -202.082734014523</t>
  </si>
  <si>
    <t>-659.061337258354 40.6084304374176 -294.356566153196</t>
  </si>
  <si>
    <t>-665.707989331286 40.264646357077 -377.985835690485</t>
  </si>
  <si>
    <t>-668.950438517232 40.6674633605592 -461.815694711566</t>
  </si>
  <si>
    <t>-669.953729105665 42.0799000705592 -584.461176189794</t>
  </si>
  <si>
    <t>-636.187677969538 49.1369133067483 -654.819286600199</t>
  </si>
  <si>
    <t>-671.406093423178 72.7619160866186 -530.269434824039</t>
  </si>
  <si>
    <t>-658.594261041653 225.853158199645 -503.155992424282</t>
  </si>
  <si>
    <t>-682.068889070694 250.664309968749 -223.134720160857</t>
  </si>
  <si>
    <t>-458.694325373905 230.637208517359 -162.708831214399</t>
  </si>
  <si>
    <t>-667.620927807906 10.1582384724336 -531.021348833456</t>
  </si>
  <si>
    <t>-630.090379471106 138.253953912975 -97.738342065385</t>
  </si>
  <si>
    <t>-642.786658787006 145.5885072101 317.577902015733</t>
  </si>
  <si>
    <t>-672.616813942656 176.339497726262 778.560795223999</t>
  </si>
  <si>
    <t>-521.233586791548 176.511231771832 833.030116410366</t>
  </si>
  <si>
    <t>-610.658248314547 -62.5481161081771 321.603162820138</t>
  </si>
  <si>
    <t>-652.536615655526 -102.678272652935 781.256459036097</t>
  </si>
  <si>
    <t>-498.652642909227 -115.368110615784 826.450623488936</t>
  </si>
  <si>
    <t>9763-20170724T115659.925428700.bin</t>
  </si>
  <si>
    <t>-625.914810793618 44.8078403711911 -93.8266902945041</t>
  </si>
  <si>
    <t>-649.526643373649 41.2713113440575 -201.935226562593</t>
  </si>
  <si>
    <t>-659.984450263718 40.2724392266023 -294.214575468129</t>
  </si>
  <si>
    <t>-666.578638185748 40.1222409242121 -377.848449190048</t>
  </si>
  <si>
    <t>-669.744895475127 40.7648510120825 -461.679860096718</t>
  </si>
  <si>
    <t>-670.611158093638 42.5795220320949 -584.321133199799</t>
  </si>
  <si>
    <t>-636.781166253661 49.9986260177327 -654.611143899541</t>
  </si>
  <si>
    <t>-672.2162234088 73.0780232832965 -530.030017293232</t>
  </si>
  <si>
    <t>-659.810685773028 226.10969218489 -502.345121542941</t>
  </si>
  <si>
    <t>-684.154457916783 249.933792443328 -222.312390894528</t>
  </si>
  <si>
    <t>-460.921904041615 230.315027866282 -161.231668827835</t>
  </si>
  <si>
    <t>-668.245852407235 10.4885729502505 -530.984240011325</t>
  </si>
  <si>
    <t>-631.144384547053 137.622613364205 -97.4811412073574</t>
  </si>
  <si>
    <t>-643.526661767321 145.172886950824 317.840735082002</t>
  </si>
  <si>
    <t>-672.667417604479 176.199715776026 778.883814839305</t>
  </si>
  <si>
    <t>-521.249992326234 176.340874313006 833.258268165244</t>
  </si>
  <si>
    <t>-611.045273113263 -62.7842731784181 321.653729917092</t>
  </si>
  <si>
    <t>-652.420934099303 -102.709545119315 781.320471539053</t>
  </si>
  <si>
    <t>-498.605785239738 -115.541332687593 826.708420794363</t>
  </si>
  <si>
    <t>9763-20170724T115659.989598300.bin</t>
  </si>
  <si>
    <t>-626.534115618314 44.2370425483073 -93.7432818921415</t>
  </si>
  <si>
    <t>-650.087381115544 40.7018871489986 -201.864711205063</t>
  </si>
  <si>
    <t>-660.49252353514 39.7840187440975 -294.150932345916</t>
  </si>
  <si>
    <t>-667.037766149886 39.7371606179433 -377.788794737422</t>
  </si>
  <si>
    <t>-670.154074789136 40.5142579406997 -461.620835581948</t>
  </si>
  <si>
    <t>-670.946174857619 42.5605688649166 -584.258992101391</t>
  </si>
  <si>
    <t>-637.113336845219 50.2398872757772 -654.519655581849</t>
  </si>
  <si>
    <t>-672.668006810529 72.9509642692049 -529.910940520743</t>
  </si>
  <si>
    <t>-660.618428592126 225.945839287357 -501.898458505847</t>
  </si>
  <si>
    <t>-686.095619753589 249.401423813187 -221.935276287682</t>
  </si>
  <si>
    <t>-463.161958763253 230.056307819026 -159.686892808425</t>
  </si>
  <si>
    <t>-668.529214232026 10.3743714252291 -530.981813953366</t>
  </si>
  <si>
    <t>-631.975468490927 136.946319114579 -97.3138377162699</t>
  </si>
  <si>
    <t>-644.036257796609 144.912316751762 318.009748486984</t>
  </si>
  <si>
    <t>-672.673757774027 176.161678377155 779.106105218673</t>
  </si>
  <si>
    <t>-521.246567000474 176.362165420744 833.453126203597</t>
  </si>
  <si>
    <t>-611.462067891131 -63.1374020411972 321.658342877446</t>
  </si>
  <si>
    <t>-652.510961077623 -102.705913168156 781.334891488576</t>
  </si>
  <si>
    <t>-498.651600972538 -115.583148418709 826.559801339844</t>
  </si>
  <si>
    <t>9763-20170724T115700.027514900.bin</t>
  </si>
  <si>
    <t>-626.779991883066 43.9284297905226 -93.7145106983028</t>
  </si>
  <si>
    <t>-650.298952782671 40.3727269107824 -201.842807238077</t>
  </si>
  <si>
    <t>-660.694066353608 39.470071809719 -294.130116745524</t>
  </si>
  <si>
    <t>-667.237988619243 39.4482869064752 -377.768148641328</t>
  </si>
  <si>
    <t>-670.360739790088 40.2630911093759 -461.599540883188</t>
  </si>
  <si>
    <t>-671.170848568271 42.3780494295409 -584.236422525997</t>
  </si>
  <si>
    <t>-637.374070129641 50.1550032724329 -654.503829825124</t>
  </si>
  <si>
    <t>-672.93461621499 72.7346884773378 -529.870931077491</t>
  </si>
  <si>
    <t>-660.99149263257 225.708757479389 -501.708214868194</t>
  </si>
  <si>
    <t>-687.03614835743 249.251385434382 -221.804669627857</t>
  </si>
  <si>
    <t>-464.342261194034 230.04373391328 -158.661662649753</t>
  </si>
  <si>
    <t>-668.696118663608 10.1653704202395 -530.977966230771</t>
  </si>
  <si>
    <t>-632.375508470357 136.587892561536 -97.2644127623995</t>
  </si>
  <si>
    <t>-644.25981837539 144.7701635354 318.060067401296</t>
  </si>
  <si>
    <t>-672.652105474165 176.16401073893 779.181227285851</t>
  </si>
  <si>
    <t>-521.22692364349 176.565044442064 833.532630177768</t>
  </si>
  <si>
    <t>-611.672229478397 -63.3325060489681 321.650839287099</t>
  </si>
  <si>
    <t>-652.625630121823 -102.644649110769 781.32539078316</t>
  </si>
  <si>
    <t>-498.6586572935 -114.976713375325 826.33554625623</t>
  </si>
  <si>
    <t>9763-20170724T115700.063611200.bin</t>
  </si>
  <si>
    <t>-626.989637937687 43.5529819381838 -93.7037010595641</t>
  </si>
  <si>
    <t>-650.469363960499 39.974483309368 -201.839715304119</t>
  </si>
  <si>
    <t>-660.859852461638 39.0740090099214 -294.127606204617</t>
  </si>
  <si>
    <t>-667.41112882232 39.0607797404136 -377.76510126737</t>
  </si>
  <si>
    <t>-670.552755648556 39.8918761076413 -461.595742950087</t>
  </si>
  <si>
    <t>-671.403220269808 42.0386374706734 -584.231746479844</t>
  </si>
  <si>
    <t>-637.66661553576 49.8882678457583 -654.520084876721</t>
  </si>
  <si>
    <t>-673.196076080649 72.377930776024 -529.857484301452</t>
  </si>
  <si>
    <t>-661.421009971426 225.337566809778 -501.56538479886</t>
  </si>
  <si>
    <t>-687.807330394543 249.094131342283 -221.711815668826</t>
  </si>
  <si>
    <t>-465.367789799168 230.20365670747 -157.584411302197</t>
  </si>
  <si>
    <t>-668.864002522415 9.81538996003655 -530.982738599894</t>
  </si>
  <si>
    <t>-632.735493914679 136.158148211023 -97.2268645044088</t>
  </si>
  <si>
    <t>-644.496089530234 144.531598457912 318.097361620693</t>
  </si>
  <si>
    <t>-672.631127090926 176.156321260804 779.233387863716</t>
  </si>
  <si>
    <t>-521.214302216938 176.495824379773 833.608449565864</t>
  </si>
  <si>
    <t>-611.889267139615 -63.6051877101199 321.628181171423</t>
  </si>
  <si>
    <t>-652.751144289754 -102.619933834642 781.308051136926</t>
  </si>
  <si>
    <t>-498.729952222989 -115.06955807498 826.099809501027</t>
  </si>
  <si>
    <t>9763-20170724T115700.124782900.bin</t>
  </si>
  <si>
    <t>-627.22331979583 42.7013904186183 -93.7359591700819</t>
  </si>
  <si>
    <t>-650.595237881474 39.0351105699299 -201.892291275231</t>
  </si>
  <si>
    <t>-661.003829597822 38.0716822763545 -294.177646215231</t>
  </si>
  <si>
    <t>-667.615235780061 38.0016157728874 -377.810186496906</t>
  </si>
  <si>
    <t>-670.861014172688 38.7769670051214 -461.637416359227</t>
  </si>
  <si>
    <t>-671.911883172664 40.8427819874605 -584.273360408394</t>
  </si>
  <si>
    <t>-638.334712254347 48.7429884151948 -654.632259516129</t>
  </si>
  <si>
    <t>-673.71336447901 71.2110471983494 -529.915509833743</t>
  </si>
  <si>
    <t>-662.159541436346 224.145585817406 -501.369238375225</t>
  </si>
  <si>
    <t>-688.751240578461 247.926344086037 -221.537185092895</t>
  </si>
  <si>
    <t>-466.591321538448 229.848836743827 -156.217166142796</t>
  </si>
  <si>
    <t>-669.188197035307 8.66156450444487 -531.007999030712</t>
  </si>
  <si>
    <t>-633.320811075178 135.148562488096 -97.2093177100116</t>
  </si>
  <si>
    <t>-644.847226413919 144.045675528254 318.11049735942</t>
  </si>
  <si>
    <t>-672.592729808142 176.149884412459 779.264260586757</t>
  </si>
  <si>
    <t>-521.186976477604 176.694363713265 833.668593325314</t>
  </si>
  <si>
    <t>-612.225486866775 -64.2904114044406 321.566121104457</t>
  </si>
  <si>
    <t>-652.972735889252 -102.601547727142 781.282241793265</t>
  </si>
  <si>
    <t>-498.83147372221 -115.002221724835 825.672750308577</t>
  </si>
  <si>
    <t>9763-20170724T115700.190958500.bin</t>
  </si>
  <si>
    <t>-627.289441040793 41.740179770781 -93.7703576790714</t>
  </si>
  <si>
    <t>-650.623749256836 37.9656121215146 -201.931164027281</t>
  </si>
  <si>
    <t>-661.075340995926 36.8745036699966 -294.210188949494</t>
  </si>
  <si>
    <t>-667.755324233833 36.6683558597529 -377.837255296454</t>
  </si>
  <si>
    <t>-671.099406214417 37.2886667326716 -461.661786013648</t>
  </si>
  <si>
    <t>-672.326209290309 39.1065519576678 -584.299825173757</t>
  </si>
  <si>
    <t>-638.964400375025 46.9897624632383 -654.763068576627</t>
  </si>
  <si>
    <t>-674.171005071159 69.5756105569451 -530.000102455317</t>
  </si>
  <si>
    <t>-663.176471928373 222.539457091632 -501.401403674105</t>
  </si>
  <si>
    <t>-688.972003834999 246.288802029542 -221.492305231538</t>
  </si>
  <si>
    <t>-466.874869733685 228.350612860582 -155.920822847293</t>
  </si>
  <si>
    <t>-669.404807189576 7.04213733585402 -530.974580636546</t>
  </si>
  <si>
    <t>-633.934291924639 133.962294593892 -97.2163468984651</t>
  </si>
  <si>
    <t>-645.099045551974 143.449540127876 318.100310795676</t>
  </si>
  <si>
    <t>-672.577732379859 176.092888718272 779.253894899742</t>
  </si>
  <si>
    <t>-521.179717123953 176.724663343941 833.678701288444</t>
  </si>
  <si>
    <t>-612.28837471467 -64.9810520405142 321.517856804094</t>
  </si>
  <si>
    <t>-653.012978499215 -102.6172583483 781.261657075945</t>
  </si>
  <si>
    <t>-498.820026776336 -114.644269175032 825.575362752597</t>
  </si>
  <si>
    <t>9763-20170724T115700.227066900.bin</t>
  </si>
  <si>
    <t>-627.247874975102 41.2609978052581 -93.768909255325</t>
  </si>
  <si>
    <t>-650.599237197008 37.415272668899 -201.923472786046</t>
  </si>
  <si>
    <t>-661.084391884884 36.2555270410476 -294.197938814607</t>
  </si>
  <si>
    <t>-667.802159844671 35.9814361820809 -377.821659686636</t>
  </si>
  <si>
    <t>-671.191631165832 36.5292268071573 -461.644911088335</t>
  </si>
  <si>
    <t>-672.493094826063 38.2360351625596 -584.283861030405</t>
  </si>
  <si>
    <t>-639.275655859695 46.1175729362469 -654.815449831002</t>
  </si>
  <si>
    <t>-674.390666388627 68.747537807528 -530.009721478477</t>
  </si>
  <si>
    <t>-663.76911283761 221.748415537928 -501.471102944287</t>
  </si>
  <si>
    <t>-689.109922581751 245.54267695191 -221.524252971763</t>
  </si>
  <si>
    <t>-466.982095171764 227.552097790231 -156.071202037838</t>
  </si>
  <si>
    <t>-669.453366898644 6.2266386140991 -530.932204920771</t>
  </si>
  <si>
    <t>-634.217836869386 133.394444643661 -97.2132863724452</t>
  </si>
  <si>
    <t>-645.144467667952 143.181472873813 318.102821736475</t>
  </si>
  <si>
    <t>-672.571782474204 176.054492911552 779.254891592898</t>
  </si>
  <si>
    <t>-521.176439774907 176.807853904449 833.685562947018</t>
  </si>
  <si>
    <t>-612.11483730716 -65.2927878128573 321.532843062259</t>
  </si>
  <si>
    <t>-652.863430336174 -102.691376057466 781.307380604186</t>
  </si>
  <si>
    <t>-498.750376593803 -114.844279776213 825.864131793979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</si>
</sst>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23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>
        <f>-666.237932845525 -14.8809747047771 -530.94860250139</f>
        <v>-1212.0675100516924</v>
      </c>
      <c r="O1">
        <f>-701.358207996449 -163.590707249004 -499.509347614599</f>
        <v>-1364.4582628600519</v>
      </c>
      <c r="P1">
        <f>-752.242613713967 -195.474673795486 -223.877705709362</f>
        <v>-1171.594993218815</v>
      </c>
      <c r="Q1">
        <f>-532.399115291175 -127.21524856108 -254.829406963295</f>
        <v>-914.44377081555001</v>
      </c>
      <c r="R1" t="s">
        <v>12</v>
      </c>
      <c r="S1" t="s">
        <v>13</v>
      </c>
      <c r="T1" t="s">
        <v>14</v>
      </c>
      <c r="U1" t="s">
        <v>15</v>
      </c>
      <c r="V1">
        <f>-626.632127784764 -66.9521582194768 -94.5456448793923</f>
        <v>-788.12993088363305</v>
      </c>
      <c r="W1" t="s">
        <v>16</v>
      </c>
      <c r="X1" t="s">
        <v>17</v>
      </c>
      <c r="Y1" t="s">
        <v>18</v>
      </c>
    </row>
    <row r="2" spans="1:25" x14ac:dyDescent="0.3">
      <c r="A2">
        <v>50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f>-665.931939631404 -14.9953853542049 -530.869630842181</f>
        <v>-1211.79695582779</v>
      </c>
      <c r="O2">
        <f>-701.272063212729 -163.550895720352 -498.94005561628</f>
        <v>-1363.7630145493611</v>
      </c>
      <c r="P2">
        <f>-752.025399264181 -194.914640426783 -223.22452737268</f>
        <v>-1170.164567063644</v>
      </c>
      <c r="Q2">
        <f>-531.963532514816 -127.389909752208 -254.236544152435</f>
        <v>-913.58998641945914</v>
      </c>
      <c r="R2" t="s">
        <v>31</v>
      </c>
      <c r="S2" t="s">
        <v>32</v>
      </c>
      <c r="T2" t="s">
        <v>33</v>
      </c>
      <c r="U2" t="s">
        <v>34</v>
      </c>
      <c r="V2">
        <f>-626.240082313987 -66.8752859818171 -94.5345850477019</f>
        <v>-787.64995334350601</v>
      </c>
      <c r="W2" t="s">
        <v>35</v>
      </c>
      <c r="X2" t="s">
        <v>36</v>
      </c>
      <c r="Y2" t="s">
        <v>37</v>
      </c>
    </row>
    <row r="3" spans="1:25" x14ac:dyDescent="0.3">
      <c r="A3">
        <v>100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L3" t="s">
        <v>48</v>
      </c>
      <c r="M3" t="s">
        <v>49</v>
      </c>
      <c r="N3">
        <f>-665.214577114546 -15.2164521811681 -530.729854124743</f>
        <v>-1211.1608834204571</v>
      </c>
      <c r="O3">
        <f>-701.099623052121 -163.439570711014 -497.86639590474</f>
        <v>-1362.4055896678751</v>
      </c>
      <c r="P3">
        <f>-751.686809480462 -192.939847917021 -221.914794605993</f>
        <v>-1166.541452003476</v>
      </c>
      <c r="Q3">
        <f>-531.2789734546 -126.747925633625 -253.339984550467</f>
        <v>-911.36688363869189</v>
      </c>
      <c r="R3" t="s">
        <v>50</v>
      </c>
      <c r="S3" t="s">
        <v>51</v>
      </c>
      <c r="T3" t="s">
        <v>52</v>
      </c>
      <c r="U3" t="s">
        <v>53</v>
      </c>
      <c r="V3">
        <f>-625.660583775213 -66.5605949889332 -94.5130330942083</f>
        <v>-786.73421185835446</v>
      </c>
      <c r="W3" t="s">
        <v>54</v>
      </c>
      <c r="X3" t="s">
        <v>55</v>
      </c>
      <c r="Y3" t="s">
        <v>56</v>
      </c>
    </row>
    <row r="4" spans="1:25" x14ac:dyDescent="0.3">
      <c r="A4">
        <v>150</v>
      </c>
      <c r="B4" t="s">
        <v>57</v>
      </c>
      <c r="C4" t="s">
        <v>58</v>
      </c>
      <c r="D4" t="s">
        <v>59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 t="s">
        <v>67</v>
      </c>
      <c r="M4" t="s">
        <v>68</v>
      </c>
      <c r="N4">
        <f>-664.852809886617 -15.4392575089219 -530.669123274262</f>
        <v>-1210.961190669801</v>
      </c>
      <c r="O4">
        <f>-701.063879397779 -163.502118366922 -497.442271510031</f>
        <v>-1362.0082692747319</v>
      </c>
      <c r="P4">
        <f>-751.727204639426 -192.127326235944 -221.412482445761</f>
        <v>-1165.2670133211309</v>
      </c>
      <c r="Q4">
        <f>-531.257255164791 -126.22238111517 -253.00511247672</f>
        <v>-910.48474875668103</v>
      </c>
      <c r="R4" t="s">
        <v>69</v>
      </c>
      <c r="S4" t="s">
        <v>70</v>
      </c>
      <c r="T4" t="s">
        <v>71</v>
      </c>
      <c r="U4" t="s">
        <v>72</v>
      </c>
      <c r="V4">
        <f>-625.41177199015 -66.3913712776307 -94.4933581301568</f>
        <v>-786.2965013979375</v>
      </c>
      <c r="W4" t="s">
        <v>73</v>
      </c>
      <c r="X4" t="s">
        <v>74</v>
      </c>
      <c r="Y4" t="s">
        <v>75</v>
      </c>
    </row>
    <row r="5" spans="1:25" x14ac:dyDescent="0.3">
      <c r="A5">
        <v>200</v>
      </c>
      <c r="B5" t="s">
        <v>76</v>
      </c>
      <c r="C5" t="s">
        <v>77</v>
      </c>
      <c r="D5" t="s">
        <v>78</v>
      </c>
      <c r="E5" t="s">
        <v>79</v>
      </c>
      <c r="F5" t="s">
        <v>80</v>
      </c>
      <c r="G5" t="s">
        <v>81</v>
      </c>
      <c r="H5" t="s">
        <v>82</v>
      </c>
      <c r="I5">
        <f>-648.132024461576 -0.44895834170029 -661.845146005265</f>
        <v>-1310.4261288085413</v>
      </c>
      <c r="J5" t="s">
        <v>83</v>
      </c>
      <c r="K5" t="s">
        <v>84</v>
      </c>
      <c r="L5" t="s">
        <v>85</v>
      </c>
      <c r="M5" t="s">
        <v>86</v>
      </c>
      <c r="N5">
        <f>-664.063662606925 -15.9057707768127 -530.537103672015</f>
        <v>-1210.5065370557527</v>
      </c>
      <c r="O5">
        <f>-700.854919982027 -163.666680936944 -496.621199455191</f>
        <v>-1361.1428003741621</v>
      </c>
      <c r="P5">
        <f>-751.654180483999 -191.039619836336 -220.48930744988</f>
        <v>-1163.183107770215</v>
      </c>
      <c r="Q5">
        <f>-531.190227164553 -125.30418492685 -252.474434246457</f>
        <v>-908.96884633785999</v>
      </c>
      <c r="R5" t="s">
        <v>87</v>
      </c>
      <c r="S5" t="s">
        <v>88</v>
      </c>
      <c r="T5" t="s">
        <v>89</v>
      </c>
      <c r="U5" t="s">
        <v>90</v>
      </c>
      <c r="V5">
        <f>-625.076658197676 -65.9853796385059 -94.443441919053</f>
        <v>-785.505479755235</v>
      </c>
      <c r="W5" t="s">
        <v>91</v>
      </c>
      <c r="X5" t="s">
        <v>92</v>
      </c>
      <c r="Y5" t="s">
        <v>93</v>
      </c>
    </row>
    <row r="6" spans="1:25" x14ac:dyDescent="0.3">
      <c r="A6">
        <v>250</v>
      </c>
      <c r="B6" t="s">
        <v>94</v>
      </c>
      <c r="C6" t="s">
        <v>95</v>
      </c>
      <c r="D6" t="s">
        <v>96</v>
      </c>
      <c r="E6" t="s">
        <v>97</v>
      </c>
      <c r="F6" t="s">
        <v>98</v>
      </c>
      <c r="G6" t="s">
        <v>99</v>
      </c>
      <c r="H6" t="s">
        <v>100</v>
      </c>
      <c r="I6">
        <f>-647.786879153837 -0.943364275313797 -661.781969039161</f>
        <v>-1310.5122124683119</v>
      </c>
      <c r="J6" t="s">
        <v>101</v>
      </c>
      <c r="K6" t="s">
        <v>102</v>
      </c>
      <c r="L6" t="s">
        <v>103</v>
      </c>
      <c r="M6" t="s">
        <v>104</v>
      </c>
      <c r="N6">
        <f>-663.773778431102 -16.2028523096837 -530.44272432548</f>
        <v>-1210.4193550662658</v>
      </c>
      <c r="O6">
        <f>-700.794812671901 -163.826676176429 -496.185284259214</f>
        <v>-1360.8067731075439</v>
      </c>
      <c r="P6">
        <f>-751.641083692682 -190.742229307473 -220.01734181289</f>
        <v>-1162.4006548130449</v>
      </c>
      <c r="Q6">
        <f>-531.221345018765 -124.965027370657 -252.220525358778</f>
        <v>-908.40689774819998</v>
      </c>
      <c r="R6" t="s">
        <v>105</v>
      </c>
      <c r="S6" t="s">
        <v>106</v>
      </c>
      <c r="T6" t="s">
        <v>107</v>
      </c>
      <c r="U6" t="s">
        <v>108</v>
      </c>
      <c r="V6">
        <f>-624.938543454079 -65.7869150349763 -94.4085779166105</f>
        <v>-785.13403640566582</v>
      </c>
      <c r="W6" t="s">
        <v>109</v>
      </c>
      <c r="X6" t="s">
        <v>110</v>
      </c>
      <c r="Y6" t="s">
        <v>111</v>
      </c>
    </row>
    <row r="7" spans="1:25" x14ac:dyDescent="0.3">
      <c r="A7">
        <v>300</v>
      </c>
      <c r="B7" t="s">
        <v>112</v>
      </c>
      <c r="C7" t="s">
        <v>113</v>
      </c>
      <c r="D7" t="s">
        <v>114</v>
      </c>
      <c r="E7" t="s">
        <v>115</v>
      </c>
      <c r="F7" t="s">
        <v>116</v>
      </c>
      <c r="G7" t="s">
        <v>117</v>
      </c>
      <c r="H7" t="s">
        <v>118</v>
      </c>
      <c r="I7">
        <f>-647.827788952461 -1.62108504211028 -661.667471775393</f>
        <v>-1311.1163457699643</v>
      </c>
      <c r="J7" t="s">
        <v>119</v>
      </c>
      <c r="K7" t="s">
        <v>120</v>
      </c>
      <c r="L7" t="s">
        <v>121</v>
      </c>
      <c r="M7" t="s">
        <v>122</v>
      </c>
      <c r="N7">
        <f>-663.80368382694 -16.6674979245245 -530.244865333458</f>
        <v>-1210.7160470849226</v>
      </c>
      <c r="O7">
        <f>-701.19759880802 -164.045604432049 -495.317683786816</f>
        <v>-1360.560887026885</v>
      </c>
      <c r="P7">
        <f>-751.808830287393 -189.928002161327 -219.007723661954</f>
        <v>-1160.744556110674</v>
      </c>
      <c r="Q7">
        <f>-531.391201128175 -124.359685827577 -251.648152114443</f>
        <v>-907.39903907019493</v>
      </c>
      <c r="R7" t="s">
        <v>123</v>
      </c>
      <c r="S7" t="s">
        <v>124</v>
      </c>
      <c r="T7" t="s">
        <v>125</v>
      </c>
      <c r="U7" t="s">
        <v>126</v>
      </c>
      <c r="V7">
        <f>-624.753272500528 -65.4151340207461 -94.3470314259234</f>
        <v>-784.5154379471976</v>
      </c>
      <c r="W7" t="s">
        <v>127</v>
      </c>
      <c r="X7" t="s">
        <v>128</v>
      </c>
      <c r="Y7" t="s">
        <v>129</v>
      </c>
    </row>
    <row r="8" spans="1:25" x14ac:dyDescent="0.3">
      <c r="A8">
        <v>350</v>
      </c>
      <c r="B8" t="s">
        <v>130</v>
      </c>
      <c r="C8" t="s">
        <v>131</v>
      </c>
      <c r="D8" t="s">
        <v>132</v>
      </c>
      <c r="E8" t="s">
        <v>133</v>
      </c>
      <c r="F8" t="s">
        <v>134</v>
      </c>
      <c r="G8" t="s">
        <v>135</v>
      </c>
      <c r="H8" t="s">
        <v>136</v>
      </c>
      <c r="I8">
        <f>-647.975936556236 -1.81091308123291 -661.619540488409</f>
        <v>-1311.4063901258778</v>
      </c>
      <c r="J8" t="s">
        <v>137</v>
      </c>
      <c r="K8" t="s">
        <v>138</v>
      </c>
      <c r="L8" t="s">
        <v>139</v>
      </c>
      <c r="M8" t="s">
        <v>140</v>
      </c>
      <c r="N8">
        <f>-663.983106502487 -16.8470509985423 -530.159437704854</f>
        <v>-1210.9895952058832</v>
      </c>
      <c r="O8">
        <f>-701.5434020141 -164.112006393037 -494.938657882496</f>
        <v>-1360.594066289633</v>
      </c>
      <c r="P8">
        <f>-751.866806842255 -189.345742162657 -218.516159149819</f>
        <v>-1159.7287081547308</v>
      </c>
      <c r="Q8">
        <f>-531.388518166031 -124.139344025503 -251.470230973536</f>
        <v>-906.99809316506992</v>
      </c>
      <c r="R8" t="s">
        <v>141</v>
      </c>
      <c r="S8" t="s">
        <v>142</v>
      </c>
      <c r="T8" t="s">
        <v>143</v>
      </c>
      <c r="U8" t="s">
        <v>144</v>
      </c>
      <c r="V8">
        <f>-624.708791712062 -65.2625921121319 -94.3179155830298</f>
        <v>-784.28929940722367</v>
      </c>
      <c r="W8" t="s">
        <v>145</v>
      </c>
      <c r="X8" t="s">
        <v>146</v>
      </c>
      <c r="Y8" t="s">
        <v>147</v>
      </c>
    </row>
    <row r="9" spans="1:25" x14ac:dyDescent="0.3">
      <c r="A9">
        <v>400</v>
      </c>
      <c r="B9" t="s">
        <v>148</v>
      </c>
      <c r="C9" t="s">
        <v>149</v>
      </c>
      <c r="D9" t="s">
        <v>150</v>
      </c>
      <c r="E9" t="s">
        <v>151</v>
      </c>
      <c r="F9" t="s">
        <v>152</v>
      </c>
      <c r="G9" t="s">
        <v>153</v>
      </c>
      <c r="H9" t="s">
        <v>154</v>
      </c>
      <c r="I9">
        <f>-648.421032343785 -2.00985387483752 -661.551724865629</f>
        <v>-1311.9826110842514</v>
      </c>
      <c r="J9" t="s">
        <v>155</v>
      </c>
      <c r="K9" t="s">
        <v>156</v>
      </c>
      <c r="L9" t="s">
        <v>157</v>
      </c>
      <c r="M9" t="s">
        <v>158</v>
      </c>
      <c r="N9">
        <f>-664.480651281028 -16.9830760106825 -530.052960413446</f>
        <v>-1211.5166877051565</v>
      </c>
      <c r="O9">
        <f>-702.168427560471 -164.096611461682 -494.356504427179</f>
        <v>-1360.621543449332</v>
      </c>
      <c r="P9">
        <f>-752.195972411404 -188.32565000025 -217.790363977006</f>
        <v>-1158.31198638866</v>
      </c>
      <c r="Q9">
        <f>-531.56070726278 -123.931928718019 -251.287472160441</f>
        <v>-906.78010814124002</v>
      </c>
      <c r="R9" t="s">
        <v>159</v>
      </c>
      <c r="S9" t="s">
        <v>160</v>
      </c>
      <c r="T9" t="s">
        <v>161</v>
      </c>
      <c r="U9" t="s">
        <v>162</v>
      </c>
      <c r="V9">
        <f>-624.621142309332 -64.8836240010871 -94.281112891761</f>
        <v>-783.78587920218013</v>
      </c>
      <c r="W9" t="s">
        <v>163</v>
      </c>
      <c r="X9" t="s">
        <v>164</v>
      </c>
      <c r="Y9" t="s">
        <v>165</v>
      </c>
    </row>
    <row r="10" spans="1:25" x14ac:dyDescent="0.3">
      <c r="A10">
        <v>450</v>
      </c>
      <c r="B10" t="s">
        <v>166</v>
      </c>
      <c r="C10" t="s">
        <v>167</v>
      </c>
      <c r="D10" t="s">
        <v>168</v>
      </c>
      <c r="E10" t="s">
        <v>169</v>
      </c>
      <c r="F10" t="s">
        <v>170</v>
      </c>
      <c r="G10" t="s">
        <v>171</v>
      </c>
      <c r="H10" t="s">
        <v>172</v>
      </c>
      <c r="I10">
        <f>-648.530847394571 -2.08275362528411 -661.536700062758</f>
        <v>-1312.1503010826132</v>
      </c>
      <c r="J10" t="s">
        <v>173</v>
      </c>
      <c r="K10" t="s">
        <v>174</v>
      </c>
      <c r="L10" t="s">
        <v>175</v>
      </c>
      <c r="M10" t="s">
        <v>176</v>
      </c>
      <c r="N10">
        <f>-664.64734695243 -16.9988726314673 -530.035631537857</f>
        <v>-1211.6818511217543</v>
      </c>
      <c r="O10">
        <f>-702.43825253192 -164.048428682113 -494.205422547252</f>
        <v>-1360.6921037612851</v>
      </c>
      <c r="P10">
        <f>-752.396118242009 -188.159831033486 -217.616486951099</f>
        <v>-1158.1724362265941</v>
      </c>
      <c r="Q10">
        <f>-531.683039303966 -124.098900170981 -251.238435108512</f>
        <v>-907.02037458345899</v>
      </c>
      <c r="R10" t="s">
        <v>177</v>
      </c>
      <c r="S10" t="s">
        <v>178</v>
      </c>
      <c r="T10" t="s">
        <v>179</v>
      </c>
      <c r="U10" t="s">
        <v>180</v>
      </c>
      <c r="V10">
        <f>-624.620169088841 -64.7988593329758 -94.2851710895183</f>
        <v>-783.70419951133499</v>
      </c>
      <c r="W10" t="s">
        <v>181</v>
      </c>
      <c r="X10" t="s">
        <v>182</v>
      </c>
      <c r="Y10" t="s">
        <v>183</v>
      </c>
    </row>
    <row r="11" spans="1:25" x14ac:dyDescent="0.3">
      <c r="A11">
        <v>500</v>
      </c>
      <c r="B11" t="s">
        <v>184</v>
      </c>
      <c r="C11" t="s">
        <v>185</v>
      </c>
      <c r="D11" t="s">
        <v>186</v>
      </c>
      <c r="E11" t="s">
        <v>187</v>
      </c>
      <c r="F11" t="s">
        <v>188</v>
      </c>
      <c r="G11" t="s">
        <v>189</v>
      </c>
      <c r="H11" t="s">
        <v>190</v>
      </c>
      <c r="I11">
        <f>-648.5515482537 -2.44689828392666 -661.527575873925</f>
        <v>-1312.5260224115518</v>
      </c>
      <c r="J11" t="s">
        <v>191</v>
      </c>
      <c r="K11" t="s">
        <v>192</v>
      </c>
      <c r="L11" t="s">
        <v>193</v>
      </c>
      <c r="M11" t="s">
        <v>194</v>
      </c>
      <c r="N11">
        <f>-664.813039670981 -17.2581172703899 -530.023513090394</f>
        <v>-1212.094670031765</v>
      </c>
      <c r="O11">
        <f>-702.821926140659 -164.231791962236 -494.109588159308</f>
        <v>-1361.1633062622029</v>
      </c>
      <c r="P11">
        <f>-752.849328253947 -188.477476954268 -217.544879037487</f>
        <v>-1158.871684245702</v>
      </c>
      <c r="Q11">
        <f>-532.065330549051 -124.658631885655 -251.162173612641</f>
        <v>-907.88613604734712</v>
      </c>
      <c r="R11" t="s">
        <v>195</v>
      </c>
      <c r="S11" t="s">
        <v>196</v>
      </c>
      <c r="T11" t="s">
        <v>197</v>
      </c>
      <c r="U11" t="s">
        <v>198</v>
      </c>
      <c r="V11">
        <f>-624.630828500859 -64.8996889994082 -94.3016417718471</f>
        <v>-783.83215927211438</v>
      </c>
      <c r="W11" t="s">
        <v>199</v>
      </c>
      <c r="X11" t="s">
        <v>200</v>
      </c>
      <c r="Y11" t="s">
        <v>201</v>
      </c>
    </row>
    <row r="12" spans="1:25" x14ac:dyDescent="0.3">
      <c r="A12">
        <v>550</v>
      </c>
      <c r="B12" t="s">
        <v>202</v>
      </c>
      <c r="C12" t="s">
        <v>203</v>
      </c>
      <c r="D12" t="s">
        <v>204</v>
      </c>
      <c r="E12" t="s">
        <v>205</v>
      </c>
      <c r="F12" t="s">
        <v>206</v>
      </c>
      <c r="G12" t="s">
        <v>207</v>
      </c>
      <c r="H12" t="s">
        <v>208</v>
      </c>
      <c r="I12">
        <f>-648.547747887349 -2.60159185900579 -661.545802684279</f>
        <v>-1312.695142430634</v>
      </c>
      <c r="J12" t="s">
        <v>209</v>
      </c>
      <c r="K12" t="s">
        <v>210</v>
      </c>
      <c r="L12" t="s">
        <v>211</v>
      </c>
      <c r="M12" t="s">
        <v>212</v>
      </c>
      <c r="N12">
        <f>-664.840884436106 -17.4573406470151 -530.030750027348</f>
        <v>-1212.3289751104689</v>
      </c>
      <c r="O12">
        <f>-702.965518362177 -164.401931260447 -494.108725534646</f>
        <v>-1361.4761751572701</v>
      </c>
      <c r="P12">
        <f>-753.054094775744 -188.680227905072 -217.558065889937</f>
        <v>-1159.292388570753</v>
      </c>
      <c r="Q12">
        <f>-532.237336840908 -124.933656230948 -251.097033618669</f>
        <v>-908.26802669052506</v>
      </c>
      <c r="R12" t="s">
        <v>213</v>
      </c>
      <c r="S12" t="s">
        <v>214</v>
      </c>
      <c r="T12" t="s">
        <v>215</v>
      </c>
      <c r="U12" t="s">
        <v>216</v>
      </c>
      <c r="V12">
        <f>-624.632389979875 -65.1262039490789 -94.3177446361602</f>
        <v>-784.07633856511416</v>
      </c>
      <c r="W12" t="s">
        <v>217</v>
      </c>
      <c r="X12" t="s">
        <v>218</v>
      </c>
      <c r="Y12" t="s">
        <v>219</v>
      </c>
    </row>
    <row r="13" spans="1:25" x14ac:dyDescent="0.3">
      <c r="A13">
        <v>600</v>
      </c>
      <c r="B13" t="s">
        <v>220</v>
      </c>
      <c r="C13" t="s">
        <v>221</v>
      </c>
      <c r="D13" t="s">
        <v>222</v>
      </c>
      <c r="E13" t="s">
        <v>223</v>
      </c>
      <c r="F13" t="s">
        <v>224</v>
      </c>
      <c r="G13" t="s">
        <v>225</v>
      </c>
      <c r="H13" t="s">
        <v>226</v>
      </c>
      <c r="I13">
        <f>-648.502657496331 -2.55856785094738 -661.63627681845</f>
        <v>-1312.6975021657286</v>
      </c>
      <c r="J13" t="s">
        <v>227</v>
      </c>
      <c r="K13" t="s">
        <v>228</v>
      </c>
      <c r="L13" t="s">
        <v>229</v>
      </c>
      <c r="M13" t="s">
        <v>230</v>
      </c>
      <c r="N13">
        <f>-664.829556814879 -17.6879939670073 -530.118861491726</f>
        <v>-1212.6364122736122</v>
      </c>
      <c r="O13">
        <f>-703.075245384853 -164.655597886571 -494.380937315988</f>
        <v>-1362.1117805874119</v>
      </c>
      <c r="P13">
        <f>-753.352365952029 -188.964742412825 -217.867288167274</f>
        <v>-1160.1843965321279</v>
      </c>
      <c r="Q13">
        <f>-532.534960520701 -125.006642152289 -250.997003909315</f>
        <v>-908.53860658230508</v>
      </c>
      <c r="R13" t="s">
        <v>231</v>
      </c>
      <c r="S13" t="s">
        <v>232</v>
      </c>
      <c r="T13" t="s">
        <v>233</v>
      </c>
      <c r="U13" t="s">
        <v>234</v>
      </c>
      <c r="V13">
        <f>-624.584132005773 -65.6048698257875 -94.3692638132194</f>
        <v>-784.55826564477991</v>
      </c>
      <c r="W13" t="s">
        <v>235</v>
      </c>
      <c r="X13" t="s">
        <v>236</v>
      </c>
      <c r="Y13" t="s">
        <v>237</v>
      </c>
    </row>
    <row r="14" spans="1:25" x14ac:dyDescent="0.3">
      <c r="A14">
        <v>650</v>
      </c>
      <c r="B14" t="s">
        <v>238</v>
      </c>
      <c r="C14" t="s">
        <v>239</v>
      </c>
      <c r="D14" t="s">
        <v>240</v>
      </c>
      <c r="E14" t="s">
        <v>241</v>
      </c>
      <c r="F14" t="s">
        <v>242</v>
      </c>
      <c r="G14" t="s">
        <v>243</v>
      </c>
      <c r="H14" t="s">
        <v>244</v>
      </c>
      <c r="I14">
        <f>-648.251150433177 -2.19634378231353 -661.697893003928</f>
        <v>-1312.1453872194186</v>
      </c>
      <c r="J14" t="s">
        <v>245</v>
      </c>
      <c r="K14" t="s">
        <v>246</v>
      </c>
      <c r="L14" t="s">
        <v>247</v>
      </c>
      <c r="M14" t="s">
        <v>248</v>
      </c>
      <c r="N14">
        <f>-664.654071791203 -17.562698839723 -530.216022538048</f>
        <v>-1212.4327931689741</v>
      </c>
      <c r="O14">
        <f>-702.919242929485 -164.589463212214 -494.73011016656</f>
        <v>-1362.2388163082589</v>
      </c>
      <c r="P14">
        <f>-753.269355641875 -189.099976453848 -218.247359520929</f>
        <v>-1160.6166916166519</v>
      </c>
      <c r="Q14">
        <f>-532.485239377588 -124.860215435962 -251.051799257675</f>
        <v>-908.39725407122501</v>
      </c>
      <c r="R14" t="s">
        <v>249</v>
      </c>
      <c r="S14" t="s">
        <v>250</v>
      </c>
      <c r="T14" t="s">
        <v>251</v>
      </c>
      <c r="U14" t="s">
        <v>252</v>
      </c>
      <c r="V14">
        <f>-624.57536439741 -65.8673831657261 -94.4064748664755</f>
        <v>-784.84922242961159</v>
      </c>
      <c r="W14" t="s">
        <v>253</v>
      </c>
      <c r="X14" t="s">
        <v>254</v>
      </c>
      <c r="Y14" t="s">
        <v>255</v>
      </c>
    </row>
    <row r="15" spans="1:25" x14ac:dyDescent="0.3">
      <c r="A15">
        <v>700</v>
      </c>
      <c r="B15" t="s">
        <v>256</v>
      </c>
      <c r="C15" t="s">
        <v>257</v>
      </c>
      <c r="D15" t="s">
        <v>258</v>
      </c>
      <c r="E15" t="s">
        <v>259</v>
      </c>
      <c r="F15" t="s">
        <v>260</v>
      </c>
      <c r="G15" t="s">
        <v>261</v>
      </c>
      <c r="H15" t="s">
        <v>262</v>
      </c>
      <c r="I15">
        <f>-647.748915802183 -1.31533977934578 -661.789609656388</f>
        <v>-1310.8538652379168</v>
      </c>
      <c r="J15" t="s">
        <v>263</v>
      </c>
      <c r="K15" t="s">
        <v>264</v>
      </c>
      <c r="L15" t="s">
        <v>265</v>
      </c>
      <c r="M15" t="s">
        <v>266</v>
      </c>
      <c r="N15">
        <f>-664.398668236797 -17.2363184228998 -530.411299128825</f>
        <v>-1212.0462857885218</v>
      </c>
      <c r="O15">
        <f>-702.555141444008 -164.444700411231 -495.605178119941</f>
        <v>-1362.6050199751799</v>
      </c>
      <c r="P15">
        <f>-752.77208586085 -190.124855789285 -219.20458040651</f>
        <v>-1162.1015220566451</v>
      </c>
      <c r="Q15">
        <f>-532.264691852822 -124.630426227041 -251.383763858472</f>
        <v>-908.27888193833496</v>
      </c>
      <c r="R15" t="s">
        <v>267</v>
      </c>
      <c r="S15" t="s">
        <v>268</v>
      </c>
      <c r="T15" t="s">
        <v>269</v>
      </c>
      <c r="U15" t="s">
        <v>270</v>
      </c>
      <c r="V15">
        <f>-624.501670429844 -66.528940405459 -94.4736615912009</f>
        <v>-785.50427242650392</v>
      </c>
      <c r="W15" t="s">
        <v>271</v>
      </c>
      <c r="X15" t="s">
        <v>272</v>
      </c>
      <c r="Y15" t="s">
        <v>273</v>
      </c>
    </row>
    <row r="16" spans="1:25" x14ac:dyDescent="0.3">
      <c r="A16">
        <v>750</v>
      </c>
      <c r="B16" t="s">
        <v>274</v>
      </c>
      <c r="C16" t="s">
        <v>275</v>
      </c>
      <c r="D16" t="s">
        <v>276</v>
      </c>
      <c r="E16" t="s">
        <v>277</v>
      </c>
      <c r="F16" t="s">
        <v>278</v>
      </c>
      <c r="G16" t="s">
        <v>279</v>
      </c>
      <c r="H16" t="s">
        <v>280</v>
      </c>
      <c r="I16">
        <f>-647.515756794979 -0.757931311575703 -661.76970060454</f>
        <v>-1310.0433887110948</v>
      </c>
      <c r="J16" t="s">
        <v>281</v>
      </c>
      <c r="K16" t="s">
        <v>282</v>
      </c>
      <c r="L16" t="s">
        <v>283</v>
      </c>
      <c r="M16" t="s">
        <v>284</v>
      </c>
      <c r="N16">
        <f>-664.426235667955 -16.9863331554627 -530.472886241571</f>
        <v>-1211.8854550649887</v>
      </c>
      <c r="O16">
        <f>-702.542125007773 -164.280960060705 -495.975684961686</f>
        <v>-1362.7987700301642</v>
      </c>
      <c r="P16">
        <f>-752.509950126622 -190.746833145052 -219.603953324997</f>
        <v>-1162.8607365966711</v>
      </c>
      <c r="Q16">
        <f>-532.169655555719 -124.608948822851 -251.611689218444</f>
        <v>-908.39029359701397</v>
      </c>
      <c r="R16" t="s">
        <v>285</v>
      </c>
      <c r="S16" t="s">
        <v>286</v>
      </c>
      <c r="T16" t="s">
        <v>287</v>
      </c>
      <c r="U16" t="s">
        <v>288</v>
      </c>
      <c r="V16">
        <f>-624.346868964522 -66.8723245529745 -94.4951242054323</f>
        <v>-785.71431772292874</v>
      </c>
      <c r="W16" t="s">
        <v>289</v>
      </c>
      <c r="X16" t="s">
        <v>290</v>
      </c>
      <c r="Y16" t="s">
        <v>291</v>
      </c>
    </row>
    <row r="17" spans="1:25" x14ac:dyDescent="0.3">
      <c r="A17">
        <v>800</v>
      </c>
      <c r="B17" t="s">
        <v>292</v>
      </c>
      <c r="C17" t="s">
        <v>293</v>
      </c>
      <c r="D17" t="s">
        <v>294</v>
      </c>
      <c r="E17" t="s">
        <v>295</v>
      </c>
      <c r="F17" t="s">
        <v>296</v>
      </c>
      <c r="G17" t="s">
        <v>297</v>
      </c>
      <c r="H17" t="s">
        <v>298</v>
      </c>
      <c r="I17" t="s">
        <v>299</v>
      </c>
      <c r="J17" t="s">
        <v>300</v>
      </c>
      <c r="K17" t="s">
        <v>301</v>
      </c>
      <c r="L17" t="s">
        <v>302</v>
      </c>
      <c r="M17" t="s">
        <v>303</v>
      </c>
      <c r="N17">
        <f>-665.131162247736 -16.2730024458883 -530.519305864786</f>
        <v>-1211.9234705584104</v>
      </c>
      <c r="O17">
        <f>-703.005313054675 -163.732865768853 -496.478588030889</f>
        <v>-1363.2167668544171</v>
      </c>
      <c r="P17">
        <f>-752.072255332851 -190.993279365905 -220.022660233404</f>
        <v>-1163.0881949321599</v>
      </c>
      <c r="Q17">
        <f>-531.89911871203 -124.370867778338 -252.174937027211</f>
        <v>-908.44492351757913</v>
      </c>
      <c r="R17" t="s">
        <v>304</v>
      </c>
      <c r="S17" t="s">
        <v>305</v>
      </c>
      <c r="T17" t="s">
        <v>306</v>
      </c>
      <c r="U17" t="s">
        <v>307</v>
      </c>
      <c r="V17">
        <f>-623.910336387206 -67.4863743492845 -94.5045510125058</f>
        <v>-785.90126174899626</v>
      </c>
      <c r="W17" t="s">
        <v>308</v>
      </c>
      <c r="X17" t="s">
        <v>309</v>
      </c>
      <c r="Y17" t="s">
        <v>310</v>
      </c>
    </row>
    <row r="18" spans="1:25" x14ac:dyDescent="0.3">
      <c r="A18">
        <v>850</v>
      </c>
      <c r="B18" t="s">
        <v>311</v>
      </c>
      <c r="C18" t="s">
        <v>312</v>
      </c>
      <c r="D18" t="s">
        <v>313</v>
      </c>
      <c r="E18" t="s">
        <v>314</v>
      </c>
      <c r="F18" t="s">
        <v>315</v>
      </c>
      <c r="G18" t="s">
        <v>316</v>
      </c>
      <c r="H18" t="s">
        <v>317</v>
      </c>
      <c r="I18" t="s">
        <v>318</v>
      </c>
      <c r="J18" t="s">
        <v>319</v>
      </c>
      <c r="K18" t="s">
        <v>320</v>
      </c>
      <c r="L18" t="s">
        <v>321</v>
      </c>
      <c r="M18" t="s">
        <v>322</v>
      </c>
      <c r="N18">
        <f>-665.78102351218 -15.8994060620885 -530.478716377552</f>
        <v>-1212.1591459518204</v>
      </c>
      <c r="O18">
        <f>-703.387420328004 -163.476833896848 -496.675773456375</f>
        <v>-1363.540027681227</v>
      </c>
      <c r="P18">
        <f>-751.844978734441 -191.033270264073 -220.141665697596</f>
        <v>-1163.0199146961099</v>
      </c>
      <c r="Q18">
        <f>-531.776719707258 -124.145001474566 -252.460001997353</f>
        <v>-908.38172317917702</v>
      </c>
      <c r="R18" t="s">
        <v>323</v>
      </c>
      <c r="S18" t="s">
        <v>324</v>
      </c>
      <c r="T18" t="s">
        <v>325</v>
      </c>
      <c r="U18" t="s">
        <v>326</v>
      </c>
      <c r="V18">
        <f>-623.559108822864 -67.723335061869 -94.5046245294272</f>
        <v>-785.78706841416022</v>
      </c>
      <c r="W18" t="s">
        <v>327</v>
      </c>
      <c r="X18" t="s">
        <v>328</v>
      </c>
      <c r="Y18" t="s">
        <v>329</v>
      </c>
    </row>
    <row r="19" spans="1:25" x14ac:dyDescent="0.3">
      <c r="A19">
        <v>900</v>
      </c>
      <c r="B19" t="s">
        <v>330</v>
      </c>
      <c r="C19" t="s">
        <v>331</v>
      </c>
      <c r="D19" t="s">
        <v>332</v>
      </c>
      <c r="E19" t="s">
        <v>333</v>
      </c>
      <c r="F19" t="s">
        <v>334</v>
      </c>
      <c r="G19" t="s">
        <v>335</v>
      </c>
      <c r="H19" t="s">
        <v>336</v>
      </c>
      <c r="I19" t="s">
        <v>337</v>
      </c>
      <c r="J19" t="s">
        <v>338</v>
      </c>
      <c r="K19" t="s">
        <v>339</v>
      </c>
      <c r="L19" t="s">
        <v>340</v>
      </c>
      <c r="M19" t="s">
        <v>341</v>
      </c>
      <c r="N19">
        <f>-667.152704297615 -15.2098566524937 -530.255917635707</f>
        <v>-1212.6184785858156</v>
      </c>
      <c r="O19">
        <f>-703.502116374483 -163.296672183414 -497.306496435998</f>
        <v>-1364.1052849938949</v>
      </c>
      <c r="P19">
        <f>-750.839767367934 -191.089120060172 -220.602083463634</f>
        <v>-1162.53097089174</v>
      </c>
      <c r="Q19">
        <f>-531.214293916441 -122.827476616208 -253.060167276595</f>
        <v>-907.10193780924396</v>
      </c>
      <c r="R19" t="s">
        <v>342</v>
      </c>
      <c r="S19" t="s">
        <v>343</v>
      </c>
      <c r="T19" t="s">
        <v>344</v>
      </c>
      <c r="U19" t="s">
        <v>345</v>
      </c>
      <c r="V19">
        <f>-622.636810290495 -68.1267168333195 -94.5073333201027</f>
        <v>-785.27086044391717</v>
      </c>
      <c r="W19" t="s">
        <v>346</v>
      </c>
      <c r="X19" t="s">
        <v>347</v>
      </c>
      <c r="Y19" t="s">
        <v>348</v>
      </c>
    </row>
    <row r="20" spans="1:25" x14ac:dyDescent="0.3">
      <c r="A20">
        <v>950</v>
      </c>
      <c r="B20" t="s">
        <v>349</v>
      </c>
      <c r="C20" t="s">
        <v>350</v>
      </c>
      <c r="D20" t="s">
        <v>351</v>
      </c>
      <c r="E20" t="s">
        <v>352</v>
      </c>
      <c r="F20" t="s">
        <v>353</v>
      </c>
      <c r="G20" t="s">
        <v>354</v>
      </c>
      <c r="H20" t="s">
        <v>355</v>
      </c>
      <c r="I20" t="s">
        <v>356</v>
      </c>
      <c r="J20" t="s">
        <v>357</v>
      </c>
      <c r="K20" t="s">
        <v>358</v>
      </c>
      <c r="L20" t="s">
        <v>359</v>
      </c>
      <c r="M20" t="s">
        <v>360</v>
      </c>
      <c r="N20">
        <f>-667.274769498156 -15.0461164708304 -530.186250735817</f>
        <v>-1212.5071367048035</v>
      </c>
      <c r="O20">
        <f>-702.662289123059 -163.570273319102 -498.178199747313</f>
        <v>-1364.4107621894741</v>
      </c>
      <c r="P20">
        <f>-749.454161349424 -192.14805507391 -221.460979064955</f>
        <v>-1163.063195488289</v>
      </c>
      <c r="Q20">
        <f>-530.213862327584 -122.491348803854 -253.557111280487</f>
        <v>-906.26232241192497</v>
      </c>
      <c r="R20" t="s">
        <v>361</v>
      </c>
      <c r="S20" t="s">
        <v>362</v>
      </c>
      <c r="T20" t="s">
        <v>363</v>
      </c>
      <c r="U20" t="s">
        <v>364</v>
      </c>
      <c r="V20">
        <f>-622.24500008286 -68.3054950693288 -94.4893522795162</f>
        <v>-785.03984743170497</v>
      </c>
      <c r="W20" t="s">
        <v>365</v>
      </c>
      <c r="X20" t="s">
        <v>366</v>
      </c>
      <c r="Y20" t="s">
        <v>367</v>
      </c>
    </row>
    <row r="21" spans="1:25" x14ac:dyDescent="0.3">
      <c r="A21">
        <v>1000</v>
      </c>
      <c r="B21" t="s">
        <v>368</v>
      </c>
      <c r="C21" t="s">
        <v>369</v>
      </c>
      <c r="D21" t="s">
        <v>370</v>
      </c>
      <c r="E21" t="s">
        <v>371</v>
      </c>
      <c r="F21" t="s">
        <v>372</v>
      </c>
      <c r="G21" t="s">
        <v>373</v>
      </c>
      <c r="H21" t="s">
        <v>374</v>
      </c>
      <c r="I21" t="s">
        <v>375</v>
      </c>
      <c r="J21" t="s">
        <v>376</v>
      </c>
      <c r="K21" t="s">
        <v>377</v>
      </c>
      <c r="L21" t="s">
        <v>378</v>
      </c>
      <c r="M21" t="s">
        <v>379</v>
      </c>
      <c r="N21">
        <f>-669.133018984586 -14.7064637000924 -530.011217024782</f>
        <v>-1213.8506997094605</v>
      </c>
      <c r="O21">
        <f>-703.142792128601 -163.955823337048 -499.923746641264</f>
        <v>-1367.0223621069129</v>
      </c>
      <c r="P21">
        <f>-748.906738370922 -196.670448654272 -223.492847778459</f>
        <v>-1169.070034803653</v>
      </c>
      <c r="Q21">
        <f>-531.059960920285 -122.443774520492 -254.825294351065</f>
        <v>-908.329029791842</v>
      </c>
      <c r="R21" t="s">
        <v>380</v>
      </c>
      <c r="S21" t="s">
        <v>381</v>
      </c>
      <c r="T21" t="s">
        <v>382</v>
      </c>
      <c r="U21" t="s">
        <v>383</v>
      </c>
      <c r="V21">
        <f>-621.901799695903 -68.6104456089388 -94.3555909642888</f>
        <v>-784.86783626913063</v>
      </c>
      <c r="W21" t="s">
        <v>384</v>
      </c>
      <c r="X21" t="s">
        <v>385</v>
      </c>
      <c r="Y21" t="s">
        <v>386</v>
      </c>
    </row>
    <row r="22" spans="1:25" x14ac:dyDescent="0.3">
      <c r="A22">
        <v>1050</v>
      </c>
      <c r="B22" t="s">
        <v>387</v>
      </c>
      <c r="C22" t="s">
        <v>388</v>
      </c>
      <c r="D22" t="s">
        <v>389</v>
      </c>
      <c r="E22" t="s">
        <v>390</v>
      </c>
      <c r="F22" t="s">
        <v>391</v>
      </c>
      <c r="G22" t="s">
        <v>392</v>
      </c>
      <c r="H22" t="s">
        <v>393</v>
      </c>
      <c r="I22" t="s">
        <v>394</v>
      </c>
      <c r="J22" t="s">
        <v>395</v>
      </c>
      <c r="K22" t="s">
        <v>396</v>
      </c>
      <c r="L22" t="s">
        <v>397</v>
      </c>
      <c r="M22" t="s">
        <v>398</v>
      </c>
      <c r="N22">
        <f>-670.457784258048 -14.5260900594831 -529.857167458232</f>
        <v>-1214.8410417757632</v>
      </c>
      <c r="O22">
        <f>-703.88523810211 -164.045493082688 -500.453249512539</f>
        <v>-1368.3839806973369</v>
      </c>
      <c r="P22">
        <f>-749.054249191559 -198.826849593261 -224.176934879538</f>
        <v>-1172.0580336643582</v>
      </c>
      <c r="Q22">
        <f>-531.903383583004 -122.473969851902 -255.229806502355</f>
        <v>-909.60715993726103</v>
      </c>
      <c r="R22" t="s">
        <v>399</v>
      </c>
      <c r="S22" t="s">
        <v>400</v>
      </c>
      <c r="T22" t="s">
        <v>401</v>
      </c>
      <c r="U22" t="s">
        <v>402</v>
      </c>
      <c r="V22">
        <f>-621.575602575632 -68.6572459029207 -94.2812361489365</f>
        <v>-784.5140846274893</v>
      </c>
      <c r="W22" t="s">
        <v>403</v>
      </c>
      <c r="X22" t="s">
        <v>404</v>
      </c>
      <c r="Y22" t="s">
        <v>405</v>
      </c>
    </row>
    <row r="23" spans="1:25" x14ac:dyDescent="0.3">
      <c r="A23">
        <v>1100</v>
      </c>
      <c r="B23" t="s">
        <v>406</v>
      </c>
      <c r="C23" t="s">
        <v>407</v>
      </c>
      <c r="D23" t="s">
        <v>408</v>
      </c>
      <c r="E23" t="s">
        <v>409</v>
      </c>
      <c r="F23" t="s">
        <v>410</v>
      </c>
      <c r="G23" t="s">
        <v>411</v>
      </c>
      <c r="H23" t="s">
        <v>412</v>
      </c>
      <c r="I23" t="s">
        <v>413</v>
      </c>
      <c r="J23" t="s">
        <v>414</v>
      </c>
      <c r="K23" t="s">
        <v>415</v>
      </c>
      <c r="L23" t="s">
        <v>416</v>
      </c>
      <c r="M23" t="s">
        <v>417</v>
      </c>
      <c r="N23">
        <f>-673.869965798059 -14.2925733499428 -529.556945227948</f>
        <v>-1217.7194843759498</v>
      </c>
      <c r="O23">
        <f>-706.261849826471 -164.146180099564 -500.754694548631</f>
        <v>-1371.162724474666</v>
      </c>
      <c r="P23">
        <f>-749.634458701105 -201.949515432474 -224.587481571765</f>
        <v>-1176.171455705344</v>
      </c>
      <c r="Q23">
        <f>-533.447800320377 -122.923830191443 -255.68095188736</f>
        <v>-912.0525823991801</v>
      </c>
      <c r="R23" t="s">
        <v>418</v>
      </c>
      <c r="S23" t="s">
        <v>419</v>
      </c>
      <c r="T23" t="s">
        <v>420</v>
      </c>
      <c r="U23" t="s">
        <v>421</v>
      </c>
      <c r="V23">
        <f>-621.000415753912 -68.812178174765 -94.2040837766044</f>
        <v>-784.01667770528138</v>
      </c>
      <c r="W23" t="s">
        <v>422</v>
      </c>
      <c r="X23" t="s">
        <v>423</v>
      </c>
      <c r="Y23" t="s">
        <v>424</v>
      </c>
    </row>
    <row r="24" spans="1:25" x14ac:dyDescent="0.3">
      <c r="A24">
        <v>1150</v>
      </c>
      <c r="B24" t="s">
        <v>425</v>
      </c>
      <c r="C24" t="s">
        <v>426</v>
      </c>
      <c r="D24" t="s">
        <v>427</v>
      </c>
      <c r="E24" t="s">
        <v>428</v>
      </c>
      <c r="F24" t="s">
        <v>429</v>
      </c>
      <c r="G24" t="s">
        <v>430</v>
      </c>
      <c r="H24" t="s">
        <v>431</v>
      </c>
      <c r="I24" t="s">
        <v>432</v>
      </c>
      <c r="J24" t="s">
        <v>433</v>
      </c>
      <c r="K24" t="s">
        <v>434</v>
      </c>
      <c r="L24" t="s">
        <v>435</v>
      </c>
      <c r="M24" t="s">
        <v>436</v>
      </c>
      <c r="N24">
        <f>-675.163266781025 -14.4380154723003 -529.43098503183</f>
        <v>-1219.0322672851553</v>
      </c>
      <c r="O24">
        <f>-707.0247023155 -164.401747790841 -500.587522527953</f>
        <v>-1372.0139726342941</v>
      </c>
      <c r="P24">
        <f>-749.329157711732 -202.712002268415 -224.324421299752</f>
        <v>-1176.3655812798991</v>
      </c>
      <c r="Q24">
        <f>-533.522290214412 -122.758839591018 -255.68445389001</f>
        <v>-911.96558369544005</v>
      </c>
      <c r="R24" t="s">
        <v>437</v>
      </c>
      <c r="S24" t="s">
        <v>438</v>
      </c>
      <c r="T24" t="s">
        <v>439</v>
      </c>
      <c r="U24" t="s">
        <v>440</v>
      </c>
      <c r="V24">
        <f>-620.859781534772 -68.9430313759253 -94.2140506976859</f>
        <v>-784.01686360838323</v>
      </c>
      <c r="W24" t="s">
        <v>441</v>
      </c>
      <c r="X24" t="s">
        <v>442</v>
      </c>
      <c r="Y24" t="s">
        <v>443</v>
      </c>
    </row>
    <row r="25" spans="1:25" x14ac:dyDescent="0.3">
      <c r="A25">
        <v>1200</v>
      </c>
      <c r="B25" t="s">
        <v>444</v>
      </c>
      <c r="C25" t="s">
        <v>445</v>
      </c>
      <c r="D25" t="s">
        <v>446</v>
      </c>
      <c r="E25" t="s">
        <v>447</v>
      </c>
      <c r="F25" t="s">
        <v>448</v>
      </c>
      <c r="G25" t="s">
        <v>449</v>
      </c>
      <c r="H25" t="s">
        <v>450</v>
      </c>
      <c r="I25" t="s">
        <v>451</v>
      </c>
      <c r="J25" t="s">
        <v>452</v>
      </c>
      <c r="K25" t="s">
        <v>453</v>
      </c>
      <c r="L25" t="s">
        <v>454</v>
      </c>
      <c r="M25" t="s">
        <v>455</v>
      </c>
      <c r="N25">
        <f>-676.436842195961 -14.872141416796 -529.287670382899</f>
        <v>-1220.5966539956562</v>
      </c>
      <c r="O25">
        <f>-707.333921829077 -164.984704315834 -500.082436604196</f>
        <v>-1372.401062749107</v>
      </c>
      <c r="P25">
        <f>-747.477387947699 -202.957550063606 -223.450645755234</f>
        <v>-1173.885583766539</v>
      </c>
      <c r="Q25">
        <f>-532.330676010277 -121.516645406527 -255.509854963448</f>
        <v>-909.35717638025199</v>
      </c>
      <c r="R25" t="s">
        <v>456</v>
      </c>
      <c r="S25" t="s">
        <v>457</v>
      </c>
      <c r="T25" t="s">
        <v>458</v>
      </c>
      <c r="U25" t="s">
        <v>459</v>
      </c>
      <c r="V25">
        <f>-620.417538775334 -69.5992950717819 -94.2684644328888</f>
        <v>-784.28529828000467</v>
      </c>
      <c r="W25" t="s">
        <v>460</v>
      </c>
      <c r="X25" t="s">
        <v>461</v>
      </c>
      <c r="Y25" t="s">
        <v>462</v>
      </c>
    </row>
    <row r="26" spans="1:25" x14ac:dyDescent="0.3">
      <c r="A26">
        <v>1250</v>
      </c>
      <c r="B26" t="s">
        <v>463</v>
      </c>
      <c r="C26" t="s">
        <v>464</v>
      </c>
      <c r="D26" t="s">
        <v>465</v>
      </c>
      <c r="E26" t="s">
        <v>466</v>
      </c>
      <c r="F26" t="s">
        <v>467</v>
      </c>
      <c r="G26" t="s">
        <v>468</v>
      </c>
      <c r="H26" t="s">
        <v>469</v>
      </c>
      <c r="I26" t="s">
        <v>470</v>
      </c>
      <c r="J26" t="s">
        <v>471</v>
      </c>
      <c r="K26" t="s">
        <v>472</v>
      </c>
      <c r="L26" t="s">
        <v>473</v>
      </c>
      <c r="M26" t="s">
        <v>474</v>
      </c>
      <c r="N26">
        <f>-676.558939771617 -14.8332538129107 -529.344588634611</f>
        <v>-1220.7367822191386</v>
      </c>
      <c r="O26">
        <f>-706.935000602067 -165.060680708041 -500.230386597714</f>
        <v>-1372.226067907822</v>
      </c>
      <c r="P26">
        <f>-746.150125802482 -202.961053509374 -223.455396462238</f>
        <v>-1172.566575774094</v>
      </c>
      <c r="Q26">
        <f>-531.308519678026 -120.715741644204 -255.507576139472</f>
        <v>-907.53183746170191</v>
      </c>
      <c r="R26" t="s">
        <v>475</v>
      </c>
      <c r="S26" t="s">
        <v>476</v>
      </c>
      <c r="T26" t="s">
        <v>477</v>
      </c>
      <c r="U26" t="s">
        <v>478</v>
      </c>
      <c r="V26">
        <f>-619.988668212633 -69.9431691392219 -94.3113433128273</f>
        <v>-784.2431806646822</v>
      </c>
      <c r="W26" t="s">
        <v>479</v>
      </c>
      <c r="X26" t="s">
        <v>480</v>
      </c>
      <c r="Y26" t="s">
        <v>481</v>
      </c>
    </row>
    <row r="27" spans="1:25" x14ac:dyDescent="0.3">
      <c r="A27">
        <v>1300</v>
      </c>
      <c r="B27" t="s">
        <v>482</v>
      </c>
      <c r="C27" t="s">
        <v>483</v>
      </c>
      <c r="D27" t="s">
        <v>484</v>
      </c>
      <c r="E27" t="s">
        <v>485</v>
      </c>
      <c r="F27" t="s">
        <v>486</v>
      </c>
      <c r="G27" t="s">
        <v>487</v>
      </c>
      <c r="H27" t="s">
        <v>488</v>
      </c>
      <c r="I27" t="s">
        <v>489</v>
      </c>
      <c r="J27" t="s">
        <v>490</v>
      </c>
      <c r="K27" t="s">
        <v>491</v>
      </c>
      <c r="L27" t="s">
        <v>492</v>
      </c>
      <c r="M27" t="s">
        <v>493</v>
      </c>
      <c r="N27">
        <f>-676.986391943934 -14.5963386431517 -529.274711982392</f>
        <v>-1220.8574425694778</v>
      </c>
      <c r="O27">
        <f>-706.34999235952 -165.064933489992 -500.409926465472</f>
        <v>-1371.8248523149839</v>
      </c>
      <c r="P27">
        <f>-743.757433716659 -204.236886517109 -223.561983408141</f>
        <v>-1171.5563036419089</v>
      </c>
      <c r="Q27">
        <f>-530.021209492346 -119.190484201789 -255.694013373265</f>
        <v>-904.90570706739993</v>
      </c>
      <c r="R27" t="s">
        <v>494</v>
      </c>
      <c r="S27" t="s">
        <v>495</v>
      </c>
      <c r="T27" t="s">
        <v>496</v>
      </c>
      <c r="U27" t="s">
        <v>497</v>
      </c>
      <c r="V27">
        <f>-618.634441216592 -70.3800747497762 -94.3195293199166</f>
        <v>-783.33404528628478</v>
      </c>
      <c r="W27" t="s">
        <v>498</v>
      </c>
      <c r="X27" t="s">
        <v>499</v>
      </c>
      <c r="Y27" t="s">
        <v>500</v>
      </c>
    </row>
    <row r="28" spans="1:25" x14ac:dyDescent="0.3">
      <c r="A28">
        <v>1350</v>
      </c>
      <c r="B28" t="s">
        <v>501</v>
      </c>
      <c r="C28" t="s">
        <v>502</v>
      </c>
      <c r="D28" t="s">
        <v>503</v>
      </c>
      <c r="E28" t="s">
        <v>504</v>
      </c>
      <c r="F28" t="s">
        <v>505</v>
      </c>
      <c r="G28" t="s">
        <v>506</v>
      </c>
      <c r="H28" t="s">
        <v>507</v>
      </c>
      <c r="I28" t="s">
        <v>508</v>
      </c>
      <c r="J28" t="s">
        <v>509</v>
      </c>
      <c r="K28" t="s">
        <v>510</v>
      </c>
      <c r="L28" t="s">
        <v>511</v>
      </c>
      <c r="M28" t="s">
        <v>512</v>
      </c>
      <c r="N28">
        <f>-677.194698074064 -14.4293405522762 -529.202233324653</f>
        <v>-1220.8262719509933</v>
      </c>
      <c r="O28">
        <f>-706.021282860289 -164.997460189277 -500.261536069771</f>
        <v>-1371.2802791193371</v>
      </c>
      <c r="P28">
        <f>-742.889673166485 -204.720635313934 -223.419705331703</f>
        <v>-1171.030013812122</v>
      </c>
      <c r="Q28">
        <f>-529.897554288842 -117.942811937056 -255.861970087147</f>
        <v>-903.70233631304507</v>
      </c>
      <c r="R28" t="s">
        <v>513</v>
      </c>
      <c r="S28" t="s">
        <v>514</v>
      </c>
      <c r="T28" t="s">
        <v>515</v>
      </c>
      <c r="U28" t="s">
        <v>516</v>
      </c>
      <c r="V28">
        <f>-617.998006590656 -70.4675956787005 -94.2963792134792</f>
        <v>-782.76198148283572</v>
      </c>
      <c r="W28" t="s">
        <v>517</v>
      </c>
      <c r="X28" t="s">
        <v>518</v>
      </c>
      <c r="Y28" t="s">
        <v>519</v>
      </c>
    </row>
    <row r="29" spans="1:25" x14ac:dyDescent="0.3">
      <c r="A29">
        <v>1400</v>
      </c>
      <c r="B29" t="s">
        <v>520</v>
      </c>
      <c r="C29" t="s">
        <v>521</v>
      </c>
      <c r="D29" t="s">
        <v>522</v>
      </c>
      <c r="E29" t="s">
        <v>523</v>
      </c>
      <c r="F29" t="s">
        <v>524</v>
      </c>
      <c r="G29" t="s">
        <v>525</v>
      </c>
      <c r="H29" t="s">
        <v>526</v>
      </c>
      <c r="I29" t="s">
        <v>527</v>
      </c>
      <c r="J29" t="s">
        <v>528</v>
      </c>
      <c r="K29" t="s">
        <v>529</v>
      </c>
      <c r="L29" t="s">
        <v>530</v>
      </c>
      <c r="M29" t="s">
        <v>531</v>
      </c>
      <c r="N29">
        <f>-677.076433178358 -14.1566737042974 -529.1097791129</f>
        <v>-1220.3428859955554</v>
      </c>
      <c r="O29">
        <f>-705.112667038502 -164.817673778707 -499.905595001587</f>
        <v>-1369.8359358187959</v>
      </c>
      <c r="P29">
        <f>-740.869336895171 -204.51538937028 -222.914339982146</f>
        <v>-1168.299066247597</v>
      </c>
      <c r="Q29">
        <f>-529.054901762461 -114.957330952828 -255.510882348106</f>
        <v>-899.52311506339493</v>
      </c>
      <c r="R29" t="s">
        <v>532</v>
      </c>
      <c r="S29" t="s">
        <v>533</v>
      </c>
      <c r="T29" t="s">
        <v>534</v>
      </c>
      <c r="U29" t="s">
        <v>535</v>
      </c>
      <c r="V29">
        <f>-616.760015601355 -70.3109588576399 -94.2435173482095</f>
        <v>-781.31449180720438</v>
      </c>
      <c r="W29" t="s">
        <v>536</v>
      </c>
      <c r="X29" t="s">
        <v>537</v>
      </c>
      <c r="Y29" t="s">
        <v>538</v>
      </c>
    </row>
    <row r="30" spans="1:25" x14ac:dyDescent="0.3">
      <c r="A30">
        <v>1450</v>
      </c>
      <c r="B30" t="s">
        <v>539</v>
      </c>
      <c r="C30" t="s">
        <v>540</v>
      </c>
      <c r="D30" t="s">
        <v>541</v>
      </c>
      <c r="E30" t="s">
        <v>542</v>
      </c>
      <c r="F30" t="s">
        <v>543</v>
      </c>
      <c r="G30" t="s">
        <v>544</v>
      </c>
      <c r="H30" t="s">
        <v>545</v>
      </c>
      <c r="I30" t="s">
        <v>546</v>
      </c>
      <c r="J30" t="s">
        <v>547</v>
      </c>
      <c r="K30" t="s">
        <v>548</v>
      </c>
      <c r="L30" t="s">
        <v>549</v>
      </c>
      <c r="M30" t="s">
        <v>550</v>
      </c>
      <c r="N30">
        <f>-676.11164075908 -14.402575015813 -529.137732719493</f>
        <v>-1219.651948494386</v>
      </c>
      <c r="O30">
        <f>-703.913249456492 -165.046821895892 -499.665171287809</f>
        <v>-1368.6252426401929</v>
      </c>
      <c r="P30">
        <f>-739.043951778503 -204.031145817276 -222.492545415844</f>
        <v>-1165.567643011623</v>
      </c>
      <c r="Q30">
        <f>-527.682159872563 -113.460090220861 -255.228123735309</f>
        <v>-896.37037382873314</v>
      </c>
      <c r="R30" t="s">
        <v>551</v>
      </c>
      <c r="S30" t="s">
        <v>552</v>
      </c>
      <c r="T30" t="s">
        <v>553</v>
      </c>
      <c r="U30" t="s">
        <v>554</v>
      </c>
      <c r="V30">
        <f>-616.295401436939 -70.2275081276391 -94.2368643782071</f>
        <v>-780.75977394278516</v>
      </c>
      <c r="W30" t="s">
        <v>555</v>
      </c>
      <c r="X30" t="s">
        <v>556</v>
      </c>
      <c r="Y30" t="s">
        <v>557</v>
      </c>
    </row>
    <row r="31" spans="1:25" x14ac:dyDescent="0.3">
      <c r="A31">
        <v>1500</v>
      </c>
      <c r="B31" t="s">
        <v>558</v>
      </c>
      <c r="C31" t="s">
        <v>559</v>
      </c>
      <c r="D31" t="s">
        <v>560</v>
      </c>
      <c r="E31" t="s">
        <v>561</v>
      </c>
      <c r="F31" t="s">
        <v>562</v>
      </c>
      <c r="G31" t="s">
        <v>563</v>
      </c>
      <c r="H31" t="s">
        <v>564</v>
      </c>
      <c r="I31" t="s">
        <v>565</v>
      </c>
      <c r="J31" t="s">
        <v>566</v>
      </c>
      <c r="K31" t="s">
        <v>567</v>
      </c>
      <c r="L31" t="s">
        <v>568</v>
      </c>
      <c r="M31" t="s">
        <v>569</v>
      </c>
      <c r="N31">
        <f>-673.625172637252 -15.1826285015213 -529.161710214446</f>
        <v>-1217.9695113532193</v>
      </c>
      <c r="O31">
        <f>-700.658477861887 -165.828817712288 -498.970764904802</f>
        <v>-1365.4580604789771</v>
      </c>
      <c r="P31">
        <f>-733.829024317247 -203.083952271255 -221.319320969293</f>
        <v>-1158.2322975577949</v>
      </c>
      <c r="Q31">
        <f>-523.389775586189 -110.699838699926 -254.92023730193</f>
        <v>-889.00985158804497</v>
      </c>
      <c r="R31" t="s">
        <v>570</v>
      </c>
      <c r="S31" t="s">
        <v>571</v>
      </c>
      <c r="T31" t="s">
        <v>572</v>
      </c>
      <c r="U31" t="s">
        <v>573</v>
      </c>
      <c r="V31">
        <f>-615.536051683349 -69.7353331141808 -94.2063195721088</f>
        <v>-779.47770436963856</v>
      </c>
      <c r="W31" t="s">
        <v>574</v>
      </c>
      <c r="X31" t="s">
        <v>575</v>
      </c>
      <c r="Y31" t="s">
        <v>576</v>
      </c>
    </row>
    <row r="32" spans="1:25" x14ac:dyDescent="0.3">
      <c r="A32">
        <v>1550</v>
      </c>
      <c r="B32" t="s">
        <v>577</v>
      </c>
      <c r="C32" t="s">
        <v>578</v>
      </c>
      <c r="D32" t="s">
        <v>579</v>
      </c>
      <c r="E32" t="s">
        <v>580</v>
      </c>
      <c r="F32" t="s">
        <v>581</v>
      </c>
      <c r="G32" t="s">
        <v>582</v>
      </c>
      <c r="H32" t="s">
        <v>583</v>
      </c>
      <c r="I32" t="s">
        <v>584</v>
      </c>
      <c r="J32" t="s">
        <v>585</v>
      </c>
      <c r="K32" t="s">
        <v>586</v>
      </c>
      <c r="L32" t="s">
        <v>587</v>
      </c>
      <c r="M32" t="s">
        <v>588</v>
      </c>
      <c r="N32">
        <f>-672.64455278351 -15.451562998338 -529.15373331924</f>
        <v>-1217.2498491010879</v>
      </c>
      <c r="O32">
        <f>-699.454523626403 -166.086962243895 -498.679697571354</f>
        <v>-1364.2211834416519</v>
      </c>
      <c r="P32">
        <f>-731.303908896024 -202.801173474816 -220.801475138191</f>
        <v>-1154.906557509031</v>
      </c>
      <c r="Q32">
        <f>-521.409653505282 -109.409924911769 -255.021894763007</f>
        <v>-885.84147318005796</v>
      </c>
      <c r="R32" t="s">
        <v>589</v>
      </c>
      <c r="S32" t="s">
        <v>590</v>
      </c>
      <c r="T32" t="s">
        <v>591</v>
      </c>
      <c r="U32" t="s">
        <v>592</v>
      </c>
      <c r="V32">
        <f>-615.198771714677 -69.6611993817569 -94.1857040132779</f>
        <v>-779.04567510971185</v>
      </c>
      <c r="W32" t="s">
        <v>593</v>
      </c>
      <c r="X32" t="s">
        <v>594</v>
      </c>
      <c r="Y32" t="s">
        <v>595</v>
      </c>
    </row>
    <row r="33" spans="1:25" x14ac:dyDescent="0.3">
      <c r="A33">
        <v>1600</v>
      </c>
      <c r="B33" t="s">
        <v>596</v>
      </c>
      <c r="C33" t="s">
        <v>597</v>
      </c>
      <c r="D33" t="s">
        <v>598</v>
      </c>
      <c r="E33" t="s">
        <v>599</v>
      </c>
      <c r="F33" t="s">
        <v>600</v>
      </c>
      <c r="G33" t="s">
        <v>601</v>
      </c>
      <c r="H33" t="s">
        <v>602</v>
      </c>
      <c r="I33" t="s">
        <v>603</v>
      </c>
      <c r="J33" t="s">
        <v>604</v>
      </c>
      <c r="K33" t="s">
        <v>605</v>
      </c>
      <c r="L33" t="s">
        <v>606</v>
      </c>
      <c r="M33" t="s">
        <v>607</v>
      </c>
      <c r="N33">
        <f>-671.553690816083 -15.4214219243036 -529.222765295527</f>
        <v>-1216.1978780359136</v>
      </c>
      <c r="O33">
        <f>-698.118963076667 -166.065601182539 -498.646002909449</f>
        <v>-1362.8305671686551</v>
      </c>
      <c r="P33">
        <f>-727.393721827861 -202.77446434498 -220.484244880058</f>
        <v>-1150.6524310528989</v>
      </c>
      <c r="Q33">
        <f>-518.416259256643 -107.525337431946 -255.191192028468</f>
        <v>-881.132788717057</v>
      </c>
      <c r="R33" t="s">
        <v>608</v>
      </c>
      <c r="S33" t="s">
        <v>609</v>
      </c>
      <c r="T33" t="s">
        <v>610</v>
      </c>
      <c r="U33" t="s">
        <v>611</v>
      </c>
      <c r="V33">
        <f>-614.655989195498 -69.3574976813145 -94.1251523130135</f>
        <v>-778.13863918982599</v>
      </c>
      <c r="W33" t="s">
        <v>612</v>
      </c>
      <c r="X33" t="s">
        <v>613</v>
      </c>
      <c r="Y33" t="s">
        <v>614</v>
      </c>
    </row>
    <row r="34" spans="1:25" x14ac:dyDescent="0.3">
      <c r="A34">
        <v>1650</v>
      </c>
      <c r="B34" t="s">
        <v>615</v>
      </c>
      <c r="C34" t="s">
        <v>616</v>
      </c>
      <c r="D34" t="s">
        <v>617</v>
      </c>
      <c r="E34" t="s">
        <v>618</v>
      </c>
      <c r="F34" t="s">
        <v>619</v>
      </c>
      <c r="G34" t="s">
        <v>620</v>
      </c>
      <c r="H34" t="s">
        <v>621</v>
      </c>
      <c r="I34" t="s">
        <v>622</v>
      </c>
      <c r="J34" t="s">
        <v>623</v>
      </c>
      <c r="K34" t="s">
        <v>624</v>
      </c>
      <c r="L34" t="s">
        <v>625</v>
      </c>
      <c r="M34" t="s">
        <v>626</v>
      </c>
      <c r="N34">
        <f>-671.27347923089 -15.3869164212426 -529.255025003142</f>
        <v>-1215.9154206552746</v>
      </c>
      <c r="O34">
        <f>-697.674471844292 -166.072653722812 -498.717565699461</f>
        <v>-1362.4646912665651</v>
      </c>
      <c r="P34">
        <f>-725.889588953671 -203.425835847469 -220.53214226122</f>
        <v>-1149.84756706236</v>
      </c>
      <c r="Q34">
        <f>-517.736059012483 -106.395796763019 -255.257074046917</f>
        <v>-879.38892982241896</v>
      </c>
      <c r="R34" t="s">
        <v>627</v>
      </c>
      <c r="S34" t="s">
        <v>628</v>
      </c>
      <c r="T34" t="s">
        <v>629</v>
      </c>
      <c r="U34" t="s">
        <v>630</v>
      </c>
      <c r="V34">
        <f>-614.61866848728 -69.2282516902108 -94.0906357809951</f>
        <v>-777.93755595848586</v>
      </c>
      <c r="W34" t="s">
        <v>631</v>
      </c>
      <c r="X34" t="s">
        <v>632</v>
      </c>
      <c r="Y34" t="s">
        <v>633</v>
      </c>
    </row>
    <row r="35" spans="1:25" x14ac:dyDescent="0.3">
      <c r="A35">
        <v>1700</v>
      </c>
      <c r="B35" t="s">
        <v>634</v>
      </c>
      <c r="C35" t="s">
        <v>635</v>
      </c>
      <c r="D35" t="s">
        <v>636</v>
      </c>
      <c r="E35" t="s">
        <v>637</v>
      </c>
      <c r="F35" t="s">
        <v>638</v>
      </c>
      <c r="G35" t="s">
        <v>639</v>
      </c>
      <c r="H35" t="s">
        <v>640</v>
      </c>
      <c r="I35" t="s">
        <v>641</v>
      </c>
      <c r="J35" t="s">
        <v>642</v>
      </c>
      <c r="K35" t="s">
        <v>643</v>
      </c>
      <c r="L35" t="s">
        <v>644</v>
      </c>
      <c r="M35" t="s">
        <v>645</v>
      </c>
      <c r="N35">
        <f>-671.169521083217 -15.1191299240459 -529.325674491011</f>
        <v>-1215.614325498274</v>
      </c>
      <c r="O35">
        <f>-697.093189405309 -165.908268474923 -498.89473878435</f>
        <v>-1361.896196664582</v>
      </c>
      <c r="P35">
        <f>-722.909557637945 -204.032616073001 -220.580894950747</f>
        <v>-1147.5230686616931</v>
      </c>
      <c r="Q35">
        <f>-516.450207608567 -103.570240224125 -255.657742127184</f>
        <v>-875.67818995987591</v>
      </c>
      <c r="R35" t="s">
        <v>646</v>
      </c>
      <c r="S35" t="s">
        <v>647</v>
      </c>
      <c r="T35" t="s">
        <v>648</v>
      </c>
      <c r="U35" t="s">
        <v>649</v>
      </c>
      <c r="V35">
        <f>-614.724819009083 -68.8650442866831 -94.0860799103182</f>
        <v>-777.6759432060843</v>
      </c>
      <c r="W35" t="s">
        <v>650</v>
      </c>
      <c r="X35" t="s">
        <v>651</v>
      </c>
      <c r="Y35" t="s">
        <v>652</v>
      </c>
    </row>
    <row r="36" spans="1:25" x14ac:dyDescent="0.3">
      <c r="A36">
        <v>1750</v>
      </c>
      <c r="B36" t="s">
        <v>653</v>
      </c>
      <c r="C36" t="s">
        <v>654</v>
      </c>
      <c r="D36" t="s">
        <v>655</v>
      </c>
      <c r="E36" t="s">
        <v>656</v>
      </c>
      <c r="F36" t="s">
        <v>657</v>
      </c>
      <c r="G36" t="s">
        <v>658</v>
      </c>
      <c r="H36" t="s">
        <v>659</v>
      </c>
      <c r="I36" t="s">
        <v>660</v>
      </c>
      <c r="J36" t="s">
        <v>661</v>
      </c>
      <c r="K36" t="s">
        <v>662</v>
      </c>
      <c r="L36" t="s">
        <v>663</v>
      </c>
      <c r="M36" t="s">
        <v>664</v>
      </c>
      <c r="N36">
        <f>-671.410048258264 -14.9724084314873 -529.307778286757</f>
        <v>-1215.6902349765082</v>
      </c>
      <c r="O36">
        <f>-697.078542041622 -165.787313201363 -498.796548660265</f>
        <v>-1361.6624039032499</v>
      </c>
      <c r="P36">
        <f>-721.52075577548 -204.094889982521 -220.383662748652</f>
        <v>-1145.9993085066531</v>
      </c>
      <c r="Q36">
        <f>-515.717473915532 -102.295968261785 -255.462271534593</f>
        <v>-873.47571371190998</v>
      </c>
      <c r="R36" t="s">
        <v>665</v>
      </c>
      <c r="S36" t="s">
        <v>666</v>
      </c>
      <c r="T36" t="s">
        <v>667</v>
      </c>
      <c r="U36" t="s">
        <v>668</v>
      </c>
      <c r="V36">
        <f>-614.844888426874 -68.661659311573 -94.097295952221</f>
        <v>-777.60384369066799</v>
      </c>
      <c r="W36" t="s">
        <v>669</v>
      </c>
      <c r="X36" t="s">
        <v>670</v>
      </c>
      <c r="Y36" t="s">
        <v>671</v>
      </c>
    </row>
    <row r="37" spans="1:25" x14ac:dyDescent="0.3">
      <c r="A37">
        <v>1800</v>
      </c>
      <c r="B37" t="s">
        <v>672</v>
      </c>
      <c r="C37" t="s">
        <v>673</v>
      </c>
      <c r="D37" t="s">
        <v>674</v>
      </c>
      <c r="E37" t="s">
        <v>675</v>
      </c>
      <c r="F37" t="s">
        <v>676</v>
      </c>
      <c r="G37" t="s">
        <v>677</v>
      </c>
      <c r="H37" t="s">
        <v>678</v>
      </c>
      <c r="I37" t="s">
        <v>679</v>
      </c>
      <c r="J37" t="s">
        <v>680</v>
      </c>
      <c r="K37" t="s">
        <v>681</v>
      </c>
      <c r="L37" t="s">
        <v>682</v>
      </c>
      <c r="M37" t="s">
        <v>683</v>
      </c>
      <c r="N37">
        <f>-672.163179689194 -14.8079554354088 -529.214489415505</f>
        <v>-1216.1856245401077</v>
      </c>
      <c r="O37">
        <f>-697.480469864893 -165.662871516826 -498.532627203233</f>
        <v>-1361.675968584952</v>
      </c>
      <c r="P37">
        <f>-720.031573749553 -203.605675728545 -219.910288520159</f>
        <v>-1143.547537998257</v>
      </c>
      <c r="Q37">
        <f>-515.371956357188 -99.6013606125955 -255.210236960144</f>
        <v>-870.18355392992748</v>
      </c>
      <c r="R37" t="s">
        <v>684</v>
      </c>
      <c r="S37" t="s">
        <v>685</v>
      </c>
      <c r="T37" t="s">
        <v>686</v>
      </c>
      <c r="U37" t="s">
        <v>687</v>
      </c>
      <c r="V37">
        <f>-615.215573803041 -68.4548312651341 -94.1328278174689</f>
        <v>-777.80323288564398</v>
      </c>
      <c r="W37" t="s">
        <v>688</v>
      </c>
      <c r="X37" t="s">
        <v>689</v>
      </c>
      <c r="Y37" t="s">
        <v>690</v>
      </c>
    </row>
    <row r="38" spans="1:25" x14ac:dyDescent="0.3">
      <c r="A38">
        <v>1850</v>
      </c>
      <c r="B38" t="s">
        <v>691</v>
      </c>
      <c r="C38" t="s">
        <v>692</v>
      </c>
      <c r="D38" t="s">
        <v>693</v>
      </c>
      <c r="E38" t="s">
        <v>694</v>
      </c>
      <c r="F38" t="s">
        <v>695</v>
      </c>
      <c r="G38" t="s">
        <v>696</v>
      </c>
      <c r="H38" t="s">
        <v>697</v>
      </c>
      <c r="I38" t="s">
        <v>698</v>
      </c>
      <c r="J38" t="s">
        <v>699</v>
      </c>
      <c r="K38" t="s">
        <v>700</v>
      </c>
      <c r="L38" t="s">
        <v>701</v>
      </c>
      <c r="M38" t="s">
        <v>702</v>
      </c>
      <c r="N38">
        <f>-672.583859134497 -14.6588645423196 -529.188523369478</f>
        <v>-1216.4312470462946</v>
      </c>
      <c r="O38">
        <f>-697.9379117985 -165.505010834217 -498.49312819647</f>
        <v>-1361.936050829187</v>
      </c>
      <c r="P38">
        <f>-719.857518348481 -203.16306494109 -219.78190215456</f>
        <v>-1142.802485444131</v>
      </c>
      <c r="Q38">
        <f>-515.60723742862 -98.3734999591616 -255.129602631708</f>
        <v>-869.11034001948951</v>
      </c>
      <c r="R38" t="s">
        <v>703</v>
      </c>
      <c r="S38" t="s">
        <v>704</v>
      </c>
      <c r="T38" t="s">
        <v>705</v>
      </c>
      <c r="U38" t="s">
        <v>706</v>
      </c>
      <c r="V38">
        <f>-615.441851051733 -68.3896060162992 -94.1404420740408</f>
        <v>-777.97189914207308</v>
      </c>
      <c r="W38" t="s">
        <v>707</v>
      </c>
      <c r="X38" t="s">
        <v>708</v>
      </c>
      <c r="Y38" t="s">
        <v>709</v>
      </c>
    </row>
    <row r="39" spans="1:25" x14ac:dyDescent="0.3">
      <c r="A39">
        <v>1900</v>
      </c>
      <c r="B39" t="s">
        <v>710</v>
      </c>
      <c r="C39" t="s">
        <v>711</v>
      </c>
      <c r="D39" t="s">
        <v>712</v>
      </c>
      <c r="E39" t="s">
        <v>713</v>
      </c>
      <c r="F39" t="s">
        <v>714</v>
      </c>
      <c r="G39" t="s">
        <v>715</v>
      </c>
      <c r="H39" t="s">
        <v>716</v>
      </c>
      <c r="I39" t="s">
        <v>717</v>
      </c>
      <c r="J39" t="s">
        <v>718</v>
      </c>
      <c r="K39" t="s">
        <v>719</v>
      </c>
      <c r="L39" t="s">
        <v>720</v>
      </c>
      <c r="M39" t="s">
        <v>721</v>
      </c>
      <c r="N39">
        <f>-673.696575974893 -14.2454733300444 -529.151303577295</f>
        <v>-1217.0933528822325</v>
      </c>
      <c r="O39">
        <f>-699.151894567025 -165.108679279189 -498.623129261663</f>
        <v>-1362.883703107877</v>
      </c>
      <c r="P39">
        <f>-721.155600020901 -202.405933969046 -219.869999671975</f>
        <v>-1143.431533661922</v>
      </c>
      <c r="Q39">
        <f>-517.225890468581 -96.8710255832416 -254.849964453007</f>
        <v>-868.94688050482966</v>
      </c>
      <c r="R39" t="s">
        <v>722</v>
      </c>
      <c r="S39" t="s">
        <v>723</v>
      </c>
      <c r="T39" t="s">
        <v>724</v>
      </c>
      <c r="U39" t="s">
        <v>725</v>
      </c>
      <c r="V39">
        <f>-615.9753350785 -68.2578941595848 -94.1432211899112</f>
        <v>-778.37645042799602</v>
      </c>
      <c r="W39" t="s">
        <v>726</v>
      </c>
      <c r="X39" t="s">
        <v>727</v>
      </c>
      <c r="Y39" t="s">
        <v>728</v>
      </c>
    </row>
    <row r="40" spans="1:25" x14ac:dyDescent="0.3">
      <c r="A40">
        <v>1950</v>
      </c>
      <c r="B40" t="s">
        <v>729</v>
      </c>
      <c r="C40" t="s">
        <v>730</v>
      </c>
      <c r="D40" t="s">
        <v>731</v>
      </c>
      <c r="E40" t="s">
        <v>732</v>
      </c>
      <c r="F40" t="s">
        <v>733</v>
      </c>
      <c r="G40" t="s">
        <v>734</v>
      </c>
      <c r="H40" t="s">
        <v>735</v>
      </c>
      <c r="I40" t="s">
        <v>736</v>
      </c>
      <c r="J40" t="s">
        <v>737</v>
      </c>
      <c r="K40" t="s">
        <v>738</v>
      </c>
      <c r="L40" t="s">
        <v>739</v>
      </c>
      <c r="M40" t="s">
        <v>740</v>
      </c>
      <c r="N40">
        <f>-674.53980709839 -13.954014115614 -529.154856560456</f>
        <v>-1217.6486777744599</v>
      </c>
      <c r="O40">
        <f>-700.058528821286 -164.848833411603 -498.817963073533</f>
        <v>-1363.7253253064221</v>
      </c>
      <c r="P40">
        <f>-722.682841104543 -202.316581501909 -220.137341656613</f>
        <v>-1145.1367642630648</v>
      </c>
      <c r="Q40">
        <f>-518.807399554469 -96.5520306272513 -254.73736741972</f>
        <v>-870.09679760144036</v>
      </c>
      <c r="R40" t="s">
        <v>741</v>
      </c>
      <c r="S40" t="s">
        <v>742</v>
      </c>
      <c r="T40" t="s">
        <v>743</v>
      </c>
      <c r="U40" t="s">
        <v>744</v>
      </c>
      <c r="V40">
        <f>-616.389530012713 -68.1483687054804 -94.1637388670765</f>
        <v>-778.70163758526985</v>
      </c>
      <c r="W40" t="s">
        <v>745</v>
      </c>
      <c r="X40" t="s">
        <v>746</v>
      </c>
      <c r="Y40" t="s">
        <v>747</v>
      </c>
    </row>
    <row r="41" spans="1:25" x14ac:dyDescent="0.3">
      <c r="A41">
        <v>2000</v>
      </c>
      <c r="B41" t="s">
        <v>748</v>
      </c>
      <c r="C41" t="s">
        <v>749</v>
      </c>
      <c r="D41" t="s">
        <v>750</v>
      </c>
      <c r="E41" t="s">
        <v>751</v>
      </c>
      <c r="F41" t="s">
        <v>752</v>
      </c>
      <c r="G41" t="s">
        <v>753</v>
      </c>
      <c r="H41" t="s">
        <v>754</v>
      </c>
      <c r="I41" t="s">
        <v>755</v>
      </c>
      <c r="J41" t="s">
        <v>756</v>
      </c>
      <c r="K41" t="s">
        <v>757</v>
      </c>
      <c r="L41" t="s">
        <v>758</v>
      </c>
      <c r="M41" t="s">
        <v>759</v>
      </c>
      <c r="N41">
        <f>-676.256497541887 -13.6410823383992 -529.136965584564</f>
        <v>-1219.0345454648502</v>
      </c>
      <c r="O41">
        <f>-702.242479790602 -164.521570307809 -499.167132649689</f>
        <v>-1365.9311827480999</v>
      </c>
      <c r="P41">
        <f>-726.272173849419 -203.320893553491 -220.786468784749</f>
        <v>-1150.3795361876591</v>
      </c>
      <c r="Q41">
        <f>-522.167876966013 -97.6685247774801 -254.365797516255</f>
        <v>-874.20219925974811</v>
      </c>
      <c r="R41" t="s">
        <v>760</v>
      </c>
      <c r="S41" t="s">
        <v>761</v>
      </c>
      <c r="T41" t="s">
        <v>762</v>
      </c>
      <c r="U41" t="s">
        <v>763</v>
      </c>
      <c r="V41">
        <f>-617.509468074684 -68.0166883169845 -94.1886662821731</f>
        <v>-779.7148226738417</v>
      </c>
      <c r="W41" t="s">
        <v>764</v>
      </c>
      <c r="X41" t="s">
        <v>765</v>
      </c>
      <c r="Y41" t="s">
        <v>766</v>
      </c>
    </row>
    <row r="42" spans="1:25" x14ac:dyDescent="0.3">
      <c r="A42">
        <v>2050</v>
      </c>
      <c r="B42" t="s">
        <v>767</v>
      </c>
      <c r="C42" t="s">
        <v>768</v>
      </c>
      <c r="D42" t="s">
        <v>769</v>
      </c>
      <c r="E42" t="s">
        <v>770</v>
      </c>
      <c r="F42" t="s">
        <v>771</v>
      </c>
      <c r="G42" t="s">
        <v>772</v>
      </c>
      <c r="H42" t="s">
        <v>773</v>
      </c>
      <c r="I42" t="s">
        <v>774</v>
      </c>
      <c r="J42" t="s">
        <v>775</v>
      </c>
      <c r="K42" t="s">
        <v>776</v>
      </c>
      <c r="L42" t="s">
        <v>777</v>
      </c>
      <c r="M42" t="s">
        <v>778</v>
      </c>
      <c r="N42">
        <f>-677.175467965567 -13.6724540193152 -529.065723745231</f>
        <v>-1219.9136457301133</v>
      </c>
      <c r="O42">
        <f>-703.435865673508 -164.508973279801 -499.16019539817</f>
        <v>-1367.1050343514789</v>
      </c>
      <c r="P42">
        <f>-728.229205269192 -203.982681504109 -220.941404626255</f>
        <v>-1153.1532913995561</v>
      </c>
      <c r="Q42">
        <f>-523.842704490777 -98.7675573816159 -254.175002743153</f>
        <v>-876.78526461554588</v>
      </c>
      <c r="R42" t="s">
        <v>779</v>
      </c>
      <c r="S42" t="s">
        <v>780</v>
      </c>
      <c r="T42" t="s">
        <v>781</v>
      </c>
      <c r="U42" t="s">
        <v>782</v>
      </c>
      <c r="V42">
        <f>-618.074971860555 -68.0864712621142 -94.2078889491027</f>
        <v>-780.36933207177185</v>
      </c>
      <c r="W42" t="s">
        <v>783</v>
      </c>
      <c r="X42" t="s">
        <v>784</v>
      </c>
      <c r="Y42" t="s">
        <v>785</v>
      </c>
    </row>
    <row r="43" spans="1:25" x14ac:dyDescent="0.3">
      <c r="A43">
        <v>2100</v>
      </c>
      <c r="B43" t="s">
        <v>786</v>
      </c>
      <c r="C43" t="s">
        <v>787</v>
      </c>
      <c r="D43" t="s">
        <v>788</v>
      </c>
      <c r="E43" t="s">
        <v>789</v>
      </c>
      <c r="F43" t="s">
        <v>790</v>
      </c>
      <c r="G43" t="s">
        <v>791</v>
      </c>
      <c r="H43" t="s">
        <v>792</v>
      </c>
      <c r="I43" t="s">
        <v>793</v>
      </c>
      <c r="J43" t="s">
        <v>794</v>
      </c>
      <c r="K43" t="s">
        <v>795</v>
      </c>
      <c r="L43" t="s">
        <v>796</v>
      </c>
      <c r="M43" t="s">
        <v>797</v>
      </c>
      <c r="N43">
        <f>-679.467406946116 -13.7229802335769 -528.893745842327</f>
        <v>-1222.0841330220198</v>
      </c>
      <c r="O43">
        <f>-706.335725866657 -164.430732090879 -498.864798559148</f>
        <v>-1369.6312565166841</v>
      </c>
      <c r="P43">
        <f>-732.531173190557 -204.291877569909 -220.829719528447</f>
        <v>-1157.652770288913</v>
      </c>
      <c r="Q43">
        <f>-527.219628287018 -100.741576774878 -253.587289493806</f>
        <v>-881.54849455570206</v>
      </c>
      <c r="R43" t="s">
        <v>798</v>
      </c>
      <c r="S43" t="s">
        <v>799</v>
      </c>
      <c r="T43" t="s">
        <v>800</v>
      </c>
      <c r="U43" t="s">
        <v>801</v>
      </c>
      <c r="V43">
        <f>-619.277449270283 -68.3281448912849 -94.2405500971264</f>
        <v>-781.84614425869427</v>
      </c>
      <c r="W43" t="s">
        <v>802</v>
      </c>
      <c r="X43" t="s">
        <v>803</v>
      </c>
      <c r="Y43" t="s">
        <v>804</v>
      </c>
    </row>
    <row r="44" spans="1:25" x14ac:dyDescent="0.3">
      <c r="A44">
        <v>2150</v>
      </c>
      <c r="B44" t="s">
        <v>805</v>
      </c>
      <c r="C44" t="s">
        <v>806</v>
      </c>
      <c r="D44" t="s">
        <v>807</v>
      </c>
      <c r="E44" t="s">
        <v>808</v>
      </c>
      <c r="F44" t="s">
        <v>809</v>
      </c>
      <c r="G44" t="s">
        <v>810</v>
      </c>
      <c r="H44" t="s">
        <v>811</v>
      </c>
      <c r="I44" t="s">
        <v>812</v>
      </c>
      <c r="J44" t="s">
        <v>813</v>
      </c>
      <c r="K44" t="s">
        <v>814</v>
      </c>
      <c r="L44" t="s">
        <v>815</v>
      </c>
      <c r="M44" t="s">
        <v>816</v>
      </c>
      <c r="N44">
        <f>-680.463778904337 -13.7823002040955 -528.829135977251</f>
        <v>-1223.0752150856833</v>
      </c>
      <c r="O44">
        <f>-707.67132558688 -164.410037952156 -498.721867107429</f>
        <v>-1370.803230646465</v>
      </c>
      <c r="P44">
        <f>-734.60171771685 -204.145035343013 -220.738961706542</f>
        <v>-1159.485714766405</v>
      </c>
      <c r="Q44">
        <f>-528.851487211383 -101.390482814313 -253.248683051647</f>
        <v>-883.49065307734304</v>
      </c>
      <c r="R44" t="s">
        <v>817</v>
      </c>
      <c r="S44" t="s">
        <v>818</v>
      </c>
      <c r="T44" t="s">
        <v>819</v>
      </c>
      <c r="U44" t="s">
        <v>820</v>
      </c>
      <c r="V44">
        <f>-619.775648347494 -68.480637601881 -94.247154226715</f>
        <v>-782.50344017608995</v>
      </c>
      <c r="W44" t="s">
        <v>821</v>
      </c>
      <c r="X44" t="s">
        <v>822</v>
      </c>
      <c r="Y44" t="s">
        <v>823</v>
      </c>
    </row>
    <row r="45" spans="1:25" x14ac:dyDescent="0.3">
      <c r="A45">
        <v>2200</v>
      </c>
      <c r="B45" t="s">
        <v>824</v>
      </c>
      <c r="C45" t="s">
        <v>825</v>
      </c>
      <c r="D45" t="s">
        <v>826</v>
      </c>
      <c r="E45" t="s">
        <v>827</v>
      </c>
      <c r="F45" t="s">
        <v>828</v>
      </c>
      <c r="G45" t="s">
        <v>829</v>
      </c>
      <c r="H45" t="s">
        <v>830</v>
      </c>
      <c r="I45" t="s">
        <v>831</v>
      </c>
      <c r="J45" t="s">
        <v>832</v>
      </c>
      <c r="K45" t="s">
        <v>833</v>
      </c>
      <c r="L45" t="s">
        <v>834</v>
      </c>
      <c r="M45" t="s">
        <v>835</v>
      </c>
      <c r="N45">
        <f>-681.532475466985 -13.8889806816917 -528.828653280085</f>
        <v>-1224.2501094287618</v>
      </c>
      <c r="O45">
        <f>-709.207554308093 -164.421189807219 -498.659362547133</f>
        <v>-1372.288106662445</v>
      </c>
      <c r="P45">
        <f>-738.101396431071 -203.749545314743 -220.815709841304</f>
        <v>-1162.6666515871179</v>
      </c>
      <c r="Q45">
        <f>-531.609347294765 -102.197624544341 -252.387429589313</f>
        <v>-886.19440142841904</v>
      </c>
      <c r="R45" t="s">
        <v>836</v>
      </c>
      <c r="S45" t="s">
        <v>837</v>
      </c>
      <c r="T45" t="s">
        <v>838</v>
      </c>
      <c r="U45" t="s">
        <v>839</v>
      </c>
      <c r="V45">
        <f>-620.529581053159 -68.8963315851977 -94.2845204536962</f>
        <v>-783.71043309205288</v>
      </c>
      <c r="W45" t="s">
        <v>840</v>
      </c>
      <c r="X45" t="s">
        <v>841</v>
      </c>
      <c r="Y45" t="s">
        <v>842</v>
      </c>
    </row>
    <row r="46" spans="1:25" x14ac:dyDescent="0.3">
      <c r="A46">
        <v>2250</v>
      </c>
      <c r="B46" t="s">
        <v>843</v>
      </c>
      <c r="C46" t="s">
        <v>844</v>
      </c>
      <c r="D46" t="s">
        <v>845</v>
      </c>
      <c r="E46" t="s">
        <v>846</v>
      </c>
      <c r="F46" t="s">
        <v>847</v>
      </c>
      <c r="G46" t="s">
        <v>848</v>
      </c>
      <c r="H46" t="s">
        <v>849</v>
      </c>
      <c r="I46" t="s">
        <v>850</v>
      </c>
      <c r="J46" t="s">
        <v>851</v>
      </c>
      <c r="K46" t="s">
        <v>852</v>
      </c>
      <c r="L46" t="s">
        <v>853</v>
      </c>
      <c r="M46" t="s">
        <v>854</v>
      </c>
      <c r="N46">
        <f>-681.663029134675 -14.0088438057987 -528.89374089668</f>
        <v>-1224.5656138371537</v>
      </c>
      <c r="O46">
        <f>-709.377771183129 -164.531382250174 -498.702285156309</f>
        <v>-1372.6114385896121</v>
      </c>
      <c r="P46">
        <f>-739.769951581986 -203.819174973836 -221.012897916214</f>
        <v>-1164.602024472036</v>
      </c>
      <c r="Q46">
        <f>-533.01851274743 -102.610021763088 -251.981983108123</f>
        <v>-887.61051761864098</v>
      </c>
      <c r="R46" t="s">
        <v>855</v>
      </c>
      <c r="S46" t="s">
        <v>856</v>
      </c>
      <c r="T46" t="s">
        <v>857</v>
      </c>
      <c r="U46" t="s">
        <v>858</v>
      </c>
      <c r="V46">
        <f>-620.878818853957 -69.0297352124637 -94.3166501043078</f>
        <v>-784.22520417072849</v>
      </c>
      <c r="W46" t="s">
        <v>859</v>
      </c>
      <c r="X46" t="s">
        <v>860</v>
      </c>
      <c r="Y46" t="s">
        <v>861</v>
      </c>
    </row>
    <row r="47" spans="1:25" x14ac:dyDescent="0.3">
      <c r="A47">
        <v>2300</v>
      </c>
      <c r="B47" t="s">
        <v>862</v>
      </c>
      <c r="C47" t="s">
        <v>863</v>
      </c>
      <c r="D47" t="s">
        <v>864</v>
      </c>
      <c r="E47" t="s">
        <v>865</v>
      </c>
      <c r="F47" t="s">
        <v>866</v>
      </c>
      <c r="G47" t="s">
        <v>867</v>
      </c>
      <c r="H47" t="s">
        <v>868</v>
      </c>
      <c r="I47" t="s">
        <v>869</v>
      </c>
      <c r="J47" t="s">
        <v>870</v>
      </c>
      <c r="K47" t="s">
        <v>871</v>
      </c>
      <c r="L47" t="s">
        <v>872</v>
      </c>
      <c r="M47" t="s">
        <v>873</v>
      </c>
      <c r="N47">
        <f>-681.274226530617 -14.2289039927223 -529.089013822859</f>
        <v>-1224.5921443461984</v>
      </c>
      <c r="O47">
        <f>-708.879352848709 -164.777850905617 -498.884371363447</f>
        <v>-1372.5415751177729</v>
      </c>
      <c r="P47">
        <f>-742.541120112361 -204.188420808101 -221.589800632715</f>
        <v>-1168.3193415531771</v>
      </c>
      <c r="Q47">
        <f>-535.04088912013 -104.148483453057 -251.325409982978</f>
        <v>-890.51478255616507</v>
      </c>
      <c r="R47" t="s">
        <v>874</v>
      </c>
      <c r="S47" t="s">
        <v>875</v>
      </c>
      <c r="T47" t="s">
        <v>876</v>
      </c>
      <c r="U47" t="s">
        <v>877</v>
      </c>
      <c r="V47">
        <f>-621.612253139988 -69.2045518767486 -94.3611627586358</f>
        <v>-785.17796777537239</v>
      </c>
      <c r="W47" t="s">
        <v>878</v>
      </c>
      <c r="X47" t="s">
        <v>879</v>
      </c>
      <c r="Y47" t="s">
        <v>880</v>
      </c>
    </row>
    <row r="48" spans="1:25" x14ac:dyDescent="0.3">
      <c r="A48">
        <v>2350</v>
      </c>
      <c r="B48" t="s">
        <v>881</v>
      </c>
      <c r="C48" t="s">
        <v>882</v>
      </c>
      <c r="D48" t="s">
        <v>883</v>
      </c>
      <c r="E48" t="s">
        <v>884</v>
      </c>
      <c r="F48" t="s">
        <v>885</v>
      </c>
      <c r="G48" t="s">
        <v>886</v>
      </c>
      <c r="H48" t="s">
        <v>887</v>
      </c>
      <c r="I48" t="s">
        <v>888</v>
      </c>
      <c r="J48" t="s">
        <v>889</v>
      </c>
      <c r="K48" t="s">
        <v>890</v>
      </c>
      <c r="L48" t="s">
        <v>891</v>
      </c>
      <c r="M48" t="s">
        <v>892</v>
      </c>
      <c r="N48">
        <f>-681.036944282301 -14.3955508203298 -529.205887864494</f>
        <v>-1224.6383829671249</v>
      </c>
      <c r="O48">
        <f>-708.534029191492 -164.955846534465 -498.974809206396</f>
        <v>-1372.4646849323531</v>
      </c>
      <c r="P48">
        <f>-743.893124117723 -204.302172334961 -221.882499488121</f>
        <v>-1170.0777959408051</v>
      </c>
      <c r="Q48">
        <f>-535.790428179053 -105.331784521311 -250.980151990086</f>
        <v>-892.10236469045003</v>
      </c>
      <c r="R48" t="s">
        <v>893</v>
      </c>
      <c r="S48" t="s">
        <v>894</v>
      </c>
      <c r="T48" t="s">
        <v>895</v>
      </c>
      <c r="U48" t="s">
        <v>896</v>
      </c>
      <c r="V48">
        <f>-622.073253179793 -69.2523732044433 -94.3818851913959</f>
        <v>-785.70751157563222</v>
      </c>
      <c r="W48" t="s">
        <v>897</v>
      </c>
      <c r="X48" t="s">
        <v>898</v>
      </c>
      <c r="Y48" t="s">
        <v>899</v>
      </c>
    </row>
    <row r="49" spans="1:25" x14ac:dyDescent="0.3">
      <c r="A49">
        <v>2400</v>
      </c>
      <c r="B49" t="s">
        <v>900</v>
      </c>
      <c r="C49" t="s">
        <v>901</v>
      </c>
      <c r="D49" t="s">
        <v>902</v>
      </c>
      <c r="E49" t="s">
        <v>903</v>
      </c>
      <c r="F49" t="s">
        <v>904</v>
      </c>
      <c r="G49" t="s">
        <v>905</v>
      </c>
      <c r="H49" t="s">
        <v>906</v>
      </c>
      <c r="I49" t="s">
        <v>907</v>
      </c>
      <c r="J49" t="s">
        <v>908</v>
      </c>
      <c r="K49" t="s">
        <v>909</v>
      </c>
      <c r="L49" t="s">
        <v>910</v>
      </c>
      <c r="M49" t="s">
        <v>911</v>
      </c>
      <c r="N49">
        <f>-680.453018141071 -15.1026025880255 -529.431034163527</f>
        <v>-1224.9866548926234</v>
      </c>
      <c r="O49">
        <f>-707.787990613639 -165.663284752253 -499.091493479085</f>
        <v>-1372.5427688449768</v>
      </c>
      <c r="P49">
        <f>-746.748828077564 -205.272693071045 -222.520088003804</f>
        <v>-1174.541609152413</v>
      </c>
      <c r="Q49">
        <f>-537.574000566327 -108.217598435193 -250.353524225671</f>
        <v>-896.14512322719088</v>
      </c>
      <c r="R49" t="s">
        <v>912</v>
      </c>
      <c r="S49" t="s">
        <v>913</v>
      </c>
      <c r="T49" t="s">
        <v>914</v>
      </c>
      <c r="U49" t="s">
        <v>915</v>
      </c>
      <c r="V49">
        <f>-623.270166168892 -69.3637928180226 -94.4338041124926</f>
        <v>-787.06776309940722</v>
      </c>
      <c r="W49" t="s">
        <v>916</v>
      </c>
      <c r="X49" t="s">
        <v>917</v>
      </c>
      <c r="Y49" t="s">
        <v>918</v>
      </c>
    </row>
    <row r="50" spans="1:25" x14ac:dyDescent="0.3">
      <c r="A50">
        <v>2450</v>
      </c>
      <c r="B50" t="s">
        <v>919</v>
      </c>
      <c r="C50" t="s">
        <v>920</v>
      </c>
      <c r="D50" t="s">
        <v>921</v>
      </c>
      <c r="E50" t="s">
        <v>922</v>
      </c>
      <c r="F50" t="s">
        <v>923</v>
      </c>
      <c r="G50" t="s">
        <v>924</v>
      </c>
      <c r="H50" t="s">
        <v>925</v>
      </c>
      <c r="I50" t="s">
        <v>926</v>
      </c>
      <c r="J50" t="s">
        <v>927</v>
      </c>
      <c r="K50" t="s">
        <v>928</v>
      </c>
      <c r="L50" t="s">
        <v>929</v>
      </c>
      <c r="M50" t="s">
        <v>930</v>
      </c>
      <c r="N50">
        <f>-680.313488296375 -15.5620286014291 -529.535512391009</f>
        <v>-1225.4110292888131</v>
      </c>
      <c r="O50">
        <f>-707.588422770376 -166.114214686545 -499.104930585594</f>
        <v>-1372.807568042515</v>
      </c>
      <c r="P50">
        <f>-748.465208732039 -205.920236703551 -222.83846186173</f>
        <v>-1177.22390729732</v>
      </c>
      <c r="Q50">
        <f>-539.023109951512 -109.242609142322 -249.967403656679</f>
        <v>-898.23312275051296</v>
      </c>
      <c r="R50" t="s">
        <v>931</v>
      </c>
      <c r="S50" t="s">
        <v>932</v>
      </c>
      <c r="T50" t="s">
        <v>933</v>
      </c>
      <c r="U50" t="s">
        <v>934</v>
      </c>
      <c r="V50">
        <f>-624.025695635723 -69.4748196949665 -94.464623488509</f>
        <v>-787.9651388191985</v>
      </c>
      <c r="W50" t="s">
        <v>935</v>
      </c>
      <c r="X50" t="s">
        <v>936</v>
      </c>
      <c r="Y50" t="s">
        <v>937</v>
      </c>
    </row>
    <row r="51" spans="1:25" x14ac:dyDescent="0.3">
      <c r="A51">
        <v>2500</v>
      </c>
      <c r="B51" t="s">
        <v>938</v>
      </c>
      <c r="C51" t="s">
        <v>939</v>
      </c>
      <c r="D51" t="s">
        <v>940</v>
      </c>
      <c r="E51" t="s">
        <v>941</v>
      </c>
      <c r="F51" t="s">
        <v>942</v>
      </c>
      <c r="G51" t="s">
        <v>943</v>
      </c>
      <c r="H51" t="s">
        <v>944</v>
      </c>
      <c r="I51" t="s">
        <v>945</v>
      </c>
      <c r="J51" t="s">
        <v>946</v>
      </c>
      <c r="K51" t="s">
        <v>947</v>
      </c>
      <c r="L51" t="s">
        <v>948</v>
      </c>
      <c r="M51" t="s">
        <v>949</v>
      </c>
      <c r="N51">
        <f>-679.407133072728 -16.4528665818139 -529.797983824036</f>
        <v>-1225.657983478578</v>
      </c>
      <c r="O51">
        <f>-706.920433489071 -166.922439995455 -499.1456842963</f>
        <v>-1372.9885577808259</v>
      </c>
      <c r="P51">
        <f>-750.672650414051 -206.014069283488 -223.217705790466</f>
        <v>-1179.904425488005</v>
      </c>
      <c r="Q51">
        <f>-540.752017829986 -110.07214417048 -249.237469873765</f>
        <v>-900.06163187423101</v>
      </c>
      <c r="R51" t="s">
        <v>950</v>
      </c>
      <c r="S51" t="s">
        <v>951</v>
      </c>
      <c r="T51" t="s">
        <v>952</v>
      </c>
      <c r="U51" t="s">
        <v>953</v>
      </c>
      <c r="V51">
        <f>-625.127386832538 -69.7998683611588 -94.4797107272144</f>
        <v>-789.40696592091126</v>
      </c>
      <c r="W51" t="s">
        <v>954</v>
      </c>
      <c r="X51" t="s">
        <v>955</v>
      </c>
      <c r="Y51" t="s">
        <v>956</v>
      </c>
    </row>
    <row r="52" spans="1:25" x14ac:dyDescent="0.3">
      <c r="A52">
        <v>2550</v>
      </c>
      <c r="B52" t="s">
        <v>957</v>
      </c>
      <c r="C52" t="s">
        <v>958</v>
      </c>
      <c r="D52" t="s">
        <v>959</v>
      </c>
      <c r="E52" t="s">
        <v>960</v>
      </c>
      <c r="F52" t="s">
        <v>961</v>
      </c>
      <c r="G52" t="s">
        <v>962</v>
      </c>
      <c r="H52" t="s">
        <v>963</v>
      </c>
      <c r="I52" t="s">
        <v>964</v>
      </c>
      <c r="J52" t="s">
        <v>965</v>
      </c>
      <c r="K52" t="s">
        <v>966</v>
      </c>
      <c r="L52" t="s">
        <v>967</v>
      </c>
      <c r="M52" t="s">
        <v>968</v>
      </c>
      <c r="N52">
        <f>-677.86849875371 -17.0284864089892 -529.846614594593</f>
        <v>-1224.7435997572923</v>
      </c>
      <c r="O52">
        <f>-705.487260661832 -167.445876680194 -499.031357843783</f>
        <v>-1371.964495185809</v>
      </c>
      <c r="P52">
        <f>-750.137307584494 -205.617309368413 -223.118540649907</f>
        <v>-1178.873157602814</v>
      </c>
      <c r="Q52">
        <f>-539.9808135668 -110.196586810843 -249.150805793398</f>
        <v>-899.32820617104096</v>
      </c>
      <c r="R52" t="s">
        <v>969</v>
      </c>
      <c r="S52" t="s">
        <v>970</v>
      </c>
      <c r="T52" t="s">
        <v>971</v>
      </c>
      <c r="U52" t="s">
        <v>972</v>
      </c>
      <c r="V52">
        <f>-625.421689612218 -70.026533679712 -94.3250958620704</f>
        <v>-789.77331915400032</v>
      </c>
      <c r="W52" t="s">
        <v>973</v>
      </c>
      <c r="X52" t="s">
        <v>974</v>
      </c>
      <c r="Y52" t="s">
        <v>975</v>
      </c>
    </row>
    <row r="53" spans="1:25" x14ac:dyDescent="0.3">
      <c r="A53">
        <v>2600</v>
      </c>
      <c r="B53" t="s">
        <v>976</v>
      </c>
      <c r="C53" t="s">
        <v>977</v>
      </c>
      <c r="D53" t="s">
        <v>978</v>
      </c>
      <c r="E53" t="s">
        <v>979</v>
      </c>
      <c r="F53" t="s">
        <v>980</v>
      </c>
      <c r="G53" t="s">
        <v>981</v>
      </c>
      <c r="H53" t="s">
        <v>982</v>
      </c>
      <c r="I53" t="s">
        <v>983</v>
      </c>
      <c r="J53" t="s">
        <v>984</v>
      </c>
      <c r="K53" t="s">
        <v>985</v>
      </c>
      <c r="L53" t="s">
        <v>986</v>
      </c>
      <c r="M53" t="s">
        <v>987</v>
      </c>
      <c r="N53">
        <f>-675.614587089172 -17.8965505240162 -529.723718921491</f>
        <v>-1223.2348565346792</v>
      </c>
      <c r="O53">
        <f>-703.214024346299 -168.207037895437 -498.408727326077</f>
        <v>-1369.8297895678129</v>
      </c>
      <c r="P53">
        <f>-749.169725118999 -204.530626534832 -222.460820031975</f>
        <v>-1176.161171685806</v>
      </c>
      <c r="Q53">
        <f>-538.466919935362 -110.404365227021 -248.787737420977</f>
        <v>-897.65902258335996</v>
      </c>
      <c r="R53" t="s">
        <v>988</v>
      </c>
      <c r="S53" t="s">
        <v>989</v>
      </c>
      <c r="T53" t="s">
        <v>990</v>
      </c>
      <c r="U53" t="s">
        <v>991</v>
      </c>
      <c r="V53">
        <f>-626.06834412393 -70.2704478036583 -93.9938418483098</f>
        <v>-790.3326337758981</v>
      </c>
      <c r="W53" t="s">
        <v>992</v>
      </c>
      <c r="X53" t="s">
        <v>993</v>
      </c>
      <c r="Y53" t="s">
        <v>994</v>
      </c>
    </row>
    <row r="54" spans="1:25" x14ac:dyDescent="0.3">
      <c r="A54">
        <v>2650</v>
      </c>
      <c r="B54" t="s">
        <v>995</v>
      </c>
      <c r="C54" t="s">
        <v>996</v>
      </c>
      <c r="D54" t="s">
        <v>997</v>
      </c>
      <c r="E54" t="s">
        <v>998</v>
      </c>
      <c r="F54" t="s">
        <v>999</v>
      </c>
      <c r="G54" t="s">
        <v>1000</v>
      </c>
      <c r="H54" t="s">
        <v>1001</v>
      </c>
      <c r="I54" t="s">
        <v>1002</v>
      </c>
      <c r="J54" t="s">
        <v>1003</v>
      </c>
      <c r="K54" t="s">
        <v>1004</v>
      </c>
      <c r="L54" t="s">
        <v>1005</v>
      </c>
      <c r="M54" t="s">
        <v>1006</v>
      </c>
      <c r="N54">
        <f>-675.111135221486 -18.2345194538918 -529.707279985707</f>
        <v>-1223.0529346610849</v>
      </c>
      <c r="O54">
        <f>-702.649752603836 -168.520004225515 -498.200633732147</f>
        <v>-1369.370390561498</v>
      </c>
      <c r="P54">
        <f>-749.21239914052 -204.009731161303 -222.245887775538</f>
        <v>-1175.468018077361</v>
      </c>
      <c r="Q54">
        <f>-538.019847019928 -110.931859367084 -248.374943839579</f>
        <v>-897.32665022659103</v>
      </c>
      <c r="R54" t="s">
        <v>1007</v>
      </c>
      <c r="S54" t="s">
        <v>1008</v>
      </c>
      <c r="T54" t="s">
        <v>1009</v>
      </c>
      <c r="U54" t="s">
        <v>1010</v>
      </c>
      <c r="V54">
        <f>-626.450011206209 -70.4193855961848 -93.8980627073302</f>
        <v>-790.76745950972395</v>
      </c>
      <c r="W54" t="s">
        <v>1011</v>
      </c>
      <c r="X54" t="s">
        <v>1012</v>
      </c>
      <c r="Y54" t="s">
        <v>1013</v>
      </c>
    </row>
    <row r="55" spans="1:25" x14ac:dyDescent="0.3">
      <c r="A55">
        <v>2700</v>
      </c>
      <c r="B55" t="s">
        <v>1014</v>
      </c>
      <c r="C55" t="s">
        <v>1015</v>
      </c>
      <c r="D55" t="s">
        <v>1016</v>
      </c>
      <c r="E55" t="s">
        <v>1017</v>
      </c>
      <c r="F55" t="s">
        <v>1018</v>
      </c>
      <c r="G55" t="s">
        <v>1019</v>
      </c>
      <c r="H55" t="s">
        <v>1020</v>
      </c>
      <c r="I55" t="s">
        <v>1021</v>
      </c>
      <c r="J55" t="s">
        <v>1022</v>
      </c>
      <c r="K55" t="s">
        <v>1023</v>
      </c>
      <c r="L55" t="s">
        <v>1024</v>
      </c>
      <c r="M55" t="s">
        <v>1025</v>
      </c>
      <c r="N55">
        <f>-674.341415724836 -18.6907787426053 -529.73843242264</f>
        <v>-1222.7706268900813</v>
      </c>
      <c r="O55">
        <f>-701.731285763175 -168.990277237502 -498.145250157057</f>
        <v>-1368.866813157734</v>
      </c>
      <c r="P55">
        <f>-749.706249230842 -204.088304019273 -222.382494270682</f>
        <v>-1176.177047520797</v>
      </c>
      <c r="Q55">
        <f>-537.937345315429 -112.084831698922 -247.637363899715</f>
        <v>-897.65954091406593</v>
      </c>
      <c r="R55" t="s">
        <v>1026</v>
      </c>
      <c r="S55" t="s">
        <v>1027</v>
      </c>
      <c r="T55" t="s">
        <v>1028</v>
      </c>
      <c r="U55" t="s">
        <v>1029</v>
      </c>
      <c r="V55">
        <f>-627.028619865958 -70.764975875278 -93.7200415995209</f>
        <v>-791.51363734075687</v>
      </c>
      <c r="W55" t="s">
        <v>1030</v>
      </c>
      <c r="X55" t="s">
        <v>1031</v>
      </c>
      <c r="Y55" t="s">
        <v>1032</v>
      </c>
    </row>
    <row r="56" spans="1:25" x14ac:dyDescent="0.3">
      <c r="A56">
        <v>2750</v>
      </c>
      <c r="B56" t="s">
        <v>1033</v>
      </c>
      <c r="C56" t="s">
        <v>1034</v>
      </c>
      <c r="D56" t="s">
        <v>1035</v>
      </c>
      <c r="E56" t="s">
        <v>1036</v>
      </c>
      <c r="F56" t="s">
        <v>1037</v>
      </c>
      <c r="G56" t="s">
        <v>1038</v>
      </c>
      <c r="H56" t="s">
        <v>1039</v>
      </c>
      <c r="I56" t="s">
        <v>1040</v>
      </c>
      <c r="J56" t="s">
        <v>1041</v>
      </c>
      <c r="K56" t="s">
        <v>1042</v>
      </c>
      <c r="L56" t="s">
        <v>1043</v>
      </c>
      <c r="M56" t="s">
        <v>1044</v>
      </c>
      <c r="N56">
        <f>-673.797015635458 -18.7954005254521 -529.794243395346</f>
        <v>-1222.3866595562563</v>
      </c>
      <c r="O56">
        <f>-700.991194532727 -169.143392228222 -498.2758697729</f>
        <v>-1368.4104565338491</v>
      </c>
      <c r="P56">
        <f>-749.893940132848 -204.644702785352 -222.727796810997</f>
        <v>-1177.2664397291969</v>
      </c>
      <c r="Q56">
        <f>-538.178252957558 -112.368523786977 -247.42811894109</f>
        <v>-897.97489568562503</v>
      </c>
      <c r="R56" t="s">
        <v>1045</v>
      </c>
      <c r="S56" t="s">
        <v>1046</v>
      </c>
      <c r="T56" t="s">
        <v>1047</v>
      </c>
      <c r="U56" t="s">
        <v>1048</v>
      </c>
      <c r="V56">
        <f>-627.135959842247 -70.9665165988802 -93.6736779337467</f>
        <v>-791.77615437487384</v>
      </c>
      <c r="W56" t="s">
        <v>1049</v>
      </c>
      <c r="X56" t="s">
        <v>1050</v>
      </c>
      <c r="Y56" t="s">
        <v>1051</v>
      </c>
    </row>
    <row r="57" spans="1:25" x14ac:dyDescent="0.3">
      <c r="A57">
        <v>2800</v>
      </c>
      <c r="B57" t="s">
        <v>1052</v>
      </c>
      <c r="C57" t="s">
        <v>1053</v>
      </c>
      <c r="D57" t="s">
        <v>1054</v>
      </c>
      <c r="E57" t="s">
        <v>1055</v>
      </c>
      <c r="F57" t="s">
        <v>1056</v>
      </c>
      <c r="G57" t="s">
        <v>1057</v>
      </c>
      <c r="H57" t="s">
        <v>1058</v>
      </c>
      <c r="I57" t="s">
        <v>1059</v>
      </c>
      <c r="J57" t="s">
        <v>1060</v>
      </c>
      <c r="K57" t="s">
        <v>1061</v>
      </c>
      <c r="L57" t="s">
        <v>1062</v>
      </c>
      <c r="M57" t="s">
        <v>1063</v>
      </c>
      <c r="N57">
        <f>-672.699741026653 -19.1721250237765 -529.962919096579</f>
        <v>-1221.8347851470085</v>
      </c>
      <c r="O57">
        <f>-699.364038320292 -169.651644445545 -498.654118011264</f>
        <v>-1367.669800777101</v>
      </c>
      <c r="P57">
        <f>-749.630156042304 -206.329877959441 -223.505814140962</f>
        <v>-1179.4658481427068</v>
      </c>
      <c r="Q57">
        <f>-538.550595860333 -112.37309570455 -247.298313740152</f>
        <v>-898.22200530503505</v>
      </c>
      <c r="R57" t="s">
        <v>1064</v>
      </c>
      <c r="S57" t="s">
        <v>1065</v>
      </c>
      <c r="T57" t="s">
        <v>1066</v>
      </c>
      <c r="U57" t="s">
        <v>1067</v>
      </c>
      <c r="V57">
        <f>-627.23790078901 -71.2892637946334 -93.7054279333745</f>
        <v>-792.23259251701791</v>
      </c>
      <c r="W57" t="s">
        <v>1068</v>
      </c>
      <c r="X57" t="s">
        <v>1069</v>
      </c>
      <c r="Y57" t="s">
        <v>1070</v>
      </c>
    </row>
    <row r="58" spans="1:25" x14ac:dyDescent="0.3">
      <c r="A58">
        <v>2850</v>
      </c>
      <c r="B58" t="s">
        <v>1071</v>
      </c>
      <c r="C58" t="s">
        <v>1072</v>
      </c>
      <c r="D58" t="s">
        <v>1073</v>
      </c>
      <c r="E58" t="s">
        <v>1074</v>
      </c>
      <c r="F58" t="s">
        <v>1075</v>
      </c>
      <c r="G58" t="s">
        <v>1076</v>
      </c>
      <c r="H58" t="s">
        <v>1077</v>
      </c>
      <c r="I58" t="s">
        <v>1078</v>
      </c>
      <c r="J58" t="s">
        <v>1079</v>
      </c>
      <c r="K58" t="s">
        <v>1080</v>
      </c>
      <c r="L58" t="s">
        <v>1081</v>
      </c>
      <c r="M58" t="s">
        <v>1082</v>
      </c>
      <c r="N58">
        <f>-672.508977932438 -19.3527822875208 -530.031396777672</f>
        <v>-1221.8931569976307</v>
      </c>
      <c r="O58">
        <f>-698.8106351737 -169.92953856572 -498.848599025701</f>
        <v>-1367.5887727651211</v>
      </c>
      <c r="P58">
        <f>-749.343457875492 -206.947626196619 -223.794719356866</f>
        <v>-1180.085803428977</v>
      </c>
      <c r="Q58">
        <f>-538.665597566161 -112.050116684265 -247.412631693435</f>
        <v>-898.12834594386095</v>
      </c>
      <c r="R58" t="s">
        <v>1083</v>
      </c>
      <c r="S58" t="s">
        <v>1084</v>
      </c>
      <c r="T58" t="s">
        <v>1085</v>
      </c>
      <c r="U58" t="s">
        <v>1086</v>
      </c>
      <c r="V58">
        <f>-627.407486085065 -71.52976006155 -93.773232183759</f>
        <v>-792.71047833037392</v>
      </c>
      <c r="W58" t="s">
        <v>1087</v>
      </c>
      <c r="X58" t="s">
        <v>1088</v>
      </c>
      <c r="Y58" t="s">
        <v>1089</v>
      </c>
    </row>
    <row r="59" spans="1:25" x14ac:dyDescent="0.3">
      <c r="A59">
        <v>2900</v>
      </c>
      <c r="B59" t="s">
        <v>1090</v>
      </c>
      <c r="C59" t="s">
        <v>1091</v>
      </c>
      <c r="D59" t="s">
        <v>1092</v>
      </c>
      <c r="E59" t="s">
        <v>1093</v>
      </c>
      <c r="F59" t="s">
        <v>1094</v>
      </c>
      <c r="G59" t="s">
        <v>1095</v>
      </c>
      <c r="H59" t="s">
        <v>1096</v>
      </c>
      <c r="I59" t="s">
        <v>1097</v>
      </c>
      <c r="J59" t="s">
        <v>1098</v>
      </c>
      <c r="K59" t="s">
        <v>1099</v>
      </c>
      <c r="L59" t="s">
        <v>1100</v>
      </c>
      <c r="M59" t="s">
        <v>1101</v>
      </c>
      <c r="N59">
        <f>-673.695540753393 -19.5033748740962 -530.203008411599</f>
        <v>-1223.401924039088</v>
      </c>
      <c r="O59">
        <f>-699.195075039359 -170.279922307405 -499.373861515305</f>
        <v>-1368.8488588620689</v>
      </c>
      <c r="P59">
        <f>-749.229640938012 -207.935132187024 -224.315363013138</f>
        <v>-1181.480136138174</v>
      </c>
      <c r="Q59">
        <f>-539.509795793284 -110.885737775948 -247.714689827983</f>
        <v>-898.1102233972149</v>
      </c>
      <c r="R59" t="s">
        <v>1102</v>
      </c>
      <c r="S59" t="s">
        <v>1103</v>
      </c>
      <c r="T59" t="s">
        <v>1104</v>
      </c>
      <c r="U59" t="s">
        <v>1105</v>
      </c>
      <c r="V59">
        <f>-628.108056215696 -72.1874008191273 -94.0098049348894</f>
        <v>-794.30526196971277</v>
      </c>
      <c r="W59" t="s">
        <v>1106</v>
      </c>
      <c r="X59" t="s">
        <v>1107</v>
      </c>
      <c r="Y59" t="s">
        <v>1108</v>
      </c>
    </row>
    <row r="60" spans="1:25" x14ac:dyDescent="0.3">
      <c r="A60">
        <v>2950</v>
      </c>
      <c r="B60" t="s">
        <v>1109</v>
      </c>
      <c r="C60" t="s">
        <v>1110</v>
      </c>
      <c r="D60" t="s">
        <v>1111</v>
      </c>
      <c r="E60" t="s">
        <v>1112</v>
      </c>
      <c r="F60" t="s">
        <v>1113</v>
      </c>
      <c r="G60" t="s">
        <v>1114</v>
      </c>
      <c r="H60" t="s">
        <v>1115</v>
      </c>
      <c r="I60" t="s">
        <v>1116</v>
      </c>
      <c r="J60" t="s">
        <v>1117</v>
      </c>
      <c r="K60" t="s">
        <v>1118</v>
      </c>
      <c r="L60" t="s">
        <v>1119</v>
      </c>
      <c r="M60" t="s">
        <v>1120</v>
      </c>
      <c r="N60">
        <f>-674.670856820255 -19.6041429913716 -530.313330232778</f>
        <v>-1224.5883300444048</v>
      </c>
      <c r="O60">
        <f>-699.833641670735 -170.474309375094 -499.612302656403</f>
        <v>-1369.920253702232</v>
      </c>
      <c r="P60">
        <f>-748.997755347262 -208.487532703773 -224.445967985293</f>
        <v>-1181.931256036328</v>
      </c>
      <c r="Q60">
        <f>-539.645259190026 -110.601373533268 -247.647988185897</f>
        <v>-897.89462090919096</v>
      </c>
      <c r="R60" t="s">
        <v>1121</v>
      </c>
      <c r="S60" t="s">
        <v>1122</v>
      </c>
      <c r="T60" t="s">
        <v>1123</v>
      </c>
      <c r="U60" t="s">
        <v>1124</v>
      </c>
      <c r="V60">
        <f>-628.609925466266 -72.5641064979482 -94.1601737533143</f>
        <v>-795.33420571752845</v>
      </c>
      <c r="W60" t="s">
        <v>1125</v>
      </c>
      <c r="X60" t="s">
        <v>1126</v>
      </c>
      <c r="Y60" t="s">
        <v>1127</v>
      </c>
    </row>
    <row r="61" spans="1:25" x14ac:dyDescent="0.3">
      <c r="A61">
        <v>3000</v>
      </c>
      <c r="B61" t="s">
        <v>1128</v>
      </c>
      <c r="C61" t="s">
        <v>1129</v>
      </c>
      <c r="D61" t="s">
        <v>1130</v>
      </c>
      <c r="E61" t="s">
        <v>1131</v>
      </c>
      <c r="F61" t="s">
        <v>1132</v>
      </c>
      <c r="G61" t="s">
        <v>1133</v>
      </c>
      <c r="H61" t="s">
        <v>1134</v>
      </c>
      <c r="I61" t="s">
        <v>1135</v>
      </c>
      <c r="J61" t="s">
        <v>1136</v>
      </c>
      <c r="K61" t="s">
        <v>1137</v>
      </c>
      <c r="L61" t="s">
        <v>1138</v>
      </c>
      <c r="M61" t="s">
        <v>1139</v>
      </c>
      <c r="N61">
        <f>-676.260568497052 -19.826907255188 -530.572336056307</f>
        <v>-1226.6598118085469</v>
      </c>
      <c r="O61">
        <f>-700.598096967392 -170.935544143701 -500.364843034703</f>
        <v>-1371.8984841457959</v>
      </c>
      <c r="P61">
        <f>-748.002439150146 -210.041998966721 -225.042952702445</f>
        <v>-1183.0873908193121</v>
      </c>
      <c r="Q61">
        <f>-539.134151872151 -110.980559959843 -247.612972091315</f>
        <v>-897.72768392330909</v>
      </c>
      <c r="R61" t="s">
        <v>1140</v>
      </c>
      <c r="S61" t="s">
        <v>1141</v>
      </c>
      <c r="T61" t="s">
        <v>1142</v>
      </c>
      <c r="U61" t="s">
        <v>1143</v>
      </c>
      <c r="V61">
        <f>-629.433400839578 -73.1104650182801 -94.4696990425155</f>
        <v>-797.01356490037358</v>
      </c>
      <c r="W61" t="s">
        <v>1144</v>
      </c>
      <c r="X61" t="s">
        <v>1145</v>
      </c>
      <c r="Y61" t="s">
        <v>1146</v>
      </c>
    </row>
    <row r="62" spans="1:25" x14ac:dyDescent="0.3">
      <c r="A62">
        <v>3050</v>
      </c>
      <c r="B62" t="s">
        <v>1147</v>
      </c>
      <c r="C62" t="s">
        <v>1148</v>
      </c>
      <c r="D62" t="s">
        <v>1149</v>
      </c>
      <c r="E62" t="s">
        <v>1150</v>
      </c>
      <c r="F62" t="s">
        <v>1151</v>
      </c>
      <c r="G62" t="s">
        <v>1152</v>
      </c>
      <c r="H62" t="s">
        <v>1153</v>
      </c>
      <c r="I62" t="s">
        <v>1154</v>
      </c>
      <c r="J62" t="s">
        <v>1155</v>
      </c>
      <c r="K62" t="s">
        <v>1156</v>
      </c>
      <c r="L62" t="s">
        <v>1157</v>
      </c>
      <c r="M62" t="s">
        <v>1158</v>
      </c>
      <c r="N62">
        <f>-677.049414445582 -19.7768619463031 -530.670373960508</f>
        <v>-1227.4966503523931</v>
      </c>
      <c r="O62">
        <f>-700.99494232572 -171.021522516464 -500.788973887418</f>
        <v>-1372.805438729602</v>
      </c>
      <c r="P62">
        <f>-747.487911005439 -210.998290579726 -225.436874430875</f>
        <v>-1183.9230760160399</v>
      </c>
      <c r="Q62">
        <f>-538.94979042882 -111.224267031427 -247.919650694157</f>
        <v>-898.093708154404</v>
      </c>
      <c r="R62" t="s">
        <v>1159</v>
      </c>
      <c r="S62" t="s">
        <v>1160</v>
      </c>
      <c r="T62" t="s">
        <v>1161</v>
      </c>
      <c r="U62" t="s">
        <v>1162</v>
      </c>
      <c r="V62">
        <f>-629.675291050253 -73.3233928976904 -94.5706546872044</f>
        <v>-797.5693386351478</v>
      </c>
      <c r="W62" t="s">
        <v>1163</v>
      </c>
      <c r="X62" t="s">
        <v>1164</v>
      </c>
      <c r="Y62" t="s">
        <v>1165</v>
      </c>
    </row>
    <row r="63" spans="1:25" x14ac:dyDescent="0.3">
      <c r="A63">
        <v>3100</v>
      </c>
      <c r="B63" t="s">
        <v>1166</v>
      </c>
      <c r="C63" t="s">
        <v>1167</v>
      </c>
      <c r="D63" t="s">
        <v>1168</v>
      </c>
      <c r="E63" t="s">
        <v>1169</v>
      </c>
      <c r="F63" t="s">
        <v>1170</v>
      </c>
      <c r="G63" t="s">
        <v>1171</v>
      </c>
      <c r="H63" t="s">
        <v>1172</v>
      </c>
      <c r="I63" t="s">
        <v>1173</v>
      </c>
      <c r="J63" t="s">
        <v>1174</v>
      </c>
      <c r="K63" t="s">
        <v>1175</v>
      </c>
      <c r="L63" t="s">
        <v>1176</v>
      </c>
      <c r="M63" t="s">
        <v>1177</v>
      </c>
      <c r="N63">
        <f>-678.199787342376 -19.0671185378656 -530.783735475242</f>
        <v>-1228.0506413554835</v>
      </c>
      <c r="O63">
        <f>-701.5310827871 -170.550637131906 -501.663516586006</f>
        <v>-1373.7452365050119</v>
      </c>
      <c r="P63">
        <f>-746.532000984248 -212.612409380699 -226.373988461724</f>
        <v>-1185.518398826671</v>
      </c>
      <c r="Q63">
        <f>-539.074187642523 -110.684830263417 -249.18913798628</f>
        <v>-898.94815589222003</v>
      </c>
      <c r="R63" t="s">
        <v>1178</v>
      </c>
      <c r="S63" t="s">
        <v>1179</v>
      </c>
      <c r="T63" t="s">
        <v>1180</v>
      </c>
      <c r="U63" t="s">
        <v>1181</v>
      </c>
      <c r="V63">
        <f>-629.598090387126 -73.3392626480345 -94.6540931435802</f>
        <v>-797.59144617874074</v>
      </c>
      <c r="W63" t="s">
        <v>1182</v>
      </c>
      <c r="X63" t="s">
        <v>1183</v>
      </c>
      <c r="Y63" t="s">
        <v>1184</v>
      </c>
    </row>
    <row r="64" spans="1:25" x14ac:dyDescent="0.3">
      <c r="A64">
        <v>3150</v>
      </c>
      <c r="B64" t="s">
        <v>1185</v>
      </c>
      <c r="C64" t="s">
        <v>1186</v>
      </c>
      <c r="D64" t="s">
        <v>1187</v>
      </c>
      <c r="E64" t="s">
        <v>1188</v>
      </c>
      <c r="F64" t="s">
        <v>1189</v>
      </c>
      <c r="G64" t="s">
        <v>1190</v>
      </c>
      <c r="H64" t="s">
        <v>1191</v>
      </c>
      <c r="I64" t="s">
        <v>1192</v>
      </c>
      <c r="J64" t="s">
        <v>1193</v>
      </c>
      <c r="K64" t="s">
        <v>1194</v>
      </c>
      <c r="L64" t="s">
        <v>1195</v>
      </c>
      <c r="M64" t="s">
        <v>1196</v>
      </c>
      <c r="N64">
        <f>-678.609139019756 -18.493886211425 -530.776339071405</f>
        <v>-1227.8793643025861</v>
      </c>
      <c r="O64">
        <f>-701.778017086757 -170.072475745568 -502.034815076699</f>
        <v>-1373.885307909024</v>
      </c>
      <c r="P64">
        <f>-746.201596351563 -212.772992425193 -226.749867445001</f>
        <v>-1185.724456221757</v>
      </c>
      <c r="Q64">
        <f>-539.073313153272 -110.252487229624 -249.900187574157</f>
        <v>-899.22598795705301</v>
      </c>
      <c r="R64" t="s">
        <v>1197</v>
      </c>
      <c r="S64" t="s">
        <v>1198</v>
      </c>
      <c r="T64" t="s">
        <v>1199</v>
      </c>
      <c r="U64" t="s">
        <v>1200</v>
      </c>
      <c r="V64">
        <f>-629.323964255652 -73.3093083277702 -94.6160803924672</f>
        <v>-797.24935297588934</v>
      </c>
      <c r="W64" t="s">
        <v>1201</v>
      </c>
      <c r="X64" t="s">
        <v>1202</v>
      </c>
      <c r="Y64" t="s">
        <v>1203</v>
      </c>
    </row>
    <row r="65" spans="1:25" x14ac:dyDescent="0.3">
      <c r="A65">
        <v>3200</v>
      </c>
      <c r="B65" t="s">
        <v>1204</v>
      </c>
      <c r="C65" t="s">
        <v>1205</v>
      </c>
      <c r="D65" t="s">
        <v>1206</v>
      </c>
      <c r="E65" t="s">
        <v>1207</v>
      </c>
      <c r="F65" t="s">
        <v>1208</v>
      </c>
      <c r="G65" t="s">
        <v>1209</v>
      </c>
      <c r="H65" t="s">
        <v>1210</v>
      </c>
      <c r="I65" t="s">
        <v>1211</v>
      </c>
      <c r="J65" t="s">
        <v>1212</v>
      </c>
      <c r="K65" t="s">
        <v>1213</v>
      </c>
      <c r="L65" t="s">
        <v>1214</v>
      </c>
      <c r="M65" t="s">
        <v>1215</v>
      </c>
      <c r="N65">
        <f>-678.800326795781 -17.3439355845162 -530.610061067463</f>
        <v>-1226.7543234477603</v>
      </c>
      <c r="O65">
        <f>-701.848019430405 -169.027506451922 -502.358566858417</f>
        <v>-1373.234092740744</v>
      </c>
      <c r="P65">
        <f>-745.512980740893 -212.38148215053 -227.054484820313</f>
        <v>-1184.9489477117361</v>
      </c>
      <c r="Q65">
        <f>-538.539888044574 -109.696374485478 -250.853893008251</f>
        <v>-899.09015553830307</v>
      </c>
      <c r="R65" t="s">
        <v>1216</v>
      </c>
      <c r="S65" t="s">
        <v>1217</v>
      </c>
      <c r="T65" t="s">
        <v>1218</v>
      </c>
      <c r="U65" t="s">
        <v>1219</v>
      </c>
      <c r="V65">
        <f>-628.447315669112 -73.1876617343428 -94.3577915390528</f>
        <v>-795.9927689425075</v>
      </c>
      <c r="W65" t="s">
        <v>1220</v>
      </c>
      <c r="X65" t="s">
        <v>1221</v>
      </c>
      <c r="Y65" t="s">
        <v>1222</v>
      </c>
    </row>
    <row r="66" spans="1:25" x14ac:dyDescent="0.3">
      <c r="A66">
        <v>3250</v>
      </c>
      <c r="B66" t="s">
        <v>1223</v>
      </c>
      <c r="C66" t="s">
        <v>1224</v>
      </c>
      <c r="D66" t="s">
        <v>1225</v>
      </c>
      <c r="E66" t="s">
        <v>1226</v>
      </c>
      <c r="F66" t="s">
        <v>1227</v>
      </c>
      <c r="G66" t="s">
        <v>1228</v>
      </c>
      <c r="H66" t="s">
        <v>1229</v>
      </c>
      <c r="I66" t="s">
        <v>1230</v>
      </c>
      <c r="J66" t="s">
        <v>1231</v>
      </c>
      <c r="K66" t="s">
        <v>1232</v>
      </c>
      <c r="L66" t="s">
        <v>1233</v>
      </c>
      <c r="M66" t="s">
        <v>1234</v>
      </c>
      <c r="N66">
        <f>-678.522966253851 -16.7803580164609 -530.506320316845</f>
        <v>-1225.809644587157</v>
      </c>
      <c r="O66">
        <f>-701.621031143487 -168.486371144076 -502.419661936759</f>
        <v>-1372.527064224322</v>
      </c>
      <c r="P66">
        <f>-745.167068606936 -212.072280962311 -227.133133629977</f>
        <v>-1184.372483199224</v>
      </c>
      <c r="Q66">
        <f>-538.101219278549 -109.581104760678 -250.961838321815</f>
        <v>-898.64416236104205</v>
      </c>
      <c r="R66" t="s">
        <v>1235</v>
      </c>
      <c r="S66" t="s">
        <v>1236</v>
      </c>
      <c r="T66" t="s">
        <v>1237</v>
      </c>
      <c r="U66" t="s">
        <v>1238</v>
      </c>
      <c r="V66">
        <f>-627.900657081839 -73.0776546449106 -94.2057759616031</f>
        <v>-795.18408768835263</v>
      </c>
      <c r="W66" t="s">
        <v>1239</v>
      </c>
      <c r="X66" t="s">
        <v>1240</v>
      </c>
      <c r="Y66" t="s">
        <v>1241</v>
      </c>
    </row>
    <row r="67" spans="1:25" x14ac:dyDescent="0.3">
      <c r="A67">
        <v>3300</v>
      </c>
      <c r="B67" t="s">
        <v>1242</v>
      </c>
      <c r="C67" t="s">
        <v>1243</v>
      </c>
      <c r="D67" t="s">
        <v>1244</v>
      </c>
      <c r="E67" t="s">
        <v>1245</v>
      </c>
      <c r="F67" t="s">
        <v>1246</v>
      </c>
      <c r="G67" t="s">
        <v>1247</v>
      </c>
      <c r="H67" t="s">
        <v>1248</v>
      </c>
      <c r="I67" t="s">
        <v>1249</v>
      </c>
      <c r="J67" t="s">
        <v>1250</v>
      </c>
      <c r="K67" t="s">
        <v>1251</v>
      </c>
      <c r="L67" t="s">
        <v>1252</v>
      </c>
      <c r="M67" t="s">
        <v>1253</v>
      </c>
      <c r="N67">
        <f>-677.842976158703 -15.6500105793889 -530.261019275355</f>
        <v>-1223.754006013447</v>
      </c>
      <c r="O67">
        <f>-701.148920166892 -167.36313275742 -502.370477346994</f>
        <v>-1370.882530271306</v>
      </c>
      <c r="P67">
        <f>-745.369221495305 -211.277887349086 -227.243818640094</f>
        <v>-1183.890927484485</v>
      </c>
      <c r="Q67">
        <f>-537.693329939515 -109.909925480577 -250.562422299366</f>
        <v>-898.16567771945802</v>
      </c>
      <c r="R67" t="s">
        <v>1254</v>
      </c>
      <c r="S67" t="s">
        <v>1255</v>
      </c>
      <c r="T67" t="s">
        <v>1256</v>
      </c>
      <c r="U67" t="s">
        <v>1257</v>
      </c>
      <c r="V67">
        <f>-626.82601232075 -72.7065391825051 -93.9923238622418</f>
        <v>-793.524875365497</v>
      </c>
      <c r="W67" t="s">
        <v>1258</v>
      </c>
      <c r="X67" t="s">
        <v>1259</v>
      </c>
      <c r="Y67" t="s">
        <v>1260</v>
      </c>
    </row>
    <row r="68" spans="1:25" x14ac:dyDescent="0.3">
      <c r="A68">
        <v>3350</v>
      </c>
      <c r="B68" t="s">
        <v>1261</v>
      </c>
      <c r="C68" t="s">
        <v>1262</v>
      </c>
      <c r="D68" t="s">
        <v>1263</v>
      </c>
      <c r="E68" t="s">
        <v>1264</v>
      </c>
      <c r="F68" t="s">
        <v>1265</v>
      </c>
      <c r="G68" t="s">
        <v>1266</v>
      </c>
      <c r="H68" t="s">
        <v>1267</v>
      </c>
      <c r="I68" t="s">
        <v>1268</v>
      </c>
      <c r="J68" t="s">
        <v>1269</v>
      </c>
      <c r="K68" t="s">
        <v>1270</v>
      </c>
      <c r="L68" t="s">
        <v>1271</v>
      </c>
      <c r="M68" t="s">
        <v>1272</v>
      </c>
      <c r="N68">
        <f>-677.481185157023 -15.1373389742369 -530.165095065322</f>
        <v>-1222.7836191965819</v>
      </c>
      <c r="O68">
        <f>-701.013183371633 -166.826766840222 -502.339441738238</f>
        <v>-1370.1793919500931</v>
      </c>
      <c r="P68">
        <f>-745.903423157874 -210.784086799805 -227.32823203421</f>
        <v>-1184.0157419918889</v>
      </c>
      <c r="Q68">
        <f>-537.916882707219 -109.98192909179 -250.329139342827</f>
        <v>-898.227951141836</v>
      </c>
      <c r="R68" t="s">
        <v>1273</v>
      </c>
      <c r="S68" t="s">
        <v>1274</v>
      </c>
      <c r="T68" t="s">
        <v>1275</v>
      </c>
      <c r="U68" t="s">
        <v>1276</v>
      </c>
      <c r="V68">
        <f>-626.343788519909 -72.5730120398007 -93.9305111815919</f>
        <v>-792.84731174130161</v>
      </c>
      <c r="W68" t="s">
        <v>1277</v>
      </c>
      <c r="X68" t="s">
        <v>1278</v>
      </c>
      <c r="Y68" t="s">
        <v>1279</v>
      </c>
    </row>
    <row r="69" spans="1:25" x14ac:dyDescent="0.3">
      <c r="A69">
        <v>3400</v>
      </c>
      <c r="B69" t="s">
        <v>1280</v>
      </c>
      <c r="C69" t="s">
        <v>1281</v>
      </c>
      <c r="D69" t="s">
        <v>1282</v>
      </c>
      <c r="E69" t="s">
        <v>1283</v>
      </c>
      <c r="F69" t="s">
        <v>1284</v>
      </c>
      <c r="G69" t="s">
        <v>1285</v>
      </c>
      <c r="H69" t="s">
        <v>1286</v>
      </c>
      <c r="I69" t="s">
        <v>1287</v>
      </c>
      <c r="J69" t="s">
        <v>1288</v>
      </c>
      <c r="K69" t="s">
        <v>1289</v>
      </c>
      <c r="L69" t="s">
        <v>1290</v>
      </c>
      <c r="M69" t="s">
        <v>1291</v>
      </c>
      <c r="N69">
        <f>-676.843406777907 -14.2708364076352 -530.05446341922</f>
        <v>-1221.1687066047623</v>
      </c>
      <c r="O69">
        <f>-701.048733727744 -165.844905450172 -502.185494966714</f>
        <v>-1369.07913414463</v>
      </c>
      <c r="P69">
        <f>-747.428663846224 -209.183341795597 -227.323177648082</f>
        <v>-1183.9351832899031</v>
      </c>
      <c r="Q69">
        <f>-538.650072558712 -109.862504141794 -249.580801396305</f>
        <v>-898.09337809681108</v>
      </c>
      <c r="R69" t="s">
        <v>1292</v>
      </c>
      <c r="S69" t="s">
        <v>1293</v>
      </c>
      <c r="T69" t="s">
        <v>1294</v>
      </c>
      <c r="U69" t="s">
        <v>1295</v>
      </c>
      <c r="V69">
        <f>-625.423866750195 -72.155187952548 -93.8773098685996</f>
        <v>-791.45636457134253</v>
      </c>
      <c r="W69" t="s">
        <v>1296</v>
      </c>
      <c r="X69" t="s">
        <v>1297</v>
      </c>
      <c r="Y69" t="s">
        <v>1298</v>
      </c>
    </row>
    <row r="70" spans="1:25" x14ac:dyDescent="0.3">
      <c r="A70">
        <v>3450</v>
      </c>
      <c r="B70" t="s">
        <v>1299</v>
      </c>
      <c r="C70" t="s">
        <v>1300</v>
      </c>
      <c r="D70" t="s">
        <v>1301</v>
      </c>
      <c r="E70" t="s">
        <v>1302</v>
      </c>
      <c r="F70" t="s">
        <v>1303</v>
      </c>
      <c r="G70" t="s">
        <v>1304</v>
      </c>
      <c r="H70" t="s">
        <v>1305</v>
      </c>
      <c r="I70" t="s">
        <v>1306</v>
      </c>
      <c r="J70" t="s">
        <v>1307</v>
      </c>
      <c r="K70" t="s">
        <v>1308</v>
      </c>
      <c r="L70" t="s">
        <v>1309</v>
      </c>
      <c r="M70" t="s">
        <v>1310</v>
      </c>
      <c r="N70">
        <f>-676.092486049757 -13.9238196848471 -530.087829900725</f>
        <v>-1220.1041356353289</v>
      </c>
      <c r="O70">
        <f>-700.654064241113 -165.425665633324 -502.109820439224</f>
        <v>-1368.1895503136611</v>
      </c>
      <c r="P70">
        <f>-747.900994875717 -208.039333344747 -227.281818740122</f>
        <v>-1183.2221469605859</v>
      </c>
      <c r="Q70">
        <f>-538.487531581999 -109.987484573441 -249.198803644481</f>
        <v>-897.67381979992092</v>
      </c>
      <c r="R70" t="s">
        <v>1311</v>
      </c>
      <c r="S70" t="s">
        <v>1312</v>
      </c>
      <c r="T70" t="s">
        <v>1313</v>
      </c>
      <c r="U70" t="s">
        <v>1314</v>
      </c>
      <c r="V70">
        <f>-625.183674106876 -71.9415645176671 -93.8881076471675</f>
        <v>-791.01334627171059</v>
      </c>
      <c r="W70" t="s">
        <v>1315</v>
      </c>
      <c r="X70" t="s">
        <v>1316</v>
      </c>
      <c r="Y70" t="s">
        <v>1317</v>
      </c>
    </row>
    <row r="71" spans="1:25" x14ac:dyDescent="0.3">
      <c r="A71">
        <v>3500</v>
      </c>
      <c r="B71" t="s">
        <v>1318</v>
      </c>
      <c r="C71" t="s">
        <v>1319</v>
      </c>
      <c r="D71" t="s">
        <v>1320</v>
      </c>
      <c r="E71" t="s">
        <v>1321</v>
      </c>
      <c r="F71" t="s">
        <v>1322</v>
      </c>
      <c r="G71" t="s">
        <v>1323</v>
      </c>
      <c r="H71" t="s">
        <v>1324</v>
      </c>
      <c r="I71" t="s">
        <v>1325</v>
      </c>
      <c r="J71" t="s">
        <v>1326</v>
      </c>
      <c r="K71" t="s">
        <v>1327</v>
      </c>
      <c r="L71" t="s">
        <v>1328</v>
      </c>
      <c r="M71" t="s">
        <v>1329</v>
      </c>
      <c r="N71">
        <f>-673.637497798349 -13.2323682543627 -530.359469669964</f>
        <v>-1217.2293357226758</v>
      </c>
      <c r="O71">
        <f>-698.903009410786 -164.558512001356 -502.103594425794</f>
        <v>-1365.565115837936</v>
      </c>
      <c r="P71">
        <f>-747.850206943288 -205.673408531472 -227.34501627332</f>
        <v>-1180.8686317480799</v>
      </c>
      <c r="Q71">
        <f>-537.216853816173 -110.213580483054 -249.013115804068</f>
        <v>-896.44355010329502</v>
      </c>
      <c r="R71" t="s">
        <v>1330</v>
      </c>
      <c r="S71" t="s">
        <v>1331</v>
      </c>
      <c r="T71" t="s">
        <v>1332</v>
      </c>
      <c r="U71" t="s">
        <v>1333</v>
      </c>
      <c r="V71">
        <f>-625.140978661722 -71.357580218282 -94.0317795498099</f>
        <v>-790.53033842981392</v>
      </c>
      <c r="W71" t="s">
        <v>1334</v>
      </c>
      <c r="X71" t="s">
        <v>1335</v>
      </c>
      <c r="Y71" t="s">
        <v>1336</v>
      </c>
    </row>
    <row r="72" spans="1:25" x14ac:dyDescent="0.3">
      <c r="A72">
        <v>3550</v>
      </c>
      <c r="B72" t="s">
        <v>1337</v>
      </c>
      <c r="C72" t="s">
        <v>1338</v>
      </c>
      <c r="D72" t="s">
        <v>1339</v>
      </c>
      <c r="E72" t="s">
        <v>1340</v>
      </c>
      <c r="F72" t="s">
        <v>1341</v>
      </c>
      <c r="G72" t="s">
        <v>1342</v>
      </c>
      <c r="H72" t="s">
        <v>1343</v>
      </c>
      <c r="I72" t="s">
        <v>1344</v>
      </c>
      <c r="J72" t="s">
        <v>1345</v>
      </c>
      <c r="K72" t="s">
        <v>1346</v>
      </c>
      <c r="L72" t="s">
        <v>1347</v>
      </c>
      <c r="M72" t="s">
        <v>1348</v>
      </c>
      <c r="N72">
        <f>-672.42190897161 -12.9858535717499 -530.552747995778</f>
        <v>-1215.9605105391379</v>
      </c>
      <c r="O72">
        <f>-698.064964885663 -164.226218721495 -502.191084064829</f>
        <v>-1364.4822676719871</v>
      </c>
      <c r="P72">
        <f>-747.633328158808 -204.782393289873 -227.460728281761</f>
        <v>-1179.8764497304419</v>
      </c>
      <c r="Q72">
        <f>-536.574114706254 -110.283746697045 -249.199417259401</f>
        <v>-896.05727866270001</v>
      </c>
      <c r="R72" t="s">
        <v>1349</v>
      </c>
      <c r="S72" t="s">
        <v>1350</v>
      </c>
      <c r="T72" t="s">
        <v>1351</v>
      </c>
      <c r="U72" t="s">
        <v>1352</v>
      </c>
      <c r="V72">
        <f>-625.181960776368 -71.1041871488562 -94.1422201192895</f>
        <v>-790.42836804451372</v>
      </c>
      <c r="W72" t="s">
        <v>1353</v>
      </c>
      <c r="X72" t="s">
        <v>1354</v>
      </c>
      <c r="Y72" t="s">
        <v>1355</v>
      </c>
    </row>
    <row r="73" spans="1:25" x14ac:dyDescent="0.3">
      <c r="A73">
        <v>3600</v>
      </c>
      <c r="B73" t="s">
        <v>1356</v>
      </c>
      <c r="C73" t="s">
        <v>1357</v>
      </c>
      <c r="D73" t="s">
        <v>1358</v>
      </c>
      <c r="E73" t="s">
        <v>1359</v>
      </c>
      <c r="F73" t="s">
        <v>1360</v>
      </c>
      <c r="G73" t="s">
        <v>1361</v>
      </c>
      <c r="H73" t="s">
        <v>1362</v>
      </c>
      <c r="I73" t="s">
        <v>1363</v>
      </c>
      <c r="J73" t="s">
        <v>1364</v>
      </c>
      <c r="K73" t="s">
        <v>1365</v>
      </c>
      <c r="L73" t="s">
        <v>1366</v>
      </c>
      <c r="M73" t="s">
        <v>1367</v>
      </c>
      <c r="N73">
        <f>-670.465275767863 -12.6128381709971 -530.928101401834</f>
        <v>-1214.0062153406941</v>
      </c>
      <c r="O73">
        <f>-696.789885769099 -163.704579048159 -502.383138681488</f>
        <v>-1362.8776034987459</v>
      </c>
      <c r="P73">
        <f>-747.021699236594 -203.737851367369 -227.696613936433</f>
        <v>-1178.456164540396</v>
      </c>
      <c r="Q73">
        <f>-535.426346756574 -110.44276252107 -249.420867825361</f>
        <v>-895.28997710300507</v>
      </c>
      <c r="R73" t="s">
        <v>1368</v>
      </c>
      <c r="S73" t="s">
        <v>1369</v>
      </c>
      <c r="T73" t="s">
        <v>1370</v>
      </c>
      <c r="U73" t="s">
        <v>1371</v>
      </c>
      <c r="V73">
        <f>-625.131637040891 -70.917183049017 -94.3105559545123</f>
        <v>-790.35937604442029</v>
      </c>
      <c r="W73" t="s">
        <v>1372</v>
      </c>
      <c r="X73" t="s">
        <v>1373</v>
      </c>
      <c r="Y73" t="s">
        <v>1374</v>
      </c>
    </row>
    <row r="74" spans="1:25" x14ac:dyDescent="0.3">
      <c r="A74">
        <v>3650</v>
      </c>
      <c r="B74" t="s">
        <v>1375</v>
      </c>
      <c r="C74" t="s">
        <v>1376</v>
      </c>
      <c r="D74" t="s">
        <v>1377</v>
      </c>
      <c r="E74" t="s">
        <v>1378</v>
      </c>
      <c r="F74" t="s">
        <v>1379</v>
      </c>
      <c r="G74" t="s">
        <v>1380</v>
      </c>
      <c r="H74" t="s">
        <v>1381</v>
      </c>
      <c r="I74" t="s">
        <v>1382</v>
      </c>
      <c r="J74" t="s">
        <v>1383</v>
      </c>
      <c r="K74" t="s">
        <v>1384</v>
      </c>
      <c r="L74" t="s">
        <v>1385</v>
      </c>
      <c r="M74" t="s">
        <v>1386</v>
      </c>
      <c r="N74">
        <f>-669.62620083205 -12.4580452479267 -531.079715319826</f>
        <v>-1213.1639613998027</v>
      </c>
      <c r="O74">
        <f>-696.247326089236 -163.496266290649 -502.500773202531</f>
        <v>-1362.2443655824161</v>
      </c>
      <c r="P74">
        <f>-746.71938838116 -203.384446738811 -227.837252885071</f>
        <v>-1177.941088005042</v>
      </c>
      <c r="Q74">
        <f>-534.8725586259 -110.666704625542 -249.583934829183</f>
        <v>-895.123198080625</v>
      </c>
      <c r="R74" t="s">
        <v>1387</v>
      </c>
      <c r="S74" t="s">
        <v>1388</v>
      </c>
      <c r="T74" t="s">
        <v>1389</v>
      </c>
      <c r="U74" t="s">
        <v>1390</v>
      </c>
      <c r="V74">
        <f>-624.957304476132 -70.9376733122601 -94.3655085419605</f>
        <v>-790.26048633035259</v>
      </c>
      <c r="W74" t="s">
        <v>1391</v>
      </c>
      <c r="X74" t="s">
        <v>1392</v>
      </c>
      <c r="Y74" t="s">
        <v>1393</v>
      </c>
    </row>
    <row r="75" spans="1:25" x14ac:dyDescent="0.3">
      <c r="A75">
        <v>3700</v>
      </c>
      <c r="B75" t="s">
        <v>1394</v>
      </c>
      <c r="C75" t="s">
        <v>1395</v>
      </c>
      <c r="D75" t="s">
        <v>1396</v>
      </c>
      <c r="E75" t="s">
        <v>1397</v>
      </c>
      <c r="F75" t="s">
        <v>1398</v>
      </c>
      <c r="G75" t="s">
        <v>1399</v>
      </c>
      <c r="H75" t="s">
        <v>1400</v>
      </c>
      <c r="I75" t="s">
        <v>1401</v>
      </c>
      <c r="J75" t="s">
        <v>1402</v>
      </c>
      <c r="K75" t="s">
        <v>1403</v>
      </c>
      <c r="L75" t="s">
        <v>1404</v>
      </c>
      <c r="M75" t="s">
        <v>1405</v>
      </c>
      <c r="N75">
        <f>-667.787509496105 -11.8374924619854 -531.335542406284</f>
        <v>-1210.9605443643745</v>
      </c>
      <c r="O75">
        <f>-694.873965094004 -162.809334808687 -502.825899400488</f>
        <v>-1360.509199303179</v>
      </c>
      <c r="P75">
        <f>-745.843776729692 -202.66817580638 -228.249923256953</f>
        <v>-1176.761875793025</v>
      </c>
      <c r="Q75">
        <f>-533.77051753711 -110.436355605948 -249.854345709223</f>
        <v>-894.06121885228094</v>
      </c>
      <c r="R75" t="s">
        <v>1406</v>
      </c>
      <c r="S75" t="s">
        <v>1407</v>
      </c>
      <c r="T75" t="s">
        <v>1408</v>
      </c>
      <c r="U75" t="s">
        <v>1409</v>
      </c>
      <c r="V75">
        <f>-624.384440464788 -70.6159214116565 -94.4060262532863</f>
        <v>-789.40638812973077</v>
      </c>
      <c r="W75" t="s">
        <v>1410</v>
      </c>
      <c r="X75" t="s">
        <v>1411</v>
      </c>
      <c r="Y75" t="s">
        <v>1412</v>
      </c>
    </row>
    <row r="76" spans="1:25" x14ac:dyDescent="0.3">
      <c r="A76">
        <v>3750</v>
      </c>
      <c r="B76" t="s">
        <v>1413</v>
      </c>
      <c r="C76" t="s">
        <v>1414</v>
      </c>
      <c r="D76" t="s">
        <v>1415</v>
      </c>
      <c r="E76" t="s">
        <v>1416</v>
      </c>
      <c r="F76" t="s">
        <v>1417</v>
      </c>
      <c r="G76" t="s">
        <v>1418</v>
      </c>
      <c r="H76" t="s">
        <v>1419</v>
      </c>
      <c r="I76" t="s">
        <v>1420</v>
      </c>
      <c r="J76" t="s">
        <v>1421</v>
      </c>
      <c r="K76" t="s">
        <v>1422</v>
      </c>
      <c r="L76" t="s">
        <v>1423</v>
      </c>
      <c r="M76" t="s">
        <v>1424</v>
      </c>
      <c r="N76">
        <f>-666.846351086725 -11.5238889556947 -531.440840580402</f>
        <v>-1209.8110806228217</v>
      </c>
      <c r="O76">
        <f>-694.064638910014 -162.478899927664 -503.005564406182</f>
        <v>-1359.5491032438599</v>
      </c>
      <c r="P76">
        <f>-745.181117060191 -202.336927909641 -228.456861225861</f>
        <v>-1175.9749061956929</v>
      </c>
      <c r="Q76">
        <f>-533.131345629965 -110.009148882992 -249.881122140752</f>
        <v>-893.02161665370909</v>
      </c>
      <c r="R76" t="s">
        <v>1425</v>
      </c>
      <c r="S76" t="s">
        <v>1426</v>
      </c>
      <c r="T76" t="s">
        <v>1427</v>
      </c>
      <c r="U76" t="s">
        <v>1428</v>
      </c>
      <c r="V76">
        <f>-624.103491095225 -70.3348703591794 -94.3987568891986</f>
        <v>-788.83711834360292</v>
      </c>
      <c r="W76" t="s">
        <v>1429</v>
      </c>
      <c r="X76" t="s">
        <v>1430</v>
      </c>
      <c r="Y76" t="s">
        <v>1431</v>
      </c>
    </row>
    <row r="77" spans="1:25" x14ac:dyDescent="0.3">
      <c r="A77">
        <v>3800</v>
      </c>
      <c r="B77" t="s">
        <v>1432</v>
      </c>
      <c r="C77" t="s">
        <v>1433</v>
      </c>
      <c r="D77" t="s">
        <v>1434</v>
      </c>
      <c r="E77" t="s">
        <v>1435</v>
      </c>
      <c r="F77" t="s">
        <v>1436</v>
      </c>
      <c r="G77" t="s">
        <v>1437</v>
      </c>
      <c r="H77" t="s">
        <v>1438</v>
      </c>
      <c r="I77" t="s">
        <v>1439</v>
      </c>
      <c r="J77" t="s">
        <v>1440</v>
      </c>
      <c r="K77" t="s">
        <v>1441</v>
      </c>
      <c r="L77" t="s">
        <v>1442</v>
      </c>
      <c r="M77" t="s">
        <v>1443</v>
      </c>
      <c r="N77">
        <f>-665.243916512707 -11.0154697491537 -531.538813089234</f>
        <v>-1207.7981993510948</v>
      </c>
      <c r="O77">
        <f>-692.384281147721 -161.989788634448 -503.136822409906</f>
        <v>-1357.5108921920751</v>
      </c>
      <c r="P77">
        <f>-743.850159688217 -201.933985939619 -228.665931324875</f>
        <v>-1174.450076952711</v>
      </c>
      <c r="Q77">
        <f>-531.949943290485 -109.162710164654 -249.649465376464</f>
        <v>-890.76211883160295</v>
      </c>
      <c r="R77" t="s">
        <v>1444</v>
      </c>
      <c r="S77" t="s">
        <v>1445</v>
      </c>
      <c r="T77" t="s">
        <v>1446</v>
      </c>
      <c r="U77" t="s">
        <v>1447</v>
      </c>
      <c r="V77">
        <f>-623.416510241301 -69.7380058354156 -94.381312420262</f>
        <v>-787.53582849697864</v>
      </c>
      <c r="W77" t="s">
        <v>1448</v>
      </c>
      <c r="X77" t="s">
        <v>1449</v>
      </c>
      <c r="Y77" t="s">
        <v>1450</v>
      </c>
    </row>
    <row r="78" spans="1:25" x14ac:dyDescent="0.3">
      <c r="A78">
        <v>3850</v>
      </c>
      <c r="B78" t="s">
        <v>1451</v>
      </c>
      <c r="C78" t="s">
        <v>1452</v>
      </c>
      <c r="D78" t="s">
        <v>1453</v>
      </c>
      <c r="E78" t="s">
        <v>1454</v>
      </c>
      <c r="F78" t="s">
        <v>1455</v>
      </c>
      <c r="G78" t="s">
        <v>1456</v>
      </c>
      <c r="H78" t="s">
        <v>1457</v>
      </c>
      <c r="I78" t="s">
        <v>1458</v>
      </c>
      <c r="J78" t="s">
        <v>1459</v>
      </c>
      <c r="K78" t="s">
        <v>1460</v>
      </c>
      <c r="L78" t="s">
        <v>1461</v>
      </c>
      <c r="M78" t="s">
        <v>1462</v>
      </c>
      <c r="N78">
        <f>-664.576572172269 -10.8665707850917 -531.559046742288</f>
        <v>-1207.0021896996486</v>
      </c>
      <c r="O78">
        <f>-691.595430095392 -161.845020171311 -503.079706140883</f>
        <v>-1356.520156407586</v>
      </c>
      <c r="P78">
        <f>-743.099299165962 -201.929869202973 -228.636431960899</f>
        <v>-1173.665600329834</v>
      </c>
      <c r="Q78">
        <f>-531.381043060687 -108.685503617625 -249.357824658857</f>
        <v>-889.42437133716908</v>
      </c>
      <c r="R78" t="s">
        <v>1463</v>
      </c>
      <c r="S78" t="s">
        <v>1464</v>
      </c>
      <c r="T78" t="s">
        <v>1465</v>
      </c>
      <c r="U78" t="s">
        <v>1466</v>
      </c>
      <c r="V78">
        <f>-623.140958873703 -69.4507043699941 -94.3719299432731</f>
        <v>-786.96359318697023</v>
      </c>
      <c r="W78" t="s">
        <v>1467</v>
      </c>
      <c r="X78" t="s">
        <v>1468</v>
      </c>
      <c r="Y78" t="s">
        <v>1469</v>
      </c>
    </row>
    <row r="79" spans="1:25" x14ac:dyDescent="0.3">
      <c r="A79">
        <v>3900</v>
      </c>
      <c r="B79" t="s">
        <v>1470</v>
      </c>
      <c r="C79" t="s">
        <v>1471</v>
      </c>
      <c r="D79" t="s">
        <v>1472</v>
      </c>
      <c r="E79" t="s">
        <v>1473</v>
      </c>
      <c r="F79" t="s">
        <v>1474</v>
      </c>
      <c r="G79" t="s">
        <v>1475</v>
      </c>
      <c r="H79" t="s">
        <v>1476</v>
      </c>
      <c r="I79" t="s">
        <v>1477</v>
      </c>
      <c r="J79" t="s">
        <v>1478</v>
      </c>
      <c r="K79" t="s">
        <v>1479</v>
      </c>
      <c r="L79" t="s">
        <v>1480</v>
      </c>
      <c r="M79" t="s">
        <v>1481</v>
      </c>
      <c r="N79">
        <f>-663.868228839519 -10.8809650667706 -531.514414262422</f>
        <v>-1206.2636081687115</v>
      </c>
      <c r="O79">
        <f>-690.551267028732 -161.856989185399 -502.67519215523</f>
        <v>-1355.0834483693611</v>
      </c>
      <c r="P79">
        <f>-741.606398440246 -201.728715045333 -228.117057519926</f>
        <v>-1171.4521710055051</v>
      </c>
      <c r="Q79">
        <f>-530.143759839911 -107.905021871909 -248.834497386012</f>
        <v>-886.88327909783197</v>
      </c>
      <c r="R79" t="s">
        <v>1482</v>
      </c>
      <c r="S79" t="s">
        <v>1483</v>
      </c>
      <c r="T79" t="s">
        <v>1484</v>
      </c>
      <c r="U79" t="s">
        <v>1485</v>
      </c>
      <c r="V79">
        <f>-622.548244989949 -68.8590976662645 -94.3423883355698</f>
        <v>-785.74973099178328</v>
      </c>
      <c r="W79" t="s">
        <v>1486</v>
      </c>
      <c r="X79" t="s">
        <v>1487</v>
      </c>
      <c r="Y79" t="s">
        <v>1488</v>
      </c>
    </row>
    <row r="80" spans="1:25" x14ac:dyDescent="0.3">
      <c r="A80">
        <v>3950</v>
      </c>
      <c r="B80" t="s">
        <v>1489</v>
      </c>
      <c r="C80" t="s">
        <v>1490</v>
      </c>
      <c r="D80" t="s">
        <v>1491</v>
      </c>
      <c r="E80" t="s">
        <v>1492</v>
      </c>
      <c r="F80" t="s">
        <v>1493</v>
      </c>
      <c r="G80" t="s">
        <v>1494</v>
      </c>
      <c r="H80" t="s">
        <v>1495</v>
      </c>
      <c r="I80" t="s">
        <v>1496</v>
      </c>
      <c r="J80" t="s">
        <v>1497</v>
      </c>
      <c r="K80" t="s">
        <v>1498</v>
      </c>
      <c r="L80" t="s">
        <v>1499</v>
      </c>
      <c r="M80" t="s">
        <v>1500</v>
      </c>
      <c r="N80">
        <f>-663.826014411632 -10.9453919106122 -531.423169393225</f>
        <v>-1206.194575715469</v>
      </c>
      <c r="O80">
        <f>-690.334192392981 -161.892100549182 -502.248910107766</f>
        <v>-1354.475203049929</v>
      </c>
      <c r="P80">
        <f>-740.804650698307 -201.267014344444 -227.510982823309</f>
        <v>-1169.5826478660599</v>
      </c>
      <c r="Q80">
        <f>-529.433529489331 -107.319380418722 -248.59797069901</f>
        <v>-885.350880607063</v>
      </c>
      <c r="R80" t="s">
        <v>1501</v>
      </c>
      <c r="S80" t="s">
        <v>1502</v>
      </c>
      <c r="T80" t="s">
        <v>1503</v>
      </c>
      <c r="U80" t="s">
        <v>1504</v>
      </c>
      <c r="V80">
        <f>-622.14252529389 -68.4185206561601 -94.3101398610265</f>
        <v>-784.87118581107666</v>
      </c>
      <c r="W80" t="s">
        <v>1505</v>
      </c>
      <c r="X80" t="s">
        <v>1506</v>
      </c>
      <c r="Y80" t="s">
        <v>1507</v>
      </c>
    </row>
    <row r="81" spans="1:25" x14ac:dyDescent="0.3">
      <c r="A81">
        <v>4000</v>
      </c>
      <c r="B81" t="s">
        <v>1508</v>
      </c>
      <c r="C81" t="s">
        <v>1509</v>
      </c>
      <c r="D81" t="s">
        <v>1510</v>
      </c>
      <c r="E81" t="s">
        <v>1511</v>
      </c>
      <c r="F81" t="s">
        <v>1512</v>
      </c>
      <c r="G81" t="s">
        <v>1513</v>
      </c>
      <c r="H81" t="s">
        <v>1514</v>
      </c>
      <c r="I81" t="s">
        <v>1515</v>
      </c>
      <c r="J81" t="s">
        <v>1516</v>
      </c>
      <c r="K81" t="s">
        <v>1517</v>
      </c>
      <c r="L81" t="s">
        <v>1518</v>
      </c>
      <c r="M81" t="s">
        <v>1519</v>
      </c>
      <c r="N81">
        <f>-664.112768888883 -10.8100097500023 -531.178445560802</f>
        <v>-1206.1012241996873</v>
      </c>
      <c r="O81">
        <f>-690.147725779937 -161.71222208052 -501.333561577465</f>
        <v>-1353.1935094379219</v>
      </c>
      <c r="P81">
        <f>-739.438277860919 -199.890928025658 -226.212895293033</f>
        <v>-1165.54210117961</v>
      </c>
      <c r="Q81">
        <f>-528.469581795678 -105.285248651049 -248.35948588944</f>
        <v>-882.11431633616689</v>
      </c>
      <c r="R81" t="s">
        <v>1520</v>
      </c>
      <c r="S81" t="s">
        <v>1521</v>
      </c>
      <c r="T81" t="s">
        <v>1522</v>
      </c>
      <c r="U81" t="s">
        <v>1523</v>
      </c>
      <c r="V81">
        <f>-621.252332276451 -67.3488447954614 -94.224040057939</f>
        <v>-782.82521712985147</v>
      </c>
      <c r="W81" t="s">
        <v>1524</v>
      </c>
      <c r="X81" t="s">
        <v>1525</v>
      </c>
      <c r="Y81" t="s">
        <v>1526</v>
      </c>
    </row>
    <row r="82" spans="1:25" x14ac:dyDescent="0.3">
      <c r="A82">
        <v>4050</v>
      </c>
      <c r="B82" t="s">
        <v>1527</v>
      </c>
      <c r="C82" t="s">
        <v>1528</v>
      </c>
      <c r="D82" t="s">
        <v>1529</v>
      </c>
      <c r="E82" t="s">
        <v>1530</v>
      </c>
      <c r="F82" t="s">
        <v>1531</v>
      </c>
      <c r="G82" t="s">
        <v>1532</v>
      </c>
      <c r="H82" t="s">
        <v>1533</v>
      </c>
      <c r="I82" t="s">
        <v>1534</v>
      </c>
      <c r="J82" t="s">
        <v>1535</v>
      </c>
      <c r="K82" t="s">
        <v>1536</v>
      </c>
      <c r="L82" t="s">
        <v>1537</v>
      </c>
      <c r="M82" t="s">
        <v>1538</v>
      </c>
      <c r="N82">
        <f>-664.254501022989 -10.5967179790948 -531.06275009154</f>
        <v>-1205.9139690936238</v>
      </c>
      <c r="O82">
        <f>-690.055319600391 -161.474692139556 -500.917765218403</f>
        <v>-1352.44777695835</v>
      </c>
      <c r="P82">
        <f>-738.914709951573 -199.192502526181 -225.656638988136</f>
        <v>-1163.76385146589</v>
      </c>
      <c r="Q82">
        <f>-528.165545021528 -104.223771107252 -248.333832485443</f>
        <v>-880.72314861422296</v>
      </c>
      <c r="R82" t="s">
        <v>1539</v>
      </c>
      <c r="S82" t="s">
        <v>1540</v>
      </c>
      <c r="T82" t="s">
        <v>1541</v>
      </c>
      <c r="U82" t="s">
        <v>1542</v>
      </c>
      <c r="V82">
        <f>-620.759586251596 -66.6920229887899 -94.1706658520102</f>
        <v>-781.62227509239608</v>
      </c>
      <c r="W82" t="s">
        <v>1543</v>
      </c>
      <c r="X82" t="s">
        <v>1544</v>
      </c>
      <c r="Y82" t="s">
        <v>1545</v>
      </c>
    </row>
    <row r="83" spans="1:25" x14ac:dyDescent="0.3">
      <c r="A83">
        <v>4100</v>
      </c>
      <c r="B83" t="s">
        <v>1546</v>
      </c>
      <c r="C83" t="s">
        <v>1547</v>
      </c>
      <c r="D83" t="s">
        <v>1548</v>
      </c>
      <c r="E83" t="s">
        <v>1549</v>
      </c>
      <c r="F83" t="s">
        <v>1550</v>
      </c>
      <c r="G83" t="s">
        <v>1551</v>
      </c>
      <c r="H83" t="s">
        <v>1552</v>
      </c>
      <c r="I83" t="s">
        <v>1553</v>
      </c>
      <c r="J83" t="s">
        <v>1554</v>
      </c>
      <c r="K83" t="s">
        <v>1555</v>
      </c>
      <c r="L83" t="s">
        <v>1556</v>
      </c>
      <c r="M83" t="s">
        <v>1557</v>
      </c>
      <c r="N83">
        <f>-664.484765221317 -9.7907459088176 -530.954153385176</f>
        <v>-1205.2296645153106</v>
      </c>
      <c r="O83">
        <f>-689.781328459374 -160.673805843952 -500.440938369251</f>
        <v>-1350.896072672577</v>
      </c>
      <c r="P83">
        <f>-738.422503706487 -198.1564537769 -225.109117312136</f>
        <v>-1161.6880747955229</v>
      </c>
      <c r="Q83">
        <f>-527.963892061423 -102.692233672304 -248.395983213811</f>
        <v>-879.05210894753804</v>
      </c>
      <c r="R83" t="s">
        <v>1558</v>
      </c>
      <c r="S83" t="s">
        <v>1559</v>
      </c>
      <c r="T83" t="s">
        <v>1560</v>
      </c>
      <c r="U83" t="s">
        <v>1561</v>
      </c>
      <c r="V83">
        <f>-620.046022339749 -65.0733090450969 -94.0213599826112</f>
        <v>-779.14069136745718</v>
      </c>
      <c r="W83" t="s">
        <v>1562</v>
      </c>
      <c r="X83" t="s">
        <v>1563</v>
      </c>
      <c r="Y83" t="s">
        <v>1564</v>
      </c>
    </row>
    <row r="84" spans="1:25" x14ac:dyDescent="0.3">
      <c r="A84">
        <v>4150</v>
      </c>
      <c r="B84" t="s">
        <v>1565</v>
      </c>
      <c r="C84" t="s">
        <v>1566</v>
      </c>
      <c r="D84" t="s">
        <v>1567</v>
      </c>
      <c r="E84" t="s">
        <v>1568</v>
      </c>
      <c r="F84" t="s">
        <v>1569</v>
      </c>
      <c r="G84" t="s">
        <v>1570</v>
      </c>
      <c r="H84" t="s">
        <v>1571</v>
      </c>
      <c r="I84" t="s">
        <v>1572</v>
      </c>
      <c r="J84" t="s">
        <v>1573</v>
      </c>
      <c r="K84" t="s">
        <v>1574</v>
      </c>
      <c r="L84" t="s">
        <v>1575</v>
      </c>
      <c r="M84" t="s">
        <v>1576</v>
      </c>
      <c r="N84">
        <f>-664.581377628949 -9.25362574638962 -530.935665948235</f>
        <v>-1204.7706693235737</v>
      </c>
      <c r="O84">
        <f>-689.588003219852 -160.158857586513 -500.291654655363</f>
        <v>-1350.0385154617279</v>
      </c>
      <c r="P84">
        <f>-738.239635569965 -197.819902490709 -224.986024970885</f>
        <v>-1161.0455630315589</v>
      </c>
      <c r="Q84">
        <f>-527.907697513574 -102.098804229763 -248.36197289328</f>
        <v>-878.36847463661707</v>
      </c>
      <c r="R84" t="s">
        <v>1577</v>
      </c>
      <c r="S84" t="s">
        <v>1578</v>
      </c>
      <c r="T84" t="s">
        <v>1579</v>
      </c>
      <c r="U84" t="s">
        <v>1580</v>
      </c>
      <c r="V84">
        <f>-619.738393431041 -64.1154324729955 -93.9598864215388</f>
        <v>-777.81371232557535</v>
      </c>
      <c r="W84" t="s">
        <v>1581</v>
      </c>
      <c r="X84" t="s">
        <v>1582</v>
      </c>
      <c r="Y84" t="s">
        <v>1583</v>
      </c>
    </row>
    <row r="85" spans="1:25" x14ac:dyDescent="0.3">
      <c r="A85">
        <v>4200</v>
      </c>
      <c r="B85" t="s">
        <v>1584</v>
      </c>
      <c r="C85" t="s">
        <v>1585</v>
      </c>
      <c r="D85" t="s">
        <v>1586</v>
      </c>
      <c r="E85" t="s">
        <v>1587</v>
      </c>
      <c r="F85" t="s">
        <v>1588</v>
      </c>
      <c r="G85" t="s">
        <v>1589</v>
      </c>
      <c r="H85" t="s">
        <v>1590</v>
      </c>
      <c r="I85" t="s">
        <v>1591</v>
      </c>
      <c r="J85" t="s">
        <v>1592</v>
      </c>
      <c r="K85" t="s">
        <v>1593</v>
      </c>
      <c r="L85" t="s">
        <v>1594</v>
      </c>
      <c r="M85" t="s">
        <v>1595</v>
      </c>
      <c r="N85">
        <f>-664.840407613125 -7.84124543008784 -530.877155660833</f>
        <v>-1203.5588087040458</v>
      </c>
      <c r="O85">
        <f>-689.143645890655 -158.790693126641 -499.901218065558</f>
        <v>-1347.8355570828539</v>
      </c>
      <c r="P85">
        <f>-737.767309052935 -196.764130510679 -224.633535627463</f>
        <v>-1159.164975191077</v>
      </c>
      <c r="Q85">
        <f>-527.501082175158 -100.941603879325 -248.184626948258</f>
        <v>-876.62731300274106</v>
      </c>
      <c r="R85" t="s">
        <v>1596</v>
      </c>
      <c r="S85" t="s">
        <v>1597</v>
      </c>
      <c r="T85" t="s">
        <v>1598</v>
      </c>
      <c r="U85" t="s">
        <v>1599</v>
      </c>
      <c r="V85">
        <f>-619.491597157227 -62.2278985432554 -93.8710871894393</f>
        <v>-775.59058288992173</v>
      </c>
      <c r="W85" t="s">
        <v>1600</v>
      </c>
      <c r="X85" t="s">
        <v>1601</v>
      </c>
      <c r="Y85" t="s">
        <v>1602</v>
      </c>
    </row>
    <row r="86" spans="1:25" x14ac:dyDescent="0.3">
      <c r="A86">
        <v>4250</v>
      </c>
      <c r="B86" t="s">
        <v>1603</v>
      </c>
      <c r="C86" t="s">
        <v>1604</v>
      </c>
      <c r="D86" t="s">
        <v>1605</v>
      </c>
      <c r="E86" t="s">
        <v>1606</v>
      </c>
      <c r="F86" t="s">
        <v>1607</v>
      </c>
      <c r="G86" t="s">
        <v>1608</v>
      </c>
      <c r="H86" t="s">
        <v>1609</v>
      </c>
      <c r="I86" t="s">
        <v>1610</v>
      </c>
      <c r="J86" t="s">
        <v>1611</v>
      </c>
      <c r="K86" t="s">
        <v>1612</v>
      </c>
      <c r="L86" t="s">
        <v>1613</v>
      </c>
      <c r="M86" t="s">
        <v>1614</v>
      </c>
      <c r="N86">
        <f>-664.851524594439 -7.06491473203801 -530.856621179475</f>
        <v>-1202.7730605059519</v>
      </c>
      <c r="O86">
        <f>-688.905455145795 -158.010258084178 -499.69412753682</f>
        <v>-1346.609840766793</v>
      </c>
      <c r="P86">
        <f>-737.473605244047 -196.150927266433 -224.439697191764</f>
        <v>-1158.0642297022439</v>
      </c>
      <c r="Q86">
        <f>-527.244611020086 -100.26974896049 -248.084998820482</f>
        <v>-875.59935880105809</v>
      </c>
      <c r="R86" t="s">
        <v>1615</v>
      </c>
      <c r="S86" t="s">
        <v>1616</v>
      </c>
      <c r="T86" t="s">
        <v>1617</v>
      </c>
      <c r="U86" t="s">
        <v>1618</v>
      </c>
      <c r="V86">
        <f>-619.412750248307 -61.2466064812033 -93.8470315275226</f>
        <v>-774.506388257033</v>
      </c>
      <c r="W86" t="s">
        <v>1619</v>
      </c>
      <c r="X86" t="s">
        <v>1620</v>
      </c>
      <c r="Y86" t="s">
        <v>1621</v>
      </c>
    </row>
    <row r="87" spans="1:25" x14ac:dyDescent="0.3">
      <c r="A87">
        <v>4300</v>
      </c>
      <c r="B87" t="s">
        <v>1622</v>
      </c>
      <c r="C87" t="s">
        <v>1623</v>
      </c>
      <c r="D87" t="s">
        <v>1624</v>
      </c>
      <c r="E87" t="s">
        <v>1625</v>
      </c>
      <c r="F87" t="s">
        <v>1626</v>
      </c>
      <c r="G87" t="s">
        <v>1627</v>
      </c>
      <c r="H87" t="s">
        <v>1628</v>
      </c>
      <c r="I87" t="s">
        <v>1629</v>
      </c>
      <c r="J87" t="s">
        <v>1630</v>
      </c>
      <c r="K87" t="s">
        <v>1631</v>
      </c>
      <c r="L87" t="s">
        <v>1632</v>
      </c>
      <c r="M87" t="s">
        <v>1633</v>
      </c>
      <c r="N87">
        <f>-664.601786554558 -5.40909446123646 -530.899049905986</f>
        <v>-1200.9099309217804</v>
      </c>
      <c r="O87">
        <f>-688.025548049553 -156.429728662524 -499.572122184702</f>
        <v>-1344.027398896779</v>
      </c>
      <c r="P87">
        <f>-737.022964975834 -194.308102748359 -224.357479133767</f>
        <v>-1155.6885468579601</v>
      </c>
      <c r="Q87">
        <f>-526.817622167746 -98.3613324893036 -247.946741328735</f>
        <v>-873.12569598578466</v>
      </c>
      <c r="R87" t="s">
        <v>1634</v>
      </c>
      <c r="S87" t="s">
        <v>1635</v>
      </c>
      <c r="T87" t="s">
        <v>1636</v>
      </c>
      <c r="U87" t="s">
        <v>1637</v>
      </c>
      <c r="V87">
        <f>-619.403381867087 -59.2727369735962 -93.8100796689299</f>
        <v>-772.48619850961313</v>
      </c>
      <c r="W87" t="s">
        <v>1638</v>
      </c>
      <c r="X87" t="s">
        <v>1639</v>
      </c>
      <c r="Y87" t="s">
        <v>1640</v>
      </c>
    </row>
    <row r="88" spans="1:25" x14ac:dyDescent="0.3">
      <c r="A88">
        <v>4350</v>
      </c>
      <c r="B88" t="s">
        <v>1641</v>
      </c>
      <c r="C88" t="s">
        <v>1642</v>
      </c>
      <c r="D88" t="s">
        <v>1643</v>
      </c>
      <c r="E88" t="s">
        <v>1644</v>
      </c>
      <c r="F88" t="s">
        <v>1645</v>
      </c>
      <c r="G88" t="s">
        <v>1646</v>
      </c>
      <c r="H88" t="s">
        <v>1647</v>
      </c>
      <c r="I88" t="s">
        <v>1648</v>
      </c>
      <c r="J88" t="s">
        <v>1649</v>
      </c>
      <c r="K88" t="s">
        <v>1650</v>
      </c>
      <c r="L88" t="s">
        <v>1651</v>
      </c>
      <c r="M88" t="s">
        <v>1652</v>
      </c>
      <c r="N88">
        <f>-664.416489372124 -4.35573149995776 -530.938814793352</f>
        <v>-1199.7110356654339</v>
      </c>
      <c r="O88">
        <f>-687.567766765521 -155.416741374131 -499.629219725933</f>
        <v>-1342.6137278655851</v>
      </c>
      <c r="P88">
        <f>-736.800942274654 -193.395716322057 -224.470471528701</f>
        <v>-1154.6671301254119</v>
      </c>
      <c r="Q88">
        <f>-526.656372610512 -97.2591888782831 -247.827532544483</f>
        <v>-871.74309403327811</v>
      </c>
      <c r="R88" t="s">
        <v>1653</v>
      </c>
      <c r="S88" t="s">
        <v>1654</v>
      </c>
      <c r="T88" t="s">
        <v>1655</v>
      </c>
      <c r="U88" t="s">
        <v>1656</v>
      </c>
      <c r="V88">
        <f>-619.384384864319 -58.2121695623521 -93.8048671593164</f>
        <v>-771.40142158598746</v>
      </c>
      <c r="W88" t="s">
        <v>1657</v>
      </c>
      <c r="X88" t="s">
        <v>1658</v>
      </c>
      <c r="Y88" t="s">
        <v>1659</v>
      </c>
    </row>
    <row r="89" spans="1:25" x14ac:dyDescent="0.3">
      <c r="A89">
        <v>4400</v>
      </c>
      <c r="B89" t="s">
        <v>1660</v>
      </c>
      <c r="C89" t="s">
        <v>1661</v>
      </c>
      <c r="D89" t="s">
        <v>1662</v>
      </c>
      <c r="E89" t="s">
        <v>1663</v>
      </c>
      <c r="F89" t="s">
        <v>1664</v>
      </c>
      <c r="G89" t="s">
        <v>1665</v>
      </c>
      <c r="H89" t="s">
        <v>1666</v>
      </c>
      <c r="I89" t="s">
        <v>1667</v>
      </c>
      <c r="J89" t="s">
        <v>1668</v>
      </c>
      <c r="K89" t="s">
        <v>1669</v>
      </c>
      <c r="L89" t="s">
        <v>1670</v>
      </c>
      <c r="M89" t="s">
        <v>1671</v>
      </c>
      <c r="N89">
        <f>-663.740948715543 -1.80898140503018 -531.025813455384</f>
        <v>-1196.5757435759572</v>
      </c>
      <c r="O89">
        <f>-686.488940667627 -152.976187759165 -499.908912348923</f>
        <v>-1339.374040775715</v>
      </c>
      <c r="P89">
        <f>-735.905754409321 -191.326315383959 -224.834753090674</f>
        <v>-1152.066822883954</v>
      </c>
      <c r="Q89">
        <f>-525.908206804801 -94.7349432724368 -247.630126888422</f>
        <v>-868.27327696565976</v>
      </c>
      <c r="R89" t="s">
        <v>1672</v>
      </c>
      <c r="S89" t="s">
        <v>1673</v>
      </c>
      <c r="T89" t="s">
        <v>1674</v>
      </c>
      <c r="U89" t="s">
        <v>1675</v>
      </c>
      <c r="V89">
        <f>-619.241688357455 -55.9273599226351 -93.7911611544184</f>
        <v>-768.96020943450856</v>
      </c>
      <c r="W89" t="s">
        <v>1676</v>
      </c>
      <c r="X89" t="s">
        <v>1677</v>
      </c>
      <c r="Y89" t="s">
        <v>1678</v>
      </c>
    </row>
    <row r="90" spans="1:25" x14ac:dyDescent="0.3">
      <c r="A90">
        <v>4450</v>
      </c>
      <c r="B90" t="s">
        <v>1679</v>
      </c>
      <c r="C90" t="s">
        <v>1680</v>
      </c>
      <c r="D90" t="s">
        <v>1681</v>
      </c>
      <c r="E90" t="s">
        <v>1682</v>
      </c>
      <c r="F90" t="s">
        <v>1683</v>
      </c>
      <c r="G90" t="s">
        <v>1684</v>
      </c>
      <c r="H90" t="s">
        <v>1685</v>
      </c>
      <c r="I90" t="s">
        <v>1686</v>
      </c>
      <c r="J90" t="s">
        <v>1687</v>
      </c>
      <c r="K90" t="s">
        <v>1688</v>
      </c>
      <c r="L90" t="s">
        <v>1689</v>
      </c>
      <c r="M90" t="s">
        <v>1690</v>
      </c>
      <c r="N90">
        <f>-663.271141687825 -0.315762275822863 -531.079171173518</f>
        <v>-1194.666075137166</v>
      </c>
      <c r="O90">
        <f>-685.905313163464 -151.535709411914 -500.110599659165</f>
        <v>-1337.5516222345432</v>
      </c>
      <c r="P90">
        <f>-735.237999893531 -190.13636597959 -225.056356282197</f>
        <v>-1150.4307221553179</v>
      </c>
      <c r="Q90">
        <f>-525.162756806225 -93.6358242652602 -247.518917380746</f>
        <v>-866.31749845223123</v>
      </c>
      <c r="R90" t="s">
        <v>1691</v>
      </c>
      <c r="S90" t="s">
        <v>1692</v>
      </c>
      <c r="T90" t="s">
        <v>1693</v>
      </c>
      <c r="U90" t="s">
        <v>1694</v>
      </c>
      <c r="V90">
        <f>-619.128860448162 -54.8030514875666 -93.7824750693127</f>
        <v>-767.7143870050412</v>
      </c>
      <c r="W90" t="s">
        <v>1695</v>
      </c>
      <c r="X90" t="s">
        <v>1696</v>
      </c>
      <c r="Y90" t="s">
        <v>1697</v>
      </c>
    </row>
    <row r="91" spans="1:25" x14ac:dyDescent="0.3">
      <c r="A91">
        <v>4500</v>
      </c>
      <c r="B91" t="s">
        <v>1698</v>
      </c>
      <c r="C91" t="s">
        <v>1699</v>
      </c>
      <c r="D91" t="s">
        <v>1700</v>
      </c>
      <c r="E91" t="s">
        <v>1701</v>
      </c>
      <c r="F91" t="s">
        <v>1702</v>
      </c>
      <c r="G91" t="s">
        <v>1703</v>
      </c>
      <c r="H91" t="s">
        <v>1704</v>
      </c>
      <c r="I91" t="s">
        <v>1705</v>
      </c>
      <c r="J91" t="s">
        <v>1706</v>
      </c>
      <c r="K91" t="s">
        <v>1707</v>
      </c>
      <c r="L91" t="s">
        <v>1708</v>
      </c>
      <c r="M91" t="s">
        <v>1709</v>
      </c>
      <c r="N91" t="s">
        <v>1710</v>
      </c>
      <c r="O91">
        <f>-684.55412347273 -148.822527473943 -500.559191248171</f>
        <v>-1333.9358421948439</v>
      </c>
      <c r="P91">
        <f>-733.703169286309 -188.3761510982 -225.607471704687</f>
        <v>-1147.6867920891959</v>
      </c>
      <c r="Q91">
        <f>-523.709021888468 -91.5381139516769 -247.364465962864</f>
        <v>-862.61160180300885</v>
      </c>
      <c r="R91" t="s">
        <v>1711</v>
      </c>
      <c r="S91" t="s">
        <v>1712</v>
      </c>
      <c r="T91" t="s">
        <v>1713</v>
      </c>
      <c r="U91" t="s">
        <v>1714</v>
      </c>
      <c r="V91">
        <f>-618.859057820002 -53.2013458341798 -93.734908327343</f>
        <v>-765.79531198152483</v>
      </c>
      <c r="W91" t="s">
        <v>1715</v>
      </c>
      <c r="X91" t="s">
        <v>1716</v>
      </c>
      <c r="Y91" t="s">
        <v>1717</v>
      </c>
    </row>
    <row r="92" spans="1:25" x14ac:dyDescent="0.3">
      <c r="A92">
        <v>4550</v>
      </c>
      <c r="B92" t="s">
        <v>1718</v>
      </c>
      <c r="C92" t="s">
        <v>1719</v>
      </c>
      <c r="D92" t="s">
        <v>1720</v>
      </c>
      <c r="E92" t="s">
        <v>1721</v>
      </c>
      <c r="F92" t="s">
        <v>1722</v>
      </c>
      <c r="G92" t="s">
        <v>1723</v>
      </c>
      <c r="H92" t="s">
        <v>1724</v>
      </c>
      <c r="I92" t="s">
        <v>1725</v>
      </c>
      <c r="J92" t="s">
        <v>1726</v>
      </c>
      <c r="K92" t="s">
        <v>1727</v>
      </c>
      <c r="L92" t="s">
        <v>1728</v>
      </c>
      <c r="M92" t="s">
        <v>1729</v>
      </c>
      <c r="N92" t="s">
        <v>1730</v>
      </c>
      <c r="O92">
        <f>-684.129045087646 -147.482924898786 -500.817754054696</f>
        <v>-1332.4297240411279</v>
      </c>
      <c r="P92">
        <f>-733.327520583986 -187.330902804007 -225.917478971005</f>
        <v>-1146.5759023589981</v>
      </c>
      <c r="Q92">
        <f>-523.22261822138 -90.6706239378752 -247.393109326047</f>
        <v>-861.28635148530225</v>
      </c>
      <c r="R92" t="s">
        <v>1731</v>
      </c>
      <c r="S92" t="s">
        <v>1732</v>
      </c>
      <c r="T92" t="s">
        <v>1733</v>
      </c>
      <c r="U92" t="s">
        <v>1734</v>
      </c>
      <c r="V92">
        <f>-618.653135788008 -52.454556422633 -93.6854374793438</f>
        <v>-764.79312968998477</v>
      </c>
      <c r="W92" t="s">
        <v>1735</v>
      </c>
      <c r="X92" t="s">
        <v>1736</v>
      </c>
      <c r="Y92" t="s">
        <v>1737</v>
      </c>
    </row>
    <row r="93" spans="1:25" x14ac:dyDescent="0.3">
      <c r="A93">
        <v>4600</v>
      </c>
      <c r="B93" t="s">
        <v>1738</v>
      </c>
      <c r="C93" t="s">
        <v>1739</v>
      </c>
      <c r="D93" t="s">
        <v>1740</v>
      </c>
      <c r="E93" t="s">
        <v>1741</v>
      </c>
      <c r="F93" t="s">
        <v>1742</v>
      </c>
      <c r="G93" t="s">
        <v>1743</v>
      </c>
      <c r="H93" t="s">
        <v>1744</v>
      </c>
      <c r="I93" t="s">
        <v>1745</v>
      </c>
      <c r="J93" t="s">
        <v>1746</v>
      </c>
      <c r="K93" t="s">
        <v>1747</v>
      </c>
      <c r="L93" t="s">
        <v>1748</v>
      </c>
      <c r="M93" t="s">
        <v>1749</v>
      </c>
      <c r="N93" t="s">
        <v>1750</v>
      </c>
      <c r="O93">
        <f>-683.589322560253 -144.966596874041 -501.244303817784</f>
        <v>-1329.800223252078</v>
      </c>
      <c r="P93">
        <f>-733.132145547545 -184.772595793749 -226.399732091967</f>
        <v>-1144.3044734332609</v>
      </c>
      <c r="Q93">
        <f>-522.656551503898 -88.8991955858271 -247.773804585491</f>
        <v>-859.32955167521607</v>
      </c>
      <c r="R93" t="s">
        <v>1751</v>
      </c>
      <c r="S93" t="s">
        <v>1752</v>
      </c>
      <c r="T93" t="s">
        <v>1753</v>
      </c>
      <c r="U93" t="s">
        <v>1754</v>
      </c>
      <c r="V93">
        <f>-618.214414944274 -51.1272007802686 -93.5243024598664</f>
        <v>-762.865918184409</v>
      </c>
      <c r="W93" t="s">
        <v>1755</v>
      </c>
      <c r="X93" t="s">
        <v>1756</v>
      </c>
      <c r="Y93" t="s">
        <v>1757</v>
      </c>
    </row>
    <row r="94" spans="1:25" x14ac:dyDescent="0.3">
      <c r="A94">
        <v>4650</v>
      </c>
      <c r="B94" t="s">
        <v>1758</v>
      </c>
      <c r="C94" t="s">
        <v>1759</v>
      </c>
      <c r="D94" t="s">
        <v>1760</v>
      </c>
      <c r="E94" t="s">
        <v>1761</v>
      </c>
      <c r="F94" t="s">
        <v>1762</v>
      </c>
      <c r="G94" t="s">
        <v>1763</v>
      </c>
      <c r="H94" t="s">
        <v>1764</v>
      </c>
      <c r="I94" t="s">
        <v>1765</v>
      </c>
      <c r="J94" t="s">
        <v>1766</v>
      </c>
      <c r="K94" t="s">
        <v>1767</v>
      </c>
      <c r="L94" t="s">
        <v>1768</v>
      </c>
      <c r="M94" t="s">
        <v>1769</v>
      </c>
      <c r="N94" t="s">
        <v>1770</v>
      </c>
      <c r="O94">
        <f>-683.529861912455 -143.822598055677 -501.430090031783</f>
        <v>-1328.7825499999149</v>
      </c>
      <c r="P94">
        <f>-733.263054930343 -183.491691953225 -226.600169089291</f>
        <v>-1143.3549159728589</v>
      </c>
      <c r="Q94">
        <f>-522.66222450879 -87.9023478159684 -248.012613905286</f>
        <v>-858.57718623004439</v>
      </c>
      <c r="R94" t="s">
        <v>1771</v>
      </c>
      <c r="S94" t="s">
        <v>1772</v>
      </c>
      <c r="T94" t="s">
        <v>1773</v>
      </c>
      <c r="U94" t="s">
        <v>1774</v>
      </c>
      <c r="V94">
        <f>-617.858720378965 -50.5190705790646 -93.4375820873028</f>
        <v>-761.81537304533242</v>
      </c>
      <c r="W94" t="s">
        <v>1775</v>
      </c>
      <c r="X94" t="s">
        <v>1776</v>
      </c>
      <c r="Y94" t="s">
        <v>1777</v>
      </c>
    </row>
    <row r="95" spans="1:25" x14ac:dyDescent="0.3">
      <c r="A95">
        <v>4700</v>
      </c>
      <c r="B95" t="s">
        <v>1778</v>
      </c>
      <c r="C95" t="s">
        <v>1779</v>
      </c>
      <c r="D95" t="s">
        <v>1780</v>
      </c>
      <c r="E95" t="s">
        <v>1781</v>
      </c>
      <c r="F95" t="s">
        <v>1782</v>
      </c>
      <c r="G95" t="s">
        <v>1783</v>
      </c>
      <c r="H95" t="s">
        <v>1784</v>
      </c>
      <c r="I95" t="s">
        <v>1785</v>
      </c>
      <c r="J95" t="s">
        <v>1786</v>
      </c>
      <c r="K95" t="s">
        <v>1787</v>
      </c>
      <c r="L95" t="s">
        <v>1788</v>
      </c>
      <c r="M95" t="s">
        <v>1789</v>
      </c>
      <c r="N95" t="s">
        <v>1790</v>
      </c>
      <c r="O95">
        <f>-683.677271402238 -141.441470563056 -501.789742461062</f>
        <v>-1326.9084844263562</v>
      </c>
      <c r="P95">
        <f>-733.482532014588 -180.634030751213 -226.904302703923</f>
        <v>-1141.020865469724</v>
      </c>
      <c r="Q95">
        <f>-522.367248307601 -86.2433933723439 -248.566928397011</f>
        <v>-857.17757007695593</v>
      </c>
      <c r="R95" t="s">
        <v>1791</v>
      </c>
      <c r="S95" t="s">
        <v>1792</v>
      </c>
      <c r="T95" t="s">
        <v>1793</v>
      </c>
      <c r="U95" t="s">
        <v>1794</v>
      </c>
      <c r="V95">
        <f>-617.127758051545 -49.2788182497945 -93.2650444305347</f>
        <v>-759.67162073187421</v>
      </c>
      <c r="W95" t="s">
        <v>1795</v>
      </c>
      <c r="X95" t="s">
        <v>1796</v>
      </c>
      <c r="Y95" t="s">
        <v>1797</v>
      </c>
    </row>
    <row r="96" spans="1:25" x14ac:dyDescent="0.3">
      <c r="A96">
        <v>4750</v>
      </c>
      <c r="B96" t="s">
        <v>1798</v>
      </c>
      <c r="C96" t="s">
        <v>1799</v>
      </c>
      <c r="D96" t="s">
        <v>1800</v>
      </c>
      <c r="E96" t="s">
        <v>1801</v>
      </c>
      <c r="F96" t="s">
        <v>1802</v>
      </c>
      <c r="G96" t="s">
        <v>1803</v>
      </c>
      <c r="H96" t="s">
        <v>1804</v>
      </c>
      <c r="I96" t="s">
        <v>1805</v>
      </c>
      <c r="J96" t="s">
        <v>1806</v>
      </c>
      <c r="K96" t="s">
        <v>1807</v>
      </c>
      <c r="L96" t="s">
        <v>1808</v>
      </c>
      <c r="M96" t="s">
        <v>1809</v>
      </c>
      <c r="N96" t="s">
        <v>1810</v>
      </c>
      <c r="O96">
        <f>-683.737471182499 -140.281912980581 -501.935439462766</f>
        <v>-1325.9548236258461</v>
      </c>
      <c r="P96">
        <f>-733.478183825865 -179.560005582125 -227.050411499076</f>
        <v>-1140.0886009070659</v>
      </c>
      <c r="Q96">
        <f>-522.055329097072 -85.9222317178421 -248.978724679587</f>
        <v>-856.95628549450112</v>
      </c>
      <c r="R96" t="s">
        <v>1811</v>
      </c>
      <c r="S96" t="s">
        <v>1812</v>
      </c>
      <c r="T96" t="s">
        <v>1813</v>
      </c>
      <c r="U96" t="s">
        <v>1814</v>
      </c>
      <c r="V96">
        <f>-616.734342633993 -48.6127267635104 -93.1836228851361</f>
        <v>-758.53069228263951</v>
      </c>
      <c r="W96" t="s">
        <v>1815</v>
      </c>
      <c r="X96" t="s">
        <v>1816</v>
      </c>
      <c r="Y96" t="s">
        <v>1817</v>
      </c>
    </row>
    <row r="97" spans="1:25" x14ac:dyDescent="0.3">
      <c r="A97">
        <v>4800</v>
      </c>
      <c r="B97" t="s">
        <v>1818</v>
      </c>
      <c r="C97" t="s">
        <v>1819</v>
      </c>
      <c r="D97" t="s">
        <v>1820</v>
      </c>
      <c r="E97" t="s">
        <v>1821</v>
      </c>
      <c r="F97" t="s">
        <v>1822</v>
      </c>
      <c r="G97" t="s">
        <v>1823</v>
      </c>
      <c r="H97" t="s">
        <v>1824</v>
      </c>
      <c r="I97" t="s">
        <v>1825</v>
      </c>
      <c r="J97" t="s">
        <v>1826</v>
      </c>
      <c r="K97" t="s">
        <v>1827</v>
      </c>
      <c r="L97" t="s">
        <v>1828</v>
      </c>
      <c r="M97" t="s">
        <v>1829</v>
      </c>
      <c r="N97" t="s">
        <v>1830</v>
      </c>
      <c r="O97">
        <f>-683.970151814486 -138.070594678999 -502.368606455126</f>
        <v>-1324.4093529486111</v>
      </c>
      <c r="P97">
        <f>-733.384585325467 -177.945211636938 -227.510717945104</f>
        <v>-1138.840514907509</v>
      </c>
      <c r="Q97">
        <f>-521.478367280803 -85.5570443634522 -250.06601120115</f>
        <v>-857.10142284540518</v>
      </c>
      <c r="R97" t="s">
        <v>1831</v>
      </c>
      <c r="S97" t="s">
        <v>1832</v>
      </c>
      <c r="T97" t="s">
        <v>1833</v>
      </c>
      <c r="U97" t="s">
        <v>1834</v>
      </c>
      <c r="V97">
        <f>-616.124653760728 -47.5671746120879 -93.051150308004</f>
        <v>-756.74297868081999</v>
      </c>
      <c r="W97" t="s">
        <v>1835</v>
      </c>
      <c r="X97" t="s">
        <v>1836</v>
      </c>
      <c r="Y97" t="s">
        <v>1837</v>
      </c>
    </row>
    <row r="98" spans="1:25" x14ac:dyDescent="0.3">
      <c r="A98">
        <v>4850</v>
      </c>
      <c r="B98" t="s">
        <v>1838</v>
      </c>
      <c r="C98" t="s">
        <v>1839</v>
      </c>
      <c r="D98" t="s">
        <v>1840</v>
      </c>
      <c r="E98" t="s">
        <v>1841</v>
      </c>
      <c r="F98" t="s">
        <v>1842</v>
      </c>
      <c r="G98" t="s">
        <v>1843</v>
      </c>
      <c r="H98" t="s">
        <v>1844</v>
      </c>
      <c r="I98" t="s">
        <v>1845</v>
      </c>
      <c r="J98" t="s">
        <v>1846</v>
      </c>
      <c r="K98" t="s">
        <v>1847</v>
      </c>
      <c r="L98" t="s">
        <v>1848</v>
      </c>
      <c r="M98" t="s">
        <v>1849</v>
      </c>
      <c r="N98" t="s">
        <v>1850</v>
      </c>
      <c r="O98">
        <f>-683.981271805366 -136.995920376515 -502.612790795794</f>
        <v>-1323.5899829776749</v>
      </c>
      <c r="P98">
        <f>-733.291641307297 -177.07429681504 -227.765782437709</f>
        <v>-1138.131720560046</v>
      </c>
      <c r="Q98">
        <f>-521.033424520621 -85.5615796249012 -250.57835866126</f>
        <v>-857.17336280678228</v>
      </c>
      <c r="R98" t="s">
        <v>1851</v>
      </c>
      <c r="S98" t="s">
        <v>1852</v>
      </c>
      <c r="T98" t="s">
        <v>1853</v>
      </c>
      <c r="U98" t="s">
        <v>1854</v>
      </c>
      <c r="V98">
        <f>-615.783901247061 -47.1125454648193 -92.9938825237593</f>
        <v>-755.89032923563957</v>
      </c>
      <c r="W98" t="s">
        <v>1855</v>
      </c>
      <c r="X98" t="s">
        <v>1856</v>
      </c>
      <c r="Y98" t="s">
        <v>1857</v>
      </c>
    </row>
    <row r="99" spans="1:25" x14ac:dyDescent="0.3">
      <c r="A99">
        <v>4900</v>
      </c>
      <c r="B99" t="s">
        <v>1858</v>
      </c>
      <c r="C99" t="s">
        <v>1859</v>
      </c>
      <c r="D99" t="s">
        <v>1860</v>
      </c>
      <c r="E99" t="s">
        <v>1861</v>
      </c>
      <c r="F99" t="s">
        <v>1862</v>
      </c>
      <c r="G99" t="s">
        <v>1863</v>
      </c>
      <c r="H99" t="s">
        <v>1864</v>
      </c>
      <c r="I99" t="s">
        <v>1865</v>
      </c>
      <c r="J99" t="s">
        <v>1866</v>
      </c>
      <c r="K99" t="s">
        <v>1867</v>
      </c>
      <c r="L99" t="s">
        <v>1868</v>
      </c>
      <c r="M99" t="s">
        <v>1869</v>
      </c>
      <c r="N99" t="s">
        <v>1870</v>
      </c>
      <c r="O99">
        <f>-683.811345773282 -134.851844903516 -503.076100584835</f>
        <v>-1321.7392912616328</v>
      </c>
      <c r="P99">
        <f>-733.255497038168 -174.866178008622 -228.24394162985</f>
        <v>-1136.36561667664</v>
      </c>
      <c r="Q99">
        <f>-519.873941869875 -86.0680343460585 -251.303064968351</f>
        <v>-857.24504118428456</v>
      </c>
      <c r="R99" t="s">
        <v>1871</v>
      </c>
      <c r="S99" t="s">
        <v>1872</v>
      </c>
      <c r="T99" t="s">
        <v>1873</v>
      </c>
      <c r="U99" t="s">
        <v>1874</v>
      </c>
      <c r="V99">
        <f>-615.191667685635 -46.3872512870826 -92.9104069560832</f>
        <v>-754.48932592880078</v>
      </c>
      <c r="W99" t="s">
        <v>1875</v>
      </c>
      <c r="X99" t="s">
        <v>1876</v>
      </c>
      <c r="Y99" t="s">
        <v>1877</v>
      </c>
    </row>
    <row r="100" spans="1:25" x14ac:dyDescent="0.3">
      <c r="A100">
        <v>4950</v>
      </c>
      <c r="B100" t="s">
        <v>1878</v>
      </c>
      <c r="C100" t="s">
        <v>1879</v>
      </c>
      <c r="D100" t="s">
        <v>1880</v>
      </c>
      <c r="E100" t="s">
        <v>1881</v>
      </c>
      <c r="F100" t="s">
        <v>1882</v>
      </c>
      <c r="G100" t="s">
        <v>1883</v>
      </c>
      <c r="H100" t="s">
        <v>1884</v>
      </c>
      <c r="I100" t="s">
        <v>1885</v>
      </c>
      <c r="J100" t="s">
        <v>1886</v>
      </c>
      <c r="K100" t="s">
        <v>1887</v>
      </c>
      <c r="L100" t="s">
        <v>1888</v>
      </c>
      <c r="M100" t="s">
        <v>1889</v>
      </c>
      <c r="N100" t="s">
        <v>1890</v>
      </c>
      <c r="O100">
        <f>-683.840280180228 -134.015290636327 -503.302608743861</f>
        <v>-1321.1581795604161</v>
      </c>
      <c r="P100">
        <f>-733.571327509847 -174.117860817873 -228.535122816884</f>
        <v>-1136.2243111446041</v>
      </c>
      <c r="Q100">
        <f>-519.666728193444 -86.5787882705322 -251.562481288207</f>
        <v>-857.80799775218316</v>
      </c>
      <c r="R100" t="s">
        <v>1891</v>
      </c>
      <c r="S100" t="s">
        <v>1892</v>
      </c>
      <c r="T100" t="s">
        <v>1893</v>
      </c>
      <c r="U100" t="s">
        <v>1894</v>
      </c>
      <c r="V100">
        <f>-615.074819027329 -46.2208869069086 -92.8841572628791</f>
        <v>-754.17986319711667</v>
      </c>
      <c r="W100" t="s">
        <v>1895</v>
      </c>
      <c r="X100" t="s">
        <v>1896</v>
      </c>
      <c r="Y100" t="s">
        <v>1897</v>
      </c>
    </row>
    <row r="101" spans="1:25" x14ac:dyDescent="0.3">
      <c r="A101">
        <v>5000</v>
      </c>
      <c r="B101" t="s">
        <v>1898</v>
      </c>
      <c r="C101" t="s">
        <v>1899</v>
      </c>
      <c r="D101" t="s">
        <v>1900</v>
      </c>
      <c r="E101" t="s">
        <v>1901</v>
      </c>
      <c r="F101" t="s">
        <v>1902</v>
      </c>
      <c r="G101" t="s">
        <v>1903</v>
      </c>
      <c r="H101" t="s">
        <v>1904</v>
      </c>
      <c r="I101" t="s">
        <v>1905</v>
      </c>
      <c r="J101" t="s">
        <v>1906</v>
      </c>
      <c r="K101" t="s">
        <v>1907</v>
      </c>
      <c r="L101" t="s">
        <v>1908</v>
      </c>
      <c r="M101" t="s">
        <v>1909</v>
      </c>
      <c r="N101" t="s">
        <v>1910</v>
      </c>
      <c r="O101">
        <f>-684.518939044945 -132.331624605818 -503.610543518344</f>
        <v>-1320.461107169107</v>
      </c>
      <c r="P101">
        <f>-734.428570498369 -172.383642565071 -228.867985894775</f>
        <v>-1135.680198958215</v>
      </c>
      <c r="Q101">
        <f>-519.522628045372 -87.3517758981202 -251.966750097632</f>
        <v>-858.84115404112424</v>
      </c>
      <c r="R101" t="s">
        <v>1911</v>
      </c>
      <c r="S101" t="s">
        <v>1912</v>
      </c>
      <c r="T101" t="s">
        <v>1913</v>
      </c>
      <c r="U101" t="s">
        <v>1914</v>
      </c>
      <c r="V101">
        <f>-615.028415250559 -45.6651543483922 -92.8197443580714</f>
        <v>-753.51331395702255</v>
      </c>
      <c r="W101" t="s">
        <v>1915</v>
      </c>
      <c r="X101" t="s">
        <v>1916</v>
      </c>
      <c r="Y101" t="s">
        <v>1917</v>
      </c>
    </row>
    <row r="102" spans="1:25" x14ac:dyDescent="0.3">
      <c r="A102">
        <v>5050</v>
      </c>
      <c r="B102" t="s">
        <v>1918</v>
      </c>
      <c r="C102" t="s">
        <v>1919</v>
      </c>
      <c r="D102" t="s">
        <v>1920</v>
      </c>
      <c r="E102" t="s">
        <v>1921</v>
      </c>
      <c r="F102" t="s">
        <v>1922</v>
      </c>
      <c r="G102" t="s">
        <v>1923</v>
      </c>
      <c r="H102" t="s">
        <v>1924</v>
      </c>
      <c r="I102" t="s">
        <v>1925</v>
      </c>
      <c r="J102" t="s">
        <v>1926</v>
      </c>
      <c r="K102" t="s">
        <v>1927</v>
      </c>
      <c r="L102" t="s">
        <v>1928</v>
      </c>
      <c r="M102" t="s">
        <v>1929</v>
      </c>
      <c r="N102" t="s">
        <v>1930</v>
      </c>
      <c r="O102">
        <f>-685.100780425782 -131.589784110334 -503.623717327375</f>
        <v>-1320.314281863491</v>
      </c>
      <c r="P102">
        <f>-734.983426013651 -171.326078733072 -228.830430116474</f>
        <v>-1135.1399348631969</v>
      </c>
      <c r="Q102">
        <f>-519.631246688939 -87.5192375926797 -252.248069387032</f>
        <v>-859.39855366865072</v>
      </c>
      <c r="R102" t="s">
        <v>1931</v>
      </c>
      <c r="S102" t="s">
        <v>1932</v>
      </c>
      <c r="T102" t="s">
        <v>1933</v>
      </c>
      <c r="U102" t="s">
        <v>1934</v>
      </c>
      <c r="V102">
        <f>-615.066902754592 -45.3377178497392 -92.7826521014466</f>
        <v>-753.18727270577779</v>
      </c>
      <c r="W102" t="s">
        <v>1935</v>
      </c>
      <c r="X102" t="s">
        <v>1936</v>
      </c>
      <c r="Y102" t="s">
        <v>1937</v>
      </c>
    </row>
    <row r="103" spans="1:25" x14ac:dyDescent="0.3">
      <c r="A103">
        <v>5100</v>
      </c>
      <c r="B103" t="s">
        <v>1938</v>
      </c>
      <c r="C103" t="s">
        <v>1939</v>
      </c>
      <c r="D103" t="s">
        <v>1940</v>
      </c>
      <c r="E103" t="s">
        <v>1941</v>
      </c>
      <c r="F103" t="s">
        <v>1942</v>
      </c>
      <c r="G103" t="s">
        <v>1943</v>
      </c>
      <c r="H103" t="s">
        <v>1944</v>
      </c>
      <c r="I103" t="s">
        <v>1945</v>
      </c>
      <c r="J103" t="s">
        <v>1946</v>
      </c>
      <c r="K103" t="s">
        <v>1947</v>
      </c>
      <c r="L103" t="s">
        <v>1948</v>
      </c>
      <c r="M103" t="s">
        <v>1949</v>
      </c>
      <c r="N103" t="s">
        <v>1950</v>
      </c>
      <c r="O103">
        <f>-686.407302169684 -130.366287939462 -503.507499547555</f>
        <v>-1320.2810896567012</v>
      </c>
      <c r="P103">
        <f>-736.129658832687 -169.177742212367 -228.553009824964</f>
        <v>-1133.8604108700181</v>
      </c>
      <c r="Q103">
        <f>-519.902308856725 -87.961337252284 -253.010008955125</f>
        <v>-860.87365506413403</v>
      </c>
      <c r="R103" t="s">
        <v>1951</v>
      </c>
      <c r="S103" t="s">
        <v>1952</v>
      </c>
      <c r="T103" t="s">
        <v>1953</v>
      </c>
      <c r="U103" t="s">
        <v>1954</v>
      </c>
      <c r="V103">
        <f>-615.377150479938 -44.7733451300355 -92.7750812802533</f>
        <v>-752.92557689022681</v>
      </c>
      <c r="W103" t="s">
        <v>1955</v>
      </c>
      <c r="X103" t="s">
        <v>1956</v>
      </c>
      <c r="Y103" t="s">
        <v>1957</v>
      </c>
    </row>
    <row r="104" spans="1:25" x14ac:dyDescent="0.3">
      <c r="A104">
        <v>5150</v>
      </c>
      <c r="B104" t="s">
        <v>1958</v>
      </c>
      <c r="C104" t="s">
        <v>1959</v>
      </c>
      <c r="D104" t="s">
        <v>1960</v>
      </c>
      <c r="E104" t="s">
        <v>1961</v>
      </c>
      <c r="F104" t="s">
        <v>1962</v>
      </c>
      <c r="G104" t="s">
        <v>1963</v>
      </c>
      <c r="H104" t="s">
        <v>1964</v>
      </c>
      <c r="I104" t="s">
        <v>1965</v>
      </c>
      <c r="J104" t="s">
        <v>1966</v>
      </c>
      <c r="K104" t="s">
        <v>1967</v>
      </c>
      <c r="L104" t="s">
        <v>1968</v>
      </c>
      <c r="M104" t="s">
        <v>1969</v>
      </c>
      <c r="N104" t="s">
        <v>1970</v>
      </c>
      <c r="O104">
        <f>-687.11271913944 -129.700089305624 -503.514508734674</f>
        <v>-1320.327317179738</v>
      </c>
      <c r="P104">
        <f>-736.850204046036 -167.936428575071 -228.482260893575</f>
        <v>-1133.2688935146818</v>
      </c>
      <c r="Q104">
        <f>-520.151835164645 -88.107059361944 -253.334463763643</f>
        <v>-861.59335829023212</v>
      </c>
      <c r="R104" t="s">
        <v>1971</v>
      </c>
      <c r="S104" t="s">
        <v>1972</v>
      </c>
      <c r="T104" t="s">
        <v>1973</v>
      </c>
      <c r="U104" t="s">
        <v>1974</v>
      </c>
      <c r="V104">
        <f>-615.570337923319 -44.5191138332266 -92.7757589905232</f>
        <v>-752.86521074706877</v>
      </c>
      <c r="W104" t="s">
        <v>1975</v>
      </c>
      <c r="X104" t="s">
        <v>1976</v>
      </c>
      <c r="Y104" t="s">
        <v>1977</v>
      </c>
    </row>
    <row r="105" spans="1:25" x14ac:dyDescent="0.3">
      <c r="A105">
        <v>5200</v>
      </c>
      <c r="B105" t="s">
        <v>1978</v>
      </c>
      <c r="C105" t="s">
        <v>1979</v>
      </c>
      <c r="D105" t="s">
        <v>1980</v>
      </c>
      <c r="E105" t="s">
        <v>1981</v>
      </c>
      <c r="F105" t="s">
        <v>1982</v>
      </c>
      <c r="G105" t="s">
        <v>1983</v>
      </c>
      <c r="H105" t="s">
        <v>1984</v>
      </c>
      <c r="I105" t="s">
        <v>1985</v>
      </c>
      <c r="J105" t="s">
        <v>1986</v>
      </c>
      <c r="K105" t="s">
        <v>1987</v>
      </c>
      <c r="L105" t="s">
        <v>1988</v>
      </c>
      <c r="M105" t="s">
        <v>1989</v>
      </c>
      <c r="N105" t="s">
        <v>1990</v>
      </c>
      <c r="O105">
        <f>-688.183350468256 -128.363820037825 -503.603188089636</f>
        <v>-1320.1503585957171</v>
      </c>
      <c r="P105">
        <f>-738.616788955658 -166.054173980826 -228.622263003004</f>
        <v>-1133.2932259394879</v>
      </c>
      <c r="Q105">
        <f>-521.089480246348 -88.5803310421709 -253.686502195471</f>
        <v>-863.35631348398988</v>
      </c>
      <c r="R105" t="s">
        <v>1991</v>
      </c>
      <c r="S105" t="s">
        <v>1992</v>
      </c>
      <c r="T105" t="s">
        <v>1993</v>
      </c>
      <c r="U105" t="s">
        <v>1994</v>
      </c>
      <c r="V105">
        <f>-616.082486406529 -43.9979604412276 -92.7615443514126</f>
        <v>-752.84199119916923</v>
      </c>
      <c r="W105" t="s">
        <v>1995</v>
      </c>
      <c r="X105" t="s">
        <v>1996</v>
      </c>
      <c r="Y105" t="s">
        <v>1997</v>
      </c>
    </row>
    <row r="106" spans="1:25" x14ac:dyDescent="0.3">
      <c r="A106">
        <v>5250</v>
      </c>
      <c r="B106" t="s">
        <v>1998</v>
      </c>
      <c r="C106" t="s">
        <v>1999</v>
      </c>
      <c r="D106" t="s">
        <v>2000</v>
      </c>
      <c r="E106" t="s">
        <v>2001</v>
      </c>
      <c r="F106" t="s">
        <v>2002</v>
      </c>
      <c r="G106" t="s">
        <v>2003</v>
      </c>
      <c r="H106" t="s">
        <v>2004</v>
      </c>
      <c r="I106" t="s">
        <v>2005</v>
      </c>
      <c r="J106" t="s">
        <v>2006</v>
      </c>
      <c r="K106" t="s">
        <v>2007</v>
      </c>
      <c r="L106" t="s">
        <v>2008</v>
      </c>
      <c r="M106" t="s">
        <v>2009</v>
      </c>
      <c r="N106" t="s">
        <v>2010</v>
      </c>
      <c r="O106">
        <f>-688.586725875018 -127.735586496264 -503.699364480166</f>
        <v>-1320.0216768514481</v>
      </c>
      <c r="P106">
        <f>-739.439116591459 -165.325929083311 -228.781993980915</f>
        <v>-1133.5470396556848</v>
      </c>
      <c r="Q106">
        <f>-521.551222379393 -88.8337314008406 -253.729548639749</f>
        <v>-864.11450241998273</v>
      </c>
      <c r="R106" t="s">
        <v>2011</v>
      </c>
      <c r="S106" t="s">
        <v>2012</v>
      </c>
      <c r="T106" t="s">
        <v>2013</v>
      </c>
      <c r="U106" t="s">
        <v>2014</v>
      </c>
      <c r="V106">
        <f>-616.285631970017 -43.7001251742124 -92.775645409894</f>
        <v>-752.76140255412338</v>
      </c>
      <c r="W106" t="s">
        <v>2015</v>
      </c>
      <c r="X106" t="s">
        <v>2016</v>
      </c>
      <c r="Y106" t="s">
        <v>2017</v>
      </c>
    </row>
    <row r="107" spans="1:25" x14ac:dyDescent="0.3">
      <c r="A107">
        <v>5300</v>
      </c>
      <c r="B107" t="s">
        <v>2018</v>
      </c>
      <c r="C107" t="s">
        <v>2019</v>
      </c>
      <c r="D107" t="s">
        <v>2020</v>
      </c>
      <c r="E107" t="s">
        <v>2021</v>
      </c>
      <c r="F107" t="s">
        <v>2022</v>
      </c>
      <c r="G107" t="s">
        <v>2023</v>
      </c>
      <c r="H107" t="s">
        <v>2024</v>
      </c>
      <c r="I107" t="s">
        <v>2025</v>
      </c>
      <c r="J107" t="s">
        <v>2026</v>
      </c>
      <c r="K107" t="s">
        <v>2027</v>
      </c>
      <c r="L107" t="s">
        <v>2028</v>
      </c>
      <c r="M107" t="s">
        <v>2029</v>
      </c>
      <c r="N107" t="s">
        <v>2030</v>
      </c>
      <c r="O107">
        <f>-689.264208382835 -126.717020481212 -503.927203055238</f>
        <v>-1319.908431919285</v>
      </c>
      <c r="P107">
        <f>-740.632482831943 -164.223534295199 -229.094163476876</f>
        <v>-1133.950180604018</v>
      </c>
      <c r="Q107">
        <f>-522.226898371785 -89.1444910430871 -253.805994119307</f>
        <v>-865.17738353417906</v>
      </c>
      <c r="R107" t="s">
        <v>2031</v>
      </c>
      <c r="S107" t="s">
        <v>2032</v>
      </c>
      <c r="T107" t="s">
        <v>2033</v>
      </c>
      <c r="U107" t="s">
        <v>2034</v>
      </c>
      <c r="V107">
        <f>-616.447928657304 -43.2192722278562 -92.8013231183695</f>
        <v>-752.46852400352975</v>
      </c>
      <c r="W107" t="s">
        <v>2035</v>
      </c>
      <c r="X107" t="s">
        <v>2036</v>
      </c>
      <c r="Y107" t="s">
        <v>2037</v>
      </c>
    </row>
    <row r="108" spans="1:25" x14ac:dyDescent="0.3">
      <c r="A108">
        <v>5350</v>
      </c>
      <c r="B108" t="s">
        <v>2038</v>
      </c>
      <c r="C108" t="s">
        <v>2039</v>
      </c>
      <c r="D108" t="s">
        <v>2040</v>
      </c>
      <c r="E108" t="s">
        <v>2041</v>
      </c>
      <c r="F108" t="s">
        <v>2042</v>
      </c>
      <c r="G108" t="s">
        <v>2043</v>
      </c>
      <c r="H108" t="s">
        <v>2044</v>
      </c>
      <c r="I108" t="s">
        <v>2045</v>
      </c>
      <c r="J108" t="s">
        <v>2046</v>
      </c>
      <c r="K108" t="s">
        <v>2047</v>
      </c>
      <c r="L108" t="s">
        <v>2048</v>
      </c>
      <c r="M108" t="s">
        <v>2049</v>
      </c>
      <c r="N108" t="s">
        <v>2050</v>
      </c>
      <c r="O108">
        <f>-689.477535170552 -126.356717820237 -503.978150221773</f>
        <v>-1319.812403212562</v>
      </c>
      <c r="P108">
        <f>-740.943215966754 -163.786243575547 -229.152872240674</f>
        <v>-1133.8823317829749</v>
      </c>
      <c r="Q108">
        <f>-522.324944303544 -89.3236076231969 -253.849022882918</f>
        <v>-865.497574809659</v>
      </c>
      <c r="R108" t="s">
        <v>2051</v>
      </c>
      <c r="S108" t="s">
        <v>2052</v>
      </c>
      <c r="T108" t="s">
        <v>2053</v>
      </c>
      <c r="U108" t="s">
        <v>2054</v>
      </c>
      <c r="V108">
        <f>-616.478668674285 -43.0103896307151 -92.8083417092485</f>
        <v>-752.29740001424852</v>
      </c>
      <c r="W108" t="s">
        <v>2055</v>
      </c>
      <c r="X108" t="s">
        <v>2056</v>
      </c>
      <c r="Y108" t="s">
        <v>2057</v>
      </c>
    </row>
    <row r="109" spans="1:25" x14ac:dyDescent="0.3">
      <c r="A109">
        <v>5400</v>
      </c>
      <c r="B109" t="s">
        <v>2058</v>
      </c>
      <c r="C109" t="s">
        <v>2059</v>
      </c>
      <c r="D109" t="s">
        <v>2060</v>
      </c>
      <c r="E109" t="s">
        <v>2061</v>
      </c>
      <c r="F109" t="s">
        <v>2062</v>
      </c>
      <c r="G109" t="s">
        <v>2063</v>
      </c>
      <c r="H109" t="s">
        <v>2064</v>
      </c>
      <c r="I109" t="s">
        <v>2065</v>
      </c>
      <c r="J109" t="s">
        <v>2066</v>
      </c>
      <c r="K109" t="s">
        <v>2067</v>
      </c>
      <c r="L109" t="s">
        <v>2068</v>
      </c>
      <c r="M109" t="s">
        <v>2069</v>
      </c>
      <c r="N109" t="s">
        <v>2070</v>
      </c>
      <c r="O109">
        <f>-689.733164285906 -125.708228707295 -504.043573731596</f>
        <v>-1319.484966724797</v>
      </c>
      <c r="P109">
        <f>-741.056732954666 -163.042314619291 -229.178918194674</f>
        <v>-1133.277965768631</v>
      </c>
      <c r="Q109">
        <f>-522.104702299339 -89.6232338668412 -254.041961653341</f>
        <v>-865.76989781952125</v>
      </c>
      <c r="R109" t="s">
        <v>2071</v>
      </c>
      <c r="S109" t="s">
        <v>2072</v>
      </c>
      <c r="T109" t="s">
        <v>2073</v>
      </c>
      <c r="U109" t="s">
        <v>2074</v>
      </c>
      <c r="V109">
        <f>-616.542941972523 -42.6233099100559 -92.8056486366893</f>
        <v>-751.97190051926816</v>
      </c>
      <c r="W109" t="s">
        <v>2075</v>
      </c>
      <c r="X109" t="s">
        <v>2076</v>
      </c>
      <c r="Y109" t="s">
        <v>2077</v>
      </c>
    </row>
    <row r="110" spans="1:25" x14ac:dyDescent="0.3">
      <c r="A110">
        <v>5450</v>
      </c>
      <c r="B110" t="s">
        <v>2078</v>
      </c>
      <c r="C110" t="s">
        <v>2079</v>
      </c>
      <c r="D110" t="s">
        <v>2080</v>
      </c>
      <c r="E110" t="s">
        <v>2081</v>
      </c>
      <c r="F110" t="s">
        <v>2082</v>
      </c>
      <c r="G110" t="s">
        <v>2083</v>
      </c>
      <c r="H110" t="s">
        <v>2084</v>
      </c>
      <c r="I110" t="s">
        <v>2085</v>
      </c>
      <c r="J110" t="s">
        <v>2086</v>
      </c>
      <c r="K110" t="s">
        <v>2087</v>
      </c>
      <c r="L110" t="s">
        <v>2088</v>
      </c>
      <c r="M110" t="s">
        <v>2089</v>
      </c>
      <c r="N110" t="s">
        <v>2090</v>
      </c>
      <c r="O110">
        <f>-689.7731841426 -125.479534045051 -504.086978431707</f>
        <v>-1319.3396966193579</v>
      </c>
      <c r="P110">
        <f>-740.905340443185 -162.708798417804 -229.172312380038</f>
        <v>-1132.786451241027</v>
      </c>
      <c r="Q110">
        <f>-521.831146824073 -89.7143217086268 -254.208743116743</f>
        <v>-865.75421164944282</v>
      </c>
      <c r="R110" t="s">
        <v>2091</v>
      </c>
      <c r="S110" t="s">
        <v>2092</v>
      </c>
      <c r="T110" t="s">
        <v>2093</v>
      </c>
      <c r="U110" t="s">
        <v>2094</v>
      </c>
      <c r="V110">
        <f>-616.662630191585 -42.4872164512162 -92.7931815651234</f>
        <v>-751.94302820792461</v>
      </c>
      <c r="W110" t="s">
        <v>2095</v>
      </c>
      <c r="X110" t="s">
        <v>2096</v>
      </c>
      <c r="Y110" t="s">
        <v>2097</v>
      </c>
    </row>
    <row r="111" spans="1:25" x14ac:dyDescent="0.3">
      <c r="A111">
        <v>5500</v>
      </c>
      <c r="B111" t="s">
        <v>2098</v>
      </c>
      <c r="C111" t="s">
        <v>2099</v>
      </c>
      <c r="D111" t="s">
        <v>2100</v>
      </c>
      <c r="E111" t="s">
        <v>2101</v>
      </c>
      <c r="F111" t="s">
        <v>2102</v>
      </c>
      <c r="G111" t="s">
        <v>2103</v>
      </c>
      <c r="H111" t="s">
        <v>2104</v>
      </c>
      <c r="I111" t="s">
        <v>2105</v>
      </c>
      <c r="J111" t="s">
        <v>2106</v>
      </c>
      <c r="K111" t="s">
        <v>2107</v>
      </c>
      <c r="L111" t="s">
        <v>2108</v>
      </c>
      <c r="M111" t="s">
        <v>2109</v>
      </c>
      <c r="N111" t="s">
        <v>2110</v>
      </c>
      <c r="O111">
        <f>-690.325895434199 -125.418092319651 -503.984738076931</f>
        <v>-1319.7287258307811</v>
      </c>
      <c r="P111">
        <f>-740.692355543615 -162.333074514994 -228.886406299666</f>
        <v>-1131.911836358275</v>
      </c>
      <c r="Q111">
        <f>-521.460061350769 -90.0317924775277 -254.543360005509</f>
        <v>-866.03521383380576</v>
      </c>
      <c r="R111" t="s">
        <v>2111</v>
      </c>
      <c r="S111" t="s">
        <v>2112</v>
      </c>
      <c r="T111" t="s">
        <v>2113</v>
      </c>
      <c r="U111" t="s">
        <v>2114</v>
      </c>
      <c r="V111">
        <f>-617.085851291522 -42.4768289091821 -92.8042437068921</f>
        <v>-752.36692390759617</v>
      </c>
      <c r="W111" t="s">
        <v>2115</v>
      </c>
      <c r="X111" t="s">
        <v>2116</v>
      </c>
      <c r="Y111" t="s">
        <v>2117</v>
      </c>
    </row>
    <row r="112" spans="1:25" x14ac:dyDescent="0.3">
      <c r="A112">
        <v>5550</v>
      </c>
      <c r="B112" t="s">
        <v>2118</v>
      </c>
      <c r="C112" t="s">
        <v>2119</v>
      </c>
      <c r="D112" t="s">
        <v>2120</v>
      </c>
      <c r="E112" t="s">
        <v>2121</v>
      </c>
      <c r="F112" t="s">
        <v>2122</v>
      </c>
      <c r="G112" t="s">
        <v>2123</v>
      </c>
      <c r="H112" t="s">
        <v>2124</v>
      </c>
      <c r="I112" t="s">
        <v>2125</v>
      </c>
      <c r="J112" t="s">
        <v>2126</v>
      </c>
      <c r="K112" t="s">
        <v>2127</v>
      </c>
      <c r="L112" t="s">
        <v>2128</v>
      </c>
      <c r="M112" t="s">
        <v>2129</v>
      </c>
      <c r="N112" t="s">
        <v>2130</v>
      </c>
      <c r="O112">
        <f>-690.770897210809 -125.480037829457 -503.865532936917</f>
        <v>-1320.1164679771832</v>
      </c>
      <c r="P112">
        <f>-740.719397752827 -162.211512103454 -228.666547999798</f>
        <v>-1131.597457856079</v>
      </c>
      <c r="Q112">
        <f>-521.456726440718 -90.1269950036724 -254.67127536618</f>
        <v>-866.25499681057033</v>
      </c>
      <c r="R112" t="s">
        <v>2131</v>
      </c>
      <c r="S112" t="s">
        <v>2132</v>
      </c>
      <c r="T112" t="s">
        <v>2133</v>
      </c>
      <c r="U112" t="s">
        <v>2134</v>
      </c>
      <c r="V112">
        <f>-617.264183226498 -42.5261020231919 -92.8193519056841</f>
        <v>-752.609637155374</v>
      </c>
      <c r="W112" t="s">
        <v>2135</v>
      </c>
      <c r="X112" t="s">
        <v>2136</v>
      </c>
      <c r="Y112" t="s">
        <v>2137</v>
      </c>
    </row>
    <row r="113" spans="1:25" x14ac:dyDescent="0.3">
      <c r="A113">
        <v>5600</v>
      </c>
      <c r="B113" t="s">
        <v>2138</v>
      </c>
      <c r="C113" t="s">
        <v>2139</v>
      </c>
      <c r="D113" t="s">
        <v>2140</v>
      </c>
      <c r="E113" t="s">
        <v>2141</v>
      </c>
      <c r="F113" t="s">
        <v>2142</v>
      </c>
      <c r="G113" t="s">
        <v>2143</v>
      </c>
      <c r="H113" t="s">
        <v>2144</v>
      </c>
      <c r="I113" t="s">
        <v>2145</v>
      </c>
      <c r="J113" t="s">
        <v>2146</v>
      </c>
      <c r="K113" t="s">
        <v>2147</v>
      </c>
      <c r="L113" t="s">
        <v>2148</v>
      </c>
      <c r="M113" t="s">
        <v>2149</v>
      </c>
      <c r="N113" t="s">
        <v>2150</v>
      </c>
      <c r="O113">
        <f>-691.278878256648 -125.619902125258 -503.837281917444</f>
        <v>-1320.7360622993501</v>
      </c>
      <c r="P113">
        <f>-741.136636652167 -162.101488328557 -228.58855455487</f>
        <v>-1131.8266795355939</v>
      </c>
      <c r="Q113">
        <f>-521.809678297566 -90.2801325463442 -254.778851261513</f>
        <v>-866.86866210542325</v>
      </c>
      <c r="R113" t="s">
        <v>2151</v>
      </c>
      <c r="S113" t="s">
        <v>2152</v>
      </c>
      <c r="T113" t="s">
        <v>2153</v>
      </c>
      <c r="U113" t="s">
        <v>2154</v>
      </c>
      <c r="V113">
        <f>-617.510135993105 -42.6926833337079 -92.855991187108</f>
        <v>-753.05881051392089</v>
      </c>
      <c r="W113" t="s">
        <v>2155</v>
      </c>
      <c r="X113" t="s">
        <v>2156</v>
      </c>
      <c r="Y113" t="s">
        <v>2157</v>
      </c>
    </row>
    <row r="114" spans="1:25" x14ac:dyDescent="0.3">
      <c r="A114">
        <v>5650</v>
      </c>
      <c r="B114" t="s">
        <v>2158</v>
      </c>
      <c r="C114" t="s">
        <v>2159</v>
      </c>
      <c r="D114" t="s">
        <v>2160</v>
      </c>
      <c r="E114" t="s">
        <v>2161</v>
      </c>
      <c r="F114" t="s">
        <v>2162</v>
      </c>
      <c r="G114" t="s">
        <v>2163</v>
      </c>
      <c r="H114" t="s">
        <v>2164</v>
      </c>
      <c r="I114" t="s">
        <v>2165</v>
      </c>
      <c r="J114" t="s">
        <v>2166</v>
      </c>
      <c r="K114" t="s">
        <v>2167</v>
      </c>
      <c r="L114" t="s">
        <v>2168</v>
      </c>
      <c r="M114" t="s">
        <v>2169</v>
      </c>
      <c r="N114" t="s">
        <v>2170</v>
      </c>
      <c r="O114">
        <f>-691.300986264275 -125.606979133567 -504.052718995441</f>
        <v>-1320.9606843932829</v>
      </c>
      <c r="P114">
        <f>-741.605181340107 -162.15007350579 -228.893432449674</f>
        <v>-1132.6486872955711</v>
      </c>
      <c r="Q114">
        <f>-522.195270185174 -90.4746655510105 -254.786286789319</f>
        <v>-867.45622252550345</v>
      </c>
      <c r="R114" t="s">
        <v>2171</v>
      </c>
      <c r="S114" t="s">
        <v>2172</v>
      </c>
      <c r="T114" t="s">
        <v>2173</v>
      </c>
      <c r="U114" t="s">
        <v>2174</v>
      </c>
      <c r="V114">
        <f>-617.68991519092 -42.8431717011081 -92.8974126809146</f>
        <v>-753.43049957294272</v>
      </c>
      <c r="W114" t="s">
        <v>2175</v>
      </c>
      <c r="X114" t="s">
        <v>2176</v>
      </c>
      <c r="Y114" t="s">
        <v>2177</v>
      </c>
    </row>
    <row r="115" spans="1:25" x14ac:dyDescent="0.3">
      <c r="A115">
        <v>5700</v>
      </c>
      <c r="B115" t="s">
        <v>2178</v>
      </c>
      <c r="C115" t="s">
        <v>2179</v>
      </c>
      <c r="D115" t="s">
        <v>2180</v>
      </c>
      <c r="E115" t="s">
        <v>2181</v>
      </c>
      <c r="F115" t="s">
        <v>2182</v>
      </c>
      <c r="G115" t="s">
        <v>2183</v>
      </c>
      <c r="H115" t="s">
        <v>2184</v>
      </c>
      <c r="I115" t="s">
        <v>2185</v>
      </c>
      <c r="J115" t="s">
        <v>2186</v>
      </c>
      <c r="K115" t="s">
        <v>2187</v>
      </c>
      <c r="L115" t="s">
        <v>2188</v>
      </c>
      <c r="M115" t="s">
        <v>2189</v>
      </c>
      <c r="N115" t="s">
        <v>2190</v>
      </c>
      <c r="O115">
        <f>-690.997324669835 -125.665057869088 -504.703729481784</f>
        <v>-1321.3661120207071</v>
      </c>
      <c r="P115">
        <f>-742.396555209471 -162.930246486683 -229.843732399832</f>
        <v>-1135.1705340959861</v>
      </c>
      <c r="Q115">
        <f>-522.850891731109 -91.300942980133 -254.693234399859</f>
        <v>-868.84506911110088</v>
      </c>
      <c r="R115" t="s">
        <v>2191</v>
      </c>
      <c r="S115" t="s">
        <v>2192</v>
      </c>
      <c r="T115" t="s">
        <v>2193</v>
      </c>
      <c r="U115" t="s">
        <v>2194</v>
      </c>
      <c r="V115">
        <f>-618.17659060719 -43.2919467866898 -92.9808195728967</f>
        <v>-754.44935696677646</v>
      </c>
      <c r="W115" t="s">
        <v>2195</v>
      </c>
      <c r="X115" t="s">
        <v>2196</v>
      </c>
      <c r="Y115" t="s">
        <v>2197</v>
      </c>
    </row>
    <row r="116" spans="1:25" x14ac:dyDescent="0.3">
      <c r="A116">
        <v>5750</v>
      </c>
      <c r="B116" t="s">
        <v>2198</v>
      </c>
      <c r="C116" t="s">
        <v>2199</v>
      </c>
      <c r="D116" t="s">
        <v>2200</v>
      </c>
      <c r="E116" t="s">
        <v>2201</v>
      </c>
      <c r="F116" t="s">
        <v>2202</v>
      </c>
      <c r="G116" t="s">
        <v>2203</v>
      </c>
      <c r="H116" t="s">
        <v>2204</v>
      </c>
      <c r="I116" t="s">
        <v>2205</v>
      </c>
      <c r="J116" t="s">
        <v>2206</v>
      </c>
      <c r="K116" t="s">
        <v>2207</v>
      </c>
      <c r="L116" t="s">
        <v>2208</v>
      </c>
      <c r="M116" t="s">
        <v>2209</v>
      </c>
      <c r="N116" t="s">
        <v>2210</v>
      </c>
      <c r="O116">
        <f>-690.801482056733 -125.698951235982 -504.987585251502</f>
        <v>-1321.4880185442171</v>
      </c>
      <c r="P116">
        <f>-742.551482817785 -163.456008550816 -230.260570940855</f>
        <v>-1136.2680623094559</v>
      </c>
      <c r="Q116">
        <f>-522.972762864107 -91.7815498127584 -254.683963211596</f>
        <v>-869.43827588846148</v>
      </c>
      <c r="R116" t="s">
        <v>2211</v>
      </c>
      <c r="S116" t="s">
        <v>2212</v>
      </c>
      <c r="T116" t="s">
        <v>2213</v>
      </c>
      <c r="U116" t="s">
        <v>2214</v>
      </c>
      <c r="V116">
        <f>-618.38350623335 -43.5632389094358 -93.0241473716362</f>
        <v>-754.97089251442196</v>
      </c>
      <c r="W116" t="s">
        <v>2215</v>
      </c>
      <c r="X116" t="s">
        <v>2216</v>
      </c>
      <c r="Y116" t="s">
        <v>2217</v>
      </c>
    </row>
    <row r="117" spans="1:25" x14ac:dyDescent="0.3">
      <c r="A117">
        <v>5800</v>
      </c>
      <c r="B117" t="s">
        <v>2218</v>
      </c>
      <c r="C117" t="s">
        <v>2219</v>
      </c>
      <c r="D117" t="s">
        <v>2220</v>
      </c>
      <c r="E117" t="s">
        <v>2221</v>
      </c>
      <c r="F117" t="s">
        <v>2222</v>
      </c>
      <c r="G117" t="s">
        <v>2223</v>
      </c>
      <c r="H117" t="s">
        <v>2224</v>
      </c>
      <c r="I117" t="s">
        <v>2225</v>
      </c>
      <c r="J117" t="s">
        <v>2226</v>
      </c>
      <c r="K117" t="s">
        <v>2227</v>
      </c>
      <c r="L117" t="s">
        <v>2228</v>
      </c>
      <c r="M117" t="s">
        <v>2229</v>
      </c>
      <c r="N117" t="s">
        <v>2230</v>
      </c>
      <c r="O117">
        <f>-690.819916709816 -125.565604995437 -505.455462228061</f>
        <v>-1321.840983933314</v>
      </c>
      <c r="P117">
        <f>-742.601445852581 -163.802069230537 -230.800803125263</f>
        <v>-1137.204318208381</v>
      </c>
      <c r="Q117">
        <f>-522.919697360591 -92.2873589243407 -254.761195608014</f>
        <v>-869.96825189294566</v>
      </c>
      <c r="R117" t="s">
        <v>2231</v>
      </c>
      <c r="S117" t="s">
        <v>2232</v>
      </c>
      <c r="T117" t="s">
        <v>2233</v>
      </c>
      <c r="U117" t="s">
        <v>2234</v>
      </c>
      <c r="V117">
        <f>-618.818162720669 -43.9967573787578 -93.08799613524</f>
        <v>-755.9029162346668</v>
      </c>
      <c r="W117" t="s">
        <v>2235</v>
      </c>
      <c r="X117" t="s">
        <v>2236</v>
      </c>
      <c r="Y117" t="s">
        <v>2237</v>
      </c>
    </row>
    <row r="118" spans="1:25" x14ac:dyDescent="0.3">
      <c r="A118">
        <v>5850</v>
      </c>
      <c r="B118" t="s">
        <v>2238</v>
      </c>
      <c r="C118" t="s">
        <v>2239</v>
      </c>
      <c r="D118" t="s">
        <v>2240</v>
      </c>
      <c r="E118" t="s">
        <v>2241</v>
      </c>
      <c r="F118" t="s">
        <v>2242</v>
      </c>
      <c r="G118" t="s">
        <v>2243</v>
      </c>
      <c r="H118" t="s">
        <v>2244</v>
      </c>
      <c r="I118" t="s">
        <v>2245</v>
      </c>
      <c r="J118" t="s">
        <v>2246</v>
      </c>
      <c r="K118" t="s">
        <v>2247</v>
      </c>
      <c r="L118" t="s">
        <v>2248</v>
      </c>
      <c r="M118" t="s">
        <v>2249</v>
      </c>
      <c r="N118" t="s">
        <v>2250</v>
      </c>
      <c r="O118">
        <f>-690.954300673047 -125.513674942593 -505.655588057319</f>
        <v>-1322.1235636729589</v>
      </c>
      <c r="P118">
        <f>-742.5951671157 -163.854389941093 -230.989003871146</f>
        <v>-1137.4385609279389</v>
      </c>
      <c r="Q118">
        <f>-522.890350902254 -92.3996082177468 -254.91697230705</f>
        <v>-870.2069314270509</v>
      </c>
      <c r="R118" t="s">
        <v>2251</v>
      </c>
      <c r="S118" t="s">
        <v>2252</v>
      </c>
      <c r="T118" t="s">
        <v>2253</v>
      </c>
      <c r="U118" t="s">
        <v>2254</v>
      </c>
      <c r="V118">
        <f>-618.984065817051 -44.2060670022438 -93.1102004545721</f>
        <v>-756.30033327386695</v>
      </c>
      <c r="W118" t="s">
        <v>2255</v>
      </c>
      <c r="X118" t="s">
        <v>2256</v>
      </c>
      <c r="Y118" t="s">
        <v>2257</v>
      </c>
    </row>
    <row r="119" spans="1:25" x14ac:dyDescent="0.3">
      <c r="A119">
        <v>5900</v>
      </c>
      <c r="B119" t="s">
        <v>2258</v>
      </c>
      <c r="C119" t="s">
        <v>2259</v>
      </c>
      <c r="D119" t="s">
        <v>2260</v>
      </c>
      <c r="E119" t="s">
        <v>2261</v>
      </c>
      <c r="F119" t="s">
        <v>2262</v>
      </c>
      <c r="G119" t="s">
        <v>2263</v>
      </c>
      <c r="H119" t="s">
        <v>2264</v>
      </c>
      <c r="I119" t="s">
        <v>2265</v>
      </c>
      <c r="J119" t="s">
        <v>2266</v>
      </c>
      <c r="K119" t="s">
        <v>2267</v>
      </c>
      <c r="L119" t="s">
        <v>2268</v>
      </c>
      <c r="M119" t="s">
        <v>2269</v>
      </c>
      <c r="N119" t="s">
        <v>2270</v>
      </c>
      <c r="O119">
        <f>-691.441727596776 -125.416478597345 -505.952979609965</f>
        <v>-1322.8111858040859</v>
      </c>
      <c r="P119">
        <f>-742.559634371776 -164.160924858104 -231.245085228164</f>
        <v>-1137.9656444580442</v>
      </c>
      <c r="Q119">
        <f>-522.829414650569 -92.7358683350592 -255.028430994543</f>
        <v>-870.59371398017117</v>
      </c>
      <c r="R119" t="s">
        <v>2271</v>
      </c>
      <c r="S119" t="s">
        <v>2272</v>
      </c>
      <c r="T119" t="s">
        <v>2273</v>
      </c>
      <c r="U119" t="s">
        <v>2274</v>
      </c>
      <c r="V119">
        <f>-619.194402495399 -44.4684704927356 -93.1576576826319</f>
        <v>-756.82053067076652</v>
      </c>
      <c r="W119" t="s">
        <v>2275</v>
      </c>
      <c r="X119" t="s">
        <v>2276</v>
      </c>
      <c r="Y119" t="s">
        <v>2277</v>
      </c>
    </row>
    <row r="120" spans="1:25" x14ac:dyDescent="0.3">
      <c r="A120">
        <v>5950</v>
      </c>
      <c r="B120" t="s">
        <v>2278</v>
      </c>
      <c r="C120" t="s">
        <v>2279</v>
      </c>
      <c r="D120" t="s">
        <v>2280</v>
      </c>
      <c r="E120" t="s">
        <v>2281</v>
      </c>
      <c r="F120" t="s">
        <v>2282</v>
      </c>
      <c r="G120" t="s">
        <v>2283</v>
      </c>
      <c r="H120" t="s">
        <v>2284</v>
      </c>
      <c r="I120" t="s">
        <v>2285</v>
      </c>
      <c r="J120" t="s">
        <v>2286</v>
      </c>
      <c r="K120" t="s">
        <v>2287</v>
      </c>
      <c r="L120" t="s">
        <v>2288</v>
      </c>
      <c r="M120" t="s">
        <v>2289</v>
      </c>
      <c r="N120" t="s">
        <v>2290</v>
      </c>
      <c r="O120">
        <f>-691.811280894898 -125.302745713314 -506.037777733099</f>
        <v>-1323.1518043413112</v>
      </c>
      <c r="P120">
        <f>-742.58123110977 -164.347114325278 -231.307962375818</f>
        <v>-1138.236307810866</v>
      </c>
      <c r="Q120">
        <f>-522.85806030691 -92.8815896472056 -255.034624607735</f>
        <v>-870.77427456185069</v>
      </c>
      <c r="R120" t="s">
        <v>2291</v>
      </c>
      <c r="S120" t="s">
        <v>2292</v>
      </c>
      <c r="T120" t="s">
        <v>2293</v>
      </c>
      <c r="U120" t="s">
        <v>2294</v>
      </c>
      <c r="V120">
        <f>-619.246049253304 -44.5479874440398 -93.1690012059361</f>
        <v>-756.96303790327988</v>
      </c>
      <c r="W120" t="s">
        <v>2295</v>
      </c>
      <c r="X120" t="s">
        <v>2296</v>
      </c>
      <c r="Y120" t="s">
        <v>2297</v>
      </c>
    </row>
    <row r="121" spans="1:25" x14ac:dyDescent="0.3">
      <c r="A121">
        <v>6000</v>
      </c>
      <c r="B121" t="s">
        <v>2298</v>
      </c>
      <c r="C121" t="s">
        <v>2299</v>
      </c>
      <c r="D121" t="s">
        <v>2300</v>
      </c>
      <c r="E121" t="s">
        <v>2301</v>
      </c>
      <c r="F121" t="s">
        <v>2302</v>
      </c>
      <c r="G121" t="s">
        <v>2303</v>
      </c>
      <c r="H121" t="s">
        <v>2304</v>
      </c>
      <c r="I121" t="s">
        <v>2305</v>
      </c>
      <c r="J121" t="s">
        <v>2306</v>
      </c>
      <c r="K121" t="s">
        <v>2307</v>
      </c>
      <c r="L121" t="s">
        <v>2308</v>
      </c>
      <c r="M121" t="s">
        <v>2309</v>
      </c>
      <c r="N121" t="s">
        <v>2310</v>
      </c>
      <c r="O121">
        <f>-692.246104816239 -125.174964628329 -506.074575789586</f>
        <v>-1323.4956452341539</v>
      </c>
      <c r="P121">
        <f>-742.74100395974 -164.451153025925 -231.32696391974</f>
        <v>-1138.5191209054051</v>
      </c>
      <c r="Q121">
        <f>-522.93266671601 -93.1465498569312 -254.746854188393</f>
        <v>-870.82607076133422</v>
      </c>
      <c r="R121" t="s">
        <v>2311</v>
      </c>
      <c r="S121" t="s">
        <v>2312</v>
      </c>
      <c r="T121" t="s">
        <v>2313</v>
      </c>
      <c r="U121" t="s">
        <v>2314</v>
      </c>
      <c r="V121">
        <f>-619.294504457063 -44.5898502846289 -93.1727006076461</f>
        <v>-757.05705534933804</v>
      </c>
      <c r="W121" t="s">
        <v>2315</v>
      </c>
      <c r="X121" t="s">
        <v>2316</v>
      </c>
      <c r="Y121" t="s">
        <v>2317</v>
      </c>
    </row>
    <row r="122" spans="1:25" x14ac:dyDescent="0.3">
      <c r="A122">
        <v>6050</v>
      </c>
      <c r="B122" t="s">
        <v>2318</v>
      </c>
      <c r="C122" t="s">
        <v>2319</v>
      </c>
      <c r="D122" t="s">
        <v>2320</v>
      </c>
      <c r="E122" t="s">
        <v>2321</v>
      </c>
      <c r="F122" t="s">
        <v>2322</v>
      </c>
      <c r="G122" t="s">
        <v>2323</v>
      </c>
      <c r="H122" t="s">
        <v>2324</v>
      </c>
      <c r="I122" t="s">
        <v>2325</v>
      </c>
      <c r="J122" t="s">
        <v>2326</v>
      </c>
      <c r="K122" t="s">
        <v>2327</v>
      </c>
      <c r="L122" t="s">
        <v>2328</v>
      </c>
      <c r="M122" t="s">
        <v>2329</v>
      </c>
      <c r="N122" t="s">
        <v>2330</v>
      </c>
      <c r="O122">
        <f>-693.009151673065 -124.974443770978 -506.229726516295</f>
        <v>-1324.2133219603381</v>
      </c>
      <c r="P122">
        <f>-743.37874180836 -164.485996060903 -231.492843436748</f>
        <v>-1139.3575813060111</v>
      </c>
      <c r="Q122">
        <f>-523.338890520894 -93.5563448586499 -253.852848052012</f>
        <v>-870.74808343155587</v>
      </c>
      <c r="R122" t="s">
        <v>2331</v>
      </c>
      <c r="S122" t="s">
        <v>2332</v>
      </c>
      <c r="T122" t="s">
        <v>2333</v>
      </c>
      <c r="U122" t="s">
        <v>2334</v>
      </c>
      <c r="V122">
        <f>-619.482871554798 -44.7429773728372 -93.2017227578026</f>
        <v>-757.42757168543778</v>
      </c>
      <c r="W122" t="s">
        <v>2335</v>
      </c>
      <c r="X122" t="s">
        <v>2336</v>
      </c>
      <c r="Y122" t="s">
        <v>2337</v>
      </c>
    </row>
    <row r="123" spans="1:25" x14ac:dyDescent="0.3">
      <c r="A123">
        <v>6100</v>
      </c>
      <c r="B123" t="s">
        <v>2338</v>
      </c>
      <c r="C123" t="s">
        <v>2339</v>
      </c>
      <c r="D123" t="s">
        <v>2340</v>
      </c>
      <c r="E123" t="s">
        <v>2341</v>
      </c>
      <c r="F123" t="s">
        <v>2342</v>
      </c>
      <c r="G123" t="s">
        <v>2343</v>
      </c>
      <c r="H123" t="s">
        <v>2344</v>
      </c>
      <c r="I123" t="s">
        <v>2345</v>
      </c>
      <c r="J123" t="s">
        <v>2346</v>
      </c>
      <c r="K123" t="s">
        <v>2347</v>
      </c>
      <c r="L123" t="s">
        <v>2348</v>
      </c>
      <c r="M123" t="s">
        <v>2349</v>
      </c>
      <c r="N123" t="s">
        <v>2350</v>
      </c>
      <c r="O123">
        <f>-693.421625920318 -125.089794225496 -506.381962952582</f>
        <v>-1324.893383098396</v>
      </c>
      <c r="P123">
        <f>-743.851850515183 -164.303353282676 -231.613581479077</f>
        <v>-1139.7687852769359</v>
      </c>
      <c r="Q123">
        <f>-523.51033751614 -94.0692267484551 -253.184577288022</f>
        <v>-870.76414155261705</v>
      </c>
      <c r="R123" t="s">
        <v>2351</v>
      </c>
      <c r="S123" t="s">
        <v>2352</v>
      </c>
      <c r="T123" t="s">
        <v>2353</v>
      </c>
      <c r="U123" t="s">
        <v>2354</v>
      </c>
      <c r="V123">
        <f>-619.86057852283 -44.8708334980229 -93.2353144939532</f>
        <v>-757.96672651480606</v>
      </c>
      <c r="W123" t="s">
        <v>2355</v>
      </c>
      <c r="X123" t="s">
        <v>2356</v>
      </c>
      <c r="Y123" t="s">
        <v>2357</v>
      </c>
    </row>
    <row r="124" spans="1:25" x14ac:dyDescent="0.3">
      <c r="A124">
        <v>6150</v>
      </c>
      <c r="B124" t="s">
        <v>2358</v>
      </c>
      <c r="C124" t="s">
        <v>2359</v>
      </c>
      <c r="D124" t="s">
        <v>2360</v>
      </c>
      <c r="E124" t="s">
        <v>2361</v>
      </c>
      <c r="F124" t="s">
        <v>2362</v>
      </c>
      <c r="G124" t="s">
        <v>2363</v>
      </c>
      <c r="H124" t="s">
        <v>2364</v>
      </c>
      <c r="I124" t="s">
        <v>2365</v>
      </c>
      <c r="J124" t="s">
        <v>2366</v>
      </c>
      <c r="K124" t="s">
        <v>2367</v>
      </c>
      <c r="L124" t="s">
        <v>2368</v>
      </c>
      <c r="M124" t="s">
        <v>2369</v>
      </c>
      <c r="N124" t="s">
        <v>2370</v>
      </c>
      <c r="O124">
        <f>-693.66139156963 -125.22310044278 -506.427267068054</f>
        <v>-1325.3117590804641</v>
      </c>
      <c r="P124">
        <f>-744.165851213531 -164.728030936294 -231.714178995239</f>
        <v>-1140.6080611450641</v>
      </c>
      <c r="Q124">
        <f>-523.810918492795 -94.4530231767853 -253.013322470842</f>
        <v>-871.2772641404224</v>
      </c>
      <c r="R124" t="s">
        <v>2371</v>
      </c>
      <c r="S124" t="s">
        <v>2372</v>
      </c>
      <c r="T124" t="s">
        <v>2373</v>
      </c>
      <c r="U124" t="s">
        <v>2374</v>
      </c>
      <c r="V124">
        <f>-620.026464655673 -44.962567671774 -93.2599620479926</f>
        <v>-758.24899437543957</v>
      </c>
      <c r="W124" t="s">
        <v>2375</v>
      </c>
      <c r="X124" t="s">
        <v>2376</v>
      </c>
      <c r="Y124" t="s">
        <v>2377</v>
      </c>
    </row>
    <row r="125" spans="1:25" x14ac:dyDescent="0.3">
      <c r="A125">
        <v>6200</v>
      </c>
      <c r="B125" t="s">
        <v>2378</v>
      </c>
      <c r="C125" t="s">
        <v>2379</v>
      </c>
      <c r="D125" t="s">
        <v>2380</v>
      </c>
      <c r="E125" t="s">
        <v>2381</v>
      </c>
      <c r="F125" t="s">
        <v>2382</v>
      </c>
      <c r="G125" t="s">
        <v>2383</v>
      </c>
      <c r="H125" t="s">
        <v>2384</v>
      </c>
      <c r="I125" t="s">
        <v>2385</v>
      </c>
      <c r="J125" t="s">
        <v>2386</v>
      </c>
      <c r="K125" t="s">
        <v>2387</v>
      </c>
      <c r="L125" t="s">
        <v>2388</v>
      </c>
      <c r="M125" t="s">
        <v>2389</v>
      </c>
      <c r="N125" t="s">
        <v>2390</v>
      </c>
      <c r="O125">
        <f>-694.202691737659 -125.277925905846 -506.664572171588</f>
        <v>-1326.1451898150931</v>
      </c>
      <c r="P125">
        <f>-744.706792970566 -165.146443521703 -232.004077782014</f>
        <v>-1141.857314274283</v>
      </c>
      <c r="Q125">
        <f>-524.282911761895 -95.0205484672197 -253.080231515188</f>
        <v>-872.38369174430261</v>
      </c>
      <c r="R125" t="s">
        <v>2391</v>
      </c>
      <c r="S125" t="s">
        <v>2392</v>
      </c>
      <c r="T125" t="s">
        <v>2393</v>
      </c>
      <c r="U125" t="s">
        <v>2394</v>
      </c>
      <c r="V125">
        <f>-620.349226225278 -45.134540315373 -93.2866993179844</f>
        <v>-758.77046585863536</v>
      </c>
      <c r="W125" t="s">
        <v>2395</v>
      </c>
      <c r="X125" t="s">
        <v>2396</v>
      </c>
      <c r="Y125" t="s">
        <v>2397</v>
      </c>
    </row>
    <row r="126" spans="1:25" x14ac:dyDescent="0.3">
      <c r="A126">
        <v>6250</v>
      </c>
      <c r="B126" t="s">
        <v>2398</v>
      </c>
      <c r="C126" t="s">
        <v>2399</v>
      </c>
      <c r="D126" t="s">
        <v>2400</v>
      </c>
      <c r="E126" t="s">
        <v>2401</v>
      </c>
      <c r="F126" t="s">
        <v>2402</v>
      </c>
      <c r="G126" t="s">
        <v>2403</v>
      </c>
      <c r="H126" t="s">
        <v>2404</v>
      </c>
      <c r="I126" t="s">
        <v>2405</v>
      </c>
      <c r="J126" t="s">
        <v>2406</v>
      </c>
      <c r="K126" t="s">
        <v>2407</v>
      </c>
      <c r="L126" t="s">
        <v>2408</v>
      </c>
      <c r="M126" t="s">
        <v>2409</v>
      </c>
      <c r="N126" t="s">
        <v>2410</v>
      </c>
      <c r="O126">
        <f>-694.581705616833 -125.23501804631 -506.82306304208</f>
        <v>-1326.6397867052228</v>
      </c>
      <c r="P126">
        <f>-745.03165954962 -165.240577417994 -232.172478049636</f>
        <v>-1142.44471501725</v>
      </c>
      <c r="Q126">
        <f>-524.58865904851 -95.1738317699385 -253.245656629947</f>
        <v>-873.00814744839545</v>
      </c>
      <c r="R126" t="s">
        <v>2411</v>
      </c>
      <c r="S126" t="s">
        <v>2412</v>
      </c>
      <c r="T126" t="s">
        <v>2413</v>
      </c>
      <c r="U126" t="s">
        <v>2414</v>
      </c>
      <c r="V126">
        <f>-620.529673876096 -45.2155262439555 -93.2979048797098</f>
        <v>-759.04310499976134</v>
      </c>
      <c r="W126" t="s">
        <v>2415</v>
      </c>
      <c r="X126" t="s">
        <v>2416</v>
      </c>
      <c r="Y126" t="s">
        <v>2417</v>
      </c>
    </row>
    <row r="127" spans="1:25" x14ac:dyDescent="0.3">
      <c r="A127">
        <v>6300</v>
      </c>
      <c r="B127" t="s">
        <v>2418</v>
      </c>
      <c r="C127" t="s">
        <v>2419</v>
      </c>
      <c r="D127" t="s">
        <v>2420</v>
      </c>
      <c r="E127" t="s">
        <v>2421</v>
      </c>
      <c r="F127" t="s">
        <v>2422</v>
      </c>
      <c r="G127" t="s">
        <v>2423</v>
      </c>
      <c r="H127" t="s">
        <v>2424</v>
      </c>
      <c r="I127" t="s">
        <v>2425</v>
      </c>
      <c r="J127" t="s">
        <v>2426</v>
      </c>
      <c r="K127" t="s">
        <v>2427</v>
      </c>
      <c r="L127" t="s">
        <v>2428</v>
      </c>
      <c r="M127" t="s">
        <v>2429</v>
      </c>
      <c r="N127" t="s">
        <v>2430</v>
      </c>
      <c r="O127">
        <f>-695.475626856806 -125.051864037993 -507.156488468892</f>
        <v>-1327.6839793636909</v>
      </c>
      <c r="P127">
        <f>-745.610734465456 -165.391453414858 -232.497021186785</f>
        <v>-1143.4992090670989</v>
      </c>
      <c r="Q127">
        <f>-525.130148882956 -95.5259517969027 -253.842485329257</f>
        <v>-874.49858600911568</v>
      </c>
      <c r="R127" t="s">
        <v>2431</v>
      </c>
      <c r="S127" t="s">
        <v>2432</v>
      </c>
      <c r="T127" t="s">
        <v>2433</v>
      </c>
      <c r="U127" t="s">
        <v>2434</v>
      </c>
      <c r="V127">
        <f>-621.025807957167 -45.4362209492112 -93.3550875591495</f>
        <v>-759.81711646552776</v>
      </c>
      <c r="W127" t="s">
        <v>2435</v>
      </c>
      <c r="X127" t="s">
        <v>2436</v>
      </c>
      <c r="Y127" t="s">
        <v>2437</v>
      </c>
    </row>
    <row r="128" spans="1:25" x14ac:dyDescent="0.3">
      <c r="A128">
        <v>6350</v>
      </c>
      <c r="B128" t="s">
        <v>2438</v>
      </c>
      <c r="C128" t="s">
        <v>2439</v>
      </c>
      <c r="D128" t="s">
        <v>2440</v>
      </c>
      <c r="E128" t="s">
        <v>2441</v>
      </c>
      <c r="F128" t="s">
        <v>2442</v>
      </c>
      <c r="G128" t="s">
        <v>2443</v>
      </c>
      <c r="H128" t="s">
        <v>2444</v>
      </c>
      <c r="I128" t="s">
        <v>2445</v>
      </c>
      <c r="J128" t="s">
        <v>2446</v>
      </c>
      <c r="K128" t="s">
        <v>2447</v>
      </c>
      <c r="L128" t="s">
        <v>2448</v>
      </c>
      <c r="M128" t="s">
        <v>2449</v>
      </c>
      <c r="N128" t="s">
        <v>2450</v>
      </c>
      <c r="O128">
        <f>-695.952167139325 -124.942317969807 -507.387117911997</f>
        <v>-1328.2816030211288</v>
      </c>
      <c r="P128">
        <f>-745.932210579943 -165.443130398036 -232.723146269105</f>
        <v>-1144.098487247084</v>
      </c>
      <c r="Q128">
        <f>-525.460795218945 -95.5950823584299 -254.220101625009</f>
        <v>-875.27597920238384</v>
      </c>
      <c r="R128" t="s">
        <v>2451</v>
      </c>
      <c r="S128" t="s">
        <v>2452</v>
      </c>
      <c r="T128" t="s">
        <v>2453</v>
      </c>
      <c r="U128" t="s">
        <v>2454</v>
      </c>
      <c r="V128">
        <f>-621.372641384218 -45.6297911810746 -93.3942018344212</f>
        <v>-760.39663439971378</v>
      </c>
      <c r="W128" t="s">
        <v>2455</v>
      </c>
      <c r="X128" t="s">
        <v>2456</v>
      </c>
      <c r="Y128" t="s">
        <v>2457</v>
      </c>
    </row>
    <row r="129" spans="1:25" x14ac:dyDescent="0.3">
      <c r="A129">
        <v>6400</v>
      </c>
      <c r="B129" t="s">
        <v>2458</v>
      </c>
      <c r="C129" t="s">
        <v>2459</v>
      </c>
      <c r="D129" t="s">
        <v>2460</v>
      </c>
      <c r="E129" t="s">
        <v>2461</v>
      </c>
      <c r="F129" t="s">
        <v>2462</v>
      </c>
      <c r="G129" t="s">
        <v>2463</v>
      </c>
      <c r="H129" t="s">
        <v>2464</v>
      </c>
      <c r="I129" t="s">
        <v>2465</v>
      </c>
      <c r="J129" t="s">
        <v>2466</v>
      </c>
      <c r="K129" t="s">
        <v>2467</v>
      </c>
      <c r="L129" t="s">
        <v>2468</v>
      </c>
      <c r="M129" t="s">
        <v>2469</v>
      </c>
      <c r="N129" t="s">
        <v>2470</v>
      </c>
      <c r="O129">
        <f>-696.82400184317 -124.472733923002 -507.924286064932</f>
        <v>-1329.2210218311041</v>
      </c>
      <c r="P129">
        <f>-746.812930318604 -165.569773699085 -233.350646710337</f>
        <v>-1145.7333507280259</v>
      </c>
      <c r="Q129">
        <f>-526.426844281055 -95.4991770394561 -254.998259096645</f>
        <v>-876.92428041715607</v>
      </c>
      <c r="R129" t="s">
        <v>2471</v>
      </c>
      <c r="S129" t="s">
        <v>2472</v>
      </c>
      <c r="T129" t="s">
        <v>2473</v>
      </c>
      <c r="U129" t="s">
        <v>2474</v>
      </c>
      <c r="V129">
        <f>-622.03820322197 -45.8492550152946 -93.4583233582199</f>
        <v>-761.34578159548448</v>
      </c>
      <c r="W129" t="s">
        <v>2475</v>
      </c>
      <c r="X129" t="s">
        <v>2476</v>
      </c>
      <c r="Y129" t="s">
        <v>2477</v>
      </c>
    </row>
    <row r="130" spans="1:25" x14ac:dyDescent="0.3">
      <c r="A130">
        <v>6450</v>
      </c>
      <c r="B130" t="s">
        <v>2478</v>
      </c>
      <c r="C130" t="s">
        <v>2479</v>
      </c>
      <c r="D130" t="s">
        <v>2480</v>
      </c>
      <c r="E130" t="s">
        <v>2481</v>
      </c>
      <c r="F130" t="s">
        <v>2482</v>
      </c>
      <c r="G130" t="s">
        <v>2483</v>
      </c>
      <c r="H130" t="s">
        <v>2484</v>
      </c>
      <c r="I130" t="s">
        <v>2485</v>
      </c>
      <c r="J130" t="s">
        <v>2486</v>
      </c>
      <c r="K130" t="s">
        <v>2487</v>
      </c>
      <c r="L130" t="s">
        <v>2488</v>
      </c>
      <c r="M130" t="s">
        <v>2489</v>
      </c>
      <c r="N130" t="s">
        <v>2490</v>
      </c>
      <c r="O130">
        <f>-697.264809660506 -124.113787690355 -508.227252873469</f>
        <v>-1329.60585022433</v>
      </c>
      <c r="P130">
        <f>-747.406435034459 -165.530062075898 -233.729432573788</f>
        <v>-1146.6659296841451</v>
      </c>
      <c r="Q130">
        <f>-527.05872643782 -95.3450228866675 -255.396214019796</f>
        <v>-877.79996334428347</v>
      </c>
      <c r="R130" t="s">
        <v>2491</v>
      </c>
      <c r="S130" t="s">
        <v>2492</v>
      </c>
      <c r="T130" t="s">
        <v>2493</v>
      </c>
      <c r="U130" t="s">
        <v>2494</v>
      </c>
      <c r="V130">
        <f>-622.334688136309 -45.9811653076813 -93.4869568099936</f>
        <v>-761.80281025398381</v>
      </c>
      <c r="W130" t="s">
        <v>2495</v>
      </c>
      <c r="X130" t="s">
        <v>2496</v>
      </c>
      <c r="Y130" t="s">
        <v>2497</v>
      </c>
    </row>
    <row r="131" spans="1:25" x14ac:dyDescent="0.3">
      <c r="A131">
        <v>6500</v>
      </c>
      <c r="B131" t="s">
        <v>2498</v>
      </c>
      <c r="C131" t="s">
        <v>2499</v>
      </c>
      <c r="D131" t="s">
        <v>2500</v>
      </c>
      <c r="E131" t="s">
        <v>2501</v>
      </c>
      <c r="F131" t="s">
        <v>2502</v>
      </c>
      <c r="G131" t="s">
        <v>2503</v>
      </c>
      <c r="H131" t="s">
        <v>2504</v>
      </c>
      <c r="I131" t="s">
        <v>2505</v>
      </c>
      <c r="J131" t="s">
        <v>2506</v>
      </c>
      <c r="K131" t="s">
        <v>2507</v>
      </c>
      <c r="L131" t="s">
        <v>2508</v>
      </c>
      <c r="M131" t="s">
        <v>2509</v>
      </c>
      <c r="N131" t="s">
        <v>2510</v>
      </c>
      <c r="O131">
        <f>-698.248207490374 -123.113284812495 -508.820523380048</f>
        <v>-1330.1820156829169</v>
      </c>
      <c r="P131">
        <f>-748.544351475373 -165.16129528243 -234.447032963082</f>
        <v>-1148.1526797208849</v>
      </c>
      <c r="Q131">
        <f>-528.083130992613 -95.2380302855222 -255.804471239076</f>
        <v>-879.12563251721122</v>
      </c>
      <c r="R131" t="s">
        <v>2511</v>
      </c>
      <c r="S131" t="s">
        <v>2512</v>
      </c>
      <c r="T131" t="s">
        <v>2513</v>
      </c>
      <c r="U131" t="s">
        <v>2514</v>
      </c>
      <c r="V131">
        <f>-622.780942096306 -46.0939428890113 -93.5293955680606</f>
        <v>-762.40428055337793</v>
      </c>
      <c r="W131" t="s">
        <v>2515</v>
      </c>
      <c r="X131" t="s">
        <v>2516</v>
      </c>
      <c r="Y131" t="s">
        <v>2517</v>
      </c>
    </row>
    <row r="132" spans="1:25" x14ac:dyDescent="0.3">
      <c r="A132">
        <v>6550</v>
      </c>
      <c r="B132" t="s">
        <v>2518</v>
      </c>
      <c r="C132" t="s">
        <v>2519</v>
      </c>
      <c r="D132" t="s">
        <v>2520</v>
      </c>
      <c r="E132" t="s">
        <v>2521</v>
      </c>
      <c r="F132" t="s">
        <v>2522</v>
      </c>
      <c r="G132" t="s">
        <v>2523</v>
      </c>
      <c r="H132" t="s">
        <v>2524</v>
      </c>
      <c r="I132" t="s">
        <v>2525</v>
      </c>
      <c r="J132" t="s">
        <v>2526</v>
      </c>
      <c r="K132" t="s">
        <v>2527</v>
      </c>
      <c r="L132" t="s">
        <v>2528</v>
      </c>
      <c r="M132" t="s">
        <v>2529</v>
      </c>
      <c r="N132" t="s">
        <v>2530</v>
      </c>
      <c r="O132">
        <f>-698.836388313332 -122.520896702184 -509.084208383854</f>
        <v>-1330.4414933993701</v>
      </c>
      <c r="P132">
        <f>-749.021893130294 -164.94118491324 -234.74764835274</f>
        <v>-1148.7107263962739</v>
      </c>
      <c r="Q132">
        <f>-528.513611209127 -95.1267158081998 -255.974196552402</f>
        <v>-879.61452356972882</v>
      </c>
      <c r="R132" t="s">
        <v>2531</v>
      </c>
      <c r="S132" t="s">
        <v>2532</v>
      </c>
      <c r="T132" t="s">
        <v>2533</v>
      </c>
      <c r="U132" t="s">
        <v>2534</v>
      </c>
      <c r="V132">
        <f>-622.997448519766 -46.0952443580709 -93.5508776412884</f>
        <v>-762.64357051912521</v>
      </c>
      <c r="W132" t="s">
        <v>2535</v>
      </c>
      <c r="X132" t="s">
        <v>2536</v>
      </c>
      <c r="Y132" t="s">
        <v>2537</v>
      </c>
    </row>
    <row r="133" spans="1:25" x14ac:dyDescent="0.3">
      <c r="A133">
        <v>6600</v>
      </c>
      <c r="B133" t="s">
        <v>2538</v>
      </c>
      <c r="C133" t="s">
        <v>2539</v>
      </c>
      <c r="D133" t="s">
        <v>2540</v>
      </c>
      <c r="E133" t="s">
        <v>2541</v>
      </c>
      <c r="F133" t="s">
        <v>2542</v>
      </c>
      <c r="G133" t="s">
        <v>2543</v>
      </c>
      <c r="H133" t="s">
        <v>2544</v>
      </c>
      <c r="I133" t="s">
        <v>2545</v>
      </c>
      <c r="J133" t="s">
        <v>2546</v>
      </c>
      <c r="K133" t="s">
        <v>2547</v>
      </c>
      <c r="L133" t="s">
        <v>2548</v>
      </c>
      <c r="M133" t="s">
        <v>2549</v>
      </c>
      <c r="N133" t="s">
        <v>2550</v>
      </c>
      <c r="O133">
        <f>-700.332588499615 -121.437476494227 -509.36578391465</f>
        <v>-1331.1358489084919</v>
      </c>
      <c r="P133">
        <f>-749.959017406158 -164.449879033922 -235.019642825438</f>
        <v>-1149.4285392655179</v>
      </c>
      <c r="Q133">
        <f>-529.37972159865 -94.8810892694673 -256.314883916671</f>
        <v>-880.57569478478831</v>
      </c>
      <c r="R133" t="s">
        <v>2551</v>
      </c>
      <c r="S133" t="s">
        <v>2552</v>
      </c>
      <c r="T133" t="s">
        <v>2553</v>
      </c>
      <c r="U133" t="s">
        <v>2554</v>
      </c>
      <c r="V133">
        <f>-623.479084097118 -45.9617925637942 -93.5544113157275</f>
        <v>-762.9952879766397</v>
      </c>
      <c r="W133" t="s">
        <v>2555</v>
      </c>
      <c r="X133" t="s">
        <v>2556</v>
      </c>
      <c r="Y133" t="s">
        <v>2557</v>
      </c>
    </row>
    <row r="134" spans="1:25" x14ac:dyDescent="0.3">
      <c r="A134">
        <v>6650</v>
      </c>
      <c r="B134" t="s">
        <v>2558</v>
      </c>
      <c r="C134" t="s">
        <v>2559</v>
      </c>
      <c r="D134" t="s">
        <v>2560</v>
      </c>
      <c r="E134" t="s">
        <v>2561</v>
      </c>
      <c r="F134" t="s">
        <v>2562</v>
      </c>
      <c r="G134" t="s">
        <v>2563</v>
      </c>
      <c r="H134" t="s">
        <v>2564</v>
      </c>
      <c r="I134" t="s">
        <v>2565</v>
      </c>
      <c r="J134" t="s">
        <v>2566</v>
      </c>
      <c r="K134" t="s">
        <v>2567</v>
      </c>
      <c r="L134" t="s">
        <v>2568</v>
      </c>
      <c r="M134" t="s">
        <v>2569</v>
      </c>
      <c r="N134" t="s">
        <v>2570</v>
      </c>
      <c r="O134">
        <f>-701.226172264922 -120.766831910958 -509.417031804103</f>
        <v>-1331.4100359799829</v>
      </c>
      <c r="P134">
        <f>-750.309216654727 -164.065712293927 -235.018250527241</f>
        <v>-1149.3931794758951</v>
      </c>
      <c r="Q134">
        <f>-529.615933283885 -94.8837199970599 -256.391726141047</f>
        <v>-880.89137942199193</v>
      </c>
      <c r="R134" t="s">
        <v>2571</v>
      </c>
      <c r="S134" t="s">
        <v>2572</v>
      </c>
      <c r="T134" t="s">
        <v>2573</v>
      </c>
      <c r="U134" t="s">
        <v>2574</v>
      </c>
      <c r="V134">
        <f>-623.778641936247 -45.8938907571521 -93.5575143184602</f>
        <v>-763.23004701185937</v>
      </c>
      <c r="W134" t="s">
        <v>2575</v>
      </c>
      <c r="X134" t="s">
        <v>2576</v>
      </c>
      <c r="Y134" t="s">
        <v>2577</v>
      </c>
    </row>
    <row r="135" spans="1:25" x14ac:dyDescent="0.3">
      <c r="A135">
        <v>6700</v>
      </c>
      <c r="B135" t="s">
        <v>2578</v>
      </c>
      <c r="C135" t="s">
        <v>2579</v>
      </c>
      <c r="D135" t="s">
        <v>2580</v>
      </c>
      <c r="E135" t="s">
        <v>2581</v>
      </c>
      <c r="F135" t="s">
        <v>2582</v>
      </c>
      <c r="G135" t="s">
        <v>2583</v>
      </c>
      <c r="H135" t="s">
        <v>2584</v>
      </c>
      <c r="I135" t="s">
        <v>2585</v>
      </c>
      <c r="J135" t="s">
        <v>2586</v>
      </c>
      <c r="K135" t="s">
        <v>2587</v>
      </c>
      <c r="L135" t="s">
        <v>2588</v>
      </c>
      <c r="M135" t="s">
        <v>2589</v>
      </c>
      <c r="N135" t="s">
        <v>2590</v>
      </c>
      <c r="O135">
        <f>-702.18235558099 -119.247195240361 -509.905044186301</f>
        <v>-1331.3345950076518</v>
      </c>
      <c r="P135">
        <f>-750.924635992598 -162.615608980308 -235.456725997837</f>
        <v>-1148.996970970743</v>
      </c>
      <c r="Q135">
        <f>-529.792962240835 -94.8359745819616 -256.792347329202</f>
        <v>-881.42128415199863</v>
      </c>
      <c r="R135" t="s">
        <v>2591</v>
      </c>
      <c r="S135" t="s">
        <v>2592</v>
      </c>
      <c r="T135" t="s">
        <v>2593</v>
      </c>
      <c r="U135" t="s">
        <v>2594</v>
      </c>
      <c r="V135">
        <f>-624.55017185811 -45.6738522585401 -93.5747192943501</f>
        <v>-763.79874341100026</v>
      </c>
      <c r="W135" t="s">
        <v>2595</v>
      </c>
      <c r="X135" t="s">
        <v>2596</v>
      </c>
      <c r="Y135" t="s">
        <v>2597</v>
      </c>
    </row>
    <row r="136" spans="1:25" x14ac:dyDescent="0.3">
      <c r="A136">
        <v>6750</v>
      </c>
      <c r="B136" t="s">
        <v>2598</v>
      </c>
      <c r="C136" t="s">
        <v>2599</v>
      </c>
      <c r="D136" t="s">
        <v>2600</v>
      </c>
      <c r="E136" t="s">
        <v>2601</v>
      </c>
      <c r="F136" t="s">
        <v>2602</v>
      </c>
      <c r="G136" t="s">
        <v>2603</v>
      </c>
      <c r="H136" t="s">
        <v>2604</v>
      </c>
      <c r="I136" t="s">
        <v>2605</v>
      </c>
      <c r="J136" t="s">
        <v>2606</v>
      </c>
      <c r="K136" t="s">
        <v>2607</v>
      </c>
      <c r="L136" t="s">
        <v>2608</v>
      </c>
      <c r="M136" t="s">
        <v>2609</v>
      </c>
      <c r="N136" t="s">
        <v>2610</v>
      </c>
      <c r="O136">
        <f>-702.185510197087 -118.631850479606 -510.301649819325</f>
        <v>-1331.1190104960178</v>
      </c>
      <c r="P136">
        <f>-751.357462206621 -161.84908254765 -235.905909264775</f>
        <v>-1149.112454019046</v>
      </c>
      <c r="Q136">
        <f>-530.0343917271 -94.66920611398 -257.1546480288</f>
        <v>-881.85824586987997</v>
      </c>
      <c r="R136" t="s">
        <v>2611</v>
      </c>
      <c r="S136" t="s">
        <v>2612</v>
      </c>
      <c r="T136" t="s">
        <v>2613</v>
      </c>
      <c r="U136" t="s">
        <v>2614</v>
      </c>
      <c r="V136">
        <f>-624.77652415468 -45.5424019752304 -93.586452341458</f>
        <v>-763.90537847136841</v>
      </c>
      <c r="W136" t="s">
        <v>2615</v>
      </c>
      <c r="X136" t="s">
        <v>2616</v>
      </c>
      <c r="Y136" t="s">
        <v>2617</v>
      </c>
    </row>
    <row r="137" spans="1:25" x14ac:dyDescent="0.3">
      <c r="A137">
        <v>6800</v>
      </c>
      <c r="B137" t="s">
        <v>2618</v>
      </c>
      <c r="C137" t="s">
        <v>2619</v>
      </c>
      <c r="D137" t="s">
        <v>2620</v>
      </c>
      <c r="E137" t="s">
        <v>2621</v>
      </c>
      <c r="F137" t="s">
        <v>2622</v>
      </c>
      <c r="G137" t="s">
        <v>2623</v>
      </c>
      <c r="H137" t="s">
        <v>2624</v>
      </c>
      <c r="I137" t="s">
        <v>2625</v>
      </c>
      <c r="J137" t="s">
        <v>2626</v>
      </c>
      <c r="K137" t="s">
        <v>2627</v>
      </c>
      <c r="L137" t="s">
        <v>2628</v>
      </c>
      <c r="M137" t="s">
        <v>2629</v>
      </c>
      <c r="N137" t="s">
        <v>2630</v>
      </c>
      <c r="O137">
        <f>-702.119687082652 -118.365161835754 -510.698629841882</f>
        <v>-1331.1834787602879</v>
      </c>
      <c r="P137">
        <f>-751.751465400307 -162.028798605983 -236.456630027656</f>
        <v>-1150.2368940339461</v>
      </c>
      <c r="Q137">
        <f>-530.346548472512 -94.9853501635575 -257.278852500046</f>
        <v>-882.6107511361156</v>
      </c>
      <c r="R137" t="s">
        <v>2631</v>
      </c>
      <c r="S137" t="s">
        <v>2632</v>
      </c>
      <c r="T137" t="s">
        <v>2633</v>
      </c>
      <c r="U137" t="s">
        <v>2634</v>
      </c>
      <c r="V137">
        <f>-624.927787754012 -45.5864870139328 -93.5998839512474</f>
        <v>-764.11415871919223</v>
      </c>
      <c r="W137" t="s">
        <v>2635</v>
      </c>
      <c r="X137" t="s">
        <v>2636</v>
      </c>
      <c r="Y137" t="s">
        <v>2637</v>
      </c>
    </row>
    <row r="138" spans="1:25" x14ac:dyDescent="0.3">
      <c r="A138">
        <v>6850</v>
      </c>
      <c r="B138" t="s">
        <v>2638</v>
      </c>
      <c r="C138" t="s">
        <v>2639</v>
      </c>
      <c r="D138" t="s">
        <v>2640</v>
      </c>
      <c r="E138" t="s">
        <v>2641</v>
      </c>
      <c r="F138" t="s">
        <v>2642</v>
      </c>
      <c r="G138" t="s">
        <v>2643</v>
      </c>
      <c r="H138" t="s">
        <v>2644</v>
      </c>
      <c r="I138" t="s">
        <v>2645</v>
      </c>
      <c r="J138" t="s">
        <v>2646</v>
      </c>
      <c r="K138" t="s">
        <v>2647</v>
      </c>
      <c r="L138" t="s">
        <v>2648</v>
      </c>
      <c r="M138" t="s">
        <v>2649</v>
      </c>
      <c r="N138" t="s">
        <v>2650</v>
      </c>
      <c r="O138">
        <f>-702.398103320782 -118.610146938571 -511.039323102681</f>
        <v>-1332.047573362034</v>
      </c>
      <c r="P138">
        <f>-752.270175990104 -164.294461001615 -237.170286204783</f>
        <v>-1153.734923196502</v>
      </c>
      <c r="Q138">
        <f>-531.059177212531 -96.2301832781195 -256.701360091389</f>
        <v>-883.99072058203956</v>
      </c>
      <c r="R138" t="s">
        <v>2651</v>
      </c>
      <c r="S138" t="s">
        <v>2652</v>
      </c>
      <c r="T138" t="s">
        <v>2653</v>
      </c>
      <c r="U138" t="s">
        <v>2654</v>
      </c>
      <c r="V138">
        <f>-625.337145613244 -45.8916623867897 -93.6363492917707</f>
        <v>-764.86515729180439</v>
      </c>
      <c r="W138" t="s">
        <v>2655</v>
      </c>
      <c r="X138" t="s">
        <v>2656</v>
      </c>
      <c r="Y138" t="s">
        <v>2657</v>
      </c>
    </row>
    <row r="139" spans="1:25" x14ac:dyDescent="0.3">
      <c r="A139">
        <v>6900</v>
      </c>
      <c r="B139" t="s">
        <v>2658</v>
      </c>
      <c r="C139" t="s">
        <v>2659</v>
      </c>
      <c r="D139" t="s">
        <v>2660</v>
      </c>
      <c r="E139" t="s">
        <v>2661</v>
      </c>
      <c r="F139" t="s">
        <v>2662</v>
      </c>
      <c r="G139" t="s">
        <v>2663</v>
      </c>
      <c r="H139" t="s">
        <v>2664</v>
      </c>
      <c r="I139" t="s">
        <v>2665</v>
      </c>
      <c r="J139" t="s">
        <v>2666</v>
      </c>
      <c r="K139" t="s">
        <v>2667</v>
      </c>
      <c r="L139" t="s">
        <v>2668</v>
      </c>
      <c r="M139" t="s">
        <v>2669</v>
      </c>
      <c r="N139" t="s">
        <v>2670</v>
      </c>
      <c r="O139">
        <f>-702.961582682599 -118.579853795278 -510.964780832778</f>
        <v>-1332.5062173106551</v>
      </c>
      <c r="P139">
        <f>-752.154574991599 -164.663023839866 -237.039725927041</f>
        <v>-1153.8573247585059</v>
      </c>
      <c r="Q139">
        <f>-531.041479022095 -96.2413990923644 -256.430218172105</f>
        <v>-883.71309628656445</v>
      </c>
      <c r="R139" t="s">
        <v>2671</v>
      </c>
      <c r="S139" t="s">
        <v>2672</v>
      </c>
      <c r="T139" t="s">
        <v>2673</v>
      </c>
      <c r="U139" t="s">
        <v>2674</v>
      </c>
      <c r="V139">
        <f>-625.874901982048 -45.9794712386529 -93.6382019302823</f>
        <v>-765.49257515098316</v>
      </c>
      <c r="W139" t="s">
        <v>2675</v>
      </c>
      <c r="X139" t="s">
        <v>2676</v>
      </c>
      <c r="Y139" t="s">
        <v>2677</v>
      </c>
    </row>
    <row r="140" spans="1:25" x14ac:dyDescent="0.3">
      <c r="A140">
        <v>6950</v>
      </c>
      <c r="B140" t="s">
        <v>2678</v>
      </c>
      <c r="C140" t="s">
        <v>2679</v>
      </c>
      <c r="D140" t="s">
        <v>2680</v>
      </c>
      <c r="E140" t="s">
        <v>2681</v>
      </c>
      <c r="F140" t="s">
        <v>2682</v>
      </c>
      <c r="G140" t="s">
        <v>2683</v>
      </c>
      <c r="H140" t="s">
        <v>2684</v>
      </c>
      <c r="I140" t="s">
        <v>2685</v>
      </c>
      <c r="J140" t="s">
        <v>2686</v>
      </c>
      <c r="K140" t="s">
        <v>2687</v>
      </c>
      <c r="L140" t="s">
        <v>2688</v>
      </c>
      <c r="M140" t="s">
        <v>2689</v>
      </c>
      <c r="N140" t="s">
        <v>2690</v>
      </c>
      <c r="O140">
        <f>-703.073660197652 -118.720776878201 -510.804575693656</f>
        <v>-1332.599012769509</v>
      </c>
      <c r="P140">
        <f>-752.296730475577 -163.786039685136 -236.715526708331</f>
        <v>-1152.798296869044</v>
      </c>
      <c r="Q140">
        <f>-531.121951407884 -95.6980602757933 -256.572259474462</f>
        <v>-883.39227115813924</v>
      </c>
      <c r="R140" t="s">
        <v>2691</v>
      </c>
      <c r="S140" t="s">
        <v>2692</v>
      </c>
      <c r="T140" t="s">
        <v>2693</v>
      </c>
      <c r="U140" t="s">
        <v>2694</v>
      </c>
      <c r="V140">
        <f>-626.190129538002 -45.8514397889485 -93.6197439582314</f>
        <v>-765.6613132851819</v>
      </c>
      <c r="W140" t="s">
        <v>2695</v>
      </c>
      <c r="X140" t="s">
        <v>2696</v>
      </c>
      <c r="Y140" t="s">
        <v>2697</v>
      </c>
    </row>
    <row r="141" spans="1:25" x14ac:dyDescent="0.3">
      <c r="A141">
        <v>7000</v>
      </c>
      <c r="B141" t="s">
        <v>2698</v>
      </c>
      <c r="C141" t="s">
        <v>2699</v>
      </c>
      <c r="D141" t="s">
        <v>2700</v>
      </c>
      <c r="E141" t="s">
        <v>2701</v>
      </c>
      <c r="F141" t="s">
        <v>2702</v>
      </c>
      <c r="G141" t="s">
        <v>2703</v>
      </c>
      <c r="H141" t="s">
        <v>2704</v>
      </c>
      <c r="I141" t="s">
        <v>2705</v>
      </c>
      <c r="J141" t="s">
        <v>2706</v>
      </c>
      <c r="K141" t="s">
        <v>2707</v>
      </c>
      <c r="L141" t="s">
        <v>2708</v>
      </c>
      <c r="M141" t="s">
        <v>2709</v>
      </c>
      <c r="N141" t="s">
        <v>2710</v>
      </c>
      <c r="O141">
        <f>-703.769200570536 -119.373360972711 -510.034919253995</f>
        <v>-1333.177480797242</v>
      </c>
      <c r="P141">
        <f>-752.784788173122 -162.982890855938 -235.673430488351</f>
        <v>-1151.441109517411</v>
      </c>
      <c r="Q141">
        <f>-531.760674521574 -94.7776282801553 -256.766434361536</f>
        <v>-883.30473716326537</v>
      </c>
      <c r="R141" t="s">
        <v>2711</v>
      </c>
      <c r="S141" t="s">
        <v>2712</v>
      </c>
      <c r="T141" t="s">
        <v>2713</v>
      </c>
      <c r="U141" t="s">
        <v>2714</v>
      </c>
      <c r="V141">
        <f>-626.332071580193 -45.537211730642 -93.5988741877832</f>
        <v>-765.4681574986181</v>
      </c>
      <c r="W141" t="s">
        <v>2715</v>
      </c>
      <c r="X141" t="s">
        <v>2716</v>
      </c>
      <c r="Y141" t="s">
        <v>2717</v>
      </c>
    </row>
    <row r="142" spans="1:25" x14ac:dyDescent="0.3">
      <c r="A142">
        <v>7050</v>
      </c>
      <c r="B142" t="s">
        <v>2718</v>
      </c>
      <c r="C142" t="s">
        <v>2719</v>
      </c>
      <c r="D142" t="s">
        <v>2720</v>
      </c>
      <c r="E142" t="s">
        <v>2721</v>
      </c>
      <c r="F142" t="s">
        <v>2722</v>
      </c>
      <c r="G142" t="s">
        <v>2723</v>
      </c>
      <c r="H142" t="s">
        <v>2724</v>
      </c>
      <c r="I142" t="s">
        <v>2725</v>
      </c>
      <c r="J142" t="s">
        <v>2726</v>
      </c>
      <c r="K142" t="s">
        <v>2727</v>
      </c>
      <c r="L142" t="s">
        <v>2728</v>
      </c>
      <c r="M142" t="s">
        <v>2729</v>
      </c>
      <c r="N142" t="s">
        <v>2730</v>
      </c>
      <c r="O142">
        <f>-704.287387358659 -119.758425375942 -509.490097225539</f>
        <v>-1333.5359099601401</v>
      </c>
      <c r="P142">
        <f>-753.036225742241 -163.138503528847 -235.044686203692</f>
        <v>-1151.2194154747799</v>
      </c>
      <c r="Q142">
        <f>-532.099622219239 -94.7996692134127 -256.617576266862</f>
        <v>-883.51686769951368</v>
      </c>
      <c r="R142" t="s">
        <v>2731</v>
      </c>
      <c r="S142" t="s">
        <v>2732</v>
      </c>
      <c r="T142" t="s">
        <v>2733</v>
      </c>
      <c r="U142" t="s">
        <v>2734</v>
      </c>
      <c r="V142">
        <f>-626.361704765248 -45.4035354236462 -93.5766047419585</f>
        <v>-765.34184493085263</v>
      </c>
      <c r="W142" t="s">
        <v>2735</v>
      </c>
      <c r="X142" t="s">
        <v>2736</v>
      </c>
      <c r="Y142" t="s">
        <v>2737</v>
      </c>
    </row>
    <row r="143" spans="1:25" x14ac:dyDescent="0.3">
      <c r="A143">
        <v>7100</v>
      </c>
      <c r="B143" t="s">
        <v>2738</v>
      </c>
      <c r="C143" t="s">
        <v>2739</v>
      </c>
      <c r="D143" t="s">
        <v>2740</v>
      </c>
      <c r="E143" t="s">
        <v>2741</v>
      </c>
      <c r="F143" t="s">
        <v>2742</v>
      </c>
      <c r="G143" t="s">
        <v>2743</v>
      </c>
      <c r="H143" t="s">
        <v>2744</v>
      </c>
      <c r="I143" t="s">
        <v>2745</v>
      </c>
      <c r="J143" t="s">
        <v>2746</v>
      </c>
      <c r="K143" t="s">
        <v>2747</v>
      </c>
      <c r="L143" t="s">
        <v>2748</v>
      </c>
      <c r="M143" t="s">
        <v>2749</v>
      </c>
      <c r="N143" t="s">
        <v>2750</v>
      </c>
      <c r="O143">
        <f>-705.020515776123 -120.833091113937 -508.234882707241</f>
        <v>-1334.0884895973011</v>
      </c>
      <c r="P143">
        <f>-754.229315022543 -162.918945495582 -233.670106370143</f>
        <v>-1150.818366888268</v>
      </c>
      <c r="Q143">
        <f>-533.164299874618 -95.1772521653486 -255.803003212914</f>
        <v>-884.14455525288054</v>
      </c>
      <c r="R143" t="s">
        <v>2751</v>
      </c>
      <c r="S143" t="s">
        <v>2752</v>
      </c>
      <c r="T143" t="s">
        <v>2753</v>
      </c>
      <c r="U143" t="s">
        <v>2754</v>
      </c>
      <c r="V143">
        <f>-626.395659313393 -44.8847918751705 -93.5145899928165</f>
        <v>-764.79504118138004</v>
      </c>
      <c r="W143" t="s">
        <v>2755</v>
      </c>
      <c r="X143" t="s">
        <v>2756</v>
      </c>
      <c r="Y143" t="s">
        <v>2757</v>
      </c>
    </row>
    <row r="144" spans="1:25" x14ac:dyDescent="0.3">
      <c r="A144">
        <v>7150</v>
      </c>
      <c r="B144" t="s">
        <v>2758</v>
      </c>
      <c r="C144" t="s">
        <v>2759</v>
      </c>
      <c r="D144" t="s">
        <v>2760</v>
      </c>
      <c r="E144" t="s">
        <v>2761</v>
      </c>
      <c r="F144" t="s">
        <v>2762</v>
      </c>
      <c r="G144" t="s">
        <v>2763</v>
      </c>
      <c r="H144" t="s">
        <v>2764</v>
      </c>
      <c r="I144" t="s">
        <v>2765</v>
      </c>
      <c r="J144" t="s">
        <v>2766</v>
      </c>
      <c r="K144" t="s">
        <v>2767</v>
      </c>
      <c r="L144" t="s">
        <v>2768</v>
      </c>
      <c r="M144" t="s">
        <v>2769</v>
      </c>
      <c r="N144" t="s">
        <v>2770</v>
      </c>
      <c r="O144">
        <f>-705.137473430128 -121.452028149301 -507.576067932048</f>
        <v>-1334.1655695114769</v>
      </c>
      <c r="P144">
        <f>-754.85803364018 -162.513670918765 -232.948280677809</f>
        <v>-1150.3199852367541</v>
      </c>
      <c r="Q144">
        <f>-533.715940038516 -95.060480506575 -255.19106722387</f>
        <v>-883.96748776896106</v>
      </c>
      <c r="R144" t="s">
        <v>2771</v>
      </c>
      <c r="S144" t="s">
        <v>2772</v>
      </c>
      <c r="T144" t="s">
        <v>2773</v>
      </c>
      <c r="U144" t="s">
        <v>2774</v>
      </c>
      <c r="V144">
        <f>-626.278065367057 -44.5773834035926 -93.4578431769535</f>
        <v>-764.31329194760315</v>
      </c>
      <c r="W144" t="s">
        <v>2775</v>
      </c>
      <c r="X144" t="s">
        <v>2776</v>
      </c>
      <c r="Y144" t="s">
        <v>2777</v>
      </c>
    </row>
    <row r="145" spans="1:25" x14ac:dyDescent="0.3">
      <c r="A145">
        <v>7200</v>
      </c>
      <c r="B145" t="s">
        <v>2778</v>
      </c>
      <c r="C145" t="s">
        <v>2779</v>
      </c>
      <c r="D145" t="s">
        <v>2780</v>
      </c>
      <c r="E145" t="s">
        <v>2781</v>
      </c>
      <c r="F145" t="s">
        <v>2782</v>
      </c>
      <c r="G145" t="s">
        <v>2783</v>
      </c>
      <c r="H145" t="s">
        <v>2784</v>
      </c>
      <c r="I145" t="s">
        <v>2785</v>
      </c>
      <c r="J145" t="s">
        <v>2786</v>
      </c>
      <c r="K145" t="s">
        <v>2787</v>
      </c>
      <c r="L145" t="s">
        <v>2788</v>
      </c>
      <c r="M145" t="s">
        <v>2789</v>
      </c>
      <c r="N145" t="s">
        <v>2790</v>
      </c>
      <c r="O145">
        <f>-705.149884583564 -123.472591765035 -506.200031361601</f>
        <v>-1334.8225077101999</v>
      </c>
      <c r="P145">
        <f>-755.69335532517 -162.595448744174 -231.439437155288</f>
        <v>-1149.728241224632</v>
      </c>
      <c r="Q145">
        <f>-534.648108875213 -94.8390704893222 -253.724483808513</f>
        <v>-883.21166317304824</v>
      </c>
      <c r="R145" t="s">
        <v>2791</v>
      </c>
      <c r="S145" t="s">
        <v>2792</v>
      </c>
      <c r="T145" t="s">
        <v>2793</v>
      </c>
      <c r="U145" t="s">
        <v>2794</v>
      </c>
      <c r="V145">
        <f>-625.699859967641 -44.2604422993993 -93.3898110371722</f>
        <v>-763.35011330421253</v>
      </c>
      <c r="W145" t="s">
        <v>2795</v>
      </c>
      <c r="X145" t="s">
        <v>2796</v>
      </c>
      <c r="Y145" t="s">
        <v>2797</v>
      </c>
    </row>
    <row r="146" spans="1:25" x14ac:dyDescent="0.3">
      <c r="A146">
        <v>7250</v>
      </c>
      <c r="B146" t="s">
        <v>2798</v>
      </c>
      <c r="C146" t="s">
        <v>2799</v>
      </c>
      <c r="D146" t="s">
        <v>2800</v>
      </c>
      <c r="E146" t="s">
        <v>2801</v>
      </c>
      <c r="F146" t="s">
        <v>2802</v>
      </c>
      <c r="G146" t="s">
        <v>2803</v>
      </c>
      <c r="H146" t="s">
        <v>2804</v>
      </c>
      <c r="I146" t="s">
        <v>2805</v>
      </c>
      <c r="J146" t="s">
        <v>2806</v>
      </c>
      <c r="K146" t="s">
        <v>2807</v>
      </c>
      <c r="L146" t="s">
        <v>2808</v>
      </c>
      <c r="M146" t="s">
        <v>2809</v>
      </c>
      <c r="N146" t="s">
        <v>2810</v>
      </c>
      <c r="O146">
        <f>-705.013074663791 -124.918914524183 -505.527686283188</f>
        <v>-1335.459675471162</v>
      </c>
      <c r="P146">
        <f>-756.045170442788 -163.399298029686 -230.766802132174</f>
        <v>-1150.211270604648</v>
      </c>
      <c r="Q146">
        <f>-535.246154347553 -94.8029916975606 -252.92250796365</f>
        <v>-882.97165400876361</v>
      </c>
      <c r="R146" t="s">
        <v>2811</v>
      </c>
      <c r="S146" t="s">
        <v>2812</v>
      </c>
      <c r="T146" t="s">
        <v>2813</v>
      </c>
      <c r="U146" t="s">
        <v>2814</v>
      </c>
      <c r="V146">
        <f>-625.433038093646 -44.3619776695025 -93.3792449371008</f>
        <v>-763.17426070024931</v>
      </c>
      <c r="W146" t="s">
        <v>2815</v>
      </c>
      <c r="X146" t="s">
        <v>2816</v>
      </c>
      <c r="Y146" t="s">
        <v>2817</v>
      </c>
    </row>
    <row r="147" spans="1:25" x14ac:dyDescent="0.3">
      <c r="A147">
        <v>7300</v>
      </c>
      <c r="B147" t="s">
        <v>2818</v>
      </c>
      <c r="C147" t="s">
        <v>2819</v>
      </c>
      <c r="D147" t="s">
        <v>2820</v>
      </c>
      <c r="E147" t="s">
        <v>2821</v>
      </c>
      <c r="F147" t="s">
        <v>2822</v>
      </c>
      <c r="G147" t="s">
        <v>2823</v>
      </c>
      <c r="H147" t="s">
        <v>2824</v>
      </c>
      <c r="I147" t="s">
        <v>2825</v>
      </c>
      <c r="J147" t="s">
        <v>2826</v>
      </c>
      <c r="K147" t="s">
        <v>2827</v>
      </c>
      <c r="L147" t="s">
        <v>2828</v>
      </c>
      <c r="M147" t="s">
        <v>2829</v>
      </c>
      <c r="N147" t="s">
        <v>2830</v>
      </c>
      <c r="O147">
        <f>-703.897447633989 -128.456381144308 -504.33975057581</f>
        <v>-1336.693579354107</v>
      </c>
      <c r="P147">
        <f>-755.65457533692 -166.205229969257 -229.612931981814</f>
        <v>-1151.4727372879909</v>
      </c>
      <c r="Q147">
        <f>-535.678118329542 -94.9176476519265 -251.452614174403</f>
        <v>-882.04838015587154</v>
      </c>
      <c r="R147" t="s">
        <v>2831</v>
      </c>
      <c r="S147" t="s">
        <v>2832</v>
      </c>
      <c r="T147" t="s">
        <v>2833</v>
      </c>
      <c r="U147" t="s">
        <v>2834</v>
      </c>
      <c r="V147">
        <f>-625.106414177022 -44.9667601656122 -93.3918996433869</f>
        <v>-763.46507398602103</v>
      </c>
      <c r="W147" t="s">
        <v>2835</v>
      </c>
      <c r="X147" t="s">
        <v>2836</v>
      </c>
      <c r="Y147" t="s">
        <v>2837</v>
      </c>
    </row>
    <row r="148" spans="1:25" x14ac:dyDescent="0.3">
      <c r="A148">
        <v>7350</v>
      </c>
      <c r="B148" t="s">
        <v>2838</v>
      </c>
      <c r="C148" t="s">
        <v>2839</v>
      </c>
      <c r="D148" t="s">
        <v>2840</v>
      </c>
      <c r="E148" t="s">
        <v>2841</v>
      </c>
      <c r="F148" t="s">
        <v>2842</v>
      </c>
      <c r="G148" t="s">
        <v>2843</v>
      </c>
      <c r="H148" t="s">
        <v>2844</v>
      </c>
      <c r="I148" t="s">
        <v>2845</v>
      </c>
      <c r="J148" t="s">
        <v>2846</v>
      </c>
      <c r="K148" t="s">
        <v>2847</v>
      </c>
      <c r="L148" t="s">
        <v>2848</v>
      </c>
      <c r="M148" t="s">
        <v>2849</v>
      </c>
      <c r="N148" t="s">
        <v>2850</v>
      </c>
      <c r="O148">
        <f>-702.890059588041 -130.632825580641 -503.749522853301</f>
        <v>-1337.272408021983</v>
      </c>
      <c r="P148">
        <f>-755.044905000218 -168.23018400956 -229.077261246009</f>
        <v>-1152.3523502557869</v>
      </c>
      <c r="Q148">
        <f>-535.683264521132 -95.0260312407836 -250.759587104488</f>
        <v>-881.46888286640353</v>
      </c>
      <c r="R148" t="s">
        <v>2851</v>
      </c>
      <c r="S148" t="s">
        <v>2852</v>
      </c>
      <c r="T148" t="s">
        <v>2853</v>
      </c>
      <c r="U148" t="s">
        <v>2854</v>
      </c>
      <c r="V148">
        <f>-624.887915923422 -45.4311270147884 -93.41507814985</f>
        <v>-763.73412108806053</v>
      </c>
      <c r="W148" t="s">
        <v>2855</v>
      </c>
      <c r="X148" t="s">
        <v>2856</v>
      </c>
      <c r="Y148" t="s">
        <v>2857</v>
      </c>
    </row>
    <row r="149" spans="1:25" x14ac:dyDescent="0.3">
      <c r="A149">
        <v>7400</v>
      </c>
      <c r="B149" t="s">
        <v>2858</v>
      </c>
      <c r="C149" t="s">
        <v>2859</v>
      </c>
      <c r="D149" t="s">
        <v>2860</v>
      </c>
      <c r="E149" t="s">
        <v>2861</v>
      </c>
      <c r="F149" t="s">
        <v>2862</v>
      </c>
      <c r="G149" t="s">
        <v>2863</v>
      </c>
      <c r="H149" t="s">
        <v>2864</v>
      </c>
      <c r="I149" t="s">
        <v>2865</v>
      </c>
      <c r="J149" t="s">
        <v>2866</v>
      </c>
      <c r="K149" t="s">
        <v>2867</v>
      </c>
      <c r="L149" t="s">
        <v>2868</v>
      </c>
      <c r="M149" t="s">
        <v>2869</v>
      </c>
      <c r="N149" t="s">
        <v>2870</v>
      </c>
      <c r="O149">
        <f>-700.492520461787 -135.227627303188 -502.759197303517</f>
        <v>-1338.479345068492</v>
      </c>
      <c r="P149">
        <f>-753.086274751893 -172.604512810925 -228.140515565413</f>
        <v>-1153.831303128231</v>
      </c>
      <c r="Q149">
        <f>-535.146451128952 -95.2046285083361 -249.588583137337</f>
        <v>-879.93966277462505</v>
      </c>
      <c r="R149" t="s">
        <v>2871</v>
      </c>
      <c r="S149" t="s">
        <v>2872</v>
      </c>
      <c r="T149" t="s">
        <v>2873</v>
      </c>
      <c r="U149" t="s">
        <v>2874</v>
      </c>
      <c r="V149">
        <f>-624.404570736351 -46.8782315709457 -93.5064201860633</f>
        <v>-764.78922249336006</v>
      </c>
      <c r="W149" t="s">
        <v>2875</v>
      </c>
      <c r="X149" t="s">
        <v>2876</v>
      </c>
      <c r="Y149" t="s">
        <v>2877</v>
      </c>
    </row>
    <row r="150" spans="1:25" x14ac:dyDescent="0.3">
      <c r="A150">
        <v>7450</v>
      </c>
      <c r="B150" t="s">
        <v>2878</v>
      </c>
      <c r="C150" t="s">
        <v>2879</v>
      </c>
      <c r="D150" t="s">
        <v>2880</v>
      </c>
      <c r="E150" t="s">
        <v>2881</v>
      </c>
      <c r="F150" t="s">
        <v>2882</v>
      </c>
      <c r="G150" t="s">
        <v>2883</v>
      </c>
      <c r="H150" t="s">
        <v>2884</v>
      </c>
      <c r="I150" t="s">
        <v>2885</v>
      </c>
      <c r="J150" t="s">
        <v>2886</v>
      </c>
      <c r="K150" t="s">
        <v>2887</v>
      </c>
      <c r="L150" t="s">
        <v>2888</v>
      </c>
      <c r="M150" t="s">
        <v>2889</v>
      </c>
      <c r="N150" t="s">
        <v>2890</v>
      </c>
      <c r="O150">
        <f>-699.083463287479 -137.574195374575 -502.412095634857</f>
        <v>-1339.069754296911</v>
      </c>
      <c r="P150">
        <f>-751.874471183658 -175.179894336894 -227.862552540168</f>
        <v>-1154.91691806072</v>
      </c>
      <c r="Q150">
        <f>-534.788667076544 -95.3790065198823 -249.171881976018</f>
        <v>-879.33955557244428</v>
      </c>
      <c r="R150" t="s">
        <v>2891</v>
      </c>
      <c r="S150" t="s">
        <v>2892</v>
      </c>
      <c r="T150" t="s">
        <v>2893</v>
      </c>
      <c r="U150" t="s">
        <v>2894</v>
      </c>
      <c r="V150">
        <f>-624.213437937655 -47.8857915965348 -93.5625438597444</f>
        <v>-765.66177339393425</v>
      </c>
      <c r="W150" t="s">
        <v>2895</v>
      </c>
      <c r="X150" t="s">
        <v>2896</v>
      </c>
      <c r="Y150" t="s">
        <v>2897</v>
      </c>
    </row>
    <row r="151" spans="1:25" x14ac:dyDescent="0.3">
      <c r="A151">
        <v>7500</v>
      </c>
      <c r="B151" t="s">
        <v>2898</v>
      </c>
      <c r="C151" t="s">
        <v>2899</v>
      </c>
      <c r="D151" t="s">
        <v>2900</v>
      </c>
      <c r="E151" t="s">
        <v>2901</v>
      </c>
      <c r="F151" t="s">
        <v>2902</v>
      </c>
      <c r="G151" t="s">
        <v>2903</v>
      </c>
      <c r="H151" t="s">
        <v>2904</v>
      </c>
      <c r="I151" t="s">
        <v>2905</v>
      </c>
      <c r="J151" t="s">
        <v>2906</v>
      </c>
      <c r="K151" t="s">
        <v>2907</v>
      </c>
      <c r="L151" t="s">
        <v>2908</v>
      </c>
      <c r="M151" t="s">
        <v>2909</v>
      </c>
      <c r="N151" t="s">
        <v>2910</v>
      </c>
      <c r="O151">
        <f>-695.811121162877 -141.971880322353 -502.196345936026</f>
        <v>-1339.9793474212561</v>
      </c>
      <c r="P151">
        <f>-748.80634074604 -180.359735567217 -227.794436808449</f>
        <v>-1156.9605131217061</v>
      </c>
      <c r="Q151">
        <f>-533.590924720909 -95.5387486960949 -248.681523071517</f>
        <v>-877.81119648852086</v>
      </c>
      <c r="R151" t="s">
        <v>2911</v>
      </c>
      <c r="S151" t="s">
        <v>2912</v>
      </c>
      <c r="T151" t="s">
        <v>2913</v>
      </c>
      <c r="U151" t="s">
        <v>2914</v>
      </c>
      <c r="V151">
        <f>-623.630550461301 -49.898007645216 -93.6944569851087</f>
        <v>-767.22301509162571</v>
      </c>
      <c r="W151" t="s">
        <v>2915</v>
      </c>
      <c r="X151" t="s">
        <v>2916</v>
      </c>
      <c r="Y151" t="s">
        <v>2917</v>
      </c>
    </row>
    <row r="152" spans="1:25" x14ac:dyDescent="0.3">
      <c r="A152">
        <v>7550</v>
      </c>
      <c r="B152" t="s">
        <v>2918</v>
      </c>
      <c r="C152" t="s">
        <v>2919</v>
      </c>
      <c r="D152" t="s">
        <v>2920</v>
      </c>
      <c r="E152" t="s">
        <v>2921</v>
      </c>
      <c r="F152" t="s">
        <v>2922</v>
      </c>
      <c r="G152" t="s">
        <v>2923</v>
      </c>
      <c r="H152" t="s">
        <v>2924</v>
      </c>
      <c r="I152" t="s">
        <v>2925</v>
      </c>
      <c r="J152" t="s">
        <v>2926</v>
      </c>
      <c r="K152" t="s">
        <v>2927</v>
      </c>
      <c r="L152" t="s">
        <v>2928</v>
      </c>
      <c r="M152" t="s">
        <v>2929</v>
      </c>
      <c r="N152" t="s">
        <v>2930</v>
      </c>
      <c r="O152">
        <f>-694.125340411956 -143.889043467821 -502.149313431082</f>
        <v>-1340.1636973108591</v>
      </c>
      <c r="P152">
        <f>-746.812062898395 -182.738167544765 -227.752788062628</f>
        <v>-1157.303018505788</v>
      </c>
      <c r="Q152">
        <f>-532.640568280173 -95.2847984828566 -248.512244945513</f>
        <v>-876.43761170854259</v>
      </c>
      <c r="R152" t="s">
        <v>2931</v>
      </c>
      <c r="S152" t="s">
        <v>2932</v>
      </c>
      <c r="T152" t="s">
        <v>2933</v>
      </c>
      <c r="U152" t="s">
        <v>2934</v>
      </c>
      <c r="V152">
        <f>-623.078087204645 -50.7343998240106 -93.7566941734583</f>
        <v>-767.5691812021139</v>
      </c>
      <c r="W152" t="s">
        <v>2935</v>
      </c>
      <c r="X152" t="s">
        <v>2936</v>
      </c>
      <c r="Y152" t="s">
        <v>2937</v>
      </c>
    </row>
    <row r="153" spans="1:25" x14ac:dyDescent="0.3">
      <c r="A153">
        <v>7600</v>
      </c>
      <c r="B153" t="s">
        <v>2938</v>
      </c>
      <c r="C153" t="s">
        <v>2939</v>
      </c>
      <c r="D153" t="s">
        <v>2940</v>
      </c>
      <c r="E153" t="s">
        <v>2941</v>
      </c>
      <c r="F153" t="s">
        <v>2942</v>
      </c>
      <c r="G153" t="s">
        <v>2943</v>
      </c>
      <c r="H153" t="s">
        <v>2944</v>
      </c>
      <c r="I153" t="s">
        <v>2945</v>
      </c>
      <c r="J153" t="s">
        <v>2946</v>
      </c>
      <c r="K153" t="s">
        <v>2947</v>
      </c>
      <c r="L153" t="s">
        <v>2948</v>
      </c>
      <c r="M153" t="s">
        <v>2949</v>
      </c>
      <c r="N153" t="s">
        <v>2950</v>
      </c>
      <c r="O153">
        <f>-690.847808801949 -147.500466338804 -501.646142566877</f>
        <v>-1339.99441770763</v>
      </c>
      <c r="P153">
        <f>-742.553830904036 -186.959965742116 -227.150224605457</f>
        <v>-1156.664021251609</v>
      </c>
      <c r="Q153">
        <f>-530.240163801924 -95.1102239360794 -248.007804154256</f>
        <v>-873.35819189225936</v>
      </c>
      <c r="R153" t="s">
        <v>2951</v>
      </c>
      <c r="S153" t="s">
        <v>2952</v>
      </c>
      <c r="T153" t="s">
        <v>2953</v>
      </c>
      <c r="U153" t="s">
        <v>2954</v>
      </c>
      <c r="V153">
        <f>-621.51784294974 -52.3786871876027 -93.8711386619985</f>
        <v>-767.76766879934132</v>
      </c>
      <c r="W153" t="s">
        <v>2955</v>
      </c>
      <c r="X153" t="s">
        <v>2956</v>
      </c>
      <c r="Y153" t="s">
        <v>2957</v>
      </c>
    </row>
    <row r="154" spans="1:25" x14ac:dyDescent="0.3">
      <c r="A154">
        <v>7650</v>
      </c>
      <c r="B154" t="s">
        <v>2958</v>
      </c>
      <c r="C154" t="s">
        <v>2959</v>
      </c>
      <c r="D154" t="s">
        <v>2960</v>
      </c>
      <c r="E154" t="s">
        <v>2961</v>
      </c>
      <c r="F154" t="s">
        <v>2962</v>
      </c>
      <c r="G154" t="s">
        <v>2963</v>
      </c>
      <c r="H154" t="s">
        <v>2964</v>
      </c>
      <c r="I154" t="s">
        <v>2965</v>
      </c>
      <c r="J154" t="s">
        <v>2966</v>
      </c>
      <c r="K154" t="s">
        <v>2967</v>
      </c>
      <c r="L154" t="s">
        <v>2968</v>
      </c>
      <c r="M154" t="s">
        <v>2969</v>
      </c>
      <c r="N154" t="s">
        <v>2970</v>
      </c>
      <c r="O154">
        <f>-689.242816798482 -148.996662527361 -501.241242169491</f>
        <v>-1339.4807214953339</v>
      </c>
      <c r="P154">
        <f>-740.453726095608 -188.462543873384 -226.653483285142</f>
        <v>-1155.569753254134</v>
      </c>
      <c r="Q154">
        <f>-528.917870230014 -94.860690020487 -247.625501658723</f>
        <v>-871.40406190922408</v>
      </c>
      <c r="R154" t="s">
        <v>2971</v>
      </c>
      <c r="S154" t="s">
        <v>2972</v>
      </c>
      <c r="T154" t="s">
        <v>2973</v>
      </c>
      <c r="U154" t="s">
        <v>2974</v>
      </c>
      <c r="V154">
        <f>-620.517219358062 -53.0794904975585 -93.9072608585043</f>
        <v>-767.50397071412476</v>
      </c>
      <c r="W154" t="s">
        <v>2975</v>
      </c>
      <c r="X154" t="s">
        <v>2976</v>
      </c>
      <c r="Y154" t="s">
        <v>2977</v>
      </c>
    </row>
    <row r="155" spans="1:25" x14ac:dyDescent="0.3">
      <c r="A155">
        <v>7700</v>
      </c>
      <c r="B155" t="s">
        <v>2978</v>
      </c>
      <c r="C155" t="s">
        <v>2979</v>
      </c>
      <c r="D155" t="s">
        <v>2980</v>
      </c>
      <c r="E155" t="s">
        <v>2981</v>
      </c>
      <c r="F155" t="s">
        <v>2982</v>
      </c>
      <c r="G155" t="s">
        <v>2983</v>
      </c>
      <c r="H155" t="s">
        <v>2984</v>
      </c>
      <c r="I155" t="s">
        <v>2985</v>
      </c>
      <c r="J155" t="s">
        <v>2986</v>
      </c>
      <c r="K155" t="s">
        <v>2987</v>
      </c>
      <c r="L155" t="s">
        <v>2988</v>
      </c>
      <c r="M155" t="s">
        <v>2989</v>
      </c>
      <c r="N155">
        <f>-661.333943642131 -0.507521243560632 -531.058730682145</f>
        <v>-1192.9001955678366</v>
      </c>
      <c r="O155">
        <f>-686.025339602839 -151.50132060251 -500.558215802282</f>
        <v>-1338.084876007631</v>
      </c>
      <c r="P155">
        <f>-736.669545702147 -190.818279431966 -225.843978176807</f>
        <v>-1153.3318033109201</v>
      </c>
      <c r="Q155">
        <f>-526.371238737541 -94.484523436473 -246.890517005906</f>
        <v>-867.74627917991995</v>
      </c>
      <c r="R155" t="s">
        <v>2990</v>
      </c>
      <c r="S155" t="s">
        <v>2991</v>
      </c>
      <c r="T155" t="s">
        <v>2992</v>
      </c>
      <c r="U155" t="s">
        <v>2993</v>
      </c>
      <c r="V155">
        <f>-618.466725718819 -54.2217792099411 -93.8677579403608</f>
        <v>-766.55626286912093</v>
      </c>
      <c r="W155" t="s">
        <v>2994</v>
      </c>
      <c r="X155" t="s">
        <v>2995</v>
      </c>
      <c r="Y155" t="s">
        <v>2996</v>
      </c>
    </row>
    <row r="156" spans="1:25" x14ac:dyDescent="0.3">
      <c r="A156">
        <v>7750</v>
      </c>
      <c r="B156" t="s">
        <v>2997</v>
      </c>
      <c r="C156" t="s">
        <v>2998</v>
      </c>
      <c r="D156" t="s">
        <v>2999</v>
      </c>
      <c r="E156" t="s">
        <v>3000</v>
      </c>
      <c r="F156" t="s">
        <v>3001</v>
      </c>
      <c r="G156" t="s">
        <v>3002</v>
      </c>
      <c r="H156" t="s">
        <v>3003</v>
      </c>
      <c r="I156" t="s">
        <v>3004</v>
      </c>
      <c r="J156" t="s">
        <v>3005</v>
      </c>
      <c r="K156" t="s">
        <v>3006</v>
      </c>
      <c r="L156" t="s">
        <v>3007</v>
      </c>
      <c r="M156" t="s">
        <v>3008</v>
      </c>
      <c r="N156">
        <f>-660.621872181656 -1.63404001492472 -530.976082756649</f>
        <v>-1193.2319949532298</v>
      </c>
      <c r="O156">
        <f>-684.622644818284 -152.688000876177 -500.234564350949</f>
        <v>-1337.5452100454099</v>
      </c>
      <c r="P156">
        <f>-735.132859302229 -192.218010838953 -225.526161096764</f>
        <v>-1152.8770312379461</v>
      </c>
      <c r="Q156">
        <f>-525.515168476044 -94.3859046886637 -246.450729724908</f>
        <v>-866.35180288961567</v>
      </c>
      <c r="R156" t="s">
        <v>3009</v>
      </c>
      <c r="S156" t="s">
        <v>3010</v>
      </c>
      <c r="T156" t="s">
        <v>3011</v>
      </c>
      <c r="U156" t="s">
        <v>3012</v>
      </c>
      <c r="V156">
        <f>-617.48141451196 -54.7471590057198 -93.8412220991621</f>
        <v>-766.06979561684193</v>
      </c>
      <c r="W156" t="s">
        <v>3013</v>
      </c>
      <c r="X156" t="s">
        <v>3014</v>
      </c>
      <c r="Y156" t="s">
        <v>3015</v>
      </c>
    </row>
    <row r="157" spans="1:25" x14ac:dyDescent="0.3">
      <c r="A157">
        <v>7800</v>
      </c>
      <c r="B157" t="s">
        <v>3016</v>
      </c>
      <c r="C157" t="s">
        <v>3017</v>
      </c>
      <c r="D157" t="s">
        <v>3018</v>
      </c>
      <c r="E157" t="s">
        <v>3019</v>
      </c>
      <c r="F157" t="s">
        <v>3020</v>
      </c>
      <c r="G157" t="s">
        <v>3021</v>
      </c>
      <c r="H157" t="s">
        <v>3022</v>
      </c>
      <c r="I157" t="s">
        <v>3023</v>
      </c>
      <c r="J157" t="s">
        <v>3024</v>
      </c>
      <c r="K157" t="s">
        <v>3025</v>
      </c>
      <c r="L157" t="s">
        <v>3026</v>
      </c>
      <c r="M157" t="s">
        <v>3027</v>
      </c>
      <c r="N157">
        <f>-659.483673182997 -3.53777555510624 -530.845732534091</f>
        <v>-1193.8671812721941</v>
      </c>
      <c r="O157">
        <f>-682.239555739134 -154.681235001479 -499.599745577452</f>
        <v>-1336.5205363180648</v>
      </c>
      <c r="P157">
        <f>-732.678967905507 -194.828083746213 -224.967828001556</f>
        <v>-1152.474879653276</v>
      </c>
      <c r="Q157">
        <f>-524.512094898278 -93.8842506495216 -245.594496412086</f>
        <v>-863.99084195988553</v>
      </c>
      <c r="R157" t="s">
        <v>3028</v>
      </c>
      <c r="S157" t="s">
        <v>3029</v>
      </c>
      <c r="T157" t="s">
        <v>3030</v>
      </c>
      <c r="U157" t="s">
        <v>3031</v>
      </c>
      <c r="V157">
        <f>-615.881330028026 -55.4868272837678 -93.7866460349402</f>
        <v>-765.15480334673396</v>
      </c>
      <c r="W157" t="s">
        <v>3032</v>
      </c>
      <c r="X157" t="s">
        <v>3033</v>
      </c>
      <c r="Y157" t="s">
        <v>3034</v>
      </c>
    </row>
    <row r="158" spans="1:25" x14ac:dyDescent="0.3">
      <c r="A158">
        <v>7850</v>
      </c>
      <c r="B158" t="s">
        <v>3035</v>
      </c>
      <c r="C158" t="s">
        <v>3036</v>
      </c>
      <c r="D158" t="s">
        <v>3037</v>
      </c>
      <c r="E158" t="s">
        <v>3038</v>
      </c>
      <c r="F158" t="s">
        <v>3039</v>
      </c>
      <c r="G158" t="s">
        <v>3040</v>
      </c>
      <c r="H158" t="s">
        <v>3041</v>
      </c>
      <c r="I158" t="s">
        <v>3042</v>
      </c>
      <c r="J158" t="s">
        <v>3043</v>
      </c>
      <c r="K158" t="s">
        <v>3044</v>
      </c>
      <c r="L158" t="s">
        <v>3045</v>
      </c>
      <c r="M158" t="s">
        <v>3046</v>
      </c>
      <c r="N158">
        <f>-659.017997430796 -4.3511369224077 -530.791443273039</f>
        <v>-1194.1605776262427</v>
      </c>
      <c r="O158">
        <f>-681.307341200738 -155.504420004734 -499.278424775656</f>
        <v>-1336.0901859811281</v>
      </c>
      <c r="P158">
        <f>-731.657450334293 -195.578244145536 -224.619521078132</f>
        <v>-1151.8552155579609</v>
      </c>
      <c r="Q158">
        <f>-523.948293425676 -93.6985165820226 -245.257685885995</f>
        <v>-862.90449589369359</v>
      </c>
      <c r="R158" t="s">
        <v>3047</v>
      </c>
      <c r="S158" t="s">
        <v>3048</v>
      </c>
      <c r="T158" t="s">
        <v>3049</v>
      </c>
      <c r="U158" t="s">
        <v>3050</v>
      </c>
      <c r="V158">
        <f>-615.314146708507 -55.7545181356529 -93.7755547601836</f>
        <v>-764.84421960434349</v>
      </c>
      <c r="W158" t="s">
        <v>3051</v>
      </c>
      <c r="X158" t="s">
        <v>3052</v>
      </c>
      <c r="Y158" t="s">
        <v>3053</v>
      </c>
    </row>
    <row r="159" spans="1:25" x14ac:dyDescent="0.3">
      <c r="A159">
        <v>7900</v>
      </c>
      <c r="B159" t="s">
        <v>3054</v>
      </c>
      <c r="C159" t="s">
        <v>3055</v>
      </c>
      <c r="D159" t="s">
        <v>3056</v>
      </c>
      <c r="E159" t="s">
        <v>3057</v>
      </c>
      <c r="F159" t="s">
        <v>3058</v>
      </c>
      <c r="G159" t="s">
        <v>3059</v>
      </c>
      <c r="H159" t="s">
        <v>3060</v>
      </c>
      <c r="I159" t="s">
        <v>3061</v>
      </c>
      <c r="J159" t="s">
        <v>3062</v>
      </c>
      <c r="K159" t="s">
        <v>3063</v>
      </c>
      <c r="L159" t="s">
        <v>3064</v>
      </c>
      <c r="M159" t="s">
        <v>3065</v>
      </c>
      <c r="N159">
        <f>-658.340062894648 -6.10503519961753 -530.667606207433</f>
        <v>-1195.1127043016986</v>
      </c>
      <c r="O159">
        <f>-680.137726646244 -157.185683143805 -498.484928400274</f>
        <v>-1335.808338190323</v>
      </c>
      <c r="P159">
        <f>-730.094866943231 -196.544439752063 -223.65084840551</f>
        <v>-1150.290155100804</v>
      </c>
      <c r="Q159">
        <f>-522.888161430932 -93.7475274802282 -244.786725613193</f>
        <v>-861.42241452435314</v>
      </c>
      <c r="R159" t="s">
        <v>3066</v>
      </c>
      <c r="S159" t="s">
        <v>3067</v>
      </c>
      <c r="T159" t="s">
        <v>3068</v>
      </c>
      <c r="U159" t="s">
        <v>3069</v>
      </c>
      <c r="V159">
        <f>-614.633289877616 -56.4175883624353 -93.7587834370943</f>
        <v>-764.80966167714553</v>
      </c>
      <c r="W159" t="s">
        <v>3070</v>
      </c>
      <c r="X159" t="s">
        <v>3071</v>
      </c>
      <c r="Y159" t="s">
        <v>3072</v>
      </c>
    </row>
    <row r="160" spans="1:25" x14ac:dyDescent="0.3">
      <c r="A160">
        <v>7950</v>
      </c>
      <c r="B160" t="s">
        <v>3073</v>
      </c>
      <c r="C160" t="s">
        <v>3074</v>
      </c>
      <c r="D160" t="s">
        <v>3075</v>
      </c>
      <c r="E160" t="s">
        <v>3076</v>
      </c>
      <c r="F160" t="s">
        <v>3077</v>
      </c>
      <c r="G160" t="s">
        <v>3078</v>
      </c>
      <c r="H160" t="s">
        <v>3079</v>
      </c>
      <c r="I160" t="s">
        <v>3080</v>
      </c>
      <c r="J160" t="s">
        <v>3081</v>
      </c>
      <c r="K160" t="s">
        <v>3082</v>
      </c>
      <c r="L160" t="s">
        <v>3083</v>
      </c>
      <c r="M160" t="s">
        <v>3084</v>
      </c>
      <c r="N160">
        <f>-657.991386392567 -6.98749811222115 -530.626968585856</f>
        <v>-1195.6058530906444</v>
      </c>
      <c r="O160">
        <f>-679.769969705385 -157.997616252738 -498.113979988776</f>
        <v>-1335.8815659468992</v>
      </c>
      <c r="P160">
        <f>-729.534439359794 -196.846501801989 -223.172377598787</f>
        <v>-1149.5533187605699</v>
      </c>
      <c r="Q160">
        <f>-522.394424415383 -94.0020306018389 -244.726533409728</f>
        <v>-861.12298842694986</v>
      </c>
      <c r="R160" t="s">
        <v>3085</v>
      </c>
      <c r="S160" t="s">
        <v>3086</v>
      </c>
      <c r="T160" t="s">
        <v>3087</v>
      </c>
      <c r="U160" t="s">
        <v>3088</v>
      </c>
      <c r="V160">
        <f>-614.406725753633 -56.7560518877654 -93.7512288194991</f>
        <v>-764.91400646089755</v>
      </c>
      <c r="W160" t="s">
        <v>3089</v>
      </c>
      <c r="X160" t="s">
        <v>3090</v>
      </c>
      <c r="Y160" t="s">
        <v>3091</v>
      </c>
    </row>
    <row r="161" spans="1:25" x14ac:dyDescent="0.3">
      <c r="A161">
        <v>8000</v>
      </c>
      <c r="B161" t="s">
        <v>3092</v>
      </c>
      <c r="C161" t="s">
        <v>3093</v>
      </c>
      <c r="D161" t="s">
        <v>3094</v>
      </c>
      <c r="E161" t="s">
        <v>3095</v>
      </c>
      <c r="F161" t="s">
        <v>3096</v>
      </c>
      <c r="G161" t="s">
        <v>3097</v>
      </c>
      <c r="H161" t="s">
        <v>3098</v>
      </c>
      <c r="I161" t="s">
        <v>3099</v>
      </c>
      <c r="J161" t="s">
        <v>3100</v>
      </c>
      <c r="K161" t="s">
        <v>3101</v>
      </c>
      <c r="L161" t="s">
        <v>3102</v>
      </c>
      <c r="M161" t="s">
        <v>3103</v>
      </c>
      <c r="N161">
        <f>-657.093849857984 -8.72845558566655 -530.57123400193</f>
        <v>-1196.3935394455805</v>
      </c>
      <c r="O161">
        <f>-679.127517346232 -159.561091040735 -497.388144102791</f>
        <v>-1336.0767524897578</v>
      </c>
      <c r="P161">
        <f>-728.807254127635 -197.388982521832 -222.288956206855</f>
        <v>-1148.4851928563221</v>
      </c>
      <c r="Q161">
        <f>-521.354813422961 -95.3207731737234 -244.517704819217</f>
        <v>-861.1932914159014</v>
      </c>
      <c r="R161" t="s">
        <v>3104</v>
      </c>
      <c r="S161" t="s">
        <v>3105</v>
      </c>
      <c r="T161" t="s">
        <v>3106</v>
      </c>
      <c r="U161" t="s">
        <v>3107</v>
      </c>
      <c r="V161">
        <f>-614.011503303001 -57.5176873578803 -93.7667888326692</f>
        <v>-765.29597949355048</v>
      </c>
      <c r="W161" t="s">
        <v>3108</v>
      </c>
      <c r="X161" t="s">
        <v>3109</v>
      </c>
      <c r="Y161" t="s">
        <v>3110</v>
      </c>
    </row>
    <row r="162" spans="1:25" x14ac:dyDescent="0.3">
      <c r="A162">
        <v>8050</v>
      </c>
      <c r="B162" t="s">
        <v>3111</v>
      </c>
      <c r="C162" t="s">
        <v>3112</v>
      </c>
      <c r="D162" t="s">
        <v>3113</v>
      </c>
      <c r="E162" t="s">
        <v>3114</v>
      </c>
      <c r="F162" t="s">
        <v>3115</v>
      </c>
      <c r="G162" t="s">
        <v>3116</v>
      </c>
      <c r="H162" t="s">
        <v>3117</v>
      </c>
      <c r="I162" t="s">
        <v>3118</v>
      </c>
      <c r="J162" t="s">
        <v>3119</v>
      </c>
      <c r="K162" t="s">
        <v>3120</v>
      </c>
      <c r="L162" t="s">
        <v>3121</v>
      </c>
      <c r="M162" t="s">
        <v>3122</v>
      </c>
      <c r="N162">
        <f>-656.683314999721 -9.50832136771169 -530.548946776596</f>
        <v>-1196.7405831440287</v>
      </c>
      <c r="O162">
        <f>-678.930223853474 -160.23885173544 -497.047747995813</f>
        <v>-1336.2168235847271</v>
      </c>
      <c r="P162">
        <f>-728.78083678919 -197.65838875718 -221.923601161894</f>
        <v>-1148.362826708264</v>
      </c>
      <c r="Q162">
        <f>-521.098997954996 -96.0772130595392 -244.240600541653</f>
        <v>-861.41681155618812</v>
      </c>
      <c r="R162" t="s">
        <v>3123</v>
      </c>
      <c r="S162" t="s">
        <v>3124</v>
      </c>
      <c r="T162" t="s">
        <v>3125</v>
      </c>
      <c r="U162" t="s">
        <v>3126</v>
      </c>
      <c r="V162">
        <f>-613.823094759679 -57.9414595679357 -93.7750619239562</f>
        <v>-765.53961625157081</v>
      </c>
      <c r="W162" t="s">
        <v>3127</v>
      </c>
      <c r="X162" t="s">
        <v>3128</v>
      </c>
      <c r="Y162" t="s">
        <v>3129</v>
      </c>
    </row>
    <row r="163" spans="1:25" x14ac:dyDescent="0.3">
      <c r="A163">
        <v>8100</v>
      </c>
      <c r="B163" t="s">
        <v>3130</v>
      </c>
      <c r="C163" t="s">
        <v>3131</v>
      </c>
      <c r="D163" t="s">
        <v>3132</v>
      </c>
      <c r="E163" t="s">
        <v>3133</v>
      </c>
      <c r="F163" t="s">
        <v>3134</v>
      </c>
      <c r="G163" t="s">
        <v>3135</v>
      </c>
      <c r="H163" t="s">
        <v>3136</v>
      </c>
      <c r="I163" t="s">
        <v>3137</v>
      </c>
      <c r="J163" t="s">
        <v>3138</v>
      </c>
      <c r="K163" t="s">
        <v>3139</v>
      </c>
      <c r="L163" t="s">
        <v>3140</v>
      </c>
      <c r="M163" t="s">
        <v>3141</v>
      </c>
      <c r="N163">
        <f>-656.033063737559 -10.9111440279796 -530.557948606745</f>
        <v>-1197.5021563722835</v>
      </c>
      <c r="O163">
        <f>-678.760887081702 -161.465495072785 -496.579102735859</f>
        <v>-1336.805484890346</v>
      </c>
      <c r="P163">
        <f>-729.112811421011 -198.258291388352 -221.461780367954</f>
        <v>-1148.8328831773169</v>
      </c>
      <c r="Q163">
        <f>-521.025549757449 -97.4704936244848 -243.598614701297</f>
        <v>-862.0946580832308</v>
      </c>
      <c r="R163" t="s">
        <v>3142</v>
      </c>
      <c r="S163" t="s">
        <v>3143</v>
      </c>
      <c r="T163" t="s">
        <v>3144</v>
      </c>
      <c r="U163" t="s">
        <v>3145</v>
      </c>
      <c r="V163">
        <f>-613.417385972611 -58.8961188839651 -93.8107124497379</f>
        <v>-766.12421730631399</v>
      </c>
      <c r="W163" t="s">
        <v>3146</v>
      </c>
      <c r="X163" t="s">
        <v>3147</v>
      </c>
      <c r="Y163" t="s">
        <v>3148</v>
      </c>
    </row>
    <row r="164" spans="1:25" x14ac:dyDescent="0.3">
      <c r="A164">
        <v>8150</v>
      </c>
      <c r="B164" t="s">
        <v>3149</v>
      </c>
      <c r="C164" t="s">
        <v>3150</v>
      </c>
      <c r="D164" t="s">
        <v>3151</v>
      </c>
      <c r="E164" t="s">
        <v>3152</v>
      </c>
      <c r="F164" t="s">
        <v>3153</v>
      </c>
      <c r="G164" t="s">
        <v>3154</v>
      </c>
      <c r="H164" t="s">
        <v>3155</v>
      </c>
      <c r="I164" t="s">
        <v>3156</v>
      </c>
      <c r="J164" t="s">
        <v>3157</v>
      </c>
      <c r="K164" t="s">
        <v>3158</v>
      </c>
      <c r="L164" t="s">
        <v>3159</v>
      </c>
      <c r="M164" t="s">
        <v>3160</v>
      </c>
      <c r="N164">
        <f>-655.658797497846 -11.3350997194125 -530.598552862368</f>
        <v>-1197.5924500796264</v>
      </c>
      <c r="O164">
        <f>-678.562662449801 -161.858937154304 -496.57666876909</f>
        <v>-1336.9982683731951</v>
      </c>
      <c r="P164">
        <f>-729.213642236681 -198.315914177041 -221.469557230611</f>
        <v>-1148.999113644333</v>
      </c>
      <c r="Q164">
        <f>-520.959073592218 -97.864168135824 -243.559804341225</f>
        <v>-862.38304606926704</v>
      </c>
      <c r="R164" t="s">
        <v>3161</v>
      </c>
      <c r="S164" t="s">
        <v>3162</v>
      </c>
      <c r="T164" t="s">
        <v>3163</v>
      </c>
      <c r="U164" t="s">
        <v>3164</v>
      </c>
      <c r="V164">
        <f>-613.105307464281 -59.2625355043797 -93.822874335061</f>
        <v>-766.19071730372173</v>
      </c>
      <c r="W164" t="s">
        <v>3165</v>
      </c>
      <c r="X164" t="s">
        <v>3166</v>
      </c>
      <c r="Y164" t="s">
        <v>3167</v>
      </c>
    </row>
    <row r="165" spans="1:25" x14ac:dyDescent="0.3">
      <c r="A165">
        <v>8200</v>
      </c>
      <c r="B165" t="s">
        <v>3168</v>
      </c>
      <c r="C165" t="s">
        <v>3169</v>
      </c>
      <c r="D165" t="s">
        <v>3170</v>
      </c>
      <c r="E165" t="s">
        <v>3171</v>
      </c>
      <c r="F165" t="s">
        <v>3172</v>
      </c>
      <c r="G165" t="s">
        <v>3173</v>
      </c>
      <c r="H165" t="s">
        <v>3174</v>
      </c>
      <c r="I165" t="s">
        <v>3175</v>
      </c>
      <c r="J165" t="s">
        <v>3176</v>
      </c>
      <c r="K165" t="s">
        <v>3177</v>
      </c>
      <c r="L165" t="s">
        <v>3178</v>
      </c>
      <c r="M165" t="s">
        <v>3179</v>
      </c>
      <c r="N165">
        <f>-654.736259102158 -11.2124517135305 -530.768670747423</f>
        <v>-1196.7173815631115</v>
      </c>
      <c r="O165">
        <f>-677.927801181436 -161.737178323428 -496.954073077564</f>
        <v>-1336.6190525824281</v>
      </c>
      <c r="P165">
        <f>-728.821556234757 -198.073092492436 -221.875644505496</f>
        <v>-1148.770293232689</v>
      </c>
      <c r="Q165">
        <f>-520.563414098229 -97.6905587888739 -244.245465703685</f>
        <v>-862.49943859078792</v>
      </c>
      <c r="R165" t="s">
        <v>3180</v>
      </c>
      <c r="S165" t="s">
        <v>3181</v>
      </c>
      <c r="T165" t="s">
        <v>3182</v>
      </c>
      <c r="U165" t="s">
        <v>3183</v>
      </c>
      <c r="V165">
        <f>-612.217617039055 -59.7614878799227 -93.8427504499579</f>
        <v>-765.82185536893553</v>
      </c>
      <c r="W165" t="s">
        <v>3184</v>
      </c>
      <c r="X165" t="s">
        <v>3185</v>
      </c>
      <c r="Y165" t="s">
        <v>3186</v>
      </c>
    </row>
    <row r="166" spans="1:25" x14ac:dyDescent="0.3">
      <c r="A166">
        <v>8250</v>
      </c>
      <c r="B166" t="s">
        <v>3187</v>
      </c>
      <c r="C166" t="s">
        <v>3188</v>
      </c>
      <c r="D166" t="s">
        <v>3189</v>
      </c>
      <c r="E166" t="s">
        <v>3190</v>
      </c>
      <c r="F166" t="s">
        <v>3191</v>
      </c>
      <c r="G166" t="s">
        <v>3192</v>
      </c>
      <c r="H166" t="s">
        <v>3193</v>
      </c>
      <c r="I166" t="s">
        <v>3194</v>
      </c>
      <c r="J166" t="s">
        <v>3195</v>
      </c>
      <c r="K166" t="s">
        <v>3196</v>
      </c>
      <c r="L166" t="s">
        <v>3197</v>
      </c>
      <c r="M166" t="s">
        <v>3198</v>
      </c>
      <c r="N166">
        <f>-654.38023262403 -10.8787397030067 -530.884314782444</f>
        <v>-1196.1432871094808</v>
      </c>
      <c r="O166">
        <f>-677.603146747541 -161.458355845098 -497.362104057606</f>
        <v>-1336.4236066502451</v>
      </c>
      <c r="P166">
        <f>-728.516246953965 -197.974289890953 -222.311105024044</f>
        <v>-1148.8016418689622</v>
      </c>
      <c r="Q166">
        <f>-520.347569493809 -97.4516567259936 -244.883063516146</f>
        <v>-862.68228973594864</v>
      </c>
      <c r="R166" t="s">
        <v>3199</v>
      </c>
      <c r="S166" t="s">
        <v>3200</v>
      </c>
      <c r="T166" t="s">
        <v>3201</v>
      </c>
      <c r="U166" t="s">
        <v>3202</v>
      </c>
      <c r="V166">
        <f>-611.849310466607 -59.9384888753996 -93.8486110240092</f>
        <v>-765.63641036601575</v>
      </c>
      <c r="W166" t="s">
        <v>3203</v>
      </c>
      <c r="X166" t="s">
        <v>3204</v>
      </c>
      <c r="Y166" t="s">
        <v>3205</v>
      </c>
    </row>
    <row r="167" spans="1:25" x14ac:dyDescent="0.3">
      <c r="A167">
        <v>8300</v>
      </c>
      <c r="B167" t="s">
        <v>3206</v>
      </c>
      <c r="C167" t="s">
        <v>3207</v>
      </c>
      <c r="D167" t="s">
        <v>3208</v>
      </c>
      <c r="E167" t="s">
        <v>3209</v>
      </c>
      <c r="F167" t="s">
        <v>3210</v>
      </c>
      <c r="G167" t="s">
        <v>3211</v>
      </c>
      <c r="H167" t="s">
        <v>3212</v>
      </c>
      <c r="I167" t="s">
        <v>3213</v>
      </c>
      <c r="J167" t="s">
        <v>3214</v>
      </c>
      <c r="K167" t="s">
        <v>3215</v>
      </c>
      <c r="L167" t="s">
        <v>3216</v>
      </c>
      <c r="M167" t="s">
        <v>3217</v>
      </c>
      <c r="N167">
        <f>-653.682164527849 -9.88965076558179 -531.146547700471</f>
        <v>-1194.7183629939018</v>
      </c>
      <c r="O167">
        <f>-676.930244214237 -160.59986414113 -498.254634039218</f>
        <v>-1335.784742394585</v>
      </c>
      <c r="P167">
        <f>-727.355361201408 -198.449121211002 -223.29406805782</f>
        <v>-1149.0985504702298</v>
      </c>
      <c r="Q167">
        <f>-519.439670495248 -97.4469075865691 -246.057175348461</f>
        <v>-862.94375343027809</v>
      </c>
      <c r="R167" t="s">
        <v>3218</v>
      </c>
      <c r="S167" t="s">
        <v>3219</v>
      </c>
      <c r="T167" t="s">
        <v>3220</v>
      </c>
      <c r="U167" t="s">
        <v>3221</v>
      </c>
      <c r="V167">
        <f>-611.182355461172 -59.8708117203655 -93.8861528923691</f>
        <v>-764.93932007390663</v>
      </c>
      <c r="W167" t="s">
        <v>3222</v>
      </c>
      <c r="X167" t="s">
        <v>3223</v>
      </c>
      <c r="Y167" t="s">
        <v>3224</v>
      </c>
    </row>
    <row r="168" spans="1:25" x14ac:dyDescent="0.3">
      <c r="A168">
        <v>8350</v>
      </c>
      <c r="B168" t="s">
        <v>3225</v>
      </c>
      <c r="C168" t="s">
        <v>3226</v>
      </c>
      <c r="D168" t="s">
        <v>3227</v>
      </c>
      <c r="E168" t="s">
        <v>3228</v>
      </c>
      <c r="F168" t="s">
        <v>3229</v>
      </c>
      <c r="G168" t="s">
        <v>3230</v>
      </c>
      <c r="H168" t="s">
        <v>3231</v>
      </c>
      <c r="I168" t="s">
        <v>3232</v>
      </c>
      <c r="J168" t="s">
        <v>3233</v>
      </c>
      <c r="K168" t="s">
        <v>3234</v>
      </c>
      <c r="L168" t="s">
        <v>3235</v>
      </c>
      <c r="M168" t="s">
        <v>3236</v>
      </c>
      <c r="N168">
        <f>-653.226188188956 -9.27470625037131 -531.2437149834</f>
        <v>-1193.7446094227273</v>
      </c>
      <c r="O168">
        <f>-676.581304830454 -160.028172204429 -498.59625485913</f>
        <v>-1335.2057318940128</v>
      </c>
      <c r="P168">
        <f>-726.566631108275 -198.302515493957 -223.614165651227</f>
        <v>-1148.483312253459</v>
      </c>
      <c r="Q168">
        <f>-518.621806498629 -97.4128387634546 -246.609154054763</f>
        <v>-862.64379931684653</v>
      </c>
      <c r="R168" t="s">
        <v>3237</v>
      </c>
      <c r="S168" t="s">
        <v>3238</v>
      </c>
      <c r="T168" t="s">
        <v>3239</v>
      </c>
      <c r="U168" t="s">
        <v>3240</v>
      </c>
      <c r="V168">
        <f>-610.844853384599 -59.780433406502 -93.9092548814371</f>
        <v>-764.53454167253813</v>
      </c>
      <c r="W168" t="s">
        <v>3241</v>
      </c>
      <c r="X168" t="s">
        <v>3242</v>
      </c>
      <c r="Y168" t="s">
        <v>3243</v>
      </c>
    </row>
    <row r="169" spans="1:25" x14ac:dyDescent="0.3">
      <c r="A169">
        <v>8400</v>
      </c>
      <c r="B169" t="s">
        <v>3244</v>
      </c>
      <c r="C169" t="s">
        <v>3245</v>
      </c>
      <c r="D169" t="s">
        <v>3246</v>
      </c>
      <c r="E169" t="s">
        <v>3247</v>
      </c>
      <c r="F169" t="s">
        <v>3248</v>
      </c>
      <c r="G169" t="s">
        <v>3249</v>
      </c>
      <c r="H169" t="s">
        <v>3250</v>
      </c>
      <c r="I169" t="s">
        <v>3251</v>
      </c>
      <c r="J169" t="s">
        <v>3252</v>
      </c>
      <c r="K169" t="s">
        <v>3253</v>
      </c>
      <c r="L169" t="s">
        <v>3254</v>
      </c>
      <c r="M169" t="s">
        <v>3255</v>
      </c>
      <c r="N169">
        <f>-652.125342074898 -7.7994393857839 -531.391993211711</f>
        <v>-1191.316774672393</v>
      </c>
      <c r="O169">
        <f>-676.236022629747 -158.53446966135 -499.250069909191</f>
        <v>-1334.0205622002882</v>
      </c>
      <c r="P169">
        <f>-725.784069378948 -197.878594107318 -224.339861258849</f>
        <v>-1148.0025247451149</v>
      </c>
      <c r="Q169">
        <f>-517.505388790684 -97.7850947415038 -247.788435028322</f>
        <v>-863.07891856050992</v>
      </c>
      <c r="R169" t="s">
        <v>3256</v>
      </c>
      <c r="S169" t="s">
        <v>3257</v>
      </c>
      <c r="T169" t="s">
        <v>3258</v>
      </c>
      <c r="U169" t="s">
        <v>3259</v>
      </c>
      <c r="V169">
        <f>-610.173111231651 -59.5768563461643 -93.956757242402</f>
        <v>-763.70672482021723</v>
      </c>
      <c r="W169" t="s">
        <v>3260</v>
      </c>
      <c r="X169" t="s">
        <v>3261</v>
      </c>
      <c r="Y169" t="s">
        <v>3262</v>
      </c>
    </row>
    <row r="170" spans="1:25" x14ac:dyDescent="0.3">
      <c r="A170">
        <v>8450</v>
      </c>
      <c r="B170" t="s">
        <v>3263</v>
      </c>
      <c r="C170" t="s">
        <v>3264</v>
      </c>
      <c r="D170" t="s">
        <v>3265</v>
      </c>
      <c r="E170" t="s">
        <v>3266</v>
      </c>
      <c r="F170" t="s">
        <v>3267</v>
      </c>
      <c r="G170" t="s">
        <v>3268</v>
      </c>
      <c r="H170" t="s">
        <v>3269</v>
      </c>
      <c r="I170" t="s">
        <v>3270</v>
      </c>
      <c r="J170" t="s">
        <v>3271</v>
      </c>
      <c r="K170" t="s">
        <v>3272</v>
      </c>
      <c r="L170" t="s">
        <v>3273</v>
      </c>
      <c r="M170" t="s">
        <v>3274</v>
      </c>
      <c r="N170">
        <f>-651.393026814196 -6.87926568717626 -531.484886075917</f>
        <v>-1189.7571785772893</v>
      </c>
      <c r="O170">
        <f>-676.321241743983 -157.545783777991 -499.629707665251</f>
        <v>-1333.4967331872249</v>
      </c>
      <c r="P170">
        <f>-725.779467305493 -197.055988781906 -224.727135878206</f>
        <v>-1147.562591965605</v>
      </c>
      <c r="Q170">
        <f>-517.178615269588 -97.6808652732639 -248.365652918643</f>
        <v>-863.22513346149492</v>
      </c>
      <c r="R170" t="s">
        <v>3275</v>
      </c>
      <c r="S170" t="s">
        <v>3276</v>
      </c>
      <c r="T170" t="s">
        <v>3277</v>
      </c>
      <c r="U170" t="s">
        <v>3278</v>
      </c>
      <c r="V170">
        <f>-609.98295268748 -59.4448496447399 -93.9706564060257</f>
        <v>-763.39845873824549</v>
      </c>
      <c r="W170" t="s">
        <v>3279</v>
      </c>
      <c r="X170" t="s">
        <v>3280</v>
      </c>
      <c r="Y170" t="s">
        <v>3281</v>
      </c>
    </row>
    <row r="171" spans="1:25" x14ac:dyDescent="0.3">
      <c r="A171">
        <v>8500</v>
      </c>
      <c r="B171" t="s">
        <v>3282</v>
      </c>
      <c r="C171" t="s">
        <v>3283</v>
      </c>
      <c r="D171" t="s">
        <v>3284</v>
      </c>
      <c r="E171" t="s">
        <v>3285</v>
      </c>
      <c r="F171" t="s">
        <v>3286</v>
      </c>
      <c r="G171" t="s">
        <v>3287</v>
      </c>
      <c r="H171" t="s">
        <v>3288</v>
      </c>
      <c r="I171" t="s">
        <v>3289</v>
      </c>
      <c r="J171" t="s">
        <v>3290</v>
      </c>
      <c r="K171" t="s">
        <v>3291</v>
      </c>
      <c r="L171" t="s">
        <v>3292</v>
      </c>
      <c r="M171" t="s">
        <v>3293</v>
      </c>
      <c r="N171">
        <f>-649.776982088564 -4.95250194211644 -531.555402321837</f>
        <v>-1186.2848863525173</v>
      </c>
      <c r="O171">
        <f>-676.699887966006 -155.365982424349 -500.102089707683</f>
        <v>-1332.1679600980381</v>
      </c>
      <c r="P171">
        <f>-726.636781916454 -194.421041985747 -225.221149563563</f>
        <v>-1146.278973465764</v>
      </c>
      <c r="Q171">
        <f>-516.856032119325 -97.5606844408753 -248.856487353317</f>
        <v>-863.27320391351736</v>
      </c>
      <c r="R171" t="s">
        <v>3294</v>
      </c>
      <c r="S171" t="s">
        <v>3295</v>
      </c>
      <c r="T171" t="s">
        <v>3296</v>
      </c>
      <c r="U171" t="s">
        <v>3297</v>
      </c>
      <c r="V171">
        <f>-609.777594074899 -58.7545042849476 -93.9452016280355</f>
        <v>-762.47729998788213</v>
      </c>
      <c r="W171" t="s">
        <v>3298</v>
      </c>
      <c r="X171" t="s">
        <v>3299</v>
      </c>
      <c r="Y171" t="s">
        <v>3300</v>
      </c>
    </row>
    <row r="172" spans="1:25" x14ac:dyDescent="0.3">
      <c r="A172">
        <v>8550</v>
      </c>
      <c r="B172" t="s">
        <v>3301</v>
      </c>
      <c r="C172" t="s">
        <v>3302</v>
      </c>
      <c r="D172" t="s">
        <v>3303</v>
      </c>
      <c r="E172" t="s">
        <v>3304</v>
      </c>
      <c r="F172" t="s">
        <v>3305</v>
      </c>
      <c r="G172" t="s">
        <v>3306</v>
      </c>
      <c r="H172" t="s">
        <v>3307</v>
      </c>
      <c r="I172" t="s">
        <v>3308</v>
      </c>
      <c r="J172" t="s">
        <v>3309</v>
      </c>
      <c r="K172" t="s">
        <v>3310</v>
      </c>
      <c r="L172" t="s">
        <v>3311</v>
      </c>
      <c r="M172" t="s">
        <v>3312</v>
      </c>
      <c r="N172">
        <f>-648.928118237956 -3.78477848401508 -531.560299447469</f>
        <v>-1184.2731961694401</v>
      </c>
      <c r="O172">
        <f>-677.108909459666 -153.997491518026 -500.253283197016</f>
        <v>-1331.359684174708</v>
      </c>
      <c r="P172">
        <f>-727.431307928691 -192.758974870183 -225.400983224005</f>
        <v>-1145.5912660228789</v>
      </c>
      <c r="Q172">
        <f>-516.918343236767 -97.4247910003805 -248.728970746697</f>
        <v>-863.0721049838445</v>
      </c>
      <c r="R172" t="s">
        <v>3313</v>
      </c>
      <c r="S172" t="s">
        <v>3314</v>
      </c>
      <c r="T172" t="s">
        <v>3315</v>
      </c>
      <c r="U172" t="s">
        <v>3316</v>
      </c>
      <c r="V172">
        <f>-609.715083330357 -58.2826960333848 -93.9311075745673</f>
        <v>-761.92888693830901</v>
      </c>
      <c r="W172" t="s">
        <v>3317</v>
      </c>
      <c r="X172" t="s">
        <v>3318</v>
      </c>
      <c r="Y172" t="s">
        <v>3319</v>
      </c>
    </row>
    <row r="173" spans="1:25" x14ac:dyDescent="0.3">
      <c r="A173">
        <v>8600</v>
      </c>
      <c r="B173" t="s">
        <v>3320</v>
      </c>
      <c r="C173" t="s">
        <v>3321</v>
      </c>
      <c r="D173" t="s">
        <v>3322</v>
      </c>
      <c r="E173" t="s">
        <v>3323</v>
      </c>
      <c r="F173" t="s">
        <v>3324</v>
      </c>
      <c r="G173" t="s">
        <v>3325</v>
      </c>
      <c r="H173" t="s">
        <v>3326</v>
      </c>
      <c r="I173" t="s">
        <v>3327</v>
      </c>
      <c r="J173" t="s">
        <v>3328</v>
      </c>
      <c r="K173" t="s">
        <v>3329</v>
      </c>
      <c r="L173" t="s">
        <v>3330</v>
      </c>
      <c r="M173" t="s">
        <v>3331</v>
      </c>
      <c r="N173">
        <f>-647.37849954271 -1.37263707838679 -531.577053902069</f>
        <v>-1180.3281905231656</v>
      </c>
      <c r="O173">
        <f>-678.120233177124 -151.145620261045 -500.557952411891</f>
        <v>-1329.8238058500599</v>
      </c>
      <c r="P173">
        <f>-729.091148500996 -189.037083827237 -225.703864211299</f>
        <v>-1143.8320965395319</v>
      </c>
      <c r="Q173">
        <f>-516.832327166698 -97.3224823449978 -247.684815604814</f>
        <v>-861.83962511650975</v>
      </c>
      <c r="R173" t="s">
        <v>3332</v>
      </c>
      <c r="S173" t="s">
        <v>3333</v>
      </c>
      <c r="T173" t="s">
        <v>3334</v>
      </c>
      <c r="U173" t="s">
        <v>3335</v>
      </c>
      <c r="V173">
        <f>-609.657855490638 -57.2854025994657 -93.8976457118215</f>
        <v>-760.84090380192515</v>
      </c>
      <c r="W173" t="s">
        <v>3336</v>
      </c>
      <c r="X173" t="s">
        <v>3337</v>
      </c>
      <c r="Y173" t="s">
        <v>3338</v>
      </c>
    </row>
    <row r="174" spans="1:25" x14ac:dyDescent="0.3">
      <c r="A174">
        <v>8650</v>
      </c>
      <c r="B174" t="s">
        <v>3339</v>
      </c>
      <c r="C174" t="s">
        <v>3340</v>
      </c>
      <c r="D174" t="s">
        <v>3341</v>
      </c>
      <c r="E174" t="s">
        <v>3342</v>
      </c>
      <c r="F174" t="s">
        <v>3343</v>
      </c>
      <c r="G174" t="s">
        <v>3344</v>
      </c>
      <c r="H174" t="s">
        <v>3345</v>
      </c>
      <c r="I174" t="s">
        <v>3346</v>
      </c>
      <c r="J174" t="s">
        <v>3347</v>
      </c>
      <c r="K174" t="s">
        <v>3348</v>
      </c>
      <c r="L174" t="s">
        <v>3349</v>
      </c>
      <c r="M174" t="s">
        <v>3350</v>
      </c>
      <c r="N174" t="s">
        <v>3351</v>
      </c>
      <c r="O174">
        <f>-678.814788170616 -149.531471436842 -500.765889740792</f>
        <v>-1329.1121493482501</v>
      </c>
      <c r="P174">
        <f>-730.114546849264 -186.882822460344 -225.899078900133</f>
        <v>-1142.896448209741</v>
      </c>
      <c r="Q174">
        <f>-517.072791772424 -96.8825665080574 -247.386220296966</f>
        <v>-861.34157857744742</v>
      </c>
      <c r="R174" t="s">
        <v>3352</v>
      </c>
      <c r="S174" t="s">
        <v>3353</v>
      </c>
      <c r="T174" t="s">
        <v>3354</v>
      </c>
      <c r="U174" t="s">
        <v>3355</v>
      </c>
      <c r="V174">
        <f>-609.720227941402 -56.7195307952097 -93.8640734136995</f>
        <v>-760.30383215031122</v>
      </c>
      <c r="W174" t="s">
        <v>3356</v>
      </c>
      <c r="X174" t="s">
        <v>3357</v>
      </c>
      <c r="Y174" t="s">
        <v>3358</v>
      </c>
    </row>
    <row r="175" spans="1:25" x14ac:dyDescent="0.3">
      <c r="A175">
        <v>8700</v>
      </c>
      <c r="B175" t="s">
        <v>3359</v>
      </c>
      <c r="C175" t="s">
        <v>3360</v>
      </c>
      <c r="D175" t="s">
        <v>3361</v>
      </c>
      <c r="E175" t="s">
        <v>3362</v>
      </c>
      <c r="F175" t="s">
        <v>3363</v>
      </c>
      <c r="G175" t="s">
        <v>3364</v>
      </c>
      <c r="H175" t="s">
        <v>3365</v>
      </c>
      <c r="I175" t="s">
        <v>3366</v>
      </c>
      <c r="J175" t="s">
        <v>3367</v>
      </c>
      <c r="K175" t="s">
        <v>3368</v>
      </c>
      <c r="L175" t="s">
        <v>3369</v>
      </c>
      <c r="M175" t="s">
        <v>3370</v>
      </c>
      <c r="N175" t="s">
        <v>3371</v>
      </c>
      <c r="O175">
        <f>-680.306609021641 -146.289775076534 -501.074526352375</f>
        <v>-1327.6709104505499</v>
      </c>
      <c r="P175">
        <f>-732.234150634966 -183.206954990502 -226.266754642337</f>
        <v>-1141.707860267805</v>
      </c>
      <c r="Q175">
        <f>-517.9558823175 -96.1833196455805 -247.720160661584</f>
        <v>-861.85936262466453</v>
      </c>
      <c r="R175" t="s">
        <v>3372</v>
      </c>
      <c r="S175" t="s">
        <v>3373</v>
      </c>
      <c r="T175" t="s">
        <v>3374</v>
      </c>
      <c r="U175" t="s">
        <v>3375</v>
      </c>
      <c r="V175">
        <f>-610.036190104447 -55.4037605280391 -93.781971778025</f>
        <v>-759.22192241051107</v>
      </c>
      <c r="W175" t="s">
        <v>3376</v>
      </c>
      <c r="X175" t="s">
        <v>3377</v>
      </c>
      <c r="Y175" t="s">
        <v>3378</v>
      </c>
    </row>
    <row r="176" spans="1:25" x14ac:dyDescent="0.3">
      <c r="A176">
        <v>8750</v>
      </c>
      <c r="B176" t="s">
        <v>3379</v>
      </c>
      <c r="C176" t="s">
        <v>3380</v>
      </c>
      <c r="D176" t="s">
        <v>3381</v>
      </c>
      <c r="E176" t="s">
        <v>3382</v>
      </c>
      <c r="F176" t="s">
        <v>3383</v>
      </c>
      <c r="G176" t="s">
        <v>3384</v>
      </c>
      <c r="H176" t="s">
        <v>3385</v>
      </c>
      <c r="I176" t="s">
        <v>3386</v>
      </c>
      <c r="J176" t="s">
        <v>3387</v>
      </c>
      <c r="K176" t="s">
        <v>3388</v>
      </c>
      <c r="L176" t="s">
        <v>3389</v>
      </c>
      <c r="M176" t="s">
        <v>3390</v>
      </c>
      <c r="N176" t="s">
        <v>3391</v>
      </c>
      <c r="O176">
        <f>-681.04409130458 -144.83138068906 -501.196521821243</f>
        <v>-1327.0719938148829</v>
      </c>
      <c r="P176">
        <f>-733.262837551853 -181.413029478189 -226.399228232695</f>
        <v>-1141.0750952627368</v>
      </c>
      <c r="Q176">
        <f>-518.320867188618 -96.1503204238834 -248.279531868816</f>
        <v>-862.75071948131733</v>
      </c>
      <c r="R176" t="s">
        <v>3392</v>
      </c>
      <c r="S176" t="s">
        <v>3393</v>
      </c>
      <c r="T176" t="s">
        <v>3394</v>
      </c>
      <c r="U176" t="s">
        <v>3395</v>
      </c>
      <c r="V176">
        <f>-610.260562952671 -54.8066806145407 -93.7604227339132</f>
        <v>-758.82766630112485</v>
      </c>
      <c r="W176" t="s">
        <v>3396</v>
      </c>
      <c r="X176" t="s">
        <v>3397</v>
      </c>
      <c r="Y176" t="s">
        <v>3398</v>
      </c>
    </row>
    <row r="177" spans="1:25" x14ac:dyDescent="0.3">
      <c r="A177">
        <v>8800</v>
      </c>
      <c r="B177" t="s">
        <v>3399</v>
      </c>
      <c r="C177" t="s">
        <v>3400</v>
      </c>
      <c r="D177" t="s">
        <v>3401</v>
      </c>
      <c r="E177" t="s">
        <v>3402</v>
      </c>
      <c r="F177" t="s">
        <v>3403</v>
      </c>
      <c r="G177" t="s">
        <v>3404</v>
      </c>
      <c r="H177" t="s">
        <v>3405</v>
      </c>
      <c r="I177" t="s">
        <v>3406</v>
      </c>
      <c r="J177" t="s">
        <v>3407</v>
      </c>
      <c r="K177" t="s">
        <v>3408</v>
      </c>
      <c r="L177" t="s">
        <v>3409</v>
      </c>
      <c r="M177" t="s">
        <v>3410</v>
      </c>
      <c r="N177" t="s">
        <v>3411</v>
      </c>
      <c r="O177">
        <f>-682.333748746306 -142.056556963739 -501.332215133307</f>
        <v>-1325.722520843352</v>
      </c>
      <c r="P177">
        <f>-735.062649980743 -178.216359126066 -226.576510497853</f>
        <v>-1139.855519604662</v>
      </c>
      <c r="Q177">
        <f>-519.074140924786 -96.0230173692285 -249.851515577434</f>
        <v>-864.94867387144836</v>
      </c>
      <c r="R177" t="s">
        <v>3412</v>
      </c>
      <c r="S177" t="s">
        <v>3413</v>
      </c>
      <c r="T177" t="s">
        <v>3414</v>
      </c>
      <c r="U177" t="s">
        <v>3415</v>
      </c>
      <c r="V177">
        <f>-610.786290442293 -53.5368604062917 -93.7217966282726</f>
        <v>-758.04494747685726</v>
      </c>
      <c r="W177" t="s">
        <v>3416</v>
      </c>
      <c r="X177" t="s">
        <v>3417</v>
      </c>
      <c r="Y177" t="s">
        <v>3418</v>
      </c>
    </row>
    <row r="178" spans="1:25" x14ac:dyDescent="0.3">
      <c r="A178">
        <v>8850</v>
      </c>
      <c r="B178" t="s">
        <v>3419</v>
      </c>
      <c r="C178" t="s">
        <v>3420</v>
      </c>
      <c r="D178" t="s">
        <v>3421</v>
      </c>
      <c r="E178" t="s">
        <v>3422</v>
      </c>
      <c r="F178" t="s">
        <v>3423</v>
      </c>
      <c r="G178" t="s">
        <v>3424</v>
      </c>
      <c r="H178" t="s">
        <v>3425</v>
      </c>
      <c r="I178" t="s">
        <v>3426</v>
      </c>
      <c r="J178" t="s">
        <v>3427</v>
      </c>
      <c r="K178" t="s">
        <v>3428</v>
      </c>
      <c r="L178" t="s">
        <v>3429</v>
      </c>
      <c r="M178" t="s">
        <v>3430</v>
      </c>
      <c r="N178" t="s">
        <v>3431</v>
      </c>
      <c r="O178">
        <f>-682.991073635057 -140.807982360075 -501.362330546999</f>
        <v>-1325.1613865421309</v>
      </c>
      <c r="P178">
        <f>-735.747229716092 -176.362869303943 -226.532836983216</f>
        <v>-1138.642936003251</v>
      </c>
      <c r="Q178">
        <f>-519.297181704463 -95.6159340899862 -250.570496640009</f>
        <v>-865.48361243445822</v>
      </c>
      <c r="R178" t="s">
        <v>3432</v>
      </c>
      <c r="S178" t="s">
        <v>3433</v>
      </c>
      <c r="T178" t="s">
        <v>3434</v>
      </c>
      <c r="U178" t="s">
        <v>3435</v>
      </c>
      <c r="V178">
        <f>-610.969558116581 -52.8860911996821 -93.6934644444317</f>
        <v>-757.54911376069481</v>
      </c>
      <c r="W178" t="s">
        <v>3436</v>
      </c>
      <c r="X178" t="s">
        <v>3437</v>
      </c>
      <c r="Y178" t="s">
        <v>3438</v>
      </c>
    </row>
    <row r="179" spans="1:25" x14ac:dyDescent="0.3">
      <c r="A179">
        <v>8900</v>
      </c>
      <c r="B179" t="s">
        <v>3439</v>
      </c>
      <c r="C179" t="s">
        <v>3440</v>
      </c>
      <c r="D179" t="s">
        <v>3441</v>
      </c>
      <c r="E179" t="s">
        <v>3442</v>
      </c>
      <c r="F179" t="s">
        <v>3443</v>
      </c>
      <c r="G179" t="s">
        <v>3444</v>
      </c>
      <c r="H179" t="s">
        <v>3445</v>
      </c>
      <c r="I179" t="s">
        <v>3446</v>
      </c>
      <c r="J179" t="s">
        <v>3447</v>
      </c>
      <c r="K179" t="s">
        <v>3448</v>
      </c>
      <c r="L179" t="s">
        <v>3449</v>
      </c>
      <c r="M179" t="s">
        <v>3450</v>
      </c>
      <c r="N179" t="s">
        <v>3451</v>
      </c>
      <c r="O179">
        <f>-684.18176358381 -138.619850072735 -501.149084329886</f>
        <v>-1323.9506979864309</v>
      </c>
      <c r="P179">
        <f>-736.893009489574 -173.70052116581 -226.250020049002</f>
        <v>-1136.843550704386</v>
      </c>
      <c r="Q179">
        <f>-519.838570461523 -94.7556258985489 -250.818287506244</f>
        <v>-865.41248386631594</v>
      </c>
      <c r="R179" t="s">
        <v>3452</v>
      </c>
      <c r="S179" t="s">
        <v>3453</v>
      </c>
      <c r="T179" t="s">
        <v>3454</v>
      </c>
      <c r="U179" t="s">
        <v>3455</v>
      </c>
      <c r="V179">
        <f>-611.277751837701 -51.6063290646762 -93.6288380309732</f>
        <v>-756.51291893335031</v>
      </c>
      <c r="W179" t="s">
        <v>3456</v>
      </c>
      <c r="X179" t="s">
        <v>3457</v>
      </c>
      <c r="Y179" t="s">
        <v>3458</v>
      </c>
    </row>
    <row r="180" spans="1:25" x14ac:dyDescent="0.3">
      <c r="A180">
        <v>8950</v>
      </c>
      <c r="B180" t="s">
        <v>3459</v>
      </c>
      <c r="C180" t="s">
        <v>3460</v>
      </c>
      <c r="D180" t="s">
        <v>3461</v>
      </c>
      <c r="E180" t="s">
        <v>3462</v>
      </c>
      <c r="F180" t="s">
        <v>3463</v>
      </c>
      <c r="G180" t="s">
        <v>3464</v>
      </c>
      <c r="H180" t="s">
        <v>3465</v>
      </c>
      <c r="I180" t="s">
        <v>3466</v>
      </c>
      <c r="J180" t="s">
        <v>3467</v>
      </c>
      <c r="K180" t="s">
        <v>3468</v>
      </c>
      <c r="L180" t="s">
        <v>3469</v>
      </c>
      <c r="M180" t="s">
        <v>3470</v>
      </c>
      <c r="N180" t="s">
        <v>3471</v>
      </c>
      <c r="O180">
        <f>-684.790555639972 -137.724825728584 -500.984472218204</f>
        <v>-1323.4998535867601</v>
      </c>
      <c r="P180">
        <f>-737.265444069305 -172.611627540424 -226.0155608041</f>
        <v>-1135.892632413829</v>
      </c>
      <c r="Q180">
        <f>-519.831777451346 -94.6419635609082 -250.34406001238</f>
        <v>-864.81780102463426</v>
      </c>
      <c r="R180" t="s">
        <v>3472</v>
      </c>
      <c r="S180" t="s">
        <v>3473</v>
      </c>
      <c r="T180" t="s">
        <v>3474</v>
      </c>
      <c r="U180" t="s">
        <v>3475</v>
      </c>
      <c r="V180">
        <f>-611.349877253052 -50.98880528775 -93.5878775598568</f>
        <v>-755.92656010065878</v>
      </c>
      <c r="W180" t="s">
        <v>3476</v>
      </c>
      <c r="X180" t="s">
        <v>3477</v>
      </c>
      <c r="Y180" t="s">
        <v>3478</v>
      </c>
    </row>
    <row r="181" spans="1:25" x14ac:dyDescent="0.3">
      <c r="A181">
        <v>9000</v>
      </c>
      <c r="B181" t="s">
        <v>3479</v>
      </c>
      <c r="C181" t="s">
        <v>3480</v>
      </c>
      <c r="D181" t="s">
        <v>3481</v>
      </c>
      <c r="E181" t="s">
        <v>3482</v>
      </c>
      <c r="F181" t="s">
        <v>3483</v>
      </c>
      <c r="G181" t="s">
        <v>3484</v>
      </c>
      <c r="H181" t="s">
        <v>3485</v>
      </c>
      <c r="I181" t="s">
        <v>3486</v>
      </c>
      <c r="J181" t="s">
        <v>3487</v>
      </c>
      <c r="K181" t="s">
        <v>3488</v>
      </c>
      <c r="L181" t="s">
        <v>3489</v>
      </c>
      <c r="M181" t="s">
        <v>3490</v>
      </c>
      <c r="N181" t="s">
        <v>3491</v>
      </c>
      <c r="O181">
        <f>-685.912289312582 -136.311597857154 -500.614943132733</f>
        <v>-1322.838830302469</v>
      </c>
      <c r="P181">
        <f>-737.933617698157 -171.133346706984 -225.551672556172</f>
        <v>-1134.6186369613131</v>
      </c>
      <c r="Q181">
        <f>-520.144435634302 -93.8831456400826 -248.9782209721</f>
        <v>-863.00580224648456</v>
      </c>
      <c r="R181" t="s">
        <v>3492</v>
      </c>
      <c r="S181" t="s">
        <v>3493</v>
      </c>
      <c r="T181" t="s">
        <v>3494</v>
      </c>
      <c r="U181" t="s">
        <v>3495</v>
      </c>
      <c r="V181">
        <f>-611.37685355827 -49.8314024585682 -93.469305392614</f>
        <v>-754.67756140945221</v>
      </c>
      <c r="W181" t="s">
        <v>3496</v>
      </c>
      <c r="X181" t="s">
        <v>3497</v>
      </c>
      <c r="Y181" t="s">
        <v>3498</v>
      </c>
    </row>
    <row r="182" spans="1:25" x14ac:dyDescent="0.3">
      <c r="A182">
        <v>9050</v>
      </c>
      <c r="B182" t="s">
        <v>3499</v>
      </c>
      <c r="C182" t="s">
        <v>3500</v>
      </c>
      <c r="D182" t="s">
        <v>3501</v>
      </c>
      <c r="E182" t="s">
        <v>3502</v>
      </c>
      <c r="F182" t="s">
        <v>3503</v>
      </c>
      <c r="G182" t="s">
        <v>3504</v>
      </c>
      <c r="H182" t="s">
        <v>3505</v>
      </c>
      <c r="I182" t="s">
        <v>3506</v>
      </c>
      <c r="J182" t="s">
        <v>3507</v>
      </c>
      <c r="K182" t="s">
        <v>3508</v>
      </c>
      <c r="L182" t="s">
        <v>3509</v>
      </c>
      <c r="M182" t="s">
        <v>3510</v>
      </c>
      <c r="N182" t="s">
        <v>3511</v>
      </c>
      <c r="O182">
        <f>-686.28446011266 -135.816975568117 -500.413758464229</f>
        <v>-1322.5151941450058</v>
      </c>
      <c r="P182">
        <f>-738.086318857529 -170.129703386946 -225.245102976369</f>
        <v>-1133.461125220844</v>
      </c>
      <c r="Q182">
        <f>-520.130590968887 -93.2692554967441 -248.403067428934</f>
        <v>-861.80291389456511</v>
      </c>
      <c r="R182" t="s">
        <v>3512</v>
      </c>
      <c r="S182" t="s">
        <v>3513</v>
      </c>
      <c r="T182" t="s">
        <v>3514</v>
      </c>
      <c r="U182" t="s">
        <v>3515</v>
      </c>
      <c r="V182">
        <f>-611.325320655794 -49.3680595727628 -93.4145456677677</f>
        <v>-754.10792589632456</v>
      </c>
      <c r="W182" t="s">
        <v>3516</v>
      </c>
      <c r="X182" t="s">
        <v>3517</v>
      </c>
      <c r="Y182" t="s">
        <v>3518</v>
      </c>
    </row>
    <row r="183" spans="1:25" x14ac:dyDescent="0.3">
      <c r="A183">
        <v>9100</v>
      </c>
      <c r="B183" t="s">
        <v>3519</v>
      </c>
      <c r="C183" t="s">
        <v>3520</v>
      </c>
      <c r="D183" t="s">
        <v>3521</v>
      </c>
      <c r="E183" t="s">
        <v>3522</v>
      </c>
      <c r="F183" t="s">
        <v>3523</v>
      </c>
      <c r="G183" t="s">
        <v>3524</v>
      </c>
      <c r="H183" t="s">
        <v>3525</v>
      </c>
      <c r="I183" t="s">
        <v>3526</v>
      </c>
      <c r="J183" t="s">
        <v>3527</v>
      </c>
      <c r="K183" t="s">
        <v>3528</v>
      </c>
      <c r="L183" t="s">
        <v>3529</v>
      </c>
      <c r="M183" t="s">
        <v>3530</v>
      </c>
      <c r="N183" t="s">
        <v>3531</v>
      </c>
      <c r="O183">
        <f>-686.342422425334 -135.31419349214 -500.014211529606</f>
        <v>-1321.67082744708</v>
      </c>
      <c r="P183">
        <f>-738.157118806333 -169.111631563553 -224.784255945509</f>
        <v>-1132.0530063153949</v>
      </c>
      <c r="Q183">
        <f>-520.070929229831 -92.5581457839921 -247.730355648856</f>
        <v>-860.35943066267919</v>
      </c>
      <c r="R183" t="s">
        <v>3532</v>
      </c>
      <c r="S183" t="s">
        <v>3533</v>
      </c>
      <c r="T183" t="s">
        <v>3534</v>
      </c>
      <c r="U183" t="s">
        <v>3535</v>
      </c>
      <c r="V183">
        <f>-610.887961039844 -48.6384227722708 -93.3337672996174</f>
        <v>-752.86015111173219</v>
      </c>
      <c r="W183" t="s">
        <v>3536</v>
      </c>
      <c r="X183" t="s">
        <v>3537</v>
      </c>
      <c r="Y183" t="s">
        <v>3538</v>
      </c>
    </row>
    <row r="184" spans="1:25" x14ac:dyDescent="0.3">
      <c r="A184">
        <v>9150</v>
      </c>
      <c r="B184" t="s">
        <v>3539</v>
      </c>
      <c r="C184" t="s">
        <v>3540</v>
      </c>
      <c r="D184" t="s">
        <v>3541</v>
      </c>
      <c r="E184" t="s">
        <v>3542</v>
      </c>
      <c r="F184" t="s">
        <v>3543</v>
      </c>
      <c r="G184" t="s">
        <v>3544</v>
      </c>
      <c r="H184" t="s">
        <v>3545</v>
      </c>
      <c r="I184" t="s">
        <v>3546</v>
      </c>
      <c r="J184" t="s">
        <v>3547</v>
      </c>
      <c r="K184" t="s">
        <v>3548</v>
      </c>
      <c r="L184" t="s">
        <v>3549</v>
      </c>
      <c r="M184" t="s">
        <v>3550</v>
      </c>
      <c r="N184" t="s">
        <v>3551</v>
      </c>
      <c r="O184">
        <f>-686.197516402914 -135.253186244402 -499.838836480864</f>
        <v>-1321.28953912818</v>
      </c>
      <c r="P184">
        <f>-738.068664927238 -169.207937374432 -224.638744858737</f>
        <v>-1131.915347160407</v>
      </c>
      <c r="Q184">
        <f>-520.112254542609 -92.3003970502921 -247.633915674281</f>
        <v>-860.04656726718213</v>
      </c>
      <c r="R184" t="s">
        <v>3552</v>
      </c>
      <c r="S184" t="s">
        <v>3553</v>
      </c>
      <c r="T184" t="s">
        <v>3554</v>
      </c>
      <c r="U184" t="s">
        <v>3555</v>
      </c>
      <c r="V184">
        <f>-610.580362557675 -48.3929896288753 -93.2969917693817</f>
        <v>-752.27034395593205</v>
      </c>
      <c r="W184" t="s">
        <v>3556</v>
      </c>
      <c r="X184" t="s">
        <v>3557</v>
      </c>
      <c r="Y184" t="s">
        <v>3558</v>
      </c>
    </row>
    <row r="185" spans="1:25" x14ac:dyDescent="0.3">
      <c r="A185">
        <v>9200</v>
      </c>
      <c r="B185" t="s">
        <v>3559</v>
      </c>
      <c r="C185" t="s">
        <v>3560</v>
      </c>
      <c r="D185" t="s">
        <v>3561</v>
      </c>
      <c r="E185" t="s">
        <v>3562</v>
      </c>
      <c r="F185" t="s">
        <v>3563</v>
      </c>
      <c r="G185" t="s">
        <v>3564</v>
      </c>
      <c r="H185" t="s">
        <v>3565</v>
      </c>
      <c r="I185" t="s">
        <v>3566</v>
      </c>
      <c r="J185" t="s">
        <v>3567</v>
      </c>
      <c r="K185" t="s">
        <v>3568</v>
      </c>
      <c r="L185" t="s">
        <v>3569</v>
      </c>
      <c r="M185" t="s">
        <v>3570</v>
      </c>
      <c r="N185" t="s">
        <v>3571</v>
      </c>
      <c r="O185">
        <f>-685.716761592402 -135.422967226066 -499.557767010846</f>
        <v>-1320.697495829314</v>
      </c>
      <c r="P185">
        <f>-737.193018795798 -169.596387797906 -224.310787601585</f>
        <v>-1131.1001941952891</v>
      </c>
      <c r="Q185">
        <f>-519.582637160662 -91.8402972370741 -247.724988810703</f>
        <v>-859.14792320843912</v>
      </c>
      <c r="R185" t="s">
        <v>3572</v>
      </c>
      <c r="S185" t="s">
        <v>3573</v>
      </c>
      <c r="T185" t="s">
        <v>3574</v>
      </c>
      <c r="U185" t="s">
        <v>3575</v>
      </c>
      <c r="V185">
        <f>-609.810707271425 -48.2047061731098 -93.2059952345836</f>
        <v>-751.22140867911844</v>
      </c>
      <c r="W185" t="s">
        <v>3576</v>
      </c>
      <c r="X185" t="s">
        <v>3577</v>
      </c>
      <c r="Y185" t="s">
        <v>3578</v>
      </c>
    </row>
    <row r="186" spans="1:25" x14ac:dyDescent="0.3">
      <c r="A186">
        <v>9250</v>
      </c>
      <c r="B186" t="s">
        <v>3579</v>
      </c>
      <c r="C186" t="s">
        <v>3580</v>
      </c>
      <c r="D186" t="s">
        <v>3581</v>
      </c>
      <c r="E186" t="s">
        <v>3582</v>
      </c>
      <c r="F186" t="s">
        <v>3583</v>
      </c>
      <c r="G186" t="s">
        <v>3584</v>
      </c>
      <c r="H186" t="s">
        <v>3585</v>
      </c>
      <c r="I186" t="s">
        <v>3586</v>
      </c>
      <c r="J186" t="s">
        <v>3587</v>
      </c>
      <c r="K186" t="s">
        <v>3588</v>
      </c>
      <c r="L186" t="s">
        <v>3589</v>
      </c>
      <c r="M186" t="s">
        <v>3590</v>
      </c>
      <c r="N186" t="s">
        <v>3591</v>
      </c>
      <c r="O186">
        <f>-685.202337013321 -135.709970817745 -499.458284121943</f>
        <v>-1320.3705919530089</v>
      </c>
      <c r="P186">
        <f>-736.493517046747 -170.108668012872 -224.204819217693</f>
        <v>-1130.807004277312</v>
      </c>
      <c r="Q186">
        <f>-519.179166059519 -91.6242778000499 -247.937040289127</f>
        <v>-858.74048414869594</v>
      </c>
      <c r="R186" t="s">
        <v>3592</v>
      </c>
      <c r="S186" t="s">
        <v>3593</v>
      </c>
      <c r="T186" t="s">
        <v>3594</v>
      </c>
      <c r="U186" t="s">
        <v>3595</v>
      </c>
      <c r="V186">
        <f>-609.455495484578 -48.2816861881849 -93.1748030968091</f>
        <v>-750.91198476957209</v>
      </c>
      <c r="W186" t="s">
        <v>3596</v>
      </c>
      <c r="X186" t="s">
        <v>3597</v>
      </c>
      <c r="Y186" t="s">
        <v>3598</v>
      </c>
    </row>
    <row r="187" spans="1:25" x14ac:dyDescent="0.3">
      <c r="A187">
        <v>9300</v>
      </c>
      <c r="B187" t="s">
        <v>3599</v>
      </c>
      <c r="C187" t="s">
        <v>3600</v>
      </c>
      <c r="D187" t="s">
        <v>3601</v>
      </c>
      <c r="E187" t="s">
        <v>3602</v>
      </c>
      <c r="F187" t="s">
        <v>3603</v>
      </c>
      <c r="G187" t="s">
        <v>3604</v>
      </c>
      <c r="H187" t="s">
        <v>3605</v>
      </c>
      <c r="I187" t="s">
        <v>3606</v>
      </c>
      <c r="J187" t="s">
        <v>3607</v>
      </c>
      <c r="K187" t="s">
        <v>3608</v>
      </c>
      <c r="L187" t="s">
        <v>3609</v>
      </c>
      <c r="M187" t="s">
        <v>3610</v>
      </c>
      <c r="N187" t="s">
        <v>3611</v>
      </c>
      <c r="O187">
        <f>-683.537595857677 -136.90850092562 -499.457016793317</f>
        <v>-1319.903113576614</v>
      </c>
      <c r="P187">
        <f>-734.65847905946 -171.649320706311 -224.214712624154</f>
        <v>-1130.5225123899249</v>
      </c>
      <c r="Q187">
        <f>-517.789406107283 -91.9503693296879 -247.972631904351</f>
        <v>-857.71240734132186</v>
      </c>
      <c r="R187" t="s">
        <v>3612</v>
      </c>
      <c r="S187" t="s">
        <v>3613</v>
      </c>
      <c r="T187" t="s">
        <v>3614</v>
      </c>
      <c r="U187" t="s">
        <v>3615</v>
      </c>
      <c r="V187">
        <f>-608.715850584698 -48.4796119568923 -93.1364362744723</f>
        <v>-750.33189881606268</v>
      </c>
      <c r="W187" t="s">
        <v>3616</v>
      </c>
      <c r="X187" t="s">
        <v>3617</v>
      </c>
      <c r="Y187" t="s">
        <v>3618</v>
      </c>
    </row>
    <row r="188" spans="1:25" x14ac:dyDescent="0.3">
      <c r="A188">
        <v>9350</v>
      </c>
      <c r="B188" t="s">
        <v>3619</v>
      </c>
      <c r="C188" t="s">
        <v>3620</v>
      </c>
      <c r="D188" t="s">
        <v>3621</v>
      </c>
      <c r="E188" t="s">
        <v>3622</v>
      </c>
      <c r="F188" t="s">
        <v>3623</v>
      </c>
      <c r="G188" t="s">
        <v>3624</v>
      </c>
      <c r="H188" t="s">
        <v>3625</v>
      </c>
      <c r="I188" t="s">
        <v>3626</v>
      </c>
      <c r="J188" t="s">
        <v>3627</v>
      </c>
      <c r="K188" t="s">
        <v>3628</v>
      </c>
      <c r="L188" t="s">
        <v>3629</v>
      </c>
      <c r="M188" t="s">
        <v>3630</v>
      </c>
      <c r="N188" t="s">
        <v>3631</v>
      </c>
      <c r="O188">
        <f>-682.413030102465 -137.696536998272 -499.492591215918</f>
        <v>-1319.602158316655</v>
      </c>
      <c r="P188">
        <f>-733.671985196748 -172.79065136841 -224.320898410035</f>
        <v>-1130.7835349751929</v>
      </c>
      <c r="Q188">
        <f>-517.087747599102 -92.2171452727121 -247.724037713232</f>
        <v>-857.02893058504606</v>
      </c>
      <c r="R188" t="s">
        <v>3632</v>
      </c>
      <c r="S188" t="s">
        <v>3633</v>
      </c>
      <c r="T188" t="s">
        <v>3634</v>
      </c>
      <c r="U188" t="s">
        <v>3635</v>
      </c>
      <c r="V188">
        <f>-608.259658546519 -48.6488428122191 -93.1472680069294</f>
        <v>-750.0557693656674</v>
      </c>
      <c r="W188" t="s">
        <v>3636</v>
      </c>
      <c r="X188" t="s">
        <v>3637</v>
      </c>
      <c r="Y188" t="s">
        <v>3638</v>
      </c>
    </row>
    <row r="189" spans="1:25" x14ac:dyDescent="0.3">
      <c r="A189">
        <v>9400</v>
      </c>
      <c r="B189" t="s">
        <v>3639</v>
      </c>
      <c r="C189" t="s">
        <v>3640</v>
      </c>
      <c r="D189" t="s">
        <v>3641</v>
      </c>
      <c r="E189" t="s">
        <v>3642</v>
      </c>
      <c r="F189" t="s">
        <v>3643</v>
      </c>
      <c r="G189" t="s">
        <v>3644</v>
      </c>
      <c r="H189" t="s">
        <v>3645</v>
      </c>
      <c r="I189" t="s">
        <v>3646</v>
      </c>
      <c r="J189" t="s">
        <v>3647</v>
      </c>
      <c r="K189" t="s">
        <v>3648</v>
      </c>
      <c r="L189" t="s">
        <v>3649</v>
      </c>
      <c r="M189" t="s">
        <v>3650</v>
      </c>
      <c r="N189" t="s">
        <v>3651</v>
      </c>
      <c r="O189">
        <f>-679.773657789804 -139.790535610344 -499.648059864803</f>
        <v>-1319.212253264951</v>
      </c>
      <c r="P189">
        <f>-730.907653003968 -175.433295024839 -224.523543164398</f>
        <v>-1130.8644911932051</v>
      </c>
      <c r="Q189">
        <f>-515.267262483602 -92.3059029270348 -247.709364341645</f>
        <v>-855.2825297522819</v>
      </c>
      <c r="R189" t="s">
        <v>3652</v>
      </c>
      <c r="S189" t="s">
        <v>3653</v>
      </c>
      <c r="T189" t="s">
        <v>3654</v>
      </c>
      <c r="U189" t="s">
        <v>3655</v>
      </c>
      <c r="V189">
        <f>-607.440157872089 -49.3412062869359 -93.1884469309755</f>
        <v>-749.96981109000035</v>
      </c>
      <c r="W189" t="s">
        <v>3656</v>
      </c>
      <c r="X189" t="s">
        <v>3657</v>
      </c>
      <c r="Y189" t="s">
        <v>3658</v>
      </c>
    </row>
    <row r="190" spans="1:25" x14ac:dyDescent="0.3">
      <c r="A190">
        <v>9450</v>
      </c>
      <c r="B190" t="s">
        <v>3659</v>
      </c>
      <c r="C190" t="s">
        <v>3660</v>
      </c>
      <c r="D190" t="s">
        <v>3661</v>
      </c>
      <c r="E190" t="s">
        <v>3662</v>
      </c>
      <c r="F190" t="s">
        <v>3663</v>
      </c>
      <c r="G190" t="s">
        <v>3664</v>
      </c>
      <c r="H190" t="s">
        <v>3665</v>
      </c>
      <c r="I190" t="s">
        <v>3666</v>
      </c>
      <c r="J190" t="s">
        <v>3667</v>
      </c>
      <c r="K190" t="s">
        <v>3668</v>
      </c>
      <c r="L190" t="s">
        <v>3669</v>
      </c>
      <c r="M190" t="s">
        <v>3670</v>
      </c>
      <c r="N190" t="s">
        <v>3671</v>
      </c>
      <c r="O190">
        <f>-678.672774000163 -141.110100496212 -499.57672894724</f>
        <v>-1319.359603443615</v>
      </c>
      <c r="P190">
        <f>-729.458583709737 -177.249983999094 -224.452487178075</f>
        <v>-1131.161054886906</v>
      </c>
      <c r="Q190">
        <f>-514.472072718992 -92.4187012168759 -247.538295827148</f>
        <v>-854.42906976301583</v>
      </c>
      <c r="R190" t="s">
        <v>3672</v>
      </c>
      <c r="S190" t="s">
        <v>3673</v>
      </c>
      <c r="T190" t="s">
        <v>3674</v>
      </c>
      <c r="U190" t="s">
        <v>3675</v>
      </c>
      <c r="V190">
        <f>-607.203161916839 -49.91105778783 -93.2170886401086</f>
        <v>-750.33130834477765</v>
      </c>
      <c r="W190" t="s">
        <v>3676</v>
      </c>
      <c r="X190" t="s">
        <v>3677</v>
      </c>
      <c r="Y190" t="s">
        <v>3678</v>
      </c>
    </row>
    <row r="191" spans="1:25" x14ac:dyDescent="0.3">
      <c r="A191">
        <v>9500</v>
      </c>
      <c r="B191" t="s">
        <v>3679</v>
      </c>
      <c r="C191" t="s">
        <v>3680</v>
      </c>
      <c r="D191" t="s">
        <v>3681</v>
      </c>
      <c r="E191" t="s">
        <v>3682</v>
      </c>
      <c r="F191" t="s">
        <v>3683</v>
      </c>
      <c r="G191" t="s">
        <v>3684</v>
      </c>
      <c r="H191" t="s">
        <v>3685</v>
      </c>
      <c r="I191" t="s">
        <v>3686</v>
      </c>
      <c r="J191" t="s">
        <v>3687</v>
      </c>
      <c r="K191" t="s">
        <v>3688</v>
      </c>
      <c r="L191" t="s">
        <v>3689</v>
      </c>
      <c r="M191" t="s">
        <v>3690</v>
      </c>
      <c r="N191" t="s">
        <v>3691</v>
      </c>
      <c r="O191">
        <f>-676.522793443947 -144.046070450908 -499.342416558296</f>
        <v>-1319.911280453151</v>
      </c>
      <c r="P191">
        <f>-726.528180259342 -180.735835277472 -224.148082426744</f>
        <v>-1131.4120979635579</v>
      </c>
      <c r="Q191">
        <f>-512.855820452521 -92.6684819636741 -247.317065270712</f>
        <v>-852.84136768690712</v>
      </c>
      <c r="R191" t="s">
        <v>3692</v>
      </c>
      <c r="S191" t="s">
        <v>3693</v>
      </c>
      <c r="T191" t="s">
        <v>3694</v>
      </c>
      <c r="U191" t="s">
        <v>3695</v>
      </c>
      <c r="V191">
        <f>-606.883025781254 -51.1925423678911 -93.2591813351357</f>
        <v>-751.33474948428079</v>
      </c>
      <c r="W191" t="s">
        <v>3696</v>
      </c>
      <c r="X191" t="s">
        <v>3697</v>
      </c>
      <c r="Y191" t="s">
        <v>3698</v>
      </c>
    </row>
    <row r="192" spans="1:25" x14ac:dyDescent="0.3">
      <c r="A192">
        <v>9550</v>
      </c>
      <c r="B192" t="s">
        <v>3699</v>
      </c>
      <c r="C192" t="s">
        <v>3700</v>
      </c>
      <c r="D192" t="s">
        <v>3701</v>
      </c>
      <c r="E192" t="s">
        <v>3702</v>
      </c>
      <c r="F192" t="s">
        <v>3703</v>
      </c>
      <c r="G192" t="s">
        <v>3704</v>
      </c>
      <c r="H192" t="s">
        <v>3705</v>
      </c>
      <c r="I192" t="s">
        <v>3706</v>
      </c>
      <c r="J192" t="s">
        <v>3707</v>
      </c>
      <c r="K192" t="s">
        <v>3708</v>
      </c>
      <c r="L192" t="s">
        <v>3709</v>
      </c>
      <c r="M192" t="s">
        <v>3710</v>
      </c>
      <c r="N192" t="s">
        <v>3711</v>
      </c>
      <c r="O192">
        <f>-675.586871370251 -145.557488675651 -499.207977827063</f>
        <v>-1320.3523378729651</v>
      </c>
      <c r="P192">
        <f>-725.271820428872 -182.304009611253 -223.963219731535</f>
        <v>-1131.5390497716601</v>
      </c>
      <c r="Q192">
        <f>-512.213900729274 -92.8045041853602 -247.301842028252</f>
        <v>-852.32024694288611</v>
      </c>
      <c r="R192" t="s">
        <v>3712</v>
      </c>
      <c r="S192" t="s">
        <v>3713</v>
      </c>
      <c r="T192" t="s">
        <v>3714</v>
      </c>
      <c r="U192" t="s">
        <v>3715</v>
      </c>
      <c r="V192">
        <f>-606.709556179208 -51.7871126132195 -93.2705824602727</f>
        <v>-751.76725125270025</v>
      </c>
      <c r="W192" t="s">
        <v>3716</v>
      </c>
      <c r="X192" t="s">
        <v>3717</v>
      </c>
      <c r="Y192" t="s">
        <v>3718</v>
      </c>
    </row>
    <row r="193" spans="1:25" x14ac:dyDescent="0.3">
      <c r="A193">
        <v>9600</v>
      </c>
      <c r="B193" t="s">
        <v>3719</v>
      </c>
      <c r="C193" t="s">
        <v>3720</v>
      </c>
      <c r="D193" t="s">
        <v>3721</v>
      </c>
      <c r="E193" t="s">
        <v>3722</v>
      </c>
      <c r="F193" t="s">
        <v>3723</v>
      </c>
      <c r="G193" t="s">
        <v>3724</v>
      </c>
      <c r="H193" t="s">
        <v>3725</v>
      </c>
      <c r="I193" t="s">
        <v>3726</v>
      </c>
      <c r="J193" t="s">
        <v>3727</v>
      </c>
      <c r="K193" t="s">
        <v>3728</v>
      </c>
      <c r="L193" t="s">
        <v>3729</v>
      </c>
      <c r="M193" t="s">
        <v>3730</v>
      </c>
      <c r="N193" t="s">
        <v>3731</v>
      </c>
      <c r="O193">
        <f>-674.175222751145 -148.596221697603 -498.631352039338</f>
        <v>-1321.4027964880861</v>
      </c>
      <c r="P193">
        <f>-723.17799810331 -185.308740256647 -223.259756219239</f>
        <v>-1131.746494579196</v>
      </c>
      <c r="Q193">
        <f>-511.152776465676 -93.5438631947459 -247.197101441227</f>
        <v>-851.89374110164897</v>
      </c>
      <c r="R193" t="s">
        <v>3732</v>
      </c>
      <c r="S193" t="s">
        <v>3733</v>
      </c>
      <c r="T193" t="s">
        <v>3734</v>
      </c>
      <c r="U193" t="s">
        <v>3735</v>
      </c>
      <c r="V193">
        <f>-606.230743493279 -52.8763099081204 -93.2993329001233</f>
        <v>-752.40638630152273</v>
      </c>
      <c r="W193" t="s">
        <v>3736</v>
      </c>
      <c r="X193" t="s">
        <v>3737</v>
      </c>
      <c r="Y193" t="s">
        <v>3738</v>
      </c>
    </row>
    <row r="194" spans="1:25" x14ac:dyDescent="0.3">
      <c r="A194">
        <v>9650</v>
      </c>
      <c r="B194" t="s">
        <v>3739</v>
      </c>
      <c r="C194" t="s">
        <v>3740</v>
      </c>
      <c r="D194" t="s">
        <v>3741</v>
      </c>
      <c r="E194" t="s">
        <v>3742</v>
      </c>
      <c r="F194" t="s">
        <v>3743</v>
      </c>
      <c r="G194" t="s">
        <v>3744</v>
      </c>
      <c r="H194" t="s">
        <v>3745</v>
      </c>
      <c r="I194" t="s">
        <v>3746</v>
      </c>
      <c r="J194" t="s">
        <v>3747</v>
      </c>
      <c r="K194" t="s">
        <v>3748</v>
      </c>
      <c r="L194" t="s">
        <v>3749</v>
      </c>
      <c r="M194" t="s">
        <v>3750</v>
      </c>
      <c r="N194" t="s">
        <v>3751</v>
      </c>
      <c r="O194">
        <f>-673.788753609809 -150.034099064494 -498.220240936546</f>
        <v>-1322.0430936108492</v>
      </c>
      <c r="P194">
        <f>-722.470284057681 -186.609057384391 -222.773303025167</f>
        <v>-1131.8526444672391</v>
      </c>
      <c r="Q194">
        <f>-510.856152333577 -94.0062292954333 -247.118593811251</f>
        <v>-851.98097544026132</v>
      </c>
      <c r="R194" t="s">
        <v>3752</v>
      </c>
      <c r="S194" t="s">
        <v>3753</v>
      </c>
      <c r="T194" t="s">
        <v>3754</v>
      </c>
      <c r="U194" t="s">
        <v>3755</v>
      </c>
      <c r="V194">
        <f>-605.962442172968 -53.3768332245363 -93.302476011855</f>
        <v>-752.64175140935936</v>
      </c>
      <c r="W194" t="s">
        <v>3756</v>
      </c>
      <c r="X194" t="s">
        <v>3757</v>
      </c>
      <c r="Y194" t="s">
        <v>3758</v>
      </c>
    </row>
    <row r="195" spans="1:25" x14ac:dyDescent="0.3">
      <c r="A195">
        <v>9700</v>
      </c>
      <c r="B195" t="s">
        <v>3759</v>
      </c>
      <c r="C195" t="s">
        <v>3760</v>
      </c>
      <c r="D195" t="s">
        <v>3761</v>
      </c>
      <c r="E195" t="s">
        <v>3762</v>
      </c>
      <c r="F195" t="s">
        <v>3763</v>
      </c>
      <c r="G195" t="s">
        <v>3764</v>
      </c>
      <c r="H195" t="s">
        <v>3765</v>
      </c>
      <c r="I195" t="s">
        <v>3766</v>
      </c>
      <c r="J195" t="s">
        <v>3767</v>
      </c>
      <c r="K195" t="s">
        <v>3768</v>
      </c>
      <c r="L195" t="s">
        <v>3769</v>
      </c>
      <c r="M195" t="s">
        <v>3770</v>
      </c>
      <c r="N195">
        <f>-647.415035075271 -2.65461206560349 -530.439108478615</f>
        <v>-1180.5087556194894</v>
      </c>
      <c r="O195">
        <f>-673.592227699483 -152.810424656893 -497.206318768802</f>
        <v>-1323.608971125178</v>
      </c>
      <c r="P195">
        <f>-721.549974634108 -188.760637028108 -221.550429146487</f>
        <v>-1131.8610408087031</v>
      </c>
      <c r="Q195">
        <f>-510.573513761838 -94.9570265957564 -246.816178222318</f>
        <v>-852.34671857991248</v>
      </c>
      <c r="R195" t="s">
        <v>3771</v>
      </c>
      <c r="S195" t="s">
        <v>3772</v>
      </c>
      <c r="T195" t="s">
        <v>3773</v>
      </c>
      <c r="U195" t="s">
        <v>3774</v>
      </c>
      <c r="V195">
        <f>-605.217944232067 -54.2701351091137 -93.2948926637079</f>
        <v>-752.78297200488851</v>
      </c>
      <c r="W195" t="s">
        <v>3775</v>
      </c>
      <c r="X195" t="s">
        <v>3776</v>
      </c>
      <c r="Y195" t="s">
        <v>3777</v>
      </c>
    </row>
    <row r="196" spans="1:25" x14ac:dyDescent="0.3">
      <c r="A196">
        <v>9750</v>
      </c>
      <c r="B196" t="s">
        <v>3778</v>
      </c>
      <c r="C196" t="s">
        <v>3779</v>
      </c>
      <c r="D196" t="s">
        <v>3780</v>
      </c>
      <c r="E196" t="s">
        <v>3781</v>
      </c>
      <c r="F196" t="s">
        <v>3782</v>
      </c>
      <c r="G196" t="s">
        <v>3783</v>
      </c>
      <c r="H196" t="s">
        <v>3784</v>
      </c>
      <c r="I196" t="s">
        <v>3785</v>
      </c>
      <c r="J196" t="s">
        <v>3786</v>
      </c>
      <c r="K196" t="s">
        <v>3787</v>
      </c>
      <c r="L196" t="s">
        <v>3788</v>
      </c>
      <c r="M196" t="s">
        <v>3789</v>
      </c>
      <c r="N196">
        <f>-647.877357781754 -3.95737526583343 -530.319918839423</f>
        <v>-1182.1546518870105</v>
      </c>
      <c r="O196">
        <f>-673.658601833603 -154.082682461174 -496.621537303144</f>
        <v>-1324.3628215979211</v>
      </c>
      <c r="P196">
        <f>-721.106730943462 -189.596266696039 -220.820738981467</f>
        <v>-1131.5237366209681</v>
      </c>
      <c r="Q196">
        <f>-510.36474150093 -95.4137345339725 -246.62807480677</f>
        <v>-852.40655084167247</v>
      </c>
      <c r="R196" t="s">
        <v>3790</v>
      </c>
      <c r="S196" t="s">
        <v>3791</v>
      </c>
      <c r="T196" t="s">
        <v>3792</v>
      </c>
      <c r="U196" t="s">
        <v>3793</v>
      </c>
      <c r="V196">
        <f>-604.791711667277 -54.6998913268565 -93.2956906443882</f>
        <v>-752.78729363852165</v>
      </c>
      <c r="W196" t="s">
        <v>3794</v>
      </c>
      <c r="X196" t="s">
        <v>3795</v>
      </c>
      <c r="Y196" t="s">
        <v>3796</v>
      </c>
    </row>
    <row r="197" spans="1:25" x14ac:dyDescent="0.3">
      <c r="A197">
        <v>9800</v>
      </c>
      <c r="B197" t="s">
        <v>3797</v>
      </c>
      <c r="C197" t="s">
        <v>3798</v>
      </c>
      <c r="D197" t="s">
        <v>3799</v>
      </c>
      <c r="E197" t="s">
        <v>3800</v>
      </c>
      <c r="F197" t="s">
        <v>3801</v>
      </c>
      <c r="G197" t="s">
        <v>3802</v>
      </c>
      <c r="H197" t="s">
        <v>3803</v>
      </c>
      <c r="I197" t="s">
        <v>3804</v>
      </c>
      <c r="J197" t="s">
        <v>3805</v>
      </c>
      <c r="K197" t="s">
        <v>3806</v>
      </c>
      <c r="L197" t="s">
        <v>3807</v>
      </c>
      <c r="M197" t="s">
        <v>3808</v>
      </c>
      <c r="N197">
        <f>-648.83099256576 -6.3312138485403 -530.040364676558</f>
        <v>-1185.2025710908583</v>
      </c>
      <c r="O197">
        <f>-674.02212338295 -156.331675244924 -495.356678909616</f>
        <v>-1325.7104775374901</v>
      </c>
      <c r="P197">
        <f>-720.256213859053 -190.768636349095 -219.213445250871</f>
        <v>-1130.2382954590189</v>
      </c>
      <c r="Q197">
        <f>-509.851138193992 -96.1708312279179 -246.222141893604</f>
        <v>-852.24411131551392</v>
      </c>
      <c r="R197" t="s">
        <v>3809</v>
      </c>
      <c r="S197" t="s">
        <v>3810</v>
      </c>
      <c r="T197" t="s">
        <v>3811</v>
      </c>
      <c r="U197" t="s">
        <v>3812</v>
      </c>
      <c r="V197">
        <f>-604.047159595344 -55.4582311167769 -93.3066154643611</f>
        <v>-752.8120061764821</v>
      </c>
      <c r="W197" t="s">
        <v>3813</v>
      </c>
      <c r="X197" t="s">
        <v>3814</v>
      </c>
      <c r="Y197" t="s">
        <v>3815</v>
      </c>
    </row>
    <row r="198" spans="1:25" x14ac:dyDescent="0.3">
      <c r="A198">
        <v>9850</v>
      </c>
      <c r="B198" t="s">
        <v>3816</v>
      </c>
      <c r="C198" t="s">
        <v>3817</v>
      </c>
      <c r="D198" t="s">
        <v>3818</v>
      </c>
      <c r="E198" t="s">
        <v>3819</v>
      </c>
      <c r="F198" t="s">
        <v>3820</v>
      </c>
      <c r="G198" t="s">
        <v>3821</v>
      </c>
      <c r="H198" t="s">
        <v>3822</v>
      </c>
      <c r="I198" t="s">
        <v>3823</v>
      </c>
      <c r="J198" t="s">
        <v>3824</v>
      </c>
      <c r="K198" t="s">
        <v>3825</v>
      </c>
      <c r="L198" t="s">
        <v>3826</v>
      </c>
      <c r="M198" t="s">
        <v>3827</v>
      </c>
      <c r="N198">
        <f>-649.227803546716 -7.38565821109705 -529.881631175513</f>
        <v>-1186.4950929333261</v>
      </c>
      <c r="O198">
        <f>-674.26954082857 -157.2932431228 -494.686407345509</f>
        <v>-1326.249191296879</v>
      </c>
      <c r="P198">
        <f>-719.882916769412 -191.146763828643 -218.367854833537</f>
        <v>-1129.3975354315919</v>
      </c>
      <c r="Q198">
        <f>-509.574776809817 -96.5290897979319 -246.053465314745</f>
        <v>-852.157331922494</v>
      </c>
      <c r="R198" t="s">
        <v>3828</v>
      </c>
      <c r="S198" t="s">
        <v>3829</v>
      </c>
      <c r="T198" t="s">
        <v>3830</v>
      </c>
      <c r="U198" t="s">
        <v>3831</v>
      </c>
      <c r="V198">
        <f>-603.721259962612 -55.7966650786752 -93.315972524754</f>
        <v>-752.83389756604117</v>
      </c>
      <c r="W198" t="s">
        <v>3832</v>
      </c>
      <c r="X198" t="s">
        <v>3833</v>
      </c>
      <c r="Y198" t="s">
        <v>3834</v>
      </c>
    </row>
    <row r="199" spans="1:25" x14ac:dyDescent="0.3">
      <c r="A199">
        <v>9900</v>
      </c>
      <c r="B199" t="s">
        <v>3835</v>
      </c>
      <c r="C199" t="s">
        <v>3836</v>
      </c>
      <c r="D199" t="s">
        <v>3837</v>
      </c>
      <c r="E199" t="s">
        <v>3838</v>
      </c>
      <c r="F199" t="s">
        <v>3839</v>
      </c>
      <c r="G199" t="s">
        <v>3840</v>
      </c>
      <c r="H199" t="s">
        <v>3841</v>
      </c>
      <c r="I199" t="s">
        <v>3842</v>
      </c>
      <c r="J199" t="s">
        <v>3843</v>
      </c>
      <c r="K199" t="s">
        <v>3844</v>
      </c>
      <c r="L199" t="s">
        <v>3845</v>
      </c>
      <c r="M199" t="s">
        <v>3846</v>
      </c>
      <c r="N199">
        <f>-649.662166359166 -8.97982534100652 -529.606754973209</f>
        <v>-1188.2487466733814</v>
      </c>
      <c r="O199">
        <f>-674.665777117779 -158.710895008802 -493.632280739779</f>
        <v>-1327.00895286636</v>
      </c>
      <c r="P199">
        <f>-719.34380172047 -191.666633421817 -217.052368089695</f>
        <v>-1128.0628032319819</v>
      </c>
      <c r="Q199">
        <f>-509.215390899626 -97.0042798902418 -245.924666320019</f>
        <v>-852.14433710988681</v>
      </c>
      <c r="R199" t="s">
        <v>3847</v>
      </c>
      <c r="S199" t="s">
        <v>3848</v>
      </c>
      <c r="T199" t="s">
        <v>3849</v>
      </c>
      <c r="U199" t="s">
        <v>3850</v>
      </c>
      <c r="V199">
        <f>-603.028121663875 -56.3993987027084 -93.3092283431823</f>
        <v>-752.73674870976572</v>
      </c>
      <c r="W199" t="s">
        <v>3851</v>
      </c>
      <c r="X199" t="s">
        <v>3852</v>
      </c>
      <c r="Y199" t="s">
        <v>3853</v>
      </c>
    </row>
    <row r="200" spans="1:25" x14ac:dyDescent="0.3">
      <c r="A200">
        <v>9950</v>
      </c>
      <c r="B200" t="s">
        <v>3854</v>
      </c>
      <c r="C200" t="s">
        <v>3855</v>
      </c>
      <c r="D200" t="s">
        <v>3856</v>
      </c>
      <c r="E200" t="s">
        <v>3857</v>
      </c>
      <c r="F200" t="s">
        <v>3858</v>
      </c>
      <c r="G200" t="s">
        <v>3859</v>
      </c>
      <c r="H200" t="s">
        <v>3860</v>
      </c>
      <c r="I200" t="s">
        <v>3861</v>
      </c>
      <c r="J200" t="s">
        <v>3862</v>
      </c>
      <c r="K200" t="s">
        <v>3863</v>
      </c>
      <c r="L200" t="s">
        <v>3864</v>
      </c>
      <c r="M200" t="s">
        <v>3865</v>
      </c>
      <c r="N200">
        <f>-649.771466405064 -9.61604070975068 -529.490514679573</f>
        <v>-1188.8780217943877</v>
      </c>
      <c r="O200">
        <f>-674.787241285782 -159.278514225704 -493.264863710564</f>
        <v>-1327.33061922205</v>
      </c>
      <c r="P200">
        <f>-719.280968933147 -191.943855807024 -216.621017225034</f>
        <v>-1127.845841965205</v>
      </c>
      <c r="Q200">
        <f>-509.223826632259 -97.2689043667069 -245.967150494626</f>
        <v>-852.45988149359187</v>
      </c>
      <c r="R200" t="s">
        <v>3866</v>
      </c>
      <c r="S200" t="s">
        <v>3867</v>
      </c>
      <c r="T200" t="s">
        <v>3868</v>
      </c>
      <c r="U200" t="s">
        <v>3869</v>
      </c>
      <c r="V200">
        <f>-602.653213962258 -56.6627560302054 -93.2815054177942</f>
        <v>-752.59747541025752</v>
      </c>
      <c r="W200" t="s">
        <v>3870</v>
      </c>
      <c r="X200" t="s">
        <v>3871</v>
      </c>
      <c r="Y200" t="s">
        <v>3872</v>
      </c>
    </row>
    <row r="201" spans="1:25" x14ac:dyDescent="0.3">
      <c r="A201">
        <v>10000</v>
      </c>
      <c r="B201" t="s">
        <v>3873</v>
      </c>
      <c r="C201" t="s">
        <v>3874</v>
      </c>
      <c r="D201" t="s">
        <v>3875</v>
      </c>
      <c r="E201" t="s">
        <v>3876</v>
      </c>
      <c r="F201" t="s">
        <v>3877</v>
      </c>
      <c r="G201" t="s">
        <v>3878</v>
      </c>
      <c r="H201" t="s">
        <v>3879</v>
      </c>
      <c r="I201" t="s">
        <v>3880</v>
      </c>
      <c r="J201" t="s">
        <v>3881</v>
      </c>
      <c r="K201" t="s">
        <v>3882</v>
      </c>
      <c r="L201" t="s">
        <v>3883</v>
      </c>
      <c r="M201" t="s">
        <v>3884</v>
      </c>
      <c r="N201">
        <f>-650.054918382069 -10.537437474833 -529.176122723398</f>
        <v>-1189.7684785802999</v>
      </c>
      <c r="O201">
        <f>-675.096589259395 -160.097208887505 -492.52688363585</f>
        <v>-1327.72068178275</v>
      </c>
      <c r="P201">
        <f>-719.194990213602 -192.691413559043 -215.811227924678</f>
        <v>-1127.697631697323</v>
      </c>
      <c r="Q201">
        <f>-509.377612522309 -97.7351910148611 -245.952348647762</f>
        <v>-853.065152184932</v>
      </c>
      <c r="R201" t="s">
        <v>3885</v>
      </c>
      <c r="S201" t="s">
        <v>3886</v>
      </c>
      <c r="T201" t="s">
        <v>3887</v>
      </c>
      <c r="U201" t="s">
        <v>3888</v>
      </c>
      <c r="V201">
        <f>-601.656519374131 -56.9870296518759 -93.1426774198756</f>
        <v>-751.78622644588245</v>
      </c>
      <c r="W201" t="s">
        <v>3889</v>
      </c>
      <c r="X201" t="s">
        <v>3890</v>
      </c>
      <c r="Y201" t="s">
        <v>3891</v>
      </c>
    </row>
    <row r="202" spans="1:25" x14ac:dyDescent="0.3">
      <c r="A202">
        <v>10050</v>
      </c>
      <c r="B202" t="s">
        <v>3892</v>
      </c>
      <c r="C202" t="s">
        <v>3893</v>
      </c>
      <c r="D202" t="s">
        <v>3894</v>
      </c>
      <c r="E202" t="s">
        <v>3895</v>
      </c>
      <c r="F202" t="s">
        <v>3896</v>
      </c>
      <c r="G202" t="s">
        <v>3897</v>
      </c>
      <c r="H202" t="s">
        <v>3898</v>
      </c>
      <c r="I202" t="s">
        <v>3899</v>
      </c>
      <c r="J202" t="s">
        <v>3900</v>
      </c>
      <c r="K202" t="s">
        <v>3901</v>
      </c>
      <c r="L202" t="s">
        <v>3902</v>
      </c>
      <c r="M202" t="s">
        <v>3903</v>
      </c>
      <c r="N202">
        <f>-650.09478329713 -10.7563316872308 -528.968153685283</f>
        <v>-1189.8192686696439</v>
      </c>
      <c r="O202">
        <f>-675.188253785041 -160.275020010558 -492.181020259486</f>
        <v>-1327.6442940550851</v>
      </c>
      <c r="P202">
        <f>-718.901656298341 -192.906479974925 -215.408631146769</f>
        <v>-1127.216767420035</v>
      </c>
      <c r="Q202">
        <f>-509.230248193788 -97.7219660387543 -245.844925382499</f>
        <v>-852.79713961504126</v>
      </c>
      <c r="R202" t="s">
        <v>3904</v>
      </c>
      <c r="S202" t="s">
        <v>3905</v>
      </c>
      <c r="T202" t="s">
        <v>3906</v>
      </c>
      <c r="U202" t="s">
        <v>3907</v>
      </c>
      <c r="V202">
        <f>-601.043089100539 -57.0636886675552 -93.0058488944544</f>
        <v>-751.11262666254856</v>
      </c>
      <c r="W202" t="s">
        <v>3908</v>
      </c>
      <c r="X202" t="s">
        <v>3909</v>
      </c>
      <c r="Y202" t="s">
        <v>3910</v>
      </c>
    </row>
    <row r="203" spans="1:25" x14ac:dyDescent="0.3">
      <c r="A203">
        <v>10100</v>
      </c>
      <c r="B203" t="s">
        <v>3911</v>
      </c>
      <c r="C203" t="s">
        <v>3912</v>
      </c>
      <c r="D203" t="s">
        <v>3913</v>
      </c>
      <c r="E203" t="s">
        <v>3914</v>
      </c>
      <c r="F203" t="s">
        <v>3915</v>
      </c>
      <c r="G203" t="s">
        <v>3916</v>
      </c>
      <c r="H203" t="s">
        <v>3917</v>
      </c>
      <c r="I203" t="s">
        <v>3918</v>
      </c>
      <c r="J203" t="s">
        <v>3919</v>
      </c>
      <c r="K203" t="s">
        <v>3920</v>
      </c>
      <c r="L203" t="s">
        <v>3921</v>
      </c>
      <c r="M203" t="s">
        <v>3922</v>
      </c>
      <c r="N203">
        <f>-650.576900720337 -11.0803916739937 -528.483384225682</f>
        <v>-1190.1406766200128</v>
      </c>
      <c r="O203">
        <f>-675.640177738215 -160.531808743526 -491.435036770902</f>
        <v>-1327.6070232526431</v>
      </c>
      <c r="P203">
        <f>-718.204802353076 -193.254808581907 -214.494556680098</f>
        <v>-1125.9541676150811</v>
      </c>
      <c r="Q203">
        <f>-509.021310908962 -97.1630106878888 -245.432494930947</f>
        <v>-851.61681652779782</v>
      </c>
      <c r="R203" t="s">
        <v>3923</v>
      </c>
      <c r="S203" t="s">
        <v>3924</v>
      </c>
      <c r="T203" t="s">
        <v>3925</v>
      </c>
      <c r="U203" t="s">
        <v>3926</v>
      </c>
      <c r="V203">
        <f>-599.770763329494 -57.0596113087081 -92.7199677022928</f>
        <v>-749.55034234049492</v>
      </c>
      <c r="W203" t="s">
        <v>3927</v>
      </c>
      <c r="X203" t="s">
        <v>3928</v>
      </c>
      <c r="Y203" t="s">
        <v>3929</v>
      </c>
    </row>
    <row r="204" spans="1:25" x14ac:dyDescent="0.3">
      <c r="A204">
        <v>10150</v>
      </c>
      <c r="B204" t="s">
        <v>3930</v>
      </c>
      <c r="C204" t="s">
        <v>3931</v>
      </c>
      <c r="D204" t="s">
        <v>3932</v>
      </c>
      <c r="E204" t="s">
        <v>3933</v>
      </c>
      <c r="F204" t="s">
        <v>3934</v>
      </c>
      <c r="G204" t="s">
        <v>3935</v>
      </c>
      <c r="H204" t="s">
        <v>3936</v>
      </c>
      <c r="I204" t="s">
        <v>3937</v>
      </c>
      <c r="J204" t="s">
        <v>3938</v>
      </c>
      <c r="K204" t="s">
        <v>3939</v>
      </c>
      <c r="L204" t="s">
        <v>3940</v>
      </c>
      <c r="M204" t="s">
        <v>3941</v>
      </c>
      <c r="N204">
        <f>-650.98435888929 -11.2652390907294 -528.177630552293</f>
        <v>-1190.4272285323123</v>
      </c>
      <c r="O204">
        <f>-676.090014786259 -160.666024763721 -490.959084306447</f>
        <v>-1327.715123856427</v>
      </c>
      <c r="P204">
        <f>-717.840164286847 -193.320778845332 -213.886473444503</f>
        <v>-1125.0474165766821</v>
      </c>
      <c r="Q204">
        <f>-508.891219603589 -96.8620414719294 -245.2642929375</f>
        <v>-851.0175540130183</v>
      </c>
      <c r="R204" t="s">
        <v>3942</v>
      </c>
      <c r="S204" t="s">
        <v>3943</v>
      </c>
      <c r="T204" t="s">
        <v>3944</v>
      </c>
      <c r="U204" t="s">
        <v>3945</v>
      </c>
      <c r="V204">
        <f>-599.091661423412 -57.0511158151705 -92.5946603135815</f>
        <v>-748.73743755216401</v>
      </c>
      <c r="W204" t="s">
        <v>3946</v>
      </c>
      <c r="X204" t="s">
        <v>3947</v>
      </c>
      <c r="Y204" t="s">
        <v>3948</v>
      </c>
    </row>
    <row r="205" spans="1:25" x14ac:dyDescent="0.3">
      <c r="A205">
        <v>10200</v>
      </c>
      <c r="B205" t="s">
        <v>3949</v>
      </c>
      <c r="C205" t="s">
        <v>3950</v>
      </c>
      <c r="D205" t="s">
        <v>3951</v>
      </c>
      <c r="E205" t="s">
        <v>3952</v>
      </c>
      <c r="F205" t="s">
        <v>3953</v>
      </c>
      <c r="G205" t="s">
        <v>3954</v>
      </c>
      <c r="H205" t="s">
        <v>3955</v>
      </c>
      <c r="I205" t="s">
        <v>3956</v>
      </c>
      <c r="J205" t="s">
        <v>3957</v>
      </c>
      <c r="K205" t="s">
        <v>3958</v>
      </c>
      <c r="L205" t="s">
        <v>3959</v>
      </c>
      <c r="M205" t="s">
        <v>3960</v>
      </c>
      <c r="N205">
        <f>-652.105838514027 -11.6865640900803 -527.550485283733</f>
        <v>-1191.3428878878403</v>
      </c>
      <c r="O205">
        <f>-677.314666847987 -160.955997148434 -489.868229589632</f>
        <v>-1328.138893586053</v>
      </c>
      <c r="P205">
        <f>-717.221927717011 -192.898431055782 -212.441338572648</f>
        <v>-1122.561697345441</v>
      </c>
      <c r="Q205">
        <f>-508.567080432583 -96.2833120137161 -245.261889921349</f>
        <v>-850.11228236764805</v>
      </c>
      <c r="R205" t="s">
        <v>3961</v>
      </c>
      <c r="S205" t="s">
        <v>3962</v>
      </c>
      <c r="T205" t="s">
        <v>3963</v>
      </c>
      <c r="U205" t="s">
        <v>3964</v>
      </c>
      <c r="V205">
        <f>-597.847967446037 -56.8665734788492 -92.3681431744773</f>
        <v>-747.08268409936352</v>
      </c>
      <c r="W205" t="s">
        <v>3965</v>
      </c>
      <c r="X205" t="s">
        <v>3966</v>
      </c>
      <c r="Y205" t="s">
        <v>3967</v>
      </c>
    </row>
    <row r="206" spans="1:25" x14ac:dyDescent="0.3">
      <c r="A206">
        <v>10250</v>
      </c>
      <c r="B206" t="s">
        <v>3968</v>
      </c>
      <c r="C206" t="s">
        <v>3969</v>
      </c>
      <c r="D206" t="s">
        <v>3970</v>
      </c>
      <c r="E206" t="s">
        <v>3971</v>
      </c>
      <c r="F206" t="s">
        <v>3972</v>
      </c>
      <c r="G206" t="s">
        <v>3973</v>
      </c>
      <c r="H206" t="s">
        <v>3974</v>
      </c>
      <c r="I206" t="s">
        <v>3975</v>
      </c>
      <c r="J206" t="s">
        <v>3976</v>
      </c>
      <c r="K206" t="s">
        <v>3977</v>
      </c>
      <c r="L206" t="s">
        <v>3978</v>
      </c>
      <c r="M206" t="s">
        <v>3979</v>
      </c>
      <c r="N206">
        <f>-652.717806099859 -11.9083194024049 -527.250857555923</f>
        <v>-1191.8769830581869</v>
      </c>
      <c r="O206">
        <f>-678.009010475223 -161.11216519242 -489.344221772482</f>
        <v>-1328.4653974401249</v>
      </c>
      <c r="P206">
        <f>-717.084290629059 -192.51704114462 -211.737644213598</f>
        <v>-1121.3389759872771</v>
      </c>
      <c r="Q206">
        <f>-508.492950774135 -96.0355823367308 -245.345791416917</f>
        <v>-849.87432452778285</v>
      </c>
      <c r="R206" t="s">
        <v>3980</v>
      </c>
      <c r="S206" t="s">
        <v>3981</v>
      </c>
      <c r="T206" t="s">
        <v>3982</v>
      </c>
      <c r="U206" t="s">
        <v>3983</v>
      </c>
      <c r="V206">
        <f>-597.284583052237 -56.7618493100488 -92.2701595085978</f>
        <v>-746.3165918708836</v>
      </c>
      <c r="W206" t="s">
        <v>3984</v>
      </c>
      <c r="X206" t="s">
        <v>3985</v>
      </c>
      <c r="Y206" t="s">
        <v>3986</v>
      </c>
    </row>
    <row r="207" spans="1:25" x14ac:dyDescent="0.3">
      <c r="A207">
        <v>10300</v>
      </c>
      <c r="B207" t="s">
        <v>3987</v>
      </c>
      <c r="C207" t="s">
        <v>3988</v>
      </c>
      <c r="D207" t="s">
        <v>3989</v>
      </c>
      <c r="E207" t="s">
        <v>3990</v>
      </c>
      <c r="F207" t="s">
        <v>3991</v>
      </c>
      <c r="G207" t="s">
        <v>3992</v>
      </c>
      <c r="H207" t="s">
        <v>3993</v>
      </c>
      <c r="I207" t="s">
        <v>3994</v>
      </c>
      <c r="J207" t="s">
        <v>3995</v>
      </c>
      <c r="K207" t="s">
        <v>3996</v>
      </c>
      <c r="L207" t="s">
        <v>3997</v>
      </c>
      <c r="M207" t="s">
        <v>3998</v>
      </c>
      <c r="N207">
        <f>-653.768547943758 -12.3498107461824 -526.676763460184</f>
        <v>-1192.7951221501244</v>
      </c>
      <c r="O207">
        <f>-679.337942680108 -161.378173073943 -488.298936376719</f>
        <v>-1329.0150521307701</v>
      </c>
      <c r="P207">
        <f>-717.014358735528 -191.673101851233 -210.375888971164</f>
        <v>-1119.063349557925</v>
      </c>
      <c r="Q207">
        <f>-508.403259220505 -95.7307086303781 -245.375428362327</f>
        <v>-849.50939621321004</v>
      </c>
      <c r="R207" t="s">
        <v>3999</v>
      </c>
      <c r="S207" t="s">
        <v>4000</v>
      </c>
      <c r="T207" t="s">
        <v>4001</v>
      </c>
      <c r="U207" t="s">
        <v>4002</v>
      </c>
      <c r="V207">
        <f>-596.285085796913 -56.3987850079864 -92.1129596129587</f>
        <v>-744.79683041785802</v>
      </c>
      <c r="W207" t="s">
        <v>4003</v>
      </c>
      <c r="X207" t="s">
        <v>4004</v>
      </c>
      <c r="Y207" t="s">
        <v>4005</v>
      </c>
    </row>
    <row r="208" spans="1:25" x14ac:dyDescent="0.3">
      <c r="A208">
        <v>10350</v>
      </c>
      <c r="B208" t="s">
        <v>4006</v>
      </c>
      <c r="C208" t="s">
        <v>4007</v>
      </c>
      <c r="D208" t="s">
        <v>4008</v>
      </c>
      <c r="E208" t="s">
        <v>4009</v>
      </c>
      <c r="F208" t="s">
        <v>4010</v>
      </c>
      <c r="G208" t="s">
        <v>4011</v>
      </c>
      <c r="H208" t="s">
        <v>4012</v>
      </c>
      <c r="I208" t="s">
        <v>4013</v>
      </c>
      <c r="J208" t="s">
        <v>4014</v>
      </c>
      <c r="K208" t="s">
        <v>4015</v>
      </c>
      <c r="L208" t="s">
        <v>4016</v>
      </c>
      <c r="M208" t="s">
        <v>4017</v>
      </c>
      <c r="N208">
        <f>-654.137701265733 -12.6435893883113 -526.439454443369</f>
        <v>-1193.2207450974133</v>
      </c>
      <c r="O208">
        <f>-679.8683727 -161.573314568371 -487.783247932871</f>
        <v>-1329.224935201242</v>
      </c>
      <c r="P208">
        <f>-717.089577211553 -191.497673833272 -209.758573484881</f>
        <v>-1118.3458245297059</v>
      </c>
      <c r="Q208">
        <f>-508.374472724569 -95.9817548039387 -245.301028925978</f>
        <v>-849.65725645448572</v>
      </c>
      <c r="R208" t="s">
        <v>4018</v>
      </c>
      <c r="S208" t="s">
        <v>4019</v>
      </c>
      <c r="T208" t="s">
        <v>4020</v>
      </c>
      <c r="U208" t="s">
        <v>4021</v>
      </c>
      <c r="V208">
        <f>-595.896029418608 -56.2988916760494 -92.0730949430863</f>
        <v>-744.26801603774368</v>
      </c>
      <c r="W208" t="s">
        <v>4022</v>
      </c>
      <c r="X208" t="s">
        <v>4023</v>
      </c>
      <c r="Y208" t="s">
        <v>4024</v>
      </c>
    </row>
    <row r="209" spans="1:25" x14ac:dyDescent="0.3">
      <c r="A209">
        <v>10400</v>
      </c>
      <c r="B209" t="s">
        <v>4025</v>
      </c>
      <c r="C209" t="s">
        <v>4026</v>
      </c>
      <c r="D209" t="s">
        <v>4027</v>
      </c>
      <c r="E209" t="s">
        <v>4028</v>
      </c>
      <c r="F209" t="s">
        <v>4029</v>
      </c>
      <c r="G209" t="s">
        <v>4030</v>
      </c>
      <c r="H209" t="s">
        <v>4031</v>
      </c>
      <c r="I209" t="s">
        <v>4032</v>
      </c>
      <c r="J209" t="s">
        <v>4033</v>
      </c>
      <c r="K209" t="s">
        <v>4034</v>
      </c>
      <c r="L209" t="s">
        <v>4035</v>
      </c>
      <c r="M209" t="s">
        <v>4036</v>
      </c>
      <c r="N209">
        <f>-654.84343953781 -13.0897636670354 -526.149276566252</f>
        <v>-1194.0824797710975</v>
      </c>
      <c r="O209">
        <f>-680.929075804956 -161.834325483167 -486.99939466314</f>
        <v>-1329.7627959512631</v>
      </c>
      <c r="P209">
        <f>-717.732465965125 -190.845193418982 -208.822483587621</f>
        <v>-1117.400142971728</v>
      </c>
      <c r="Q209">
        <f>-508.570339312672 -96.5378336712311 -244.958418034527</f>
        <v>-850.06659101843002</v>
      </c>
      <c r="R209" t="s">
        <v>4037</v>
      </c>
      <c r="S209" t="s">
        <v>4038</v>
      </c>
      <c r="T209" t="s">
        <v>4039</v>
      </c>
      <c r="U209" t="s">
        <v>4040</v>
      </c>
      <c r="V209">
        <f>-595.626939555269 -56.2054298221062 -92.144953440368</f>
        <v>-743.97732281774324</v>
      </c>
      <c r="W209" t="s">
        <v>4041</v>
      </c>
      <c r="X209" t="s">
        <v>4042</v>
      </c>
      <c r="Y209" t="s">
        <v>4043</v>
      </c>
    </row>
    <row r="210" spans="1:25" x14ac:dyDescent="0.3">
      <c r="A210">
        <v>10450</v>
      </c>
      <c r="B210" t="s">
        <v>4044</v>
      </c>
      <c r="C210" t="s">
        <v>4045</v>
      </c>
      <c r="D210" t="s">
        <v>4046</v>
      </c>
      <c r="E210" t="s">
        <v>4047</v>
      </c>
      <c r="F210" t="s">
        <v>4048</v>
      </c>
      <c r="G210" t="s">
        <v>4049</v>
      </c>
      <c r="H210" t="s">
        <v>4050</v>
      </c>
      <c r="I210" t="s">
        <v>4051</v>
      </c>
      <c r="J210" t="s">
        <v>4052</v>
      </c>
      <c r="K210" t="s">
        <v>4053</v>
      </c>
      <c r="L210" t="s">
        <v>4054</v>
      </c>
      <c r="M210" t="s">
        <v>4055</v>
      </c>
      <c r="N210">
        <f>-655.01563001233 -13.2374041252626 -526.11387535073</f>
        <v>-1194.3669094883226</v>
      </c>
      <c r="O210">
        <f>-681.378820164436 -161.864300084219 -486.707551402551</f>
        <v>-1329.950671651206</v>
      </c>
      <c r="P210">
        <f>-718.071701394576 -190.467604039418 -208.473586246234</f>
        <v>-1117.012891680228</v>
      </c>
      <c r="Q210">
        <f>-508.647187592329 -96.8011785359308 -244.756868611014</f>
        <v>-850.20523473927369</v>
      </c>
      <c r="R210" t="s">
        <v>4056</v>
      </c>
      <c r="S210" t="s">
        <v>4057</v>
      </c>
      <c r="T210" t="s">
        <v>4058</v>
      </c>
      <c r="U210" t="s">
        <v>4059</v>
      </c>
      <c r="V210">
        <f>-595.557178585274 -56.1805088633012 -92.2317546215152</f>
        <v>-743.96944207009028</v>
      </c>
      <c r="W210" t="s">
        <v>4060</v>
      </c>
      <c r="X210" t="s">
        <v>4061</v>
      </c>
      <c r="Y210" t="s">
        <v>4062</v>
      </c>
    </row>
    <row r="211" spans="1:25" x14ac:dyDescent="0.3">
      <c r="A211">
        <v>10500</v>
      </c>
      <c r="B211" t="s">
        <v>4063</v>
      </c>
      <c r="C211" t="s">
        <v>4064</v>
      </c>
      <c r="D211" t="s">
        <v>4065</v>
      </c>
      <c r="E211" t="s">
        <v>4066</v>
      </c>
      <c r="F211" t="s">
        <v>4067</v>
      </c>
      <c r="G211" t="s">
        <v>4068</v>
      </c>
      <c r="H211" t="s">
        <v>4069</v>
      </c>
      <c r="I211" t="s">
        <v>4070</v>
      </c>
      <c r="J211" t="s">
        <v>4071</v>
      </c>
      <c r="K211" t="s">
        <v>4072</v>
      </c>
      <c r="L211" t="s">
        <v>4073</v>
      </c>
      <c r="M211" t="s">
        <v>4074</v>
      </c>
      <c r="N211">
        <f>-655.087289372825 -13.4633342129371 -526.114652986888</f>
        <v>-1194.6652765726501</v>
      </c>
      <c r="O211">
        <f>-681.766632117459 -161.959561151355 -486.438393216847</f>
        <v>-1330.1645864856609</v>
      </c>
      <c r="P211">
        <f>-718.452148434889 -190.153002450812 -208.161786618301</f>
        <v>-1116.7669375040018</v>
      </c>
      <c r="Q211">
        <f>-508.762319020658 -97.1398885932635 -244.593927605233</f>
        <v>-850.49613521915455</v>
      </c>
      <c r="R211" t="s">
        <v>4075</v>
      </c>
      <c r="S211" t="s">
        <v>4076</v>
      </c>
      <c r="T211" t="s">
        <v>4077</v>
      </c>
      <c r="U211" t="s">
        <v>4078</v>
      </c>
      <c r="V211">
        <f>-595.571865718637 -56.2630505459092 -92.331553112791</f>
        <v>-744.16646937733719</v>
      </c>
      <c r="W211" t="s">
        <v>4079</v>
      </c>
      <c r="X211" t="s">
        <v>4080</v>
      </c>
      <c r="Y211" t="s">
        <v>4081</v>
      </c>
    </row>
    <row r="212" spans="1:25" x14ac:dyDescent="0.3">
      <c r="A212">
        <v>10550</v>
      </c>
      <c r="B212" t="s">
        <v>4063</v>
      </c>
      <c r="C212" t="s">
        <v>4064</v>
      </c>
      <c r="D212" t="s">
        <v>4065</v>
      </c>
      <c r="E212" t="s">
        <v>4066</v>
      </c>
      <c r="F212" t="s">
        <v>4067</v>
      </c>
      <c r="G212" t="s">
        <v>4068</v>
      </c>
      <c r="H212" t="s">
        <v>4069</v>
      </c>
      <c r="I212" t="s">
        <v>4070</v>
      </c>
      <c r="J212" t="s">
        <v>4071</v>
      </c>
      <c r="K212" t="s">
        <v>4072</v>
      </c>
      <c r="L212" t="s">
        <v>4073</v>
      </c>
      <c r="M212" t="s">
        <v>4074</v>
      </c>
      <c r="N212">
        <f>-655.087289372825 -13.4633342129371 -526.114652986888</f>
        <v>-1194.6652765726501</v>
      </c>
      <c r="O212">
        <f>-681.766632117459 -161.959561151355 -486.438393216847</f>
        <v>-1330.1645864856609</v>
      </c>
      <c r="P212">
        <f>-718.452148434889 -190.153002450812 -208.161786618301</f>
        <v>-1116.7669375040018</v>
      </c>
      <c r="Q212">
        <f>-508.762319020658 -97.1398885932635 -244.593927605233</f>
        <v>-850.49613521915455</v>
      </c>
      <c r="R212" t="s">
        <v>4075</v>
      </c>
      <c r="S212" t="s">
        <v>4076</v>
      </c>
      <c r="T212" t="s">
        <v>4077</v>
      </c>
      <c r="U212" t="s">
        <v>4078</v>
      </c>
      <c r="V212">
        <f>-595.571865718637 -56.2630505459092 -92.331553112791</f>
        <v>-744.16646937733719</v>
      </c>
      <c r="W212" t="s">
        <v>4079</v>
      </c>
      <c r="X212" t="s">
        <v>4080</v>
      </c>
      <c r="Y212" t="s">
        <v>4081</v>
      </c>
    </row>
    <row r="213" spans="1:25" x14ac:dyDescent="0.3">
      <c r="A213">
        <v>10600</v>
      </c>
      <c r="B213" t="s">
        <v>4082</v>
      </c>
      <c r="C213" t="s">
        <v>4083</v>
      </c>
      <c r="D213" t="s">
        <v>4084</v>
      </c>
      <c r="E213" t="s">
        <v>4085</v>
      </c>
      <c r="F213" t="s">
        <v>4086</v>
      </c>
      <c r="G213" t="s">
        <v>4087</v>
      </c>
      <c r="H213" t="s">
        <v>4088</v>
      </c>
      <c r="I213" t="s">
        <v>4089</v>
      </c>
      <c r="J213" t="s">
        <v>4090</v>
      </c>
      <c r="K213" t="s">
        <v>4091</v>
      </c>
      <c r="L213" t="s">
        <v>4092</v>
      </c>
      <c r="M213" t="s">
        <v>4093</v>
      </c>
      <c r="N213">
        <f>-655.064875513601 -13.7746975202795 -526.13715859583</f>
        <v>-1194.9767316297105</v>
      </c>
      <c r="O213">
        <f>-682.068369857823 -162.147471749166 -486.239379796307</f>
        <v>-1330.455221403296</v>
      </c>
      <c r="P213">
        <f>-718.882800520572 -189.869113651006 -207.932521021403</f>
        <v>-1116.684435192981</v>
      </c>
      <c r="Q213">
        <f>-508.915938580068 -97.5536345349037 -244.542538045618</f>
        <v>-851.01211116058971</v>
      </c>
      <c r="R213" t="s">
        <v>4094</v>
      </c>
      <c r="S213" t="s">
        <v>4095</v>
      </c>
      <c r="T213" t="s">
        <v>4096</v>
      </c>
      <c r="U213" t="s">
        <v>4097</v>
      </c>
      <c r="V213">
        <f>-595.593327799973 -56.4207680829597 -92.4168171839962</f>
        <v>-744.43091306692895</v>
      </c>
      <c r="W213" t="s">
        <v>4098</v>
      </c>
      <c r="X213" t="s">
        <v>4099</v>
      </c>
      <c r="Y213" t="s">
        <v>4100</v>
      </c>
    </row>
    <row r="214" spans="1:25" x14ac:dyDescent="0.3">
      <c r="A214">
        <v>10650</v>
      </c>
      <c r="B214" t="s">
        <v>4082</v>
      </c>
      <c r="C214" t="s">
        <v>4083</v>
      </c>
      <c r="D214" t="s">
        <v>4084</v>
      </c>
      <c r="E214" t="s">
        <v>4085</v>
      </c>
      <c r="F214" t="s">
        <v>4086</v>
      </c>
      <c r="G214" t="s">
        <v>4087</v>
      </c>
      <c r="H214" t="s">
        <v>4088</v>
      </c>
      <c r="I214" t="s">
        <v>4089</v>
      </c>
      <c r="J214" t="s">
        <v>4090</v>
      </c>
      <c r="K214" t="s">
        <v>4091</v>
      </c>
      <c r="L214" t="s">
        <v>4092</v>
      </c>
      <c r="M214" t="s">
        <v>4093</v>
      </c>
      <c r="N214">
        <f>-655.064875513601 -13.7746975202795 -526.13715859583</f>
        <v>-1194.9767316297105</v>
      </c>
      <c r="O214">
        <f>-682.068369857823 -162.147471749166 -486.239379796307</f>
        <v>-1330.455221403296</v>
      </c>
      <c r="P214">
        <f>-718.882800520572 -189.869113651006 -207.932521021403</f>
        <v>-1116.684435192981</v>
      </c>
      <c r="Q214">
        <f>-508.915938580068 -97.5536345349037 -244.542538045618</f>
        <v>-851.01211116058971</v>
      </c>
      <c r="R214" t="s">
        <v>4094</v>
      </c>
      <c r="S214" t="s">
        <v>4095</v>
      </c>
      <c r="T214" t="s">
        <v>4096</v>
      </c>
      <c r="U214" t="s">
        <v>4097</v>
      </c>
      <c r="V214">
        <f>-595.593327799973 -56.4207680829597 -92.4168171839962</f>
        <v>-744.43091306692895</v>
      </c>
      <c r="W214" t="s">
        <v>4098</v>
      </c>
      <c r="X214" t="s">
        <v>4099</v>
      </c>
      <c r="Y214" t="s">
        <v>4100</v>
      </c>
    </row>
    <row r="215" spans="1:25" x14ac:dyDescent="0.3">
      <c r="A215">
        <v>10700</v>
      </c>
      <c r="B215" t="s">
        <v>4101</v>
      </c>
      <c r="C215" t="s">
        <v>4102</v>
      </c>
      <c r="D215" t="s">
        <v>4103</v>
      </c>
      <c r="E215" t="s">
        <v>4104</v>
      </c>
      <c r="F215" t="s">
        <v>4105</v>
      </c>
      <c r="G215" t="s">
        <v>4106</v>
      </c>
      <c r="H215" t="s">
        <v>4107</v>
      </c>
      <c r="I215" t="s">
        <v>4108</v>
      </c>
      <c r="J215" t="s">
        <v>4109</v>
      </c>
      <c r="K215" t="s">
        <v>4110</v>
      </c>
      <c r="L215" t="s">
        <v>4111</v>
      </c>
      <c r="M215" t="s">
        <v>4112</v>
      </c>
      <c r="N215">
        <f>-654.858936652362 -14.5153376490575 -526.331293935712</f>
        <v>-1195.7055682371315</v>
      </c>
      <c r="O215">
        <f>-683.128248454279 -162.549679220735 -486.049207741321</f>
        <v>-1331.7271354163349</v>
      </c>
      <c r="P215">
        <f>-720.626329567177 -187.846816749441 -207.602562423549</f>
        <v>-1116.0757087401671</v>
      </c>
      <c r="Q215">
        <f>-509.554622428708 -98.5620280997514 -245.358569264321</f>
        <v>-853.47521979278042</v>
      </c>
      <c r="R215" t="s">
        <v>4113</v>
      </c>
      <c r="S215" t="s">
        <v>4114</v>
      </c>
      <c r="T215" t="s">
        <v>4115</v>
      </c>
      <c r="U215" t="s">
        <v>4116</v>
      </c>
      <c r="V215">
        <f>-595.432223196833 -57.1382553902051 -92.5781840139259</f>
        <v>-745.14866260096403</v>
      </c>
      <c r="W215" t="s">
        <v>4117</v>
      </c>
      <c r="X215" t="s">
        <v>4118</v>
      </c>
      <c r="Y215" t="s">
        <v>4119</v>
      </c>
    </row>
    <row r="216" spans="1:25" x14ac:dyDescent="0.3">
      <c r="A216">
        <v>10750</v>
      </c>
      <c r="B216" t="s">
        <v>4120</v>
      </c>
      <c r="C216" t="s">
        <v>4121</v>
      </c>
      <c r="D216" t="s">
        <v>4122</v>
      </c>
      <c r="E216" t="s">
        <v>4123</v>
      </c>
      <c r="F216" t="s">
        <v>4124</v>
      </c>
      <c r="G216" t="s">
        <v>4125</v>
      </c>
      <c r="H216" t="s">
        <v>4126</v>
      </c>
      <c r="I216" t="s">
        <v>4127</v>
      </c>
      <c r="J216" t="s">
        <v>4128</v>
      </c>
      <c r="K216" t="s">
        <v>4129</v>
      </c>
      <c r="L216" t="s">
        <v>4130</v>
      </c>
      <c r="M216" t="s">
        <v>4131</v>
      </c>
      <c r="N216">
        <f>-654.398202138266 -14.810326344241 -526.437570200271</f>
        <v>-1195.6460986827781</v>
      </c>
      <c r="O216">
        <f>-682.895616846302 -162.809943265727 -486.173164005726</f>
        <v>-1331.8787241177549</v>
      </c>
      <c r="P216">
        <f>-720.781863393018 -188.089449396781 -207.777530755688</f>
        <v>-1116.6488435454871</v>
      </c>
      <c r="Q216">
        <f>-509.387288641704 -99.6006042656281 -245.600652248145</f>
        <v>-854.58854515547716</v>
      </c>
      <c r="R216" t="s">
        <v>4132</v>
      </c>
      <c r="S216" t="s">
        <v>4133</v>
      </c>
      <c r="T216" t="s">
        <v>4134</v>
      </c>
      <c r="U216" t="s">
        <v>4135</v>
      </c>
      <c r="V216">
        <f>-595.389335109869 -57.5977347731146 -92.6435460470907</f>
        <v>-745.63061593007421</v>
      </c>
      <c r="W216" t="s">
        <v>4136</v>
      </c>
      <c r="X216" t="s">
        <v>4137</v>
      </c>
      <c r="Y216" t="s">
        <v>4138</v>
      </c>
    </row>
    <row r="217" spans="1:25" x14ac:dyDescent="0.3">
      <c r="A217">
        <v>10800</v>
      </c>
      <c r="B217" t="s">
        <v>4139</v>
      </c>
      <c r="C217" t="s">
        <v>4140</v>
      </c>
      <c r="D217" t="s">
        <v>4141</v>
      </c>
      <c r="E217" t="s">
        <v>4142</v>
      </c>
      <c r="F217" t="s">
        <v>4143</v>
      </c>
      <c r="G217" t="s">
        <v>4144</v>
      </c>
      <c r="H217" t="s">
        <v>4145</v>
      </c>
      <c r="I217" t="s">
        <v>4146</v>
      </c>
      <c r="J217" t="s">
        <v>4147</v>
      </c>
      <c r="K217" t="s">
        <v>4148</v>
      </c>
      <c r="L217" t="s">
        <v>4149</v>
      </c>
      <c r="M217" t="s">
        <v>4150</v>
      </c>
      <c r="N217">
        <f>-654.348613269228 -14.7829948175504 -526.516333405393</f>
        <v>-1195.6479414921714</v>
      </c>
      <c r="O217">
        <f>-682.700057415667 -162.857058517053 -486.400117228405</f>
        <v>-1331.957233161125</v>
      </c>
      <c r="P217">
        <f>-720.807007064418 -188.890153205428 -208.103977537971</f>
        <v>-1117.801137807817</v>
      </c>
      <c r="Q217">
        <f>-509.579254976043 -99.8890915246889 -245.656422938035</f>
        <v>-855.12476943876686</v>
      </c>
      <c r="R217" t="s">
        <v>4151</v>
      </c>
      <c r="S217" t="s">
        <v>4152</v>
      </c>
      <c r="T217" t="s">
        <v>4153</v>
      </c>
      <c r="U217" t="s">
        <v>4154</v>
      </c>
      <c r="V217">
        <f>-595.389112119759 -57.7795285065488 -92.6731433057398</f>
        <v>-745.84178393204763</v>
      </c>
      <c r="W217" t="s">
        <v>4155</v>
      </c>
      <c r="X217" t="s">
        <v>4156</v>
      </c>
      <c r="Y217" t="s">
        <v>4157</v>
      </c>
    </row>
    <row r="218" spans="1:25" x14ac:dyDescent="0.3">
      <c r="A218">
        <v>10850</v>
      </c>
      <c r="B218" t="s">
        <v>4158</v>
      </c>
      <c r="C218" t="s">
        <v>4159</v>
      </c>
      <c r="D218" t="s">
        <v>4160</v>
      </c>
      <c r="E218" t="s">
        <v>4161</v>
      </c>
      <c r="F218" t="s">
        <v>4162</v>
      </c>
      <c r="G218" t="s">
        <v>4163</v>
      </c>
      <c r="H218" t="s">
        <v>4164</v>
      </c>
      <c r="I218" t="s">
        <v>4165</v>
      </c>
      <c r="J218" t="s">
        <v>4166</v>
      </c>
      <c r="K218" t="s">
        <v>4167</v>
      </c>
      <c r="L218" t="s">
        <v>4168</v>
      </c>
      <c r="M218" t="s">
        <v>4169</v>
      </c>
      <c r="N218">
        <f>-654.292992418184 -14.6909091009936 -526.586014052343</f>
        <v>-1195.5699155715206</v>
      </c>
      <c r="O218">
        <f>-682.546177133041 -162.811161218816 -486.587320575073</f>
        <v>-1331.9446589269301</v>
      </c>
      <c r="P218">
        <f>-720.726780635608 -188.98671820682 -208.314575076895</f>
        <v>-1118.0280739193229</v>
      </c>
      <c r="Q218">
        <f>-509.549237592094 -99.8036689165083 -245.717471043384</f>
        <v>-855.07037755198633</v>
      </c>
      <c r="R218" t="s">
        <v>4170</v>
      </c>
      <c r="S218" t="s">
        <v>4171</v>
      </c>
      <c r="T218" t="s">
        <v>4172</v>
      </c>
      <c r="U218" t="s">
        <v>4173</v>
      </c>
      <c r="V218">
        <f>-595.349084132713 -57.8138258373217 -92.6752930643701</f>
        <v>-745.83820303440473</v>
      </c>
      <c r="W218" t="s">
        <v>4174</v>
      </c>
      <c r="X218" t="s">
        <v>4175</v>
      </c>
      <c r="Y218" t="s">
        <v>4176</v>
      </c>
    </row>
    <row r="219" spans="1:25" x14ac:dyDescent="0.3">
      <c r="A219">
        <v>10900</v>
      </c>
      <c r="B219" t="s">
        <v>4177</v>
      </c>
      <c r="C219" t="s">
        <v>4178</v>
      </c>
      <c r="D219" t="s">
        <v>4179</v>
      </c>
      <c r="E219" t="s">
        <v>4180</v>
      </c>
      <c r="F219" t="s">
        <v>4181</v>
      </c>
      <c r="G219" t="s">
        <v>4182</v>
      </c>
      <c r="H219" t="s">
        <v>4183</v>
      </c>
      <c r="I219" t="s">
        <v>4184</v>
      </c>
      <c r="J219" t="s">
        <v>4185</v>
      </c>
      <c r="K219" t="s">
        <v>4186</v>
      </c>
      <c r="L219" t="s">
        <v>4187</v>
      </c>
      <c r="M219" t="s">
        <v>4188</v>
      </c>
      <c r="N219">
        <f>-653.775732546223 -14.7191957711884 -526.705785665057</f>
        <v>-1195.2007139824684</v>
      </c>
      <c r="O219">
        <f>-681.662220578162 -162.952372370842 -486.887347097204</f>
        <v>-1331.5019400462079</v>
      </c>
      <c r="P219">
        <f>-719.982519344742 -189.254362586401 -208.645853938493</f>
        <v>-1117.882735869636</v>
      </c>
      <c r="Q219">
        <f>-508.931493370931 -99.6975361610384 -245.868838078105</f>
        <v>-854.49786761007442</v>
      </c>
      <c r="R219" t="s">
        <v>4189</v>
      </c>
      <c r="S219" t="s">
        <v>4190</v>
      </c>
      <c r="T219" t="s">
        <v>4191</v>
      </c>
      <c r="U219" t="s">
        <v>4192</v>
      </c>
      <c r="V219">
        <f>-595.187393014263 -57.7744767893594 -92.6876460641734</f>
        <v>-745.6495158677958</v>
      </c>
      <c r="W219" t="s">
        <v>4193</v>
      </c>
      <c r="X219" t="s">
        <v>4194</v>
      </c>
      <c r="Y219" t="s">
        <v>4195</v>
      </c>
    </row>
    <row r="220" spans="1:25" x14ac:dyDescent="0.3">
      <c r="A220">
        <v>10950</v>
      </c>
      <c r="B220" t="s">
        <v>4196</v>
      </c>
      <c r="C220" t="s">
        <v>4197</v>
      </c>
      <c r="D220" t="s">
        <v>4198</v>
      </c>
      <c r="E220" t="s">
        <v>4199</v>
      </c>
      <c r="F220" t="s">
        <v>4200</v>
      </c>
      <c r="G220" t="s">
        <v>4201</v>
      </c>
      <c r="H220" t="s">
        <v>4202</v>
      </c>
      <c r="I220" t="s">
        <v>4203</v>
      </c>
      <c r="J220" t="s">
        <v>4204</v>
      </c>
      <c r="K220" t="s">
        <v>4205</v>
      </c>
      <c r="L220" t="s">
        <v>4206</v>
      </c>
      <c r="M220" t="s">
        <v>4207</v>
      </c>
      <c r="N220">
        <f>-653.570462516499 -14.7240510817876 -526.704042736206</f>
        <v>-1194.9985563344926</v>
      </c>
      <c r="O220">
        <f>-681.217996874806 -163.000813375707 -486.876884047023</f>
        <v>-1331.0956942975361</v>
      </c>
      <c r="P220">
        <f>-719.44296185064 -189.402754799007 -208.631761354884</f>
        <v>-1117.4774780045309</v>
      </c>
      <c r="Q220">
        <f>-508.522568093086 -99.5614862047785 -245.909784821314</f>
        <v>-853.99383911917857</v>
      </c>
      <c r="R220" t="s">
        <v>4208</v>
      </c>
      <c r="S220" t="s">
        <v>4209</v>
      </c>
      <c r="T220" t="s">
        <v>4210</v>
      </c>
      <c r="U220" t="s">
        <v>4211</v>
      </c>
      <c r="V220">
        <f>-594.975089356483 -57.616788599664 -92.6759439385745</f>
        <v>-745.26782189472146</v>
      </c>
      <c r="W220" t="s">
        <v>4212</v>
      </c>
      <c r="X220" t="s">
        <v>4213</v>
      </c>
      <c r="Y220" t="s">
        <v>4214</v>
      </c>
    </row>
    <row r="221" spans="1:25" x14ac:dyDescent="0.3">
      <c r="A221">
        <v>11000</v>
      </c>
      <c r="B221" t="s">
        <v>4215</v>
      </c>
      <c r="C221" t="s">
        <v>4216</v>
      </c>
      <c r="D221" t="s">
        <v>4217</v>
      </c>
      <c r="E221" t="s">
        <v>4218</v>
      </c>
      <c r="F221" t="s">
        <v>4219</v>
      </c>
      <c r="G221" t="s">
        <v>4220</v>
      </c>
      <c r="H221" t="s">
        <v>4221</v>
      </c>
      <c r="I221" t="s">
        <v>4222</v>
      </c>
      <c r="J221" t="s">
        <v>4223</v>
      </c>
      <c r="K221" t="s">
        <v>4224</v>
      </c>
      <c r="L221" t="s">
        <v>4225</v>
      </c>
      <c r="M221" t="s">
        <v>4226</v>
      </c>
      <c r="N221">
        <f>-653.381336621881 -14.7320963106542 -526.722306434195</f>
        <v>-1194.8357393667302</v>
      </c>
      <c r="O221">
        <f>-680.886517961778 -163.028854333683 -486.862857243497</f>
        <v>-1330.7782295389582</v>
      </c>
      <c r="P221">
        <f>-718.80402881262 -189.504116815091 -208.58258043316</f>
        <v>-1116.890726060871</v>
      </c>
      <c r="Q221">
        <f>-508.025375138542 -99.3743323701979 -245.966059718519</f>
        <v>-853.36576722725886</v>
      </c>
      <c r="R221" t="s">
        <v>4227</v>
      </c>
      <c r="S221" t="s">
        <v>4228</v>
      </c>
      <c r="T221" t="s">
        <v>4229</v>
      </c>
      <c r="U221" t="s">
        <v>4230</v>
      </c>
      <c r="V221">
        <f>-594.684576980368 -57.5423700434244 -92.659443671832</f>
        <v>-744.88639069562441</v>
      </c>
      <c r="W221" t="s">
        <v>4231</v>
      </c>
      <c r="X221" t="s">
        <v>4232</v>
      </c>
      <c r="Y221" t="s">
        <v>4233</v>
      </c>
    </row>
    <row r="222" spans="1:25" x14ac:dyDescent="0.3">
      <c r="A222">
        <v>11050</v>
      </c>
      <c r="B222" t="s">
        <v>4234</v>
      </c>
      <c r="C222" t="s">
        <v>4235</v>
      </c>
      <c r="D222" t="s">
        <v>4236</v>
      </c>
      <c r="E222" t="s">
        <v>4237</v>
      </c>
      <c r="F222" t="s">
        <v>4238</v>
      </c>
      <c r="G222" t="s">
        <v>4239</v>
      </c>
      <c r="H222" t="s">
        <v>4240</v>
      </c>
      <c r="I222" t="s">
        <v>4241</v>
      </c>
      <c r="J222" t="s">
        <v>4242</v>
      </c>
      <c r="K222" t="s">
        <v>4243</v>
      </c>
      <c r="L222" t="s">
        <v>4244</v>
      </c>
      <c r="M222" t="s">
        <v>4245</v>
      </c>
      <c r="N222">
        <f>-652.906476566399 -14.4999867817551 -526.795881613303</f>
        <v>-1194.2023449614571</v>
      </c>
      <c r="O222">
        <f>-679.840939909428 -162.948317595309 -487.119573960493</f>
        <v>-1329.9088314652299</v>
      </c>
      <c r="P222">
        <f>-717.200070596924 -189.786333738121 -208.798514451786</f>
        <v>-1115.784918786831</v>
      </c>
      <c r="Q222">
        <f>-506.622252305508 -99.1575150977201 -246.106885555077</f>
        <v>-851.88665295830515</v>
      </c>
      <c r="R222" t="s">
        <v>4246</v>
      </c>
      <c r="S222" t="s">
        <v>4247</v>
      </c>
      <c r="T222" t="s">
        <v>4248</v>
      </c>
      <c r="U222" t="s">
        <v>4249</v>
      </c>
      <c r="V222">
        <f>-593.974076204542 -57.4337212471198 -92.6323077080064</f>
        <v>-744.0401051596682</v>
      </c>
      <c r="W222" t="s">
        <v>4250</v>
      </c>
      <c r="X222" t="s">
        <v>4251</v>
      </c>
      <c r="Y222" t="s">
        <v>4252</v>
      </c>
    </row>
    <row r="223" spans="1:25" x14ac:dyDescent="0.3">
      <c r="A223">
        <v>11100</v>
      </c>
      <c r="B223" t="s">
        <v>4253</v>
      </c>
      <c r="C223" t="s">
        <v>4254</v>
      </c>
      <c r="D223" t="s">
        <v>4255</v>
      </c>
      <c r="E223" t="s">
        <v>4256</v>
      </c>
      <c r="F223" t="s">
        <v>4257</v>
      </c>
      <c r="G223" t="s">
        <v>4258</v>
      </c>
      <c r="H223" t="s">
        <v>4259</v>
      </c>
      <c r="I223" t="s">
        <v>4260</v>
      </c>
      <c r="J223" t="s">
        <v>4261</v>
      </c>
      <c r="K223" t="s">
        <v>4262</v>
      </c>
      <c r="L223" t="s">
        <v>4263</v>
      </c>
      <c r="M223" t="s">
        <v>4264</v>
      </c>
      <c r="N223">
        <f>-651.357471338085 -14.533536122447 -526.845278883434</f>
        <v>-1192.7362863439662</v>
      </c>
      <c r="O223">
        <f>-677.238571078045 -163.232344053685 -487.393931708694</f>
        <v>-1327.864846840424</v>
      </c>
      <c r="P223">
        <f>-714.431256515071 -190.439953635408 -209.086404437307</f>
        <v>-1113.9576145877859</v>
      </c>
      <c r="Q223">
        <f>-504.053713539758 -99.3174365442683 -246.321878113366</f>
        <v>-849.69302819739232</v>
      </c>
      <c r="R223" t="s">
        <v>4265</v>
      </c>
      <c r="S223" t="s">
        <v>4266</v>
      </c>
      <c r="T223" t="s">
        <v>4267</v>
      </c>
      <c r="U223" t="s">
        <v>4268</v>
      </c>
      <c r="V223">
        <f>-593.155176705644 -57.3352079673014 -92.5810990919138</f>
        <v>-743.07148376485907</v>
      </c>
      <c r="W223" t="s">
        <v>4269</v>
      </c>
      <c r="X223" t="s">
        <v>4270</v>
      </c>
      <c r="Y223" t="s">
        <v>4271</v>
      </c>
    </row>
    <row r="224" spans="1:25" x14ac:dyDescent="0.3">
      <c r="A224">
        <v>11150</v>
      </c>
      <c r="B224" t="s">
        <v>4272</v>
      </c>
      <c r="C224" t="s">
        <v>4273</v>
      </c>
      <c r="D224" t="s">
        <v>4274</v>
      </c>
      <c r="E224" t="s">
        <v>4275</v>
      </c>
      <c r="F224" t="s">
        <v>4276</v>
      </c>
      <c r="G224" t="s">
        <v>4277</v>
      </c>
      <c r="H224" t="s">
        <v>4278</v>
      </c>
      <c r="I224" t="s">
        <v>4279</v>
      </c>
      <c r="J224" t="s">
        <v>4280</v>
      </c>
      <c r="K224" t="s">
        <v>4281</v>
      </c>
      <c r="L224" t="s">
        <v>4282</v>
      </c>
      <c r="M224" t="s">
        <v>4283</v>
      </c>
      <c r="N224">
        <f>-650.776944588103 -14.1675955967764 -526.941696979083</f>
        <v>-1191.8862371639625</v>
      </c>
      <c r="O224">
        <f>-676.231695735126 -163.037511536343 -487.819841000364</f>
        <v>-1327.089048271833</v>
      </c>
      <c r="P224">
        <f>-713.408311252196 -190.608745010033 -209.546150890529</f>
        <v>-1113.563207152758</v>
      </c>
      <c r="Q224">
        <f>-503.091502334408 -99.2108420931263 -246.448516420162</f>
        <v>-848.75086084769634</v>
      </c>
      <c r="R224" t="s">
        <v>4284</v>
      </c>
      <c r="S224" t="s">
        <v>4285</v>
      </c>
      <c r="T224" t="s">
        <v>4286</v>
      </c>
      <c r="U224" t="s">
        <v>4287</v>
      </c>
      <c r="V224">
        <f>-592.680047041601 -57.3096239826673 -92.5562955424045</f>
        <v>-742.54596656667286</v>
      </c>
      <c r="W224" t="s">
        <v>4288</v>
      </c>
      <c r="X224" t="s">
        <v>4289</v>
      </c>
      <c r="Y224" t="s">
        <v>4290</v>
      </c>
    </row>
    <row r="225" spans="1:25" x14ac:dyDescent="0.3">
      <c r="A225">
        <v>11200</v>
      </c>
      <c r="B225" t="s">
        <v>4291</v>
      </c>
      <c r="C225" t="s">
        <v>4292</v>
      </c>
      <c r="D225" t="s">
        <v>4293</v>
      </c>
      <c r="E225" t="s">
        <v>4294</v>
      </c>
      <c r="F225" t="s">
        <v>4295</v>
      </c>
      <c r="G225" t="s">
        <v>4296</v>
      </c>
      <c r="H225" t="s">
        <v>4297</v>
      </c>
      <c r="I225" t="s">
        <v>4298</v>
      </c>
      <c r="J225" t="s">
        <v>4299</v>
      </c>
      <c r="K225" t="s">
        <v>4300</v>
      </c>
      <c r="L225" t="s">
        <v>4301</v>
      </c>
      <c r="M225" t="s">
        <v>4302</v>
      </c>
      <c r="N225">
        <f>-649.564548172849 -13.17855950733 -527.206627867915</f>
        <v>-1189.9497355480939</v>
      </c>
      <c r="O225">
        <f>-674.727638020906 -162.351129530887 -489.09300356085</f>
        <v>-1326.171771112643</v>
      </c>
      <c r="P225">
        <f>-711.833913911184 -191.561531738639 -210.977245422511</f>
        <v>-1114.372691072334</v>
      </c>
      <c r="Q225">
        <f>-501.768091665215 -99.201923551534 -246.902085010757</f>
        <v>-847.87210022750605</v>
      </c>
      <c r="R225" t="s">
        <v>4303</v>
      </c>
      <c r="S225" t="s">
        <v>4304</v>
      </c>
      <c r="T225" t="s">
        <v>4305</v>
      </c>
      <c r="U225" t="s">
        <v>4306</v>
      </c>
      <c r="V225">
        <f>-592.008149288434 -57.2459415485848 -92.505514534181</f>
        <v>-741.75960537119977</v>
      </c>
      <c r="W225" t="s">
        <v>4307</v>
      </c>
      <c r="X225" t="s">
        <v>4308</v>
      </c>
      <c r="Y225" t="s">
        <v>4309</v>
      </c>
    </row>
    <row r="226" spans="1:25" x14ac:dyDescent="0.3">
      <c r="A226">
        <v>11250</v>
      </c>
      <c r="B226" t="s">
        <v>4310</v>
      </c>
      <c r="C226" t="s">
        <v>4311</v>
      </c>
      <c r="D226" t="s">
        <v>4312</v>
      </c>
      <c r="E226" t="s">
        <v>4313</v>
      </c>
      <c r="F226" t="s">
        <v>4314</v>
      </c>
      <c r="G226" t="s">
        <v>4315</v>
      </c>
      <c r="H226" t="s">
        <v>4316</v>
      </c>
      <c r="I226" t="s">
        <v>4317</v>
      </c>
      <c r="J226" t="s">
        <v>4318</v>
      </c>
      <c r="K226" t="s">
        <v>4319</v>
      </c>
      <c r="L226" t="s">
        <v>4320</v>
      </c>
      <c r="M226" t="s">
        <v>4321</v>
      </c>
      <c r="N226">
        <f>-648.672422582282 -12.5947523546142 -527.369713422559</f>
        <v>-1188.6368883594553</v>
      </c>
      <c r="O226">
        <f>-673.767693702826 -161.925186035259 -489.855858552969</f>
        <v>-1325.548738291054</v>
      </c>
      <c r="P226">
        <f>-711.164930499771 -192.305190429617 -211.904323855948</f>
        <v>-1115.374444785336</v>
      </c>
      <c r="Q226">
        <f>-501.205220840133 -99.4841948079779 -247.255869862719</f>
        <v>-847.94528551082988</v>
      </c>
      <c r="R226" t="s">
        <v>4322</v>
      </c>
      <c r="S226" t="s">
        <v>4323</v>
      </c>
      <c r="T226" t="s">
        <v>4324</v>
      </c>
      <c r="U226" t="s">
        <v>4325</v>
      </c>
      <c r="V226">
        <f>-591.838972488218 -57.1779926430963 -92.481439853212</f>
        <v>-741.49840498452636</v>
      </c>
      <c r="W226" t="s">
        <v>4326</v>
      </c>
      <c r="X226" t="s">
        <v>4327</v>
      </c>
      <c r="Y226" t="s">
        <v>4328</v>
      </c>
    </row>
    <row r="227" spans="1:25" x14ac:dyDescent="0.3">
      <c r="A227">
        <v>11300</v>
      </c>
      <c r="B227" t="s">
        <v>4329</v>
      </c>
      <c r="C227" t="s">
        <v>4330</v>
      </c>
      <c r="D227" t="s">
        <v>4331</v>
      </c>
      <c r="E227" t="s">
        <v>4332</v>
      </c>
      <c r="F227" t="s">
        <v>4333</v>
      </c>
      <c r="G227" t="s">
        <v>4334</v>
      </c>
      <c r="H227" t="s">
        <v>4335</v>
      </c>
      <c r="I227" t="s">
        <v>4336</v>
      </c>
      <c r="J227" t="s">
        <v>4337</v>
      </c>
      <c r="K227" t="s">
        <v>4338</v>
      </c>
      <c r="L227" t="s">
        <v>4339</v>
      </c>
      <c r="M227" t="s">
        <v>4340</v>
      </c>
      <c r="N227">
        <f>-645.677855083971 -11.5558921985314 -527.863933932688</f>
        <v>-1185.0976812151905</v>
      </c>
      <c r="O227">
        <f>-670.985824649339 -161.137316218892 -491.515567808439</f>
        <v>-1323.6387086766699</v>
      </c>
      <c r="P227">
        <f>-709.093512301102 -193.854146438941 -213.925923095752</f>
        <v>-1116.873581835795</v>
      </c>
      <c r="Q227">
        <f>-499.080576285839 -100.600303489216 -247.790732900994</f>
        <v>-847.47161267604906</v>
      </c>
      <c r="R227" t="s">
        <v>4341</v>
      </c>
      <c r="S227" t="s">
        <v>4342</v>
      </c>
      <c r="T227" t="s">
        <v>4343</v>
      </c>
      <c r="U227" t="s">
        <v>4344</v>
      </c>
      <c r="V227">
        <f>-591.86538261336 -57.2248778713572 -92.4717972143328</f>
        <v>-741.56205769905</v>
      </c>
      <c r="W227" t="s">
        <v>4345</v>
      </c>
      <c r="X227" t="s">
        <v>4346</v>
      </c>
      <c r="Y227" t="s">
        <v>4347</v>
      </c>
    </row>
    <row r="228" spans="1:25" x14ac:dyDescent="0.3">
      <c r="A228">
        <v>11350</v>
      </c>
      <c r="B228" t="s">
        <v>4348</v>
      </c>
      <c r="C228" t="s">
        <v>4349</v>
      </c>
      <c r="D228" t="s">
        <v>4350</v>
      </c>
      <c r="E228" t="s">
        <v>4351</v>
      </c>
      <c r="F228" t="s">
        <v>4352</v>
      </c>
      <c r="G228" t="s">
        <v>4353</v>
      </c>
      <c r="H228" t="s">
        <v>4354</v>
      </c>
      <c r="I228" t="s">
        <v>4355</v>
      </c>
      <c r="J228" t="s">
        <v>4356</v>
      </c>
      <c r="K228" t="s">
        <v>4357</v>
      </c>
      <c r="L228" t="s">
        <v>4358</v>
      </c>
      <c r="M228" t="s">
        <v>4359</v>
      </c>
      <c r="N228">
        <f>-644.599412139196 -11.1019449143364 -528.071290399796</f>
        <v>-1183.7726474533283</v>
      </c>
      <c r="O228">
        <f>-670.167604990335 -160.744274800364 -492.189462008329</f>
        <v>-1323.101341799028</v>
      </c>
      <c r="P228">
        <f>-708.941057981838 -194.394661621201 -214.803624099752</f>
        <v>-1118.1393437027909</v>
      </c>
      <c r="Q228">
        <f>-498.826862308744 -101.084585194774 -247.875501983675</f>
        <v>-847.78694948719306</v>
      </c>
      <c r="R228" t="s">
        <v>4360</v>
      </c>
      <c r="S228" t="s">
        <v>4361</v>
      </c>
      <c r="T228" t="s">
        <v>4362</v>
      </c>
      <c r="U228" t="s">
        <v>4363</v>
      </c>
      <c r="V228">
        <f>-592.008950991359 -57.4245511329461 -92.4814551002667</f>
        <v>-741.91495722457182</v>
      </c>
      <c r="W228" t="s">
        <v>4364</v>
      </c>
      <c r="X228" t="s">
        <v>4365</v>
      </c>
      <c r="Y228" t="s">
        <v>4366</v>
      </c>
    </row>
    <row r="229" spans="1:25" x14ac:dyDescent="0.3">
      <c r="A229">
        <v>11400</v>
      </c>
      <c r="B229" t="s">
        <v>4367</v>
      </c>
      <c r="C229" t="s">
        <v>4368</v>
      </c>
      <c r="D229" t="s">
        <v>4369</v>
      </c>
      <c r="E229" t="s">
        <v>4370</v>
      </c>
      <c r="F229" t="s">
        <v>4371</v>
      </c>
      <c r="G229" t="s">
        <v>4372</v>
      </c>
      <c r="H229" t="s">
        <v>4373</v>
      </c>
      <c r="I229" t="s">
        <v>4374</v>
      </c>
      <c r="J229" t="s">
        <v>4375</v>
      </c>
      <c r="K229" t="s">
        <v>4376</v>
      </c>
      <c r="L229" t="s">
        <v>4377</v>
      </c>
      <c r="M229" t="s">
        <v>4378</v>
      </c>
      <c r="N229">
        <f>-643.090329990912 -11.1049606095175 -528.314061732601</f>
        <v>-1182.5093523330306</v>
      </c>
      <c r="O229">
        <f>-669.32353449283 -160.696347395535 -492.677083470898</f>
        <v>-1322.696965359263</v>
      </c>
      <c r="P229">
        <f>-709.406602410907 -194.748995599629 -215.526699805097</f>
        <v>-1119.6822978156329</v>
      </c>
      <c r="Q229">
        <f>-498.992131567365 -101.835607093831 -247.796777987478</f>
        <v>-848.62451664867399</v>
      </c>
      <c r="R229" t="s">
        <v>4379</v>
      </c>
      <c r="S229" t="s">
        <v>4380</v>
      </c>
      <c r="T229" t="s">
        <v>4381</v>
      </c>
      <c r="U229" t="s">
        <v>4382</v>
      </c>
      <c r="V229">
        <f>-592.188731386508 -57.9057516399535 -92.5265936214297</f>
        <v>-742.62107664789119</v>
      </c>
      <c r="W229" t="s">
        <v>4383</v>
      </c>
      <c r="X229" t="s">
        <v>4384</v>
      </c>
      <c r="Y229" t="s">
        <v>4385</v>
      </c>
    </row>
    <row r="230" spans="1:25" x14ac:dyDescent="0.3">
      <c r="A230">
        <v>11450</v>
      </c>
      <c r="B230" t="s">
        <v>4386</v>
      </c>
      <c r="C230" t="s">
        <v>4387</v>
      </c>
      <c r="D230" t="s">
        <v>4388</v>
      </c>
      <c r="E230" t="s">
        <v>4389</v>
      </c>
      <c r="F230" t="s">
        <v>4390</v>
      </c>
      <c r="G230" t="s">
        <v>4391</v>
      </c>
      <c r="H230" t="s">
        <v>4392</v>
      </c>
      <c r="I230" t="s">
        <v>4393</v>
      </c>
      <c r="J230" t="s">
        <v>4394</v>
      </c>
      <c r="K230" t="s">
        <v>4395</v>
      </c>
      <c r="L230" t="s">
        <v>4396</v>
      </c>
      <c r="M230" t="s">
        <v>4397</v>
      </c>
      <c r="N230">
        <f>-642.743969164726 -11.3926617529107 -528.331481315716</f>
        <v>-1182.4681122333527</v>
      </c>
      <c r="O230">
        <f>-669.315860033952 -160.898834924204 -492.560857070283</f>
        <v>-1322.7755520284391</v>
      </c>
      <c r="P230">
        <f>-709.74332405992 -194.434788270436 -215.397490903469</f>
        <v>-1119.5756032338249</v>
      </c>
      <c r="Q230">
        <f>-499.155642113449 -101.874087108582 -247.55113879498</f>
        <v>-848.58086801701108</v>
      </c>
      <c r="R230" t="s">
        <v>4398</v>
      </c>
      <c r="S230" t="s">
        <v>4399</v>
      </c>
      <c r="T230" t="s">
        <v>4400</v>
      </c>
      <c r="U230" t="s">
        <v>4401</v>
      </c>
      <c r="V230">
        <f>-592.139934501604 -58.1415027122496 -92.5494844474621</f>
        <v>-742.83092166131564</v>
      </c>
      <c r="W230" t="s">
        <v>4402</v>
      </c>
      <c r="X230" t="s">
        <v>4403</v>
      </c>
      <c r="Y230" t="s">
        <v>4404</v>
      </c>
    </row>
    <row r="231" spans="1:25" x14ac:dyDescent="0.3">
      <c r="A231">
        <v>11500</v>
      </c>
      <c r="B231" t="s">
        <v>4405</v>
      </c>
      <c r="C231" t="s">
        <v>4406</v>
      </c>
      <c r="D231" t="s">
        <v>4407</v>
      </c>
      <c r="E231" t="s">
        <v>4408</v>
      </c>
      <c r="F231" t="s">
        <v>4409</v>
      </c>
      <c r="G231" t="s">
        <v>4410</v>
      </c>
      <c r="H231" t="s">
        <v>4411</v>
      </c>
      <c r="I231" t="s">
        <v>4412</v>
      </c>
      <c r="J231" t="s">
        <v>4413</v>
      </c>
      <c r="K231" t="s">
        <v>4414</v>
      </c>
      <c r="L231" t="s">
        <v>4415</v>
      </c>
      <c r="M231" t="s">
        <v>4416</v>
      </c>
      <c r="N231">
        <f>-642.283816211494 -11.7222380424107 -528.27255924088</f>
        <v>-1182.2786134947846</v>
      </c>
      <c r="O231">
        <f>-669.397372254313 -161.039722076945 -492.136221177062</f>
        <v>-1322.5733155083201</v>
      </c>
      <c r="P231">
        <f>-709.770289690377 -193.423841270584 -214.828038576605</f>
        <v>-1118.022169537566</v>
      </c>
      <c r="Q231">
        <f>-498.905238229737 -101.539589201875 -247.104010317037</f>
        <v>-847.54883774864902</v>
      </c>
      <c r="R231" t="s">
        <v>4417</v>
      </c>
      <c r="S231" t="s">
        <v>4418</v>
      </c>
      <c r="T231" t="s">
        <v>4419</v>
      </c>
      <c r="U231" t="s">
        <v>4420</v>
      </c>
      <c r="V231">
        <f>-591.749420546106 -58.2693845895958 -92.5400314745064</f>
        <v>-742.55883661020812</v>
      </c>
      <c r="W231" t="s">
        <v>4421</v>
      </c>
      <c r="X231" t="s">
        <v>4422</v>
      </c>
      <c r="Y231" t="s">
        <v>4423</v>
      </c>
    </row>
    <row r="232" spans="1:25" x14ac:dyDescent="0.3">
      <c r="A232">
        <v>11550</v>
      </c>
      <c r="B232" t="s">
        <v>4424</v>
      </c>
      <c r="C232" t="s">
        <v>4425</v>
      </c>
      <c r="D232" t="s">
        <v>4426</v>
      </c>
      <c r="E232" t="s">
        <v>4427</v>
      </c>
      <c r="F232" t="s">
        <v>4428</v>
      </c>
      <c r="G232" t="s">
        <v>4429</v>
      </c>
      <c r="H232" t="s">
        <v>4430</v>
      </c>
      <c r="I232" t="s">
        <v>4431</v>
      </c>
      <c r="J232" t="s">
        <v>4432</v>
      </c>
      <c r="K232" t="s">
        <v>4433</v>
      </c>
      <c r="L232" t="s">
        <v>4434</v>
      </c>
      <c r="M232" t="s">
        <v>4435</v>
      </c>
      <c r="N232">
        <f>-642.093489304311 -11.8334379205762 -528.222124484607</f>
        <v>-1182.1490517094942</v>
      </c>
      <c r="O232">
        <f>-669.271822806943 -161.120696377258 -491.989448229525</f>
        <v>-1322.381967413726</v>
      </c>
      <c r="P232">
        <f>-709.588905598356 -193.222005727072 -214.640148547854</f>
        <v>-1117.451059873282</v>
      </c>
      <c r="Q232">
        <f>-498.648665661314 -101.588550655623 -247.13707184112</f>
        <v>-847.37428815805697</v>
      </c>
      <c r="R232" t="s">
        <v>4436</v>
      </c>
      <c r="S232" t="s">
        <v>4437</v>
      </c>
      <c r="T232" t="s">
        <v>4438</v>
      </c>
      <c r="U232" t="s">
        <v>4439</v>
      </c>
      <c r="V232">
        <f>-591.515313245247 -58.2439293380837 -92.5205482441729</f>
        <v>-742.27979082750358</v>
      </c>
      <c r="W232" t="s">
        <v>4440</v>
      </c>
      <c r="X232" t="s">
        <v>4441</v>
      </c>
      <c r="Y232" t="s">
        <v>4442</v>
      </c>
    </row>
    <row r="233" spans="1:25" x14ac:dyDescent="0.3">
      <c r="A233">
        <v>11600</v>
      </c>
      <c r="B233" t="s">
        <v>4443</v>
      </c>
      <c r="C233" t="s">
        <v>4444</v>
      </c>
      <c r="D233" t="s">
        <v>4445</v>
      </c>
      <c r="E233" t="s">
        <v>4446</v>
      </c>
      <c r="F233" t="s">
        <v>4447</v>
      </c>
      <c r="G233" t="s">
        <v>4448</v>
      </c>
      <c r="H233" t="s">
        <v>4449</v>
      </c>
      <c r="I233" t="s">
        <v>4450</v>
      </c>
      <c r="J233" t="s">
        <v>4451</v>
      </c>
      <c r="K233" t="s">
        <v>4452</v>
      </c>
      <c r="L233" t="s">
        <v>4453</v>
      </c>
      <c r="M233" t="s">
        <v>4454</v>
      </c>
      <c r="N233">
        <f>-642.296169956198 -11.7936115874948 -528.074895330505</f>
        <v>-1182.1646768741978</v>
      </c>
      <c r="O233">
        <f>-669.508864639935 -161.035720668818 -491.677420404199</f>
        <v>-1322.2220057129521</v>
      </c>
      <c r="P233">
        <f>-709.248254139734 -193.323673048037 -214.266409715919</f>
        <v>-1116.8383369036899</v>
      </c>
      <c r="Q233">
        <f>-498.336346985503 -101.808008930252 -247.275438488785</f>
        <v>-847.41979440453997</v>
      </c>
      <c r="R233" t="s">
        <v>4455</v>
      </c>
      <c r="S233" t="s">
        <v>4456</v>
      </c>
      <c r="T233" t="s">
        <v>4457</v>
      </c>
      <c r="U233" t="s">
        <v>4458</v>
      </c>
      <c r="V233">
        <f>-591.036966851752 -58.0406427628664 -92.4557212654307</f>
        <v>-741.53333088004911</v>
      </c>
      <c r="W233" t="s">
        <v>4459</v>
      </c>
      <c r="X233" t="s">
        <v>4460</v>
      </c>
      <c r="Y233" t="s">
        <v>4461</v>
      </c>
    </row>
    <row r="234" spans="1:25" x14ac:dyDescent="0.3">
      <c r="A234">
        <v>11650</v>
      </c>
      <c r="B234" t="s">
        <v>4462</v>
      </c>
      <c r="C234" t="s">
        <v>4463</v>
      </c>
      <c r="D234" t="s">
        <v>4464</v>
      </c>
      <c r="E234" t="s">
        <v>4465</v>
      </c>
      <c r="F234" t="s">
        <v>4466</v>
      </c>
      <c r="G234" t="s">
        <v>4467</v>
      </c>
      <c r="H234" t="s">
        <v>4468</v>
      </c>
      <c r="I234" t="s">
        <v>4469</v>
      </c>
      <c r="J234" t="s">
        <v>4470</v>
      </c>
      <c r="K234" t="s">
        <v>4471</v>
      </c>
      <c r="L234" t="s">
        <v>4472</v>
      </c>
      <c r="M234" t="s">
        <v>4473</v>
      </c>
      <c r="N234">
        <f>-642.514103275063 -11.5564520383034 -527.996340020166</f>
        <v>-1182.0668953335326</v>
      </c>
      <c r="O234">
        <f>-669.695743455321 -160.791366906935 -491.53854653765</f>
        <v>-1322.0256568999059</v>
      </c>
      <c r="P234">
        <f>-709.067644487717 -193.273056264806 -214.097893281934</f>
        <v>-1116.4385940344569</v>
      </c>
      <c r="Q234">
        <f>-498.186003335318 -101.767993239465 -247.328341942396</f>
        <v>-847.28233851717903</v>
      </c>
      <c r="R234" t="s">
        <v>4474</v>
      </c>
      <c r="S234" t="s">
        <v>4475</v>
      </c>
      <c r="T234" t="s">
        <v>4476</v>
      </c>
      <c r="U234" t="s">
        <v>4477</v>
      </c>
      <c r="V234">
        <f>-590.782675303949 -57.8608628350266 -92.4228722791705</f>
        <v>-741.06641041814612</v>
      </c>
      <c r="W234" t="s">
        <v>4478</v>
      </c>
      <c r="X234" t="s">
        <v>4479</v>
      </c>
      <c r="Y234" t="s">
        <v>4480</v>
      </c>
    </row>
    <row r="235" spans="1:25" x14ac:dyDescent="0.3">
      <c r="A235">
        <v>11700</v>
      </c>
      <c r="B235" t="s">
        <v>4481</v>
      </c>
      <c r="C235" t="s">
        <v>4482</v>
      </c>
      <c r="D235" t="s">
        <v>4483</v>
      </c>
      <c r="E235" t="s">
        <v>4484</v>
      </c>
      <c r="F235" t="s">
        <v>4485</v>
      </c>
      <c r="G235" t="s">
        <v>4486</v>
      </c>
      <c r="H235" t="s">
        <v>4487</v>
      </c>
      <c r="I235" t="s">
        <v>4488</v>
      </c>
      <c r="J235" t="s">
        <v>4489</v>
      </c>
      <c r="K235" t="s">
        <v>4490</v>
      </c>
      <c r="L235" t="s">
        <v>4491</v>
      </c>
      <c r="M235" t="s">
        <v>4492</v>
      </c>
      <c r="N235">
        <f>-642.633590159212 -10.9957413111567 -527.921914581575</f>
        <v>-1181.5512460519437</v>
      </c>
      <c r="O235">
        <f>-669.673818327102 -160.252555897474 -491.51666714136</f>
        <v>-1321.4430413659361</v>
      </c>
      <c r="P235">
        <f>-708.780140462521 -192.795497193438 -214.045433691531</f>
        <v>-1115.62107134749</v>
      </c>
      <c r="Q235">
        <f>-497.905245923624 -101.33859833501 -247.451389133205</f>
        <v>-846.695233391839</v>
      </c>
      <c r="R235" t="s">
        <v>4493</v>
      </c>
      <c r="S235" t="s">
        <v>4494</v>
      </c>
      <c r="T235" t="s">
        <v>4495</v>
      </c>
      <c r="U235" t="s">
        <v>4496</v>
      </c>
      <c r="V235">
        <f>-590.233049342977 -57.4935354595307 -92.3641740393387</f>
        <v>-740.09075884184631</v>
      </c>
      <c r="W235" t="s">
        <v>4497</v>
      </c>
      <c r="X235" t="s">
        <v>4498</v>
      </c>
      <c r="Y235" t="s">
        <v>4499</v>
      </c>
    </row>
    <row r="236" spans="1:25" x14ac:dyDescent="0.3">
      <c r="A236">
        <v>11750</v>
      </c>
      <c r="B236" t="s">
        <v>4500</v>
      </c>
      <c r="C236" t="s">
        <v>4501</v>
      </c>
      <c r="D236" t="s">
        <v>4502</v>
      </c>
      <c r="E236" t="s">
        <v>4503</v>
      </c>
      <c r="F236" t="s">
        <v>4504</v>
      </c>
      <c r="G236" t="s">
        <v>4505</v>
      </c>
      <c r="H236" t="s">
        <v>4506</v>
      </c>
      <c r="I236" t="s">
        <v>4507</v>
      </c>
      <c r="J236" t="s">
        <v>4508</v>
      </c>
      <c r="K236" t="s">
        <v>4509</v>
      </c>
      <c r="L236" t="s">
        <v>4510</v>
      </c>
      <c r="M236" t="s">
        <v>4511</v>
      </c>
      <c r="N236">
        <f>-642.545542346935 -10.9389197487494 -527.891801061959</f>
        <v>-1181.3762631576433</v>
      </c>
      <c r="O236">
        <f>-669.485073747373 -160.22359469104 -491.51028506174</f>
        <v>-1321.218953500153</v>
      </c>
      <c r="P236">
        <f>-708.532948508613 -192.819238345184 -214.036997160536</f>
        <v>-1115.3891840143331</v>
      </c>
      <c r="Q236">
        <f>-497.667660387799 -101.358990155954 -247.494136962622</f>
        <v>-846.52078750637497</v>
      </c>
      <c r="R236" t="s">
        <v>4512</v>
      </c>
      <c r="S236" t="s">
        <v>4513</v>
      </c>
      <c r="T236" t="s">
        <v>4514</v>
      </c>
      <c r="U236" t="s">
        <v>4515</v>
      </c>
      <c r="V236">
        <f>-589.95634946633 -57.3776869049877 -92.339100030925</f>
        <v>-739.67313640224279</v>
      </c>
      <c r="W236" t="s">
        <v>4516</v>
      </c>
      <c r="X236" t="s">
        <v>4517</v>
      </c>
      <c r="Y236" t="s">
        <v>4518</v>
      </c>
    </row>
    <row r="237" spans="1:25" x14ac:dyDescent="0.3">
      <c r="A237">
        <v>11800</v>
      </c>
      <c r="B237" t="s">
        <v>4519</v>
      </c>
      <c r="C237" t="s">
        <v>4520</v>
      </c>
      <c r="D237" t="s">
        <v>4521</v>
      </c>
      <c r="E237" t="s">
        <v>4522</v>
      </c>
      <c r="F237" t="s">
        <v>4523</v>
      </c>
      <c r="G237" t="s">
        <v>4524</v>
      </c>
      <c r="H237" t="s">
        <v>4525</v>
      </c>
      <c r="I237" t="s">
        <v>4526</v>
      </c>
      <c r="J237" t="s">
        <v>4527</v>
      </c>
      <c r="K237" t="s">
        <v>4528</v>
      </c>
      <c r="L237" t="s">
        <v>4529</v>
      </c>
      <c r="M237" t="s">
        <v>4530</v>
      </c>
      <c r="N237">
        <f>-642.459369228813 -10.8436542292523 -527.775323190178</f>
        <v>-1181.0783466482433</v>
      </c>
      <c r="O237">
        <f>-669.234174826293 -160.147831382684 -491.333231381004</f>
        <v>-1320.7152375899809</v>
      </c>
      <c r="P237">
        <f>-707.946219795002 -192.816268029311 -213.821517428416</f>
        <v>-1114.584005252729</v>
      </c>
      <c r="Q237">
        <f>-497.222942318659 -101.121835362329 -247.531838260628</f>
        <v>-845.87661594161602</v>
      </c>
      <c r="R237" t="s">
        <v>4531</v>
      </c>
      <c r="S237" t="s">
        <v>4532</v>
      </c>
      <c r="T237" t="s">
        <v>4533</v>
      </c>
      <c r="U237" t="s">
        <v>4534</v>
      </c>
      <c r="V237">
        <f>-589.368417430185 -57.1625819549131 -92.2936634035143</f>
        <v>-738.82466278861239</v>
      </c>
      <c r="W237" t="s">
        <v>4535</v>
      </c>
      <c r="X237" t="s">
        <v>4536</v>
      </c>
      <c r="Y237" t="s">
        <v>4537</v>
      </c>
    </row>
    <row r="238" spans="1:25" x14ac:dyDescent="0.3">
      <c r="A238">
        <v>11850</v>
      </c>
      <c r="B238" t="s">
        <v>4538</v>
      </c>
      <c r="C238" t="s">
        <v>4539</v>
      </c>
      <c r="D238" t="s">
        <v>4540</v>
      </c>
      <c r="E238" t="s">
        <v>4541</v>
      </c>
      <c r="F238" t="s">
        <v>4542</v>
      </c>
      <c r="G238" t="s">
        <v>4543</v>
      </c>
      <c r="H238" t="s">
        <v>4544</v>
      </c>
      <c r="I238" t="s">
        <v>4545</v>
      </c>
      <c r="J238" t="s">
        <v>4546</v>
      </c>
      <c r="K238" t="s">
        <v>4547</v>
      </c>
      <c r="L238" t="s">
        <v>4548</v>
      </c>
      <c r="M238" t="s">
        <v>4549</v>
      </c>
      <c r="N238">
        <f>-642.476405127219 -10.7542806061242 -527.729992155883</f>
        <v>-1180.9606778892262</v>
      </c>
      <c r="O238">
        <f>-669.155147734868 -160.079356935719 -491.293556997264</f>
        <v>-1320.528061667851</v>
      </c>
      <c r="P238">
        <f>-707.643908581919 -192.682824024951 -213.743213999823</f>
        <v>-1114.0699466066931</v>
      </c>
      <c r="Q238">
        <f>-496.978454994353 -100.899295307491 -247.572082896173</f>
        <v>-845.44983319801702</v>
      </c>
      <c r="R238" t="s">
        <v>4550</v>
      </c>
      <c r="S238" t="s">
        <v>4551</v>
      </c>
      <c r="T238" t="s">
        <v>4552</v>
      </c>
      <c r="U238" t="s">
        <v>4553</v>
      </c>
      <c r="V238">
        <f>-589.073958361791 -57.0888460388533 -92.2779563756008</f>
        <v>-738.44076077624504</v>
      </c>
      <c r="W238" t="s">
        <v>4554</v>
      </c>
      <c r="X238" t="s">
        <v>4555</v>
      </c>
      <c r="Y238" t="s">
        <v>4556</v>
      </c>
    </row>
    <row r="239" spans="1:25" x14ac:dyDescent="0.3">
      <c r="A239">
        <v>11900</v>
      </c>
      <c r="B239" t="s">
        <v>4557</v>
      </c>
      <c r="C239" t="s">
        <v>4558</v>
      </c>
      <c r="D239" t="s">
        <v>4559</v>
      </c>
      <c r="E239" t="s">
        <v>4560</v>
      </c>
      <c r="F239" t="s">
        <v>4561</v>
      </c>
      <c r="G239" t="s">
        <v>4562</v>
      </c>
      <c r="H239" t="s">
        <v>4563</v>
      </c>
      <c r="I239" t="s">
        <v>4564</v>
      </c>
      <c r="J239" t="s">
        <v>4565</v>
      </c>
      <c r="K239" t="s">
        <v>4566</v>
      </c>
      <c r="L239" t="s">
        <v>4567</v>
      </c>
      <c r="M239" t="s">
        <v>4568</v>
      </c>
      <c r="N239">
        <f>-642.798417450926 -10.5890894771767 -527.623195282672</f>
        <v>-1181.0107022107745</v>
      </c>
      <c r="O239">
        <f>-669.311259081496 -159.946194997041 -491.205581683032</f>
        <v>-1320.463035761569</v>
      </c>
      <c r="P239">
        <f>-707.543033446089 -192.384559595431 -213.60043840271</f>
        <v>-1113.52803144423</v>
      </c>
      <c r="Q239">
        <f>-496.977936098388 -100.418206465476 -247.55708779345</f>
        <v>-844.95323035731406</v>
      </c>
      <c r="R239" t="s">
        <v>4569</v>
      </c>
      <c r="S239" t="s">
        <v>4570</v>
      </c>
      <c r="T239" t="s">
        <v>4571</v>
      </c>
      <c r="U239" t="s">
        <v>4572</v>
      </c>
      <c r="V239">
        <f>-588.558829474899 -57.0081743005348 -92.2558342210152</f>
        <v>-737.82283799644904</v>
      </c>
      <c r="W239" t="s">
        <v>4573</v>
      </c>
      <c r="X239" t="s">
        <v>4574</v>
      </c>
      <c r="Y239" t="s">
        <v>4575</v>
      </c>
    </row>
    <row r="240" spans="1:25" x14ac:dyDescent="0.3">
      <c r="A240">
        <v>11950</v>
      </c>
      <c r="B240" t="s">
        <v>4576</v>
      </c>
      <c r="C240" t="s">
        <v>4577</v>
      </c>
      <c r="D240" t="s">
        <v>4578</v>
      </c>
      <c r="E240" t="s">
        <v>4579</v>
      </c>
      <c r="F240" t="s">
        <v>4580</v>
      </c>
      <c r="G240" t="s">
        <v>4581</v>
      </c>
      <c r="H240" t="s">
        <v>4582</v>
      </c>
      <c r="I240" t="s">
        <v>4583</v>
      </c>
      <c r="J240" t="s">
        <v>4584</v>
      </c>
      <c r="K240" t="s">
        <v>4585</v>
      </c>
      <c r="L240" t="s">
        <v>4586</v>
      </c>
      <c r="M240" t="s">
        <v>4587</v>
      </c>
      <c r="N240">
        <f>-643.308416981795 -10.5656489023238 -527.526284755952</f>
        <v>-1181.4003506400709</v>
      </c>
      <c r="O240">
        <f>-669.771002596287 -159.899204837609 -490.938604508071</f>
        <v>-1320.6088119419669</v>
      </c>
      <c r="P240">
        <f>-707.66661067751 -192.148243031967 -213.265158042502</f>
        <v>-1113.0800117519791</v>
      </c>
      <c r="Q240">
        <f>-497.177129169443 -100.085807768937 -247.429707500032</f>
        <v>-844.692644438412</v>
      </c>
      <c r="R240" t="s">
        <v>4588</v>
      </c>
      <c r="S240" t="s">
        <v>4589</v>
      </c>
      <c r="T240" t="s">
        <v>4590</v>
      </c>
      <c r="U240" t="s">
        <v>4591</v>
      </c>
      <c r="V240">
        <f>-588.40550877094 -57.0248868844842 -92.2448389940196</f>
        <v>-737.67523464944372</v>
      </c>
      <c r="W240" t="s">
        <v>4592</v>
      </c>
      <c r="X240" t="s">
        <v>4593</v>
      </c>
      <c r="Y240" t="s">
        <v>4594</v>
      </c>
    </row>
    <row r="241" spans="1:25" x14ac:dyDescent="0.3">
      <c r="A241">
        <v>12000</v>
      </c>
      <c r="B241" t="s">
        <v>4595</v>
      </c>
      <c r="C241" t="s">
        <v>4596</v>
      </c>
      <c r="D241" t="s">
        <v>4597</v>
      </c>
      <c r="E241" t="s">
        <v>4598</v>
      </c>
      <c r="F241" t="s">
        <v>4599</v>
      </c>
      <c r="G241" t="s">
        <v>4600</v>
      </c>
      <c r="H241" t="s">
        <v>4601</v>
      </c>
      <c r="I241" t="s">
        <v>4602</v>
      </c>
      <c r="J241" t="s">
        <v>4603</v>
      </c>
      <c r="K241" t="s">
        <v>4604</v>
      </c>
      <c r="L241" t="s">
        <v>4605</v>
      </c>
      <c r="M241" t="s">
        <v>4606</v>
      </c>
      <c r="N241">
        <f>-644.738435591587 -10.915870359257 -527.242098083953</f>
        <v>-1182.8964040347969</v>
      </c>
      <c r="O241">
        <f>-671.109924605703 -160.123342498533 -490.121982230775</f>
        <v>-1321.355249335011</v>
      </c>
      <c r="P241">
        <f>-708.353282791497 -191.301022653605 -212.238090604592</f>
        <v>-1111.8923960496941</v>
      </c>
      <c r="Q241">
        <f>-497.873436809737 -99.5230380232624 -247.217027599542</f>
        <v>-844.6135024325414</v>
      </c>
      <c r="R241" t="s">
        <v>4607</v>
      </c>
      <c r="S241" t="s">
        <v>4608</v>
      </c>
      <c r="T241" t="s">
        <v>4609</v>
      </c>
      <c r="U241" t="s">
        <v>4610</v>
      </c>
      <c r="V241">
        <f>-588.213444059293 -57.111374266666 -92.2124179720333</f>
        <v>-737.53723629799231</v>
      </c>
      <c r="W241" t="s">
        <v>4611</v>
      </c>
      <c r="X241" t="s">
        <v>4612</v>
      </c>
      <c r="Y241" t="s">
        <v>4613</v>
      </c>
    </row>
    <row r="242" spans="1:25" x14ac:dyDescent="0.3">
      <c r="A242">
        <v>12050</v>
      </c>
      <c r="B242" t="s">
        <v>4614</v>
      </c>
      <c r="C242" t="s">
        <v>4615</v>
      </c>
      <c r="D242" t="s">
        <v>4616</v>
      </c>
      <c r="E242" t="s">
        <v>4617</v>
      </c>
      <c r="F242" t="s">
        <v>4618</v>
      </c>
      <c r="G242" t="s">
        <v>4619</v>
      </c>
      <c r="H242" t="s">
        <v>4620</v>
      </c>
      <c r="I242" t="s">
        <v>4621</v>
      </c>
      <c r="J242" t="s">
        <v>4622</v>
      </c>
      <c r="K242" t="s">
        <v>4623</v>
      </c>
      <c r="L242" t="s">
        <v>4624</v>
      </c>
      <c r="M242" t="s">
        <v>4625</v>
      </c>
      <c r="N242">
        <f>-645.563025403002 -11.1730793978086 -527.085679942205</f>
        <v>-1183.8217847430155</v>
      </c>
      <c r="O242">
        <f>-671.828519730145 -160.345523404253 -489.735779457148</f>
        <v>-1321.9098225915459</v>
      </c>
      <c r="P242">
        <f>-708.758247722015 -190.794446874632 -211.729254948888</f>
        <v>-1111.2819495455349</v>
      </c>
      <c r="Q242">
        <f>-498.2062540425 -99.3356098777929 -247.10807458863</f>
        <v>-844.6499385089229</v>
      </c>
      <c r="R242" t="s">
        <v>4626</v>
      </c>
      <c r="S242" t="s">
        <v>4627</v>
      </c>
      <c r="T242" t="s">
        <v>4628</v>
      </c>
      <c r="U242" t="s">
        <v>4629</v>
      </c>
      <c r="V242">
        <f>-588.06233364161 -57.1762951914125 -92.2039562561736</f>
        <v>-737.44258508919609</v>
      </c>
      <c r="W242" t="s">
        <v>4630</v>
      </c>
      <c r="X242" t="s">
        <v>4631</v>
      </c>
      <c r="Y242" t="s">
        <v>4632</v>
      </c>
    </row>
    <row r="243" spans="1:25" x14ac:dyDescent="0.3">
      <c r="A243">
        <v>12100</v>
      </c>
      <c r="B243" t="s">
        <v>4633</v>
      </c>
      <c r="C243" t="s">
        <v>4634</v>
      </c>
      <c r="D243" t="s">
        <v>4635</v>
      </c>
      <c r="E243" t="s">
        <v>4636</v>
      </c>
      <c r="F243" t="s">
        <v>4637</v>
      </c>
      <c r="G243" t="s">
        <v>4638</v>
      </c>
      <c r="H243" t="s">
        <v>4639</v>
      </c>
      <c r="I243" t="s">
        <v>4640</v>
      </c>
      <c r="J243" t="s">
        <v>4641</v>
      </c>
      <c r="K243" t="s">
        <v>4642</v>
      </c>
      <c r="L243" t="s">
        <v>4643</v>
      </c>
      <c r="M243" t="s">
        <v>4644</v>
      </c>
      <c r="N243">
        <f>-646.649514599593 -11.407173351904 -526.911999814941</f>
        <v>-1184.9686877664381</v>
      </c>
      <c r="O243">
        <f>-672.412014969487 -160.644671334104 -489.508688175721</f>
        <v>-1322.5653744793121</v>
      </c>
      <c r="P243">
        <f>-709.005216135681 -190.7514765208 -211.420375523778</f>
        <v>-1111.1770681802591</v>
      </c>
      <c r="Q243">
        <f>-498.445018343028 -99.433129345771 -247.111768283872</f>
        <v>-844.98991597267104</v>
      </c>
      <c r="R243" t="s">
        <v>4645</v>
      </c>
      <c r="S243" t="s">
        <v>4646</v>
      </c>
      <c r="T243" t="s">
        <v>4647</v>
      </c>
      <c r="U243" t="s">
        <v>4648</v>
      </c>
      <c r="V243">
        <f>-587.600024337948 -57.4838523734015 -92.1967187889704</f>
        <v>-737.28059550031992</v>
      </c>
      <c r="W243" t="s">
        <v>4649</v>
      </c>
      <c r="X243" t="s">
        <v>4650</v>
      </c>
      <c r="Y243" t="s">
        <v>4651</v>
      </c>
    </row>
    <row r="244" spans="1:25" x14ac:dyDescent="0.3">
      <c r="A244">
        <v>12150</v>
      </c>
      <c r="B244" t="s">
        <v>4652</v>
      </c>
      <c r="C244" t="s">
        <v>4653</v>
      </c>
      <c r="D244" t="s">
        <v>4654</v>
      </c>
      <c r="E244" t="s">
        <v>4655</v>
      </c>
      <c r="F244" t="s">
        <v>4656</v>
      </c>
      <c r="G244" t="s">
        <v>4657</v>
      </c>
      <c r="H244" t="s">
        <v>4658</v>
      </c>
      <c r="I244" t="s">
        <v>4659</v>
      </c>
      <c r="J244" t="s">
        <v>4660</v>
      </c>
      <c r="K244" t="s">
        <v>4661</v>
      </c>
      <c r="L244" t="s">
        <v>4662</v>
      </c>
      <c r="M244" t="s">
        <v>4663</v>
      </c>
      <c r="N244">
        <f>-646.747631346907 -11.8331248139309 -526.850522306172</f>
        <v>-1185.4312784670101</v>
      </c>
      <c r="O244">
        <f>-672.338598707799 -161.027042508317 -489.151381253228</f>
        <v>-1322.5170224693438</v>
      </c>
      <c r="P244">
        <f>-708.666734294919 -191.362359473636 -211.053190064272</f>
        <v>-1111.082283832827</v>
      </c>
      <c r="Q244">
        <f>-498.333550399461 -99.6156676467149 -246.984016501077</f>
        <v>-844.93323454725294</v>
      </c>
      <c r="R244" t="s">
        <v>4664</v>
      </c>
      <c r="S244" t="s">
        <v>4665</v>
      </c>
      <c r="T244" t="s">
        <v>4666</v>
      </c>
      <c r="U244" t="s">
        <v>4667</v>
      </c>
      <c r="V244">
        <f>-587.486451650825 -57.7646898483547 -92.197496872732</f>
        <v>-737.44863837191167</v>
      </c>
      <c r="W244" t="s">
        <v>4668</v>
      </c>
      <c r="X244" t="s">
        <v>4669</v>
      </c>
      <c r="Y244" t="s">
        <v>4670</v>
      </c>
    </row>
    <row r="245" spans="1:25" x14ac:dyDescent="0.3">
      <c r="A245">
        <v>12200</v>
      </c>
      <c r="B245" t="s">
        <v>4671</v>
      </c>
      <c r="C245" t="s">
        <v>4672</v>
      </c>
      <c r="D245" t="s">
        <v>4673</v>
      </c>
      <c r="E245" t="s">
        <v>4674</v>
      </c>
      <c r="F245" t="s">
        <v>4675</v>
      </c>
      <c r="G245" t="s">
        <v>4676</v>
      </c>
      <c r="H245" t="s">
        <v>4677</v>
      </c>
      <c r="I245" t="s">
        <v>4678</v>
      </c>
      <c r="J245" t="s">
        <v>4679</v>
      </c>
      <c r="K245" t="s">
        <v>4680</v>
      </c>
      <c r="L245" t="s">
        <v>4681</v>
      </c>
      <c r="M245" t="s">
        <v>4682</v>
      </c>
      <c r="N245">
        <f>-645.471317573773 -13.168289651278 -526.973710408224</f>
        <v>-1185.6133176332751</v>
      </c>
      <c r="O245">
        <f>-670.683025088686 -162.383301067905 -489.024861560316</f>
        <v>-1322.0911877169069</v>
      </c>
      <c r="P245">
        <f>-708.898811588677 -191.91007432252 -211.092800360753</f>
        <v>-1111.90168627195</v>
      </c>
      <c r="Q245">
        <f>-498.879189259424 -99.3358360110819 -246.733772937128</f>
        <v>-844.9487982076339</v>
      </c>
      <c r="R245" t="s">
        <v>4683</v>
      </c>
      <c r="S245" t="s">
        <v>4684</v>
      </c>
      <c r="T245" t="s">
        <v>4685</v>
      </c>
      <c r="U245" t="s">
        <v>4686</v>
      </c>
      <c r="V245">
        <f>-587.771170914492 -58.3927604676805 -92.19671280969</f>
        <v>-738.36064419186255</v>
      </c>
      <c r="W245" t="s">
        <v>4687</v>
      </c>
      <c r="X245" t="s">
        <v>4688</v>
      </c>
      <c r="Y245" t="s">
        <v>4689</v>
      </c>
    </row>
    <row r="246" spans="1:25" x14ac:dyDescent="0.3">
      <c r="A246">
        <v>12250</v>
      </c>
      <c r="B246" t="s">
        <v>4690</v>
      </c>
      <c r="C246" t="s">
        <v>4691</v>
      </c>
      <c r="D246" t="s">
        <v>4692</v>
      </c>
      <c r="E246" t="s">
        <v>4693</v>
      </c>
      <c r="F246" t="s">
        <v>4694</v>
      </c>
      <c r="G246" t="s">
        <v>4695</v>
      </c>
      <c r="H246" t="s">
        <v>4696</v>
      </c>
      <c r="I246" t="s">
        <v>4697</v>
      </c>
      <c r="J246" t="s">
        <v>4698</v>
      </c>
      <c r="K246" t="s">
        <v>4699</v>
      </c>
      <c r="L246" t="s">
        <v>4700</v>
      </c>
      <c r="M246" t="s">
        <v>4701</v>
      </c>
      <c r="N246">
        <f>-644.984550204519 -13.5661209997068 -527.161713259671</f>
        <v>-1185.7123844638968</v>
      </c>
      <c r="O246">
        <f>-669.870094130905 -162.883241227145 -489.426055572158</f>
        <v>-1322.179390930208</v>
      </c>
      <c r="P246">
        <f>-709.21023156173 -192.239983096509 -211.632843576697</f>
        <v>-1113.0830582349361</v>
      </c>
      <c r="Q246">
        <f>-499.347062165669 -98.9900537231322 -246.424566868817</f>
        <v>-844.76168275761825</v>
      </c>
      <c r="R246" t="s">
        <v>4702</v>
      </c>
      <c r="S246" t="s">
        <v>4703</v>
      </c>
      <c r="T246" t="s">
        <v>4704</v>
      </c>
      <c r="U246" t="s">
        <v>4705</v>
      </c>
      <c r="V246">
        <f>-588.059420476014 -58.5904080959017 -92.2295273839102</f>
        <v>-738.87935595582587</v>
      </c>
      <c r="W246" t="s">
        <v>4706</v>
      </c>
      <c r="X246" t="s">
        <v>4707</v>
      </c>
      <c r="Y246" t="s">
        <v>4708</v>
      </c>
    </row>
    <row r="247" spans="1:25" x14ac:dyDescent="0.3">
      <c r="A247">
        <v>12300</v>
      </c>
      <c r="B247" t="s">
        <v>4709</v>
      </c>
      <c r="C247" t="s">
        <v>4710</v>
      </c>
      <c r="D247" t="s">
        <v>4711</v>
      </c>
      <c r="E247" t="s">
        <v>4712</v>
      </c>
      <c r="F247" t="s">
        <v>4713</v>
      </c>
      <c r="G247" t="s">
        <v>4714</v>
      </c>
      <c r="H247" t="s">
        <v>4715</v>
      </c>
      <c r="I247" t="s">
        <v>4716</v>
      </c>
      <c r="J247" t="s">
        <v>4717</v>
      </c>
      <c r="K247" t="s">
        <v>4718</v>
      </c>
      <c r="L247" t="s">
        <v>4719</v>
      </c>
      <c r="M247" t="s">
        <v>4720</v>
      </c>
      <c r="N247">
        <f>-644.232966590517 -13.6450297171621 -527.445073174452</f>
        <v>-1185.3230694821309</v>
      </c>
      <c r="O247">
        <f>-668.088035525648 -163.253266757741 -490.221053791854</f>
        <v>-1321.5623560752431</v>
      </c>
      <c r="P247">
        <f>-708.445892206985 -194.356989300805 -212.764071004463</f>
        <v>-1115.566952512253</v>
      </c>
      <c r="Q247">
        <f>-499.277533794031 -98.9069433882605 -245.725017431178</f>
        <v>-843.90949461346952</v>
      </c>
      <c r="R247" t="s">
        <v>4721</v>
      </c>
      <c r="S247" t="s">
        <v>4722</v>
      </c>
      <c r="T247" t="s">
        <v>4723</v>
      </c>
      <c r="U247" t="s">
        <v>4724</v>
      </c>
      <c r="V247">
        <f>-588.618929209484 -58.8921654427074 -92.2991944063209</f>
        <v>-739.81028905851235</v>
      </c>
      <c r="W247" t="s">
        <v>4725</v>
      </c>
      <c r="X247" t="s">
        <v>4726</v>
      </c>
      <c r="Y247" t="s">
        <v>4727</v>
      </c>
    </row>
    <row r="248" spans="1:25" x14ac:dyDescent="0.3">
      <c r="A248">
        <v>12350</v>
      </c>
      <c r="B248" t="s">
        <v>4728</v>
      </c>
      <c r="C248" t="s">
        <v>4729</v>
      </c>
      <c r="D248" t="s">
        <v>4730</v>
      </c>
      <c r="E248" t="s">
        <v>4731</v>
      </c>
      <c r="F248" t="s">
        <v>4732</v>
      </c>
      <c r="G248" t="s">
        <v>4733</v>
      </c>
      <c r="H248" t="s">
        <v>4734</v>
      </c>
      <c r="I248" t="s">
        <v>4735</v>
      </c>
      <c r="J248" t="s">
        <v>4736</v>
      </c>
      <c r="K248" t="s">
        <v>4737</v>
      </c>
      <c r="L248" t="s">
        <v>4738</v>
      </c>
      <c r="M248" t="s">
        <v>4739</v>
      </c>
      <c r="N248">
        <f>-643.973984241401 -13.3312330796043 -527.583597742794</f>
        <v>-1184.8888150637995</v>
      </c>
      <c r="O248">
        <f>-667.24944811597 -163.104977854651 -490.681488047944</f>
        <v>-1321.0359140185651</v>
      </c>
      <c r="P248">
        <f>-707.591747915148 -195.387410582489 -213.356942165552</f>
        <v>-1116.336100663189</v>
      </c>
      <c r="Q248">
        <f>-498.787635216298 -98.9125409583855 -245.636556712104</f>
        <v>-843.33673288678756</v>
      </c>
      <c r="R248" t="s">
        <v>4740</v>
      </c>
      <c r="S248" t="s">
        <v>4741</v>
      </c>
      <c r="T248" t="s">
        <v>4742</v>
      </c>
      <c r="U248" t="s">
        <v>4743</v>
      </c>
      <c r="V248">
        <f>-588.797795027292 -58.9073846420179 -92.3319762810132</f>
        <v>-740.03715595032304</v>
      </c>
      <c r="W248" t="s">
        <v>4744</v>
      </c>
      <c r="X248" t="s">
        <v>4745</v>
      </c>
      <c r="Y248" t="s">
        <v>4746</v>
      </c>
    </row>
    <row r="249" spans="1:25" x14ac:dyDescent="0.3">
      <c r="A249">
        <v>12400</v>
      </c>
      <c r="B249" t="s">
        <v>4747</v>
      </c>
      <c r="C249" t="s">
        <v>4748</v>
      </c>
      <c r="D249" t="s">
        <v>4749</v>
      </c>
      <c r="E249" t="s">
        <v>4750</v>
      </c>
      <c r="F249" t="s">
        <v>4751</v>
      </c>
      <c r="G249" t="s">
        <v>4752</v>
      </c>
      <c r="H249" t="s">
        <v>4753</v>
      </c>
      <c r="I249" t="s">
        <v>4754</v>
      </c>
      <c r="J249" t="s">
        <v>4755</v>
      </c>
      <c r="K249" t="s">
        <v>4756</v>
      </c>
      <c r="L249" t="s">
        <v>4757</v>
      </c>
      <c r="M249" t="s">
        <v>4758</v>
      </c>
      <c r="N249">
        <f>-643.838882273446 -12.5026818591809 -527.790961773063</f>
        <v>-1184.1325259056898</v>
      </c>
      <c r="O249">
        <f>-666.22424797479 -162.576736612166 -491.578143857634</f>
        <v>-1320.3791284445902</v>
      </c>
      <c r="P249">
        <f>-705.826272685831 -196.53202728257 -214.34675719513</f>
        <v>-1116.7050571635309</v>
      </c>
      <c r="Q249">
        <f>-497.579787134295 -98.7727991472032 -246.363088921257</f>
        <v>-842.71567520275516</v>
      </c>
      <c r="R249" t="s">
        <v>4759</v>
      </c>
      <c r="S249" t="s">
        <v>4760</v>
      </c>
      <c r="T249" t="s">
        <v>4761</v>
      </c>
      <c r="U249" t="s">
        <v>4762</v>
      </c>
      <c r="V249">
        <f>-588.868136035789 -58.8803701147936 -92.3607231658117</f>
        <v>-740.10922931639425</v>
      </c>
      <c r="W249" t="s">
        <v>4763</v>
      </c>
      <c r="X249" t="s">
        <v>4764</v>
      </c>
      <c r="Y249" t="s">
        <v>4765</v>
      </c>
    </row>
    <row r="250" spans="1:25" x14ac:dyDescent="0.3">
      <c r="A250">
        <v>12450</v>
      </c>
      <c r="B250" t="s">
        <v>4766</v>
      </c>
      <c r="C250" t="s">
        <v>4767</v>
      </c>
      <c r="D250" t="s">
        <v>4768</v>
      </c>
      <c r="E250" t="s">
        <v>4769</v>
      </c>
      <c r="F250" t="s">
        <v>4770</v>
      </c>
      <c r="G250" t="s">
        <v>4771</v>
      </c>
      <c r="H250" t="s">
        <v>4772</v>
      </c>
      <c r="I250" t="s">
        <v>4773</v>
      </c>
      <c r="J250" t="s">
        <v>4774</v>
      </c>
      <c r="K250" t="s">
        <v>4775</v>
      </c>
      <c r="L250" t="s">
        <v>4776</v>
      </c>
      <c r="M250" t="s">
        <v>4777</v>
      </c>
      <c r="N250">
        <f>-643.772994521941 -12.2305403942896 -527.799296721863</f>
        <v>-1183.8028316380937</v>
      </c>
      <c r="O250">
        <f>-666.066584969711 -162.382858964319 -491.832015205521</f>
        <v>-1320.2814591395509</v>
      </c>
      <c r="P250">
        <f>-705.143507665755 -196.738099674435 -214.575246883795</f>
        <v>-1116.4568542239849</v>
      </c>
      <c r="Q250">
        <f>-497.051232899377 -98.7672417824911 -246.945193088336</f>
        <v>-842.76366777020417</v>
      </c>
      <c r="R250" t="s">
        <v>4778</v>
      </c>
      <c r="S250" t="s">
        <v>4779</v>
      </c>
      <c r="T250" t="s">
        <v>4780</v>
      </c>
      <c r="U250" t="s">
        <v>4781</v>
      </c>
      <c r="V250">
        <f>-588.576281302538 -58.9386888503439 -92.3341261588573</f>
        <v>-739.84909631173912</v>
      </c>
      <c r="W250" t="s">
        <v>4782</v>
      </c>
      <c r="X250" t="s">
        <v>4783</v>
      </c>
      <c r="Y250" t="s">
        <v>4784</v>
      </c>
    </row>
    <row r="251" spans="1:25" x14ac:dyDescent="0.3">
      <c r="A251">
        <v>12500</v>
      </c>
      <c r="B251" t="s">
        <v>4785</v>
      </c>
      <c r="C251" t="s">
        <v>4786</v>
      </c>
      <c r="D251" t="s">
        <v>4787</v>
      </c>
      <c r="E251" t="s">
        <v>4788</v>
      </c>
      <c r="F251" t="s">
        <v>4789</v>
      </c>
      <c r="G251" t="s">
        <v>4790</v>
      </c>
      <c r="H251" t="s">
        <v>4791</v>
      </c>
      <c r="I251" t="s">
        <v>4792</v>
      </c>
      <c r="J251" t="s">
        <v>4793</v>
      </c>
      <c r="K251" t="s">
        <v>4794</v>
      </c>
      <c r="L251" t="s">
        <v>4795</v>
      </c>
      <c r="M251" t="s">
        <v>4796</v>
      </c>
      <c r="N251">
        <f>-643.301838611169 -11.8773117100582 -527.73152548712</f>
        <v>-1182.9106758083472</v>
      </c>
      <c r="O251">
        <f>-665.714444515338 -162.054354758856 -491.917950659934</f>
        <v>-1319.6867499341279</v>
      </c>
      <c r="P251">
        <f>-704.494602546134 -196.132099143609 -214.585224285053</f>
        <v>-1115.211925974796</v>
      </c>
      <c r="Q251">
        <f>-496.289589063196 -98.6357503921611 -247.655688042306</f>
        <v>-842.58102749766306</v>
      </c>
      <c r="R251" t="s">
        <v>4797</v>
      </c>
      <c r="S251" t="s">
        <v>4798</v>
      </c>
      <c r="T251" t="s">
        <v>4799</v>
      </c>
      <c r="U251" t="s">
        <v>4800</v>
      </c>
      <c r="V251">
        <f>-587.796934252129 -58.9727215202649 -92.2443944716777</f>
        <v>-739.01405024407154</v>
      </c>
      <c r="W251" t="s">
        <v>4801</v>
      </c>
      <c r="X251" t="s">
        <v>4802</v>
      </c>
      <c r="Y251" t="s">
        <v>4803</v>
      </c>
    </row>
    <row r="252" spans="1:25" x14ac:dyDescent="0.3">
      <c r="A252">
        <v>12550</v>
      </c>
      <c r="B252" t="s">
        <v>4804</v>
      </c>
      <c r="C252" t="s">
        <v>4805</v>
      </c>
      <c r="D252" t="s">
        <v>4806</v>
      </c>
      <c r="E252" t="s">
        <v>4807</v>
      </c>
      <c r="F252" t="s">
        <v>4808</v>
      </c>
      <c r="G252" t="s">
        <v>4809</v>
      </c>
      <c r="H252" t="s">
        <v>4810</v>
      </c>
      <c r="I252" t="s">
        <v>4811</v>
      </c>
      <c r="J252" t="s">
        <v>4812</v>
      </c>
      <c r="K252" t="s">
        <v>4813</v>
      </c>
      <c r="L252" t="s">
        <v>4814</v>
      </c>
      <c r="M252" t="s">
        <v>4815</v>
      </c>
      <c r="N252">
        <f>-642.955488779651 -11.6611665081034 -527.7028420925</f>
        <v>-1182.3194973802542</v>
      </c>
      <c r="O252">
        <f>-665.498097014741 -161.825788434305 -491.932067634952</f>
        <v>-1319.2559530839981</v>
      </c>
      <c r="P252">
        <f>-704.497638730269 -195.651607200274 -214.599291684395</f>
        <v>-1114.748537614938</v>
      </c>
      <c r="Q252">
        <f>-496.143203267686 -98.4418408398201 -247.571701754436</f>
        <v>-842.156745861942</v>
      </c>
      <c r="R252" t="s">
        <v>4816</v>
      </c>
      <c r="S252" t="s">
        <v>4817</v>
      </c>
      <c r="T252" t="s">
        <v>4818</v>
      </c>
      <c r="U252" t="s">
        <v>4819</v>
      </c>
      <c r="V252">
        <f>-587.492941635064 -58.9005165819094 -92.2101062059785</f>
        <v>-738.60356442295188</v>
      </c>
      <c r="W252" t="s">
        <v>4820</v>
      </c>
      <c r="X252" t="s">
        <v>4821</v>
      </c>
      <c r="Y252" t="s">
        <v>4822</v>
      </c>
    </row>
    <row r="253" spans="1:25" x14ac:dyDescent="0.3">
      <c r="A253">
        <v>12600</v>
      </c>
      <c r="B253" t="s">
        <v>4823</v>
      </c>
      <c r="C253" t="s">
        <v>4824</v>
      </c>
      <c r="D253" t="s">
        <v>4825</v>
      </c>
      <c r="E253" t="s">
        <v>4826</v>
      </c>
      <c r="F253" t="s">
        <v>4827</v>
      </c>
      <c r="G253" t="s">
        <v>4828</v>
      </c>
      <c r="H253" t="s">
        <v>4829</v>
      </c>
      <c r="I253" t="s">
        <v>4830</v>
      </c>
      <c r="J253" t="s">
        <v>4831</v>
      </c>
      <c r="K253" t="s">
        <v>4832</v>
      </c>
      <c r="L253" t="s">
        <v>4833</v>
      </c>
      <c r="M253" t="s">
        <v>4834</v>
      </c>
      <c r="N253">
        <f>-642.130589772641 -11.3779195367422 -527.620187247843</f>
        <v>-1181.1286965572262</v>
      </c>
      <c r="O253">
        <f>-665.085895337518 -161.487922702206 -491.857829371434</f>
        <v>-1318.4316474111579</v>
      </c>
      <c r="P253">
        <f>-704.537507029839 -195.038411099397 -214.555565092784</f>
        <v>-1114.1314832220201</v>
      </c>
      <c r="Q253">
        <f>-495.813076958995 -98.495398917534 -247.145132071636</f>
        <v>-841.45360794816497</v>
      </c>
      <c r="R253" t="s">
        <v>4835</v>
      </c>
      <c r="S253" t="s">
        <v>4836</v>
      </c>
      <c r="T253" t="s">
        <v>4837</v>
      </c>
      <c r="U253" t="s">
        <v>4838</v>
      </c>
      <c r="V253">
        <f>-586.918393075739 -58.7018229862731 -92.1385708800547</f>
        <v>-737.75878694206676</v>
      </c>
      <c r="W253" t="s">
        <v>4839</v>
      </c>
      <c r="X253" t="s">
        <v>4840</v>
      </c>
      <c r="Y253" t="s">
        <v>4841</v>
      </c>
    </row>
    <row r="254" spans="1:25" x14ac:dyDescent="0.3">
      <c r="A254">
        <v>12650</v>
      </c>
      <c r="B254" t="s">
        <v>4842</v>
      </c>
      <c r="C254" t="s">
        <v>4843</v>
      </c>
      <c r="D254" t="s">
        <v>4844</v>
      </c>
      <c r="E254" t="s">
        <v>4845</v>
      </c>
      <c r="F254" t="s">
        <v>4846</v>
      </c>
      <c r="G254" t="s">
        <v>4847</v>
      </c>
      <c r="H254" t="s">
        <v>4848</v>
      </c>
      <c r="I254" t="s">
        <v>4849</v>
      </c>
      <c r="J254" t="s">
        <v>4850</v>
      </c>
      <c r="K254" t="s">
        <v>4851</v>
      </c>
      <c r="L254" t="s">
        <v>4852</v>
      </c>
      <c r="M254" t="s">
        <v>4853</v>
      </c>
      <c r="N254">
        <f>-641.752724013045 -11.1882256323504 -527.564712964888</f>
        <v>-1180.5056626102835</v>
      </c>
      <c r="O254">
        <f>-664.982755560829 -161.23890638215 -491.753517347019</f>
        <v>-1317.9751792899979</v>
      </c>
      <c r="P254">
        <f>-704.507631926459 -194.753346737781 -214.45739262552</f>
        <v>-1113.7183712897599</v>
      </c>
      <c r="Q254">
        <f>-495.554887626493 -98.7044245855022 -247.04324218547</f>
        <v>-841.3025543974652</v>
      </c>
      <c r="R254" t="s">
        <v>4854</v>
      </c>
      <c r="S254" t="s">
        <v>4855</v>
      </c>
      <c r="T254" t="s">
        <v>4856</v>
      </c>
      <c r="U254" t="s">
        <v>4857</v>
      </c>
      <c r="V254">
        <f>-586.627954740467 -58.5867418253579 -92.0995408169</f>
        <v>-737.31423738272485</v>
      </c>
      <c r="W254" t="s">
        <v>4858</v>
      </c>
      <c r="X254" t="s">
        <v>4859</v>
      </c>
      <c r="Y254" t="s">
        <v>4860</v>
      </c>
    </row>
    <row r="255" spans="1:25" x14ac:dyDescent="0.3">
      <c r="A255">
        <v>12700</v>
      </c>
      <c r="B255" t="s">
        <v>4861</v>
      </c>
      <c r="C255" t="s">
        <v>4862</v>
      </c>
      <c r="D255" t="s">
        <v>4863</v>
      </c>
      <c r="E255" t="s">
        <v>4864</v>
      </c>
      <c r="F255" t="s">
        <v>4865</v>
      </c>
      <c r="G255" t="s">
        <v>4866</v>
      </c>
      <c r="H255" t="s">
        <v>4867</v>
      </c>
      <c r="I255" t="s">
        <v>4868</v>
      </c>
      <c r="J255" t="s">
        <v>4869</v>
      </c>
      <c r="K255" t="s">
        <v>4870</v>
      </c>
      <c r="L255" t="s">
        <v>4871</v>
      </c>
      <c r="M255" t="s">
        <v>4872</v>
      </c>
      <c r="N255">
        <f>-641.297419105824 -10.8962765193698 -527.493059169951</f>
        <v>-1179.6867547951449</v>
      </c>
      <c r="O255">
        <f>-665.173193491971 -160.815650819689 -491.538980025688</f>
        <v>-1317.527824337348</v>
      </c>
      <c r="P255">
        <f>-704.435731011418 -193.7436136828 -214.135361080032</f>
        <v>-1112.3147057742501</v>
      </c>
      <c r="Q255">
        <f>-494.92216849451 -99.1670137361755 -247.419624165831</f>
        <v>-841.50880639651655</v>
      </c>
      <c r="R255" t="s">
        <v>4873</v>
      </c>
      <c r="S255" t="s">
        <v>4874</v>
      </c>
      <c r="T255" t="s">
        <v>4875</v>
      </c>
      <c r="U255" t="s">
        <v>4876</v>
      </c>
      <c r="V255">
        <f>-586.139763538883 -58.4031455218401 -92.0303619072066</f>
        <v>-736.57327096792972</v>
      </c>
      <c r="W255" t="s">
        <v>4877</v>
      </c>
      <c r="X255" t="s">
        <v>4878</v>
      </c>
      <c r="Y255" t="s">
        <v>4879</v>
      </c>
    </row>
    <row r="256" spans="1:25" x14ac:dyDescent="0.3">
      <c r="A256">
        <v>12750</v>
      </c>
      <c r="B256" t="s">
        <v>4880</v>
      </c>
      <c r="C256" t="s">
        <v>4881</v>
      </c>
      <c r="D256" t="s">
        <v>4882</v>
      </c>
      <c r="E256" t="s">
        <v>4883</v>
      </c>
      <c r="F256" t="s">
        <v>4884</v>
      </c>
      <c r="G256" t="s">
        <v>4885</v>
      </c>
      <c r="H256" t="s">
        <v>4886</v>
      </c>
      <c r="I256" t="s">
        <v>4887</v>
      </c>
      <c r="J256" t="s">
        <v>4888</v>
      </c>
      <c r="K256" t="s">
        <v>4889</v>
      </c>
      <c r="L256" t="s">
        <v>4890</v>
      </c>
      <c r="M256" t="s">
        <v>4891</v>
      </c>
      <c r="N256">
        <f>-641.50093522341 -10.7703682408721 -527.426342576765</f>
        <v>-1179.6976460410472</v>
      </c>
      <c r="O256">
        <f>-665.590697960551 -160.642643068485 -491.4683795745</f>
        <v>-1317.7017206035359</v>
      </c>
      <c r="P256">
        <f>-704.62343263814 -193.357521820584 -214.007005109238</f>
        <v>-1111.987959567962</v>
      </c>
      <c r="Q256">
        <f>-494.998522020219 -99.2956955873265 -248.040970665497</f>
        <v>-842.3351882730426</v>
      </c>
      <c r="R256" t="s">
        <v>4892</v>
      </c>
      <c r="S256" t="s">
        <v>4893</v>
      </c>
      <c r="T256" t="s">
        <v>4894</v>
      </c>
      <c r="U256" t="s">
        <v>4895</v>
      </c>
      <c r="V256">
        <f>-585.977762798938 -58.3070060130206 -92.0108788311111</f>
        <v>-736.29564764306963</v>
      </c>
      <c r="W256" t="s">
        <v>4896</v>
      </c>
      <c r="X256" t="s">
        <v>4897</v>
      </c>
      <c r="Y256" t="s">
        <v>4898</v>
      </c>
    </row>
    <row r="257" spans="1:25" x14ac:dyDescent="0.3">
      <c r="A257">
        <v>12800</v>
      </c>
      <c r="B257" t="s">
        <v>4899</v>
      </c>
      <c r="C257" t="s">
        <v>4900</v>
      </c>
      <c r="D257" t="s">
        <v>4901</v>
      </c>
      <c r="E257" t="s">
        <v>4902</v>
      </c>
      <c r="F257" t="s">
        <v>4903</v>
      </c>
      <c r="G257" t="s">
        <v>4904</v>
      </c>
      <c r="H257" t="s">
        <v>4905</v>
      </c>
      <c r="I257" t="s">
        <v>4906</v>
      </c>
      <c r="J257" t="s">
        <v>4907</v>
      </c>
      <c r="K257" t="s">
        <v>4908</v>
      </c>
      <c r="L257" t="s">
        <v>4909</v>
      </c>
      <c r="M257" t="s">
        <v>4910</v>
      </c>
      <c r="N257">
        <f>-642.112963008265 -10.8531872900144 -527.266458659399</f>
        <v>-1180.2326089576782</v>
      </c>
      <c r="O257">
        <f>-666.312075048051 -160.742407459118 -491.427419656617</f>
        <v>-1318.4819021637861</v>
      </c>
      <c r="P257">
        <f>-704.441698208477 -193.81164519449 -213.882531671705</f>
        <v>-1112.135875074672</v>
      </c>
      <c r="Q257">
        <f>-494.831004090335 -100.574195317091 -250.19618030263</f>
        <v>-845.60137971005611</v>
      </c>
      <c r="R257" t="s">
        <v>4911</v>
      </c>
      <c r="S257" t="s">
        <v>4912</v>
      </c>
      <c r="T257" t="s">
        <v>4913</v>
      </c>
      <c r="U257" t="s">
        <v>4914</v>
      </c>
      <c r="V257">
        <f>-585.980749145759 -58.356772935738 -91.9805415351736</f>
        <v>-736.31806361667066</v>
      </c>
      <c r="W257" t="s">
        <v>4915</v>
      </c>
      <c r="X257" t="s">
        <v>4916</v>
      </c>
      <c r="Y257" t="s">
        <v>4917</v>
      </c>
    </row>
    <row r="258" spans="1:25" x14ac:dyDescent="0.3">
      <c r="A258">
        <v>12850</v>
      </c>
      <c r="B258" t="s">
        <v>4918</v>
      </c>
      <c r="C258" t="s">
        <v>4919</v>
      </c>
      <c r="D258" t="s">
        <v>4920</v>
      </c>
      <c r="E258" t="s">
        <v>4921</v>
      </c>
      <c r="F258" t="s">
        <v>4922</v>
      </c>
      <c r="G258" t="s">
        <v>4923</v>
      </c>
      <c r="H258" t="s">
        <v>4924</v>
      </c>
      <c r="I258" t="s">
        <v>4925</v>
      </c>
      <c r="J258" t="s">
        <v>4926</v>
      </c>
      <c r="K258" t="s">
        <v>4927</v>
      </c>
      <c r="L258" t="s">
        <v>4928</v>
      </c>
      <c r="M258" t="s">
        <v>4929</v>
      </c>
      <c r="N258">
        <f>-642.524943317538 -11.0526338529546 -527.206874333754</f>
        <v>-1180.7844515042466</v>
      </c>
      <c r="O258">
        <f>-666.489719306945 -160.990632327124 -491.44154373996</f>
        <v>-1318.921895374029</v>
      </c>
      <c r="P258">
        <f>-703.988754870982 -194.620176329161 -213.878009700329</f>
        <v>-1112.4869409004721</v>
      </c>
      <c r="Q258">
        <f>-494.325945065796 -102.030784313774 -251.524095232356</f>
        <v>-847.88082461192596</v>
      </c>
      <c r="R258" t="s">
        <v>4930</v>
      </c>
      <c r="S258" t="s">
        <v>4931</v>
      </c>
      <c r="T258" t="s">
        <v>4932</v>
      </c>
      <c r="U258" t="s">
        <v>4933</v>
      </c>
      <c r="V258">
        <f>-586.167841394227 -58.4436384143901 -91.9791532695177</f>
        <v>-736.59063307813483</v>
      </c>
      <c r="W258" t="s">
        <v>4934</v>
      </c>
      <c r="X258" t="s">
        <v>4935</v>
      </c>
      <c r="Y258" t="s">
        <v>4936</v>
      </c>
    </row>
    <row r="259" spans="1:25" x14ac:dyDescent="0.3">
      <c r="A259">
        <v>12900</v>
      </c>
      <c r="B259" t="s">
        <v>4937</v>
      </c>
      <c r="C259" t="s">
        <v>4938</v>
      </c>
      <c r="D259" t="s">
        <v>4939</v>
      </c>
      <c r="E259" t="s">
        <v>4940</v>
      </c>
      <c r="F259" t="s">
        <v>4941</v>
      </c>
      <c r="G259" t="s">
        <v>4942</v>
      </c>
      <c r="H259" t="s">
        <v>4943</v>
      </c>
      <c r="I259" t="s">
        <v>4944</v>
      </c>
      <c r="J259" t="s">
        <v>4945</v>
      </c>
      <c r="K259" t="s">
        <v>4946</v>
      </c>
      <c r="L259" t="s">
        <v>4947</v>
      </c>
      <c r="M259" t="s">
        <v>4948</v>
      </c>
      <c r="N259">
        <f>-643.733734819454 -11.5296568177469 -527.103018887137</f>
        <v>-1182.3664105243379</v>
      </c>
      <c r="O259">
        <f>-667.278369190464 -161.554499629177 -491.398266216137</f>
        <v>-1320.2311350357782</v>
      </c>
      <c r="P259">
        <f>-702.908701155719 -196.452425758762 -213.745295791409</f>
        <v>-1113.1064227058901</v>
      </c>
      <c r="Q259">
        <f>-493.330017182598 -104.779189752087 -254.01105409844</f>
        <v>-852.12026103312508</v>
      </c>
      <c r="R259" t="s">
        <v>4949</v>
      </c>
      <c r="S259" t="s">
        <v>4950</v>
      </c>
      <c r="T259" t="s">
        <v>4951</v>
      </c>
      <c r="U259" t="s">
        <v>4952</v>
      </c>
      <c r="V259">
        <f>-586.580716084489 -58.5610318411184 -91.9919171375353</f>
        <v>-737.13366506314276</v>
      </c>
      <c r="W259" t="s">
        <v>4953</v>
      </c>
      <c r="X259" t="s">
        <v>4954</v>
      </c>
      <c r="Y259" t="s">
        <v>4955</v>
      </c>
    </row>
    <row r="260" spans="1:25" x14ac:dyDescent="0.3">
      <c r="A260">
        <v>12950</v>
      </c>
      <c r="B260" t="s">
        <v>4956</v>
      </c>
      <c r="C260" t="s">
        <v>4957</v>
      </c>
      <c r="D260" t="s">
        <v>4958</v>
      </c>
      <c r="E260" t="s">
        <v>4959</v>
      </c>
      <c r="F260" t="s">
        <v>4960</v>
      </c>
      <c r="G260" t="s">
        <v>4961</v>
      </c>
      <c r="H260" t="s">
        <v>4962</v>
      </c>
      <c r="I260" t="s">
        <v>4963</v>
      </c>
      <c r="J260" t="s">
        <v>4964</v>
      </c>
      <c r="K260" t="s">
        <v>4965</v>
      </c>
      <c r="L260" t="s">
        <v>4966</v>
      </c>
      <c r="M260" t="s">
        <v>4967</v>
      </c>
      <c r="N260">
        <f>-644.348035979152 -11.6996695727487 -527.053089245675</f>
        <v>-1183.1007947975756</v>
      </c>
      <c r="O260">
        <f>-667.800962772705 -161.744707906231 -491.337730301098</f>
        <v>-1320.8834009800341</v>
      </c>
      <c r="P260">
        <f>-702.276575205656 -196.881009805878 -213.569128715287</f>
        <v>-1112.7267137268209</v>
      </c>
      <c r="Q260">
        <f>-492.712732121557 -105.684460972927 -254.978076498608</f>
        <v>-853.37526959309207</v>
      </c>
      <c r="R260" t="s">
        <v>4968</v>
      </c>
      <c r="S260" t="s">
        <v>4969</v>
      </c>
      <c r="T260" t="s">
        <v>4970</v>
      </c>
      <c r="U260" t="s">
        <v>4971</v>
      </c>
      <c r="V260">
        <f>-586.743048552854 -58.6097353210187 -92.0050324990194</f>
        <v>-737.3578163728921</v>
      </c>
      <c r="W260" t="s">
        <v>4972</v>
      </c>
      <c r="X260" t="s">
        <v>4973</v>
      </c>
      <c r="Y260" t="s">
        <v>4974</v>
      </c>
    </row>
    <row r="261" spans="1:25" x14ac:dyDescent="0.3">
      <c r="A261">
        <v>13000</v>
      </c>
      <c r="B261" t="s">
        <v>4975</v>
      </c>
      <c r="C261" t="s">
        <v>4976</v>
      </c>
      <c r="D261" t="s">
        <v>4977</v>
      </c>
      <c r="E261" t="s">
        <v>4978</v>
      </c>
      <c r="F261" t="s">
        <v>4979</v>
      </c>
      <c r="G261" t="s">
        <v>4980</v>
      </c>
      <c r="H261" t="s">
        <v>4981</v>
      </c>
      <c r="I261" t="s">
        <v>4982</v>
      </c>
      <c r="J261" t="s">
        <v>4983</v>
      </c>
      <c r="K261" t="s">
        <v>4984</v>
      </c>
      <c r="L261" t="s">
        <v>4985</v>
      </c>
      <c r="M261" t="s">
        <v>4986</v>
      </c>
      <c r="N261">
        <f>-645.423945259404 -11.8805508015575 -526.900015926509</f>
        <v>-1184.2045119874706</v>
      </c>
      <c r="O261">
        <f>-668.879424950861 -161.8901732356 -491.033561177009</f>
        <v>-1321.8031593634701</v>
      </c>
      <c r="P261">
        <f>-702.231293531806 -196.224839254492 -213.027506374934</f>
        <v>-1111.4836391612321</v>
      </c>
      <c r="Q261">
        <f>-492.511235061776 -106.014627340032 -255.784430314215</f>
        <v>-854.31029271602301</v>
      </c>
      <c r="R261" t="s">
        <v>4987</v>
      </c>
      <c r="S261" t="s">
        <v>4988</v>
      </c>
      <c r="T261" t="s">
        <v>4989</v>
      </c>
      <c r="U261" t="s">
        <v>4990</v>
      </c>
      <c r="V261">
        <f>-587.055470527551 -58.6239288513418 -91.9952353796746</f>
        <v>-737.67463475856744</v>
      </c>
      <c r="W261" t="s">
        <v>4991</v>
      </c>
      <c r="X261" t="s">
        <v>4992</v>
      </c>
      <c r="Y261" t="s">
        <v>4993</v>
      </c>
    </row>
    <row r="262" spans="1:25" x14ac:dyDescent="0.3">
      <c r="A262">
        <v>13050</v>
      </c>
      <c r="B262" t="s">
        <v>4994</v>
      </c>
      <c r="C262" t="s">
        <v>4995</v>
      </c>
      <c r="D262" t="s">
        <v>4996</v>
      </c>
      <c r="E262" t="s">
        <v>4997</v>
      </c>
      <c r="F262" t="s">
        <v>4998</v>
      </c>
      <c r="G262" t="s">
        <v>4999</v>
      </c>
      <c r="H262" t="s">
        <v>5000</v>
      </c>
      <c r="I262" t="s">
        <v>5001</v>
      </c>
      <c r="J262" t="s">
        <v>5002</v>
      </c>
      <c r="K262" t="s">
        <v>5003</v>
      </c>
      <c r="L262" t="s">
        <v>5004</v>
      </c>
      <c r="M262" t="s">
        <v>5005</v>
      </c>
      <c r="N262">
        <f>-645.695201151683 -11.9234587638171 -526.84660450878</f>
        <v>-1184.4652644242801</v>
      </c>
      <c r="O262">
        <f>-669.284268862034 -161.899225542803 -490.945885245539</f>
        <v>-1322.129379650376</v>
      </c>
      <c r="P262">
        <f>-702.623550899896 -195.488287037057 -212.847287244555</f>
        <v>-1110.9591251815082</v>
      </c>
      <c r="Q262">
        <f>-492.700478383441 -105.825758587304 -255.759947053193</f>
        <v>-854.28618402393795</v>
      </c>
      <c r="R262" t="s">
        <v>5006</v>
      </c>
      <c r="S262" t="s">
        <v>5007</v>
      </c>
      <c r="T262" t="s">
        <v>5008</v>
      </c>
      <c r="U262" t="s">
        <v>5009</v>
      </c>
      <c r="V262">
        <f>-587.160682632725 -58.633924612079 -91.9742096272246</f>
        <v>-737.76881687202854</v>
      </c>
      <c r="W262" t="s">
        <v>5010</v>
      </c>
      <c r="X262" t="s">
        <v>5011</v>
      </c>
      <c r="Y262" t="s">
        <v>5012</v>
      </c>
    </row>
    <row r="263" spans="1:25" x14ac:dyDescent="0.3">
      <c r="A263">
        <v>13100</v>
      </c>
      <c r="B263" t="s">
        <v>5013</v>
      </c>
      <c r="C263" t="s">
        <v>5014</v>
      </c>
      <c r="D263" t="s">
        <v>5015</v>
      </c>
      <c r="E263" t="s">
        <v>5016</v>
      </c>
      <c r="F263" t="s">
        <v>5017</v>
      </c>
      <c r="G263" t="s">
        <v>5018</v>
      </c>
      <c r="H263" t="s">
        <v>5019</v>
      </c>
      <c r="I263" t="s">
        <v>5020</v>
      </c>
      <c r="J263" t="s">
        <v>5021</v>
      </c>
      <c r="K263" t="s">
        <v>5022</v>
      </c>
      <c r="L263" t="s">
        <v>5023</v>
      </c>
      <c r="M263" t="s">
        <v>5024</v>
      </c>
      <c r="N263">
        <f>-645.726315354956 -12.1287351554324 -526.769885342151</f>
        <v>-1184.6249358525395</v>
      </c>
      <c r="O263">
        <f>-669.500556926435 -162.039287025071 -490.740518171158</f>
        <v>-1322.280362122664</v>
      </c>
      <c r="P263">
        <f>-703.464886115716 -194.693142702135 -212.606133381595</f>
        <v>-1110.764162199446</v>
      </c>
      <c r="Q263">
        <f>-493.240118886388 -105.641474715482 -255.313190331213</f>
        <v>-854.19478393308304</v>
      </c>
      <c r="R263" t="s">
        <v>5025</v>
      </c>
      <c r="S263" t="s">
        <v>5026</v>
      </c>
      <c r="T263" t="s">
        <v>5027</v>
      </c>
      <c r="U263" t="s">
        <v>5028</v>
      </c>
      <c r="V263">
        <f>-587.100771957276 -58.7596311518234 -91.9644372373667</f>
        <v>-737.8248403464662</v>
      </c>
      <c r="W263" t="s">
        <v>5029</v>
      </c>
      <c r="X263" t="s">
        <v>5030</v>
      </c>
      <c r="Y263" t="s">
        <v>5031</v>
      </c>
    </row>
    <row r="264" spans="1:25" x14ac:dyDescent="0.3">
      <c r="A264">
        <v>13150</v>
      </c>
      <c r="B264" t="s">
        <v>5032</v>
      </c>
      <c r="C264" t="s">
        <v>5033</v>
      </c>
      <c r="D264" t="s">
        <v>5034</v>
      </c>
      <c r="E264" t="s">
        <v>5035</v>
      </c>
      <c r="F264" t="s">
        <v>5036</v>
      </c>
      <c r="G264" t="s">
        <v>5037</v>
      </c>
      <c r="H264" t="s">
        <v>5038</v>
      </c>
      <c r="I264" t="s">
        <v>5039</v>
      </c>
      <c r="J264" t="s">
        <v>5040</v>
      </c>
      <c r="K264" t="s">
        <v>5041</v>
      </c>
      <c r="L264" t="s">
        <v>5042</v>
      </c>
      <c r="M264" t="s">
        <v>5043</v>
      </c>
      <c r="N264">
        <f>-645.8857116767 -12.4632175648035 -526.681619679546</f>
        <v>-1185.0305489210496</v>
      </c>
      <c r="O264">
        <f>-669.945842304115 -162.279599131783 -490.479494995641</f>
        <v>-1322.704936431539</v>
      </c>
      <c r="P264">
        <f>-704.576144450614 -194.368874674914 -212.361646693871</f>
        <v>-1111.3066658193991</v>
      </c>
      <c r="Q264">
        <f>-494.135771779781 -105.675419617431 -254.751165643776</f>
        <v>-854.56235704098799</v>
      </c>
      <c r="R264" t="s">
        <v>5044</v>
      </c>
      <c r="S264" t="s">
        <v>5045</v>
      </c>
      <c r="T264" t="s">
        <v>5046</v>
      </c>
      <c r="U264" t="s">
        <v>5047</v>
      </c>
      <c r="V264">
        <f>-586.964458666268 -58.8897017479185 -91.9629094318483</f>
        <v>-737.81706984603477</v>
      </c>
      <c r="W264" t="s">
        <v>5048</v>
      </c>
      <c r="X264" t="s">
        <v>5049</v>
      </c>
      <c r="Y264" t="s">
        <v>5050</v>
      </c>
    </row>
    <row r="265" spans="1:25" x14ac:dyDescent="0.3">
      <c r="A265">
        <v>13200</v>
      </c>
      <c r="B265" t="s">
        <v>5051</v>
      </c>
      <c r="C265" t="s">
        <v>5052</v>
      </c>
      <c r="D265" t="s">
        <v>5053</v>
      </c>
      <c r="E265" t="s">
        <v>5054</v>
      </c>
      <c r="F265" t="s">
        <v>5055</v>
      </c>
      <c r="G265" t="s">
        <v>5056</v>
      </c>
      <c r="H265" t="s">
        <v>5057</v>
      </c>
      <c r="I265" t="s">
        <v>5058</v>
      </c>
      <c r="J265" t="s">
        <v>5059</v>
      </c>
      <c r="K265" t="s">
        <v>5060</v>
      </c>
      <c r="L265" t="s">
        <v>5061</v>
      </c>
      <c r="M265" t="s">
        <v>5062</v>
      </c>
      <c r="N265">
        <f>-645.987070884402 -13.1098582670782 -526.589105497922</f>
        <v>-1185.6860346494022</v>
      </c>
      <c r="O265">
        <f>-670.705299022242 -162.759944347755 -490.144575556313</f>
        <v>-1323.60981892631</v>
      </c>
      <c r="P265">
        <f>-705.766807689992 -193.972390243132 -211.981016001958</f>
        <v>-1111.720213935082</v>
      </c>
      <c r="Q265">
        <f>-494.91088930949 -106.198816522421 -254.219524679404</f>
        <v>-855.32923051131502</v>
      </c>
      <c r="R265" t="s">
        <v>5063</v>
      </c>
      <c r="S265" t="s">
        <v>5064</v>
      </c>
      <c r="T265" t="s">
        <v>5065</v>
      </c>
      <c r="U265" t="s">
        <v>5066</v>
      </c>
      <c r="V265">
        <f>-586.802523694979 -58.9999456406963 -91.9758343088782</f>
        <v>-737.77830364455349</v>
      </c>
      <c r="W265" t="s">
        <v>5067</v>
      </c>
      <c r="X265" t="s">
        <v>5068</v>
      </c>
      <c r="Y265" t="s">
        <v>5069</v>
      </c>
    </row>
    <row r="266" spans="1:25" x14ac:dyDescent="0.3">
      <c r="A266">
        <v>13250</v>
      </c>
      <c r="B266" t="s">
        <v>5070</v>
      </c>
      <c r="C266" t="s">
        <v>5071</v>
      </c>
      <c r="D266" t="s">
        <v>5072</v>
      </c>
      <c r="E266" t="s">
        <v>5073</v>
      </c>
      <c r="F266" t="s">
        <v>5074</v>
      </c>
      <c r="G266" t="s">
        <v>5075</v>
      </c>
      <c r="H266" t="s">
        <v>5076</v>
      </c>
      <c r="I266" t="s">
        <v>5077</v>
      </c>
      <c r="J266" t="s">
        <v>5078</v>
      </c>
      <c r="K266" t="s">
        <v>5079</v>
      </c>
      <c r="L266" t="s">
        <v>5080</v>
      </c>
      <c r="M266" t="s">
        <v>5081</v>
      </c>
      <c r="N266">
        <f>-645.697138591744 -13.5953501351992 -526.569668255391</f>
        <v>-1185.862156982334</v>
      </c>
      <c r="O266">
        <f>-670.832064005106 -163.132403316818 -489.897198790719</f>
        <v>-1323.861666112643</v>
      </c>
      <c r="P266">
        <f>-705.906769721021 -193.512624594838 -211.643042769331</f>
        <v>-1111.0624370851899</v>
      </c>
      <c r="Q266">
        <f>-494.778626802951 -106.575908938273 -254.251717130457</f>
        <v>-855.60625287168102</v>
      </c>
      <c r="R266" t="s">
        <v>5082</v>
      </c>
      <c r="S266" t="s">
        <v>5083</v>
      </c>
      <c r="T266" t="s">
        <v>5084</v>
      </c>
      <c r="U266" t="s">
        <v>5085</v>
      </c>
      <c r="V266">
        <f>-586.687680317057 -59.0736907921273 -91.9979013775983</f>
        <v>-737.75927248678261</v>
      </c>
      <c r="W266" t="s">
        <v>5086</v>
      </c>
      <c r="X266" t="s">
        <v>5087</v>
      </c>
      <c r="Y266" t="s">
        <v>5088</v>
      </c>
    </row>
    <row r="267" spans="1:25" x14ac:dyDescent="0.3">
      <c r="A267">
        <v>13300</v>
      </c>
      <c r="B267" t="s">
        <v>5089</v>
      </c>
      <c r="C267" t="s">
        <v>5090</v>
      </c>
      <c r="D267" t="s">
        <v>5091</v>
      </c>
      <c r="E267" t="s">
        <v>5092</v>
      </c>
      <c r="F267" t="s">
        <v>5093</v>
      </c>
      <c r="G267" t="s">
        <v>5094</v>
      </c>
      <c r="H267" t="s">
        <v>5095</v>
      </c>
      <c r="I267" t="s">
        <v>5096</v>
      </c>
      <c r="J267" t="s">
        <v>5097</v>
      </c>
      <c r="K267" t="s">
        <v>5098</v>
      </c>
      <c r="L267" t="s">
        <v>5099</v>
      </c>
      <c r="M267" t="s">
        <v>5100</v>
      </c>
      <c r="N267">
        <f>-645.211082821408 -14.0656601408414 -526.558920849751</f>
        <v>-1185.8356638120003</v>
      </c>
      <c r="O267">
        <f>-671.174433004885 -163.362637859389 -489.454302422426</f>
        <v>-1323.9913732867001</v>
      </c>
      <c r="P267">
        <f>-705.988545298524 -192.047514582262 -210.987583245009</f>
        <v>-1109.0236431257949</v>
      </c>
      <c r="Q267">
        <f>-494.353953941575 -106.917115588077 -254.715550723539</f>
        <v>-855.98662025319095</v>
      </c>
      <c r="R267" t="s">
        <v>5101</v>
      </c>
      <c r="S267" t="s">
        <v>5102</v>
      </c>
      <c r="T267" t="s">
        <v>5103</v>
      </c>
      <c r="U267" t="s">
        <v>5104</v>
      </c>
      <c r="V267">
        <f>-586.514935725599 -59.282885527341 -92.0108043503833</f>
        <v>-737.80862560332332</v>
      </c>
      <c r="W267" t="s">
        <v>5105</v>
      </c>
      <c r="X267" t="s">
        <v>5106</v>
      </c>
      <c r="Y267" t="s">
        <v>5107</v>
      </c>
    </row>
    <row r="268" spans="1:25" x14ac:dyDescent="0.3">
      <c r="A268">
        <v>13350</v>
      </c>
      <c r="B268" t="s">
        <v>5108</v>
      </c>
      <c r="C268" t="s">
        <v>5109</v>
      </c>
      <c r="D268" t="s">
        <v>5110</v>
      </c>
      <c r="E268" t="s">
        <v>5111</v>
      </c>
      <c r="F268" t="s">
        <v>5112</v>
      </c>
      <c r="G268" t="s">
        <v>5113</v>
      </c>
      <c r="H268" t="s">
        <v>5114</v>
      </c>
      <c r="I268" t="s">
        <v>5115</v>
      </c>
      <c r="J268" t="s">
        <v>5116</v>
      </c>
      <c r="K268" t="s">
        <v>5117</v>
      </c>
      <c r="L268" t="s">
        <v>5118</v>
      </c>
      <c r="M268" t="s">
        <v>5119</v>
      </c>
      <c r="N268">
        <f>-645.232665570017 -14.0337052301236 -526.57385288627</f>
        <v>-1185.8402236864106</v>
      </c>
      <c r="O268">
        <f>-671.487459940893 -163.264232286649 -489.393839790199</f>
        <v>-1324.1455320177411</v>
      </c>
      <c r="P268">
        <f>-706.311068125881 -191.381865687746 -210.870504478002</f>
        <v>-1108.5634382916289</v>
      </c>
      <c r="Q268">
        <f>-494.458294656519 -106.948643399151 -254.892818520373</f>
        <v>-856.29975657604302</v>
      </c>
      <c r="R268" t="s">
        <v>5120</v>
      </c>
      <c r="S268" t="s">
        <v>5121</v>
      </c>
      <c r="T268" t="s">
        <v>5122</v>
      </c>
      <c r="U268" t="s">
        <v>5123</v>
      </c>
      <c r="V268">
        <f>-586.581446012361 -59.3546161515083 -92.0195582351383</f>
        <v>-737.95562039900756</v>
      </c>
      <c r="W268" t="s">
        <v>5124</v>
      </c>
      <c r="X268" t="s">
        <v>5125</v>
      </c>
      <c r="Y268" t="s">
        <v>5126</v>
      </c>
    </row>
    <row r="269" spans="1:25" x14ac:dyDescent="0.3">
      <c r="A269">
        <v>13400</v>
      </c>
      <c r="B269" t="s">
        <v>5127</v>
      </c>
      <c r="C269" t="s">
        <v>5128</v>
      </c>
      <c r="D269" t="s">
        <v>5129</v>
      </c>
      <c r="E269" t="s">
        <v>5130</v>
      </c>
      <c r="F269" t="s">
        <v>5131</v>
      </c>
      <c r="G269" t="s">
        <v>5132</v>
      </c>
      <c r="H269" t="s">
        <v>5133</v>
      </c>
      <c r="I269" t="s">
        <v>5134</v>
      </c>
      <c r="J269" t="s">
        <v>5135</v>
      </c>
      <c r="K269" t="s">
        <v>5136</v>
      </c>
      <c r="L269" t="s">
        <v>5137</v>
      </c>
      <c r="M269" t="s">
        <v>5138</v>
      </c>
      <c r="N269">
        <f>-644.988339804705 -13.733662727295 -526.723258939757</f>
        <v>-1185.445261471757</v>
      </c>
      <c r="O269">
        <f>-671.531416731358 -162.929953947945 -489.671950837605</f>
        <v>-1324.1333215169079</v>
      </c>
      <c r="P269">
        <f>-706.702014904138 -191.477988812427 -211.235946829666</f>
        <v>-1109.415950546231</v>
      </c>
      <c r="Q269">
        <f>-494.614673193403 -107.428879815364 -254.861701984742</f>
        <v>-856.90525499350906</v>
      </c>
      <c r="R269" t="s">
        <v>5139</v>
      </c>
      <c r="S269" t="s">
        <v>5140</v>
      </c>
      <c r="T269" t="s">
        <v>5141</v>
      </c>
      <c r="U269" t="s">
        <v>5142</v>
      </c>
      <c r="V269">
        <f>-586.999371169758 -59.4338379425826 -92.0834772091863</f>
        <v>-738.51668632152689</v>
      </c>
      <c r="W269" t="s">
        <v>5143</v>
      </c>
      <c r="X269" t="s">
        <v>5144</v>
      </c>
      <c r="Y269" t="s">
        <v>5145</v>
      </c>
    </row>
    <row r="270" spans="1:25" x14ac:dyDescent="0.3">
      <c r="A270">
        <v>13450</v>
      </c>
      <c r="B270" t="s">
        <v>5146</v>
      </c>
      <c r="C270" t="s">
        <v>5147</v>
      </c>
      <c r="D270" t="s">
        <v>5148</v>
      </c>
      <c r="E270" t="s">
        <v>5149</v>
      </c>
      <c r="F270" t="s">
        <v>5150</v>
      </c>
      <c r="G270" t="s">
        <v>5151</v>
      </c>
      <c r="H270" t="s">
        <v>5152</v>
      </c>
      <c r="I270" t="s">
        <v>5153</v>
      </c>
      <c r="J270" t="s">
        <v>5154</v>
      </c>
      <c r="K270" t="s">
        <v>5155</v>
      </c>
      <c r="L270" t="s">
        <v>5156</v>
      </c>
      <c r="M270" t="s">
        <v>5157</v>
      </c>
      <c r="N270">
        <f>-644.759424542693 -13.6592462277877 -526.782802208737</f>
        <v>-1185.2014729792177</v>
      </c>
      <c r="O270">
        <f>-671.437813473709 -162.832299657574 -489.731609596178</f>
        <v>-1324.0017227274609</v>
      </c>
      <c r="P270">
        <f>-706.683587394154 -192.16830252442 -211.387004659051</f>
        <v>-1110.2388945776249</v>
      </c>
      <c r="Q270">
        <f>-494.589211791309 -107.967657984004 -254.685349609513</f>
        <v>-857.24221938482606</v>
      </c>
      <c r="R270" t="s">
        <v>5158</v>
      </c>
      <c r="S270" t="s">
        <v>5159</v>
      </c>
      <c r="T270" t="s">
        <v>5160</v>
      </c>
      <c r="U270" t="s">
        <v>5161</v>
      </c>
      <c r="V270">
        <f>-587.199515604932 -59.5335222892249 -92.092743869311</f>
        <v>-738.82578176346794</v>
      </c>
      <c r="W270" t="s">
        <v>5162</v>
      </c>
      <c r="X270" t="s">
        <v>5163</v>
      </c>
      <c r="Y270" t="s">
        <v>5164</v>
      </c>
    </row>
    <row r="271" spans="1:25" x14ac:dyDescent="0.3">
      <c r="A271">
        <v>13500</v>
      </c>
      <c r="B271" t="s">
        <v>5165</v>
      </c>
      <c r="C271" t="s">
        <v>5166</v>
      </c>
      <c r="D271" t="s">
        <v>5167</v>
      </c>
      <c r="E271" t="s">
        <v>5168</v>
      </c>
      <c r="F271" t="s">
        <v>5169</v>
      </c>
      <c r="G271" t="s">
        <v>5170</v>
      </c>
      <c r="H271" t="s">
        <v>5171</v>
      </c>
      <c r="I271" t="s">
        <v>5172</v>
      </c>
      <c r="J271" t="s">
        <v>5173</v>
      </c>
      <c r="K271" t="s">
        <v>5174</v>
      </c>
      <c r="L271" t="s">
        <v>5175</v>
      </c>
      <c r="M271" t="s">
        <v>5176</v>
      </c>
      <c r="N271">
        <f>-644.030947225811 -13.6391973408829 -526.818398760218</f>
        <v>-1184.4885433269119</v>
      </c>
      <c r="O271">
        <f>-671.092079974127 -162.733256518451 -489.761625249897</f>
        <v>-1323.5869617424751</v>
      </c>
      <c r="P271">
        <f>-706.533737589846 -192.954906375933 -211.53676080076</f>
        <v>-1111.0254047665389</v>
      </c>
      <c r="Q271">
        <f>-494.298103271826 -108.914310962593 -254.451996964893</f>
        <v>-857.6644111993121</v>
      </c>
      <c r="R271" t="s">
        <v>5177</v>
      </c>
      <c r="S271" t="s">
        <v>5178</v>
      </c>
      <c r="T271" t="s">
        <v>5179</v>
      </c>
      <c r="U271" t="s">
        <v>5180</v>
      </c>
      <c r="V271">
        <f>-586.838671850171 -59.4700087594811 -92.0860712618845</f>
        <v>-738.39475187153653</v>
      </c>
      <c r="W271" t="s">
        <v>5181</v>
      </c>
      <c r="X271" t="s">
        <v>5182</v>
      </c>
      <c r="Y271" t="s">
        <v>5183</v>
      </c>
    </row>
    <row r="272" spans="1:25" x14ac:dyDescent="0.3">
      <c r="A272">
        <v>13550</v>
      </c>
      <c r="B272" t="s">
        <v>5184</v>
      </c>
      <c r="C272" t="s">
        <v>5185</v>
      </c>
      <c r="D272" t="s">
        <v>5186</v>
      </c>
      <c r="E272" t="s">
        <v>5187</v>
      </c>
      <c r="F272" t="s">
        <v>5188</v>
      </c>
      <c r="G272" t="s">
        <v>5189</v>
      </c>
      <c r="H272" t="s">
        <v>5190</v>
      </c>
      <c r="I272" t="s">
        <v>5191</v>
      </c>
      <c r="J272" t="s">
        <v>5192</v>
      </c>
      <c r="K272" t="s">
        <v>5193</v>
      </c>
      <c r="L272" t="s">
        <v>5194</v>
      </c>
      <c r="M272" t="s">
        <v>5195</v>
      </c>
      <c r="N272">
        <f>-643.681417814907 -13.7006282440627 -526.813106788215</f>
        <v>-1184.1951528471848</v>
      </c>
      <c r="O272">
        <f>-670.864620650603 -162.761412650236 -489.706940041384</f>
        <v>-1323.3329733422229</v>
      </c>
      <c r="P272">
        <f>-706.479724617914 -192.751592974526 -211.479099824402</f>
        <v>-1110.7104174168421</v>
      </c>
      <c r="Q272">
        <f>-494.066112573288 -109.086170933756 -254.246855850867</f>
        <v>-857.39913935791105</v>
      </c>
      <c r="R272" t="s">
        <v>5196</v>
      </c>
      <c r="S272" t="s">
        <v>5197</v>
      </c>
      <c r="T272" t="s">
        <v>5198</v>
      </c>
      <c r="U272" t="s">
        <v>5199</v>
      </c>
      <c r="V272">
        <f>-586.504071713592 -59.4294861520063 -92.0696731500735</f>
        <v>-738.00323101567187</v>
      </c>
      <c r="W272" t="s">
        <v>5200</v>
      </c>
      <c r="X272" t="s">
        <v>5201</v>
      </c>
      <c r="Y272" t="s">
        <v>5202</v>
      </c>
    </row>
    <row r="273" spans="1:25" x14ac:dyDescent="0.3">
      <c r="A273">
        <v>13600</v>
      </c>
      <c r="B273" t="s">
        <v>5203</v>
      </c>
      <c r="C273" t="s">
        <v>5204</v>
      </c>
      <c r="D273" t="s">
        <v>5205</v>
      </c>
      <c r="E273" t="s">
        <v>5206</v>
      </c>
      <c r="F273" t="s">
        <v>5207</v>
      </c>
      <c r="G273" t="s">
        <v>5208</v>
      </c>
      <c r="H273" t="s">
        <v>5209</v>
      </c>
      <c r="I273" t="s">
        <v>5210</v>
      </c>
      <c r="J273" t="s">
        <v>5211</v>
      </c>
      <c r="K273" t="s">
        <v>5212</v>
      </c>
      <c r="L273" t="s">
        <v>5213</v>
      </c>
      <c r="M273" t="s">
        <v>5214</v>
      </c>
      <c r="N273">
        <f>-642.899330605077 -14.1574624072239 -526.770391205107</f>
        <v>-1183.8271842174079</v>
      </c>
      <c r="O273">
        <f>-670.071873673645 -163.192776837344 -489.533263063586</f>
        <v>-1322.797913574575</v>
      </c>
      <c r="P273">
        <f>-706.050471312712 -192.303917912738 -211.258832698697</f>
        <v>-1109.6132219241472</v>
      </c>
      <c r="Q273">
        <f>-493.385008449795 -109.207147503007 -253.883442266811</f>
        <v>-856.47559821961306</v>
      </c>
      <c r="R273" t="s">
        <v>5215</v>
      </c>
      <c r="S273" t="s">
        <v>5216</v>
      </c>
      <c r="T273" t="s">
        <v>5217</v>
      </c>
      <c r="U273" t="s">
        <v>5218</v>
      </c>
      <c r="V273">
        <f>-585.71275229545 -59.451074896577 -92.0186008405948</f>
        <v>-737.18242803262171</v>
      </c>
      <c r="W273" t="s">
        <v>5219</v>
      </c>
      <c r="X273" t="s">
        <v>5220</v>
      </c>
      <c r="Y273" t="s">
        <v>5221</v>
      </c>
    </row>
    <row r="274" spans="1:25" x14ac:dyDescent="0.3">
      <c r="A274">
        <v>13650</v>
      </c>
      <c r="B274" t="s">
        <v>5222</v>
      </c>
      <c r="C274" t="s">
        <v>5223</v>
      </c>
      <c r="D274" t="s">
        <v>5224</v>
      </c>
      <c r="E274" t="s">
        <v>5225</v>
      </c>
      <c r="F274" t="s">
        <v>5226</v>
      </c>
      <c r="G274" t="s">
        <v>5227</v>
      </c>
      <c r="H274" t="s">
        <v>5228</v>
      </c>
      <c r="I274" t="s">
        <v>5229</v>
      </c>
      <c r="J274" t="s">
        <v>5230</v>
      </c>
      <c r="K274" t="s">
        <v>5231</v>
      </c>
      <c r="L274" t="s">
        <v>5232</v>
      </c>
      <c r="M274" t="s">
        <v>5233</v>
      </c>
      <c r="N274">
        <f>-642.522164102679 -14.4576425506173 -526.731401792585</f>
        <v>-1183.7112084458813</v>
      </c>
      <c r="O274">
        <f>-669.618334519238 -163.483125487366 -489.391006882075</f>
        <v>-1322.492466888679</v>
      </c>
      <c r="P274">
        <f>-705.66428505752 -192.40630653282 -211.105738174839</f>
        <v>-1109.1763297651789</v>
      </c>
      <c r="Q274">
        <f>-493.008030762543 -109.272957649774 -253.705016528279</f>
        <v>-855.98600494059599</v>
      </c>
      <c r="R274" t="s">
        <v>5234</v>
      </c>
      <c r="S274" t="s">
        <v>5235</v>
      </c>
      <c r="T274" t="s">
        <v>5236</v>
      </c>
      <c r="U274" t="s">
        <v>5237</v>
      </c>
      <c r="V274">
        <f>-585.330160958729 -59.464964915546 -91.9915550237125</f>
        <v>-736.78668089798759</v>
      </c>
      <c r="W274" t="s">
        <v>5238</v>
      </c>
      <c r="X274" t="s">
        <v>5239</v>
      </c>
      <c r="Y274" t="s">
        <v>5240</v>
      </c>
    </row>
    <row r="275" spans="1:25" x14ac:dyDescent="0.3">
      <c r="A275">
        <v>13700</v>
      </c>
      <c r="B275" t="s">
        <v>5241</v>
      </c>
      <c r="C275" t="s">
        <v>5242</v>
      </c>
      <c r="D275" t="s">
        <v>5243</v>
      </c>
      <c r="E275" t="s">
        <v>5244</v>
      </c>
      <c r="F275" t="s">
        <v>5245</v>
      </c>
      <c r="G275" t="s">
        <v>5246</v>
      </c>
      <c r="H275" t="s">
        <v>5247</v>
      </c>
      <c r="I275" t="s">
        <v>5248</v>
      </c>
      <c r="J275" t="s">
        <v>5249</v>
      </c>
      <c r="K275" t="s">
        <v>5250</v>
      </c>
      <c r="L275" t="s">
        <v>5251</v>
      </c>
      <c r="M275" t="s">
        <v>5252</v>
      </c>
      <c r="N275">
        <f>-641.655270542435 -14.9041574336404 -526.723424208872</f>
        <v>-1183.2828521849474</v>
      </c>
      <c r="O275">
        <f>-668.470959371503 -163.948512629638 -489.255892951976</f>
        <v>-1321.675364953117</v>
      </c>
      <c r="P275">
        <f>-704.696004360035 -192.945994885007 -211.001528174221</f>
        <v>-1108.6435274192629</v>
      </c>
      <c r="Q275">
        <f>-492.226642050293 -109.152113999975 -253.237748566725</f>
        <v>-854.61650461699298</v>
      </c>
      <c r="R275" t="s">
        <v>5253</v>
      </c>
      <c r="S275" t="s">
        <v>5254</v>
      </c>
      <c r="T275" t="s">
        <v>5255</v>
      </c>
      <c r="U275" t="s">
        <v>5256</v>
      </c>
      <c r="V275">
        <f>-584.714581497833 -59.391575046991 -91.9673891235741</f>
        <v>-736.07354566839808</v>
      </c>
      <c r="W275" t="s">
        <v>5257</v>
      </c>
      <c r="X275" t="s">
        <v>5258</v>
      </c>
      <c r="Y275" t="s">
        <v>5259</v>
      </c>
    </row>
    <row r="276" spans="1:25" x14ac:dyDescent="0.3">
      <c r="A276">
        <v>13750</v>
      </c>
      <c r="B276" t="s">
        <v>5260</v>
      </c>
      <c r="C276" t="s">
        <v>5261</v>
      </c>
      <c r="D276" t="s">
        <v>5262</v>
      </c>
      <c r="E276" t="s">
        <v>5263</v>
      </c>
      <c r="F276" t="s">
        <v>5264</v>
      </c>
      <c r="G276" t="s">
        <v>5265</v>
      </c>
      <c r="H276" t="s">
        <v>5266</v>
      </c>
      <c r="I276" t="s">
        <v>5267</v>
      </c>
      <c r="J276" t="s">
        <v>5268</v>
      </c>
      <c r="K276" t="s">
        <v>5269</v>
      </c>
      <c r="L276" t="s">
        <v>5270</v>
      </c>
      <c r="M276" t="s">
        <v>5271</v>
      </c>
      <c r="N276">
        <f>-641.178341550451 -15.0865835444711 -526.758361561421</f>
        <v>-1183.0232866563431</v>
      </c>
      <c r="O276">
        <f>-667.707941079666 -164.177645540108 -489.264865127222</f>
        <v>-1321.1504517469959</v>
      </c>
      <c r="P276">
        <f>-704.147901733395 -193.269281264295 -211.048342821808</f>
        <v>-1108.465525819498</v>
      </c>
      <c r="Q276">
        <f>-491.787118772954 -109.05300018699 -252.989537802785</f>
        <v>-853.82965676272897</v>
      </c>
      <c r="R276" t="s">
        <v>5272</v>
      </c>
      <c r="S276" t="s">
        <v>5273</v>
      </c>
      <c r="T276" t="s">
        <v>5274</v>
      </c>
      <c r="U276" t="s">
        <v>5275</v>
      </c>
      <c r="V276">
        <f>-584.455265038934 -59.2995816525975 -91.9592081499293</f>
        <v>-735.71405484146078</v>
      </c>
      <c r="W276" t="s">
        <v>5276</v>
      </c>
      <c r="X276" t="s">
        <v>5277</v>
      </c>
      <c r="Y276" t="s">
        <v>5278</v>
      </c>
    </row>
    <row r="277" spans="1:25" x14ac:dyDescent="0.3">
      <c r="A277">
        <v>13800</v>
      </c>
      <c r="B277" t="s">
        <v>5279</v>
      </c>
      <c r="C277" t="s">
        <v>5280</v>
      </c>
      <c r="D277" t="s">
        <v>5281</v>
      </c>
      <c r="E277" t="s">
        <v>5282</v>
      </c>
      <c r="F277" t="s">
        <v>5283</v>
      </c>
      <c r="G277" t="s">
        <v>5284</v>
      </c>
      <c r="H277" t="s">
        <v>5285</v>
      </c>
      <c r="I277" t="s">
        <v>5286</v>
      </c>
      <c r="J277" t="s">
        <v>5287</v>
      </c>
      <c r="K277" t="s">
        <v>5288</v>
      </c>
      <c r="L277" t="s">
        <v>5289</v>
      </c>
      <c r="M277" t="s">
        <v>5290</v>
      </c>
      <c r="N277">
        <f>-640.234443710501 -15.3138428620473 -526.815730173445</f>
        <v>-1182.3640167459932</v>
      </c>
      <c r="O277">
        <f>-666.110048748685 -164.521521652819 -489.357022974237</f>
        <v>-1319.9885933757409</v>
      </c>
      <c r="P277">
        <f>-702.897612640207 -194.088499083145 -211.23636576573</f>
        <v>-1108.2224774890819</v>
      </c>
      <c r="Q277">
        <f>-490.841671412975 -108.7669440134 -252.480108666367</f>
        <v>-852.08872409274204</v>
      </c>
      <c r="R277" t="s">
        <v>5291</v>
      </c>
      <c r="S277" t="s">
        <v>5292</v>
      </c>
      <c r="T277" t="s">
        <v>5293</v>
      </c>
      <c r="U277" t="s">
        <v>5294</v>
      </c>
      <c r="V277">
        <f>-583.982953375499 -59.0320439755371 -91.9253066543164</f>
        <v>-734.94030400535257</v>
      </c>
      <c r="W277" t="s">
        <v>5295</v>
      </c>
      <c r="X277" t="s">
        <v>5296</v>
      </c>
      <c r="Y277" t="s">
        <v>5297</v>
      </c>
    </row>
    <row r="278" spans="1:25" x14ac:dyDescent="0.3">
      <c r="A278">
        <v>13850</v>
      </c>
      <c r="B278" t="s">
        <v>5298</v>
      </c>
      <c r="C278" t="s">
        <v>5299</v>
      </c>
      <c r="D278" t="s">
        <v>5300</v>
      </c>
      <c r="E278" t="s">
        <v>5301</v>
      </c>
      <c r="F278" t="s">
        <v>5302</v>
      </c>
      <c r="G278" t="s">
        <v>5303</v>
      </c>
      <c r="H278" t="s">
        <v>5304</v>
      </c>
      <c r="I278" t="s">
        <v>5305</v>
      </c>
      <c r="J278" t="s">
        <v>5306</v>
      </c>
      <c r="K278" t="s">
        <v>5307</v>
      </c>
      <c r="L278" t="s">
        <v>5308</v>
      </c>
      <c r="M278" t="s">
        <v>5309</v>
      </c>
      <c r="N278">
        <f>-639.730406985324 -15.3792759088917 -526.848728281582</f>
        <v>-1181.9584111757977</v>
      </c>
      <c r="O278">
        <f>-665.267277366216 -164.654847119826 -489.39848937065</f>
        <v>-1319.320613856692</v>
      </c>
      <c r="P278">
        <f>-702.141391311516 -194.395607474844 -211.307952899022</f>
        <v>-1107.8449516853821</v>
      </c>
      <c r="Q278">
        <f>-490.215706744222 -108.617425697509 -252.272998568045</f>
        <v>-851.10613100977594</v>
      </c>
      <c r="R278" t="s">
        <v>5310</v>
      </c>
      <c r="S278" t="s">
        <v>5311</v>
      </c>
      <c r="T278" t="s">
        <v>5312</v>
      </c>
      <c r="U278" t="s">
        <v>5313</v>
      </c>
      <c r="V278">
        <f>-583.675300865754 -58.7835792415381 -91.9034520305606</f>
        <v>-734.36233213785272</v>
      </c>
      <c r="W278" t="s">
        <v>5314</v>
      </c>
      <c r="X278" t="s">
        <v>5315</v>
      </c>
      <c r="Y278" t="s">
        <v>5316</v>
      </c>
    </row>
    <row r="279" spans="1:25" x14ac:dyDescent="0.3">
      <c r="A279">
        <v>13900</v>
      </c>
      <c r="B279" t="s">
        <v>5317</v>
      </c>
      <c r="C279" t="s">
        <v>5318</v>
      </c>
      <c r="D279" t="s">
        <v>5319</v>
      </c>
      <c r="E279" t="s">
        <v>5320</v>
      </c>
      <c r="F279" t="s">
        <v>5321</v>
      </c>
      <c r="G279" t="s">
        <v>5322</v>
      </c>
      <c r="H279" t="s">
        <v>5323</v>
      </c>
      <c r="I279" t="s">
        <v>5324</v>
      </c>
      <c r="J279" t="s">
        <v>5325</v>
      </c>
      <c r="K279" t="s">
        <v>5326</v>
      </c>
      <c r="L279" t="s">
        <v>5327</v>
      </c>
      <c r="M279" t="s">
        <v>5328</v>
      </c>
      <c r="N279">
        <f>-638.612761411916 -15.2987857163059 -526.883148747602</f>
        <v>-1180.7946958758239</v>
      </c>
      <c r="O279">
        <f>-663.61913605892 -164.696593035152 -489.571376864935</f>
        <v>-1317.8871059590069</v>
      </c>
      <c r="P279">
        <f>-700.61179196306 -194.634149387208 -211.517711953877</f>
        <v>-1106.763653304145</v>
      </c>
      <c r="Q279">
        <f>-488.928994125223 -108.077331194768 -252.098755828594</f>
        <v>-849.10508114858499</v>
      </c>
      <c r="R279" t="s">
        <v>5329</v>
      </c>
      <c r="S279" t="s">
        <v>5330</v>
      </c>
      <c r="T279" t="s">
        <v>5331</v>
      </c>
      <c r="U279" t="s">
        <v>5332</v>
      </c>
      <c r="V279">
        <f>-582.541186150153 -58.2335878135102 -91.7249740161616</f>
        <v>-732.49974797982475</v>
      </c>
      <c r="W279" t="s">
        <v>5333</v>
      </c>
      <c r="X279" t="s">
        <v>5334</v>
      </c>
      <c r="Y279" t="s">
        <v>5335</v>
      </c>
    </row>
    <row r="280" spans="1:25" x14ac:dyDescent="0.3">
      <c r="A280">
        <v>13950</v>
      </c>
      <c r="B280" t="s">
        <v>5336</v>
      </c>
      <c r="C280" t="s">
        <v>5337</v>
      </c>
      <c r="D280" t="s">
        <v>5338</v>
      </c>
      <c r="E280" t="s">
        <v>5339</v>
      </c>
      <c r="F280" t="s">
        <v>5340</v>
      </c>
      <c r="G280" t="s">
        <v>5341</v>
      </c>
      <c r="H280" t="s">
        <v>5342</v>
      </c>
      <c r="I280" t="s">
        <v>5343</v>
      </c>
      <c r="J280" t="s">
        <v>5344</v>
      </c>
      <c r="K280" t="s">
        <v>5345</v>
      </c>
      <c r="L280" t="s">
        <v>5346</v>
      </c>
      <c r="M280" t="s">
        <v>5347</v>
      </c>
      <c r="N280">
        <f>-638.055246723369 -15.131431954022 -526.857720521829</f>
        <v>-1180.0443991992202</v>
      </c>
      <c r="O280">
        <f>-662.772720458384 -164.611425044185 -489.711040006137</f>
        <v>-1317.095185508706</v>
      </c>
      <c r="P280">
        <f>-699.966038922034 -194.967265689884 -211.729344452049</f>
        <v>-1106.6626490639671</v>
      </c>
      <c r="Q280">
        <f>-488.500099794038 -107.804328008578 -252.144354576162</f>
        <v>-848.44878237877799</v>
      </c>
      <c r="R280" t="s">
        <v>5348</v>
      </c>
      <c r="S280" t="s">
        <v>5349</v>
      </c>
      <c r="T280" t="s">
        <v>5350</v>
      </c>
      <c r="U280" t="s">
        <v>5351</v>
      </c>
      <c r="V280">
        <f>-581.89571747533 -58.0457266318338 -91.6011595747929</f>
        <v>-731.54260368195662</v>
      </c>
      <c r="W280" t="s">
        <v>5352</v>
      </c>
      <c r="X280" t="s">
        <v>5353</v>
      </c>
      <c r="Y280" t="s">
        <v>5354</v>
      </c>
    </row>
    <row r="281" spans="1:25" x14ac:dyDescent="0.3">
      <c r="A281">
        <v>14000</v>
      </c>
      <c r="B281" t="s">
        <v>5355</v>
      </c>
      <c r="C281" t="s">
        <v>5356</v>
      </c>
      <c r="D281" t="s">
        <v>5357</v>
      </c>
      <c r="E281" t="s">
        <v>5358</v>
      </c>
      <c r="F281" t="s">
        <v>5359</v>
      </c>
      <c r="G281" t="s">
        <v>5360</v>
      </c>
      <c r="H281" t="s">
        <v>5361</v>
      </c>
      <c r="I281" t="s">
        <v>5362</v>
      </c>
      <c r="J281" t="s">
        <v>5363</v>
      </c>
      <c r="K281" t="s">
        <v>5364</v>
      </c>
      <c r="L281" t="s">
        <v>5365</v>
      </c>
      <c r="M281" t="s">
        <v>5366</v>
      </c>
      <c r="N281">
        <f>-637.314648457835 -14.5665546874761 -526.766777101083</f>
        <v>-1178.6479802463941</v>
      </c>
      <c r="O281">
        <f>-661.446686933386 -164.23263250915 -489.986303787868</f>
        <v>-1315.665623230404</v>
      </c>
      <c r="P281">
        <f>-699.104195180061 -195.661865949147 -212.18663119636</f>
        <v>-1106.952692325568</v>
      </c>
      <c r="Q281">
        <f>-488.225477356669 -106.859610778311 -252.096862355253</f>
        <v>-847.18195049023302</v>
      </c>
      <c r="R281" t="s">
        <v>5367</v>
      </c>
      <c r="S281" t="s">
        <v>5368</v>
      </c>
      <c r="T281" t="s">
        <v>5369</v>
      </c>
      <c r="U281" t="s">
        <v>5370</v>
      </c>
      <c r="V281">
        <f>-580.971686726642 -57.6091709766624 -91.4136711191265</f>
        <v>-729.99452882243099</v>
      </c>
      <c r="W281" t="s">
        <v>5371</v>
      </c>
      <c r="X281" t="s">
        <v>5372</v>
      </c>
      <c r="Y281" t="s">
        <v>5373</v>
      </c>
    </row>
    <row r="282" spans="1:25" x14ac:dyDescent="0.3">
      <c r="A282">
        <v>14050</v>
      </c>
      <c r="B282" t="s">
        <v>5374</v>
      </c>
      <c r="C282" t="s">
        <v>5375</v>
      </c>
      <c r="D282" t="s">
        <v>5376</v>
      </c>
      <c r="E282" t="s">
        <v>5377</v>
      </c>
      <c r="F282" t="s">
        <v>5378</v>
      </c>
      <c r="G282" t="s">
        <v>5379</v>
      </c>
      <c r="H282" t="s">
        <v>5380</v>
      </c>
      <c r="I282" t="s">
        <v>5381</v>
      </c>
      <c r="J282" t="s">
        <v>5382</v>
      </c>
      <c r="K282" t="s">
        <v>5383</v>
      </c>
      <c r="L282" t="s">
        <v>5384</v>
      </c>
      <c r="M282" t="s">
        <v>5385</v>
      </c>
      <c r="N282">
        <f>-637.360595459973 -14.268198033795 -526.69169339681</f>
        <v>-1178.320486890578</v>
      </c>
      <c r="O282">
        <f>-661.325287225242 -164.01919698662 -490.117082117071</f>
        <v>-1315.461566328933</v>
      </c>
      <c r="P282">
        <f>-698.908474063955 -195.83228754057 -212.350955483483</f>
        <v>-1107.091717088008</v>
      </c>
      <c r="Q282">
        <f>-488.270188378351 -106.315874869975 -251.934587863672</f>
        <v>-846.52065111199795</v>
      </c>
      <c r="R282" t="s">
        <v>5386</v>
      </c>
      <c r="S282" t="s">
        <v>5387</v>
      </c>
      <c r="T282" t="s">
        <v>5388</v>
      </c>
      <c r="U282" t="s">
        <v>5389</v>
      </c>
      <c r="V282">
        <f>-580.600872918953 -57.4248583561389 -91.3567194240626</f>
        <v>-729.38245069915445</v>
      </c>
      <c r="W282" t="s">
        <v>5390</v>
      </c>
      <c r="X282" t="s">
        <v>5391</v>
      </c>
      <c r="Y282" t="s">
        <v>5392</v>
      </c>
    </row>
    <row r="283" spans="1:25" x14ac:dyDescent="0.3">
      <c r="A283">
        <v>14100</v>
      </c>
      <c r="B283" t="s">
        <v>5393</v>
      </c>
      <c r="C283" t="s">
        <v>5394</v>
      </c>
      <c r="D283" t="s">
        <v>5395</v>
      </c>
      <c r="E283" t="s">
        <v>5396</v>
      </c>
      <c r="F283" t="s">
        <v>5397</v>
      </c>
      <c r="G283" t="s">
        <v>5398</v>
      </c>
      <c r="H283" t="s">
        <v>5399</v>
      </c>
      <c r="I283" t="s">
        <v>5400</v>
      </c>
      <c r="J283" t="s">
        <v>5401</v>
      </c>
      <c r="K283" t="s">
        <v>5402</v>
      </c>
      <c r="L283" t="s">
        <v>5403</v>
      </c>
      <c r="M283" t="s">
        <v>5404</v>
      </c>
      <c r="N283">
        <f>-637.656874041526 -13.6296531022481 -526.585744124414</f>
        <v>-1177.8722712681879</v>
      </c>
      <c r="O283">
        <f>-661.519703262406 -163.444933169058 -490.241357335493</f>
        <v>-1315.2059937669569</v>
      </c>
      <c r="P283">
        <f>-698.447571446322 -195.327240861526 -212.39527341678</f>
        <v>-1106.1700857246278</v>
      </c>
      <c r="Q283">
        <f>-488.019156765916 -105.173092722553 -251.646133298647</f>
        <v>-844.83838278711596</v>
      </c>
      <c r="R283" t="s">
        <v>5405</v>
      </c>
      <c r="S283" t="s">
        <v>5406</v>
      </c>
      <c r="T283" t="s">
        <v>5407</v>
      </c>
      <c r="U283" t="s">
        <v>5408</v>
      </c>
      <c r="V283">
        <f>-580.098590295869 -57.0529832146822 -91.2906132160709</f>
        <v>-728.44218672662214</v>
      </c>
      <c r="W283" t="s">
        <v>5409</v>
      </c>
      <c r="X283" t="s">
        <v>5410</v>
      </c>
      <c r="Y283" t="s">
        <v>5411</v>
      </c>
    </row>
    <row r="284" spans="1:25" x14ac:dyDescent="0.3">
      <c r="A284">
        <v>14150</v>
      </c>
      <c r="B284" t="s">
        <v>5412</v>
      </c>
      <c r="C284" t="s">
        <v>5413</v>
      </c>
      <c r="D284" t="s">
        <v>5414</v>
      </c>
      <c r="E284" t="s">
        <v>5415</v>
      </c>
      <c r="F284" t="s">
        <v>5416</v>
      </c>
      <c r="G284" t="s">
        <v>5417</v>
      </c>
      <c r="H284" t="s">
        <v>5418</v>
      </c>
      <c r="I284" t="s">
        <v>5419</v>
      </c>
      <c r="J284" t="s">
        <v>5420</v>
      </c>
      <c r="K284" t="s">
        <v>5421</v>
      </c>
      <c r="L284" t="s">
        <v>5422</v>
      </c>
      <c r="M284" t="s">
        <v>5423</v>
      </c>
      <c r="N284">
        <f>-637.336785201492 -13.4525609539405 -526.569973654753</f>
        <v>-1177.3593198101855</v>
      </c>
      <c r="O284">
        <f>-661.196546393724 -163.281217916282 -490.243694684675</f>
        <v>-1314.7214589946811</v>
      </c>
      <c r="P284">
        <f>-697.832814304353 -195.009729566346 -212.341300336174</f>
        <v>-1105.1838442068729</v>
      </c>
      <c r="Q284">
        <f>-487.357180619421 -105.024991284277 -251.727617027283</f>
        <v>-844.10978893098104</v>
      </c>
      <c r="R284" t="s">
        <v>5424</v>
      </c>
      <c r="S284" t="s">
        <v>5425</v>
      </c>
      <c r="T284" t="s">
        <v>5426</v>
      </c>
      <c r="U284" t="s">
        <v>5427</v>
      </c>
      <c r="V284">
        <f>-579.976970169745 -56.9023957855145 -91.2821057299709</f>
        <v>-728.16147168523037</v>
      </c>
      <c r="W284" t="s">
        <v>5428</v>
      </c>
      <c r="X284" t="s">
        <v>5429</v>
      </c>
      <c r="Y284" t="s">
        <v>5430</v>
      </c>
    </row>
    <row r="285" spans="1:25" x14ac:dyDescent="0.3">
      <c r="A285">
        <v>14200</v>
      </c>
      <c r="B285" t="s">
        <v>5431</v>
      </c>
      <c r="C285" t="s">
        <v>5432</v>
      </c>
      <c r="D285" t="s">
        <v>5433</v>
      </c>
      <c r="E285" t="s">
        <v>5434</v>
      </c>
      <c r="F285" t="s">
        <v>5435</v>
      </c>
      <c r="G285" t="s">
        <v>5436</v>
      </c>
      <c r="H285" t="s">
        <v>5437</v>
      </c>
      <c r="I285" t="s">
        <v>5438</v>
      </c>
      <c r="J285" t="s">
        <v>5439</v>
      </c>
      <c r="K285" t="s">
        <v>5440</v>
      </c>
      <c r="L285" t="s">
        <v>5441</v>
      </c>
      <c r="M285" t="s">
        <v>5442</v>
      </c>
      <c r="N285">
        <f>-636.570522970665 -12.6722225513879 -526.554463595139</f>
        <v>-1175.7972091171919</v>
      </c>
      <c r="O285">
        <f>-660.262230230062 -162.56995834701 -490.371534819223</f>
        <v>-1313.2037233962949</v>
      </c>
      <c r="P285">
        <f>-696.825212408925 -193.997164389073 -212.425541442512</f>
        <v>-1103.24791824051</v>
      </c>
      <c r="Q285">
        <f>-486.108843923988 -104.738399339877 -252.175444293465</f>
        <v>-843.02268755733007</v>
      </c>
      <c r="R285" t="s">
        <v>5443</v>
      </c>
      <c r="S285" t="s">
        <v>5444</v>
      </c>
      <c r="T285" t="s">
        <v>5445</v>
      </c>
      <c r="U285" t="s">
        <v>5446</v>
      </c>
      <c r="V285">
        <f>-579.931603407065 -56.3687487741918 -91.2647680843933</f>
        <v>-727.56512026565008</v>
      </c>
      <c r="W285" t="s">
        <v>5447</v>
      </c>
      <c r="X285" t="s">
        <v>5448</v>
      </c>
      <c r="Y285" t="s">
        <v>5449</v>
      </c>
    </row>
    <row r="286" spans="1:25" x14ac:dyDescent="0.3">
      <c r="A286">
        <v>14250</v>
      </c>
      <c r="B286" t="s">
        <v>5450</v>
      </c>
      <c r="C286" t="s">
        <v>5451</v>
      </c>
      <c r="D286" t="s">
        <v>5452</v>
      </c>
      <c r="E286" t="s">
        <v>5453</v>
      </c>
      <c r="F286" t="s">
        <v>5454</v>
      </c>
      <c r="G286" t="s">
        <v>5455</v>
      </c>
      <c r="H286" t="s">
        <v>5456</v>
      </c>
      <c r="I286" t="s">
        <v>5457</v>
      </c>
      <c r="J286" t="s">
        <v>5458</v>
      </c>
      <c r="K286" t="s">
        <v>5459</v>
      </c>
      <c r="L286" t="s">
        <v>5460</v>
      </c>
      <c r="M286" t="s">
        <v>5461</v>
      </c>
      <c r="N286">
        <f>-636.376395429132 -12.0435220907677 -526.591745320842</f>
        <v>-1175.0116628407418</v>
      </c>
      <c r="O286">
        <f>-660.011817282676 -161.998363267092 -490.610621596948</f>
        <v>-1312.620802146716</v>
      </c>
      <c r="P286">
        <f>-696.569583715443 -193.669742273899 -212.691594221382</f>
        <v>-1102.930920210724</v>
      </c>
      <c r="Q286">
        <f>-485.772742248679 -104.550860449152 -252.327876567701</f>
        <v>-842.65147926553198</v>
      </c>
      <c r="R286" t="s">
        <v>5462</v>
      </c>
      <c r="S286" t="s">
        <v>5463</v>
      </c>
      <c r="T286" t="s">
        <v>5464</v>
      </c>
      <c r="U286" t="s">
        <v>5465</v>
      </c>
      <c r="V286">
        <f>-579.982578438274 -56.056552427488 -91.2409182701881</f>
        <v>-727.28004913595009</v>
      </c>
      <c r="W286" t="s">
        <v>5466</v>
      </c>
      <c r="X286" t="s">
        <v>5467</v>
      </c>
      <c r="Y286" t="s">
        <v>5468</v>
      </c>
    </row>
    <row r="287" spans="1:25" x14ac:dyDescent="0.3">
      <c r="A287">
        <v>14300</v>
      </c>
      <c r="B287" t="s">
        <v>5469</v>
      </c>
      <c r="C287" t="s">
        <v>5470</v>
      </c>
      <c r="D287" t="s">
        <v>5471</v>
      </c>
      <c r="E287" t="s">
        <v>5472</v>
      </c>
      <c r="F287" t="s">
        <v>5473</v>
      </c>
      <c r="G287" t="s">
        <v>5474</v>
      </c>
      <c r="H287" t="s">
        <v>5475</v>
      </c>
      <c r="I287" t="s">
        <v>5476</v>
      </c>
      <c r="J287" t="s">
        <v>5477</v>
      </c>
      <c r="K287" t="s">
        <v>5478</v>
      </c>
      <c r="L287" t="s">
        <v>5479</v>
      </c>
      <c r="M287" t="s">
        <v>5480</v>
      </c>
      <c r="N287">
        <f>-635.861383906347 -11.0615564076691 -526.648863511027</f>
        <v>-1173.5718038250429</v>
      </c>
      <c r="O287">
        <f>-659.478275544874 -161.104047631781 -491.076165336017</f>
        <v>-1311.658488512672</v>
      </c>
      <c r="P287">
        <f>-696.161298181246 -194.084620202216 -213.325943062165</f>
        <v>-1103.5718614456271</v>
      </c>
      <c r="Q287">
        <f>-485.455091944283 -104.49632353915 -252.38197119781</f>
        <v>-842.33338668124304</v>
      </c>
      <c r="R287" t="s">
        <v>5481</v>
      </c>
      <c r="S287" t="s">
        <v>5482</v>
      </c>
      <c r="T287" t="s">
        <v>5483</v>
      </c>
      <c r="U287" t="s">
        <v>5484</v>
      </c>
      <c r="V287">
        <f>-580.150813287786 -55.3690643438172 -91.1936035057144</f>
        <v>-726.71348113731756</v>
      </c>
      <c r="W287" t="s">
        <v>5485</v>
      </c>
      <c r="X287" t="s">
        <v>5486</v>
      </c>
      <c r="Y287" t="s">
        <v>5487</v>
      </c>
    </row>
    <row r="288" spans="1:25" x14ac:dyDescent="0.3">
      <c r="A288">
        <v>14350</v>
      </c>
      <c r="B288" t="s">
        <v>5488</v>
      </c>
      <c r="C288" t="s">
        <v>5489</v>
      </c>
      <c r="D288" t="s">
        <v>5490</v>
      </c>
      <c r="E288" t="s">
        <v>5491</v>
      </c>
      <c r="F288" t="s">
        <v>5492</v>
      </c>
      <c r="G288" t="s">
        <v>5493</v>
      </c>
      <c r="H288" t="s">
        <v>5494</v>
      </c>
      <c r="I288" t="s">
        <v>5495</v>
      </c>
      <c r="J288" t="s">
        <v>5496</v>
      </c>
      <c r="K288" t="s">
        <v>5497</v>
      </c>
      <c r="L288" t="s">
        <v>5498</v>
      </c>
      <c r="M288" t="s">
        <v>5499</v>
      </c>
      <c r="N288">
        <f>-635.641268146743 -10.6360763906512 -526.655456777624</f>
        <v>-1172.932801315018</v>
      </c>
      <c r="O288">
        <f>-659.32262367024 -160.697463269091 -491.184509681047</f>
        <v>-1311.204596620378</v>
      </c>
      <c r="P288">
        <f>-696.141977362757 -194.148363673086 -213.508578161454</f>
        <v>-1103.798919197297</v>
      </c>
      <c r="Q288">
        <f>-485.509126605721 -104.30347999144 -252.37037345238</f>
        <v>-842.18298004954102</v>
      </c>
      <c r="R288" t="s">
        <v>5500</v>
      </c>
      <c r="S288" t="s">
        <v>5501</v>
      </c>
      <c r="T288" t="s">
        <v>5502</v>
      </c>
      <c r="U288" t="s">
        <v>5503</v>
      </c>
      <c r="V288">
        <f>-580.131580570391 -54.8644144017094 -91.1662142894701</f>
        <v>-726.16220926157041</v>
      </c>
      <c r="W288" t="s">
        <v>5504</v>
      </c>
      <c r="X288" t="s">
        <v>5505</v>
      </c>
      <c r="Y288" t="s">
        <v>5506</v>
      </c>
    </row>
    <row r="289" spans="1:25" x14ac:dyDescent="0.3">
      <c r="A289">
        <v>14400</v>
      </c>
      <c r="B289" t="s">
        <v>5507</v>
      </c>
      <c r="C289" t="s">
        <v>5508</v>
      </c>
      <c r="D289" t="s">
        <v>5509</v>
      </c>
      <c r="E289" t="s">
        <v>5510</v>
      </c>
      <c r="F289" t="s">
        <v>5511</v>
      </c>
      <c r="G289" t="s">
        <v>5512</v>
      </c>
      <c r="H289" t="s">
        <v>5513</v>
      </c>
      <c r="I289" t="s">
        <v>5514</v>
      </c>
      <c r="J289" t="s">
        <v>5515</v>
      </c>
      <c r="K289" t="s">
        <v>5516</v>
      </c>
      <c r="L289" t="s">
        <v>5517</v>
      </c>
      <c r="M289" t="s">
        <v>5518</v>
      </c>
      <c r="N289">
        <f>-635.136336496902 -10.0805964429094 -526.769255294482</f>
        <v>-1171.9861882342934</v>
      </c>
      <c r="O289">
        <f>-659.19148929976 -160.066618027098 -491.244201041065</f>
        <v>-1310.502308367923</v>
      </c>
      <c r="P289">
        <f>-696.319843836939 -193.199401390896 -213.571347262792</f>
        <v>-1103.0905924906269</v>
      </c>
      <c r="Q289">
        <f>-485.593202950162 -103.547866256361 -252.370853531661</f>
        <v>-841.51192273818401</v>
      </c>
      <c r="R289" t="s">
        <v>5519</v>
      </c>
      <c r="S289" t="s">
        <v>5520</v>
      </c>
      <c r="T289" t="s">
        <v>5521</v>
      </c>
      <c r="U289" t="s">
        <v>5522</v>
      </c>
      <c r="V289">
        <f>-580.160411649107 -54.1942573099327 -91.1852933979919</f>
        <v>-725.53996235703164</v>
      </c>
      <c r="W289" t="s">
        <v>5523</v>
      </c>
      <c r="X289" t="s">
        <v>5524</v>
      </c>
      <c r="Y289" t="s">
        <v>5525</v>
      </c>
    </row>
    <row r="290" spans="1:25" x14ac:dyDescent="0.3">
      <c r="A290">
        <v>14450</v>
      </c>
      <c r="B290" t="s">
        <v>5526</v>
      </c>
      <c r="C290" t="s">
        <v>5527</v>
      </c>
      <c r="D290" t="s">
        <v>5528</v>
      </c>
      <c r="E290" t="s">
        <v>5529</v>
      </c>
      <c r="F290" t="s">
        <v>5530</v>
      </c>
      <c r="G290" t="s">
        <v>5531</v>
      </c>
      <c r="H290" t="s">
        <v>5532</v>
      </c>
      <c r="I290" t="s">
        <v>5533</v>
      </c>
      <c r="J290" t="s">
        <v>5534</v>
      </c>
      <c r="K290" t="s">
        <v>5535</v>
      </c>
      <c r="L290" t="s">
        <v>5536</v>
      </c>
      <c r="M290" t="s">
        <v>5537</v>
      </c>
      <c r="N290">
        <f>-634.659094618417 -10.0705476688354 -526.847511562686</f>
        <v>-1171.5771538499384</v>
      </c>
      <c r="O290">
        <f>-659.004714984437 -159.989470985818 -491.216445104773</f>
        <v>-1310.210631075028</v>
      </c>
      <c r="P290">
        <f>-696.276815241194 -192.589445159483 -213.499648549686</f>
        <v>-1102.3659089503631</v>
      </c>
      <c r="Q290">
        <f>-485.419419866062 -103.304341274831 -252.433209562519</f>
        <v>-841.15697070341196</v>
      </c>
      <c r="R290" t="s">
        <v>5538</v>
      </c>
      <c r="S290" t="s">
        <v>5539</v>
      </c>
      <c r="T290" t="s">
        <v>5540</v>
      </c>
      <c r="U290" t="s">
        <v>5541</v>
      </c>
      <c r="V290">
        <f>-580.338128228058 -54.1599910887585 -91.228120521624</f>
        <v>-725.72623983844051</v>
      </c>
      <c r="W290" t="s">
        <v>5542</v>
      </c>
      <c r="X290" t="s">
        <v>5543</v>
      </c>
      <c r="Y290" t="s">
        <v>5544</v>
      </c>
    </row>
    <row r="291" spans="1:25" x14ac:dyDescent="0.3">
      <c r="A291">
        <v>14500</v>
      </c>
      <c r="B291" t="s">
        <v>5545</v>
      </c>
      <c r="C291" t="s">
        <v>5546</v>
      </c>
      <c r="D291" t="s">
        <v>5547</v>
      </c>
      <c r="E291" t="s">
        <v>5548</v>
      </c>
      <c r="F291" t="s">
        <v>5549</v>
      </c>
      <c r="G291" t="s">
        <v>5550</v>
      </c>
      <c r="H291" t="s">
        <v>5551</v>
      </c>
      <c r="I291" t="s">
        <v>5552</v>
      </c>
      <c r="J291" t="s">
        <v>5553</v>
      </c>
      <c r="K291" t="s">
        <v>5554</v>
      </c>
      <c r="L291" t="s">
        <v>5555</v>
      </c>
      <c r="M291" t="s">
        <v>5556</v>
      </c>
      <c r="N291">
        <f>-633.920091535954 -10.201939984822 -526.955897758777</f>
        <v>-1171.0779292795532</v>
      </c>
      <c r="O291">
        <f>-658.877623369403 -159.963802653522 -491.109961223186</f>
        <v>-1309.9513872461109</v>
      </c>
      <c r="P291">
        <f>-696.333072677084 -191.738190395814 -213.322240840284</f>
        <v>-1101.393503913182</v>
      </c>
      <c r="Q291">
        <f>-485.156715344632 -103.345742942841 -252.563193018832</f>
        <v>-841.06565130630497</v>
      </c>
      <c r="R291" t="s">
        <v>5557</v>
      </c>
      <c r="S291" t="s">
        <v>5558</v>
      </c>
      <c r="T291" t="s">
        <v>5559</v>
      </c>
      <c r="U291" t="s">
        <v>5560</v>
      </c>
      <c r="V291">
        <f>-580.866709494727 -54.52776674188 -91.3116128600811</f>
        <v>-726.70608909668817</v>
      </c>
      <c r="W291" t="s">
        <v>5561</v>
      </c>
      <c r="X291" t="s">
        <v>5562</v>
      </c>
      <c r="Y291" t="s">
        <v>5563</v>
      </c>
    </row>
    <row r="292" spans="1:25" x14ac:dyDescent="0.3">
      <c r="A292">
        <v>14550</v>
      </c>
      <c r="B292" t="s">
        <v>5564</v>
      </c>
      <c r="C292" t="s">
        <v>5565</v>
      </c>
      <c r="D292" t="s">
        <v>5566</v>
      </c>
      <c r="E292" t="s">
        <v>5567</v>
      </c>
      <c r="F292" t="s">
        <v>5568</v>
      </c>
      <c r="G292" t="s">
        <v>5569</v>
      </c>
      <c r="H292" t="s">
        <v>5570</v>
      </c>
      <c r="I292" t="s">
        <v>5571</v>
      </c>
      <c r="J292" t="s">
        <v>5572</v>
      </c>
      <c r="K292" t="s">
        <v>5573</v>
      </c>
      <c r="L292" t="s">
        <v>5574</v>
      </c>
      <c r="M292" t="s">
        <v>5575</v>
      </c>
      <c r="N292">
        <f>-633.558901101151 -10.2274639473633 -526.979991486002</f>
        <v>-1170.7663565345163</v>
      </c>
      <c r="O292">
        <f>-658.908666916559 -159.904521887658 -491.052776333101</f>
        <v>-1309.865965137318</v>
      </c>
      <c r="P292">
        <f>-696.41317477062 -191.613972758204 -213.264071707169</f>
        <v>-1101.2912192359929</v>
      </c>
      <c r="Q292">
        <f>-485.069128950315 -103.650446737802 -252.56626806356</f>
        <v>-841.28584375167702</v>
      </c>
      <c r="R292" t="s">
        <v>5576</v>
      </c>
      <c r="S292" t="s">
        <v>5577</v>
      </c>
      <c r="T292" t="s">
        <v>5578</v>
      </c>
      <c r="U292" t="s">
        <v>5579</v>
      </c>
      <c r="V292">
        <f>-580.973996317606 -54.6811674525231 -91.3343589798643</f>
        <v>-726.9895227499934</v>
      </c>
      <c r="W292" t="s">
        <v>5580</v>
      </c>
      <c r="X292" t="s">
        <v>5581</v>
      </c>
      <c r="Y292" t="s">
        <v>5582</v>
      </c>
    </row>
    <row r="293" spans="1:25" x14ac:dyDescent="0.3">
      <c r="A293">
        <v>14600</v>
      </c>
      <c r="B293" t="s">
        <v>5583</v>
      </c>
      <c r="C293" t="s">
        <v>5584</v>
      </c>
      <c r="D293" t="s">
        <v>5585</v>
      </c>
      <c r="E293" t="s">
        <v>5586</v>
      </c>
      <c r="F293" t="s">
        <v>5587</v>
      </c>
      <c r="G293" t="s">
        <v>5588</v>
      </c>
      <c r="H293" t="s">
        <v>5589</v>
      </c>
      <c r="I293" t="s">
        <v>5590</v>
      </c>
      <c r="J293" t="s">
        <v>5591</v>
      </c>
      <c r="K293" t="s">
        <v>5592</v>
      </c>
      <c r="L293" t="s">
        <v>5593</v>
      </c>
      <c r="M293" t="s">
        <v>5594</v>
      </c>
      <c r="N293">
        <f>-632.825800626174 -10.0141254123523 -527.046492795504</f>
        <v>-1169.8864188340303</v>
      </c>
      <c r="O293">
        <f>-658.831637838248 -159.589884004877 -491.180198474793</f>
        <v>-1309.6017203179181</v>
      </c>
      <c r="P293">
        <f>-697.013203999285 -191.328163742941 -213.487236057083</f>
        <v>-1101.8286037993089</v>
      </c>
      <c r="Q293">
        <f>-485.193459941631 -104.381264798235 -252.489345590951</f>
        <v>-842.06407033081689</v>
      </c>
      <c r="R293" t="s">
        <v>5595</v>
      </c>
      <c r="S293" t="s">
        <v>5596</v>
      </c>
      <c r="T293" t="s">
        <v>5597</v>
      </c>
      <c r="U293" t="s">
        <v>5598</v>
      </c>
      <c r="V293">
        <f>-580.933569616155 -54.9675020892664 -91.3668409600518</f>
        <v>-727.2679126654732</v>
      </c>
      <c r="W293" t="s">
        <v>5599</v>
      </c>
      <c r="X293" t="s">
        <v>5600</v>
      </c>
      <c r="Y293" t="s">
        <v>5601</v>
      </c>
    </row>
    <row r="294" spans="1:25" x14ac:dyDescent="0.3">
      <c r="A294">
        <v>14650</v>
      </c>
      <c r="B294" t="s">
        <v>5602</v>
      </c>
      <c r="C294" t="s">
        <v>5603</v>
      </c>
      <c r="D294" t="s">
        <v>5604</v>
      </c>
      <c r="E294" t="s">
        <v>5605</v>
      </c>
      <c r="F294" t="s">
        <v>5606</v>
      </c>
      <c r="G294" t="s">
        <v>5607</v>
      </c>
      <c r="H294" t="s">
        <v>5608</v>
      </c>
      <c r="I294" t="s">
        <v>5609</v>
      </c>
      <c r="J294" t="s">
        <v>5610</v>
      </c>
      <c r="K294" t="s">
        <v>5611</v>
      </c>
      <c r="L294" t="s">
        <v>5612</v>
      </c>
      <c r="M294" t="s">
        <v>5613</v>
      </c>
      <c r="N294">
        <f>-632.501858735422 -9.90133680574922 -527.078526176771</f>
        <v>-1169.4817217179423</v>
      </c>
      <c r="O294">
        <f>-658.679349309467 -159.474304645728 -491.317853388822</f>
        <v>-1309.471507344017</v>
      </c>
      <c r="P294">
        <f>-697.33152830236 -191.300208462388 -213.700020444647</f>
        <v>-1102.3317572093949</v>
      </c>
      <c r="Q294">
        <f>-485.314496708851 -104.71785981413 -252.440367073267</f>
        <v>-842.47272359624799</v>
      </c>
      <c r="R294" t="s">
        <v>5614</v>
      </c>
      <c r="S294" t="s">
        <v>5615</v>
      </c>
      <c r="T294" t="s">
        <v>5616</v>
      </c>
      <c r="U294" t="s">
        <v>5617</v>
      </c>
      <c r="V294">
        <f>-580.715879915338 -55.0459665479302 -91.3697219204347</f>
        <v>-727.13156838370287</v>
      </c>
      <c r="W294" t="s">
        <v>5618</v>
      </c>
      <c r="X294" t="s">
        <v>5619</v>
      </c>
      <c r="Y294" t="s">
        <v>5620</v>
      </c>
    </row>
    <row r="295" spans="1:25" x14ac:dyDescent="0.3">
      <c r="A295">
        <v>14700</v>
      </c>
      <c r="B295" t="s">
        <v>5621</v>
      </c>
      <c r="C295" t="s">
        <v>5622</v>
      </c>
      <c r="D295" t="s">
        <v>5623</v>
      </c>
      <c r="E295" t="s">
        <v>5624</v>
      </c>
      <c r="F295" t="s">
        <v>5625</v>
      </c>
      <c r="G295" t="s">
        <v>5626</v>
      </c>
      <c r="H295" t="s">
        <v>5627</v>
      </c>
      <c r="I295" t="s">
        <v>5628</v>
      </c>
      <c r="J295" t="s">
        <v>5629</v>
      </c>
      <c r="K295" t="s">
        <v>5630</v>
      </c>
      <c r="L295" t="s">
        <v>5631</v>
      </c>
      <c r="M295" t="s">
        <v>5632</v>
      </c>
      <c r="N295">
        <f>-631.877304306815 -9.84003806908049 -527.05859396303</f>
        <v>-1168.7759363389255</v>
      </c>
      <c r="O295">
        <f>-658.173417188587 -159.411459803468 -491.366511751154</f>
        <v>-1308.951388743209</v>
      </c>
      <c r="P295">
        <f>-697.257287525918 -191.516631631975 -213.841260639698</f>
        <v>-1102.6151797975908</v>
      </c>
      <c r="Q295">
        <f>-485.07699111381 -105.175995183626 -252.225253339465</f>
        <v>-842.47823963690098</v>
      </c>
      <c r="R295" t="s">
        <v>5633</v>
      </c>
      <c r="S295" t="s">
        <v>5634</v>
      </c>
      <c r="T295" t="s">
        <v>5635</v>
      </c>
      <c r="U295" t="s">
        <v>5636</v>
      </c>
      <c r="V295">
        <f>-579.980648308727 -55.0931881674433 -91.330542476182</f>
        <v>-726.40437895235232</v>
      </c>
      <c r="W295" t="s">
        <v>5637</v>
      </c>
      <c r="X295" t="s">
        <v>5638</v>
      </c>
      <c r="Y295" t="s">
        <v>5639</v>
      </c>
    </row>
    <row r="296" spans="1:25" x14ac:dyDescent="0.3">
      <c r="A296">
        <v>14750</v>
      </c>
      <c r="B296" t="s">
        <v>5640</v>
      </c>
      <c r="C296" t="s">
        <v>5641</v>
      </c>
      <c r="D296" t="s">
        <v>5642</v>
      </c>
      <c r="E296" t="s">
        <v>5643</v>
      </c>
      <c r="F296" t="s">
        <v>5644</v>
      </c>
      <c r="G296" t="s">
        <v>5645</v>
      </c>
      <c r="H296" t="s">
        <v>5646</v>
      </c>
      <c r="I296" t="s">
        <v>5647</v>
      </c>
      <c r="J296" t="s">
        <v>5648</v>
      </c>
      <c r="K296" t="s">
        <v>5649</v>
      </c>
      <c r="L296" t="s">
        <v>5650</v>
      </c>
      <c r="M296" t="s">
        <v>5651</v>
      </c>
      <c r="N296">
        <f>-631.679451245266 -9.76147547327992 -527.031626245866</f>
        <v>-1168.472552964412</v>
      </c>
      <c r="O296">
        <f>-657.994030747061 -159.329861271016 -491.328343117613</f>
        <v>-1308.65223513569</v>
      </c>
      <c r="P296">
        <f>-696.976641830569 -191.505574159968 -213.796966417194</f>
        <v>-1102.279182407731</v>
      </c>
      <c r="Q296">
        <f>-484.779366285326 -105.17154726062 -252.102339846445</f>
        <v>-842.05325339239096</v>
      </c>
      <c r="R296" t="s">
        <v>5652</v>
      </c>
      <c r="S296" t="s">
        <v>5653</v>
      </c>
      <c r="T296" t="s">
        <v>5654</v>
      </c>
      <c r="U296" t="s">
        <v>5655</v>
      </c>
      <c r="V296">
        <f>-579.587984258684 -54.9368309497286 -91.2989022390111</f>
        <v>-725.82371744742363</v>
      </c>
      <c r="W296" t="s">
        <v>5656</v>
      </c>
      <c r="X296" t="s">
        <v>5657</v>
      </c>
      <c r="Y296" t="s">
        <v>5658</v>
      </c>
    </row>
    <row r="297" spans="1:25" x14ac:dyDescent="0.3">
      <c r="A297">
        <v>14800</v>
      </c>
      <c r="B297" t="s">
        <v>5659</v>
      </c>
      <c r="C297" t="s">
        <v>5660</v>
      </c>
      <c r="D297" t="s">
        <v>5661</v>
      </c>
      <c r="E297" t="s">
        <v>5662</v>
      </c>
      <c r="F297" t="s">
        <v>5663</v>
      </c>
      <c r="G297" t="s">
        <v>5664</v>
      </c>
      <c r="H297" t="s">
        <v>5665</v>
      </c>
      <c r="I297" t="s">
        <v>5666</v>
      </c>
      <c r="J297" t="s">
        <v>5667</v>
      </c>
      <c r="K297" t="s">
        <v>5668</v>
      </c>
      <c r="L297" t="s">
        <v>5669</v>
      </c>
      <c r="M297" t="s">
        <v>5670</v>
      </c>
      <c r="N297">
        <f>-630.769587123455 -9.50313018687712 -527.105525010364</f>
        <v>-1167.3782423206962</v>
      </c>
      <c r="O297">
        <f>-657.714382794471 -158.948799125333 -491.345462378738</f>
        <v>-1308.0086442985421</v>
      </c>
      <c r="P297">
        <f>-696.285363135466 -191.038598479622 -213.746627959008</f>
        <v>-1101.0705895740959</v>
      </c>
      <c r="Q297">
        <f>-484.028410777675 -104.904999596601 -252.171741456478</f>
        <v>-841.10515183075404</v>
      </c>
      <c r="R297" t="s">
        <v>5671</v>
      </c>
      <c r="S297" t="s">
        <v>5672</v>
      </c>
      <c r="T297" t="s">
        <v>5673</v>
      </c>
      <c r="U297" t="s">
        <v>5674</v>
      </c>
      <c r="V297">
        <f>-579.041664039201 -54.9402871861 -91.2818031142675</f>
        <v>-725.26375433956855</v>
      </c>
      <c r="W297" t="s">
        <v>5675</v>
      </c>
      <c r="X297" t="s">
        <v>5676</v>
      </c>
      <c r="Y297" t="s">
        <v>5677</v>
      </c>
    </row>
    <row r="298" spans="1:25" x14ac:dyDescent="0.3">
      <c r="A298">
        <v>14850</v>
      </c>
      <c r="B298" t="s">
        <v>5678</v>
      </c>
      <c r="C298" t="s">
        <v>5679</v>
      </c>
      <c r="D298" t="s">
        <v>5680</v>
      </c>
      <c r="E298" t="s">
        <v>5681</v>
      </c>
      <c r="F298" t="s">
        <v>5682</v>
      </c>
      <c r="G298" t="s">
        <v>5683</v>
      </c>
      <c r="H298" t="s">
        <v>5684</v>
      </c>
      <c r="I298" t="s">
        <v>5685</v>
      </c>
      <c r="J298" t="s">
        <v>5686</v>
      </c>
      <c r="K298" t="s">
        <v>5687</v>
      </c>
      <c r="L298" t="s">
        <v>5688</v>
      </c>
      <c r="M298" t="s">
        <v>5689</v>
      </c>
      <c r="N298">
        <f>-629.958843917188 -9.4125012086547 -527.214995868641</f>
        <v>-1166.5863409944836</v>
      </c>
      <c r="O298">
        <f>-657.56051569942 -158.728069551503 -491.448718509253</f>
        <v>-1307.737303760176</v>
      </c>
      <c r="P298">
        <f>-696.189384346636 -190.618167582844 -213.834898029163</f>
        <v>-1100.6424499586428</v>
      </c>
      <c r="Q298">
        <f>-483.745386225858 -105.019751129502 -252.422458928495</f>
        <v>-841.18759628385499</v>
      </c>
      <c r="R298" t="s">
        <v>5690</v>
      </c>
      <c r="S298" t="s">
        <v>5691</v>
      </c>
      <c r="T298" t="s">
        <v>5692</v>
      </c>
      <c r="U298" t="s">
        <v>5693</v>
      </c>
      <c r="V298">
        <f>-578.862416262605 -55.1127459096554 -91.322037990103</f>
        <v>-725.29720016236342</v>
      </c>
      <c r="W298" t="s">
        <v>5694</v>
      </c>
      <c r="X298" t="s">
        <v>5695</v>
      </c>
      <c r="Y298" t="s">
        <v>5696</v>
      </c>
    </row>
    <row r="299" spans="1:25" x14ac:dyDescent="0.3">
      <c r="A299">
        <v>14900</v>
      </c>
      <c r="B299" t="s">
        <v>5697</v>
      </c>
      <c r="C299" t="s">
        <v>5698</v>
      </c>
      <c r="D299" t="s">
        <v>5699</v>
      </c>
      <c r="E299" t="s">
        <v>5700</v>
      </c>
      <c r="F299" t="s">
        <v>5701</v>
      </c>
      <c r="G299" t="s">
        <v>5702</v>
      </c>
      <c r="H299" t="s">
        <v>5703</v>
      </c>
      <c r="I299" t="s">
        <v>5704</v>
      </c>
      <c r="J299" t="s">
        <v>5705</v>
      </c>
      <c r="K299" t="s">
        <v>5706</v>
      </c>
      <c r="L299" t="s">
        <v>5707</v>
      </c>
      <c r="M299" t="s">
        <v>5708</v>
      </c>
      <c r="N299">
        <f>-628.681782627638 -9.87414206124254 -527.454347316939</f>
        <v>-1166.0102720058194</v>
      </c>
      <c r="O299">
        <f>-657.943217509118 -158.857292183144 -491.630124827871</f>
        <v>-1308.430634520133</v>
      </c>
      <c r="P299">
        <f>-697.272822414817 -190.155737056293 -214.04731531447</f>
        <v>-1101.4758747855801</v>
      </c>
      <c r="Q299">
        <f>-484.067206801381 -106.542750793823 -252.787128438114</f>
        <v>-843.39708603331803</v>
      </c>
      <c r="R299" t="s">
        <v>5709</v>
      </c>
      <c r="S299" t="s">
        <v>5710</v>
      </c>
      <c r="T299" t="s">
        <v>5711</v>
      </c>
      <c r="U299" t="s">
        <v>5712</v>
      </c>
      <c r="V299">
        <f>-579.104390924485 -56.6125326314827 -91.4839445777745</f>
        <v>-727.20086813374223</v>
      </c>
      <c r="W299" t="s">
        <v>5713</v>
      </c>
      <c r="X299" t="s">
        <v>5714</v>
      </c>
      <c r="Y299" t="s">
        <v>5715</v>
      </c>
    </row>
    <row r="300" spans="1:25" x14ac:dyDescent="0.3">
      <c r="A300">
        <v>14950</v>
      </c>
      <c r="B300" t="s">
        <v>5716</v>
      </c>
      <c r="C300" t="s">
        <v>5717</v>
      </c>
      <c r="D300" t="s">
        <v>5718</v>
      </c>
      <c r="E300" t="s">
        <v>5719</v>
      </c>
      <c r="F300" t="s">
        <v>5720</v>
      </c>
      <c r="G300" t="s">
        <v>5721</v>
      </c>
      <c r="H300" t="s">
        <v>5722</v>
      </c>
      <c r="I300" t="s">
        <v>5723</v>
      </c>
      <c r="J300" t="s">
        <v>5724</v>
      </c>
      <c r="K300" t="s">
        <v>5725</v>
      </c>
      <c r="L300" t="s">
        <v>5726</v>
      </c>
      <c r="M300" t="s">
        <v>5727</v>
      </c>
      <c r="N300">
        <f>-627.936157227182 -10.3414428358103 -527.476446524104</f>
        <v>-1165.7540465870961</v>
      </c>
      <c r="O300">
        <f>-658.287311848876 -159.08772930608 -491.578142935075</f>
        <v>-1308.9531840900311</v>
      </c>
      <c r="P300">
        <f>-697.981135884288 -190.187416416645 -214.02496843396</f>
        <v>-1102.1935207348929</v>
      </c>
      <c r="Q300">
        <f>-484.309968526632 -107.819130898417 -252.866368756453</f>
        <v>-844.99546818150202</v>
      </c>
      <c r="R300" t="s">
        <v>5728</v>
      </c>
      <c r="S300" t="s">
        <v>5729</v>
      </c>
      <c r="T300" t="s">
        <v>5730</v>
      </c>
      <c r="U300" t="s">
        <v>5731</v>
      </c>
      <c r="V300">
        <f>-578.97733100554 -57.5452062490911 -91.5414902460341</f>
        <v>-728.06402750066513</v>
      </c>
      <c r="W300" t="s">
        <v>5732</v>
      </c>
      <c r="X300" t="s">
        <v>5733</v>
      </c>
      <c r="Y300" t="s">
        <v>5734</v>
      </c>
    </row>
    <row r="301" spans="1:25" x14ac:dyDescent="0.3">
      <c r="A301">
        <v>15000</v>
      </c>
      <c r="B301" t="s">
        <v>5735</v>
      </c>
      <c r="C301" t="s">
        <v>5736</v>
      </c>
      <c r="D301" t="s">
        <v>5737</v>
      </c>
      <c r="E301" t="s">
        <v>5738</v>
      </c>
      <c r="F301" t="s">
        <v>5739</v>
      </c>
      <c r="G301" t="s">
        <v>5740</v>
      </c>
      <c r="H301" t="s">
        <v>5741</v>
      </c>
      <c r="I301" t="s">
        <v>5742</v>
      </c>
      <c r="J301" t="s">
        <v>5743</v>
      </c>
      <c r="K301" t="s">
        <v>5744</v>
      </c>
      <c r="L301" t="s">
        <v>5745</v>
      </c>
      <c r="M301" t="s">
        <v>5746</v>
      </c>
      <c r="N301">
        <f>-626.483405583894 -10.8833690232868 -527.574214963982</f>
        <v>-1164.9409895711628</v>
      </c>
      <c r="O301">
        <f>-659.16707138265 -159.113903887145 -491.530146340345</f>
        <v>-1309.8111216101399</v>
      </c>
      <c r="P301">
        <f>-699.603700185285 -189.498887767725 -214.004996048725</f>
        <v>-1103.1075840017349</v>
      </c>
      <c r="Q301">
        <f>-484.859184494177 -110.082113874168 -253.072583506871</f>
        <v>-848.01388187521593</v>
      </c>
      <c r="R301" t="s">
        <v>5747</v>
      </c>
      <c r="S301" t="s">
        <v>5748</v>
      </c>
      <c r="T301" t="s">
        <v>5749</v>
      </c>
      <c r="U301" t="s">
        <v>5750</v>
      </c>
      <c r="V301">
        <f>-579.153091112439 -58.6652040884367 -91.4473441898376</f>
        <v>-729.26563939071332</v>
      </c>
      <c r="W301" t="s">
        <v>5751</v>
      </c>
      <c r="X301" t="s">
        <v>5752</v>
      </c>
      <c r="Y301" t="s">
        <v>5753</v>
      </c>
    </row>
    <row r="302" spans="1:25" x14ac:dyDescent="0.3">
      <c r="A302">
        <v>15050</v>
      </c>
      <c r="B302" t="s">
        <v>5754</v>
      </c>
      <c r="C302" t="s">
        <v>5755</v>
      </c>
      <c r="D302" t="s">
        <v>5756</v>
      </c>
      <c r="E302" t="s">
        <v>5757</v>
      </c>
      <c r="F302" t="s">
        <v>5758</v>
      </c>
      <c r="G302" t="s">
        <v>5759</v>
      </c>
      <c r="H302" t="s">
        <v>5760</v>
      </c>
      <c r="I302" t="s">
        <v>5761</v>
      </c>
      <c r="J302" t="s">
        <v>5762</v>
      </c>
      <c r="K302" t="s">
        <v>5763</v>
      </c>
      <c r="L302" t="s">
        <v>5764</v>
      </c>
      <c r="M302" t="s">
        <v>5765</v>
      </c>
      <c r="N302">
        <f>-625.738992670117 -11.0048740898626 -527.645277584435</f>
        <v>-1164.3891443444145</v>
      </c>
      <c r="O302">
        <f>-659.343495953544 -159.016086342482 -491.576463845859</f>
        <v>-1309.9360461418851</v>
      </c>
      <c r="P302">
        <f>-700.335673056858 -188.856924301376 -214.073775513281</f>
        <v>-1103.2663728715149</v>
      </c>
      <c r="Q302">
        <f>-485.031727155798 -110.948100938942 -253.098929132381</f>
        <v>-849.07875722712106</v>
      </c>
      <c r="R302" t="s">
        <v>5766</v>
      </c>
      <c r="S302" t="s">
        <v>5767</v>
      </c>
      <c r="T302" t="s">
        <v>5768</v>
      </c>
      <c r="U302" t="s">
        <v>5769</v>
      </c>
      <c r="V302">
        <f>-579.249356327609 -59.1096301824659 -91.4327644801866</f>
        <v>-729.79175099026156</v>
      </c>
      <c r="W302" t="s">
        <v>5770</v>
      </c>
      <c r="X302" t="s">
        <v>5771</v>
      </c>
      <c r="Y302" t="s">
        <v>5772</v>
      </c>
    </row>
    <row r="303" spans="1:25" x14ac:dyDescent="0.3">
      <c r="A303">
        <v>15100</v>
      </c>
      <c r="B303" t="s">
        <v>5773</v>
      </c>
      <c r="C303" t="s">
        <v>5774</v>
      </c>
      <c r="D303" t="s">
        <v>5775</v>
      </c>
      <c r="E303" t="s">
        <v>5776</v>
      </c>
      <c r="F303" t="s">
        <v>5777</v>
      </c>
      <c r="G303" t="s">
        <v>5778</v>
      </c>
      <c r="H303" t="s">
        <v>5779</v>
      </c>
      <c r="I303" t="s">
        <v>5780</v>
      </c>
      <c r="J303" t="s">
        <v>5781</v>
      </c>
      <c r="K303" t="s">
        <v>5782</v>
      </c>
      <c r="L303" t="s">
        <v>5783</v>
      </c>
      <c r="M303" t="s">
        <v>5784</v>
      </c>
      <c r="N303">
        <f>-624.592648991246 -11.1173326979861 -527.652898288594</f>
        <v>-1163.3628799778262</v>
      </c>
      <c r="O303">
        <f>-659.352359921166 -158.825088684506 -491.446906240713</f>
        <v>-1309.6243548463849</v>
      </c>
      <c r="P303">
        <f>-701.074540988887 -188.071110398131 -213.98980041378</f>
        <v>-1103.1354518007979</v>
      </c>
      <c r="Q303">
        <f>-485.096510732732 -111.951987677084 -252.821686968742</f>
        <v>-849.87018537855806</v>
      </c>
      <c r="R303" t="s">
        <v>5785</v>
      </c>
      <c r="S303" t="s">
        <v>5786</v>
      </c>
      <c r="T303" t="s">
        <v>5787</v>
      </c>
      <c r="U303" t="s">
        <v>5788</v>
      </c>
      <c r="V303">
        <f>-579.083768740602 -59.6484210073754 -91.3863605682457</f>
        <v>-730.11855031622304</v>
      </c>
      <c r="W303" t="s">
        <v>5789</v>
      </c>
      <c r="X303" t="s">
        <v>5790</v>
      </c>
      <c r="Y303" t="s">
        <v>5791</v>
      </c>
    </row>
    <row r="304" spans="1:25" x14ac:dyDescent="0.3">
      <c r="A304">
        <v>15150</v>
      </c>
      <c r="B304" t="s">
        <v>5792</v>
      </c>
      <c r="C304" t="s">
        <v>5793</v>
      </c>
      <c r="D304" t="s">
        <v>5794</v>
      </c>
      <c r="E304" t="s">
        <v>5795</v>
      </c>
      <c r="F304" t="s">
        <v>5796</v>
      </c>
      <c r="G304" t="s">
        <v>5797</v>
      </c>
      <c r="H304" t="s">
        <v>5798</v>
      </c>
      <c r="I304" t="s">
        <v>5799</v>
      </c>
      <c r="J304" t="s">
        <v>5800</v>
      </c>
      <c r="K304" t="s">
        <v>5801</v>
      </c>
      <c r="L304" t="s">
        <v>5802</v>
      </c>
      <c r="M304" t="s">
        <v>5803</v>
      </c>
      <c r="N304">
        <f>-624.158101224208 -11.0440804275663 -527.623319692152</f>
        <v>-1162.8255013439264</v>
      </c>
      <c r="O304">
        <f>-659.222322966726 -158.64959131236 -491.287613057276</f>
        <v>-1309.1595273363621</v>
      </c>
      <c r="P304">
        <f>-700.892666446361 -187.75131147397 -213.807495254345</f>
        <v>-1102.451473174676</v>
      </c>
      <c r="Q304">
        <f>-484.777104680491 -112.029625451664 -252.651590556988</f>
        <v>-849.45832068914308</v>
      </c>
      <c r="R304" t="s">
        <v>5804</v>
      </c>
      <c r="S304" t="s">
        <v>5805</v>
      </c>
      <c r="T304" t="s">
        <v>5806</v>
      </c>
      <c r="U304" t="s">
        <v>5807</v>
      </c>
      <c r="V304">
        <f>-578.882502215801 -59.6584711907008 -91.3225272622938</f>
        <v>-729.8635006687955</v>
      </c>
      <c r="W304" t="s">
        <v>5808</v>
      </c>
      <c r="X304" t="s">
        <v>5809</v>
      </c>
      <c r="Y304" t="s">
        <v>5810</v>
      </c>
    </row>
    <row r="305" spans="1:25" x14ac:dyDescent="0.3">
      <c r="A305">
        <v>15200</v>
      </c>
      <c r="B305" t="s">
        <v>5811</v>
      </c>
      <c r="C305" t="s">
        <v>5812</v>
      </c>
      <c r="D305" t="s">
        <v>5813</v>
      </c>
      <c r="E305" t="s">
        <v>5814</v>
      </c>
      <c r="F305" t="s">
        <v>5815</v>
      </c>
      <c r="G305" t="s">
        <v>5816</v>
      </c>
      <c r="H305" t="s">
        <v>5817</v>
      </c>
      <c r="I305" t="s">
        <v>5818</v>
      </c>
      <c r="J305" t="s">
        <v>5819</v>
      </c>
      <c r="K305" t="s">
        <v>5820</v>
      </c>
      <c r="L305" t="s">
        <v>5821</v>
      </c>
      <c r="M305" t="s">
        <v>5822</v>
      </c>
      <c r="N305">
        <f>-623.658518070918 -10.9675504736338 -527.584852942104</f>
        <v>-1162.2109214866559</v>
      </c>
      <c r="O305">
        <f>-658.391282198499 -158.611438671272 -491.100222789132</f>
        <v>-1308.1029436589029</v>
      </c>
      <c r="P305">
        <f>-700.235584333746 -187.07772690822 -213.580299727303</f>
        <v>-1100.893610969269</v>
      </c>
      <c r="Q305">
        <f>-483.97735681616 -111.851985906674 -252.593091700836</f>
        <v>-848.42243442366998</v>
      </c>
      <c r="R305" t="s">
        <v>5823</v>
      </c>
      <c r="S305" t="s">
        <v>5824</v>
      </c>
      <c r="T305" t="s">
        <v>5825</v>
      </c>
      <c r="U305" t="s">
        <v>5826</v>
      </c>
      <c r="V305">
        <f>-578.185576768326 -59.4419942550094 -91.206279939812</f>
        <v>-728.83385096314737</v>
      </c>
      <c r="W305" t="s">
        <v>5827</v>
      </c>
      <c r="X305" t="s">
        <v>5828</v>
      </c>
      <c r="Y305" t="s">
        <v>5829</v>
      </c>
    </row>
    <row r="306" spans="1:25" x14ac:dyDescent="0.3">
      <c r="A306">
        <v>15250</v>
      </c>
      <c r="B306" t="s">
        <v>5830</v>
      </c>
      <c r="C306" t="s">
        <v>5831</v>
      </c>
      <c r="D306" t="s">
        <v>5832</v>
      </c>
      <c r="E306" t="s">
        <v>5833</v>
      </c>
      <c r="F306" t="s">
        <v>5834</v>
      </c>
      <c r="G306" t="s">
        <v>5835</v>
      </c>
      <c r="H306" t="s">
        <v>5836</v>
      </c>
      <c r="I306" t="s">
        <v>5837</v>
      </c>
      <c r="J306" t="s">
        <v>5838</v>
      </c>
      <c r="K306" t="s">
        <v>5839</v>
      </c>
      <c r="L306" t="s">
        <v>5840</v>
      </c>
      <c r="M306" t="s">
        <v>5841</v>
      </c>
      <c r="N306">
        <f>-623.601740787804 -10.8807407444331 -527.594942974769</f>
        <v>-1162.0774245070061</v>
      </c>
      <c r="O306">
        <f>-657.841417274673 -158.627274576424 -491.079463147096</f>
        <v>-1307.548154998193</v>
      </c>
      <c r="P306">
        <f>-699.65641333587 -186.884576564906 -213.533776644823</f>
        <v>-1100.074766545599</v>
      </c>
      <c r="Q306">
        <f>-483.485978412986 -111.445937438479 -252.622006935665</f>
        <v>-847.55392278712998</v>
      </c>
      <c r="R306" t="s">
        <v>5842</v>
      </c>
      <c r="S306" t="s">
        <v>5843</v>
      </c>
      <c r="T306" t="s">
        <v>5844</v>
      </c>
      <c r="U306" t="s">
        <v>5845</v>
      </c>
      <c r="V306">
        <f>-577.73207596695 -59.1679617272016 -91.1671757250824</f>
        <v>-728.06721341923401</v>
      </c>
      <c r="W306" t="s">
        <v>5846</v>
      </c>
      <c r="X306" t="s">
        <v>5847</v>
      </c>
      <c r="Y306" t="s">
        <v>5848</v>
      </c>
    </row>
    <row r="307" spans="1:25" x14ac:dyDescent="0.3">
      <c r="A307">
        <v>15300</v>
      </c>
      <c r="B307" t="s">
        <v>5849</v>
      </c>
      <c r="C307" t="s">
        <v>5850</v>
      </c>
      <c r="D307" t="s">
        <v>5851</v>
      </c>
      <c r="E307" t="s">
        <v>5852</v>
      </c>
      <c r="F307" t="s">
        <v>5853</v>
      </c>
      <c r="G307" t="s">
        <v>5854</v>
      </c>
      <c r="H307" t="s">
        <v>5855</v>
      </c>
      <c r="I307" t="s">
        <v>5856</v>
      </c>
      <c r="J307" t="s">
        <v>5857</v>
      </c>
      <c r="K307" t="s">
        <v>5858</v>
      </c>
      <c r="L307" t="s">
        <v>5859</v>
      </c>
      <c r="M307" t="s">
        <v>5860</v>
      </c>
      <c r="N307">
        <f>-623.619830087209 -10.7945695378628 -527.636123395666</f>
        <v>-1162.0505230207377</v>
      </c>
      <c r="O307">
        <f>-656.235130354259 -158.91410323028 -491.115026563331</f>
        <v>-1306.2642601478701</v>
      </c>
      <c r="P307">
        <f>-697.701921730498 -187.434731823036 -213.543922616839</f>
        <v>-1098.6805761703731</v>
      </c>
      <c r="Q307">
        <f>-482.121822877552 -110.413952502647 -252.806662698537</f>
        <v>-845.342438078736</v>
      </c>
      <c r="R307" t="s">
        <v>5861</v>
      </c>
      <c r="S307" t="s">
        <v>5862</v>
      </c>
      <c r="T307" t="s">
        <v>5863</v>
      </c>
      <c r="U307" t="s">
        <v>5864</v>
      </c>
      <c r="V307">
        <f>-577.029136408065 -58.6217486757701 -91.16359193661</f>
        <v>-726.81447702044511</v>
      </c>
      <c r="W307" t="s">
        <v>5865</v>
      </c>
      <c r="X307" t="s">
        <v>5866</v>
      </c>
      <c r="Y307" t="s">
        <v>5867</v>
      </c>
    </row>
    <row r="308" spans="1:25" x14ac:dyDescent="0.3">
      <c r="A308">
        <v>15350</v>
      </c>
      <c r="B308" t="s">
        <v>5868</v>
      </c>
      <c r="C308" t="s">
        <v>5869</v>
      </c>
      <c r="D308" t="s">
        <v>5870</v>
      </c>
      <c r="E308" t="s">
        <v>5871</v>
      </c>
      <c r="F308" t="s">
        <v>5872</v>
      </c>
      <c r="G308" t="s">
        <v>5873</v>
      </c>
      <c r="H308" t="s">
        <v>5874</v>
      </c>
      <c r="I308" t="s">
        <v>5875</v>
      </c>
      <c r="J308" t="s">
        <v>5876</v>
      </c>
      <c r="K308" t="s">
        <v>5877</v>
      </c>
      <c r="L308" t="s">
        <v>5878</v>
      </c>
      <c r="M308" t="s">
        <v>5879</v>
      </c>
      <c r="N308">
        <f>-623.844764501911 -10.7499422021601 -527.660753639429</f>
        <v>-1162.2554603435001</v>
      </c>
      <c r="O308">
        <f>-655.247963204318 -159.156573529037 -491.275801408685</f>
        <v>-1305.68033814204</v>
      </c>
      <c r="P308">
        <f>-696.407541681203 -188.053114721467 -213.697947067711</f>
        <v>-1098.1586034703812</v>
      </c>
      <c r="Q308">
        <f>-481.305592979199 -109.728296391658 -253.002938083716</f>
        <v>-844.03682745457297</v>
      </c>
      <c r="R308" t="s">
        <v>5880</v>
      </c>
      <c r="S308" t="s">
        <v>5881</v>
      </c>
      <c r="T308" t="s">
        <v>5882</v>
      </c>
      <c r="U308" t="s">
        <v>5883</v>
      </c>
      <c r="V308">
        <f>-576.713694526273 -58.2966818149325 -91.1762575267761</f>
        <v>-726.18663386798164</v>
      </c>
      <c r="W308" t="s">
        <v>5884</v>
      </c>
      <c r="X308" t="s">
        <v>5885</v>
      </c>
      <c r="Y308" t="s">
        <v>5886</v>
      </c>
    </row>
    <row r="309" spans="1:25" x14ac:dyDescent="0.3">
      <c r="A309">
        <v>15400</v>
      </c>
      <c r="B309" t="s">
        <v>5887</v>
      </c>
      <c r="C309" t="s">
        <v>5888</v>
      </c>
      <c r="D309" t="s">
        <v>5889</v>
      </c>
      <c r="E309" t="s">
        <v>5890</v>
      </c>
      <c r="F309" t="s">
        <v>5891</v>
      </c>
      <c r="G309" t="s">
        <v>5892</v>
      </c>
      <c r="H309" t="s">
        <v>5893</v>
      </c>
      <c r="I309" t="s">
        <v>5894</v>
      </c>
      <c r="J309" t="s">
        <v>5895</v>
      </c>
      <c r="K309" t="s">
        <v>5896</v>
      </c>
      <c r="L309" t="s">
        <v>5897</v>
      </c>
      <c r="M309" t="s">
        <v>5898</v>
      </c>
      <c r="N309">
        <f>-624.339600533632 -10.8526040933998 -527.666981226125</f>
        <v>-1162.8591858531568</v>
      </c>
      <c r="O309">
        <f>-654.45158786643 -159.559444371098 -491.42428324819</f>
        <v>-1305.4353154857181</v>
      </c>
      <c r="P309">
        <f>-695.039855910228 -189.14804723851 -213.835079780834</f>
        <v>-1098.022982929572</v>
      </c>
      <c r="Q309">
        <f>-480.551692302913 -109.200872882237 -253.228483079624</f>
        <v>-842.98104826477402</v>
      </c>
      <c r="R309" t="s">
        <v>5899</v>
      </c>
      <c r="S309" t="s">
        <v>5900</v>
      </c>
      <c r="T309" t="s">
        <v>5901</v>
      </c>
      <c r="U309" t="s">
        <v>5902</v>
      </c>
      <c r="V309">
        <f>-576.377280867621 -58.0747934338262 -91.1802949636583</f>
        <v>-725.63236926510558</v>
      </c>
      <c r="W309" t="s">
        <v>5903</v>
      </c>
      <c r="X309" t="s">
        <v>5904</v>
      </c>
      <c r="Y309" t="s">
        <v>5905</v>
      </c>
    </row>
    <row r="310" spans="1:25" x14ac:dyDescent="0.3">
      <c r="A310">
        <v>15450</v>
      </c>
      <c r="B310" t="s">
        <v>5906</v>
      </c>
      <c r="C310" t="s">
        <v>5907</v>
      </c>
      <c r="D310" t="s">
        <v>5908</v>
      </c>
      <c r="E310" t="s">
        <v>5909</v>
      </c>
      <c r="F310" t="s">
        <v>5910</v>
      </c>
      <c r="G310" t="s">
        <v>5911</v>
      </c>
      <c r="H310" t="s">
        <v>5912</v>
      </c>
      <c r="I310" t="s">
        <v>5913</v>
      </c>
      <c r="J310" t="s">
        <v>5914</v>
      </c>
      <c r="K310" t="s">
        <v>5915</v>
      </c>
      <c r="L310" t="s">
        <v>5916</v>
      </c>
      <c r="M310" t="s">
        <v>5917</v>
      </c>
      <c r="N310">
        <f>-625.485792625102 -11.0923016622064 -527.666896822901</f>
        <v>-1164.2449911102094</v>
      </c>
      <c r="O310">
        <f>-653.2013087466 -160.363718710845 -491.768818168014</f>
        <v>-1305.3338456254589</v>
      </c>
      <c r="P310">
        <f>-692.125953511758 -191.618795046766 -214.12424355679</f>
        <v>-1097.8689921153139</v>
      </c>
      <c r="Q310">
        <f>-479.052356911974 -108.173186095423 -253.935927729316</f>
        <v>-841.161470736713</v>
      </c>
      <c r="R310" t="s">
        <v>5918</v>
      </c>
      <c r="S310" t="s">
        <v>5919</v>
      </c>
      <c r="T310" t="s">
        <v>5920</v>
      </c>
      <c r="U310" t="s">
        <v>5921</v>
      </c>
      <c r="V310">
        <f>-575.714796640568 -58.037113720939 -91.2322209530951</f>
        <v>-724.98413131460211</v>
      </c>
      <c r="W310" t="s">
        <v>5922</v>
      </c>
      <c r="X310" t="s">
        <v>5923</v>
      </c>
      <c r="Y310" t="s">
        <v>5924</v>
      </c>
    </row>
    <row r="311" spans="1:25" x14ac:dyDescent="0.3">
      <c r="A311">
        <v>15500</v>
      </c>
      <c r="B311" t="s">
        <v>5925</v>
      </c>
      <c r="C311" t="s">
        <v>5926</v>
      </c>
      <c r="D311" t="s">
        <v>5927</v>
      </c>
      <c r="E311" t="s">
        <v>5928</v>
      </c>
      <c r="F311" t="s">
        <v>5929</v>
      </c>
      <c r="G311" t="s">
        <v>5930</v>
      </c>
      <c r="H311" t="s">
        <v>5931</v>
      </c>
      <c r="I311" t="s">
        <v>5932</v>
      </c>
      <c r="J311" t="s">
        <v>5933</v>
      </c>
      <c r="K311" t="s">
        <v>5934</v>
      </c>
      <c r="L311" t="s">
        <v>5935</v>
      </c>
      <c r="M311" t="s">
        <v>5936</v>
      </c>
      <c r="N311">
        <f>-626.685967439112 -11.1994847964122 -527.661196773121</f>
        <v>-1165.5466490086451</v>
      </c>
      <c r="O311">
        <f>-652.671135867657 -160.892331853788 -492.240804593083</f>
        <v>-1305.8042723145281</v>
      </c>
      <c r="P311">
        <f>-689.901312350471 -193.269903551672 -214.492415228362</f>
        <v>-1097.6636311305051</v>
      </c>
      <c r="Q311">
        <f>-478.075804983681 -107.0731757005 -255.095679715128</f>
        <v>-840.24466039930894</v>
      </c>
      <c r="R311" t="s">
        <v>5937</v>
      </c>
      <c r="S311" t="s">
        <v>5938</v>
      </c>
      <c r="T311" t="s">
        <v>5939</v>
      </c>
      <c r="U311" t="s">
        <v>5940</v>
      </c>
      <c r="V311">
        <f>-575.353473124091 -58.4564731089449 -91.250431464616</f>
        <v>-725.06037769765192</v>
      </c>
      <c r="W311" t="s">
        <v>5941</v>
      </c>
      <c r="X311" t="s">
        <v>5942</v>
      </c>
      <c r="Y311" t="s">
        <v>5943</v>
      </c>
    </row>
    <row r="312" spans="1:25" x14ac:dyDescent="0.3">
      <c r="A312">
        <v>15550</v>
      </c>
      <c r="B312" t="s">
        <v>5944</v>
      </c>
      <c r="C312" t="s">
        <v>5945</v>
      </c>
      <c r="D312" t="s">
        <v>5946</v>
      </c>
      <c r="E312" t="s">
        <v>5947</v>
      </c>
      <c r="F312" t="s">
        <v>5948</v>
      </c>
      <c r="G312" t="s">
        <v>5949</v>
      </c>
      <c r="H312" t="s">
        <v>5950</v>
      </c>
      <c r="I312" t="s">
        <v>5951</v>
      </c>
      <c r="J312" t="s">
        <v>5952</v>
      </c>
      <c r="K312" t="s">
        <v>5953</v>
      </c>
      <c r="L312" t="s">
        <v>5954</v>
      </c>
      <c r="M312" t="s">
        <v>5955</v>
      </c>
      <c r="N312">
        <f>-627.402308120755 -11.3538520585755 -527.635329957366</f>
        <v>-1166.3914901366966</v>
      </c>
      <c r="O312">
        <f>-652.953001961443 -161.178192829597 -492.445735800031</f>
        <v>-1306.576930591071</v>
      </c>
      <c r="P312">
        <f>-689.245126477741 -194.035461440968 -214.629588133137</f>
        <v>-1097.9101760518461</v>
      </c>
      <c r="Q312">
        <f>-477.946177309011 -106.768797044082 -255.687755924114</f>
        <v>-840.40273027720696</v>
      </c>
      <c r="R312" t="s">
        <v>5956</v>
      </c>
      <c r="S312" t="s">
        <v>5957</v>
      </c>
      <c r="T312" t="s">
        <v>5958</v>
      </c>
      <c r="U312" t="s">
        <v>5959</v>
      </c>
      <c r="V312">
        <f>-575.366842954953 -58.8383633449532 -91.2536538001874</f>
        <v>-725.4588601000936</v>
      </c>
      <c r="W312" t="s">
        <v>5960</v>
      </c>
      <c r="X312" t="s">
        <v>5961</v>
      </c>
      <c r="Y312" t="s">
        <v>5962</v>
      </c>
    </row>
    <row r="313" spans="1:25" x14ac:dyDescent="0.3">
      <c r="A313">
        <v>15600</v>
      </c>
      <c r="B313" t="s">
        <v>5963</v>
      </c>
      <c r="C313" t="s">
        <v>5964</v>
      </c>
      <c r="D313" t="s">
        <v>5965</v>
      </c>
      <c r="E313" t="s">
        <v>5966</v>
      </c>
      <c r="F313" t="s">
        <v>5967</v>
      </c>
      <c r="G313" t="s">
        <v>5968</v>
      </c>
      <c r="H313" t="s">
        <v>5969</v>
      </c>
      <c r="I313" t="s">
        <v>5970</v>
      </c>
      <c r="J313" t="s">
        <v>5971</v>
      </c>
      <c r="K313" t="s">
        <v>5972</v>
      </c>
      <c r="L313" t="s">
        <v>5973</v>
      </c>
      <c r="M313" t="s">
        <v>5974</v>
      </c>
      <c r="N313">
        <f>-628.638382713176 -11.1087691558055 -527.592623310498</f>
        <v>-1167.3397751794796</v>
      </c>
      <c r="O313">
        <f>-654.243529841598 -161.007916768795 -492.66932058163</f>
        <v>-1307.920767192023</v>
      </c>
      <c r="P313">
        <f>-688.937366613442 -194.436077814369 -214.717188537859</f>
        <v>-1098.09063296567</v>
      </c>
      <c r="Q313">
        <f>-478.30544613036 -106.050992721357 -256.797731769212</f>
        <v>-841.15417062092911</v>
      </c>
      <c r="R313" t="s">
        <v>5975</v>
      </c>
      <c r="S313" t="s">
        <v>5976</v>
      </c>
      <c r="T313" t="s">
        <v>5977</v>
      </c>
      <c r="U313" t="s">
        <v>5978</v>
      </c>
      <c r="V313">
        <f>-575.724070034532 -59.4112027728711 -91.2355565366104</f>
        <v>-726.37082934401349</v>
      </c>
      <c r="W313" t="s">
        <v>5979</v>
      </c>
      <c r="X313" t="s">
        <v>5980</v>
      </c>
      <c r="Y313" t="s">
        <v>5981</v>
      </c>
    </row>
    <row r="314" spans="1:25" x14ac:dyDescent="0.3">
      <c r="A314">
        <v>15650</v>
      </c>
      <c r="B314" t="s">
        <v>5982</v>
      </c>
      <c r="C314" t="s">
        <v>5983</v>
      </c>
      <c r="D314" t="s">
        <v>5984</v>
      </c>
      <c r="E314" t="s">
        <v>5985</v>
      </c>
      <c r="F314" t="s">
        <v>5986</v>
      </c>
      <c r="G314" t="s">
        <v>5987</v>
      </c>
      <c r="H314" t="s">
        <v>5988</v>
      </c>
      <c r="I314" t="s">
        <v>5989</v>
      </c>
      <c r="J314" t="s">
        <v>5990</v>
      </c>
      <c r="K314" t="s">
        <v>5991</v>
      </c>
      <c r="L314" t="s">
        <v>5992</v>
      </c>
      <c r="M314" t="s">
        <v>5993</v>
      </c>
      <c r="N314">
        <f>-628.779919133992 -10.5181897633386 -527.644858428267</f>
        <v>-1166.9429673255977</v>
      </c>
      <c r="O314">
        <f>-654.535995274134 -160.405297778825 -492.865148068164</f>
        <v>-1307.806441121123</v>
      </c>
      <c r="P314">
        <f>-689.105569138544 -193.918451856558 -214.9075857979</f>
        <v>-1097.9316067930019</v>
      </c>
      <c r="Q314">
        <f>-478.475282387588 -105.68996570667 -257.323790457732</f>
        <v>-841.48903855199001</v>
      </c>
      <c r="R314" t="s">
        <v>5994</v>
      </c>
      <c r="S314" t="s">
        <v>5995</v>
      </c>
      <c r="T314" t="s">
        <v>5996</v>
      </c>
      <c r="U314" t="s">
        <v>5997</v>
      </c>
      <c r="V314">
        <f>-576.041029084657 -59.5165340729295 -91.2411533652892</f>
        <v>-726.79871652287568</v>
      </c>
      <c r="W314" t="s">
        <v>5998</v>
      </c>
      <c r="X314" t="s">
        <v>5999</v>
      </c>
      <c r="Y314" t="s">
        <v>6000</v>
      </c>
    </row>
    <row r="315" spans="1:25" x14ac:dyDescent="0.3">
      <c r="A315">
        <v>15700</v>
      </c>
      <c r="B315" t="s">
        <v>6001</v>
      </c>
      <c r="C315" t="s">
        <v>6002</v>
      </c>
      <c r="D315" t="s">
        <v>6003</v>
      </c>
      <c r="E315" t="s">
        <v>6004</v>
      </c>
      <c r="F315" t="s">
        <v>6005</v>
      </c>
      <c r="G315" t="s">
        <v>6006</v>
      </c>
      <c r="H315" t="s">
        <v>6007</v>
      </c>
      <c r="I315" t="s">
        <v>6008</v>
      </c>
      <c r="J315" t="s">
        <v>6009</v>
      </c>
      <c r="K315" t="s">
        <v>6010</v>
      </c>
      <c r="L315" t="s">
        <v>6011</v>
      </c>
      <c r="M315" t="s">
        <v>6012</v>
      </c>
      <c r="N315">
        <f>-629.502962173408 -9.37581630973978 -527.837228708089</f>
        <v>-1166.7160071912367</v>
      </c>
      <c r="O315">
        <f>-655.376952624959 -159.349925417565 -493.656804064937</f>
        <v>-1308.383682107461</v>
      </c>
      <c r="P315">
        <f>-690.773352584414 -193.178390749139 -215.841526215924</f>
        <v>-1099.7932695494771</v>
      </c>
      <c r="Q315">
        <f>-479.818153552197 -105.510183129218 -257.802725287553</f>
        <v>-843.13106196896797</v>
      </c>
      <c r="R315" t="s">
        <v>6013</v>
      </c>
      <c r="S315" t="s">
        <v>6014</v>
      </c>
      <c r="T315" t="s">
        <v>6015</v>
      </c>
      <c r="U315" t="s">
        <v>6016</v>
      </c>
      <c r="V315">
        <f>-576.51805786718 -59.7125934278245 -91.3103569764132</f>
        <v>-727.5410082714177</v>
      </c>
      <c r="W315" t="s">
        <v>6017</v>
      </c>
      <c r="X315" t="s">
        <v>6018</v>
      </c>
      <c r="Y315" t="s">
        <v>6019</v>
      </c>
    </row>
    <row r="316" spans="1:25" x14ac:dyDescent="0.3">
      <c r="A316">
        <v>15750</v>
      </c>
      <c r="B316" t="s">
        <v>6020</v>
      </c>
      <c r="C316" t="s">
        <v>6021</v>
      </c>
      <c r="D316" t="s">
        <v>6022</v>
      </c>
      <c r="E316" t="s">
        <v>6023</v>
      </c>
      <c r="F316" t="s">
        <v>6024</v>
      </c>
      <c r="G316" t="s">
        <v>6025</v>
      </c>
      <c r="H316" t="s">
        <v>6026</v>
      </c>
      <c r="I316" t="s">
        <v>6027</v>
      </c>
      <c r="J316" t="s">
        <v>6028</v>
      </c>
      <c r="K316" t="s">
        <v>6029</v>
      </c>
      <c r="L316" t="s">
        <v>6030</v>
      </c>
      <c r="M316" t="s">
        <v>6031</v>
      </c>
      <c r="N316">
        <f>-630.263550452865 -9.21128299619545 -527.849001395801</f>
        <v>-1167.3238348448615</v>
      </c>
      <c r="O316">
        <f>-656.507958681231 -159.153139186777 -493.76381804129</f>
        <v>-1309.4249159092981</v>
      </c>
      <c r="P316">
        <f>-691.701316876029 -193.599235366178 -215.998715475209</f>
        <v>-1101.2992677174161</v>
      </c>
      <c r="Q316">
        <f>-480.590024793107 -106.157727211077 -257.646562099402</f>
        <v>-844.394314103586</v>
      </c>
      <c r="R316" t="s">
        <v>6032</v>
      </c>
      <c r="S316" t="s">
        <v>6033</v>
      </c>
      <c r="T316" t="s">
        <v>6034</v>
      </c>
      <c r="U316" t="s">
        <v>6035</v>
      </c>
      <c r="V316">
        <f>-576.652417991008 -59.7563628475632 -91.3654398098744</f>
        <v>-727.77422064844552</v>
      </c>
      <c r="W316" t="s">
        <v>6036</v>
      </c>
      <c r="X316" t="s">
        <v>6037</v>
      </c>
      <c r="Y316" t="s">
        <v>6038</v>
      </c>
    </row>
    <row r="317" spans="1:25" x14ac:dyDescent="0.3">
      <c r="A317">
        <v>15800</v>
      </c>
      <c r="B317" t="s">
        <v>6039</v>
      </c>
      <c r="C317" t="s">
        <v>6040</v>
      </c>
      <c r="D317" t="s">
        <v>6041</v>
      </c>
      <c r="E317" t="s">
        <v>6042</v>
      </c>
      <c r="F317" t="s">
        <v>6043</v>
      </c>
      <c r="G317" t="s">
        <v>6044</v>
      </c>
      <c r="H317" t="s">
        <v>6045</v>
      </c>
      <c r="I317" t="s">
        <v>6046</v>
      </c>
      <c r="J317" t="s">
        <v>6047</v>
      </c>
      <c r="K317" t="s">
        <v>6048</v>
      </c>
      <c r="L317" t="s">
        <v>6049</v>
      </c>
      <c r="M317" t="s">
        <v>6050</v>
      </c>
      <c r="N317">
        <f>-631.351469146374 -8.5848749821937 -527.722913561715</f>
        <v>-1167.6592576902826</v>
      </c>
      <c r="O317">
        <f>-658.51187492732 -158.347549740824 -493.436966494865</f>
        <v>-1310.296391163009</v>
      </c>
      <c r="P317">
        <f>-693.454284656314 -192.583873560535 -215.614155536722</f>
        <v>-1101.652313753571</v>
      </c>
      <c r="Q317">
        <f>-481.816695454416 -106.657386231753 -257.741417690628</f>
        <v>-846.21549937679697</v>
      </c>
      <c r="R317" t="s">
        <v>6051</v>
      </c>
      <c r="S317" t="s">
        <v>6052</v>
      </c>
      <c r="T317" t="s">
        <v>6053</v>
      </c>
      <c r="U317" t="s">
        <v>6054</v>
      </c>
      <c r="V317">
        <f>-577.302608702129 -59.6262912555699 -91.4169442137915</f>
        <v>-728.34584417149028</v>
      </c>
      <c r="W317" t="s">
        <v>6055</v>
      </c>
      <c r="X317" t="s">
        <v>6056</v>
      </c>
      <c r="Y317" t="s">
        <v>6057</v>
      </c>
    </row>
    <row r="318" spans="1:25" x14ac:dyDescent="0.3">
      <c r="A318">
        <v>15850</v>
      </c>
      <c r="B318" t="s">
        <v>6058</v>
      </c>
      <c r="C318" t="s">
        <v>6059</v>
      </c>
      <c r="D318" t="s">
        <v>6060</v>
      </c>
      <c r="E318" t="s">
        <v>6061</v>
      </c>
      <c r="F318" t="s">
        <v>6062</v>
      </c>
      <c r="G318" t="s">
        <v>6063</v>
      </c>
      <c r="H318" t="s">
        <v>6064</v>
      </c>
      <c r="I318" t="s">
        <v>6065</v>
      </c>
      <c r="J318" t="s">
        <v>6066</v>
      </c>
      <c r="K318" t="s">
        <v>6067</v>
      </c>
      <c r="L318" t="s">
        <v>6068</v>
      </c>
      <c r="M318" t="s">
        <v>6069</v>
      </c>
      <c r="N318">
        <f>-631.894408954518 -8.03102156523096 -527.718073588698</f>
        <v>-1167.6435041084469</v>
      </c>
      <c r="O318">
        <f>-659.307882074597 -157.72969760139 -493.438652542911</f>
        <v>-1310.4762322188981</v>
      </c>
      <c r="P318">
        <f>-694.429003405812 -191.011896515153 -215.522437483995</f>
        <v>-1100.9633374049599</v>
      </c>
      <c r="Q318">
        <f>-482.412532801558 -106.222598007074 -258.046683549188</f>
        <v>-846.68181435782003</v>
      </c>
      <c r="R318" t="s">
        <v>6070</v>
      </c>
      <c r="S318" t="s">
        <v>6071</v>
      </c>
      <c r="T318" t="s">
        <v>6072</v>
      </c>
      <c r="U318" t="s">
        <v>6073</v>
      </c>
      <c r="V318">
        <f>-577.615462052303 -59.4603159686035 -91.4481235963727</f>
        <v>-728.52390161727919</v>
      </c>
      <c r="W318" t="s">
        <v>6074</v>
      </c>
      <c r="X318" t="s">
        <v>6075</v>
      </c>
      <c r="Y318" t="s">
        <v>6076</v>
      </c>
    </row>
    <row r="319" spans="1:25" x14ac:dyDescent="0.3">
      <c r="A319">
        <v>15900</v>
      </c>
      <c r="B319" t="s">
        <v>6077</v>
      </c>
      <c r="C319" t="s">
        <v>6078</v>
      </c>
      <c r="D319" t="s">
        <v>6079</v>
      </c>
      <c r="E319" t="s">
        <v>6080</v>
      </c>
      <c r="F319" t="s">
        <v>6081</v>
      </c>
      <c r="G319" t="s">
        <v>6082</v>
      </c>
      <c r="H319" t="s">
        <v>6083</v>
      </c>
      <c r="I319" t="s">
        <v>6084</v>
      </c>
      <c r="J319" t="s">
        <v>6085</v>
      </c>
      <c r="K319" t="s">
        <v>6086</v>
      </c>
      <c r="L319" t="s">
        <v>6087</v>
      </c>
      <c r="M319" t="s">
        <v>6088</v>
      </c>
      <c r="N319">
        <f>-633.133586309176 -7.16650312171419 -527.674985485187</f>
        <v>-1167.9750749160771</v>
      </c>
      <c r="O319">
        <f>-661.150960991752 -156.764996472225 -493.434089085203</f>
        <v>-1311.35004654918</v>
      </c>
      <c r="P319">
        <f>-695.856098365432 -189.381198896855 -215.386777943864</f>
        <v>-1100.624075206151</v>
      </c>
      <c r="Q319">
        <f>-483.498983539391 -105.701618153318 -258.406553548632</f>
        <v>-847.60715524134105</v>
      </c>
      <c r="R319" t="s">
        <v>6089</v>
      </c>
      <c r="S319" t="s">
        <v>6090</v>
      </c>
      <c r="T319" t="s">
        <v>6091</v>
      </c>
      <c r="U319" t="s">
        <v>6092</v>
      </c>
      <c r="V319">
        <f>-577.99023760737 -59.0694119452467 -91.4982083679436</f>
        <v>-728.5578579205602</v>
      </c>
      <c r="W319" t="s">
        <v>6093</v>
      </c>
      <c r="X319" t="s">
        <v>6094</v>
      </c>
      <c r="Y319" t="s">
        <v>6095</v>
      </c>
    </row>
    <row r="320" spans="1:25" x14ac:dyDescent="0.3">
      <c r="A320">
        <v>15950</v>
      </c>
      <c r="B320" t="s">
        <v>6096</v>
      </c>
      <c r="C320" t="s">
        <v>6097</v>
      </c>
      <c r="D320" t="s">
        <v>6098</v>
      </c>
      <c r="E320" t="s">
        <v>6099</v>
      </c>
      <c r="F320" t="s">
        <v>6100</v>
      </c>
      <c r="G320" t="s">
        <v>6101</v>
      </c>
      <c r="H320" t="s">
        <v>6102</v>
      </c>
      <c r="I320" t="s">
        <v>6103</v>
      </c>
      <c r="J320" t="s">
        <v>6104</v>
      </c>
      <c r="K320" t="s">
        <v>6105</v>
      </c>
      <c r="L320" t="s">
        <v>6106</v>
      </c>
      <c r="M320" t="s">
        <v>6107</v>
      </c>
      <c r="N320">
        <f>-633.735943958042 -6.76060084738197 -527.569278369123</f>
        <v>-1168.0658231745469</v>
      </c>
      <c r="O320">
        <f>-662.046493985614 -156.294505529881 -493.2846484554</f>
        <v>-1311.625647970895</v>
      </c>
      <c r="P320">
        <f>-696.490573682402 -189.214650043158 -215.24074995567</f>
        <v>-1100.94597368123</v>
      </c>
      <c r="Q320">
        <f>-484.126192682593 -105.655774292738 -258.458698608767</f>
        <v>-848.240665584098</v>
      </c>
      <c r="R320" t="s">
        <v>6108</v>
      </c>
      <c r="S320" t="s">
        <v>6109</v>
      </c>
      <c r="T320" t="s">
        <v>6110</v>
      </c>
      <c r="U320" t="s">
        <v>6111</v>
      </c>
      <c r="V320">
        <f>-578.093918801022 -58.8836275037033 -91.4883078655096</f>
        <v>-728.46585417023493</v>
      </c>
      <c r="W320" t="s">
        <v>6112</v>
      </c>
      <c r="X320" t="s">
        <v>6113</v>
      </c>
      <c r="Y320" t="s">
        <v>6114</v>
      </c>
    </row>
    <row r="321" spans="1:25" x14ac:dyDescent="0.3">
      <c r="A321">
        <v>16000</v>
      </c>
      <c r="B321" t="s">
        <v>6115</v>
      </c>
      <c r="C321" t="s">
        <v>6116</v>
      </c>
      <c r="D321" t="s">
        <v>6117</v>
      </c>
      <c r="E321" t="s">
        <v>6118</v>
      </c>
      <c r="F321" t="s">
        <v>6119</v>
      </c>
      <c r="G321" t="s">
        <v>6120</v>
      </c>
      <c r="H321" t="s">
        <v>6121</v>
      </c>
      <c r="I321" t="s">
        <v>6122</v>
      </c>
      <c r="J321" t="s">
        <v>6123</v>
      </c>
      <c r="K321" t="s">
        <v>6124</v>
      </c>
      <c r="L321" t="s">
        <v>6125</v>
      </c>
      <c r="M321" t="s">
        <v>6126</v>
      </c>
      <c r="N321">
        <f>-634.627989547302 -6.07909029096686 -527.48522418221</f>
        <v>-1168.1923040204788</v>
      </c>
      <c r="O321">
        <f>-663.56087161973 -155.507482215656 -493.322910026051</f>
        <v>-1312.391263861437</v>
      </c>
      <c r="P321">
        <f>-697.812786804362 -189.037423387848 -215.328020531657</f>
        <v>-1102.1782307238668</v>
      </c>
      <c r="Q321">
        <f>-485.226148937035 -106.05773743031 -258.569041749564</f>
        <v>-849.85292811690908</v>
      </c>
      <c r="R321" t="s">
        <v>6127</v>
      </c>
      <c r="S321" t="s">
        <v>6128</v>
      </c>
      <c r="T321" t="s">
        <v>6129</v>
      </c>
      <c r="U321" t="s">
        <v>6130</v>
      </c>
      <c r="V321">
        <f>-578.123124577278 -58.770700252187 -91.4768485814066</f>
        <v>-728.37067341087152</v>
      </c>
      <c r="W321" t="s">
        <v>6131</v>
      </c>
      <c r="X321" t="s">
        <v>6132</v>
      </c>
      <c r="Y321" t="s">
        <v>6133</v>
      </c>
    </row>
    <row r="322" spans="1:25" x14ac:dyDescent="0.3">
      <c r="A322">
        <v>16050</v>
      </c>
      <c r="B322" t="s">
        <v>6134</v>
      </c>
      <c r="C322" t="s">
        <v>6135</v>
      </c>
      <c r="D322" t="s">
        <v>6136</v>
      </c>
      <c r="E322" t="s">
        <v>6137</v>
      </c>
      <c r="F322" t="s">
        <v>6138</v>
      </c>
      <c r="G322" t="s">
        <v>6139</v>
      </c>
      <c r="H322" t="s">
        <v>6140</v>
      </c>
      <c r="I322" t="s">
        <v>6141</v>
      </c>
      <c r="J322" t="s">
        <v>6142</v>
      </c>
      <c r="K322" t="s">
        <v>6143</v>
      </c>
      <c r="L322" t="s">
        <v>6144</v>
      </c>
      <c r="M322" t="s">
        <v>6145</v>
      </c>
      <c r="N322">
        <f>-635.14968330965 -6.01608565532092 -527.463157020673</f>
        <v>-1168.6289259856439</v>
      </c>
      <c r="O322">
        <f>-664.190141801942 -155.454521067856 -493.436980483473</f>
        <v>-1313.0816433532709</v>
      </c>
      <c r="P322">
        <f>-698.697301273797 -189.054442067412 -215.482168940316</f>
        <v>-1103.2339122815251</v>
      </c>
      <c r="Q322">
        <f>-485.902638515079 -106.528994316101 -258.569331643838</f>
        <v>-851.00096447501801</v>
      </c>
      <c r="R322" t="s">
        <v>6146</v>
      </c>
      <c r="S322" t="s">
        <v>6147</v>
      </c>
      <c r="T322" t="s">
        <v>6148</v>
      </c>
      <c r="U322" t="s">
        <v>6149</v>
      </c>
      <c r="V322">
        <f>-578.215227144649 -58.8814806067769 -91.4890697988458</f>
        <v>-728.5857775502717</v>
      </c>
      <c r="W322" t="s">
        <v>6150</v>
      </c>
      <c r="X322" t="s">
        <v>6151</v>
      </c>
      <c r="Y322" t="s">
        <v>6152</v>
      </c>
    </row>
    <row r="323" spans="1:25" x14ac:dyDescent="0.3">
      <c r="A323">
        <v>16100</v>
      </c>
      <c r="B323" t="s">
        <v>6153</v>
      </c>
      <c r="C323" t="s">
        <v>6154</v>
      </c>
      <c r="D323" t="s">
        <v>6155</v>
      </c>
      <c r="E323" t="s">
        <v>6156</v>
      </c>
      <c r="F323" t="s">
        <v>6157</v>
      </c>
      <c r="G323" t="s">
        <v>6158</v>
      </c>
      <c r="H323" t="s">
        <v>6159</v>
      </c>
      <c r="I323" t="s">
        <v>6160</v>
      </c>
      <c r="J323" t="s">
        <v>6161</v>
      </c>
      <c r="K323" t="s">
        <v>6162</v>
      </c>
      <c r="L323" t="s">
        <v>6163</v>
      </c>
      <c r="M323" t="s">
        <v>6164</v>
      </c>
      <c r="N323">
        <f>-636.17823741985 -5.88770717798047 -527.400782952921</f>
        <v>-1169.4667275507513</v>
      </c>
      <c r="O323">
        <f>-665.036767582308 -155.450723723272 -493.700236039401</f>
        <v>-1314.1877273449811</v>
      </c>
      <c r="P323">
        <f>-700.027334919254 -189.181651717069 -215.82173579247</f>
        <v>-1105.0307224287931</v>
      </c>
      <c r="Q323">
        <f>-486.964280216958 -107.103769926603 -258.43499834294</f>
        <v>-852.50304848650103</v>
      </c>
      <c r="R323" t="s">
        <v>6165</v>
      </c>
      <c r="S323" t="s">
        <v>6166</v>
      </c>
      <c r="T323" t="s">
        <v>6167</v>
      </c>
      <c r="U323" t="s">
        <v>6168</v>
      </c>
      <c r="V323">
        <f>-578.376196923838 -59.1926546591651 -91.4873947906025</f>
        <v>-729.05624637360563</v>
      </c>
      <c r="W323" t="s">
        <v>6169</v>
      </c>
      <c r="X323" t="s">
        <v>6170</v>
      </c>
      <c r="Y323" t="s">
        <v>6171</v>
      </c>
    </row>
    <row r="324" spans="1:25" x14ac:dyDescent="0.3">
      <c r="A324">
        <v>16150</v>
      </c>
      <c r="B324" t="s">
        <v>6172</v>
      </c>
      <c r="C324" t="s">
        <v>6173</v>
      </c>
      <c r="D324" t="s">
        <v>6174</v>
      </c>
      <c r="E324" t="s">
        <v>6175</v>
      </c>
      <c r="F324" t="s">
        <v>6176</v>
      </c>
      <c r="G324" t="s">
        <v>6177</v>
      </c>
      <c r="H324" t="s">
        <v>6178</v>
      </c>
      <c r="I324" t="s">
        <v>6179</v>
      </c>
      <c r="J324" t="s">
        <v>6180</v>
      </c>
      <c r="K324" t="s">
        <v>6181</v>
      </c>
      <c r="L324" t="s">
        <v>6182</v>
      </c>
      <c r="M324" t="s">
        <v>6183</v>
      </c>
      <c r="N324">
        <f>-636.643403900427 -5.81405825634602 -527.391336243668</f>
        <v>-1169.848798400441</v>
      </c>
      <c r="O324">
        <f>-665.267284267433 -155.468405995038 -493.901778964234</f>
        <v>-1314.637469226705</v>
      </c>
      <c r="P324">
        <f>-700.277002529699 -189.565887284893 -216.070353219956</f>
        <v>-1105.9132430345478</v>
      </c>
      <c r="Q324">
        <f>-487.240032129675 -107.252683300082 -258.35904864951</f>
        <v>-852.85176407926701</v>
      </c>
      <c r="R324" t="s">
        <v>6184</v>
      </c>
      <c r="S324" t="s">
        <v>6185</v>
      </c>
      <c r="T324" t="s">
        <v>6186</v>
      </c>
      <c r="U324" t="s">
        <v>6187</v>
      </c>
      <c r="V324">
        <f>-578.38319197658 -59.3650983535144 -91.4740825012386</f>
        <v>-729.22237283133302</v>
      </c>
      <c r="W324" t="s">
        <v>6188</v>
      </c>
      <c r="X324" t="s">
        <v>6189</v>
      </c>
      <c r="Y324" t="s">
        <v>6190</v>
      </c>
    </row>
    <row r="325" spans="1:25" x14ac:dyDescent="0.3">
      <c r="A325">
        <v>16200</v>
      </c>
      <c r="B325" t="s">
        <v>6191</v>
      </c>
      <c r="C325" t="s">
        <v>6192</v>
      </c>
      <c r="D325" t="s">
        <v>6193</v>
      </c>
      <c r="E325" t="s">
        <v>6194</v>
      </c>
      <c r="F325" t="s">
        <v>6195</v>
      </c>
      <c r="G325" t="s">
        <v>6196</v>
      </c>
      <c r="H325" t="s">
        <v>6197</v>
      </c>
      <c r="I325" t="s">
        <v>6198</v>
      </c>
      <c r="J325" t="s">
        <v>6199</v>
      </c>
      <c r="K325" t="s">
        <v>6200</v>
      </c>
      <c r="L325" t="s">
        <v>6201</v>
      </c>
      <c r="M325" t="s">
        <v>6202</v>
      </c>
      <c r="N325">
        <f>-637.667587433312 -5.42711364419165 -527.46249546957</f>
        <v>-1170.5571965470735</v>
      </c>
      <c r="O325">
        <f>-665.806924321354 -155.276082834001 -494.437432851382</f>
        <v>-1315.5204400067371</v>
      </c>
      <c r="P325">
        <f>-700.348943681362 -190.404755289936 -216.67598286263</f>
        <v>-1107.429681833928</v>
      </c>
      <c r="Q325">
        <f>-487.694961110678 -106.925671811889 -258.605150004749</f>
        <v>-853.225782927316</v>
      </c>
      <c r="R325" t="s">
        <v>6203</v>
      </c>
      <c r="S325" t="s">
        <v>6204</v>
      </c>
      <c r="T325" t="s">
        <v>6205</v>
      </c>
      <c r="U325" t="s">
        <v>6206</v>
      </c>
      <c r="V325">
        <f>-578.540764553873 -59.8422066317239 -91.4913843465617</f>
        <v>-729.87435553215869</v>
      </c>
      <c r="W325" t="s">
        <v>6207</v>
      </c>
      <c r="X325" t="s">
        <v>6208</v>
      </c>
      <c r="Y325" t="s">
        <v>6209</v>
      </c>
    </row>
    <row r="326" spans="1:25" x14ac:dyDescent="0.3">
      <c r="A326">
        <v>16250</v>
      </c>
      <c r="B326" t="s">
        <v>6210</v>
      </c>
      <c r="C326" t="s">
        <v>6211</v>
      </c>
      <c r="D326" t="s">
        <v>6212</v>
      </c>
      <c r="E326" t="s">
        <v>6213</v>
      </c>
      <c r="F326" t="s">
        <v>6214</v>
      </c>
      <c r="G326" t="s">
        <v>6215</v>
      </c>
      <c r="H326" t="s">
        <v>6216</v>
      </c>
      <c r="I326" t="s">
        <v>6217</v>
      </c>
      <c r="J326" t="s">
        <v>6218</v>
      </c>
      <c r="K326" t="s">
        <v>6219</v>
      </c>
      <c r="L326" t="s">
        <v>6220</v>
      </c>
      <c r="M326" t="s">
        <v>6221</v>
      </c>
      <c r="N326">
        <f>-638.19933113607 -5.2274548824123 -527.510734985366</f>
        <v>-1170.9375210038484</v>
      </c>
      <c r="O326">
        <f>-666.101801211136 -155.176604170239 -494.763967447804</f>
        <v>-1316.0423728291789</v>
      </c>
      <c r="P326">
        <f>-700.304255430817 -190.914678295112 -217.038237295124</f>
        <v>-1108.257171021053</v>
      </c>
      <c r="Q326">
        <f>-487.91357290101 -106.760954472819 -258.953658380686</f>
        <v>-853.62818575451502</v>
      </c>
      <c r="R326" t="s">
        <v>6222</v>
      </c>
      <c r="S326" t="s">
        <v>6223</v>
      </c>
      <c r="T326" t="s">
        <v>6224</v>
      </c>
      <c r="U326" t="s">
        <v>6225</v>
      </c>
      <c r="V326">
        <f>-578.763506052049 -60.058762441327 -91.5011013879952</f>
        <v>-730.32336988137115</v>
      </c>
      <c r="W326" t="s">
        <v>6226</v>
      </c>
      <c r="X326" t="s">
        <v>6227</v>
      </c>
      <c r="Y326" t="s">
        <v>6228</v>
      </c>
    </row>
    <row r="327" spans="1:25" x14ac:dyDescent="0.3">
      <c r="A327">
        <v>16300</v>
      </c>
      <c r="B327" t="s">
        <v>6229</v>
      </c>
      <c r="C327" t="s">
        <v>6230</v>
      </c>
      <c r="D327" t="s">
        <v>6231</v>
      </c>
      <c r="E327" t="s">
        <v>6232</v>
      </c>
      <c r="F327" t="s">
        <v>6233</v>
      </c>
      <c r="G327" t="s">
        <v>6234</v>
      </c>
      <c r="H327" t="s">
        <v>6235</v>
      </c>
      <c r="I327" t="s">
        <v>6236</v>
      </c>
      <c r="J327" t="s">
        <v>6237</v>
      </c>
      <c r="K327" t="s">
        <v>6238</v>
      </c>
      <c r="L327" t="s">
        <v>6239</v>
      </c>
      <c r="M327" t="s">
        <v>6240</v>
      </c>
      <c r="N327">
        <f>-639.55781715123 -5.0140963544809 -527.518446764296</f>
        <v>-1172.0903602700068</v>
      </c>
      <c r="O327">
        <f>-667.027499701665 -155.146601426211 -495.226820832311</f>
        <v>-1317.4009219601869</v>
      </c>
      <c r="P327">
        <f>-700.313032085822 -191.789864351202 -217.507611473137</f>
        <v>-1109.610507910161</v>
      </c>
      <c r="Q327">
        <f>-488.524811416104 -106.363421336253 -259.894284805776</f>
        <v>-854.78251755813301</v>
      </c>
      <c r="R327" t="s">
        <v>6241</v>
      </c>
      <c r="S327" t="s">
        <v>6242</v>
      </c>
      <c r="T327" t="s">
        <v>6243</v>
      </c>
      <c r="U327" t="s">
        <v>6244</v>
      </c>
      <c r="V327">
        <f>-579.297474777775 -60.4189111521139 -91.5390791840641</f>
        <v>-731.25546511395305</v>
      </c>
      <c r="W327" t="s">
        <v>6245</v>
      </c>
      <c r="X327" t="s">
        <v>6246</v>
      </c>
      <c r="Y327" t="s">
        <v>6247</v>
      </c>
    </row>
    <row r="328" spans="1:25" x14ac:dyDescent="0.3">
      <c r="A328">
        <v>16350</v>
      </c>
      <c r="B328" t="s">
        <v>6248</v>
      </c>
      <c r="C328" t="s">
        <v>6249</v>
      </c>
      <c r="D328" t="s">
        <v>6250</v>
      </c>
      <c r="E328" t="s">
        <v>6251</v>
      </c>
      <c r="F328" t="s">
        <v>6252</v>
      </c>
      <c r="G328" t="s">
        <v>6253</v>
      </c>
      <c r="H328" t="s">
        <v>6254</v>
      </c>
      <c r="I328" t="s">
        <v>6255</v>
      </c>
      <c r="J328" t="s">
        <v>6256</v>
      </c>
      <c r="K328" t="s">
        <v>6257</v>
      </c>
      <c r="L328" t="s">
        <v>6258</v>
      </c>
      <c r="M328" t="s">
        <v>6259</v>
      </c>
      <c r="N328">
        <f>-640.16408427947 -4.99837331013168 -527.497279579412</f>
        <v>-1172.6597371690136</v>
      </c>
      <c r="O328">
        <f>-667.746395431951 -155.125809003743 -495.286879966331</f>
        <v>-1318.159084402025</v>
      </c>
      <c r="P328">
        <f>-700.431297945071 -192.007816838252 -217.527970472913</f>
        <v>-1109.967085256236</v>
      </c>
      <c r="Q328">
        <f>-488.917256872883 -106.137536175097 -260.383730004421</f>
        <v>-855.43852305240102</v>
      </c>
      <c r="R328" t="s">
        <v>6260</v>
      </c>
      <c r="S328" t="s">
        <v>6261</v>
      </c>
      <c r="T328" t="s">
        <v>6262</v>
      </c>
      <c r="U328" t="s">
        <v>6263</v>
      </c>
      <c r="V328">
        <f>-579.605538605746 -60.5967149950636 -91.5501819453089</f>
        <v>-731.75243554611848</v>
      </c>
      <c r="W328" t="s">
        <v>6264</v>
      </c>
      <c r="X328" t="s">
        <v>6265</v>
      </c>
      <c r="Y328" t="s">
        <v>6266</v>
      </c>
    </row>
    <row r="329" spans="1:25" x14ac:dyDescent="0.3">
      <c r="A329">
        <v>16400</v>
      </c>
      <c r="B329" t="s">
        <v>6267</v>
      </c>
      <c r="C329" t="s">
        <v>6268</v>
      </c>
      <c r="D329" t="s">
        <v>6269</v>
      </c>
      <c r="E329" t="s">
        <v>6270</v>
      </c>
      <c r="F329" t="s">
        <v>6271</v>
      </c>
      <c r="G329" t="s">
        <v>6272</v>
      </c>
      <c r="H329" t="s">
        <v>6273</v>
      </c>
      <c r="I329" t="s">
        <v>6274</v>
      </c>
      <c r="J329" t="s">
        <v>6275</v>
      </c>
      <c r="K329" t="s">
        <v>6276</v>
      </c>
      <c r="L329" t="s">
        <v>6277</v>
      </c>
      <c r="M329" t="s">
        <v>6278</v>
      </c>
      <c r="N329">
        <f>-640.847448256855 -5.82078813324756 -527.503051921081</f>
        <v>-1174.1712883111836</v>
      </c>
      <c r="O329">
        <f>-668.807820309828 -155.828322587322 -495.077715535886</f>
        <v>-1319.713858433036</v>
      </c>
      <c r="P329">
        <f>-701.241140105983 -192.432318738973 -217.252522467729</f>
        <v>-1110.9259813126851</v>
      </c>
      <c r="Q329">
        <f>-489.964423191158 -106.592389476657 -261.323014848407</f>
        <v>-857.87982751622212</v>
      </c>
      <c r="R329" t="s">
        <v>6279</v>
      </c>
      <c r="S329" t="s">
        <v>6280</v>
      </c>
      <c r="T329" t="s">
        <v>6281</v>
      </c>
      <c r="U329" t="s">
        <v>6282</v>
      </c>
      <c r="V329">
        <f>-580.541955359361 -60.8597022426634 -91.6412251499673</f>
        <v>-733.04288275199178</v>
      </c>
      <c r="W329" t="s">
        <v>6283</v>
      </c>
      <c r="X329" t="s">
        <v>6284</v>
      </c>
      <c r="Y329" t="s">
        <v>6285</v>
      </c>
    </row>
    <row r="330" spans="1:25" x14ac:dyDescent="0.3">
      <c r="A330">
        <v>16450</v>
      </c>
      <c r="B330" t="s">
        <v>6286</v>
      </c>
      <c r="C330" t="s">
        <v>6287</v>
      </c>
      <c r="D330" t="s">
        <v>6288</v>
      </c>
      <c r="E330" t="s">
        <v>6289</v>
      </c>
      <c r="F330" t="s">
        <v>6290</v>
      </c>
      <c r="G330" t="s">
        <v>6291</v>
      </c>
      <c r="H330" t="s">
        <v>6292</v>
      </c>
      <c r="I330" t="s">
        <v>6293</v>
      </c>
      <c r="J330" t="s">
        <v>6294</v>
      </c>
      <c r="K330" t="s">
        <v>6295</v>
      </c>
      <c r="L330" t="s">
        <v>6296</v>
      </c>
      <c r="M330" t="s">
        <v>6297</v>
      </c>
      <c r="N330">
        <f>-641.193513251786 -6.51156072857134 -527.460167618199</f>
        <v>-1175.1652415985563</v>
      </c>
      <c r="O330">
        <f>-669.404901653778 -156.425344376377 -494.867558358606</f>
        <v>-1320.6978043887609</v>
      </c>
      <c r="P330">
        <f>-702.370781255806 -192.580861111636 -217.046434094159</f>
        <v>-1111.9980764616009</v>
      </c>
      <c r="Q330">
        <f>-491.052550496252 -107.084812382158 -261.58355636129</f>
        <v>-859.72091923970004</v>
      </c>
      <c r="R330" t="s">
        <v>6298</v>
      </c>
      <c r="S330" t="s">
        <v>6299</v>
      </c>
      <c r="T330" t="s">
        <v>6300</v>
      </c>
      <c r="U330" t="s">
        <v>6301</v>
      </c>
      <c r="V330">
        <f>-581.180156283578 -60.9697995777178 -91.6935166927004</f>
        <v>-733.84347255399621</v>
      </c>
      <c r="W330" t="s">
        <v>6302</v>
      </c>
      <c r="X330" t="s">
        <v>6303</v>
      </c>
      <c r="Y330" t="s">
        <v>6304</v>
      </c>
    </row>
    <row r="331" spans="1:25" x14ac:dyDescent="0.3">
      <c r="A331">
        <v>16500</v>
      </c>
      <c r="B331" t="s">
        <v>6305</v>
      </c>
      <c r="C331" t="s">
        <v>6306</v>
      </c>
      <c r="D331" t="s">
        <v>6307</v>
      </c>
      <c r="E331" t="s">
        <v>6308</v>
      </c>
      <c r="F331" t="s">
        <v>6309</v>
      </c>
      <c r="G331" t="s">
        <v>6310</v>
      </c>
      <c r="H331" t="s">
        <v>6311</v>
      </c>
      <c r="I331" t="s">
        <v>6312</v>
      </c>
      <c r="J331" t="s">
        <v>6313</v>
      </c>
      <c r="K331" t="s">
        <v>6314</v>
      </c>
      <c r="L331" t="s">
        <v>6315</v>
      </c>
      <c r="M331" t="s">
        <v>6316</v>
      </c>
      <c r="N331">
        <f>-641.213042975082 -7.49380120226874 -527.465929653768</f>
        <v>-1176.1727738311188</v>
      </c>
      <c r="O331">
        <f>-669.925391877779 -157.291118270913 -494.745396864772</f>
        <v>-1321.961907013464</v>
      </c>
      <c r="P331">
        <f>-703.48241482026 -193.186269074624 -216.961166599512</f>
        <v>-1113.6298504943961</v>
      </c>
      <c r="Q331">
        <f>-492.046815351996 -108.05883440704 -261.647583960549</f>
        <v>-861.75323371958495</v>
      </c>
      <c r="R331" t="s">
        <v>6317</v>
      </c>
      <c r="S331" t="s">
        <v>6318</v>
      </c>
      <c r="T331" t="s">
        <v>6319</v>
      </c>
      <c r="U331" t="s">
        <v>6320</v>
      </c>
      <c r="V331">
        <f>-581.772114927208 -61.122325226271 -91.7642878263753</f>
        <v>-734.65872797985423</v>
      </c>
      <c r="W331" t="s">
        <v>6321</v>
      </c>
      <c r="X331" t="s">
        <v>6322</v>
      </c>
      <c r="Y331" t="s">
        <v>6323</v>
      </c>
    </row>
    <row r="332" spans="1:25" x14ac:dyDescent="0.3">
      <c r="A332">
        <v>16550</v>
      </c>
      <c r="B332" t="s">
        <v>6324</v>
      </c>
      <c r="C332" t="s">
        <v>6325</v>
      </c>
      <c r="D332" t="s">
        <v>6326</v>
      </c>
      <c r="E332" t="s">
        <v>6327</v>
      </c>
      <c r="F332" t="s">
        <v>6328</v>
      </c>
      <c r="G332" t="s">
        <v>6329</v>
      </c>
      <c r="H332" t="s">
        <v>6330</v>
      </c>
      <c r="I332" t="s">
        <v>6331</v>
      </c>
      <c r="J332" t="s">
        <v>6332</v>
      </c>
      <c r="K332" t="s">
        <v>6333</v>
      </c>
      <c r="L332" t="s">
        <v>6334</v>
      </c>
      <c r="M332" t="s">
        <v>6335</v>
      </c>
      <c r="N332">
        <f>-641.341409310887 -9.57451251921339 -527.619212702431</f>
        <v>-1178.5351345325314</v>
      </c>
      <c r="O332">
        <f>-670.106718767958 -159.310571798193 -494.508689062347</f>
        <v>-1323.925979628498</v>
      </c>
      <c r="P332">
        <f>-705.880590721281 -194.523835684977 -216.913869976908</f>
        <v>-1117.3182963831659</v>
      </c>
      <c r="Q332">
        <f>-494.270509114358 -110.026031076539 -261.967331487434</f>
        <v>-866.26387167833104</v>
      </c>
      <c r="R332" t="s">
        <v>6336</v>
      </c>
      <c r="S332" t="s">
        <v>6337</v>
      </c>
      <c r="T332" t="s">
        <v>6338</v>
      </c>
      <c r="U332" t="s">
        <v>6339</v>
      </c>
      <c r="V332">
        <f>-583.157776104112 -61.2405955481756 -91.9376733035351</f>
        <v>-736.33604495582279</v>
      </c>
      <c r="W332" t="s">
        <v>6340</v>
      </c>
      <c r="X332" t="s">
        <v>6341</v>
      </c>
      <c r="Y332" t="s">
        <v>6342</v>
      </c>
    </row>
    <row r="333" spans="1:25" x14ac:dyDescent="0.3">
      <c r="A333">
        <v>16600</v>
      </c>
      <c r="B333" t="s">
        <v>6343</v>
      </c>
      <c r="C333" t="s">
        <v>6344</v>
      </c>
      <c r="D333" t="s">
        <v>6345</v>
      </c>
      <c r="E333" t="s">
        <v>6346</v>
      </c>
      <c r="F333" t="s">
        <v>6347</v>
      </c>
      <c r="G333" t="s">
        <v>6348</v>
      </c>
      <c r="H333" t="s">
        <v>6349</v>
      </c>
      <c r="I333" t="s">
        <v>6350</v>
      </c>
      <c r="J333" t="s">
        <v>6351</v>
      </c>
      <c r="K333" t="s">
        <v>6352</v>
      </c>
      <c r="L333" t="s">
        <v>6353</v>
      </c>
      <c r="M333" t="s">
        <v>6354</v>
      </c>
      <c r="N333">
        <f>-641.985211794137 -11.1458671469106 -527.77388398114</f>
        <v>-1180.9049629221877</v>
      </c>
      <c r="O333">
        <f>-669.718462617975 -161.00221511196 -494.517979841509</f>
        <v>-1325.238657571444</v>
      </c>
      <c r="P333">
        <f>-707.758042136133 -196.776576944231 -217.296292622005</f>
        <v>-1121.8309117023691</v>
      </c>
      <c r="Q333">
        <f>-496.345798913288 -111.954086155206 -262.667705401177</f>
        <v>-870.96759046967099</v>
      </c>
      <c r="R333" t="s">
        <v>6355</v>
      </c>
      <c r="S333" t="s">
        <v>6356</v>
      </c>
      <c r="T333" t="s">
        <v>6357</v>
      </c>
      <c r="U333" t="s">
        <v>6358</v>
      </c>
      <c r="V333">
        <f>-584.47119343585 -60.9144902789303 -92.0231431670423</f>
        <v>-737.40882688182262</v>
      </c>
      <c r="W333" t="s">
        <v>6359</v>
      </c>
      <c r="X333" t="s">
        <v>6360</v>
      </c>
      <c r="Y333" t="s">
        <v>6361</v>
      </c>
    </row>
    <row r="334" spans="1:25" x14ac:dyDescent="0.3">
      <c r="A334">
        <v>16650</v>
      </c>
      <c r="B334" t="s">
        <v>6362</v>
      </c>
      <c r="C334" t="s">
        <v>6363</v>
      </c>
      <c r="D334" t="s">
        <v>6364</v>
      </c>
      <c r="E334" t="s">
        <v>6365</v>
      </c>
      <c r="F334" t="s">
        <v>6366</v>
      </c>
      <c r="G334" t="s">
        <v>6367</v>
      </c>
      <c r="H334" t="s">
        <v>6368</v>
      </c>
      <c r="I334" t="s">
        <v>6369</v>
      </c>
      <c r="J334" t="s">
        <v>6370</v>
      </c>
      <c r="K334" t="s">
        <v>6371</v>
      </c>
      <c r="L334" t="s">
        <v>6372</v>
      </c>
      <c r="M334" t="s">
        <v>6373</v>
      </c>
      <c r="N334">
        <f>-642.798201551203 -12.0304468380048 -527.854859766068</f>
        <v>-1182.6835081552758</v>
      </c>
      <c r="O334">
        <f>-669.535355331421 -162.072595020132 -494.570090251181</f>
        <v>-1326.178040602734</v>
      </c>
      <c r="P334">
        <f>-708.453733419742 -198.413542643901 -217.544316544382</f>
        <v>-1124.4115926080249</v>
      </c>
      <c r="Q334">
        <f>-497.2921400423 -113.122094121509 -263.202246121585</f>
        <v>-873.61648028539389</v>
      </c>
      <c r="R334" t="s">
        <v>6374</v>
      </c>
      <c r="S334" t="s">
        <v>6375</v>
      </c>
      <c r="T334" t="s">
        <v>6376</v>
      </c>
      <c r="U334" t="s">
        <v>6377</v>
      </c>
      <c r="V334">
        <f>-585.07296934413 -60.7126539887665 -92.0793130502601</f>
        <v>-737.86493638315665</v>
      </c>
      <c r="W334" t="s">
        <v>6378</v>
      </c>
      <c r="X334" t="s">
        <v>6379</v>
      </c>
      <c r="Y334" t="s">
        <v>6380</v>
      </c>
    </row>
    <row r="335" spans="1:25" x14ac:dyDescent="0.3">
      <c r="A335">
        <v>16700</v>
      </c>
      <c r="B335" t="s">
        <v>6381</v>
      </c>
      <c r="C335" t="s">
        <v>6382</v>
      </c>
      <c r="D335" t="s">
        <v>6383</v>
      </c>
      <c r="E335" t="s">
        <v>6384</v>
      </c>
      <c r="F335" t="s">
        <v>6385</v>
      </c>
      <c r="G335" t="s">
        <v>6386</v>
      </c>
      <c r="H335" t="s">
        <v>6387</v>
      </c>
      <c r="I335" t="s">
        <v>6388</v>
      </c>
      <c r="J335" t="s">
        <v>6389</v>
      </c>
      <c r="K335" t="s">
        <v>6390</v>
      </c>
      <c r="L335" t="s">
        <v>6391</v>
      </c>
      <c r="M335" t="s">
        <v>6392</v>
      </c>
      <c r="N335">
        <f>-644.45207716961 -13.9116964230745 -528.016276918011</f>
        <v>-1186.3800505106956</v>
      </c>
      <c r="O335">
        <f>-669.121457117543 -164.299264311709 -494.685853768907</f>
        <v>-1328.1065751981589</v>
      </c>
      <c r="P335">
        <f>-708.386713208313 -201.776996303303 -217.860416030359</f>
        <v>-1128.0241255419751</v>
      </c>
      <c r="Q335">
        <f>-498.047360808107 -115.13261941358 -264.75007435825</f>
        <v>-877.93005457993695</v>
      </c>
      <c r="R335" t="s">
        <v>6393</v>
      </c>
      <c r="S335" t="s">
        <v>6394</v>
      </c>
      <c r="T335" t="s">
        <v>6395</v>
      </c>
      <c r="U335" t="s">
        <v>6396</v>
      </c>
      <c r="V335">
        <f>-586.334391689326 -60.6376831386635 -92.2037822232708</f>
        <v>-739.17585705126032</v>
      </c>
      <c r="W335" t="s">
        <v>6397</v>
      </c>
      <c r="X335" t="s">
        <v>6398</v>
      </c>
      <c r="Y335" t="s">
        <v>6399</v>
      </c>
    </row>
    <row r="336" spans="1:25" x14ac:dyDescent="0.3">
      <c r="A336">
        <v>16750</v>
      </c>
      <c r="B336" t="s">
        <v>6400</v>
      </c>
      <c r="C336" t="s">
        <v>6401</v>
      </c>
      <c r="D336" t="s">
        <v>6402</v>
      </c>
      <c r="E336" t="s">
        <v>6403</v>
      </c>
      <c r="F336" t="s">
        <v>6404</v>
      </c>
      <c r="G336" t="s">
        <v>6405</v>
      </c>
      <c r="H336" t="s">
        <v>6406</v>
      </c>
      <c r="I336" t="s">
        <v>6407</v>
      </c>
      <c r="J336" t="s">
        <v>6408</v>
      </c>
      <c r="K336" t="s">
        <v>6409</v>
      </c>
      <c r="L336" t="s">
        <v>6410</v>
      </c>
      <c r="M336" t="s">
        <v>6411</v>
      </c>
      <c r="N336">
        <f>-645.192807415569 -15.1064652616112 -528.08047583689</f>
        <v>-1188.3797485140701</v>
      </c>
      <c r="O336">
        <f>-668.872789646471 -165.637941219654 -494.697539669383</f>
        <v>-1329.2082705355078</v>
      </c>
      <c r="P336">
        <f>-707.703670887801 -203.43103149725 -217.853801248563</f>
        <v>-1128.9885036336141</v>
      </c>
      <c r="Q336">
        <f>-497.876046740021 -116.070274644597 -265.697301789398</f>
        <v>-879.64362317401606</v>
      </c>
      <c r="R336" t="s">
        <v>6412</v>
      </c>
      <c r="S336" t="s">
        <v>6413</v>
      </c>
      <c r="T336" t="s">
        <v>6414</v>
      </c>
      <c r="U336" t="s">
        <v>6415</v>
      </c>
      <c r="V336">
        <f>-586.982223989282 -60.831935262511 -92.2530108215182</f>
        <v>-740.06717007331122</v>
      </c>
      <c r="W336" t="s">
        <v>6416</v>
      </c>
      <c r="X336" t="s">
        <v>6417</v>
      </c>
      <c r="Y336" t="s">
        <v>6418</v>
      </c>
    </row>
    <row r="337" spans="1:25" x14ac:dyDescent="0.3">
      <c r="A337">
        <v>16800</v>
      </c>
      <c r="B337" t="s">
        <v>6419</v>
      </c>
      <c r="C337" t="s">
        <v>6420</v>
      </c>
      <c r="D337" t="s">
        <v>6421</v>
      </c>
      <c r="E337" t="s">
        <v>6422</v>
      </c>
      <c r="F337" t="s">
        <v>6423</v>
      </c>
      <c r="G337" t="s">
        <v>6424</v>
      </c>
      <c r="H337" t="s">
        <v>6425</v>
      </c>
      <c r="I337" t="s">
        <v>6426</v>
      </c>
      <c r="J337" t="s">
        <v>6427</v>
      </c>
      <c r="K337" t="s">
        <v>6428</v>
      </c>
      <c r="L337" t="s">
        <v>6429</v>
      </c>
      <c r="M337" t="s">
        <v>6430</v>
      </c>
      <c r="N337">
        <f>-646.683944915491 -17.3746863809092 -528.211619321884</f>
        <v>-1192.2702506182841</v>
      </c>
      <c r="O337">
        <f>-668.793706264658 -168.101008361793 -494.593745297583</f>
        <v>-1331.488459924034</v>
      </c>
      <c r="P337">
        <f>-706.197754607746 -205.93739469604 -217.559576292043</f>
        <v>-1129.6947255958289</v>
      </c>
      <c r="Q337">
        <f>-497.367139874834 -117.329753338362 -267.429451096781</f>
        <v>-882.12634430997696</v>
      </c>
      <c r="R337" t="s">
        <v>6431</v>
      </c>
      <c r="S337" t="s">
        <v>6432</v>
      </c>
      <c r="T337" t="s">
        <v>6433</v>
      </c>
      <c r="U337" t="s">
        <v>6434</v>
      </c>
      <c r="V337">
        <f>-588.389568465074 -61.4959859901014 -92.3645420940429</f>
        <v>-742.25009654921837</v>
      </c>
      <c r="W337" t="s">
        <v>6435</v>
      </c>
      <c r="X337" t="s">
        <v>6436</v>
      </c>
      <c r="Y337" t="s">
        <v>6437</v>
      </c>
    </row>
    <row r="338" spans="1:25" x14ac:dyDescent="0.3">
      <c r="A338">
        <v>16850</v>
      </c>
      <c r="B338" t="s">
        <v>6438</v>
      </c>
      <c r="C338" t="s">
        <v>6439</v>
      </c>
      <c r="D338" t="s">
        <v>6440</v>
      </c>
      <c r="E338" t="s">
        <v>6441</v>
      </c>
      <c r="F338" t="s">
        <v>6442</v>
      </c>
      <c r="G338" t="s">
        <v>6443</v>
      </c>
      <c r="H338" t="s">
        <v>6444</v>
      </c>
      <c r="I338" t="s">
        <v>6445</v>
      </c>
      <c r="J338" t="s">
        <v>6446</v>
      </c>
      <c r="K338" t="s">
        <v>6447</v>
      </c>
      <c r="L338" t="s">
        <v>6448</v>
      </c>
      <c r="M338" t="s">
        <v>6449</v>
      </c>
      <c r="N338">
        <f>-647.286941067441 -18.5031107523421 -528.286404785422</f>
        <v>-1194.0764566052051</v>
      </c>
      <c r="O338">
        <f>-668.74990933604 -169.292806656794 -494.522073847771</f>
        <v>-1332.564789840605</v>
      </c>
      <c r="P338">
        <f>-705.595241032276 -206.958778062335 -217.389773374957</f>
        <v>-1129.9437924695681</v>
      </c>
      <c r="Q338">
        <f>-497.135213957243 -117.895271012743 -267.992502924249</f>
        <v>-883.02298789423503</v>
      </c>
      <c r="R338" t="s">
        <v>6450</v>
      </c>
      <c r="S338" t="s">
        <v>6451</v>
      </c>
      <c r="T338" t="s">
        <v>6452</v>
      </c>
      <c r="U338" t="s">
        <v>6453</v>
      </c>
      <c r="V338">
        <f>-589.077064626234 -61.9190524666062 -92.4274474916157</f>
        <v>-743.4235645844559</v>
      </c>
      <c r="W338" t="s">
        <v>6454</v>
      </c>
      <c r="X338" t="s">
        <v>6455</v>
      </c>
      <c r="Y338" t="s">
        <v>6456</v>
      </c>
    </row>
    <row r="339" spans="1:25" x14ac:dyDescent="0.3">
      <c r="A339">
        <v>16900</v>
      </c>
      <c r="B339" t="s">
        <v>6457</v>
      </c>
      <c r="C339" t="s">
        <v>6458</v>
      </c>
      <c r="D339" t="s">
        <v>6459</v>
      </c>
      <c r="E339" t="s">
        <v>6460</v>
      </c>
      <c r="F339" t="s">
        <v>6461</v>
      </c>
      <c r="G339" t="s">
        <v>6462</v>
      </c>
      <c r="H339" t="s">
        <v>6463</v>
      </c>
      <c r="I339" t="s">
        <v>6464</v>
      </c>
      <c r="J339" t="s">
        <v>6465</v>
      </c>
      <c r="K339" t="s">
        <v>6466</v>
      </c>
      <c r="L339" t="s">
        <v>6467</v>
      </c>
      <c r="M339" t="s">
        <v>6468</v>
      </c>
      <c r="N339">
        <f>-648.667193549037 -20.4953805530758 -528.39956905674</f>
        <v>-1197.5621431588529</v>
      </c>
      <c r="O339">
        <f>-669.23043594786 -171.361071504742 -494.393701571843</f>
        <v>-1334.9852090244449</v>
      </c>
      <c r="P339">
        <f>-705.396525500558 -208.746637986349 -217.134000566533</f>
        <v>-1131.2771640534399</v>
      </c>
      <c r="Q339">
        <f>-497.355481815703 -119.001096681067 -268.253488980913</f>
        <v>-884.61006747768306</v>
      </c>
      <c r="R339" t="s">
        <v>6469</v>
      </c>
      <c r="S339" t="s">
        <v>6470</v>
      </c>
      <c r="T339" t="s">
        <v>6471</v>
      </c>
      <c r="U339" t="s">
        <v>6472</v>
      </c>
      <c r="V339">
        <f>-590.116264141175 -62.7926921574267 -92.5495362990755</f>
        <v>-745.45849259767715</v>
      </c>
      <c r="W339" t="s">
        <v>6473</v>
      </c>
      <c r="X339" t="s">
        <v>6474</v>
      </c>
      <c r="Y339" t="s">
        <v>6475</v>
      </c>
    </row>
    <row r="340" spans="1:25" x14ac:dyDescent="0.3">
      <c r="A340">
        <v>16950</v>
      </c>
      <c r="B340" t="s">
        <v>6476</v>
      </c>
      <c r="C340" t="s">
        <v>6477</v>
      </c>
      <c r="D340" t="s">
        <v>6478</v>
      </c>
      <c r="E340" t="s">
        <v>6479</v>
      </c>
      <c r="F340" t="s">
        <v>6480</v>
      </c>
      <c r="G340" t="s">
        <v>6481</v>
      </c>
      <c r="H340" t="s">
        <v>6482</v>
      </c>
      <c r="I340" t="s">
        <v>6483</v>
      </c>
      <c r="J340" t="s">
        <v>6484</v>
      </c>
      <c r="K340" t="s">
        <v>6485</v>
      </c>
      <c r="L340" t="s">
        <v>6486</v>
      </c>
      <c r="M340" t="s">
        <v>6487</v>
      </c>
      <c r="N340">
        <f>-649.046489669586 -21.4119586884972 -528.456430954224</f>
        <v>-1198.9148793123072</v>
      </c>
      <c r="O340">
        <f>-669.435310629653 -172.275118489047 -494.347856564928</f>
        <v>-1336.0582856836281</v>
      </c>
      <c r="P340">
        <f>-705.481773530518 -209.571753538942 -217.060540261414</f>
        <v>-1132.1140673308739</v>
      </c>
      <c r="Q340">
        <f>-497.533741563938 -119.580700807403 -268.127057482769</f>
        <v>-885.24149985411009</v>
      </c>
      <c r="R340" t="s">
        <v>6488</v>
      </c>
      <c r="S340" t="s">
        <v>6489</v>
      </c>
      <c r="T340" t="s">
        <v>6490</v>
      </c>
      <c r="U340" t="s">
        <v>6491</v>
      </c>
      <c r="V340">
        <f>-590.421261130221 -63.3903468278518 -92.611587318147</f>
        <v>-746.42319527621976</v>
      </c>
      <c r="W340" t="s">
        <v>6492</v>
      </c>
      <c r="X340" t="s">
        <v>6493</v>
      </c>
      <c r="Y340" t="s">
        <v>6494</v>
      </c>
    </row>
    <row r="341" spans="1:25" x14ac:dyDescent="0.3">
      <c r="A341">
        <v>17000</v>
      </c>
      <c r="B341" t="s">
        <v>6495</v>
      </c>
      <c r="C341" t="s">
        <v>6496</v>
      </c>
      <c r="D341" t="s">
        <v>6497</v>
      </c>
      <c r="E341" t="s">
        <v>6498</v>
      </c>
      <c r="F341" t="s">
        <v>6499</v>
      </c>
      <c r="G341" t="s">
        <v>6500</v>
      </c>
      <c r="H341" t="s">
        <v>6501</v>
      </c>
      <c r="I341" t="s">
        <v>6502</v>
      </c>
      <c r="J341" t="s">
        <v>6503</v>
      </c>
      <c r="K341" t="s">
        <v>6504</v>
      </c>
      <c r="L341" t="s">
        <v>6505</v>
      </c>
      <c r="M341" t="s">
        <v>6506</v>
      </c>
      <c r="N341">
        <f>-649.126364576177 -22.9791543578554 -528.580814513873</f>
        <v>-1200.6863334479053</v>
      </c>
      <c r="O341">
        <f>-669.537102792241 -173.800564771554 -494.277614527454</f>
        <v>-1337.6152820912489</v>
      </c>
      <c r="P341">
        <f>-705.909352561551 -210.741630847147 -216.985273204337</f>
        <v>-1133.6362566130351</v>
      </c>
      <c r="Q341">
        <f>-498.020415044873 -120.65353218481 -268.12088261686</f>
        <v>-886.79482984654305</v>
      </c>
      <c r="R341" t="s">
        <v>6507</v>
      </c>
      <c r="S341" t="s">
        <v>6508</v>
      </c>
      <c r="T341" t="s">
        <v>6509</v>
      </c>
      <c r="U341" t="s">
        <v>6510</v>
      </c>
      <c r="V341">
        <f>-590.716065797235 -64.6837430467651 -92.7025834689772</f>
        <v>-748.10239231297737</v>
      </c>
      <c r="W341" t="s">
        <v>6511</v>
      </c>
      <c r="X341" t="s">
        <v>6512</v>
      </c>
      <c r="Y341" t="s">
        <v>6513</v>
      </c>
    </row>
    <row r="342" spans="1:25" x14ac:dyDescent="0.3">
      <c r="A342">
        <v>17050</v>
      </c>
      <c r="B342" t="s">
        <v>6514</v>
      </c>
      <c r="C342" t="s">
        <v>6515</v>
      </c>
      <c r="D342" t="s">
        <v>6516</v>
      </c>
      <c r="E342" t="s">
        <v>6517</v>
      </c>
      <c r="F342" t="s">
        <v>6518</v>
      </c>
      <c r="G342" t="s">
        <v>6519</v>
      </c>
      <c r="H342" t="s">
        <v>6520</v>
      </c>
      <c r="I342" t="s">
        <v>6521</v>
      </c>
      <c r="J342" t="s">
        <v>6522</v>
      </c>
      <c r="K342" t="s">
        <v>6523</v>
      </c>
      <c r="L342" t="s">
        <v>6524</v>
      </c>
      <c r="M342" t="s">
        <v>6525</v>
      </c>
      <c r="N342">
        <f>-649.051454853512 -23.5438974365145 -528.651384616541</f>
        <v>-1201.2467369065675</v>
      </c>
      <c r="O342">
        <f>-669.598298378292 -174.313790330583 -494.244742241669</f>
        <v>-1338.156830950544</v>
      </c>
      <c r="P342">
        <f>-706.244370963614 -210.949917907367 -216.948077831288</f>
        <v>-1134.1423667022689</v>
      </c>
      <c r="Q342">
        <f>-498.305696335702 -121.035580124656 -268.187358722558</f>
        <v>-887.52863518291599</v>
      </c>
      <c r="R342" t="s">
        <v>6526</v>
      </c>
      <c r="S342" t="s">
        <v>6527</v>
      </c>
      <c r="T342" t="s">
        <v>6528</v>
      </c>
      <c r="U342" t="s">
        <v>6529</v>
      </c>
      <c r="V342">
        <f>-590.877793532838 -65.2864702886006 -92.7495402185987</f>
        <v>-748.91380404003735</v>
      </c>
      <c r="W342" t="s">
        <v>6530</v>
      </c>
      <c r="X342" t="s">
        <v>6531</v>
      </c>
      <c r="Y342" t="s">
        <v>6532</v>
      </c>
    </row>
    <row r="343" spans="1:25" x14ac:dyDescent="0.3">
      <c r="A343">
        <v>17100</v>
      </c>
      <c r="B343" t="s">
        <v>6533</v>
      </c>
      <c r="C343" t="s">
        <v>6534</v>
      </c>
      <c r="D343" t="s">
        <v>6535</v>
      </c>
      <c r="E343" t="s">
        <v>6536</v>
      </c>
      <c r="F343" t="s">
        <v>6537</v>
      </c>
      <c r="G343" t="s">
        <v>6538</v>
      </c>
      <c r="H343" t="s">
        <v>6539</v>
      </c>
      <c r="I343" t="s">
        <v>6540</v>
      </c>
      <c r="J343" t="s">
        <v>6541</v>
      </c>
      <c r="K343" t="s">
        <v>6542</v>
      </c>
      <c r="L343" t="s">
        <v>6543</v>
      </c>
      <c r="M343" t="s">
        <v>6544</v>
      </c>
      <c r="N343">
        <f>-648.847440499824 -24.2983603127682 -528.739184200818</f>
        <v>-1201.8849850134102</v>
      </c>
      <c r="O343">
        <f>-669.82567833817 -174.967294678717 -494.166472924469</f>
        <v>-1338.9594459413559</v>
      </c>
      <c r="P343">
        <f>-706.844571849746 -210.901715268978 -216.827482601808</f>
        <v>-1134.573769720532</v>
      </c>
      <c r="Q343">
        <f>-498.622560327872 -121.722937785682 -268.201414930773</f>
        <v>-888.54691304432697</v>
      </c>
      <c r="R343" t="s">
        <v>6545</v>
      </c>
      <c r="S343" t="s">
        <v>6546</v>
      </c>
      <c r="T343" t="s">
        <v>6547</v>
      </c>
      <c r="U343" t="s">
        <v>6548</v>
      </c>
      <c r="V343">
        <f>-590.998087907733 -66.1885537763933 -92.825030802611</f>
        <v>-750.01167248673721</v>
      </c>
      <c r="W343" t="s">
        <v>6549</v>
      </c>
      <c r="X343" t="s">
        <v>6550</v>
      </c>
      <c r="Y343" t="s">
        <v>6551</v>
      </c>
    </row>
    <row r="344" spans="1:25" x14ac:dyDescent="0.3">
      <c r="A344">
        <v>17150</v>
      </c>
      <c r="B344" t="s">
        <v>6552</v>
      </c>
      <c r="C344" t="s">
        <v>6553</v>
      </c>
      <c r="D344" t="s">
        <v>6554</v>
      </c>
      <c r="E344" t="s">
        <v>6555</v>
      </c>
      <c r="F344" t="s">
        <v>6556</v>
      </c>
      <c r="G344" t="s">
        <v>6557</v>
      </c>
      <c r="H344" t="s">
        <v>6558</v>
      </c>
      <c r="I344" t="s">
        <v>6559</v>
      </c>
      <c r="J344" t="s">
        <v>6560</v>
      </c>
      <c r="K344" t="s">
        <v>6561</v>
      </c>
      <c r="L344" t="s">
        <v>6562</v>
      </c>
      <c r="M344" t="s">
        <v>6563</v>
      </c>
      <c r="N344">
        <f>-648.727822840975 -24.5091161946054 -528.735042212207</f>
        <v>-1201.9719812477874</v>
      </c>
      <c r="O344">
        <f>-670.017789567282 -175.099841408488 -494.019681426153</f>
        <v>-1339.1373124019231</v>
      </c>
      <c r="P344">
        <f>-707.015166140099 -210.794168357878 -216.646740029127</f>
        <v>-1134.456074527104</v>
      </c>
      <c r="Q344">
        <f>-498.652217627118 -122.054331222152 -268.209027405428</f>
        <v>-888.91557625469795</v>
      </c>
      <c r="R344" t="s">
        <v>6564</v>
      </c>
      <c r="S344" t="s">
        <v>6565</v>
      </c>
      <c r="T344" t="s">
        <v>6566</v>
      </c>
      <c r="U344" t="s">
        <v>6567</v>
      </c>
      <c r="V344">
        <f>-591.016276864751 -66.44803966631 -92.8390757719092</f>
        <v>-750.30339230297022</v>
      </c>
      <c r="W344" t="s">
        <v>6568</v>
      </c>
      <c r="X344" t="s">
        <v>6569</v>
      </c>
      <c r="Y344" t="s">
        <v>6570</v>
      </c>
    </row>
    <row r="345" spans="1:25" x14ac:dyDescent="0.3">
      <c r="A345">
        <v>17200</v>
      </c>
      <c r="B345" t="s">
        <v>6571</v>
      </c>
      <c r="C345" t="s">
        <v>6572</v>
      </c>
      <c r="D345" t="s">
        <v>6573</v>
      </c>
      <c r="E345" t="s">
        <v>6574</v>
      </c>
      <c r="F345" t="s">
        <v>6575</v>
      </c>
      <c r="G345" t="s">
        <v>6576</v>
      </c>
      <c r="H345" t="s">
        <v>6577</v>
      </c>
      <c r="I345" t="s">
        <v>6578</v>
      </c>
      <c r="J345" t="s">
        <v>6579</v>
      </c>
      <c r="K345" t="s">
        <v>6580</v>
      </c>
      <c r="L345" t="s">
        <v>6581</v>
      </c>
      <c r="M345" t="s">
        <v>6582</v>
      </c>
      <c r="N345">
        <f>-648.302703287983 -24.9816559255491 -528.774526828822</f>
        <v>-1202.0588860423541</v>
      </c>
      <c r="O345">
        <f>-670.187054267655 -175.408975457128 -493.706998596057</f>
        <v>-1339.30302832084</v>
      </c>
      <c r="P345">
        <f>-707.401781611012 -210.420184904579 -216.276183554181</f>
        <v>-1134.0981500697719</v>
      </c>
      <c r="Q345">
        <f>-498.649584332264 -123.088423503032 -268.661603277654</f>
        <v>-890.39961111294997</v>
      </c>
      <c r="R345" t="s">
        <v>6583</v>
      </c>
      <c r="S345" t="s">
        <v>6584</v>
      </c>
      <c r="T345" t="s">
        <v>6585</v>
      </c>
      <c r="U345" t="s">
        <v>6586</v>
      </c>
      <c r="V345">
        <f>-591.153529537226 -67.0520230609909 -92.8976090174025</f>
        <v>-751.10316161561934</v>
      </c>
      <c r="W345" t="s">
        <v>6587</v>
      </c>
      <c r="X345" t="s">
        <v>6588</v>
      </c>
      <c r="Y345" t="s">
        <v>6589</v>
      </c>
    </row>
    <row r="346" spans="1:25" x14ac:dyDescent="0.3">
      <c r="A346">
        <v>17250</v>
      </c>
      <c r="B346" t="s">
        <v>6590</v>
      </c>
      <c r="C346" t="s">
        <v>6591</v>
      </c>
      <c r="D346" t="s">
        <v>6592</v>
      </c>
      <c r="E346" t="s">
        <v>6593</v>
      </c>
      <c r="F346" t="s">
        <v>6594</v>
      </c>
      <c r="G346" t="s">
        <v>6595</v>
      </c>
      <c r="H346" t="s">
        <v>6596</v>
      </c>
      <c r="I346" t="s">
        <v>6597</v>
      </c>
      <c r="J346" t="s">
        <v>6598</v>
      </c>
      <c r="K346" t="s">
        <v>6599</v>
      </c>
      <c r="L346" t="s">
        <v>6600</v>
      </c>
      <c r="M346" t="s">
        <v>6601</v>
      </c>
      <c r="N346">
        <f>-648.045054452553 -25.1374318946901 -528.816014686768</f>
        <v>-1201.998501034011</v>
      </c>
      <c r="O346">
        <f>-670.219424411098 -175.482959596824 -493.60057394542</f>
        <v>-1339.302957953342</v>
      </c>
      <c r="P346">
        <f>-707.772165889624 -210.131091380236 -216.169743726456</f>
        <v>-1134.0730009963161</v>
      </c>
      <c r="Q346">
        <f>-498.793381668595 -123.667771993873 -269.089496328683</f>
        <v>-891.55064999115098</v>
      </c>
      <c r="R346" t="s">
        <v>6602</v>
      </c>
      <c r="S346" t="s">
        <v>6603</v>
      </c>
      <c r="T346" t="s">
        <v>6604</v>
      </c>
      <c r="U346" t="s">
        <v>6605</v>
      </c>
      <c r="V346">
        <f>-591.270636870941 -67.196201486063 -92.9289119828178</f>
        <v>-751.3957503398218</v>
      </c>
      <c r="W346" t="s">
        <v>6606</v>
      </c>
      <c r="X346" t="s">
        <v>6607</v>
      </c>
      <c r="Y346" t="s">
        <v>6608</v>
      </c>
    </row>
    <row r="347" spans="1:25" x14ac:dyDescent="0.3">
      <c r="A347">
        <v>17300</v>
      </c>
      <c r="B347" t="s">
        <v>6609</v>
      </c>
      <c r="C347" t="s">
        <v>6610</v>
      </c>
      <c r="D347" t="s">
        <v>6611</v>
      </c>
      <c r="E347" t="s">
        <v>6612</v>
      </c>
      <c r="F347" t="s">
        <v>6613</v>
      </c>
      <c r="G347" t="s">
        <v>6614</v>
      </c>
      <c r="H347" t="s">
        <v>6615</v>
      </c>
      <c r="I347" t="s">
        <v>6616</v>
      </c>
      <c r="J347" t="s">
        <v>6617</v>
      </c>
      <c r="K347" t="s">
        <v>6618</v>
      </c>
      <c r="L347" t="s">
        <v>6619</v>
      </c>
      <c r="M347" t="s">
        <v>6620</v>
      </c>
      <c r="N347">
        <f>-647.554144729955 -25.1498401894282 -528.882104382002</f>
        <v>-1201.5860893013853</v>
      </c>
      <c r="O347">
        <f>-670.318937733429 -175.322998681059 -493.297748065619</f>
        <v>-1338.9396844801072</v>
      </c>
      <c r="P347">
        <f>-708.502566184472 -209.487399047691 -215.892969847555</f>
        <v>-1133.882935079718</v>
      </c>
      <c r="Q347">
        <f>-499.187831196116 -124.648056732642 -270.097653093054</f>
        <v>-893.93354102181206</v>
      </c>
      <c r="R347" t="s">
        <v>6621</v>
      </c>
      <c r="S347" t="s">
        <v>6622</v>
      </c>
      <c r="T347" t="s">
        <v>6623</v>
      </c>
      <c r="U347" t="s">
        <v>6624</v>
      </c>
      <c r="V347">
        <f>-591.594781493089 -66.8355319067161 -92.9794169293832</f>
        <v>-751.40973032918839</v>
      </c>
      <c r="W347" t="s">
        <v>6625</v>
      </c>
      <c r="X347" t="s">
        <v>6626</v>
      </c>
      <c r="Y347" t="s">
        <v>6627</v>
      </c>
    </row>
    <row r="348" spans="1:25" x14ac:dyDescent="0.3">
      <c r="A348">
        <v>17350</v>
      </c>
      <c r="B348" t="s">
        <v>6628</v>
      </c>
      <c r="C348" t="s">
        <v>6629</v>
      </c>
      <c r="D348" t="s">
        <v>6630</v>
      </c>
      <c r="E348" t="s">
        <v>6631</v>
      </c>
      <c r="F348" t="s">
        <v>6632</v>
      </c>
      <c r="G348" t="s">
        <v>6633</v>
      </c>
      <c r="H348" t="s">
        <v>6634</v>
      </c>
      <c r="I348" t="s">
        <v>6635</v>
      </c>
      <c r="J348" t="s">
        <v>6636</v>
      </c>
      <c r="K348" t="s">
        <v>6637</v>
      </c>
      <c r="L348" t="s">
        <v>6638</v>
      </c>
      <c r="M348" t="s">
        <v>6639</v>
      </c>
      <c r="N348">
        <f>-647.378176813915 -25.0310472023714 -528.894696389375</f>
        <v>-1201.3039204056613</v>
      </c>
      <c r="O348">
        <f>-670.411416291209 -175.110708226116 -493.085759904554</f>
        <v>-1338.6078844218789</v>
      </c>
      <c r="P348">
        <f>-708.646654644291 -209.123990795044 -215.669549681017</f>
        <v>-1133.440195120352</v>
      </c>
      <c r="Q348">
        <f>-499.338931429021 -124.852137422272 -270.778692214089</f>
        <v>-894.96976106538204</v>
      </c>
      <c r="R348" t="s">
        <v>6640</v>
      </c>
      <c r="S348" t="s">
        <v>6641</v>
      </c>
      <c r="T348" t="s">
        <v>6642</v>
      </c>
      <c r="U348" t="s">
        <v>6643</v>
      </c>
      <c r="V348">
        <f>-591.785037529673 -66.4822053569012 -93.0022262799376</f>
        <v>-751.26946916651184</v>
      </c>
      <c r="W348" t="s">
        <v>6644</v>
      </c>
      <c r="X348" t="s">
        <v>6645</v>
      </c>
      <c r="Y348" t="s">
        <v>6646</v>
      </c>
    </row>
    <row r="349" spans="1:25" x14ac:dyDescent="0.3">
      <c r="A349">
        <v>17400</v>
      </c>
      <c r="B349" t="s">
        <v>6647</v>
      </c>
      <c r="C349" t="s">
        <v>6648</v>
      </c>
      <c r="D349" t="s">
        <v>6649</v>
      </c>
      <c r="E349" t="s">
        <v>6650</v>
      </c>
      <c r="F349" t="s">
        <v>6651</v>
      </c>
      <c r="G349" t="s">
        <v>6652</v>
      </c>
      <c r="H349" t="s">
        <v>6653</v>
      </c>
      <c r="I349" t="s">
        <v>6654</v>
      </c>
      <c r="J349" t="s">
        <v>6655</v>
      </c>
      <c r="K349" t="s">
        <v>6656</v>
      </c>
      <c r="L349" t="s">
        <v>6657</v>
      </c>
      <c r="M349" t="s">
        <v>6658</v>
      </c>
      <c r="N349">
        <f>-647.261226326541 -24.8100889401544 -528.853960551305</f>
        <v>-1200.9252758180005</v>
      </c>
      <c r="O349">
        <f>-670.654731340755 -174.71839980521 -492.576117743236</f>
        <v>-1337.949248889201</v>
      </c>
      <c r="P349">
        <f>-708.56976881908 -208.025635660526 -215.030352050431</f>
        <v>-1131.6257565300371</v>
      </c>
      <c r="Q349">
        <f>-499.462082840005 -124.970049950075 -272.686822341252</f>
        <v>-897.11895513133209</v>
      </c>
      <c r="R349" t="s">
        <v>6659</v>
      </c>
      <c r="S349" t="s">
        <v>6660</v>
      </c>
      <c r="T349" t="s">
        <v>6661</v>
      </c>
      <c r="U349" t="s">
        <v>6662</v>
      </c>
      <c r="V349">
        <f>-592.106803093826 -65.8879997465424 -93.040188312375</f>
        <v>-751.03499115274337</v>
      </c>
      <c r="W349" t="s">
        <v>6663</v>
      </c>
      <c r="X349" t="s">
        <v>6664</v>
      </c>
      <c r="Y349" t="s">
        <v>6665</v>
      </c>
    </row>
    <row r="350" spans="1:25" x14ac:dyDescent="0.3">
      <c r="A350">
        <v>17450</v>
      </c>
      <c r="B350" t="s">
        <v>6666</v>
      </c>
      <c r="C350" t="s">
        <v>6667</v>
      </c>
      <c r="D350" t="s">
        <v>6668</v>
      </c>
      <c r="E350" t="s">
        <v>6669</v>
      </c>
      <c r="F350" t="s">
        <v>6670</v>
      </c>
      <c r="G350" t="s">
        <v>6671</v>
      </c>
      <c r="H350" t="s">
        <v>6672</v>
      </c>
      <c r="I350" t="s">
        <v>6673</v>
      </c>
      <c r="J350" t="s">
        <v>6674</v>
      </c>
      <c r="K350" t="s">
        <v>6675</v>
      </c>
      <c r="L350" t="s">
        <v>6676</v>
      </c>
      <c r="M350" t="s">
        <v>6677</v>
      </c>
      <c r="N350">
        <f>-647.324520833767 -24.478112903166 -528.805238173522</f>
        <v>-1200.6078719104548</v>
      </c>
      <c r="O350">
        <f>-670.889884922351 -174.319362677486 -492.313120061651</f>
        <v>-1337.522367661488</v>
      </c>
      <c r="P350">
        <f>-708.472731227778 -207.209523517528 -214.672460665602</f>
        <v>-1130.3547154109078</v>
      </c>
      <c r="Q350">
        <f>-499.620225839823 -124.666264611967 -273.966238700848</f>
        <v>-898.25272915263804</v>
      </c>
      <c r="R350" t="s">
        <v>6678</v>
      </c>
      <c r="S350" t="s">
        <v>6679</v>
      </c>
      <c r="T350" t="s">
        <v>6680</v>
      </c>
      <c r="U350" t="s">
        <v>6681</v>
      </c>
      <c r="V350">
        <f>-592.2053249061 -65.4778420280404 -93.045292396666</f>
        <v>-750.72845933080646</v>
      </c>
      <c r="W350" t="s">
        <v>6682</v>
      </c>
      <c r="X350" t="s">
        <v>6683</v>
      </c>
      <c r="Y350" t="s">
        <v>6684</v>
      </c>
    </row>
    <row r="351" spans="1:25" x14ac:dyDescent="0.3">
      <c r="A351">
        <v>17500</v>
      </c>
      <c r="B351" t="s">
        <v>6685</v>
      </c>
      <c r="C351" t="s">
        <v>6686</v>
      </c>
      <c r="D351" t="s">
        <v>6687</v>
      </c>
      <c r="E351" t="s">
        <v>6688</v>
      </c>
      <c r="F351" t="s">
        <v>6689</v>
      </c>
      <c r="G351" t="s">
        <v>6690</v>
      </c>
      <c r="H351" t="s">
        <v>6691</v>
      </c>
      <c r="I351" t="s">
        <v>6692</v>
      </c>
      <c r="J351" t="s">
        <v>6693</v>
      </c>
      <c r="K351" t="s">
        <v>6694</v>
      </c>
      <c r="L351" t="s">
        <v>6695</v>
      </c>
      <c r="M351" t="s">
        <v>6696</v>
      </c>
      <c r="N351">
        <f>-647.135673407561 -23.5768732701854 -528.769326565513</f>
        <v>-1199.4818732432593</v>
      </c>
      <c r="O351">
        <f>-670.997678940146 -173.279760488495 -491.96098028847</f>
        <v>-1336.2384197171109</v>
      </c>
      <c r="P351">
        <f>-707.502105031531 -205.689204999949 -214.120000623515</f>
        <v>-1127.3113106549949</v>
      </c>
      <c r="Q351">
        <f>-499.223791373917 -124.136296362067 -276.712292670237</f>
        <v>-900.07238040622087</v>
      </c>
      <c r="R351" t="s">
        <v>6697</v>
      </c>
      <c r="S351" t="s">
        <v>6698</v>
      </c>
      <c r="T351" t="s">
        <v>6699</v>
      </c>
      <c r="U351" t="s">
        <v>6700</v>
      </c>
      <c r="V351">
        <f>-592.354628552867 -64.5764015387206 -93.0420437975362</f>
        <v>-749.97307388912373</v>
      </c>
      <c r="W351" t="s">
        <v>6701</v>
      </c>
      <c r="X351" t="s">
        <v>6702</v>
      </c>
      <c r="Y351" t="s">
        <v>6703</v>
      </c>
    </row>
    <row r="352" spans="1:25" x14ac:dyDescent="0.3">
      <c r="A352">
        <v>17550</v>
      </c>
      <c r="B352" t="s">
        <v>6704</v>
      </c>
      <c r="C352" t="s">
        <v>6705</v>
      </c>
      <c r="D352" t="s">
        <v>6706</v>
      </c>
      <c r="E352" t="s">
        <v>6707</v>
      </c>
      <c r="F352" t="s">
        <v>6708</v>
      </c>
      <c r="G352" t="s">
        <v>6709</v>
      </c>
      <c r="H352" t="s">
        <v>6710</v>
      </c>
      <c r="I352" t="s">
        <v>6711</v>
      </c>
      <c r="J352" t="s">
        <v>6712</v>
      </c>
      <c r="K352" t="s">
        <v>6713</v>
      </c>
      <c r="L352" t="s">
        <v>6714</v>
      </c>
      <c r="M352" t="s">
        <v>6715</v>
      </c>
      <c r="N352">
        <f>-647.032649082033 -23.2764474854825 -528.758756662665</f>
        <v>-1199.0678532301804</v>
      </c>
      <c r="O352">
        <f>-670.974282495023 -172.944861361054 -491.868929626044</f>
        <v>-1335.788073482121</v>
      </c>
      <c r="P352">
        <f>-706.74736412527 -205.46254707479 -213.945420201985</f>
        <v>-1126.155331402045</v>
      </c>
      <c r="Q352">
        <f>-498.868539733974 -124.11477336029 -278.11284288867</f>
        <v>-901.09615598293396</v>
      </c>
      <c r="R352" t="s">
        <v>6716</v>
      </c>
      <c r="S352" t="s">
        <v>6717</v>
      </c>
      <c r="T352" t="s">
        <v>6718</v>
      </c>
      <c r="U352" t="s">
        <v>6719</v>
      </c>
      <c r="V352">
        <f>-592.441774049219 -64.2198079229599 -93.0444661538155</f>
        <v>-749.70604812599447</v>
      </c>
      <c r="W352" t="s">
        <v>6720</v>
      </c>
      <c r="X352" t="s">
        <v>6721</v>
      </c>
      <c r="Y352" t="s">
        <v>6722</v>
      </c>
    </row>
    <row r="353" spans="1:25" x14ac:dyDescent="0.3">
      <c r="A353">
        <v>17600</v>
      </c>
      <c r="B353" t="s">
        <v>6723</v>
      </c>
      <c r="C353" t="s">
        <v>6724</v>
      </c>
      <c r="D353" t="s">
        <v>6725</v>
      </c>
      <c r="E353" t="s">
        <v>6726</v>
      </c>
      <c r="F353" t="s">
        <v>6727</v>
      </c>
      <c r="G353" t="s">
        <v>6728</v>
      </c>
      <c r="H353" t="s">
        <v>6729</v>
      </c>
      <c r="I353" t="s">
        <v>6730</v>
      </c>
      <c r="J353" t="s">
        <v>6731</v>
      </c>
      <c r="K353" t="s">
        <v>6732</v>
      </c>
      <c r="L353" t="s">
        <v>6733</v>
      </c>
      <c r="M353" t="s">
        <v>6734</v>
      </c>
      <c r="N353">
        <f>-647.002653026263 -22.5600305392702 -528.698731631542</f>
        <v>-1198.2614151970752</v>
      </c>
      <c r="O353">
        <f>-671.090260283536 -172.195426946627 -491.753660393063</f>
        <v>-1335.0393476232261</v>
      </c>
      <c r="P353">
        <f>-704.764010287428 -205.09691662496 -213.613242831932</f>
        <v>-1123.4741697443201</v>
      </c>
      <c r="Q353">
        <f>-497.593500158441 -124.43307177117 -280.860947662296</f>
        <v>-902.88751959190699</v>
      </c>
      <c r="R353" t="s">
        <v>6735</v>
      </c>
      <c r="S353" t="s">
        <v>6736</v>
      </c>
      <c r="T353" t="s">
        <v>6737</v>
      </c>
      <c r="U353" t="s">
        <v>6738</v>
      </c>
      <c r="V353">
        <f>-592.398671640718 -63.5135084586761 -93.0324249342274</f>
        <v>-748.94460503362154</v>
      </c>
      <c r="W353" t="s">
        <v>6739</v>
      </c>
      <c r="X353" t="s">
        <v>6740</v>
      </c>
      <c r="Y353" t="s">
        <v>6741</v>
      </c>
    </row>
    <row r="354" spans="1:25" x14ac:dyDescent="0.3">
      <c r="A354">
        <v>17650</v>
      </c>
      <c r="B354" t="s">
        <v>6742</v>
      </c>
      <c r="C354" t="s">
        <v>6743</v>
      </c>
      <c r="D354" t="s">
        <v>6744</v>
      </c>
      <c r="E354" t="s">
        <v>6745</v>
      </c>
      <c r="F354" t="s">
        <v>6746</v>
      </c>
      <c r="G354" t="s">
        <v>6747</v>
      </c>
      <c r="H354" t="s">
        <v>6748</v>
      </c>
      <c r="I354" t="s">
        <v>6749</v>
      </c>
      <c r="J354" t="s">
        <v>6750</v>
      </c>
      <c r="K354" t="s">
        <v>6751</v>
      </c>
      <c r="L354" t="s">
        <v>6752</v>
      </c>
      <c r="M354" t="s">
        <v>6753</v>
      </c>
      <c r="N354">
        <f>-647.129403815902 -22.2412661313501 -528.649179945251</f>
        <v>-1198.0198498925033</v>
      </c>
      <c r="O354">
        <f>-671.235168138897 -171.867501153014 -491.66789882397</f>
        <v>-1334.7705681158811</v>
      </c>
      <c r="P354">
        <f>-703.494082645892 -204.839368954035 -213.368103971033</f>
        <v>-1121.70155557096</v>
      </c>
      <c r="Q354">
        <f>-496.383464858046 -125.086347632808 -281.874749515816</f>
        <v>-903.34456200667</v>
      </c>
      <c r="R354" t="s">
        <v>6754</v>
      </c>
      <c r="S354" t="s">
        <v>6755</v>
      </c>
      <c r="T354" t="s">
        <v>6756</v>
      </c>
      <c r="U354" t="s">
        <v>6757</v>
      </c>
      <c r="V354">
        <f>-592.365332024428 -63.3421518169041 -93.0255549806483</f>
        <v>-748.73303882198036</v>
      </c>
      <c r="W354" t="s">
        <v>6758</v>
      </c>
      <c r="X354" t="s">
        <v>6759</v>
      </c>
      <c r="Y354" t="s">
        <v>6760</v>
      </c>
    </row>
    <row r="355" spans="1:25" x14ac:dyDescent="0.3">
      <c r="A355">
        <v>17700</v>
      </c>
      <c r="B355" t="s">
        <v>6761</v>
      </c>
      <c r="C355" t="s">
        <v>6762</v>
      </c>
      <c r="D355" t="s">
        <v>6763</v>
      </c>
      <c r="E355" t="s">
        <v>6764</v>
      </c>
      <c r="F355" t="s">
        <v>6765</v>
      </c>
      <c r="G355" t="s">
        <v>6766</v>
      </c>
      <c r="H355" t="s">
        <v>6767</v>
      </c>
      <c r="I355" t="s">
        <v>6768</v>
      </c>
      <c r="J355" t="s">
        <v>6769</v>
      </c>
      <c r="K355" t="s">
        <v>6770</v>
      </c>
      <c r="L355" t="s">
        <v>6771</v>
      </c>
      <c r="M355" t="s">
        <v>6772</v>
      </c>
      <c r="N355">
        <f>-647.385298499455 -21.6062386211402 -528.594772374619</f>
        <v>-1197.5863094952142</v>
      </c>
      <c r="O355">
        <f>-671.558948085367 -171.230627985498 -491.642076063828</f>
        <v>-1334.431652134693</v>
      </c>
      <c r="P355">
        <f>-700.534538056279 -204.105431689099 -212.969798350024</f>
        <v>-1117.6097680954019</v>
      </c>
      <c r="Q355">
        <f>-493.634332590172 -125.93711152111 -283.896387847817</f>
        <v>-903.46783195909893</v>
      </c>
      <c r="R355" t="s">
        <v>6773</v>
      </c>
      <c r="S355" t="s">
        <v>6774</v>
      </c>
      <c r="T355" t="s">
        <v>6775</v>
      </c>
      <c r="U355" t="s">
        <v>6776</v>
      </c>
      <c r="V355">
        <f>-592.129588702706 -63.127148396527 -93.001409347089</f>
        <v>-748.25814644632192</v>
      </c>
      <c r="W355" t="s">
        <v>6777</v>
      </c>
      <c r="X355" t="s">
        <v>6778</v>
      </c>
      <c r="Y355" t="s">
        <v>6779</v>
      </c>
    </row>
    <row r="356" spans="1:25" x14ac:dyDescent="0.3">
      <c r="A356">
        <v>17750</v>
      </c>
      <c r="B356" t="s">
        <v>6780</v>
      </c>
      <c r="C356" t="s">
        <v>6781</v>
      </c>
      <c r="D356" t="s">
        <v>6782</v>
      </c>
      <c r="E356" t="s">
        <v>6783</v>
      </c>
      <c r="F356" t="s">
        <v>6784</v>
      </c>
      <c r="G356" t="s">
        <v>6785</v>
      </c>
      <c r="H356" t="s">
        <v>6786</v>
      </c>
      <c r="I356" t="s">
        <v>6787</v>
      </c>
      <c r="J356" t="s">
        <v>6788</v>
      </c>
      <c r="K356" t="s">
        <v>6789</v>
      </c>
      <c r="L356" t="s">
        <v>6790</v>
      </c>
      <c r="M356" t="s">
        <v>6791</v>
      </c>
      <c r="N356">
        <f>-647.523809874719 -21.2927504892957 -528.569728076374</f>
        <v>-1197.3862884403886</v>
      </c>
      <c r="O356">
        <f>-671.744799494033 -170.930332321522 -491.691418754622</f>
        <v>-1334.366550570177</v>
      </c>
      <c r="P356">
        <f>-698.956311740503 -203.407455612712 -212.794689957412</f>
        <v>-1115.158457310627</v>
      </c>
      <c r="Q356">
        <f>-492.097908563651 -126.284016872951 -284.975869095763</f>
        <v>-903.35779453236501</v>
      </c>
      <c r="R356" t="s">
        <v>6792</v>
      </c>
      <c r="S356" t="s">
        <v>6793</v>
      </c>
      <c r="T356" t="s">
        <v>6794</v>
      </c>
      <c r="U356" t="s">
        <v>6795</v>
      </c>
      <c r="V356">
        <f>-591.978253019258 -63.0039400255046 -92.9861242152018</f>
        <v>-747.96831725996435</v>
      </c>
      <c r="W356" t="s">
        <v>6796</v>
      </c>
      <c r="X356" t="s">
        <v>6797</v>
      </c>
      <c r="Y356" t="s">
        <v>6798</v>
      </c>
    </row>
    <row r="357" spans="1:25" x14ac:dyDescent="0.3">
      <c r="A357">
        <v>17800</v>
      </c>
      <c r="B357" t="s">
        <v>6799</v>
      </c>
      <c r="C357" t="s">
        <v>6800</v>
      </c>
      <c r="D357" t="s">
        <v>6801</v>
      </c>
      <c r="E357" t="s">
        <v>6802</v>
      </c>
      <c r="F357" t="s">
        <v>6803</v>
      </c>
      <c r="G357" t="s">
        <v>6804</v>
      </c>
      <c r="H357" t="s">
        <v>6805</v>
      </c>
      <c r="I357" t="s">
        <v>6806</v>
      </c>
      <c r="J357" t="s">
        <v>6807</v>
      </c>
      <c r="K357" t="s">
        <v>6808</v>
      </c>
      <c r="L357" t="s">
        <v>6809</v>
      </c>
      <c r="M357" t="s">
        <v>6810</v>
      </c>
      <c r="N357">
        <f>-647.7852915428 -20.651466840709 -528.547656015911</f>
        <v>-1196.9844143994201</v>
      </c>
      <c r="O357">
        <f>-671.986622819391 -170.341720399676 -491.871324133864</f>
        <v>-1334.1996673529309</v>
      </c>
      <c r="P357">
        <f>-696.015438803962 -202.078513867993 -212.597438809574</f>
        <v>-1110.6913914815291</v>
      </c>
      <c r="Q357">
        <f>-489.128992786793 -126.864134785902 -286.687403296264</f>
        <v>-902.68053086895907</v>
      </c>
      <c r="R357" t="s">
        <v>6811</v>
      </c>
      <c r="S357" t="s">
        <v>6812</v>
      </c>
      <c r="T357" t="s">
        <v>6813</v>
      </c>
      <c r="U357" t="s">
        <v>6814</v>
      </c>
      <c r="V357">
        <f>-591.721555690812 -62.9064853930618 -92.9492724711647</f>
        <v>-747.57731355503847</v>
      </c>
      <c r="W357" t="s">
        <v>6815</v>
      </c>
      <c r="X357" t="s">
        <v>6816</v>
      </c>
      <c r="Y357" t="s">
        <v>6817</v>
      </c>
    </row>
    <row r="358" spans="1:25" x14ac:dyDescent="0.3">
      <c r="A358">
        <v>17850</v>
      </c>
      <c r="B358" t="s">
        <v>6818</v>
      </c>
      <c r="C358" t="s">
        <v>6819</v>
      </c>
      <c r="D358" t="s">
        <v>6820</v>
      </c>
      <c r="E358" t="s">
        <v>6821</v>
      </c>
      <c r="F358" t="s">
        <v>6822</v>
      </c>
      <c r="G358" t="s">
        <v>6823</v>
      </c>
      <c r="H358" t="s">
        <v>6824</v>
      </c>
      <c r="I358" t="s">
        <v>6825</v>
      </c>
      <c r="J358" t="s">
        <v>6826</v>
      </c>
      <c r="K358" t="s">
        <v>6827</v>
      </c>
      <c r="L358" t="s">
        <v>6828</v>
      </c>
      <c r="M358" t="s">
        <v>6829</v>
      </c>
      <c r="N358">
        <f>-647.87867809395 -20.3500591076668 -528.549429443866</f>
        <v>-1196.7781666454828</v>
      </c>
      <c r="O358">
        <f>-672.004771199838 -170.083812647011 -492.017127870785</f>
        <v>-1334.105711717634</v>
      </c>
      <c r="P358">
        <f>-694.840907751468 -201.449865497234 -212.601166448235</f>
        <v>-1108.891939696937</v>
      </c>
      <c r="Q358">
        <f>-487.83295462817 -127.09637911892 -287.218799649057</f>
        <v>-902.14813339614705</v>
      </c>
      <c r="R358" t="s">
        <v>6830</v>
      </c>
      <c r="S358" t="s">
        <v>6831</v>
      </c>
      <c r="T358" t="s">
        <v>6832</v>
      </c>
      <c r="U358" t="s">
        <v>6833</v>
      </c>
      <c r="V358">
        <f>-591.592149122882 -62.8520178235653 -92.9399123764766</f>
        <v>-747.38407932292398</v>
      </c>
      <c r="W358" t="s">
        <v>6834</v>
      </c>
      <c r="X358" t="s">
        <v>6835</v>
      </c>
      <c r="Y358" t="s">
        <v>6836</v>
      </c>
    </row>
    <row r="359" spans="1:25" x14ac:dyDescent="0.3">
      <c r="A359">
        <v>17900</v>
      </c>
      <c r="B359" t="s">
        <v>6837</v>
      </c>
      <c r="C359" t="s">
        <v>6838</v>
      </c>
      <c r="D359" t="s">
        <v>6839</v>
      </c>
      <c r="E359" t="s">
        <v>6840</v>
      </c>
      <c r="F359" t="s">
        <v>6841</v>
      </c>
      <c r="G359" t="s">
        <v>6842</v>
      </c>
      <c r="H359" t="s">
        <v>6843</v>
      </c>
      <c r="I359" t="s">
        <v>6844</v>
      </c>
      <c r="J359" t="s">
        <v>6845</v>
      </c>
      <c r="K359" t="s">
        <v>6846</v>
      </c>
      <c r="L359" t="s">
        <v>6847</v>
      </c>
      <c r="M359" t="s">
        <v>6848</v>
      </c>
      <c r="N359">
        <f>-648.091597284531 -19.798481376868 -528.582090241246</f>
        <v>-1196.4721689026451</v>
      </c>
      <c r="O359">
        <f>-671.996279451091 -169.657573337804 -492.402804011807</f>
        <v>-1334.0566568007021</v>
      </c>
      <c r="P359">
        <f>-693.242683431331 -200.835469698708 -212.84049894039</f>
        <v>-1106.9186520704291</v>
      </c>
      <c r="Q359">
        <f>-485.757592120817 -128.125566347071 -287.75222987748</f>
        <v>-901.63538834536791</v>
      </c>
      <c r="R359" t="s">
        <v>6849</v>
      </c>
      <c r="S359" t="s">
        <v>6850</v>
      </c>
      <c r="T359" t="s">
        <v>6851</v>
      </c>
      <c r="U359" t="s">
        <v>6852</v>
      </c>
      <c r="V359">
        <f>-591.370128820083 -62.7855921891412 -92.9251000427059</f>
        <v>-747.08082105193012</v>
      </c>
      <c r="W359" t="s">
        <v>6853</v>
      </c>
      <c r="X359" t="s">
        <v>6854</v>
      </c>
      <c r="Y359" t="s">
        <v>6855</v>
      </c>
    </row>
    <row r="360" spans="1:25" x14ac:dyDescent="0.3">
      <c r="A360">
        <v>17950</v>
      </c>
      <c r="B360" t="s">
        <v>6856</v>
      </c>
      <c r="C360" t="s">
        <v>6857</v>
      </c>
      <c r="D360" t="s">
        <v>6858</v>
      </c>
      <c r="E360" t="s">
        <v>6859</v>
      </c>
      <c r="F360" t="s">
        <v>6860</v>
      </c>
      <c r="G360" t="s">
        <v>6861</v>
      </c>
      <c r="H360" t="s">
        <v>6862</v>
      </c>
      <c r="I360" t="s">
        <v>6863</v>
      </c>
      <c r="J360" t="s">
        <v>6864</v>
      </c>
      <c r="K360" t="s">
        <v>6865</v>
      </c>
      <c r="L360" t="s">
        <v>6866</v>
      </c>
      <c r="M360" t="s">
        <v>6867</v>
      </c>
      <c r="N360">
        <f>-648.169099527521 -19.4971607701236 -528.605431738676</f>
        <v>-1196.2716920363205</v>
      </c>
      <c r="O360">
        <f>-671.913123703638 -169.435834136297 -492.670757785295</f>
        <v>-1334.01971562523</v>
      </c>
      <c r="P360">
        <f>-692.649942724597 -200.645847159443 -213.073670025002</f>
        <v>-1106.369459909042</v>
      </c>
      <c r="Q360">
        <f>-484.878365634627 -128.708358394997 -287.937090627241</f>
        <v>-901.52381465686506</v>
      </c>
      <c r="R360" t="s">
        <v>6868</v>
      </c>
      <c r="S360" t="s">
        <v>6869</v>
      </c>
      <c r="T360" t="s">
        <v>6870</v>
      </c>
      <c r="U360" t="s">
        <v>6871</v>
      </c>
      <c r="V360">
        <f>-591.248118613529 -62.7720660060379 -92.9107555059487</f>
        <v>-746.93094012551558</v>
      </c>
      <c r="W360" t="s">
        <v>6872</v>
      </c>
      <c r="X360" t="s">
        <v>6873</v>
      </c>
      <c r="Y360" t="s">
        <v>6874</v>
      </c>
    </row>
    <row r="361" spans="1:25" x14ac:dyDescent="0.3">
      <c r="A361">
        <v>18000</v>
      </c>
      <c r="B361" t="s">
        <v>6875</v>
      </c>
      <c r="C361" t="s">
        <v>6876</v>
      </c>
      <c r="D361" t="s">
        <v>6877</v>
      </c>
      <c r="E361" t="s">
        <v>6878</v>
      </c>
      <c r="F361" t="s">
        <v>6879</v>
      </c>
      <c r="G361" t="s">
        <v>6880</v>
      </c>
      <c r="H361" t="s">
        <v>6881</v>
      </c>
      <c r="I361" t="s">
        <v>6882</v>
      </c>
      <c r="J361" t="s">
        <v>6883</v>
      </c>
      <c r="K361" t="s">
        <v>6884</v>
      </c>
      <c r="L361" t="s">
        <v>6885</v>
      </c>
      <c r="M361" t="s">
        <v>6886</v>
      </c>
      <c r="N361">
        <f>-648.489189996754 -18.9941187193317 -528.658087799482</f>
        <v>-1196.1413965155677</v>
      </c>
      <c r="O361">
        <f>-672.012345635313 -169.070437371936 -493.160414798835</f>
        <v>-1334.243197806084</v>
      </c>
      <c r="P361">
        <f>-691.641246721696 -200.29824783581 -213.485411679316</f>
        <v>-1105.4249062368219</v>
      </c>
      <c r="Q361">
        <f>-483.634784841931 -129.395057109506 -288.682205805862</f>
        <v>-901.71204775729893</v>
      </c>
      <c r="R361" t="s">
        <v>6887</v>
      </c>
      <c r="S361" t="s">
        <v>6888</v>
      </c>
      <c r="T361" t="s">
        <v>6889</v>
      </c>
      <c r="U361" t="s">
        <v>6890</v>
      </c>
      <c r="V361">
        <f>-591.148360398627 -62.770630936657 -92.9056014760699</f>
        <v>-746.82459281135391</v>
      </c>
      <c r="W361" t="s">
        <v>6891</v>
      </c>
      <c r="X361" t="s">
        <v>6892</v>
      </c>
      <c r="Y361" t="s">
        <v>6893</v>
      </c>
    </row>
    <row r="362" spans="1:25" x14ac:dyDescent="0.3">
      <c r="A362">
        <v>18050</v>
      </c>
      <c r="B362" t="s">
        <v>6894</v>
      </c>
      <c r="C362" t="s">
        <v>6895</v>
      </c>
      <c r="D362" t="s">
        <v>6896</v>
      </c>
      <c r="E362" t="s">
        <v>6897</v>
      </c>
      <c r="F362" t="s">
        <v>6898</v>
      </c>
      <c r="G362" t="s">
        <v>6899</v>
      </c>
      <c r="H362" t="s">
        <v>6900</v>
      </c>
      <c r="I362" t="s">
        <v>6901</v>
      </c>
      <c r="J362" t="s">
        <v>6902</v>
      </c>
      <c r="K362" t="s">
        <v>6903</v>
      </c>
      <c r="L362" t="s">
        <v>6904</v>
      </c>
      <c r="M362" t="s">
        <v>6905</v>
      </c>
      <c r="N362">
        <f>-648.785825536146 -18.7600705803668 -528.659423126772</f>
        <v>-1196.205319243285</v>
      </c>
      <c r="O362">
        <f>-672.265156675294 -168.888674135191 -493.337945941814</f>
        <v>-1334.4917767522988</v>
      </c>
      <c r="P362">
        <f>-691.30018146398 -199.949890057519 -213.603456272053</f>
        <v>-1104.8535277935521</v>
      </c>
      <c r="Q362">
        <f>-483.190072142611 -129.789971476378 -289.209573625159</f>
        <v>-902.18961724414794</v>
      </c>
      <c r="R362" t="s">
        <v>6906</v>
      </c>
      <c r="S362" t="s">
        <v>6907</v>
      </c>
      <c r="T362" t="s">
        <v>6908</v>
      </c>
      <c r="U362" t="s">
        <v>6909</v>
      </c>
      <c r="V362">
        <f>-591.121331419718 -62.7844381242996 -92.9011994441465</f>
        <v>-746.80696898816416</v>
      </c>
      <c r="W362" t="s">
        <v>6910</v>
      </c>
      <c r="X362" t="s">
        <v>6911</v>
      </c>
      <c r="Y362" t="s">
        <v>6912</v>
      </c>
    </row>
    <row r="363" spans="1:25" x14ac:dyDescent="0.3">
      <c r="A363">
        <v>18100</v>
      </c>
      <c r="B363" t="s">
        <v>6913</v>
      </c>
      <c r="C363" t="s">
        <v>6914</v>
      </c>
      <c r="D363" t="s">
        <v>6915</v>
      </c>
      <c r="E363" t="s">
        <v>6916</v>
      </c>
      <c r="F363" t="s">
        <v>6917</v>
      </c>
      <c r="G363" t="s">
        <v>6918</v>
      </c>
      <c r="H363" t="s">
        <v>6919</v>
      </c>
      <c r="I363" t="s">
        <v>6920</v>
      </c>
      <c r="J363" t="s">
        <v>6921</v>
      </c>
      <c r="K363" t="s">
        <v>6922</v>
      </c>
      <c r="L363" t="s">
        <v>6923</v>
      </c>
      <c r="M363" t="s">
        <v>6924</v>
      </c>
      <c r="N363">
        <f>-649.277699533645 -18.4375189418276 -528.662083780987</f>
        <v>-1196.3773022564596</v>
      </c>
      <c r="O363">
        <f>-672.841811602937 -168.615822311905 -493.629299096139</f>
        <v>-1335.0869330109811</v>
      </c>
      <c r="P363">
        <f>-691.011389118425 -199.541214825858 -213.822190620216</f>
        <v>-1104.3747945644989</v>
      </c>
      <c r="Q363">
        <f>-482.886772896123 -130.20310673575 -290.143061439154</f>
        <v>-903.23294107102697</v>
      </c>
      <c r="R363" t="s">
        <v>6925</v>
      </c>
      <c r="S363" t="s">
        <v>6926</v>
      </c>
      <c r="T363" t="s">
        <v>6927</v>
      </c>
      <c r="U363" t="s">
        <v>6928</v>
      </c>
      <c r="V363">
        <f>-591.225526202712 -62.9577043112376 -92.8940008069173</f>
        <v>-747.07723132086699</v>
      </c>
      <c r="W363" t="s">
        <v>6929</v>
      </c>
      <c r="X363" t="s">
        <v>6930</v>
      </c>
      <c r="Y363" t="s">
        <v>6931</v>
      </c>
    </row>
    <row r="364" spans="1:25" x14ac:dyDescent="0.3">
      <c r="A364">
        <v>18150</v>
      </c>
      <c r="B364" t="s">
        <v>6932</v>
      </c>
      <c r="C364" t="s">
        <v>6933</v>
      </c>
      <c r="D364" t="s">
        <v>6934</v>
      </c>
      <c r="E364" t="s">
        <v>6935</v>
      </c>
      <c r="F364" t="s">
        <v>6936</v>
      </c>
      <c r="G364" t="s">
        <v>6937</v>
      </c>
      <c r="H364" t="s">
        <v>6938</v>
      </c>
      <c r="I364" t="s">
        <v>6939</v>
      </c>
      <c r="J364" t="s">
        <v>6940</v>
      </c>
      <c r="K364" t="s">
        <v>6941</v>
      </c>
      <c r="L364" t="s">
        <v>6942</v>
      </c>
      <c r="M364" t="s">
        <v>6943</v>
      </c>
      <c r="N364">
        <f>-649.433242421178 -18.3083398137151 -528.702321317814</f>
        <v>-1196.4439035527071</v>
      </c>
      <c r="O364">
        <f>-673.151633143875 -168.502163532586 -493.821136201328</f>
        <v>-1335.4749328777889</v>
      </c>
      <c r="P364">
        <f>-691.158764932686 -199.229480215261 -213.981653862654</f>
        <v>-1104.3698990106011</v>
      </c>
      <c r="Q364">
        <f>-482.684852515574 -130.936662988967 -290.292022267585</f>
        <v>-903.91353777212601</v>
      </c>
      <c r="R364" t="s">
        <v>6944</v>
      </c>
      <c r="S364" t="s">
        <v>6945</v>
      </c>
      <c r="T364" t="s">
        <v>6946</v>
      </c>
      <c r="U364" t="s">
        <v>6947</v>
      </c>
      <c r="V364">
        <f>-591.313051290713 -63.0689554371372 -92.9028883172319</f>
        <v>-747.28489504508218</v>
      </c>
      <c r="W364" t="s">
        <v>6948</v>
      </c>
      <c r="X364" t="s">
        <v>6949</v>
      </c>
      <c r="Y364" t="s">
        <v>6950</v>
      </c>
    </row>
    <row r="365" spans="1:25" x14ac:dyDescent="0.3">
      <c r="A365">
        <v>18200</v>
      </c>
      <c r="B365" t="s">
        <v>6951</v>
      </c>
      <c r="C365" t="s">
        <v>6952</v>
      </c>
      <c r="D365" t="s">
        <v>6953</v>
      </c>
      <c r="E365" t="s">
        <v>6954</v>
      </c>
      <c r="F365" t="s">
        <v>6955</v>
      </c>
      <c r="G365" t="s">
        <v>6956</v>
      </c>
      <c r="H365" t="s">
        <v>6957</v>
      </c>
      <c r="I365" t="s">
        <v>6958</v>
      </c>
      <c r="J365" t="s">
        <v>6959</v>
      </c>
      <c r="K365" t="s">
        <v>6960</v>
      </c>
      <c r="L365" t="s">
        <v>6961</v>
      </c>
      <c r="M365" t="s">
        <v>6962</v>
      </c>
      <c r="N365">
        <f>-649.735131626009 -18.3948453161522 -528.730835821491</f>
        <v>-1196.8608127636521</v>
      </c>
      <c r="O365">
        <f>-673.793507084687 -168.553969231947 -493.945892952216</f>
        <v>-1336.29336926885</v>
      </c>
      <c r="P365">
        <f>-692.324168125379 -198.588512248378 -214.06532046065</f>
        <v>-1104.9780008344069</v>
      </c>
      <c r="Q365">
        <f>-482.955540766718 -132.359592031899 -289.742363459004</f>
        <v>-905.0574962576211</v>
      </c>
      <c r="R365" t="s">
        <v>6963</v>
      </c>
      <c r="S365" t="s">
        <v>6964</v>
      </c>
      <c r="T365" t="s">
        <v>6965</v>
      </c>
      <c r="U365" t="s">
        <v>6966</v>
      </c>
      <c r="V365">
        <f>-591.515911073975 -63.3501621950379 -92.9185639477232</f>
        <v>-747.78463721673609</v>
      </c>
      <c r="W365" t="s">
        <v>6967</v>
      </c>
      <c r="X365" t="s">
        <v>6968</v>
      </c>
      <c r="Y365" t="s">
        <v>6969</v>
      </c>
    </row>
    <row r="366" spans="1:25" x14ac:dyDescent="0.3">
      <c r="A366">
        <v>18250</v>
      </c>
      <c r="B366" t="s">
        <v>6970</v>
      </c>
      <c r="C366" t="s">
        <v>6971</v>
      </c>
      <c r="D366" t="s">
        <v>6972</v>
      </c>
      <c r="E366" t="s">
        <v>6973</v>
      </c>
      <c r="F366" t="s">
        <v>6974</v>
      </c>
      <c r="G366" t="s">
        <v>6975</v>
      </c>
      <c r="H366" t="s">
        <v>6976</v>
      </c>
      <c r="I366" t="s">
        <v>6977</v>
      </c>
      <c r="J366" t="s">
        <v>6978</v>
      </c>
      <c r="K366" t="s">
        <v>6979</v>
      </c>
      <c r="L366" t="s">
        <v>6980</v>
      </c>
      <c r="M366" t="s">
        <v>6981</v>
      </c>
      <c r="N366">
        <f>-649.883906827649 -18.4097114236138 -528.74714476031</f>
        <v>-1197.0407630115728</v>
      </c>
      <c r="O366">
        <f>-674.161426280173 -168.539464470751 -493.96992320367</f>
        <v>-1336.670813954594</v>
      </c>
      <c r="P366">
        <f>-693.206859882922 -198.225032528567 -214.086724676577</f>
        <v>-1105.5186170880661</v>
      </c>
      <c r="Q366">
        <f>-483.45564377003 -132.682517496587 -289.300734089755</f>
        <v>-905.43889535637197</v>
      </c>
      <c r="R366" t="s">
        <v>6982</v>
      </c>
      <c r="S366" t="s">
        <v>6983</v>
      </c>
      <c r="T366" t="s">
        <v>6984</v>
      </c>
      <c r="U366" t="s">
        <v>6985</v>
      </c>
      <c r="V366">
        <f>-591.601437500521 -63.4724552903624 -92.9240750272645</f>
        <v>-747.99796781814791</v>
      </c>
      <c r="W366" t="s">
        <v>6986</v>
      </c>
      <c r="X366" t="s">
        <v>6987</v>
      </c>
      <c r="Y366" t="s">
        <v>6988</v>
      </c>
    </row>
    <row r="367" spans="1:25" x14ac:dyDescent="0.3">
      <c r="A367">
        <v>18300</v>
      </c>
      <c r="B367" t="s">
        <v>6989</v>
      </c>
      <c r="C367" t="s">
        <v>6990</v>
      </c>
      <c r="D367" t="s">
        <v>6991</v>
      </c>
      <c r="E367" t="s">
        <v>6992</v>
      </c>
      <c r="F367" t="s">
        <v>6993</v>
      </c>
      <c r="G367" t="s">
        <v>6994</v>
      </c>
      <c r="H367" t="s">
        <v>6995</v>
      </c>
      <c r="I367" t="s">
        <v>6996</v>
      </c>
      <c r="J367" t="s">
        <v>6997</v>
      </c>
      <c r="K367" t="s">
        <v>6998</v>
      </c>
      <c r="L367" t="s">
        <v>6999</v>
      </c>
      <c r="M367" t="s">
        <v>7000</v>
      </c>
      <c r="N367">
        <f>-649.934848120471 -18.3472572341379 -528.793318230212</f>
        <v>-1197.0754235848208</v>
      </c>
      <c r="O367">
        <f>-674.562257698366 -168.429616146629 -494.061964061084</f>
        <v>-1337.053837906079</v>
      </c>
      <c r="P367">
        <f>-694.991999677858 -197.614072296165 -214.223755905748</f>
        <v>-1106.8298278797708</v>
      </c>
      <c r="Q367">
        <f>-484.49236388239 -133.243073211876 -288.350715521321</f>
        <v>-906.08615261558703</v>
      </c>
      <c r="R367" t="s">
        <v>7001</v>
      </c>
      <c r="S367" t="s">
        <v>7002</v>
      </c>
      <c r="T367" t="s">
        <v>7003</v>
      </c>
      <c r="U367" t="s">
        <v>7004</v>
      </c>
      <c r="V367">
        <f>-591.845215522675 -63.6089513195591 -92.93763833114</f>
        <v>-748.391805173374</v>
      </c>
      <c r="W367" t="s">
        <v>7005</v>
      </c>
      <c r="X367" t="s">
        <v>7006</v>
      </c>
      <c r="Y367" t="s">
        <v>7007</v>
      </c>
    </row>
    <row r="368" spans="1:25" x14ac:dyDescent="0.3">
      <c r="A368">
        <v>18350</v>
      </c>
      <c r="B368" t="s">
        <v>7008</v>
      </c>
      <c r="C368" t="s">
        <v>7009</v>
      </c>
      <c r="D368" t="s">
        <v>7010</v>
      </c>
      <c r="E368" t="s">
        <v>7011</v>
      </c>
      <c r="F368" t="s">
        <v>7012</v>
      </c>
      <c r="G368" t="s">
        <v>7013</v>
      </c>
      <c r="H368" t="s">
        <v>7014</v>
      </c>
      <c r="I368" t="s">
        <v>7015</v>
      </c>
      <c r="J368" t="s">
        <v>7016</v>
      </c>
      <c r="K368" t="s">
        <v>7017</v>
      </c>
      <c r="L368" t="s">
        <v>7018</v>
      </c>
      <c r="M368" t="s">
        <v>7019</v>
      </c>
      <c r="N368">
        <f>-649.853345301408 -18.2428026064258 -528.822297072136</f>
        <v>-1196.91844497997</v>
      </c>
      <c r="O368">
        <f>-674.611169954275 -168.317414803873 -494.143511411623</f>
        <v>-1337.0720961697712</v>
      </c>
      <c r="P368">
        <f>-695.666337394507 -197.116994192708 -214.311660930056</f>
        <v>-1107.0949925172711</v>
      </c>
      <c r="Q368">
        <f>-484.914159061139 -133.242436170173 -288.150032780402</f>
        <v>-906.30662801171388</v>
      </c>
      <c r="R368" t="s">
        <v>7020</v>
      </c>
      <c r="S368" t="s">
        <v>7021</v>
      </c>
      <c r="T368" t="s">
        <v>7022</v>
      </c>
      <c r="U368" t="s">
        <v>7023</v>
      </c>
      <c r="V368">
        <f>-591.927714770992 -63.5385306148262 -92.9381852639229</f>
        <v>-748.40443064974113</v>
      </c>
      <c r="W368" t="s">
        <v>7024</v>
      </c>
      <c r="X368" t="s">
        <v>7025</v>
      </c>
      <c r="Y368" t="s">
        <v>7026</v>
      </c>
    </row>
    <row r="369" spans="1:25" x14ac:dyDescent="0.3">
      <c r="A369">
        <v>18400</v>
      </c>
      <c r="B369" t="s">
        <v>7027</v>
      </c>
      <c r="C369" t="s">
        <v>7028</v>
      </c>
      <c r="D369" t="s">
        <v>7029</v>
      </c>
      <c r="E369" t="s">
        <v>7030</v>
      </c>
      <c r="F369" t="s">
        <v>7031</v>
      </c>
      <c r="G369" t="s">
        <v>7032</v>
      </c>
      <c r="H369" t="s">
        <v>7033</v>
      </c>
      <c r="I369" t="s">
        <v>7034</v>
      </c>
      <c r="J369" t="s">
        <v>7035</v>
      </c>
      <c r="K369" t="s">
        <v>7036</v>
      </c>
      <c r="L369" t="s">
        <v>7037</v>
      </c>
      <c r="M369" t="s">
        <v>7038</v>
      </c>
      <c r="N369">
        <f>-649.750758489726 -17.9885349651543 -528.842840885356</f>
        <v>-1196.5821343402363</v>
      </c>
      <c r="O369">
        <f>-674.787438503554 -168.015536810501 -494.175877854849</f>
        <v>-1336.9788531689039</v>
      </c>
      <c r="P369">
        <f>-696.66910364756 -196.417715709052 -214.3670014179</f>
        <v>-1107.453820774512</v>
      </c>
      <c r="Q369">
        <f>-485.515288457004 -133.408859666456 -287.800451907226</f>
        <v>-906.72460003068591</v>
      </c>
      <c r="R369" t="s">
        <v>7039</v>
      </c>
      <c r="S369" t="s">
        <v>7040</v>
      </c>
      <c r="T369" t="s">
        <v>7041</v>
      </c>
      <c r="U369" t="s">
        <v>7042</v>
      </c>
      <c r="V369">
        <f>-591.978978575795 -63.3428427322287 -92.9348177320657</f>
        <v>-748.25663904008945</v>
      </c>
      <c r="W369" t="s">
        <v>7043</v>
      </c>
      <c r="X369" t="s">
        <v>7044</v>
      </c>
      <c r="Y369" t="s">
        <v>7045</v>
      </c>
    </row>
    <row r="370" spans="1:25" x14ac:dyDescent="0.3">
      <c r="A370">
        <v>18450</v>
      </c>
      <c r="B370" t="s">
        <v>7046</v>
      </c>
      <c r="C370" t="s">
        <v>7047</v>
      </c>
      <c r="D370" t="s">
        <v>7048</v>
      </c>
      <c r="E370" t="s">
        <v>7049</v>
      </c>
      <c r="F370" t="s">
        <v>7050</v>
      </c>
      <c r="G370" t="s">
        <v>7051</v>
      </c>
      <c r="H370" t="s">
        <v>7052</v>
      </c>
      <c r="I370" t="s">
        <v>7053</v>
      </c>
      <c r="J370" t="s">
        <v>7054</v>
      </c>
      <c r="K370" t="s">
        <v>7055</v>
      </c>
      <c r="L370" t="s">
        <v>7056</v>
      </c>
      <c r="M370" t="s">
        <v>7057</v>
      </c>
      <c r="N370">
        <f>-649.772508051463 -17.8773484340625 -528.825490587091</f>
        <v>-1196.4753470726164</v>
      </c>
      <c r="O370">
        <f>-674.865769129929 -167.886448502187 -494.131085090163</f>
        <v>-1336.883302722279</v>
      </c>
      <c r="P370">
        <f>-697.107153336327 -196.327507630718 -214.354385779192</f>
        <v>-1107.7890467462369</v>
      </c>
      <c r="Q370">
        <f>-485.671132936134 -133.881944298443 -287.456133951059</f>
        <v>-907.00921118563588</v>
      </c>
      <c r="R370" t="s">
        <v>7058</v>
      </c>
      <c r="S370" t="s">
        <v>7059</v>
      </c>
      <c r="T370" t="s">
        <v>7060</v>
      </c>
      <c r="U370" t="s">
        <v>7061</v>
      </c>
      <c r="V370">
        <f>-591.944091946126 -63.1968758322041 -92.9271987436409</f>
        <v>-748.06816652197108</v>
      </c>
      <c r="W370" t="s">
        <v>7062</v>
      </c>
      <c r="X370" t="s">
        <v>7063</v>
      </c>
      <c r="Y370" t="s">
        <v>7064</v>
      </c>
    </row>
    <row r="371" spans="1:25" x14ac:dyDescent="0.3">
      <c r="A371">
        <v>18500</v>
      </c>
      <c r="B371" t="s">
        <v>7065</v>
      </c>
      <c r="C371" t="s">
        <v>7066</v>
      </c>
      <c r="D371" t="s">
        <v>7067</v>
      </c>
      <c r="E371" t="s">
        <v>7068</v>
      </c>
      <c r="F371" t="s">
        <v>7069</v>
      </c>
      <c r="G371" t="s">
        <v>7070</v>
      </c>
      <c r="H371" t="s">
        <v>7071</v>
      </c>
      <c r="I371" t="s">
        <v>7072</v>
      </c>
      <c r="J371" t="s">
        <v>7073</v>
      </c>
      <c r="K371" t="s">
        <v>7074</v>
      </c>
      <c r="L371" t="s">
        <v>7075</v>
      </c>
      <c r="M371" t="s">
        <v>7076</v>
      </c>
      <c r="N371">
        <f>-649.971378235631 -17.5187274546217 -528.765350451512</f>
        <v>-1196.2554561417646</v>
      </c>
      <c r="O371">
        <f>-674.990860832776 -167.53460729925 -494.028028238261</f>
        <v>-1336.5534963702869</v>
      </c>
      <c r="P371">
        <f>-698.461210478199 -196.122623370138 -214.366810503573</f>
        <v>-1108.9506443519099</v>
      </c>
      <c r="Q371">
        <f>-486.816450550484 -133.781458205163 -286.952079138222</f>
        <v>-907.549987893869</v>
      </c>
      <c r="R371" t="s">
        <v>7077</v>
      </c>
      <c r="S371" t="s">
        <v>7078</v>
      </c>
      <c r="T371" t="s">
        <v>7079</v>
      </c>
      <c r="U371" t="s">
        <v>7080</v>
      </c>
      <c r="V371">
        <f>-591.838839806755 -62.7557533071717 -92.9018753205763</f>
        <v>-747.49646843450307</v>
      </c>
      <c r="W371" t="s">
        <v>7081</v>
      </c>
      <c r="X371" t="s">
        <v>7082</v>
      </c>
      <c r="Y371" t="s">
        <v>7083</v>
      </c>
    </row>
    <row r="372" spans="1:25" x14ac:dyDescent="0.3">
      <c r="A372">
        <v>18550</v>
      </c>
      <c r="B372" t="s">
        <v>7084</v>
      </c>
      <c r="C372" t="s">
        <v>7085</v>
      </c>
      <c r="D372" t="s">
        <v>7086</v>
      </c>
      <c r="E372" t="s">
        <v>7087</v>
      </c>
      <c r="F372" t="s">
        <v>7088</v>
      </c>
      <c r="G372" t="s">
        <v>7089</v>
      </c>
      <c r="H372" t="s">
        <v>7090</v>
      </c>
      <c r="I372" t="s">
        <v>7091</v>
      </c>
      <c r="J372" t="s">
        <v>7092</v>
      </c>
      <c r="K372" t="s">
        <v>7093</v>
      </c>
      <c r="L372" t="s">
        <v>7094</v>
      </c>
      <c r="M372" t="s">
        <v>7095</v>
      </c>
      <c r="N372">
        <f>-650.039356780845 -17.2564169854872 -528.738344675366</f>
        <v>-1196.0341184416982</v>
      </c>
      <c r="O372">
        <f>-675.034963496694 -167.284682047987 -494.041141089577</f>
        <v>-1336.3607866342579</v>
      </c>
      <c r="P372">
        <f>-699.140463784489 -196.074117828329 -214.454467242683</f>
        <v>-1109.6690488555009</v>
      </c>
      <c r="Q372">
        <f>-487.444714988351 -133.379076341083 -286.58476842178</f>
        <v>-907.40855975121394</v>
      </c>
      <c r="R372" t="s">
        <v>7096</v>
      </c>
      <c r="S372" t="s">
        <v>7097</v>
      </c>
      <c r="T372" t="s">
        <v>7098</v>
      </c>
      <c r="U372" t="s">
        <v>7099</v>
      </c>
      <c r="V372">
        <f>-591.761043097457 -62.4418967975221 -92.8875750657938</f>
        <v>-747.09051496077291</v>
      </c>
      <c r="W372" t="s">
        <v>7100</v>
      </c>
      <c r="X372" t="s">
        <v>7101</v>
      </c>
      <c r="Y372" t="s">
        <v>7102</v>
      </c>
    </row>
    <row r="373" spans="1:25" x14ac:dyDescent="0.3">
      <c r="A373">
        <v>18600</v>
      </c>
      <c r="B373" t="s">
        <v>7103</v>
      </c>
      <c r="C373" t="s">
        <v>7104</v>
      </c>
      <c r="D373" t="s">
        <v>7105</v>
      </c>
      <c r="E373" t="s">
        <v>7106</v>
      </c>
      <c r="F373" t="s">
        <v>7107</v>
      </c>
      <c r="G373" t="s">
        <v>7108</v>
      </c>
      <c r="H373" t="s">
        <v>7109</v>
      </c>
      <c r="I373" t="s">
        <v>7110</v>
      </c>
      <c r="J373" t="s">
        <v>7111</v>
      </c>
      <c r="K373" t="s">
        <v>7112</v>
      </c>
      <c r="L373" t="s">
        <v>7113</v>
      </c>
      <c r="M373" t="s">
        <v>7114</v>
      </c>
      <c r="N373">
        <f>-650.119249979907 -16.6498092461443 -528.703688438991</f>
        <v>-1195.4727476650423</v>
      </c>
      <c r="O373">
        <f>-674.958167173422 -166.70804637862 -494.051670252619</f>
        <v>-1335.7178838046609</v>
      </c>
      <c r="P373">
        <f>-700.230801780838 -195.437662708438 -214.562028338893</f>
        <v>-1110.230492828169</v>
      </c>
      <c r="Q373">
        <f>-488.640835954462 -131.333718334237 -285.758163013345</f>
        <v>-905.73271730204397</v>
      </c>
      <c r="R373" t="s">
        <v>7115</v>
      </c>
      <c r="S373" t="s">
        <v>7116</v>
      </c>
      <c r="T373" t="s">
        <v>7117</v>
      </c>
      <c r="U373" t="s">
        <v>7118</v>
      </c>
      <c r="V373">
        <f>-591.66868950025 -61.8382960577669 -92.8401704344438</f>
        <v>-746.34715599246078</v>
      </c>
      <c r="W373" t="s">
        <v>7119</v>
      </c>
      <c r="X373" t="s">
        <v>7120</v>
      </c>
      <c r="Y373" t="s">
        <v>7121</v>
      </c>
    </row>
    <row r="374" spans="1:25" x14ac:dyDescent="0.3">
      <c r="A374">
        <v>18650</v>
      </c>
      <c r="B374" t="s">
        <v>7122</v>
      </c>
      <c r="C374" t="s">
        <v>7123</v>
      </c>
      <c r="D374" t="s">
        <v>7124</v>
      </c>
      <c r="E374" t="s">
        <v>7125</v>
      </c>
      <c r="F374" t="s">
        <v>7126</v>
      </c>
      <c r="G374" t="s">
        <v>7127</v>
      </c>
      <c r="H374" t="s">
        <v>7128</v>
      </c>
      <c r="I374" t="s">
        <v>7129</v>
      </c>
      <c r="J374" t="s">
        <v>7130</v>
      </c>
      <c r="K374" t="s">
        <v>7131</v>
      </c>
      <c r="L374" t="s">
        <v>7132</v>
      </c>
      <c r="M374" t="s">
        <v>7133</v>
      </c>
      <c r="N374">
        <f>-650.209598189091 -16.3405182747754 -528.661653083</f>
        <v>-1195.2117695468664</v>
      </c>
      <c r="O374">
        <f>-674.899764898949 -166.420665841436 -493.989128406326</f>
        <v>-1335.3095591467111</v>
      </c>
      <c r="P374">
        <f>-700.591555549142 -194.970248090508 -214.519291735968</f>
        <v>-1110.0810953756179</v>
      </c>
      <c r="Q374">
        <f>-489.160642963085 -130.05587786801 -285.452912653317</f>
        <v>-904.66943348441214</v>
      </c>
      <c r="R374" t="s">
        <v>7134</v>
      </c>
      <c r="S374" t="s">
        <v>7135</v>
      </c>
      <c r="T374" t="s">
        <v>7136</v>
      </c>
      <c r="U374" t="s">
        <v>7137</v>
      </c>
      <c r="V374">
        <f>-591.611692728691 -61.4806038390807 -92.8257247799935</f>
        <v>-745.91802134776515</v>
      </c>
      <c r="W374" t="s">
        <v>7138</v>
      </c>
      <c r="X374" t="s">
        <v>7139</v>
      </c>
      <c r="Y374" t="s">
        <v>7140</v>
      </c>
    </row>
    <row r="375" spans="1:25" x14ac:dyDescent="0.3">
      <c r="A375">
        <v>18700</v>
      </c>
      <c r="B375" t="s">
        <v>7141</v>
      </c>
      <c r="C375" t="s">
        <v>7142</v>
      </c>
      <c r="D375" t="s">
        <v>7143</v>
      </c>
      <c r="E375" t="s">
        <v>7144</v>
      </c>
      <c r="F375" t="s">
        <v>7145</v>
      </c>
      <c r="G375" t="s">
        <v>7146</v>
      </c>
      <c r="H375" t="s">
        <v>7147</v>
      </c>
      <c r="I375" t="s">
        <v>7148</v>
      </c>
      <c r="J375" t="s">
        <v>7149</v>
      </c>
      <c r="K375" t="s">
        <v>7150</v>
      </c>
      <c r="L375" t="s">
        <v>7151</v>
      </c>
      <c r="M375" t="s">
        <v>7152</v>
      </c>
      <c r="N375">
        <f>-650.431502762955 -15.6579494022224 -528.562920597802</f>
        <v>-1194.6523727629792</v>
      </c>
      <c r="O375">
        <f>-674.841385226587 -165.782046468041 -493.856353437321</f>
        <v>-1334.479785131949</v>
      </c>
      <c r="P375">
        <f>-700.863647812174 -193.947945037889 -214.378104584375</f>
        <v>-1109.1896974344379</v>
      </c>
      <c r="Q375">
        <f>-489.764126072185 -127.87627910429 -285.230408735498</f>
        <v>-902.87081391197307</v>
      </c>
      <c r="R375" t="s">
        <v>7153</v>
      </c>
      <c r="S375" t="s">
        <v>7154</v>
      </c>
      <c r="T375" t="s">
        <v>7155</v>
      </c>
      <c r="U375" t="s">
        <v>7156</v>
      </c>
      <c r="V375">
        <f>-591.426300350465 -60.8378721477488 -92.789857296531</f>
        <v>-745.05402979474479</v>
      </c>
      <c r="W375" t="s">
        <v>7157</v>
      </c>
      <c r="X375" t="s">
        <v>7158</v>
      </c>
      <c r="Y375" t="s">
        <v>7159</v>
      </c>
    </row>
    <row r="376" spans="1:25" x14ac:dyDescent="0.3">
      <c r="A376">
        <v>18750</v>
      </c>
      <c r="B376" t="s">
        <v>7160</v>
      </c>
      <c r="C376" t="s">
        <v>7161</v>
      </c>
      <c r="D376" t="s">
        <v>7162</v>
      </c>
      <c r="E376" t="s">
        <v>7163</v>
      </c>
      <c r="F376" t="s">
        <v>7164</v>
      </c>
      <c r="G376" t="s">
        <v>7165</v>
      </c>
      <c r="H376" t="s">
        <v>7166</v>
      </c>
      <c r="I376" t="s">
        <v>7167</v>
      </c>
      <c r="J376" t="s">
        <v>7168</v>
      </c>
      <c r="K376" t="s">
        <v>7169</v>
      </c>
      <c r="L376" t="s">
        <v>7170</v>
      </c>
      <c r="M376" t="s">
        <v>7171</v>
      </c>
      <c r="N376">
        <f>-650.433063133398 -15.2381712787369 -528.512267567169</f>
        <v>-1194.1835019793039</v>
      </c>
      <c r="O376">
        <f>-674.738472615404 -165.379350452519 -493.806001591777</f>
        <v>-1333.9238246597001</v>
      </c>
      <c r="P376">
        <f>-700.544380023587 -193.55046385421 -214.308183383117</f>
        <v>-1108.4030272609139</v>
      </c>
      <c r="Q376">
        <f>-489.714239629872 -126.938535711894 -285.45603228204</f>
        <v>-902.10880762380589</v>
      </c>
      <c r="R376" t="s">
        <v>7172</v>
      </c>
      <c r="S376" t="s">
        <v>7173</v>
      </c>
      <c r="T376" t="s">
        <v>7174</v>
      </c>
      <c r="U376" t="s">
        <v>7175</v>
      </c>
      <c r="V376">
        <f>-591.134354943631 -60.5212760091165 -92.7620305583008</f>
        <v>-744.41766151104832</v>
      </c>
      <c r="W376" t="s">
        <v>7176</v>
      </c>
      <c r="X376" t="s">
        <v>7177</v>
      </c>
      <c r="Y376" t="s">
        <v>7178</v>
      </c>
    </row>
    <row r="377" spans="1:25" x14ac:dyDescent="0.3">
      <c r="A377">
        <v>18800</v>
      </c>
      <c r="B377" t="s">
        <v>7179</v>
      </c>
      <c r="C377" t="s">
        <v>7180</v>
      </c>
      <c r="D377" t="s">
        <v>7181</v>
      </c>
      <c r="E377" t="s">
        <v>7182</v>
      </c>
      <c r="F377" t="s">
        <v>7183</v>
      </c>
      <c r="G377" t="s">
        <v>7184</v>
      </c>
      <c r="H377" t="s">
        <v>7185</v>
      </c>
      <c r="I377" t="s">
        <v>7186</v>
      </c>
      <c r="J377" t="s">
        <v>7187</v>
      </c>
      <c r="K377" t="s">
        <v>7188</v>
      </c>
      <c r="L377" t="s">
        <v>7189</v>
      </c>
      <c r="M377" t="s">
        <v>7190</v>
      </c>
      <c r="N377">
        <f>-650.334219429011 -14.3413437558397 -528.455020485261</f>
        <v>-1193.1305836701117</v>
      </c>
      <c r="O377">
        <f>-674.477211751779 -164.525640709866 -493.841469783316</f>
        <v>-1332.8443222449609</v>
      </c>
      <c r="P377">
        <f>-699.496135992446 -193.22645007865 -214.325963843772</f>
        <v>-1107.0485499148681</v>
      </c>
      <c r="Q377">
        <f>-489.355147477651 -125.209912103772 -286.180332116888</f>
        <v>-900.74539169831087</v>
      </c>
      <c r="R377" t="s">
        <v>7191</v>
      </c>
      <c r="S377" t="s">
        <v>7192</v>
      </c>
      <c r="T377" t="s">
        <v>7193</v>
      </c>
      <c r="U377" t="s">
        <v>7194</v>
      </c>
      <c r="V377">
        <f>-590.669968642161 -60.1075721704874 -92.704479423702</f>
        <v>-743.48202023635042</v>
      </c>
      <c r="W377" t="s">
        <v>7195</v>
      </c>
      <c r="X377" t="s">
        <v>7196</v>
      </c>
      <c r="Y377" t="s">
        <v>7197</v>
      </c>
    </row>
    <row r="378" spans="1:25" x14ac:dyDescent="0.3">
      <c r="A378">
        <v>18850</v>
      </c>
      <c r="B378" t="s">
        <v>7198</v>
      </c>
      <c r="C378" t="s">
        <v>7199</v>
      </c>
      <c r="D378" t="s">
        <v>7200</v>
      </c>
      <c r="E378" t="s">
        <v>7201</v>
      </c>
      <c r="F378" t="s">
        <v>7202</v>
      </c>
      <c r="G378" t="s">
        <v>7203</v>
      </c>
      <c r="H378" t="s">
        <v>7204</v>
      </c>
      <c r="I378" t="s">
        <v>7205</v>
      </c>
      <c r="J378" t="s">
        <v>7206</v>
      </c>
      <c r="K378" t="s">
        <v>7207</v>
      </c>
      <c r="L378" t="s">
        <v>7208</v>
      </c>
      <c r="M378" t="s">
        <v>7209</v>
      </c>
      <c r="N378">
        <f>-650.345281759724 -13.8924194190333 -528.404869137096</f>
        <v>-1192.6425703158534</v>
      </c>
      <c r="O378">
        <f>-674.429143224069 -164.108523796589 -493.871170609692</f>
        <v>-1332.40883763035</v>
      </c>
      <c r="P378">
        <f>-698.962374868609 -193.097605949768 -214.342506359416</f>
        <v>-1106.4024871777929</v>
      </c>
      <c r="Q378">
        <f>-489.317824415712 -124.156606998482 -286.764007137703</f>
        <v>-900.23843855189693</v>
      </c>
      <c r="R378" t="s">
        <v>7210</v>
      </c>
      <c r="S378" t="s">
        <v>7211</v>
      </c>
      <c r="T378" t="s">
        <v>7212</v>
      </c>
      <c r="U378" t="s">
        <v>7213</v>
      </c>
      <c r="V378">
        <f>-590.456342146041 -60.025792075452 -92.68553337579</f>
        <v>-743.16766759728307</v>
      </c>
      <c r="W378" t="s">
        <v>7214</v>
      </c>
      <c r="X378" t="s">
        <v>7215</v>
      </c>
      <c r="Y378" t="s">
        <v>7216</v>
      </c>
    </row>
    <row r="379" spans="1:25" x14ac:dyDescent="0.3">
      <c r="A379">
        <v>18900</v>
      </c>
      <c r="B379" t="s">
        <v>7217</v>
      </c>
      <c r="C379" t="s">
        <v>7218</v>
      </c>
      <c r="D379" t="s">
        <v>7219</v>
      </c>
      <c r="E379" t="s">
        <v>7220</v>
      </c>
      <c r="F379" t="s">
        <v>7221</v>
      </c>
      <c r="G379" t="s">
        <v>7222</v>
      </c>
      <c r="H379" t="s">
        <v>7223</v>
      </c>
      <c r="I379" t="s">
        <v>7224</v>
      </c>
      <c r="J379" t="s">
        <v>7225</v>
      </c>
      <c r="K379" t="s">
        <v>7226</v>
      </c>
      <c r="L379" t="s">
        <v>7227</v>
      </c>
      <c r="M379" t="s">
        <v>7228</v>
      </c>
      <c r="N379">
        <f>-650.112232772116 -12.9491375951204 -528.344892891107</f>
        <v>-1191.4062632583434</v>
      </c>
      <c r="O379">
        <f>-674.092910063147 -163.237056016991 -494.063762473314</f>
        <v>-1331.3937285534521</v>
      </c>
      <c r="P379">
        <f>-698.218880975506 -193.060474038706 -214.587363537549</f>
        <v>-1105.8667185517609</v>
      </c>
      <c r="Q379">
        <f>-489.384996753594 -122.305809404535 -287.599186836272</f>
        <v>-899.28999299440102</v>
      </c>
      <c r="R379" t="s">
        <v>7229</v>
      </c>
      <c r="S379" t="s">
        <v>7230</v>
      </c>
      <c r="T379" t="s">
        <v>7231</v>
      </c>
      <c r="U379" t="s">
        <v>7232</v>
      </c>
      <c r="V379">
        <f>-589.839238061572 -59.9249536238399 -92.6243979426904</f>
        <v>-742.3885896281023</v>
      </c>
      <c r="W379" t="s">
        <v>7233</v>
      </c>
      <c r="X379" t="s">
        <v>7234</v>
      </c>
      <c r="Y379" t="s">
        <v>7235</v>
      </c>
    </row>
    <row r="380" spans="1:25" x14ac:dyDescent="0.3">
      <c r="A380">
        <v>18950</v>
      </c>
      <c r="B380" t="s">
        <v>7236</v>
      </c>
      <c r="C380" t="s">
        <v>7237</v>
      </c>
      <c r="D380" t="s">
        <v>7238</v>
      </c>
      <c r="E380" t="s">
        <v>7239</v>
      </c>
      <c r="F380" t="s">
        <v>7240</v>
      </c>
      <c r="G380" t="s">
        <v>7241</v>
      </c>
      <c r="H380" t="s">
        <v>7242</v>
      </c>
      <c r="I380" t="s">
        <v>7243</v>
      </c>
      <c r="J380" t="s">
        <v>7244</v>
      </c>
      <c r="K380" t="s">
        <v>7245</v>
      </c>
      <c r="L380" t="s">
        <v>7246</v>
      </c>
      <c r="M380" t="s">
        <v>7247</v>
      </c>
      <c r="N380">
        <f>-649.945456944666 -12.428350913852 -528.322747677184</f>
        <v>-1190.6965555357019</v>
      </c>
      <c r="O380">
        <f>-673.896481905615 -162.758489746309 -494.195082227561</f>
        <v>-1330.8500538794851</v>
      </c>
      <c r="P380">
        <f>-697.994961411871 -193.004993542628 -214.76160898888</f>
        <v>-1105.7615639433791</v>
      </c>
      <c r="Q380">
        <f>-489.625986044314 -121.243672149168 -288.118615386976</f>
        <v>-898.98827358045799</v>
      </c>
      <c r="R380" t="s">
        <v>7248</v>
      </c>
      <c r="S380" t="s">
        <v>7249</v>
      </c>
      <c r="T380" t="s">
        <v>7250</v>
      </c>
      <c r="U380" t="s">
        <v>7251</v>
      </c>
      <c r="V380">
        <f>-589.457023311492 -59.7549938182963 -92.5831945198586</f>
        <v>-741.79521164964683</v>
      </c>
      <c r="W380" t="s">
        <v>7252</v>
      </c>
      <c r="X380" t="s">
        <v>7253</v>
      </c>
      <c r="Y380" t="s">
        <v>7254</v>
      </c>
    </row>
    <row r="381" spans="1:25" x14ac:dyDescent="0.3">
      <c r="A381">
        <v>19000</v>
      </c>
      <c r="B381" t="s">
        <v>7255</v>
      </c>
      <c r="C381" t="s">
        <v>7256</v>
      </c>
      <c r="D381" t="s">
        <v>7257</v>
      </c>
      <c r="E381" t="s">
        <v>7258</v>
      </c>
      <c r="F381" t="s">
        <v>7259</v>
      </c>
      <c r="G381" t="s">
        <v>7260</v>
      </c>
      <c r="H381" t="s">
        <v>7261</v>
      </c>
      <c r="I381" t="s">
        <v>7262</v>
      </c>
      <c r="J381" t="s">
        <v>7263</v>
      </c>
      <c r="K381" t="s">
        <v>7264</v>
      </c>
      <c r="L381" t="s">
        <v>7265</v>
      </c>
      <c r="M381" t="s">
        <v>7266</v>
      </c>
      <c r="N381">
        <f>-649.484774796423 -11.3489130055698 -528.253156389934</f>
        <v>-1189.086844191927</v>
      </c>
      <c r="O381">
        <f>-673.537094319322 -161.721374099012 -494.400713131574</f>
        <v>-1329.659181549908</v>
      </c>
      <c r="P381">
        <f>-697.955110978767 -192.959242910125 -215.10414850089</f>
        <v>-1106.018502389782</v>
      </c>
      <c r="Q381">
        <f>-490.004705865119 -119.747229670386 -288.214855590967</f>
        <v>-897.966791126472</v>
      </c>
      <c r="R381" t="s">
        <v>7267</v>
      </c>
      <c r="S381" t="s">
        <v>7268</v>
      </c>
      <c r="T381" t="s">
        <v>7269</v>
      </c>
      <c r="U381" t="s">
        <v>7270</v>
      </c>
      <c r="V381">
        <f>-588.608474133358 -59.4217527848571 -92.484442633983</f>
        <v>-740.51466955219803</v>
      </c>
      <c r="W381" t="s">
        <v>7271</v>
      </c>
      <c r="X381" t="s">
        <v>7272</v>
      </c>
      <c r="Y381" t="s">
        <v>7273</v>
      </c>
    </row>
    <row r="382" spans="1:25" x14ac:dyDescent="0.3">
      <c r="A382">
        <v>19050</v>
      </c>
      <c r="B382" t="s">
        <v>7274</v>
      </c>
      <c r="C382" t="s">
        <v>7275</v>
      </c>
      <c r="D382" t="s">
        <v>7276</v>
      </c>
      <c r="E382" t="s">
        <v>7277</v>
      </c>
      <c r="F382" t="s">
        <v>7278</v>
      </c>
      <c r="G382" t="s">
        <v>7279</v>
      </c>
      <c r="H382" t="s">
        <v>7280</v>
      </c>
      <c r="I382" t="s">
        <v>7281</v>
      </c>
      <c r="J382" t="s">
        <v>7282</v>
      </c>
      <c r="K382" t="s">
        <v>7283</v>
      </c>
      <c r="L382" t="s">
        <v>7284</v>
      </c>
      <c r="M382" t="s">
        <v>7285</v>
      </c>
      <c r="N382">
        <f>-649.25253262447 -10.7553323222853 -528.193167656899</f>
        <v>-1188.2010326036543</v>
      </c>
      <c r="O382">
        <f>-673.35117331908 -161.149489102301 -494.456969725482</f>
        <v>-1328.957632146863</v>
      </c>
      <c r="P382">
        <f>-698.27111531507 -192.963572107139 -215.269796978153</f>
        <v>-1106.5044844003619</v>
      </c>
      <c r="Q382">
        <f>-490.445391510145 -118.933736185228 -287.909953418196</f>
        <v>-897.28908111356895</v>
      </c>
      <c r="R382" t="s">
        <v>7286</v>
      </c>
      <c r="S382" t="s">
        <v>7287</v>
      </c>
      <c r="T382" t="s">
        <v>7288</v>
      </c>
      <c r="U382" t="s">
        <v>7289</v>
      </c>
      <c r="V382">
        <f>-588.174131413832 -59.1462715337186 -92.4343800470077</f>
        <v>-739.75478299455835</v>
      </c>
      <c r="W382" t="s">
        <v>7290</v>
      </c>
      <c r="X382" t="s">
        <v>7291</v>
      </c>
      <c r="Y382" t="s">
        <v>7292</v>
      </c>
    </row>
    <row r="383" spans="1:25" x14ac:dyDescent="0.3">
      <c r="A383">
        <v>19100</v>
      </c>
      <c r="B383" t="s">
        <v>7293</v>
      </c>
      <c r="C383" t="s">
        <v>7294</v>
      </c>
      <c r="D383" t="s">
        <v>7295</v>
      </c>
      <c r="E383" t="s">
        <v>7296</v>
      </c>
      <c r="F383" t="s">
        <v>7297</v>
      </c>
      <c r="G383" t="s">
        <v>7298</v>
      </c>
      <c r="H383" t="s">
        <v>7299</v>
      </c>
      <c r="I383" t="s">
        <v>7300</v>
      </c>
      <c r="J383" t="s">
        <v>7301</v>
      </c>
      <c r="K383" t="s">
        <v>7302</v>
      </c>
      <c r="L383" t="s">
        <v>7303</v>
      </c>
      <c r="M383" t="s">
        <v>7304</v>
      </c>
      <c r="N383">
        <f>-648.660741553674 -9.35030606142186 -528.128897281574</f>
        <v>-1186.1399448966699</v>
      </c>
      <c r="O383">
        <f>-673.080975746205 -159.733026717189 -494.580896546608</f>
        <v>-1327.3948990100021</v>
      </c>
      <c r="P383">
        <f>-699.174508450323 -191.87467629978 -215.538498327687</f>
        <v>-1106.58768307779</v>
      </c>
      <c r="Q383">
        <f>-491.497735222017 -116.618273062616 -287.339328122658</f>
        <v>-895.45533640729104</v>
      </c>
      <c r="R383" t="s">
        <v>7305</v>
      </c>
      <c r="S383" t="s">
        <v>7306</v>
      </c>
      <c r="T383" t="s">
        <v>7307</v>
      </c>
      <c r="U383" t="s">
        <v>7308</v>
      </c>
      <c r="V383">
        <f>-587.41676151077 -58.4314327642685 -92.3416966830376</f>
        <v>-738.18989095807615</v>
      </c>
      <c r="W383" t="s">
        <v>7309</v>
      </c>
      <c r="X383" t="s">
        <v>7310</v>
      </c>
      <c r="Y383" t="s">
        <v>7311</v>
      </c>
    </row>
    <row r="384" spans="1:25" x14ac:dyDescent="0.3">
      <c r="A384">
        <v>19150</v>
      </c>
      <c r="B384" t="s">
        <v>7312</v>
      </c>
      <c r="C384" t="s">
        <v>7313</v>
      </c>
      <c r="D384" t="s">
        <v>7314</v>
      </c>
      <c r="E384" t="s">
        <v>7315</v>
      </c>
      <c r="F384" t="s">
        <v>7316</v>
      </c>
      <c r="G384" t="s">
        <v>7317</v>
      </c>
      <c r="H384" t="s">
        <v>7318</v>
      </c>
      <c r="I384" t="s">
        <v>7319</v>
      </c>
      <c r="J384" t="s">
        <v>7320</v>
      </c>
      <c r="K384" t="s">
        <v>7321</v>
      </c>
      <c r="L384" t="s">
        <v>7322</v>
      </c>
      <c r="M384" t="s">
        <v>7323</v>
      </c>
      <c r="N384">
        <f>-648.256046578419 -8.85670796606541 -528.08935468124</f>
        <v>-1185.2021092257246</v>
      </c>
      <c r="O384">
        <f>-672.913788445192 -159.205995027532 -494.599115766306</f>
        <v>-1326.7188992390302</v>
      </c>
      <c r="P384">
        <f>-699.581059626824 -191.064256861359 -215.578531634796</f>
        <v>-1106.223848122979</v>
      </c>
      <c r="Q384">
        <f>-492.164909693982 -115.132655820959 -287.422170209557</f>
        <v>-894.71973572449792</v>
      </c>
      <c r="R384" t="s">
        <v>7324</v>
      </c>
      <c r="S384" t="s">
        <v>7325</v>
      </c>
      <c r="T384" t="s">
        <v>7326</v>
      </c>
      <c r="U384" t="s">
        <v>7327</v>
      </c>
      <c r="V384">
        <f>-587.1259004034 -58.1088434784631 -92.2935130185153</f>
        <v>-737.52825690037844</v>
      </c>
      <c r="W384" t="s">
        <v>7328</v>
      </c>
      <c r="X384" t="s">
        <v>7329</v>
      </c>
      <c r="Y384" t="s">
        <v>7330</v>
      </c>
    </row>
    <row r="385" spans="1:25" x14ac:dyDescent="0.3">
      <c r="A385">
        <v>19200</v>
      </c>
      <c r="B385" t="s">
        <v>7331</v>
      </c>
      <c r="C385" t="s">
        <v>7332</v>
      </c>
      <c r="D385" t="s">
        <v>7333</v>
      </c>
      <c r="E385" t="s">
        <v>7334</v>
      </c>
      <c r="F385" t="s">
        <v>7335</v>
      </c>
      <c r="G385" t="s">
        <v>7336</v>
      </c>
      <c r="H385" t="s">
        <v>7337</v>
      </c>
      <c r="I385" t="s">
        <v>7338</v>
      </c>
      <c r="J385" t="s">
        <v>7339</v>
      </c>
      <c r="K385" t="s">
        <v>7340</v>
      </c>
      <c r="L385" t="s">
        <v>7341</v>
      </c>
      <c r="M385" t="s">
        <v>7342</v>
      </c>
      <c r="N385">
        <f>-647.542366288326 -8.30333134774196 -527.912884923889</f>
        <v>-1183.7585825599569</v>
      </c>
      <c r="O385">
        <f>-672.634292886611 -158.574620668759 -494.358429072244</f>
        <v>-1325.5673426276139</v>
      </c>
      <c r="P385">
        <f>-700.031221456409 -190.261392101708 -215.388866608696</f>
        <v>-1105.6814801668129</v>
      </c>
      <c r="Q385">
        <f>-492.392035788375 -114.12747714792 -286.368832080417</f>
        <v>-892.88834501671204</v>
      </c>
      <c r="R385" t="s">
        <v>7343</v>
      </c>
      <c r="S385" t="s">
        <v>7344</v>
      </c>
      <c r="T385" t="s">
        <v>7345</v>
      </c>
      <c r="U385" t="s">
        <v>7346</v>
      </c>
      <c r="V385">
        <f>-586.486746783793 -57.5301300386186 -92.2076709608039</f>
        <v>-736.22454778321548</v>
      </c>
      <c r="W385" t="s">
        <v>7347</v>
      </c>
      <c r="X385" t="s">
        <v>7348</v>
      </c>
      <c r="Y385" t="s">
        <v>7349</v>
      </c>
    </row>
    <row r="386" spans="1:25" x14ac:dyDescent="0.3">
      <c r="A386">
        <v>19250</v>
      </c>
      <c r="B386" t="s">
        <v>7350</v>
      </c>
      <c r="C386" t="s">
        <v>7351</v>
      </c>
      <c r="D386" t="s">
        <v>7352</v>
      </c>
      <c r="E386" t="s">
        <v>7353</v>
      </c>
      <c r="F386" t="s">
        <v>7354</v>
      </c>
      <c r="G386" t="s">
        <v>7355</v>
      </c>
      <c r="H386" t="s">
        <v>7356</v>
      </c>
      <c r="I386" t="s">
        <v>7357</v>
      </c>
      <c r="J386" t="s">
        <v>7358</v>
      </c>
      <c r="K386" t="s">
        <v>7359</v>
      </c>
      <c r="L386" t="s">
        <v>7360</v>
      </c>
      <c r="M386" t="s">
        <v>7361</v>
      </c>
      <c r="N386">
        <f>-647.139484347428 -8.04800531807564 -527.848768507743</f>
        <v>-1183.0362581732466</v>
      </c>
      <c r="O386">
        <f>-672.462817564497 -158.276764584672 -494.269304357544</f>
        <v>-1325.008886506713</v>
      </c>
      <c r="P386">
        <f>-700.112417458161 -189.866679178374 -215.313803855647</f>
        <v>-1105.2929004921818</v>
      </c>
      <c r="Q386">
        <f>-492.186976007551 -114.030900698165 -285.772825197678</f>
        <v>-891.99070190339398</v>
      </c>
      <c r="R386" t="s">
        <v>7362</v>
      </c>
      <c r="S386" t="s">
        <v>7363</v>
      </c>
      <c r="T386" t="s">
        <v>7364</v>
      </c>
      <c r="U386" t="s">
        <v>7365</v>
      </c>
      <c r="V386">
        <f>-586.130887268465 -57.318725451556 -92.1723619843337</f>
        <v>-735.62197470435478</v>
      </c>
      <c r="W386" t="s">
        <v>7366</v>
      </c>
      <c r="X386" t="s">
        <v>7367</v>
      </c>
      <c r="Y386" t="s">
        <v>7368</v>
      </c>
    </row>
    <row r="387" spans="1:25" x14ac:dyDescent="0.3">
      <c r="A387">
        <v>19300</v>
      </c>
      <c r="B387" t="s">
        <v>7369</v>
      </c>
      <c r="C387" t="s">
        <v>7370</v>
      </c>
      <c r="D387" t="s">
        <v>7371</v>
      </c>
      <c r="E387" t="s">
        <v>7372</v>
      </c>
      <c r="F387" t="s">
        <v>7373</v>
      </c>
      <c r="G387" t="s">
        <v>7374</v>
      </c>
      <c r="H387" t="s">
        <v>7375</v>
      </c>
      <c r="I387" t="s">
        <v>7376</v>
      </c>
      <c r="J387" t="s">
        <v>7377</v>
      </c>
      <c r="K387" t="s">
        <v>7378</v>
      </c>
      <c r="L387" t="s">
        <v>7379</v>
      </c>
      <c r="M387" t="s">
        <v>7380</v>
      </c>
      <c r="N387">
        <f>-646.483852400183 -7.40001290136547 -527.747477228187</f>
        <v>-1181.6313425297353</v>
      </c>
      <c r="O387">
        <f>-672.346333800232 -157.553122142151 -494.21980868108</f>
        <v>-1324.1192646234629</v>
      </c>
      <c r="P387">
        <f>-700.053796012593 -188.952737341313 -215.24848259929</f>
        <v>-1104.2550159531961</v>
      </c>
      <c r="Q387">
        <f>-491.697185693331 -113.89350423912 -285.263882873708</f>
        <v>-890.85457280615901</v>
      </c>
      <c r="R387" t="s">
        <v>7381</v>
      </c>
      <c r="S387" t="s">
        <v>7382</v>
      </c>
      <c r="T387" t="s">
        <v>7383</v>
      </c>
      <c r="U387" t="s">
        <v>7384</v>
      </c>
      <c r="V387">
        <f>-585.361913523181 -56.8814095694756 -92.106970050949</f>
        <v>-734.35029314360565</v>
      </c>
      <c r="W387" t="s">
        <v>7385</v>
      </c>
      <c r="X387" t="s">
        <v>7386</v>
      </c>
      <c r="Y387" t="s">
        <v>7387</v>
      </c>
    </row>
    <row r="388" spans="1:25" x14ac:dyDescent="0.3">
      <c r="A388">
        <v>19350</v>
      </c>
      <c r="B388" t="s">
        <v>7388</v>
      </c>
      <c r="C388" t="s">
        <v>7389</v>
      </c>
      <c r="D388" t="s">
        <v>7390</v>
      </c>
      <c r="E388" t="s">
        <v>7391</v>
      </c>
      <c r="F388" t="s">
        <v>7392</v>
      </c>
      <c r="G388" t="s">
        <v>7393</v>
      </c>
      <c r="H388" t="s">
        <v>7394</v>
      </c>
      <c r="I388" t="s">
        <v>7395</v>
      </c>
      <c r="J388" t="s">
        <v>7396</v>
      </c>
      <c r="K388" t="s">
        <v>7397</v>
      </c>
      <c r="L388" t="s">
        <v>7398</v>
      </c>
      <c r="M388" t="s">
        <v>7399</v>
      </c>
      <c r="N388">
        <f>-646.179739411045 -7.09859102418432 -527.697529337898</f>
        <v>-1180.9758597731275</v>
      </c>
      <c r="O388">
        <f>-672.356998967689 -157.197616229178 -494.216140943457</f>
        <v>-1323.770756140324</v>
      </c>
      <c r="P388">
        <f>-699.819007343542 -188.292602925768 -215.18654213578</f>
        <v>-1103.2981524050899</v>
      </c>
      <c r="Q388">
        <f>-491.22447407613 -113.942989947405 -285.25047996122</f>
        <v>-890.41794398475497</v>
      </c>
      <c r="R388" t="s">
        <v>7400</v>
      </c>
      <c r="S388" t="s">
        <v>7401</v>
      </c>
      <c r="T388" t="s">
        <v>7402</v>
      </c>
      <c r="U388" t="s">
        <v>7403</v>
      </c>
      <c r="V388">
        <f>-585.003753475513 -56.7751040276344 -92.0642885149543</f>
        <v>-733.84314601810172</v>
      </c>
      <c r="W388" t="s">
        <v>7404</v>
      </c>
      <c r="X388" t="s">
        <v>7405</v>
      </c>
      <c r="Y388" t="s">
        <v>7406</v>
      </c>
    </row>
    <row r="389" spans="1:25" x14ac:dyDescent="0.3">
      <c r="A389">
        <v>19400</v>
      </c>
      <c r="B389" t="s">
        <v>7407</v>
      </c>
      <c r="C389" t="s">
        <v>7408</v>
      </c>
      <c r="D389" t="s">
        <v>7409</v>
      </c>
      <c r="E389" t="s">
        <v>7410</v>
      </c>
      <c r="F389" t="s">
        <v>7411</v>
      </c>
      <c r="G389" t="s">
        <v>7412</v>
      </c>
      <c r="H389" t="s">
        <v>7413</v>
      </c>
      <c r="I389" t="s">
        <v>7414</v>
      </c>
      <c r="J389" t="s">
        <v>7415</v>
      </c>
      <c r="K389" t="s">
        <v>7416</v>
      </c>
      <c r="L389" t="s">
        <v>7417</v>
      </c>
      <c r="M389" t="s">
        <v>7418</v>
      </c>
      <c r="N389">
        <f>-645.417373938215 -6.58211912197908 -527.620093487734</f>
        <v>-1179.6195865479281</v>
      </c>
      <c r="O389">
        <f>-672.051541976379 -156.606207511064 -494.135687437274</f>
        <v>-1322.7934369247168</v>
      </c>
      <c r="P389">
        <f>-698.912127939154 -187.552199525434 -215.03091910076</f>
        <v>-1101.495246565348</v>
      </c>
      <c r="Q389">
        <f>-490.009452696756 -114.173160959002 -285.200323851498</f>
        <v>-889.38293750725597</v>
      </c>
      <c r="R389" t="s">
        <v>7419</v>
      </c>
      <c r="S389" t="s">
        <v>7420</v>
      </c>
      <c r="T389" t="s">
        <v>7421</v>
      </c>
      <c r="U389" t="s">
        <v>7422</v>
      </c>
      <c r="V389">
        <f>-584.339192163049 -56.4666868671363 -91.9737131859951</f>
        <v>-732.77959221618039</v>
      </c>
      <c r="W389" t="s">
        <v>7423</v>
      </c>
      <c r="X389" t="s">
        <v>7424</v>
      </c>
      <c r="Y389" t="s">
        <v>7425</v>
      </c>
    </row>
    <row r="390" spans="1:25" x14ac:dyDescent="0.3">
      <c r="A390">
        <v>19450</v>
      </c>
      <c r="B390" t="s">
        <v>7426</v>
      </c>
      <c r="C390" t="s">
        <v>7427</v>
      </c>
      <c r="D390" t="s">
        <v>7428</v>
      </c>
      <c r="E390" t="s">
        <v>7429</v>
      </c>
      <c r="F390" t="s">
        <v>7430</v>
      </c>
      <c r="G390" t="s">
        <v>7431</v>
      </c>
      <c r="H390" t="s">
        <v>7432</v>
      </c>
      <c r="I390" t="s">
        <v>7433</v>
      </c>
      <c r="J390" t="s">
        <v>7434</v>
      </c>
      <c r="K390" t="s">
        <v>7435</v>
      </c>
      <c r="L390" t="s">
        <v>7436</v>
      </c>
      <c r="M390" t="s">
        <v>7437</v>
      </c>
      <c r="N390">
        <f>-645.024917944915 -6.29761411167533 -527.607396810846</f>
        <v>-1178.9299288674365</v>
      </c>
      <c r="O390">
        <f>-671.80129721814 -156.293211749261 -494.129469011541</f>
        <v>-1322.223977978942</v>
      </c>
      <c r="P390">
        <f>-698.473393301053 -187.275744473764 -215.010845953699</f>
        <v>-1100.7599837285161</v>
      </c>
      <c r="Q390">
        <f>-489.368756195541 -114.366253255228 -285.067714740426</f>
        <v>-888.80272419119501</v>
      </c>
      <c r="R390" t="s">
        <v>7438</v>
      </c>
      <c r="S390" t="s">
        <v>7439</v>
      </c>
      <c r="T390" t="s">
        <v>7440</v>
      </c>
      <c r="U390" t="s">
        <v>7441</v>
      </c>
      <c r="V390">
        <f>-584.0464872503 -56.2552189512498 -91.9524490713686</f>
        <v>-732.25415527291841</v>
      </c>
      <c r="W390" t="s">
        <v>7442</v>
      </c>
      <c r="X390" t="s">
        <v>7443</v>
      </c>
      <c r="Y390" t="s">
        <v>7444</v>
      </c>
    </row>
    <row r="391" spans="1:25" x14ac:dyDescent="0.3">
      <c r="A391">
        <v>19500</v>
      </c>
      <c r="B391" t="s">
        <v>7445</v>
      </c>
      <c r="C391" t="s">
        <v>7446</v>
      </c>
      <c r="D391" t="s">
        <v>7447</v>
      </c>
      <c r="E391" t="s">
        <v>7448</v>
      </c>
      <c r="F391" t="s">
        <v>7449</v>
      </c>
      <c r="G391" t="s">
        <v>7450</v>
      </c>
      <c r="H391" t="s">
        <v>7451</v>
      </c>
      <c r="I391" t="s">
        <v>7452</v>
      </c>
      <c r="J391" t="s">
        <v>7453</v>
      </c>
      <c r="K391" t="s">
        <v>7454</v>
      </c>
      <c r="L391" t="s">
        <v>7455</v>
      </c>
      <c r="M391" t="s">
        <v>7456</v>
      </c>
      <c r="N391">
        <f>-643.914687351455 -5.86864961888909 -527.618664647403</f>
        <v>-1177.4020016177469</v>
      </c>
      <c r="O391">
        <f>-670.828478404616 -155.863546991722 -494.242983130276</f>
        <v>-1320.9350085266142</v>
      </c>
      <c r="P391">
        <f>-697.608874467723 -187.368033137209 -215.192994036508</f>
        <v>-1100.16990164144</v>
      </c>
      <c r="Q391">
        <f>-488.22377187078 -114.518158827023 -284.46989476477</f>
        <v>-887.21182546257296</v>
      </c>
      <c r="R391" t="s">
        <v>7457</v>
      </c>
      <c r="S391" t="s">
        <v>7458</v>
      </c>
      <c r="T391" t="s">
        <v>7459</v>
      </c>
      <c r="U391" t="s">
        <v>7460</v>
      </c>
      <c r="V391">
        <f>-583.273135861518 -56.1146014544738 -91.8898637156774</f>
        <v>-731.27760103166918</v>
      </c>
      <c r="W391" t="s">
        <v>7461</v>
      </c>
      <c r="X391" t="s">
        <v>7462</v>
      </c>
      <c r="Y391" t="s">
        <v>7463</v>
      </c>
    </row>
    <row r="392" spans="1:25" x14ac:dyDescent="0.3">
      <c r="A392">
        <v>19550</v>
      </c>
      <c r="B392" t="s">
        <v>7464</v>
      </c>
      <c r="C392" t="s">
        <v>7465</v>
      </c>
      <c r="D392" t="s">
        <v>7466</v>
      </c>
      <c r="E392" t="s">
        <v>7467</v>
      </c>
      <c r="F392" t="s">
        <v>7468</v>
      </c>
      <c r="G392" t="s">
        <v>7469</v>
      </c>
      <c r="H392" t="s">
        <v>7470</v>
      </c>
      <c r="I392" t="s">
        <v>7471</v>
      </c>
      <c r="J392" t="s">
        <v>7472</v>
      </c>
      <c r="K392" t="s">
        <v>7473</v>
      </c>
      <c r="L392" t="s">
        <v>7474</v>
      </c>
      <c r="M392" t="s">
        <v>7475</v>
      </c>
      <c r="N392">
        <f>-643.303202806559 -5.63556424574608 -527.643766661898</f>
        <v>-1176.5825337142032</v>
      </c>
      <c r="O392">
        <f>-670.276019253805 -155.640008426572 -494.344107715495</f>
        <v>-1320.2601353958719</v>
      </c>
      <c r="P392">
        <f>-697.071568447896 -187.169463978855 -215.298477727653</f>
        <v>-1099.5395101544041</v>
      </c>
      <c r="Q392">
        <f>-487.61910002377 -114.356397006575 -284.410178735754</f>
        <v>-886.38567576609898</v>
      </c>
      <c r="R392" t="s">
        <v>7476</v>
      </c>
      <c r="S392" t="s">
        <v>7477</v>
      </c>
      <c r="T392" t="s">
        <v>7478</v>
      </c>
      <c r="U392" t="s">
        <v>7479</v>
      </c>
      <c r="V392">
        <f>-582.801873787832 -56.1767994422262 -91.8734729228546</f>
        <v>-730.85214615291284</v>
      </c>
      <c r="W392" t="s">
        <v>7480</v>
      </c>
      <c r="X392" t="s">
        <v>7481</v>
      </c>
      <c r="Y392" t="s">
        <v>7482</v>
      </c>
    </row>
    <row r="393" spans="1:25" x14ac:dyDescent="0.3">
      <c r="A393">
        <v>19600</v>
      </c>
      <c r="B393" t="s">
        <v>7483</v>
      </c>
      <c r="C393" t="s">
        <v>7484</v>
      </c>
      <c r="D393" t="s">
        <v>7485</v>
      </c>
      <c r="E393" t="s">
        <v>7486</v>
      </c>
      <c r="F393" t="s">
        <v>7487</v>
      </c>
      <c r="G393" t="s">
        <v>7488</v>
      </c>
      <c r="H393" t="s">
        <v>7489</v>
      </c>
      <c r="I393" t="s">
        <v>7490</v>
      </c>
      <c r="J393" t="s">
        <v>7491</v>
      </c>
      <c r="K393" t="s">
        <v>7492</v>
      </c>
      <c r="L393" t="s">
        <v>7493</v>
      </c>
      <c r="M393" t="s">
        <v>7494</v>
      </c>
      <c r="N393">
        <f>-642.330440281375 -5.48218604950944 -527.609659173278</f>
        <v>-1175.4222855041626</v>
      </c>
      <c r="O393">
        <f>-669.295759467232 -155.513530462262 -494.448892026963</f>
        <v>-1319.2581819564571</v>
      </c>
      <c r="P393">
        <f>-695.796019642459 -187.066697509777 -215.377690964249</f>
        <v>-1098.240408116485</v>
      </c>
      <c r="Q393">
        <f>-486.46241659974 -114.103441234322 -284.691114791549</f>
        <v>-885.25697262561096</v>
      </c>
      <c r="R393" t="s">
        <v>7495</v>
      </c>
      <c r="S393" t="s">
        <v>7496</v>
      </c>
      <c r="T393" t="s">
        <v>7497</v>
      </c>
      <c r="U393" t="s">
        <v>7498</v>
      </c>
      <c r="V393">
        <f>-581.779827577476 -56.4853317417897 -91.8323770787938</f>
        <v>-730.09753639805945</v>
      </c>
      <c r="W393" t="s">
        <v>7499</v>
      </c>
      <c r="X393" t="s">
        <v>7500</v>
      </c>
      <c r="Y393" t="s">
        <v>7501</v>
      </c>
    </row>
    <row r="394" spans="1:25" x14ac:dyDescent="0.3">
      <c r="A394">
        <v>19650</v>
      </c>
      <c r="B394" t="s">
        <v>7502</v>
      </c>
      <c r="C394" t="s">
        <v>7503</v>
      </c>
      <c r="D394" t="s">
        <v>7504</v>
      </c>
      <c r="E394" t="s">
        <v>7505</v>
      </c>
      <c r="F394" t="s">
        <v>7506</v>
      </c>
      <c r="G394" t="s">
        <v>7507</v>
      </c>
      <c r="H394" t="s">
        <v>7508</v>
      </c>
      <c r="I394" t="s">
        <v>7509</v>
      </c>
      <c r="J394" t="s">
        <v>7510</v>
      </c>
      <c r="K394" t="s">
        <v>7511</v>
      </c>
      <c r="L394" t="s">
        <v>7512</v>
      </c>
      <c r="M394" t="s">
        <v>7513</v>
      </c>
      <c r="N394">
        <f>-642.035269265473 -5.3878782782856 -527.527218498934</f>
        <v>-1174.9503660426926</v>
      </c>
      <c r="O394">
        <f>-668.898391147843 -155.453498239169 -494.4191577319</f>
        <v>-1318.7710471189121</v>
      </c>
      <c r="P394">
        <f>-695.188345163834 -187.126950811766 -215.341739091702</f>
        <v>-1097.6570350673021</v>
      </c>
      <c r="Q394">
        <f>-485.998047386889 -113.882518550641 -284.790930154025</f>
        <v>-884.67149609155501</v>
      </c>
      <c r="R394" t="s">
        <v>7514</v>
      </c>
      <c r="S394" t="s">
        <v>7515</v>
      </c>
      <c r="T394" t="s">
        <v>7516</v>
      </c>
      <c r="U394" t="s">
        <v>7517</v>
      </c>
      <c r="V394">
        <f>-581.244118769671 -56.4824648736476 -91.7636843486289</f>
        <v>-729.49026799194746</v>
      </c>
      <c r="W394" t="s">
        <v>7518</v>
      </c>
      <c r="X394" t="s">
        <v>7519</v>
      </c>
      <c r="Y394" t="s">
        <v>7520</v>
      </c>
    </row>
    <row r="395" spans="1:25" x14ac:dyDescent="0.3">
      <c r="A395">
        <v>19700</v>
      </c>
      <c r="B395" t="s">
        <v>7521</v>
      </c>
      <c r="C395" t="s">
        <v>7522</v>
      </c>
      <c r="D395" t="s">
        <v>7523</v>
      </c>
      <c r="E395" t="s">
        <v>7524</v>
      </c>
      <c r="F395" t="s">
        <v>7525</v>
      </c>
      <c r="G395" t="s">
        <v>7526</v>
      </c>
      <c r="H395" t="s">
        <v>7527</v>
      </c>
      <c r="I395" t="s">
        <v>7528</v>
      </c>
      <c r="J395" t="s">
        <v>7529</v>
      </c>
      <c r="K395" t="s">
        <v>7530</v>
      </c>
      <c r="L395" t="s">
        <v>7531</v>
      </c>
      <c r="M395" t="s">
        <v>7532</v>
      </c>
      <c r="N395">
        <f>-641.594546752425 -5.02438777457951 -527.345494606343</f>
        <v>-1173.9644291333475</v>
      </c>
      <c r="O395">
        <f>-668.005299203892 -155.200632140553 -494.382617995169</f>
        <v>-1317.588549339614</v>
      </c>
      <c r="P395">
        <f>-693.893925815819 -187.379432194278 -215.325457618535</f>
        <v>-1096.5988156286321</v>
      </c>
      <c r="Q395">
        <f>-485.24224067693 -113.029559223167 -285.219001203711</f>
        <v>-883.49080110380805</v>
      </c>
      <c r="R395" t="s">
        <v>7533</v>
      </c>
      <c r="S395" t="s">
        <v>7534</v>
      </c>
      <c r="T395" t="s">
        <v>7535</v>
      </c>
      <c r="U395" t="s">
        <v>7536</v>
      </c>
      <c r="V395">
        <f>-580.143952836703 -56.0198421055079 -91.5806043158209</f>
        <v>-727.74439925803176</v>
      </c>
      <c r="W395" t="s">
        <v>7537</v>
      </c>
      <c r="X395" t="s">
        <v>7538</v>
      </c>
      <c r="Y395" t="s">
        <v>7539</v>
      </c>
    </row>
    <row r="396" spans="1:25" x14ac:dyDescent="0.3">
      <c r="A396">
        <v>19750</v>
      </c>
      <c r="B396" t="s">
        <v>7540</v>
      </c>
      <c r="C396" t="s">
        <v>7541</v>
      </c>
      <c r="D396" t="s">
        <v>7542</v>
      </c>
      <c r="E396" t="s">
        <v>7543</v>
      </c>
      <c r="F396" t="s">
        <v>7544</v>
      </c>
      <c r="G396" t="s">
        <v>7545</v>
      </c>
      <c r="H396" t="s">
        <v>7546</v>
      </c>
      <c r="I396" t="s">
        <v>7547</v>
      </c>
      <c r="J396" t="s">
        <v>7548</v>
      </c>
      <c r="K396" t="s">
        <v>7549</v>
      </c>
      <c r="L396" t="s">
        <v>7550</v>
      </c>
      <c r="M396" t="s">
        <v>7551</v>
      </c>
      <c r="N396">
        <f>-641.445254834205 -4.85929235549497 -527.24881051433</f>
        <v>-1173.5533577040301</v>
      </c>
      <c r="O396">
        <f>-667.499659997195 -155.111173462546 -494.356774412032</f>
        <v>-1316.967607871773</v>
      </c>
      <c r="P396">
        <f>-693.186430823918 -187.474165883373 -215.302293015947</f>
        <v>-1095.962889723238</v>
      </c>
      <c r="Q396">
        <f>-484.840060395554 -112.535897944098 -285.477738666309</f>
        <v>-882.85369700596107</v>
      </c>
      <c r="R396" t="s">
        <v>7552</v>
      </c>
      <c r="S396" t="s">
        <v>7553</v>
      </c>
      <c r="T396" t="s">
        <v>7554</v>
      </c>
      <c r="U396" t="s">
        <v>7555</v>
      </c>
      <c r="V396">
        <f>-579.563514142769 -55.6456471789345 -91.4840524304309</f>
        <v>-726.6932137521344</v>
      </c>
      <c r="W396" t="s">
        <v>7556</v>
      </c>
      <c r="X396" t="s">
        <v>7557</v>
      </c>
      <c r="Y396" t="s">
        <v>7558</v>
      </c>
    </row>
    <row r="397" spans="1:25" x14ac:dyDescent="0.3">
      <c r="A397">
        <v>19800</v>
      </c>
      <c r="B397" t="s">
        <v>7559</v>
      </c>
      <c r="C397" t="s">
        <v>7560</v>
      </c>
      <c r="D397" t="s">
        <v>7561</v>
      </c>
      <c r="E397" t="s">
        <v>7562</v>
      </c>
      <c r="F397" t="s">
        <v>7563</v>
      </c>
      <c r="G397" t="s">
        <v>7564</v>
      </c>
      <c r="H397" t="s">
        <v>7565</v>
      </c>
      <c r="I397" t="s">
        <v>7566</v>
      </c>
      <c r="J397" t="s">
        <v>7567</v>
      </c>
      <c r="K397" t="s">
        <v>7568</v>
      </c>
      <c r="L397" t="s">
        <v>7569</v>
      </c>
      <c r="M397" t="s">
        <v>7570</v>
      </c>
      <c r="N397">
        <f>-641.293157207138 -5.00712977419607 -527.041708544238</f>
        <v>-1173.3419955255722</v>
      </c>
      <c r="O397">
        <f>-666.651935473868 -155.354791909617 -494.066809708742</f>
        <v>-1316.0735370922271</v>
      </c>
      <c r="P397">
        <f>-691.728319761447 -187.601703858208 -214.943388467886</f>
        <v>-1094.2734120875409</v>
      </c>
      <c r="Q397">
        <f>-483.875763422085 -112.078001965914 -285.950856804455</f>
        <v>-881.9046221924541</v>
      </c>
      <c r="R397" t="s">
        <v>7571</v>
      </c>
      <c r="S397" t="s">
        <v>7572</v>
      </c>
      <c r="T397" t="s">
        <v>7573</v>
      </c>
      <c r="U397" t="s">
        <v>7574</v>
      </c>
      <c r="V397">
        <f>-578.3857999401 -55.3074916142677 -91.3403524840361</f>
        <v>-725.03364403840385</v>
      </c>
      <c r="W397" t="s">
        <v>7575</v>
      </c>
      <c r="X397" t="s">
        <v>7576</v>
      </c>
      <c r="Y397" t="s">
        <v>7577</v>
      </c>
    </row>
    <row r="398" spans="1:25" x14ac:dyDescent="0.3">
      <c r="A398">
        <v>19850</v>
      </c>
      <c r="B398" t="s">
        <v>7578</v>
      </c>
      <c r="C398" t="s">
        <v>7579</v>
      </c>
      <c r="D398" t="s">
        <v>7580</v>
      </c>
      <c r="E398" t="s">
        <v>7581</v>
      </c>
      <c r="F398" t="s">
        <v>7582</v>
      </c>
      <c r="G398" t="s">
        <v>7583</v>
      </c>
      <c r="H398" t="s">
        <v>7584</v>
      </c>
      <c r="I398" t="s">
        <v>7585</v>
      </c>
      <c r="J398" t="s">
        <v>7586</v>
      </c>
      <c r="K398" t="s">
        <v>7587</v>
      </c>
      <c r="L398" t="s">
        <v>7588</v>
      </c>
      <c r="M398" t="s">
        <v>7589</v>
      </c>
      <c r="N398">
        <f>-641.188072202236 -5.39252540820257 -526.942503530759</f>
        <v>-1173.5231011411975</v>
      </c>
      <c r="O398">
        <f>-666.345894751665 -155.739209800062 -493.797854317829</f>
        <v>-1315.882958869556</v>
      </c>
      <c r="P398">
        <f>-691.096424869156 -187.812628435906 -214.625298569169</f>
        <v>-1093.5343518742309</v>
      </c>
      <c r="Q398">
        <f>-483.405765205349 -112.193418177943 -286.003560113248</f>
        <v>-881.60274349654003</v>
      </c>
      <c r="R398" t="s">
        <v>7590</v>
      </c>
      <c r="S398" t="s">
        <v>7591</v>
      </c>
      <c r="T398" t="s">
        <v>7592</v>
      </c>
      <c r="U398" t="s">
        <v>7593</v>
      </c>
      <c r="V398">
        <f>-577.83495348317 -55.4942222777806 -91.2929127974517</f>
        <v>-724.62208855840231</v>
      </c>
      <c r="W398" t="s">
        <v>7594</v>
      </c>
      <c r="X398" t="s">
        <v>7595</v>
      </c>
      <c r="Y398" t="s">
        <v>7596</v>
      </c>
    </row>
    <row r="399" spans="1:25" x14ac:dyDescent="0.3">
      <c r="A399">
        <v>19900</v>
      </c>
      <c r="B399" t="s">
        <v>7597</v>
      </c>
      <c r="C399" t="s">
        <v>7598</v>
      </c>
      <c r="D399" t="s">
        <v>7599</v>
      </c>
      <c r="E399" t="s">
        <v>7600</v>
      </c>
      <c r="F399" t="s">
        <v>7601</v>
      </c>
      <c r="G399" t="s">
        <v>7602</v>
      </c>
      <c r="H399" t="s">
        <v>7603</v>
      </c>
      <c r="I399" t="s">
        <v>7604</v>
      </c>
      <c r="J399" t="s">
        <v>7605</v>
      </c>
      <c r="K399" t="s">
        <v>7606</v>
      </c>
      <c r="L399" t="s">
        <v>7607</v>
      </c>
      <c r="M399" t="s">
        <v>7608</v>
      </c>
      <c r="N399">
        <f>-639.884295720997 -6.57845362584317 -526.905960784107</f>
        <v>-1173.3687101309472</v>
      </c>
      <c r="O399">
        <f>-664.881910587518 -156.899792010267 -493.511070123898</f>
        <v>-1315.2927727216829</v>
      </c>
      <c r="P399">
        <f>-689.71946134022 -188.141378227323 -214.252048718474</f>
        <v>-1092.1128882860171</v>
      </c>
      <c r="Q399">
        <f>-482.050905763344 -112.9743575137 -286.170024698425</f>
        <v>-881.195287975469</v>
      </c>
      <c r="R399" t="s">
        <v>7609</v>
      </c>
      <c r="S399" t="s">
        <v>7610</v>
      </c>
      <c r="T399" t="s">
        <v>7611</v>
      </c>
      <c r="U399" t="s">
        <v>7612</v>
      </c>
      <c r="V399">
        <f>-576.889808188992 -56.1323622827126 -91.191355662191</f>
        <v>-724.21352613389558</v>
      </c>
      <c r="W399" t="s">
        <v>7613</v>
      </c>
      <c r="X399" t="s">
        <v>7614</v>
      </c>
      <c r="Y399" t="s">
        <v>7615</v>
      </c>
    </row>
    <row r="400" spans="1:25" x14ac:dyDescent="0.3">
      <c r="A400">
        <v>19950</v>
      </c>
      <c r="B400" t="s">
        <v>7616</v>
      </c>
      <c r="C400" t="s">
        <v>7617</v>
      </c>
      <c r="D400" t="s">
        <v>7618</v>
      </c>
      <c r="E400" t="s">
        <v>7619</v>
      </c>
      <c r="F400" t="s">
        <v>7620</v>
      </c>
      <c r="G400" t="s">
        <v>7621</v>
      </c>
      <c r="H400" t="s">
        <v>7622</v>
      </c>
      <c r="I400" t="s">
        <v>7623</v>
      </c>
      <c r="J400" t="s">
        <v>7624</v>
      </c>
      <c r="K400" t="s">
        <v>7625</v>
      </c>
      <c r="L400" t="s">
        <v>7626</v>
      </c>
      <c r="M400" t="s">
        <v>7627</v>
      </c>
      <c r="N400">
        <f>-639.07321041036 -7.23179716812615 -526.925439065008</f>
        <v>-1173.2304466434944</v>
      </c>
      <c r="O400">
        <f>-663.978112617491 -157.567105668538 -493.519151777896</f>
        <v>-1315.064370063925</v>
      </c>
      <c r="P400">
        <f>-689.235163565295 -188.426235051383 -214.255052973337</f>
        <v>-1091.9164515900152</v>
      </c>
      <c r="Q400">
        <f>-481.430483830928 -113.628153971679 -286.164991222613</f>
        <v>-881.22362902522002</v>
      </c>
      <c r="R400" t="s">
        <v>7628</v>
      </c>
      <c r="S400" t="s">
        <v>7629</v>
      </c>
      <c r="T400" t="s">
        <v>7630</v>
      </c>
      <c r="U400" t="s">
        <v>7631</v>
      </c>
      <c r="V400">
        <f>-576.469024204039 -56.5185528482089 -91.1426881521579</f>
        <v>-724.13026520440576</v>
      </c>
      <c r="W400" t="s">
        <v>7632</v>
      </c>
      <c r="X400" t="s">
        <v>7633</v>
      </c>
      <c r="Y400" t="s">
        <v>7634</v>
      </c>
    </row>
    <row r="401" spans="1:25" x14ac:dyDescent="0.3">
      <c r="A401">
        <v>20000</v>
      </c>
      <c r="B401" t="s">
        <v>7635</v>
      </c>
      <c r="C401" t="s">
        <v>7636</v>
      </c>
      <c r="D401" t="s">
        <v>7637</v>
      </c>
      <c r="E401" t="s">
        <v>7638</v>
      </c>
      <c r="F401" t="s">
        <v>7639</v>
      </c>
      <c r="G401" t="s">
        <v>7640</v>
      </c>
      <c r="H401" t="s">
        <v>7641</v>
      </c>
      <c r="I401" t="s">
        <v>7642</v>
      </c>
      <c r="J401" t="s">
        <v>7643</v>
      </c>
      <c r="K401" t="s">
        <v>7644</v>
      </c>
      <c r="L401" t="s">
        <v>7645</v>
      </c>
      <c r="M401" t="s">
        <v>7646</v>
      </c>
      <c r="N401">
        <f>-637.772667031372 -8.25787982430575 -526.944856883279</f>
        <v>-1172.9754037389566</v>
      </c>
      <c r="O401">
        <f>-662.622383449353 -158.614180263314 -493.567842769094</f>
        <v>-1314.8044064817609</v>
      </c>
      <c r="P401">
        <f>-688.067764240626 -189.291573102425 -214.300866756044</f>
        <v>-1091.6602040990952</v>
      </c>
      <c r="Q401">
        <f>-479.904108533241 -115.202749606942 -285.906079228317</f>
        <v>-881.01293736850005</v>
      </c>
      <c r="R401" t="s">
        <v>7647</v>
      </c>
      <c r="S401" t="s">
        <v>7648</v>
      </c>
      <c r="T401" t="s">
        <v>7649</v>
      </c>
      <c r="U401" t="s">
        <v>7650</v>
      </c>
      <c r="V401">
        <f>-575.550860073242 -57.416671317236 -91.1000637687038</f>
        <v>-724.06759515918179</v>
      </c>
      <c r="W401" t="s">
        <v>7651</v>
      </c>
      <c r="X401" t="s">
        <v>7652</v>
      </c>
      <c r="Y401" t="s">
        <v>7653</v>
      </c>
    </row>
    <row r="402" spans="1:25" x14ac:dyDescent="0.3">
      <c r="A402">
        <v>20050</v>
      </c>
      <c r="B402" t="s">
        <v>7654</v>
      </c>
      <c r="C402" t="s">
        <v>7655</v>
      </c>
      <c r="D402" t="s">
        <v>7656</v>
      </c>
      <c r="E402" t="s">
        <v>7657</v>
      </c>
      <c r="F402" t="s">
        <v>7658</v>
      </c>
      <c r="G402" t="s">
        <v>7659</v>
      </c>
      <c r="H402" t="s">
        <v>7660</v>
      </c>
      <c r="I402" t="s">
        <v>7661</v>
      </c>
      <c r="J402" t="s">
        <v>7662</v>
      </c>
      <c r="K402" t="s">
        <v>7663</v>
      </c>
      <c r="L402" t="s">
        <v>7664</v>
      </c>
      <c r="M402" t="s">
        <v>7665</v>
      </c>
      <c r="N402">
        <f>-637.069423046897 -8.74896994741789 -526.93764802986</f>
        <v>-1172.7560410241749</v>
      </c>
      <c r="O402">
        <f>-662.06461131778 -159.069097484257 -493.512937336436</f>
        <v>-1314.646646138473</v>
      </c>
      <c r="P402">
        <f>-687.210700616968 -189.721696992098 -214.216093881317</f>
        <v>-1091.1484914903831</v>
      </c>
      <c r="Q402">
        <f>-478.903078202653 -116.143247378608 -285.92872784445</f>
        <v>-880.97505342571094</v>
      </c>
      <c r="R402" t="s">
        <v>7666</v>
      </c>
      <c r="S402" t="s">
        <v>7667</v>
      </c>
      <c r="T402" t="s">
        <v>7668</v>
      </c>
      <c r="U402" t="s">
        <v>7669</v>
      </c>
      <c r="V402">
        <f>-575.040351770499 -57.9024219878709 -91.0915043906728</f>
        <v>-724.03427814904262</v>
      </c>
      <c r="W402" t="s">
        <v>7670</v>
      </c>
      <c r="X402" t="s">
        <v>7671</v>
      </c>
      <c r="Y402" t="s">
        <v>7672</v>
      </c>
    </row>
    <row r="403" spans="1:25" x14ac:dyDescent="0.3">
      <c r="A403">
        <v>20100</v>
      </c>
      <c r="B403" t="s">
        <v>7673</v>
      </c>
      <c r="C403" t="s">
        <v>7674</v>
      </c>
      <c r="D403" t="s">
        <v>7675</v>
      </c>
      <c r="E403" t="s">
        <v>7676</v>
      </c>
      <c r="F403" t="s">
        <v>7677</v>
      </c>
      <c r="G403" t="s">
        <v>7678</v>
      </c>
      <c r="H403" t="s">
        <v>7679</v>
      </c>
      <c r="I403" t="s">
        <v>7680</v>
      </c>
      <c r="J403" t="s">
        <v>7681</v>
      </c>
      <c r="K403" t="s">
        <v>7682</v>
      </c>
      <c r="L403" t="s">
        <v>7683</v>
      </c>
      <c r="M403" t="s">
        <v>7684</v>
      </c>
      <c r="N403">
        <f>-635.069819463377 -9.14676650158049 -526.995608781433</f>
        <v>-1171.2121947463907</v>
      </c>
      <c r="O403">
        <f>-660.67252614573 -159.323266996778 -493.397517345825</f>
        <v>-1313.3933104883331</v>
      </c>
      <c r="P403">
        <f>-685.46081138273 -189.813561181711 -214.050916493881</f>
        <v>-1089.3252890583219</v>
      </c>
      <c r="Q403">
        <f>-476.893672297049 -117.636537521017 -286.43031861749</f>
        <v>-880.96052843555606</v>
      </c>
      <c r="R403" t="s">
        <v>7685</v>
      </c>
      <c r="S403" t="s">
        <v>7686</v>
      </c>
      <c r="T403" t="s">
        <v>7687</v>
      </c>
      <c r="U403" t="s">
        <v>7688</v>
      </c>
      <c r="V403">
        <f>-574.155504931364 -58.6520462854262 -91.0639255480666</f>
        <v>-723.87147676485688</v>
      </c>
      <c r="W403" t="s">
        <v>7689</v>
      </c>
      <c r="X403" t="s">
        <v>7690</v>
      </c>
      <c r="Y403" t="s">
        <v>7691</v>
      </c>
    </row>
    <row r="404" spans="1:25" x14ac:dyDescent="0.3">
      <c r="A404">
        <v>20150</v>
      </c>
      <c r="B404" t="s">
        <v>7692</v>
      </c>
      <c r="C404" t="s">
        <v>7693</v>
      </c>
      <c r="D404" t="s">
        <v>7694</v>
      </c>
      <c r="E404" t="s">
        <v>7695</v>
      </c>
      <c r="F404" t="s">
        <v>7696</v>
      </c>
      <c r="G404" t="s">
        <v>7697</v>
      </c>
      <c r="H404" t="s">
        <v>7698</v>
      </c>
      <c r="I404" t="s">
        <v>7699</v>
      </c>
      <c r="J404" t="s">
        <v>7700</v>
      </c>
      <c r="K404" t="s">
        <v>7701</v>
      </c>
      <c r="L404" t="s">
        <v>7702</v>
      </c>
      <c r="M404" t="s">
        <v>7703</v>
      </c>
      <c r="N404">
        <f>-633.9282559189 -9.28546679736405 -527.007431265903</f>
        <v>-1170.2211539821672</v>
      </c>
      <c r="O404">
        <f>-659.80609861097 -159.407714728274 -493.359630908275</f>
        <v>-1312.5734442475191</v>
      </c>
      <c r="P404">
        <f>-684.774070768458 -189.602100978004 -213.996991934293</f>
        <v>-1088.3731636807549</v>
      </c>
      <c r="Q404">
        <f>-476.100819170949 -118.228382041525 -286.865344000851</f>
        <v>-881.194545213325</v>
      </c>
      <c r="R404" t="s">
        <v>7704</v>
      </c>
      <c r="S404" t="s">
        <v>7705</v>
      </c>
      <c r="T404" t="s">
        <v>7706</v>
      </c>
      <c r="U404" t="s">
        <v>7707</v>
      </c>
      <c r="V404">
        <f>-573.711434280604 -58.8782983342876 -91.0412357053892</f>
        <v>-723.63096832028077</v>
      </c>
      <c r="W404" t="s">
        <v>7708</v>
      </c>
      <c r="X404" t="s">
        <v>7709</v>
      </c>
      <c r="Y404" t="s">
        <v>7710</v>
      </c>
    </row>
    <row r="405" spans="1:25" x14ac:dyDescent="0.3">
      <c r="A405">
        <v>20200</v>
      </c>
      <c r="B405" t="s">
        <v>7711</v>
      </c>
      <c r="C405" t="s">
        <v>7712</v>
      </c>
      <c r="D405" t="s">
        <v>7713</v>
      </c>
      <c r="E405" t="s">
        <v>7714</v>
      </c>
      <c r="F405" t="s">
        <v>7715</v>
      </c>
      <c r="G405" t="s">
        <v>7716</v>
      </c>
      <c r="H405" t="s">
        <v>7717</v>
      </c>
      <c r="I405" t="s">
        <v>7718</v>
      </c>
      <c r="J405" t="s">
        <v>7719</v>
      </c>
      <c r="K405" t="s">
        <v>7720</v>
      </c>
      <c r="L405" t="s">
        <v>7721</v>
      </c>
      <c r="M405" t="s">
        <v>7722</v>
      </c>
      <c r="N405">
        <f>-630.772206966776 -8.29368194867789 -527.287196489252</f>
        <v>-1166.3530854047058</v>
      </c>
      <c r="O405">
        <f>-657.388198561692 -158.277196140455 -493.660731031483</f>
        <v>-1309.3261257336299</v>
      </c>
      <c r="P405">
        <f>-682.727117021888 -187.96550308067 -214.277324895371</f>
        <v>-1084.9699449979291</v>
      </c>
      <c r="Q405">
        <f>-473.765413355284 -118.146221354809 -287.821694608234</f>
        <v>-879.73332931832704</v>
      </c>
      <c r="R405" t="s">
        <v>7723</v>
      </c>
      <c r="S405" t="s">
        <v>7724</v>
      </c>
      <c r="T405" t="s">
        <v>7725</v>
      </c>
      <c r="U405" t="s">
        <v>7726</v>
      </c>
      <c r="V405">
        <f>-572.584674684441 -58.9646388807535 -91.0131938848292</f>
        <v>-722.56250745002365</v>
      </c>
      <c r="W405" t="s">
        <v>7727</v>
      </c>
      <c r="X405" t="s">
        <v>7728</v>
      </c>
      <c r="Y405" t="s">
        <v>7729</v>
      </c>
    </row>
    <row r="406" spans="1:25" x14ac:dyDescent="0.3">
      <c r="A406">
        <v>20250</v>
      </c>
      <c r="B406" t="s">
        <v>7730</v>
      </c>
      <c r="C406" t="s">
        <v>7731</v>
      </c>
      <c r="D406" t="s">
        <v>7732</v>
      </c>
      <c r="E406" t="s">
        <v>7733</v>
      </c>
      <c r="F406" t="s">
        <v>7734</v>
      </c>
      <c r="G406" t="s">
        <v>7735</v>
      </c>
      <c r="H406" t="s">
        <v>7736</v>
      </c>
      <c r="I406" t="s">
        <v>7737</v>
      </c>
      <c r="J406" t="s">
        <v>7738</v>
      </c>
      <c r="K406" t="s">
        <v>7739</v>
      </c>
      <c r="L406" t="s">
        <v>7740</v>
      </c>
      <c r="M406" t="s">
        <v>7741</v>
      </c>
      <c r="N406">
        <f>-629.041958725647 -7.85057060612257 -527.435447104977</f>
        <v>-1164.3279764367467</v>
      </c>
      <c r="O406">
        <f>-655.530797145608 -157.877340575031 -493.948600717484</f>
        <v>-1307.3567384381229</v>
      </c>
      <c r="P406">
        <f>-681.683921358162 -187.515411979868 -214.634860234283</f>
        <v>-1083.8341935723129</v>
      </c>
      <c r="Q406">
        <f>-472.517790333991 -118.315648081499 -288.18395618967</f>
        <v>-879.01739460516001</v>
      </c>
      <c r="R406" t="s">
        <v>7742</v>
      </c>
      <c r="S406" t="s">
        <v>7743</v>
      </c>
      <c r="T406" t="s">
        <v>7744</v>
      </c>
      <c r="U406" t="s">
        <v>7745</v>
      </c>
      <c r="V406">
        <f>-572.034574386696 -58.8220087648381 -91.0073072766818</f>
        <v>-721.86389042821588</v>
      </c>
      <c r="W406" t="s">
        <v>7746</v>
      </c>
      <c r="X406" t="s">
        <v>7747</v>
      </c>
      <c r="Y406" t="s">
        <v>7748</v>
      </c>
    </row>
    <row r="407" spans="1:25" x14ac:dyDescent="0.3">
      <c r="A407">
        <v>20300</v>
      </c>
      <c r="B407" t="s">
        <v>7749</v>
      </c>
      <c r="C407" t="s">
        <v>7750</v>
      </c>
      <c r="D407" t="s">
        <v>7751</v>
      </c>
      <c r="E407" t="s">
        <v>7752</v>
      </c>
      <c r="F407" t="s">
        <v>7753</v>
      </c>
      <c r="G407" t="s">
        <v>7754</v>
      </c>
      <c r="H407" t="s">
        <v>7755</v>
      </c>
      <c r="I407" t="s">
        <v>7756</v>
      </c>
      <c r="J407" t="s">
        <v>7757</v>
      </c>
      <c r="K407" t="s">
        <v>7758</v>
      </c>
      <c r="L407" t="s">
        <v>7759</v>
      </c>
      <c r="M407" t="s">
        <v>7760</v>
      </c>
      <c r="N407">
        <f>-626.617508394182 -6.81291058521447 -527.666943047986</f>
        <v>-1161.0973620273826</v>
      </c>
      <c r="O407">
        <f>-652.12404304128 -157.119380679315 -494.640236175052</f>
        <v>-1303.8836598956468</v>
      </c>
      <c r="P407">
        <f>-679.722848854536 -187.528769747591 -215.548674674865</f>
        <v>-1082.8002932769921</v>
      </c>
      <c r="Q407">
        <f>-470.333304930688 -118.540399570649 -288.659098297523</f>
        <v>-877.53280279885996</v>
      </c>
      <c r="R407" t="s">
        <v>7761</v>
      </c>
      <c r="S407" t="s">
        <v>7762</v>
      </c>
      <c r="T407" t="s">
        <v>7763</v>
      </c>
      <c r="U407" t="s">
        <v>7764</v>
      </c>
      <c r="V407">
        <f>-570.719357800274 -58.62704584417 -90.9768342976231</f>
        <v>-720.32323794206707</v>
      </c>
      <c r="W407" t="s">
        <v>7765</v>
      </c>
      <c r="X407" t="s">
        <v>7766</v>
      </c>
      <c r="Y407" t="s">
        <v>7767</v>
      </c>
    </row>
    <row r="408" spans="1:25" x14ac:dyDescent="0.3">
      <c r="A408">
        <v>20350</v>
      </c>
      <c r="B408" t="s">
        <v>7768</v>
      </c>
      <c r="C408" t="s">
        <v>7769</v>
      </c>
      <c r="D408" t="s">
        <v>7770</v>
      </c>
      <c r="E408" t="s">
        <v>7771</v>
      </c>
      <c r="F408" t="s">
        <v>7772</v>
      </c>
      <c r="G408" t="s">
        <v>7773</v>
      </c>
      <c r="H408" t="s">
        <v>7774</v>
      </c>
      <c r="I408" t="s">
        <v>7775</v>
      </c>
      <c r="J408" t="s">
        <v>7776</v>
      </c>
      <c r="K408" t="s">
        <v>7777</v>
      </c>
      <c r="L408" t="s">
        <v>7778</v>
      </c>
      <c r="M408" t="s">
        <v>7779</v>
      </c>
      <c r="N408">
        <f>-625.584412469171 -6.39900289215984 -527.733061907761</f>
        <v>-1159.7164772690917</v>
      </c>
      <c r="O408">
        <f>-650.682550651381 -156.819119785215 -494.912485636377</f>
        <v>-1302.4141560729731</v>
      </c>
      <c r="P408">
        <f>-678.240227959327 -188.049093508412 -215.907404783699</f>
        <v>-1082.1967262514381</v>
      </c>
      <c r="Q408">
        <f>-468.89985526591 -118.828660522634 -288.939303124385</f>
        <v>-876.66781891292896</v>
      </c>
      <c r="R408" t="s">
        <v>7780</v>
      </c>
      <c r="S408" t="s">
        <v>7781</v>
      </c>
      <c r="T408" t="s">
        <v>7782</v>
      </c>
      <c r="U408" t="s">
        <v>7783</v>
      </c>
      <c r="V408">
        <f>-569.961435741261 -58.4859174181563 -90.9316218156138</f>
        <v>-719.37897497503104</v>
      </c>
      <c r="W408" t="s">
        <v>7784</v>
      </c>
      <c r="X408" t="s">
        <v>7785</v>
      </c>
      <c r="Y408" t="s">
        <v>7786</v>
      </c>
    </row>
    <row r="409" spans="1:25" x14ac:dyDescent="0.3">
      <c r="A409">
        <v>20400</v>
      </c>
      <c r="B409" t="s">
        <v>7787</v>
      </c>
      <c r="C409" t="s">
        <v>7788</v>
      </c>
      <c r="D409" t="s">
        <v>7789</v>
      </c>
      <c r="E409" t="s">
        <v>7790</v>
      </c>
      <c r="F409" t="s">
        <v>7791</v>
      </c>
      <c r="G409" t="s">
        <v>7792</v>
      </c>
      <c r="H409" t="s">
        <v>7793</v>
      </c>
      <c r="I409" t="s">
        <v>7794</v>
      </c>
      <c r="J409" t="s">
        <v>7795</v>
      </c>
      <c r="K409" t="s">
        <v>7796</v>
      </c>
      <c r="L409" t="s">
        <v>7797</v>
      </c>
      <c r="M409" t="s">
        <v>7798</v>
      </c>
      <c r="N409">
        <f>-623.871174710225 -5.56418005017349 -527.835054792792</f>
        <v>-1157.2704095531903</v>
      </c>
      <c r="O409">
        <f>-647.606818247276 -156.303663716601 -495.39615389559</f>
        <v>-1299.306635859467</v>
      </c>
      <c r="P409">
        <f>-675.229295059473 -188.303224996474 -216.484749566499</f>
        <v>-1080.0172696224461</v>
      </c>
      <c r="Q409">
        <f>-465.963551916335 -119.241079543506 -289.879407480339</f>
        <v>-875.08403894018011</v>
      </c>
      <c r="R409" t="s">
        <v>7799</v>
      </c>
      <c r="S409" t="s">
        <v>7800</v>
      </c>
      <c r="T409" t="s">
        <v>7801</v>
      </c>
      <c r="U409" t="s">
        <v>7802</v>
      </c>
      <c r="V409">
        <f>-568.878972476665 -57.9782445833391 -90.8558093120944</f>
        <v>-717.71302637209851</v>
      </c>
      <c r="W409" t="s">
        <v>7803</v>
      </c>
      <c r="X409" t="s">
        <v>7804</v>
      </c>
      <c r="Y409" t="s">
        <v>7805</v>
      </c>
    </row>
    <row r="410" spans="1:25" x14ac:dyDescent="0.3">
      <c r="A410">
        <v>20450</v>
      </c>
      <c r="B410" t="s">
        <v>7806</v>
      </c>
      <c r="C410" t="s">
        <v>7807</v>
      </c>
      <c r="D410" t="s">
        <v>7808</v>
      </c>
      <c r="E410" t="s">
        <v>7809</v>
      </c>
      <c r="F410" t="s">
        <v>7810</v>
      </c>
      <c r="G410" t="s">
        <v>7811</v>
      </c>
      <c r="H410" t="s">
        <v>7812</v>
      </c>
      <c r="I410" t="s">
        <v>7813</v>
      </c>
      <c r="J410" t="s">
        <v>7814</v>
      </c>
      <c r="K410" t="s">
        <v>7815</v>
      </c>
      <c r="L410" t="s">
        <v>7816</v>
      </c>
      <c r="M410" t="s">
        <v>7817</v>
      </c>
      <c r="N410">
        <f>-623.245123545071 -5.06180756715594 -527.877014186011</f>
        <v>-1156.1839452982381</v>
      </c>
      <c r="O410">
        <f>-646.211965214456 -155.97576058068 -495.752730919238</f>
        <v>-1297.940456714374</v>
      </c>
      <c r="P410">
        <f>-673.723369516787 -188.333363121251 -216.871655335859</f>
        <v>-1078.9283879738971</v>
      </c>
      <c r="Q410">
        <f>-464.690991590858 -118.952143415145 -290.629681507118</f>
        <v>-874.27281651312103</v>
      </c>
      <c r="R410" t="s">
        <v>7818</v>
      </c>
      <c r="S410" t="s">
        <v>7819</v>
      </c>
      <c r="T410" t="s">
        <v>7820</v>
      </c>
      <c r="U410" t="s">
        <v>7821</v>
      </c>
      <c r="V410">
        <f>-568.431275120397 -57.6391519897061 -90.8223669108593</f>
        <v>-716.89279402096236</v>
      </c>
      <c r="W410" t="s">
        <v>7822</v>
      </c>
      <c r="X410" t="s">
        <v>7823</v>
      </c>
      <c r="Y410" t="s">
        <v>7824</v>
      </c>
    </row>
    <row r="411" spans="1:25" x14ac:dyDescent="0.3">
      <c r="A411">
        <v>20500</v>
      </c>
      <c r="B411" t="s">
        <v>7825</v>
      </c>
      <c r="C411" t="s">
        <v>7826</v>
      </c>
      <c r="D411" t="s">
        <v>7827</v>
      </c>
      <c r="E411" t="s">
        <v>7828</v>
      </c>
      <c r="F411" t="s">
        <v>7829</v>
      </c>
      <c r="G411" t="s">
        <v>7830</v>
      </c>
      <c r="H411" t="s">
        <v>7831</v>
      </c>
      <c r="I411" t="s">
        <v>7832</v>
      </c>
      <c r="J411" t="s">
        <v>7833</v>
      </c>
      <c r="K411" t="s">
        <v>7834</v>
      </c>
      <c r="L411" t="s">
        <v>7835</v>
      </c>
      <c r="M411" t="s">
        <v>7836</v>
      </c>
      <c r="N411">
        <f>-622.676003123576 -4.49593845770369 -527.912669675042</f>
        <v>-1155.0846112563218</v>
      </c>
      <c r="O411">
        <f>-644.233208212161 -155.742437982216 -496.321425755192</f>
        <v>-1296.297071949569</v>
      </c>
      <c r="P411">
        <f>-670.906517542151 -189.448504810139 -217.518699857313</f>
        <v>-1077.8737222096031</v>
      </c>
      <c r="Q411">
        <f>-462.792690828799 -117.928211978116 -291.828948012757</f>
        <v>-872.54985081967197</v>
      </c>
      <c r="R411" t="s">
        <v>7837</v>
      </c>
      <c r="S411" t="s">
        <v>7838</v>
      </c>
      <c r="T411" t="s">
        <v>7839</v>
      </c>
      <c r="U411" t="s">
        <v>7840</v>
      </c>
      <c r="V411">
        <f>-567.910938905483 -57.0956023905394 -90.7601050429297</f>
        <v>-715.76664633895211</v>
      </c>
      <c r="W411" t="s">
        <v>7841</v>
      </c>
      <c r="X411" t="s">
        <v>7842</v>
      </c>
      <c r="Y411" t="s">
        <v>7843</v>
      </c>
    </row>
    <row r="412" spans="1:25" x14ac:dyDescent="0.3">
      <c r="A412">
        <v>20550</v>
      </c>
      <c r="B412" t="s">
        <v>7844</v>
      </c>
      <c r="C412" t="s">
        <v>7845</v>
      </c>
      <c r="D412" t="s">
        <v>7846</v>
      </c>
      <c r="E412" t="s">
        <v>7847</v>
      </c>
      <c r="F412" t="s">
        <v>7848</v>
      </c>
      <c r="G412" t="s">
        <v>7849</v>
      </c>
      <c r="H412" t="s">
        <v>7850</v>
      </c>
      <c r="I412" t="s">
        <v>7851</v>
      </c>
      <c r="J412" t="s">
        <v>7852</v>
      </c>
      <c r="K412" t="s">
        <v>7853</v>
      </c>
      <c r="L412" t="s">
        <v>7854</v>
      </c>
      <c r="M412" t="s">
        <v>7855</v>
      </c>
      <c r="N412">
        <f>-622.704358173502 -4.41087350381099 -527.882232763456</f>
        <v>-1154.9974644407689</v>
      </c>
      <c r="O412">
        <f>-643.775253054479 -155.751184830558 -496.441068298302</f>
        <v>-1295.9675061833391</v>
      </c>
      <c r="P412">
        <f>-669.825258315028 -190.18454779473 -217.668147510906</f>
        <v>-1077.6779536206641</v>
      </c>
      <c r="Q412">
        <f>-462.208690553411 -117.250154821603 -291.994930603676</f>
        <v>-871.45377597868992</v>
      </c>
      <c r="R412" t="s">
        <v>7856</v>
      </c>
      <c r="S412" t="s">
        <v>7857</v>
      </c>
      <c r="T412" t="s">
        <v>7858</v>
      </c>
      <c r="U412" t="s">
        <v>7859</v>
      </c>
      <c r="V412">
        <f>-567.791516583593 -56.9294911927516 -90.7192773600957</f>
        <v>-715.44028513644025</v>
      </c>
      <c r="W412" t="s">
        <v>7860</v>
      </c>
      <c r="X412" t="s">
        <v>7861</v>
      </c>
      <c r="Y412" t="s">
        <v>7862</v>
      </c>
    </row>
    <row r="413" spans="1:25" x14ac:dyDescent="0.3">
      <c r="A413">
        <v>20600</v>
      </c>
      <c r="B413" t="s">
        <v>7863</v>
      </c>
      <c r="C413" t="s">
        <v>7864</v>
      </c>
      <c r="D413" t="s">
        <v>7865</v>
      </c>
      <c r="E413" t="s">
        <v>7866</v>
      </c>
      <c r="F413" t="s">
        <v>7867</v>
      </c>
      <c r="G413" t="s">
        <v>7868</v>
      </c>
      <c r="H413" t="s">
        <v>7869</v>
      </c>
      <c r="I413" t="s">
        <v>7870</v>
      </c>
      <c r="J413" t="s">
        <v>7871</v>
      </c>
      <c r="K413" t="s">
        <v>7872</v>
      </c>
      <c r="L413" t="s">
        <v>7873</v>
      </c>
      <c r="M413" t="s">
        <v>7874</v>
      </c>
      <c r="N413">
        <f>-622.823340327412 -4.73710550455257 -527.796069407313</f>
        <v>-1155.3565152392775</v>
      </c>
      <c r="O413">
        <f>-643.269737889897 -156.169690570442 -496.375695631895</f>
        <v>-1295.8151240922339</v>
      </c>
      <c r="P413">
        <f>-668.542537534641 -191.051745324293 -217.587089495817</f>
        <v>-1077.1813723547511</v>
      </c>
      <c r="Q413">
        <f>-461.684118865359 -115.797951481394 -291.715279541507</f>
        <v>-869.19734988825996</v>
      </c>
      <c r="R413" t="s">
        <v>7875</v>
      </c>
      <c r="S413" t="s">
        <v>7876</v>
      </c>
      <c r="T413" t="s">
        <v>7877</v>
      </c>
      <c r="U413" t="s">
        <v>7878</v>
      </c>
      <c r="V413">
        <f>-567.776058931903 -56.7842542627382 -90.6777283796341</f>
        <v>-715.23804157427526</v>
      </c>
      <c r="W413" t="s">
        <v>7879</v>
      </c>
      <c r="X413" t="s">
        <v>7880</v>
      </c>
      <c r="Y413" t="s">
        <v>7881</v>
      </c>
    </row>
    <row r="414" spans="1:25" x14ac:dyDescent="0.3">
      <c r="A414">
        <v>20650</v>
      </c>
      <c r="B414" t="s">
        <v>7882</v>
      </c>
      <c r="C414" t="s">
        <v>7883</v>
      </c>
      <c r="D414" t="s">
        <v>7884</v>
      </c>
      <c r="E414" t="s">
        <v>7885</v>
      </c>
      <c r="F414" t="s">
        <v>7886</v>
      </c>
      <c r="G414" t="s">
        <v>7887</v>
      </c>
      <c r="H414" t="s">
        <v>7888</v>
      </c>
      <c r="I414" t="s">
        <v>7889</v>
      </c>
      <c r="J414" t="s">
        <v>7890</v>
      </c>
      <c r="K414" t="s">
        <v>7891</v>
      </c>
      <c r="L414" t="s">
        <v>7892</v>
      </c>
      <c r="M414" t="s">
        <v>7893</v>
      </c>
      <c r="N414">
        <f>-622.881634032018 -5.0918833366602 -527.733933303662</f>
        <v>-1155.7074506723402</v>
      </c>
      <c r="O414">
        <f>-643.117007353197 -156.528140421789 -496.228841183321</f>
        <v>-1295.8739889583069</v>
      </c>
      <c r="P414">
        <f>-668.32983343826 -191.214057388599 -217.410220117937</f>
        <v>-1076.954110944796</v>
      </c>
      <c r="Q414">
        <f>-461.854958186228 -114.876140208678 -291.499058330611</f>
        <v>-868.23015672551696</v>
      </c>
      <c r="R414" t="s">
        <v>7894</v>
      </c>
      <c r="S414" t="s">
        <v>7895</v>
      </c>
      <c r="T414" t="s">
        <v>7896</v>
      </c>
      <c r="U414" t="s">
        <v>7897</v>
      </c>
      <c r="V414">
        <f>-567.829604339676 -56.8323228904396 -90.6833587714954</f>
        <v>-715.34528600161104</v>
      </c>
      <c r="W414" t="s">
        <v>7898</v>
      </c>
      <c r="X414" t="s">
        <v>7899</v>
      </c>
      <c r="Y414" t="s">
        <v>7900</v>
      </c>
    </row>
    <row r="415" spans="1:25" x14ac:dyDescent="0.3">
      <c r="A415">
        <v>20700</v>
      </c>
      <c r="B415" t="s">
        <v>7901</v>
      </c>
      <c r="C415" t="s">
        <v>7902</v>
      </c>
      <c r="D415" t="s">
        <v>7903</v>
      </c>
      <c r="E415" t="s">
        <v>7904</v>
      </c>
      <c r="F415" t="s">
        <v>7905</v>
      </c>
      <c r="G415" t="s">
        <v>7906</v>
      </c>
      <c r="H415" t="s">
        <v>7907</v>
      </c>
      <c r="I415" t="s">
        <v>7908</v>
      </c>
      <c r="J415" t="s">
        <v>7909</v>
      </c>
      <c r="K415" t="s">
        <v>7910</v>
      </c>
      <c r="L415" t="s">
        <v>7911</v>
      </c>
      <c r="M415" t="s">
        <v>7912</v>
      </c>
      <c r="N415">
        <f>-622.826915149062 -5.7829143046481 -527.633937640541</f>
        <v>-1156.2437670942511</v>
      </c>
      <c r="O415">
        <f>-642.969318079273 -157.191511582164 -495.822184866906</f>
        <v>-1295.9830145283431</v>
      </c>
      <c r="P415">
        <f>-668.379706729166 -191.090801645511 -216.924838810058</f>
        <v>-1076.3953471847349</v>
      </c>
      <c r="Q415">
        <f>-462.671011637146 -112.743935572334 -291.048043597122</f>
        <v>-866.46299080660197</v>
      </c>
      <c r="R415" t="s">
        <v>7913</v>
      </c>
      <c r="S415" t="s">
        <v>7914</v>
      </c>
      <c r="T415" t="s">
        <v>7915</v>
      </c>
      <c r="U415" t="s">
        <v>7916</v>
      </c>
      <c r="V415">
        <f>-568.074140785323 -56.7855034910169 -90.6500546212989</f>
        <v>-715.50969889763883</v>
      </c>
      <c r="W415" t="s">
        <v>7917</v>
      </c>
      <c r="X415" t="s">
        <v>7918</v>
      </c>
      <c r="Y415" t="s">
        <v>7919</v>
      </c>
    </row>
    <row r="416" spans="1:25" x14ac:dyDescent="0.3">
      <c r="A416">
        <v>20750</v>
      </c>
      <c r="B416" t="s">
        <v>7920</v>
      </c>
      <c r="C416" t="s">
        <v>7921</v>
      </c>
      <c r="D416" t="s">
        <v>7922</v>
      </c>
      <c r="E416" t="s">
        <v>7923</v>
      </c>
      <c r="F416" t="s">
        <v>7924</v>
      </c>
      <c r="G416" t="s">
        <v>7925</v>
      </c>
      <c r="H416" t="s">
        <v>7926</v>
      </c>
      <c r="I416" t="s">
        <v>7927</v>
      </c>
      <c r="J416" t="s">
        <v>7928</v>
      </c>
      <c r="K416" t="s">
        <v>7929</v>
      </c>
      <c r="L416" t="s">
        <v>7930</v>
      </c>
      <c r="M416" t="s">
        <v>7931</v>
      </c>
      <c r="N416">
        <f>-622.662486761138 -6.12571400625393 -527.593438519858</f>
        <v>-1156.38163928725</v>
      </c>
      <c r="O416">
        <f>-642.986222242366 -157.447238809958 -495.599701582466</f>
        <v>-1296.03316263479</v>
      </c>
      <c r="P416">
        <f>-668.511135800786 -191.129578915947 -216.686544606204</f>
        <v>-1076.3272593229369</v>
      </c>
      <c r="Q416">
        <f>-462.919000125591 -112.248302154108 -290.565685481738</f>
        <v>-865.73298776143702</v>
      </c>
      <c r="R416" t="s">
        <v>7932</v>
      </c>
      <c r="S416" t="s">
        <v>7933</v>
      </c>
      <c r="T416" t="s">
        <v>7934</v>
      </c>
      <c r="U416" t="s">
        <v>7935</v>
      </c>
      <c r="V416">
        <f>-568.283166003269 -56.7655220485167 -90.6294931729835</f>
        <v>-715.67818122476922</v>
      </c>
      <c r="W416" t="s">
        <v>7936</v>
      </c>
      <c r="X416" t="s">
        <v>7937</v>
      </c>
      <c r="Y416" t="s">
        <v>7938</v>
      </c>
    </row>
    <row r="417" spans="1:25" x14ac:dyDescent="0.3">
      <c r="A417">
        <v>20800</v>
      </c>
      <c r="B417" t="s">
        <v>7939</v>
      </c>
      <c r="C417" t="s">
        <v>7940</v>
      </c>
      <c r="D417" t="s">
        <v>7941</v>
      </c>
      <c r="E417" t="s">
        <v>7942</v>
      </c>
      <c r="F417" t="s">
        <v>7943</v>
      </c>
      <c r="G417" t="s">
        <v>7944</v>
      </c>
      <c r="H417" t="s">
        <v>7945</v>
      </c>
      <c r="I417" t="s">
        <v>7946</v>
      </c>
      <c r="J417" t="s">
        <v>7947</v>
      </c>
      <c r="K417" t="s">
        <v>7948</v>
      </c>
      <c r="L417" t="s">
        <v>7949</v>
      </c>
      <c r="M417" t="s">
        <v>7950</v>
      </c>
      <c r="N417">
        <f>-622.660369528858 -6.9588988163091 -527.530775760425</f>
        <v>-1157.1500441055921</v>
      </c>
      <c r="O417">
        <f>-643.118534919511 -158.145623413302 -494.916906890409</f>
        <v>-1296.181065223222</v>
      </c>
      <c r="P417">
        <f>-669.308112947249 -191.388045994529 -216.012645950503</f>
        <v>-1076.708804892281</v>
      </c>
      <c r="Q417">
        <f>-463.467254751915 -112.589927657282 -289.285709214565</f>
        <v>-865.34289162376194</v>
      </c>
      <c r="R417" t="s">
        <v>7951</v>
      </c>
      <c r="S417" t="s">
        <v>7952</v>
      </c>
      <c r="T417" t="s">
        <v>7953</v>
      </c>
      <c r="U417" t="s">
        <v>7954</v>
      </c>
      <c r="V417">
        <f>-568.786767995068 -56.5434393280307 -90.643647640341</f>
        <v>-715.97385496343963</v>
      </c>
      <c r="W417" t="s">
        <v>7955</v>
      </c>
      <c r="X417" t="s">
        <v>7956</v>
      </c>
      <c r="Y417" t="s">
        <v>7957</v>
      </c>
    </row>
    <row r="418" spans="1:25" x14ac:dyDescent="0.3">
      <c r="A418">
        <v>20850</v>
      </c>
      <c r="B418" t="s">
        <v>7958</v>
      </c>
      <c r="C418" t="s">
        <v>7959</v>
      </c>
      <c r="D418" t="s">
        <v>7960</v>
      </c>
      <c r="E418" t="s">
        <v>7961</v>
      </c>
      <c r="F418" t="s">
        <v>7962</v>
      </c>
      <c r="G418" t="s">
        <v>7963</v>
      </c>
      <c r="H418" t="s">
        <v>7964</v>
      </c>
      <c r="I418" t="s">
        <v>7965</v>
      </c>
      <c r="J418" t="s">
        <v>7966</v>
      </c>
      <c r="K418" t="s">
        <v>7967</v>
      </c>
      <c r="L418" t="s">
        <v>7968</v>
      </c>
      <c r="M418" t="s">
        <v>7969</v>
      </c>
      <c r="N418">
        <f>-622.793364273834 -7.19680716003631 -527.495517951928</f>
        <v>-1157.4856893857982</v>
      </c>
      <c r="O418">
        <f>-643.371353697124 -158.306092568625 -494.615807834874</f>
        <v>-1296.293254100623</v>
      </c>
      <c r="P418">
        <f>-669.775978875394 -191.416711044497 -215.716047287032</f>
        <v>-1076.908737206923</v>
      </c>
      <c r="Q418">
        <f>-463.68324303272 -112.930402334489 -288.614959299291</f>
        <v>-865.2286046664999</v>
      </c>
      <c r="R418" t="s">
        <v>7970</v>
      </c>
      <c r="S418" t="s">
        <v>7971</v>
      </c>
      <c r="T418" t="s">
        <v>7972</v>
      </c>
      <c r="U418" t="s">
        <v>7973</v>
      </c>
      <c r="V418">
        <f>-569.047702140541 -56.3679547305856 -90.6382641055905</f>
        <v>-716.053920976717</v>
      </c>
      <c r="W418" t="s">
        <v>7974</v>
      </c>
      <c r="X418" t="s">
        <v>7975</v>
      </c>
      <c r="Y418" t="s">
        <v>7976</v>
      </c>
    </row>
    <row r="419" spans="1:25" x14ac:dyDescent="0.3">
      <c r="A419">
        <v>20900</v>
      </c>
      <c r="B419" t="s">
        <v>7977</v>
      </c>
      <c r="C419" t="s">
        <v>7978</v>
      </c>
      <c r="D419" t="s">
        <v>7979</v>
      </c>
      <c r="E419" t="s">
        <v>7980</v>
      </c>
      <c r="F419" t="s">
        <v>7981</v>
      </c>
      <c r="G419" t="s">
        <v>7982</v>
      </c>
      <c r="H419" t="s">
        <v>7983</v>
      </c>
      <c r="I419" t="s">
        <v>7984</v>
      </c>
      <c r="J419" t="s">
        <v>7985</v>
      </c>
      <c r="K419" t="s">
        <v>7986</v>
      </c>
      <c r="L419" t="s">
        <v>7987</v>
      </c>
      <c r="M419" t="s">
        <v>7988</v>
      </c>
      <c r="N419">
        <f>-623.140558495836 -7.38207679689981 -527.526025212516</f>
        <v>-1158.0486605052517</v>
      </c>
      <c r="O419">
        <f>-643.915644619328 -158.396376446953 -494.370382506262</f>
        <v>-1296.6824035725431</v>
      </c>
      <c r="P419">
        <f>-670.680701194734 -191.057958993626 -215.452006368566</f>
        <v>-1077.1906665569259</v>
      </c>
      <c r="Q419">
        <f>-463.762164190479 -113.868286400669 -287.389486799421</f>
        <v>-865.019937390569</v>
      </c>
      <c r="R419" t="s">
        <v>7989</v>
      </c>
      <c r="S419" t="s">
        <v>7990</v>
      </c>
      <c r="T419" t="s">
        <v>7991</v>
      </c>
      <c r="U419" t="s">
        <v>7992</v>
      </c>
      <c r="V419">
        <f>-569.486256490545 -55.9198041473951 -90.6561783355475</f>
        <v>-716.06223897348752</v>
      </c>
      <c r="W419" t="s">
        <v>7993</v>
      </c>
      <c r="X419" t="s">
        <v>7994</v>
      </c>
      <c r="Y419" t="s">
        <v>7995</v>
      </c>
    </row>
    <row r="420" spans="1:25" x14ac:dyDescent="0.3">
      <c r="A420">
        <v>20950</v>
      </c>
      <c r="B420" t="s">
        <v>7996</v>
      </c>
      <c r="C420" t="s">
        <v>7997</v>
      </c>
      <c r="D420" t="s">
        <v>7998</v>
      </c>
      <c r="E420" t="s">
        <v>7999</v>
      </c>
      <c r="F420" t="s">
        <v>8000</v>
      </c>
      <c r="G420" t="s">
        <v>8001</v>
      </c>
      <c r="H420" t="s">
        <v>8002</v>
      </c>
      <c r="I420" t="s">
        <v>8003</v>
      </c>
      <c r="J420" t="s">
        <v>8004</v>
      </c>
      <c r="K420" t="s">
        <v>8005</v>
      </c>
      <c r="L420" t="s">
        <v>8006</v>
      </c>
      <c r="M420" t="s">
        <v>8007</v>
      </c>
      <c r="N420">
        <f>-623.485540696475 -7.46796046612508 -527.543396808913</f>
        <v>-1158.4968979715131</v>
      </c>
      <c r="O420">
        <f>-644.225316777009 -158.470583907001 -494.283219719109</f>
        <v>-1296.9791204031189</v>
      </c>
      <c r="P420">
        <f>-670.989050236141 -191.058392727516 -215.356061032894</f>
        <v>-1077.4035039965511</v>
      </c>
      <c r="Q420">
        <f>-463.724773098194 -114.348046419189 -286.809350592666</f>
        <v>-864.88217011004895</v>
      </c>
      <c r="R420" t="s">
        <v>8008</v>
      </c>
      <c r="S420" t="s">
        <v>8009</v>
      </c>
      <c r="T420" t="s">
        <v>8010</v>
      </c>
      <c r="U420" t="s">
        <v>8011</v>
      </c>
      <c r="V420">
        <f>-569.71326284434 -55.7071492232722 -90.6783014126036</f>
        <v>-716.09871348021568</v>
      </c>
      <c r="W420" t="s">
        <v>8012</v>
      </c>
      <c r="X420" t="s">
        <v>8013</v>
      </c>
      <c r="Y420" t="s">
        <v>8014</v>
      </c>
    </row>
    <row r="421" spans="1:25" x14ac:dyDescent="0.3">
      <c r="A421">
        <v>21000</v>
      </c>
      <c r="B421" t="s">
        <v>8015</v>
      </c>
      <c r="C421" t="s">
        <v>8016</v>
      </c>
      <c r="D421" t="s">
        <v>8017</v>
      </c>
      <c r="E421" t="s">
        <v>8018</v>
      </c>
      <c r="F421" t="s">
        <v>8019</v>
      </c>
      <c r="G421" t="s">
        <v>8020</v>
      </c>
      <c r="H421" t="s">
        <v>8021</v>
      </c>
      <c r="I421" t="s">
        <v>8022</v>
      </c>
      <c r="J421" t="s">
        <v>8023</v>
      </c>
      <c r="K421" t="s">
        <v>8024</v>
      </c>
      <c r="L421" t="s">
        <v>8025</v>
      </c>
      <c r="M421" t="s">
        <v>8026</v>
      </c>
      <c r="N421">
        <f>-624.078366372163 -7.53854906462084 -527.586936613441</f>
        <v>-1159.2038520502249</v>
      </c>
      <c r="O421">
        <f>-644.698404793433 -158.519515732593 -494.192918709479</f>
        <v>-1297.4108392355051</v>
      </c>
      <c r="P421">
        <f>-671.307956217261 -191.282914113764 -215.271748243547</f>
        <v>-1077.862618574572</v>
      </c>
      <c r="Q421">
        <f>-463.842310527689 -114.51799434294 -286.079126271925</f>
        <v>-864.43943114255399</v>
      </c>
      <c r="R421" t="s">
        <v>8027</v>
      </c>
      <c r="S421" t="s">
        <v>8028</v>
      </c>
      <c r="T421" t="s">
        <v>8029</v>
      </c>
      <c r="U421" t="s">
        <v>8030</v>
      </c>
      <c r="V421">
        <f>-570.147033302217 -55.5147321962729 -90.7370573485621</f>
        <v>-716.39882284705197</v>
      </c>
      <c r="W421" t="s">
        <v>8031</v>
      </c>
      <c r="X421" t="s">
        <v>8032</v>
      </c>
      <c r="Y421" t="s">
        <v>8033</v>
      </c>
    </row>
    <row r="422" spans="1:25" x14ac:dyDescent="0.3">
      <c r="A422">
        <v>21050</v>
      </c>
      <c r="B422" t="s">
        <v>8034</v>
      </c>
      <c r="C422" t="s">
        <v>8035</v>
      </c>
      <c r="D422" t="s">
        <v>8036</v>
      </c>
      <c r="E422" t="s">
        <v>8037</v>
      </c>
      <c r="F422" t="s">
        <v>8038</v>
      </c>
      <c r="G422" t="s">
        <v>8039</v>
      </c>
      <c r="H422" t="s">
        <v>8040</v>
      </c>
      <c r="I422" t="s">
        <v>8041</v>
      </c>
      <c r="J422" t="s">
        <v>8042</v>
      </c>
      <c r="K422" t="s">
        <v>8043</v>
      </c>
      <c r="L422" t="s">
        <v>8044</v>
      </c>
      <c r="M422" t="s">
        <v>8045</v>
      </c>
      <c r="N422">
        <f>-624.248287070717 -7.66399600180807 -527.611903089025</f>
        <v>-1159.52418616155</v>
      </c>
      <c r="O422">
        <f>-644.830966870407 -158.635308689055 -494.150516089185</f>
        <v>-1297.616791648647</v>
      </c>
      <c r="P422">
        <f>-671.405156714879 -191.387837252224 -215.224615361573</f>
        <v>-1078.0176093286759</v>
      </c>
      <c r="Q422">
        <f>-463.963937180631 -114.447691889227 -285.9131141826</f>
        <v>-864.32474325245801</v>
      </c>
      <c r="R422" t="s">
        <v>8046</v>
      </c>
      <c r="S422" t="s">
        <v>8047</v>
      </c>
      <c r="T422" t="s">
        <v>8048</v>
      </c>
      <c r="U422" t="s">
        <v>8049</v>
      </c>
      <c r="V422">
        <f>-570.275356861556 -55.5034889119356 -90.7701742228738</f>
        <v>-716.54901999636547</v>
      </c>
      <c r="W422" t="s">
        <v>8050</v>
      </c>
      <c r="X422" t="s">
        <v>8051</v>
      </c>
      <c r="Y422" t="s">
        <v>8052</v>
      </c>
    </row>
    <row r="423" spans="1:25" x14ac:dyDescent="0.3">
      <c r="A423">
        <v>21100</v>
      </c>
      <c r="B423" t="s">
        <v>8053</v>
      </c>
      <c r="C423" t="s">
        <v>8054</v>
      </c>
      <c r="D423" t="s">
        <v>8055</v>
      </c>
      <c r="E423" t="s">
        <v>8056</v>
      </c>
      <c r="F423" t="s">
        <v>8057</v>
      </c>
      <c r="G423" t="s">
        <v>8058</v>
      </c>
      <c r="H423" t="s">
        <v>8059</v>
      </c>
      <c r="I423" t="s">
        <v>8060</v>
      </c>
      <c r="J423" t="s">
        <v>8061</v>
      </c>
      <c r="K423" t="s">
        <v>8062</v>
      </c>
      <c r="L423" t="s">
        <v>8063</v>
      </c>
      <c r="M423" t="s">
        <v>8064</v>
      </c>
      <c r="N423">
        <f>-624.277342137414 -7.93232668438759 -527.657608274593</f>
        <v>-1159.8672770963947</v>
      </c>
      <c r="O423">
        <f>-644.820860664851 -158.898751391688 -494.144438007709</f>
        <v>-1297.8640500642482</v>
      </c>
      <c r="P423">
        <f>-671.730843901923 -191.458816373852 -215.228241106196</f>
        <v>-1078.417901381971</v>
      </c>
      <c r="Q423">
        <f>-464.323475645673 -114.175935250631 -285.641685538301</f>
        <v>-864.14109643460495</v>
      </c>
      <c r="R423" t="s">
        <v>8065</v>
      </c>
      <c r="S423" t="s">
        <v>8066</v>
      </c>
      <c r="T423" t="s">
        <v>8067</v>
      </c>
      <c r="U423" t="s">
        <v>8068</v>
      </c>
      <c r="V423">
        <f>-570.525996927081 -55.6415177573865 -90.8165103340184</f>
        <v>-716.98402501848591</v>
      </c>
      <c r="W423" t="s">
        <v>8069</v>
      </c>
      <c r="X423" t="s">
        <v>8070</v>
      </c>
      <c r="Y423" t="s">
        <v>8071</v>
      </c>
    </row>
    <row r="424" spans="1:25" x14ac:dyDescent="0.3">
      <c r="A424">
        <v>21150</v>
      </c>
      <c r="B424" t="s">
        <v>8072</v>
      </c>
      <c r="C424" t="s">
        <v>8073</v>
      </c>
      <c r="D424" t="s">
        <v>8074</v>
      </c>
      <c r="E424" t="s">
        <v>8075</v>
      </c>
      <c r="F424" t="s">
        <v>8076</v>
      </c>
      <c r="G424" t="s">
        <v>8077</v>
      </c>
      <c r="H424" t="s">
        <v>8078</v>
      </c>
      <c r="I424" t="s">
        <v>8079</v>
      </c>
      <c r="J424" t="s">
        <v>8080</v>
      </c>
      <c r="K424" t="s">
        <v>8081</v>
      </c>
      <c r="L424" t="s">
        <v>8082</v>
      </c>
      <c r="M424" t="s">
        <v>8083</v>
      </c>
      <c r="N424">
        <f>-624.294436896854 -8.13303114434621 -527.682167867961</f>
        <v>-1160.1096359091612</v>
      </c>
      <c r="O424">
        <f>-644.760379931545 -159.102596482151 -494.139375785326</f>
        <v>-1298.002352199022</v>
      </c>
      <c r="P424">
        <f>-671.883893306662 -191.579541253339 -215.234241215842</f>
        <v>-1078.697675775843</v>
      </c>
      <c r="Q424">
        <f>-464.466486415253 -114.20454271498 -285.516985567584</f>
        <v>-864.18801469781693</v>
      </c>
      <c r="R424" t="s">
        <v>8084</v>
      </c>
      <c r="S424" t="s">
        <v>8085</v>
      </c>
      <c r="T424" t="s">
        <v>8086</v>
      </c>
      <c r="U424" t="s">
        <v>8087</v>
      </c>
      <c r="V424">
        <f>-570.72125014582 -55.8013540031434 -90.8405462872541</f>
        <v>-717.36315043621755</v>
      </c>
      <c r="W424" t="s">
        <v>8088</v>
      </c>
      <c r="X424" t="s">
        <v>8089</v>
      </c>
      <c r="Y424" t="s">
        <v>8090</v>
      </c>
    </row>
    <row r="425" spans="1:25" x14ac:dyDescent="0.3">
      <c r="A425">
        <v>21200</v>
      </c>
      <c r="B425" t="s">
        <v>8091</v>
      </c>
      <c r="C425" t="s">
        <v>8092</v>
      </c>
      <c r="D425" t="s">
        <v>8093</v>
      </c>
      <c r="E425" t="s">
        <v>8094</v>
      </c>
      <c r="F425" t="s">
        <v>8095</v>
      </c>
      <c r="G425" t="s">
        <v>8096</v>
      </c>
      <c r="H425" t="s">
        <v>8097</v>
      </c>
      <c r="I425" t="s">
        <v>8098</v>
      </c>
      <c r="J425" t="s">
        <v>8099</v>
      </c>
      <c r="K425" t="s">
        <v>8100</v>
      </c>
      <c r="L425" t="s">
        <v>8101</v>
      </c>
      <c r="M425" t="s">
        <v>8102</v>
      </c>
      <c r="N425">
        <f>-624.719252546324 -8.60574885676033 -527.705755768779</f>
        <v>-1161.0307571718633</v>
      </c>
      <c r="O425">
        <f>-645.032341301261 -159.595546823153 -494.147284435619</f>
        <v>-1298.7751725600328</v>
      </c>
      <c r="P425">
        <f>-672.085070701298 -192.309303370858 -215.262789643051</f>
        <v>-1079.6571637152072</v>
      </c>
      <c r="Q425">
        <f>-464.859005614766 -114.447328875843 -285.571995716726</f>
        <v>-864.87833020733501</v>
      </c>
      <c r="R425" t="s">
        <v>8103</v>
      </c>
      <c r="S425" t="s">
        <v>8104</v>
      </c>
      <c r="T425" t="s">
        <v>8105</v>
      </c>
      <c r="U425" t="s">
        <v>8106</v>
      </c>
      <c r="V425">
        <f>-571.051305893162 -55.9952847930033 -90.8758394924871</f>
        <v>-717.92243017865235</v>
      </c>
      <c r="W425" t="s">
        <v>8107</v>
      </c>
      <c r="X425" t="s">
        <v>8108</v>
      </c>
      <c r="Y425" t="s">
        <v>8109</v>
      </c>
    </row>
    <row r="426" spans="1:25" x14ac:dyDescent="0.3">
      <c r="A426">
        <v>21250</v>
      </c>
      <c r="B426" t="s">
        <v>8110</v>
      </c>
      <c r="C426" t="s">
        <v>8111</v>
      </c>
      <c r="D426" t="s">
        <v>8112</v>
      </c>
      <c r="E426" t="s">
        <v>8113</v>
      </c>
      <c r="F426" t="s">
        <v>8114</v>
      </c>
      <c r="G426" t="s">
        <v>8115</v>
      </c>
      <c r="H426" t="s">
        <v>8116</v>
      </c>
      <c r="I426" t="s">
        <v>8117</v>
      </c>
      <c r="J426" t="s">
        <v>8118</v>
      </c>
      <c r="K426" t="s">
        <v>8119</v>
      </c>
      <c r="L426" t="s">
        <v>8120</v>
      </c>
      <c r="M426" t="s">
        <v>8121</v>
      </c>
      <c r="N426">
        <f>-625.179420655488 -8.76103397618522 -527.704334857683</f>
        <v>-1161.6447894893563</v>
      </c>
      <c r="O426">
        <f>-645.401179073495 -159.766662208745 -494.119100540613</f>
        <v>-1299.2869418228529</v>
      </c>
      <c r="P426">
        <f>-672.111318678046 -192.472204285133 -215.20059273961</f>
        <v>-1079.784115702789</v>
      </c>
      <c r="Q426">
        <f>-465.034235204434 -114.450026067002 -285.770704719847</f>
        <v>-865.25496599128303</v>
      </c>
      <c r="R426" t="s">
        <v>8122</v>
      </c>
      <c r="S426" t="s">
        <v>8123</v>
      </c>
      <c r="T426" t="s">
        <v>8124</v>
      </c>
      <c r="U426" t="s">
        <v>8125</v>
      </c>
      <c r="V426">
        <f>-571.20211300703 -56.0549531528529 -90.9050956333333</f>
        <v>-718.16216179321623</v>
      </c>
      <c r="W426" t="s">
        <v>8126</v>
      </c>
      <c r="X426" t="s">
        <v>8127</v>
      </c>
      <c r="Y426" t="s">
        <v>8128</v>
      </c>
    </row>
    <row r="427" spans="1:25" x14ac:dyDescent="0.3">
      <c r="A427">
        <v>21300</v>
      </c>
      <c r="B427" t="s">
        <v>8129</v>
      </c>
      <c r="C427" t="s">
        <v>8130</v>
      </c>
      <c r="D427" t="s">
        <v>8131</v>
      </c>
      <c r="E427" t="s">
        <v>8132</v>
      </c>
      <c r="F427" t="s">
        <v>8133</v>
      </c>
      <c r="G427" t="s">
        <v>8134</v>
      </c>
      <c r="H427" t="s">
        <v>8135</v>
      </c>
      <c r="I427" t="s">
        <v>8136</v>
      </c>
      <c r="J427" t="s">
        <v>8137</v>
      </c>
      <c r="K427" t="s">
        <v>8138</v>
      </c>
      <c r="L427" t="s">
        <v>8139</v>
      </c>
      <c r="M427" t="s">
        <v>8140</v>
      </c>
      <c r="N427">
        <f>-626.002913856599 -8.78335300204981 -527.694319731358</f>
        <v>-1162.4805865900066</v>
      </c>
      <c r="O427">
        <f>-646.210928829183 -159.766013245965 -494.042315800369</f>
        <v>-1300.019257875517</v>
      </c>
      <c r="P427">
        <f>-672.042319992411 -192.233152678268 -215.013227466092</f>
        <v>-1079.288700136771</v>
      </c>
      <c r="Q427">
        <f>-465.22136409729 -114.18004054301 -286.296746803927</f>
        <v>-865.69815144422705</v>
      </c>
      <c r="R427" t="s">
        <v>8141</v>
      </c>
      <c r="S427" t="s">
        <v>8142</v>
      </c>
      <c r="T427" t="s">
        <v>8143</v>
      </c>
      <c r="U427" t="s">
        <v>8144</v>
      </c>
      <c r="V427">
        <f>-571.526259472139 -56.0441218426347 -90.9233570470252</f>
        <v>-718.49373836179893</v>
      </c>
      <c r="W427" t="s">
        <v>8145</v>
      </c>
      <c r="X427" t="s">
        <v>8146</v>
      </c>
      <c r="Y427" t="s">
        <v>8147</v>
      </c>
    </row>
    <row r="428" spans="1:25" x14ac:dyDescent="0.3">
      <c r="A428">
        <v>21350</v>
      </c>
      <c r="B428" t="s">
        <v>8148</v>
      </c>
      <c r="C428" t="s">
        <v>8149</v>
      </c>
      <c r="D428" t="s">
        <v>8150</v>
      </c>
      <c r="E428" t="s">
        <v>8151</v>
      </c>
      <c r="F428" t="s">
        <v>8152</v>
      </c>
      <c r="G428" t="s">
        <v>8153</v>
      </c>
      <c r="H428" t="s">
        <v>8154</v>
      </c>
      <c r="I428" t="s">
        <v>8155</v>
      </c>
      <c r="J428" t="s">
        <v>8156</v>
      </c>
      <c r="K428" t="s">
        <v>8157</v>
      </c>
      <c r="L428" t="s">
        <v>8158</v>
      </c>
      <c r="M428" t="s">
        <v>8159</v>
      </c>
      <c r="N428">
        <f>-626.220446506667 -8.85472897431873 -527.710878562395</f>
        <v>-1162.7860540433808</v>
      </c>
      <c r="O428">
        <f>-646.510012573175 -159.824950747053 -494.045210199176</f>
        <v>-1300.380173519404</v>
      </c>
      <c r="P428">
        <f>-671.98235566931 -192.234927069695 -214.976548023924</f>
        <v>-1079.1938307629289</v>
      </c>
      <c r="Q428">
        <f>-465.178361528373 -114.375865766677 -286.520970212603</f>
        <v>-866.075197507653</v>
      </c>
      <c r="R428" t="s">
        <v>8160</v>
      </c>
      <c r="S428" t="s">
        <v>8161</v>
      </c>
      <c r="T428" t="s">
        <v>8162</v>
      </c>
      <c r="U428" t="s">
        <v>8163</v>
      </c>
      <c r="V428">
        <f>-571.71171456399 -56.0439697037955 -90.9361851237743</f>
        <v>-718.69186939155975</v>
      </c>
      <c r="W428" t="s">
        <v>8164</v>
      </c>
      <c r="X428" t="s">
        <v>8165</v>
      </c>
      <c r="Y428" t="s">
        <v>8166</v>
      </c>
    </row>
    <row r="429" spans="1:25" x14ac:dyDescent="0.3">
      <c r="A429">
        <v>21400</v>
      </c>
      <c r="B429" t="s">
        <v>8167</v>
      </c>
      <c r="C429" t="s">
        <v>8168</v>
      </c>
      <c r="D429" t="s">
        <v>8169</v>
      </c>
      <c r="E429" t="s">
        <v>8170</v>
      </c>
      <c r="F429" t="s">
        <v>8171</v>
      </c>
      <c r="G429" t="s">
        <v>8172</v>
      </c>
      <c r="H429" t="s">
        <v>8173</v>
      </c>
      <c r="I429" t="s">
        <v>8174</v>
      </c>
      <c r="J429" t="s">
        <v>8175</v>
      </c>
      <c r="K429" t="s">
        <v>8176</v>
      </c>
      <c r="L429" t="s">
        <v>8177</v>
      </c>
      <c r="M429" t="s">
        <v>8178</v>
      </c>
      <c r="N429">
        <f>-626.632018949261 -9.06325670752221 -527.711322108583</f>
        <v>-1163.4065977653663</v>
      </c>
      <c r="O429">
        <f>-647.037992821024 -159.990192831556 -493.909221040816</f>
        <v>-1300.937406693396</v>
      </c>
      <c r="P429">
        <f>-672.116484529741 -192.334163650619 -214.797041030173</f>
        <v>-1079.2476892105331</v>
      </c>
      <c r="Q429">
        <f>-465.521786746662 -114.745791756661 -287.234859046351</f>
        <v>-867.50243754967391</v>
      </c>
      <c r="R429" t="s">
        <v>8179</v>
      </c>
      <c r="S429" t="s">
        <v>8180</v>
      </c>
      <c r="T429" t="s">
        <v>8181</v>
      </c>
      <c r="U429" t="s">
        <v>8182</v>
      </c>
      <c r="V429">
        <f>-572.094045615156 -55.9018397303837 -90.9645379383886</f>
        <v>-718.96042328392832</v>
      </c>
      <c r="W429" t="s">
        <v>8183</v>
      </c>
      <c r="X429" t="s">
        <v>8184</v>
      </c>
      <c r="Y429" t="s">
        <v>8185</v>
      </c>
    </row>
    <row r="430" spans="1:25" x14ac:dyDescent="0.3">
      <c r="A430">
        <v>21450</v>
      </c>
      <c r="B430" t="s">
        <v>8186</v>
      </c>
      <c r="C430" t="s">
        <v>8187</v>
      </c>
      <c r="D430" t="s">
        <v>8188</v>
      </c>
      <c r="E430" t="s">
        <v>8189</v>
      </c>
      <c r="F430" t="s">
        <v>8190</v>
      </c>
      <c r="G430" t="s">
        <v>8191</v>
      </c>
      <c r="H430" t="s">
        <v>8192</v>
      </c>
      <c r="I430" t="s">
        <v>8193</v>
      </c>
      <c r="J430" t="s">
        <v>8194</v>
      </c>
      <c r="K430" t="s">
        <v>8195</v>
      </c>
      <c r="L430" t="s">
        <v>8196</v>
      </c>
      <c r="M430" t="s">
        <v>8197</v>
      </c>
      <c r="N430">
        <f>-626.750453087907 -9.0846276102618 -527.712160167624</f>
        <v>-1163.5472408657929</v>
      </c>
      <c r="O430">
        <f>-647.224884502608 -159.984128805093 -493.848345821779</f>
        <v>-1301.0573591294801</v>
      </c>
      <c r="P430">
        <f>-672.159927857029 -192.375651724296 -214.72902109612</f>
        <v>-1079.2646006774451</v>
      </c>
      <c r="Q430">
        <f>-465.817082063314 -114.669626417943 -287.75593320304</f>
        <v>-868.24264168429704</v>
      </c>
      <c r="R430" t="s">
        <v>8198</v>
      </c>
      <c r="S430" t="s">
        <v>8199</v>
      </c>
      <c r="T430" t="s">
        <v>8200</v>
      </c>
      <c r="U430" t="s">
        <v>8201</v>
      </c>
      <c r="V430">
        <f>-572.170872796997 -55.8656827513666 -90.9794748966704</f>
        <v>-719.01603044503395</v>
      </c>
      <c r="W430" t="s">
        <v>8202</v>
      </c>
      <c r="X430" t="s">
        <v>8203</v>
      </c>
      <c r="Y430" t="s">
        <v>8204</v>
      </c>
    </row>
    <row r="431" spans="1:25" x14ac:dyDescent="0.3">
      <c r="A431">
        <v>21500</v>
      </c>
      <c r="B431" t="s">
        <v>8205</v>
      </c>
      <c r="C431" t="s">
        <v>8206</v>
      </c>
      <c r="D431" t="s">
        <v>8207</v>
      </c>
      <c r="E431" t="s">
        <v>8208</v>
      </c>
      <c r="F431" t="s">
        <v>8209</v>
      </c>
      <c r="G431" t="s">
        <v>8210</v>
      </c>
      <c r="H431" t="s">
        <v>8211</v>
      </c>
      <c r="I431" t="s">
        <v>8212</v>
      </c>
      <c r="J431" t="s">
        <v>8213</v>
      </c>
      <c r="K431" t="s">
        <v>8214</v>
      </c>
      <c r="L431" t="s">
        <v>8215</v>
      </c>
      <c r="M431" t="s">
        <v>8216</v>
      </c>
      <c r="N431">
        <f>-626.797651704213 -9.04252828013409 -527.733286914807</f>
        <v>-1163.573466899154</v>
      </c>
      <c r="O431">
        <f>-647.377031179203 -159.925235792908 -493.833837387405</f>
        <v>-1301.1361043595159</v>
      </c>
      <c r="P431">
        <f>-671.817524446186 -192.047614972857 -214.639763664091</f>
        <v>-1078.504903083134</v>
      </c>
      <c r="Q431">
        <f>-466.120115197748 -114.21977901614 -289.338694430961</f>
        <v>-869.67858864484901</v>
      </c>
      <c r="R431" t="s">
        <v>8217</v>
      </c>
      <c r="S431" t="s">
        <v>8218</v>
      </c>
      <c r="T431" t="s">
        <v>8219</v>
      </c>
      <c r="U431" t="s">
        <v>8220</v>
      </c>
      <c r="V431">
        <f>-572.219455546008 -55.7758189848846 -90.9900510133748</f>
        <v>-718.98532554426743</v>
      </c>
      <c r="W431" t="s">
        <v>8221</v>
      </c>
      <c r="X431" t="s">
        <v>8222</v>
      </c>
      <c r="Y431" t="s">
        <v>8223</v>
      </c>
    </row>
    <row r="432" spans="1:25" x14ac:dyDescent="0.3">
      <c r="A432">
        <v>21550</v>
      </c>
      <c r="B432" t="s">
        <v>8224</v>
      </c>
      <c r="C432" t="s">
        <v>8225</v>
      </c>
      <c r="D432" t="s">
        <v>8226</v>
      </c>
      <c r="E432" t="s">
        <v>8227</v>
      </c>
      <c r="F432" t="s">
        <v>8228</v>
      </c>
      <c r="G432" t="s">
        <v>8229</v>
      </c>
      <c r="H432" t="s">
        <v>8230</v>
      </c>
      <c r="I432" t="s">
        <v>8231</v>
      </c>
      <c r="J432" t="s">
        <v>8232</v>
      </c>
      <c r="K432" t="s">
        <v>8233</v>
      </c>
      <c r="L432" t="s">
        <v>8234</v>
      </c>
      <c r="M432" t="s">
        <v>8235</v>
      </c>
      <c r="N432">
        <f>-626.809276599222 -9.02426426557827 -527.731493859662</f>
        <v>-1163.5650347244623</v>
      </c>
      <c r="O432">
        <f>-647.298812110035 -159.909540942354 -493.806408411664</f>
        <v>-1301.014761464053</v>
      </c>
      <c r="P432">
        <f>-671.455439628459 -191.797177500054 -214.560662427444</f>
        <v>-1077.813279555957</v>
      </c>
      <c r="Q432">
        <f>-466.031469240337 -114.074677218135 -290.116786032729</f>
        <v>-870.22293249120105</v>
      </c>
      <c r="R432" t="s">
        <v>8236</v>
      </c>
      <c r="S432" t="s">
        <v>8237</v>
      </c>
      <c r="T432" t="s">
        <v>8238</v>
      </c>
      <c r="U432" t="s">
        <v>8239</v>
      </c>
      <c r="V432">
        <f>-572.24799099326 -55.6475948312118 -90.9871136304128</f>
        <v>-718.88269945488457</v>
      </c>
      <c r="W432" t="s">
        <v>8240</v>
      </c>
      <c r="X432" t="s">
        <v>8241</v>
      </c>
      <c r="Y432" t="s">
        <v>8242</v>
      </c>
    </row>
    <row r="433" spans="1:25" x14ac:dyDescent="0.3">
      <c r="A433">
        <v>21600</v>
      </c>
      <c r="B433" t="s">
        <v>8243</v>
      </c>
      <c r="C433" t="s">
        <v>8244</v>
      </c>
      <c r="D433" t="s">
        <v>8245</v>
      </c>
      <c r="E433" t="s">
        <v>8246</v>
      </c>
      <c r="F433" t="s">
        <v>8247</v>
      </c>
      <c r="G433" t="s">
        <v>8248</v>
      </c>
      <c r="H433" t="s">
        <v>8249</v>
      </c>
      <c r="I433" t="s">
        <v>8250</v>
      </c>
      <c r="J433" t="s">
        <v>8251</v>
      </c>
      <c r="K433" t="s">
        <v>8252</v>
      </c>
      <c r="L433" t="s">
        <v>8253</v>
      </c>
      <c r="M433" t="s">
        <v>8254</v>
      </c>
      <c r="N433">
        <f>-626.988556486685 -8.94706732389886 -527.717461612229</f>
        <v>-1163.6530854228129</v>
      </c>
      <c r="O433">
        <f>-647.458740137557 -159.815612628187 -493.714531787194</f>
        <v>-1300.9888845529381</v>
      </c>
      <c r="P433">
        <f>-670.34864258586 -191.930293572445 -214.388012487848</f>
        <v>-1076.6669486461531</v>
      </c>
      <c r="Q433">
        <f>-465.436172852055 -114.145133151592 -291.257368036617</f>
        <v>-870.83867404026398</v>
      </c>
      <c r="R433" t="s">
        <v>8255</v>
      </c>
      <c r="S433" t="s">
        <v>8256</v>
      </c>
      <c r="T433" t="s">
        <v>8257</v>
      </c>
      <c r="U433" t="s">
        <v>8258</v>
      </c>
      <c r="V433">
        <f>-572.179663262285 -55.4755446087227 -90.9856984300678</f>
        <v>-718.64090630107546</v>
      </c>
      <c r="W433" t="s">
        <v>8259</v>
      </c>
      <c r="X433" t="s">
        <v>8260</v>
      </c>
      <c r="Y433" t="s">
        <v>8261</v>
      </c>
    </row>
    <row r="434" spans="1:25" x14ac:dyDescent="0.3">
      <c r="A434">
        <v>21650</v>
      </c>
      <c r="B434" t="s">
        <v>8262</v>
      </c>
      <c r="C434" t="s">
        <v>8263</v>
      </c>
      <c r="D434" t="s">
        <v>8264</v>
      </c>
      <c r="E434" t="s">
        <v>8265</v>
      </c>
      <c r="F434" t="s">
        <v>8266</v>
      </c>
      <c r="G434" t="s">
        <v>8267</v>
      </c>
      <c r="H434" t="s">
        <v>8268</v>
      </c>
      <c r="I434" t="s">
        <v>8269</v>
      </c>
      <c r="J434" t="s">
        <v>8270</v>
      </c>
      <c r="K434" t="s">
        <v>8271</v>
      </c>
      <c r="L434" t="s">
        <v>8272</v>
      </c>
      <c r="M434" t="s">
        <v>8273</v>
      </c>
      <c r="N434">
        <f>-627.174652691499 -8.88793907312629 -527.694930495015</f>
        <v>-1163.7575222596402</v>
      </c>
      <c r="O434">
        <f>-647.655552541409 -159.744660957173 -493.655260507517</f>
        <v>-1301.0554740060988</v>
      </c>
      <c r="P434">
        <f>-669.692712393296 -191.949489594925 -214.270566269739</f>
        <v>-1075.9127682579601</v>
      </c>
      <c r="Q434">
        <f>-465.145656744752 -113.983053944807 -291.925267481528</f>
        <v>-871.05397817108701</v>
      </c>
      <c r="R434" t="s">
        <v>8274</v>
      </c>
      <c r="S434" t="s">
        <v>8275</v>
      </c>
      <c r="T434" t="s">
        <v>8276</v>
      </c>
      <c r="U434" t="s">
        <v>8277</v>
      </c>
      <c r="V434">
        <f>-572.146375139469 -55.375886867912 -90.9793977909097</f>
        <v>-718.50165979829069</v>
      </c>
      <c r="W434" t="s">
        <v>8278</v>
      </c>
      <c r="X434" t="s">
        <v>8279</v>
      </c>
      <c r="Y434" t="s">
        <v>8280</v>
      </c>
    </row>
    <row r="435" spans="1:25" x14ac:dyDescent="0.3">
      <c r="A435">
        <v>21700</v>
      </c>
      <c r="B435" t="s">
        <v>8281</v>
      </c>
      <c r="C435" t="s">
        <v>8282</v>
      </c>
      <c r="D435" t="s">
        <v>8283</v>
      </c>
      <c r="E435" t="s">
        <v>8284</v>
      </c>
      <c r="F435" t="s">
        <v>8285</v>
      </c>
      <c r="G435" t="s">
        <v>8286</v>
      </c>
      <c r="H435" t="s">
        <v>8287</v>
      </c>
      <c r="I435" t="s">
        <v>8288</v>
      </c>
      <c r="J435" t="s">
        <v>8289</v>
      </c>
      <c r="K435" t="s">
        <v>8290</v>
      </c>
      <c r="L435" t="s">
        <v>8291</v>
      </c>
      <c r="M435" t="s">
        <v>8292</v>
      </c>
      <c r="N435">
        <f>-627.933368978725 -8.70002007758603 -527.622423585385</f>
        <v>-1164.2558126416961</v>
      </c>
      <c r="O435">
        <f>-648.33556469658 -159.555421036668 -493.495732810141</f>
        <v>-1301.3867185433892</v>
      </c>
      <c r="P435">
        <f>-669.00752223392 -191.501816302832 -213.977014248683</f>
        <v>-1074.486352785435</v>
      </c>
      <c r="Q435">
        <f>-465.274829192134 -112.958280856214 -293.175768574155</f>
        <v>-871.40887862250293</v>
      </c>
      <c r="R435" t="s">
        <v>8293</v>
      </c>
      <c r="S435" t="s">
        <v>8294</v>
      </c>
      <c r="T435" t="s">
        <v>8295</v>
      </c>
      <c r="U435" t="s">
        <v>8296</v>
      </c>
      <c r="V435">
        <f>-572.298722868091 -55.2202860553625 -90.9760402253983</f>
        <v>-718.49504914885176</v>
      </c>
      <c r="W435" t="s">
        <v>8297</v>
      </c>
      <c r="X435" t="s">
        <v>8298</v>
      </c>
      <c r="Y435" t="s">
        <v>8299</v>
      </c>
    </row>
    <row r="436" spans="1:25" x14ac:dyDescent="0.3">
      <c r="A436">
        <v>21750</v>
      </c>
      <c r="B436" t="s">
        <v>8300</v>
      </c>
      <c r="C436" t="s">
        <v>8301</v>
      </c>
      <c r="D436" t="s">
        <v>8302</v>
      </c>
      <c r="E436" t="s">
        <v>8303</v>
      </c>
      <c r="F436" t="s">
        <v>8304</v>
      </c>
      <c r="G436" t="s">
        <v>8305</v>
      </c>
      <c r="H436" t="s">
        <v>8306</v>
      </c>
      <c r="I436" t="s">
        <v>8307</v>
      </c>
      <c r="J436" t="s">
        <v>8308</v>
      </c>
      <c r="K436" t="s">
        <v>8309</v>
      </c>
      <c r="L436" t="s">
        <v>8310</v>
      </c>
      <c r="M436" t="s">
        <v>8311</v>
      </c>
      <c r="N436">
        <f>-628.271692070083 -8.6405159901185 -527.591650110775</f>
        <v>-1164.5038581709764</v>
      </c>
      <c r="O436">
        <f>-648.684043190243 -159.475060568383 -493.420028783216</f>
        <v>-1301.579132541842</v>
      </c>
      <c r="P436">
        <f>-668.779991867011 -191.298485791557 -213.845388158614</f>
        <v>-1073.9238658171821</v>
      </c>
      <c r="Q436">
        <f>-465.383112128203 -112.582104177044 -293.732693953816</f>
        <v>-871.69791025906295</v>
      </c>
      <c r="R436" t="s">
        <v>8312</v>
      </c>
      <c r="S436" t="s">
        <v>8313</v>
      </c>
      <c r="T436" t="s">
        <v>8314</v>
      </c>
      <c r="U436" t="s">
        <v>8315</v>
      </c>
      <c r="V436">
        <f>-572.401059133691 -55.1337994564497 -90.9868548778021</f>
        <v>-718.52171346794273</v>
      </c>
      <c r="W436" t="s">
        <v>8316</v>
      </c>
      <c r="X436" t="s">
        <v>8317</v>
      </c>
      <c r="Y436" t="s">
        <v>8318</v>
      </c>
    </row>
    <row r="437" spans="1:25" x14ac:dyDescent="0.3">
      <c r="A437">
        <v>21800</v>
      </c>
      <c r="B437" t="s">
        <v>8319</v>
      </c>
      <c r="C437" t="s">
        <v>8320</v>
      </c>
      <c r="D437" t="s">
        <v>8321</v>
      </c>
      <c r="E437" t="s">
        <v>8322</v>
      </c>
      <c r="F437" t="s">
        <v>8323</v>
      </c>
      <c r="G437" t="s">
        <v>8324</v>
      </c>
      <c r="H437" t="s">
        <v>8325</v>
      </c>
      <c r="I437" t="s">
        <v>8326</v>
      </c>
      <c r="J437" t="s">
        <v>8327</v>
      </c>
      <c r="K437" t="s">
        <v>8328</v>
      </c>
      <c r="L437" t="s">
        <v>8329</v>
      </c>
      <c r="M437" t="s">
        <v>8330</v>
      </c>
      <c r="N437">
        <f>-628.931283267619 -8.36853802385872 -527.545674101565</f>
        <v>-1164.8454953930427</v>
      </c>
      <c r="O437">
        <f>-649.543649174201 -159.170477573602 -493.313122563244</f>
        <v>-1302.0272493110469</v>
      </c>
      <c r="P437">
        <f>-668.520462882911 -190.652896502271 -213.62170052534</f>
        <v>-1072.795059910522</v>
      </c>
      <c r="Q437">
        <f>-465.995448854616 -111.580093133303 -295.350749249493</f>
        <v>-872.92629123741199</v>
      </c>
      <c r="R437" t="s">
        <v>8331</v>
      </c>
      <c r="S437" t="s">
        <v>8332</v>
      </c>
      <c r="T437" t="s">
        <v>8333</v>
      </c>
      <c r="U437" t="s">
        <v>8334</v>
      </c>
      <c r="V437">
        <f>-572.791455876399 -54.7816892987 -90.9886513786903</f>
        <v>-718.56179655378935</v>
      </c>
      <c r="W437" t="s">
        <v>8335</v>
      </c>
      <c r="X437" t="s">
        <v>8336</v>
      </c>
      <c r="Y437" t="s">
        <v>8337</v>
      </c>
    </row>
    <row r="438" spans="1:25" x14ac:dyDescent="0.3">
      <c r="A438">
        <v>21850</v>
      </c>
      <c r="B438" t="s">
        <v>8338</v>
      </c>
      <c r="C438" t="s">
        <v>8339</v>
      </c>
      <c r="D438" t="s">
        <v>8340</v>
      </c>
      <c r="E438" t="s">
        <v>8341</v>
      </c>
      <c r="F438" t="s">
        <v>8342</v>
      </c>
      <c r="G438" t="s">
        <v>8343</v>
      </c>
      <c r="H438" t="s">
        <v>8344</v>
      </c>
      <c r="I438" t="s">
        <v>8345</v>
      </c>
      <c r="J438" t="s">
        <v>8346</v>
      </c>
      <c r="K438" t="s">
        <v>8347</v>
      </c>
      <c r="L438" t="s">
        <v>8348</v>
      </c>
      <c r="M438" t="s">
        <v>8349</v>
      </c>
      <c r="N438">
        <f>-629.22319952919 -8.27579521748976 -527.534927713884</f>
        <v>-1165.0339224605636</v>
      </c>
      <c r="O438">
        <f>-650.016013322113 -159.035068058702 -493.251172352013</f>
        <v>-1302.3022537328279</v>
      </c>
      <c r="P438">
        <f>-668.499616623752 -190.376186813069 -213.510790496017</f>
        <v>-1072.386593932838</v>
      </c>
      <c r="Q438">
        <f>-466.318221045072 -111.354969112909 -296.135600842688</f>
        <v>-873.80879100066909</v>
      </c>
      <c r="R438" t="s">
        <v>8350</v>
      </c>
      <c r="S438" t="s">
        <v>8351</v>
      </c>
      <c r="T438" t="s">
        <v>8352</v>
      </c>
      <c r="U438" t="s">
        <v>8353</v>
      </c>
      <c r="V438">
        <f>-573.103118886039 -54.6919116794859 -91.0073824407846</f>
        <v>-718.80241300630951</v>
      </c>
      <c r="W438" t="s">
        <v>8354</v>
      </c>
      <c r="X438" t="s">
        <v>8355</v>
      </c>
      <c r="Y438" t="s">
        <v>8356</v>
      </c>
    </row>
    <row r="439" spans="1:25" x14ac:dyDescent="0.3">
      <c r="A439">
        <v>21900</v>
      </c>
      <c r="B439" t="s">
        <v>8357</v>
      </c>
      <c r="C439" t="s">
        <v>8358</v>
      </c>
      <c r="D439" t="s">
        <v>8359</v>
      </c>
      <c r="E439" t="s">
        <v>8360</v>
      </c>
      <c r="F439" t="s">
        <v>8361</v>
      </c>
      <c r="G439" t="s">
        <v>8362</v>
      </c>
      <c r="H439" t="s">
        <v>8363</v>
      </c>
      <c r="I439" t="s">
        <v>8364</v>
      </c>
      <c r="J439" t="s">
        <v>8365</v>
      </c>
      <c r="K439" t="s">
        <v>8366</v>
      </c>
      <c r="L439" t="s">
        <v>8367</v>
      </c>
      <c r="M439" t="s">
        <v>8368</v>
      </c>
      <c r="N439">
        <f>-629.929191782851 -8.27788781724939 -527.528290321869</f>
        <v>-1165.7353699219693</v>
      </c>
      <c r="O439">
        <f>-651.116910479003 -158.976608934074 -493.191283517117</f>
        <v>-1303.284802930194</v>
      </c>
      <c r="P439">
        <f>-668.961140341874 -190.268009147422 -213.403835982598</f>
        <v>-1072.632985471894</v>
      </c>
      <c r="Q439">
        <f>-467.502187931701 -111.313953879833 -297.837779067169</f>
        <v>-876.65392087870293</v>
      </c>
      <c r="R439" t="s">
        <v>8369</v>
      </c>
      <c r="S439" t="s">
        <v>8370</v>
      </c>
      <c r="T439" t="s">
        <v>8371</v>
      </c>
      <c r="U439" t="s">
        <v>8372</v>
      </c>
      <c r="V439">
        <f>-573.726353446615 -54.7660012203762 -91.0837405799901</f>
        <v>-719.57609524698137</v>
      </c>
      <c r="W439" t="s">
        <v>8373</v>
      </c>
      <c r="X439" t="s">
        <v>8374</v>
      </c>
      <c r="Y439" t="s">
        <v>8375</v>
      </c>
    </row>
    <row r="440" spans="1:25" x14ac:dyDescent="0.3">
      <c r="A440">
        <v>21950</v>
      </c>
      <c r="B440" t="s">
        <v>8376</v>
      </c>
      <c r="C440" t="s">
        <v>8377</v>
      </c>
      <c r="D440" t="s">
        <v>8378</v>
      </c>
      <c r="E440" t="s">
        <v>8379</v>
      </c>
      <c r="F440" t="s">
        <v>8380</v>
      </c>
      <c r="G440" t="s">
        <v>8381</v>
      </c>
      <c r="H440" t="s">
        <v>8382</v>
      </c>
      <c r="I440" t="s">
        <v>8383</v>
      </c>
      <c r="J440" t="s">
        <v>8384</v>
      </c>
      <c r="K440" t="s">
        <v>8385</v>
      </c>
      <c r="L440" t="s">
        <v>8386</v>
      </c>
      <c r="M440" t="s">
        <v>8387</v>
      </c>
      <c r="N440">
        <f>-630.349901218924 -8.24432990789592 -527.53652370413</f>
        <v>-1166.1307548309499</v>
      </c>
      <c r="O440">
        <f>-651.849004418704 -158.898319242174 -493.192905064902</f>
        <v>-1303.9402287257799</v>
      </c>
      <c r="P440">
        <f>-669.340909226959 -190.213786337312 -213.385902738393</f>
        <v>-1072.9405983026641</v>
      </c>
      <c r="Q440">
        <f>-468.253293781755 -111.239040835673 -298.681337313442</f>
        <v>-878.17367193087</v>
      </c>
      <c r="R440" t="s">
        <v>8388</v>
      </c>
      <c r="S440" t="s">
        <v>8389</v>
      </c>
      <c r="T440" t="s">
        <v>8390</v>
      </c>
      <c r="U440" t="s">
        <v>8391</v>
      </c>
      <c r="V440">
        <f>-573.98149068861 -54.9312357808337 -91.1229630674615</f>
        <v>-720.03568953690524</v>
      </c>
      <c r="W440" t="s">
        <v>8392</v>
      </c>
      <c r="X440" t="s">
        <v>8393</v>
      </c>
      <c r="Y440" t="s">
        <v>8394</v>
      </c>
    </row>
    <row r="441" spans="1:25" x14ac:dyDescent="0.3">
      <c r="A441">
        <v>22000</v>
      </c>
      <c r="B441" t="s">
        <v>8395</v>
      </c>
      <c r="C441" t="s">
        <v>8396</v>
      </c>
      <c r="D441" t="s">
        <v>8397</v>
      </c>
      <c r="E441" t="s">
        <v>8398</v>
      </c>
      <c r="F441" t="s">
        <v>8399</v>
      </c>
      <c r="G441" t="s">
        <v>8400</v>
      </c>
      <c r="H441" t="s">
        <v>8401</v>
      </c>
      <c r="I441" t="s">
        <v>8402</v>
      </c>
      <c r="J441" t="s">
        <v>8403</v>
      </c>
      <c r="K441" t="s">
        <v>8404</v>
      </c>
      <c r="L441" t="s">
        <v>8405</v>
      </c>
      <c r="M441" t="s">
        <v>8406</v>
      </c>
      <c r="N441">
        <f>-631.057919627309 -8.33347063737187 -527.549194360408</f>
        <v>-1166.9405846250888</v>
      </c>
      <c r="O441">
        <f>-653.29312116668 -158.872625949285 -493.219312320789</f>
        <v>-1305.3850594367539</v>
      </c>
      <c r="P441">
        <f>-670.227203948924 -190.088901630536 -213.366901340558</f>
        <v>-1073.6830069200178</v>
      </c>
      <c r="Q441">
        <f>-469.541972463476 -111.47615275636 -299.934925315255</f>
        <v>-880.95305053509094</v>
      </c>
      <c r="R441" t="s">
        <v>8407</v>
      </c>
      <c r="S441" t="s">
        <v>8408</v>
      </c>
      <c r="T441" t="s">
        <v>8409</v>
      </c>
      <c r="U441" t="s">
        <v>8410</v>
      </c>
      <c r="V441">
        <f>-574.572870887105 -55.5904015719577 -91.2127867681211</f>
        <v>-721.37605922718376</v>
      </c>
      <c r="W441" t="s">
        <v>8411</v>
      </c>
      <c r="X441" t="s">
        <v>8412</v>
      </c>
      <c r="Y441" t="s">
        <v>8413</v>
      </c>
    </row>
    <row r="442" spans="1:25" x14ac:dyDescent="0.3">
      <c r="A442">
        <v>22050</v>
      </c>
      <c r="B442" t="s">
        <v>8414</v>
      </c>
      <c r="C442" t="s">
        <v>8415</v>
      </c>
      <c r="D442" t="s">
        <v>8416</v>
      </c>
      <c r="E442" t="s">
        <v>8417</v>
      </c>
      <c r="F442" t="s">
        <v>8418</v>
      </c>
      <c r="G442" t="s">
        <v>8419</v>
      </c>
      <c r="H442" t="s">
        <v>8420</v>
      </c>
      <c r="I442" t="s">
        <v>8421</v>
      </c>
      <c r="J442" t="s">
        <v>8422</v>
      </c>
      <c r="K442" t="s">
        <v>8423</v>
      </c>
      <c r="L442" t="s">
        <v>8424</v>
      </c>
      <c r="M442" t="s">
        <v>8425</v>
      </c>
      <c r="N442">
        <f>-631.633663348538 -8.37155335260331 -527.501633453732</f>
        <v>-1167.5068501548733</v>
      </c>
      <c r="O442">
        <f>-654.17417328977 -158.872762956407 -493.173250187135</f>
        <v>-1306.2201864333119</v>
      </c>
      <c r="P442">
        <f>-670.845368225226 -189.828097460792 -213.276037816686</f>
        <v>-1073.9495035027041</v>
      </c>
      <c r="Q442">
        <f>-470.378594957653 -111.483299189188 -300.589731682267</f>
        <v>-882.45162582910802</v>
      </c>
      <c r="R442" t="s">
        <v>8426</v>
      </c>
      <c r="S442" t="s">
        <v>8427</v>
      </c>
      <c r="T442" t="s">
        <v>8428</v>
      </c>
      <c r="U442" t="s">
        <v>8429</v>
      </c>
      <c r="V442">
        <f>-574.872067587758 -55.7805084266674 -91.2314742569693</f>
        <v>-721.8840502713947</v>
      </c>
      <c r="W442" t="s">
        <v>8430</v>
      </c>
      <c r="X442" t="s">
        <v>8431</v>
      </c>
      <c r="Y442" t="s">
        <v>8432</v>
      </c>
    </row>
    <row r="443" spans="1:25" x14ac:dyDescent="0.3">
      <c r="A443">
        <v>22100</v>
      </c>
      <c r="B443" t="s">
        <v>8433</v>
      </c>
      <c r="C443" t="s">
        <v>8434</v>
      </c>
      <c r="D443" t="s">
        <v>8435</v>
      </c>
      <c r="E443" t="s">
        <v>8436</v>
      </c>
      <c r="F443" t="s">
        <v>8437</v>
      </c>
      <c r="G443" t="s">
        <v>8438</v>
      </c>
      <c r="H443" t="s">
        <v>8439</v>
      </c>
      <c r="I443" t="s">
        <v>8440</v>
      </c>
      <c r="J443" t="s">
        <v>8441</v>
      </c>
      <c r="K443" t="s">
        <v>8442</v>
      </c>
      <c r="L443" t="s">
        <v>8443</v>
      </c>
      <c r="M443" t="s">
        <v>8444</v>
      </c>
      <c r="N443">
        <f>-632.939760931241 -7.82551985226883 -527.433037245808</f>
        <v>-1168.1983180293178</v>
      </c>
      <c r="O443">
        <f>-656.224639008822 -158.24200553814 -493.193974144232</f>
        <v>-1307.660618691194</v>
      </c>
      <c r="P443">
        <f>-671.95924300282 -188.843534942723 -213.203604288588</f>
        <v>-1074.006382234131</v>
      </c>
      <c r="Q443">
        <f>-471.584031542171 -111.690952549459 -301.780236604851</f>
        <v>-885.055220696481</v>
      </c>
      <c r="R443" t="s">
        <v>8445</v>
      </c>
      <c r="S443" t="s">
        <v>8446</v>
      </c>
      <c r="T443" t="s">
        <v>8447</v>
      </c>
      <c r="U443" t="s">
        <v>8448</v>
      </c>
      <c r="V443">
        <f>-575.421701472477 -55.878326649183 -91.2264362757295</f>
        <v>-722.52646439738953</v>
      </c>
      <c r="W443" t="s">
        <v>8449</v>
      </c>
      <c r="X443" t="s">
        <v>8450</v>
      </c>
      <c r="Y443" t="s">
        <v>8451</v>
      </c>
    </row>
    <row r="444" spans="1:25" x14ac:dyDescent="0.3">
      <c r="A444">
        <v>22150</v>
      </c>
      <c r="B444" t="s">
        <v>8452</v>
      </c>
      <c r="C444" t="s">
        <v>8453</v>
      </c>
      <c r="D444" t="s">
        <v>8454</v>
      </c>
      <c r="E444" t="s">
        <v>8455</v>
      </c>
      <c r="F444" t="s">
        <v>8456</v>
      </c>
      <c r="G444" t="s">
        <v>8457</v>
      </c>
      <c r="H444" t="s">
        <v>8458</v>
      </c>
      <c r="I444" t="s">
        <v>8459</v>
      </c>
      <c r="J444" t="s">
        <v>8460</v>
      </c>
      <c r="K444" t="s">
        <v>8461</v>
      </c>
      <c r="L444" t="s">
        <v>8462</v>
      </c>
      <c r="M444" t="s">
        <v>8463</v>
      </c>
      <c r="N444">
        <f>-633.48033552874 -7.46756692852068 -527.431439331385</f>
        <v>-1168.3793417886459</v>
      </c>
      <c r="O444">
        <f>-657.095469481095 -157.844657811418 -493.294449013831</f>
        <v>-1308.234576306344</v>
      </c>
      <c r="P444">
        <f>-672.45843110929 -188.599004421263 -213.300261274266</f>
        <v>-1074.3576968048189</v>
      </c>
      <c r="Q444">
        <f>-472.076136457794 -112.102455818921 -302.428046440635</f>
        <v>-886.60663871735005</v>
      </c>
      <c r="R444" t="s">
        <v>8464</v>
      </c>
      <c r="S444" t="s">
        <v>8465</v>
      </c>
      <c r="T444" t="s">
        <v>8466</v>
      </c>
      <c r="U444" t="s">
        <v>8467</v>
      </c>
      <c r="V444">
        <f>-575.76206555551 -55.7743619064379 -91.223495630843</f>
        <v>-722.75992309279093</v>
      </c>
      <c r="W444" t="s">
        <v>8468</v>
      </c>
      <c r="X444" t="s">
        <v>8469</v>
      </c>
      <c r="Y444" t="s">
        <v>8470</v>
      </c>
    </row>
    <row r="445" spans="1:25" x14ac:dyDescent="0.3">
      <c r="A445">
        <v>22200</v>
      </c>
      <c r="B445" t="s">
        <v>8471</v>
      </c>
      <c r="C445" t="s">
        <v>8472</v>
      </c>
      <c r="D445" t="s">
        <v>8473</v>
      </c>
      <c r="E445" t="s">
        <v>8474</v>
      </c>
      <c r="F445" t="s">
        <v>8475</v>
      </c>
      <c r="G445" t="s">
        <v>8476</v>
      </c>
      <c r="H445" t="s">
        <v>8477</v>
      </c>
      <c r="I445" t="s">
        <v>8478</v>
      </c>
      <c r="J445" t="s">
        <v>8479</v>
      </c>
      <c r="K445" t="s">
        <v>8480</v>
      </c>
      <c r="L445" t="s">
        <v>8481</v>
      </c>
      <c r="M445" t="s">
        <v>8482</v>
      </c>
      <c r="N445">
        <f>-634.396627096499 -7.06344702549109 -527.492126117524</f>
        <v>-1168.952200239514</v>
      </c>
      <c r="O445">
        <f>-658.494904413153 -157.405870772755 -493.572221526224</f>
        <v>-1309.472996712132</v>
      </c>
      <c r="P445">
        <f>-673.129253919836 -188.822474727198 -213.61249545594</f>
        <v>-1075.5642241029741</v>
      </c>
      <c r="Q445">
        <f>-472.897507206956 -113.289854343088 -303.893102478816</f>
        <v>-890.08046402885998</v>
      </c>
      <c r="R445" t="s">
        <v>8483</v>
      </c>
      <c r="S445" t="s">
        <v>8484</v>
      </c>
      <c r="T445" t="s">
        <v>8485</v>
      </c>
      <c r="U445" t="s">
        <v>8486</v>
      </c>
      <c r="V445">
        <f>-576.567068012133 -55.4546792999506 -91.2849712937955</f>
        <v>-723.30671860587904</v>
      </c>
      <c r="W445" t="s">
        <v>8487</v>
      </c>
      <c r="X445" t="s">
        <v>8488</v>
      </c>
      <c r="Y445" t="s">
        <v>8489</v>
      </c>
    </row>
    <row r="446" spans="1:25" x14ac:dyDescent="0.3">
      <c r="A446">
        <v>22250</v>
      </c>
      <c r="B446" t="s">
        <v>8490</v>
      </c>
      <c r="C446" t="s">
        <v>8491</v>
      </c>
      <c r="D446" t="s">
        <v>8492</v>
      </c>
      <c r="E446" t="s">
        <v>8493</v>
      </c>
      <c r="F446" t="s">
        <v>8494</v>
      </c>
      <c r="G446" t="s">
        <v>8495</v>
      </c>
      <c r="H446" t="s">
        <v>8496</v>
      </c>
      <c r="I446" t="s">
        <v>8497</v>
      </c>
      <c r="J446" t="s">
        <v>8498</v>
      </c>
      <c r="K446" t="s">
        <v>8499</v>
      </c>
      <c r="L446" t="s">
        <v>8500</v>
      </c>
      <c r="M446" t="s">
        <v>8501</v>
      </c>
      <c r="N446">
        <f>-634.919736231947 -6.91406306503609 -527.473584383061</f>
        <v>-1169.307383680044</v>
      </c>
      <c r="O446">
        <f>-659.118452081915 -157.256078142962 -493.610537689585</f>
        <v>-1309.985067914462</v>
      </c>
      <c r="P446">
        <f>-673.267204333562 -189.054338087489 -213.668970105834</f>
        <v>-1075.9905125268849</v>
      </c>
      <c r="Q446">
        <f>-473.246059699177 -113.667535207934 -304.536490854085</f>
        <v>-891.45008576119608</v>
      </c>
      <c r="R446" t="s">
        <v>8502</v>
      </c>
      <c r="S446" t="s">
        <v>8503</v>
      </c>
      <c r="T446" t="s">
        <v>8504</v>
      </c>
      <c r="U446" t="s">
        <v>8505</v>
      </c>
      <c r="V446">
        <f>-576.873757687735 -55.2361524796729 -91.3089740869732</f>
        <v>-723.41888425438106</v>
      </c>
      <c r="W446" t="s">
        <v>8506</v>
      </c>
      <c r="X446" t="s">
        <v>8507</v>
      </c>
      <c r="Y446" t="s">
        <v>8508</v>
      </c>
    </row>
    <row r="447" spans="1:25" x14ac:dyDescent="0.3">
      <c r="A447">
        <v>22300</v>
      </c>
      <c r="B447" t="s">
        <v>8509</v>
      </c>
      <c r="C447" t="s">
        <v>8510</v>
      </c>
      <c r="D447" t="s">
        <v>8511</v>
      </c>
      <c r="E447" t="s">
        <v>8512</v>
      </c>
      <c r="F447" t="s">
        <v>8513</v>
      </c>
      <c r="G447" t="s">
        <v>8514</v>
      </c>
      <c r="H447" t="s">
        <v>8515</v>
      </c>
      <c r="I447" t="s">
        <v>8516</v>
      </c>
      <c r="J447" t="s">
        <v>8517</v>
      </c>
      <c r="K447" t="s">
        <v>8518</v>
      </c>
      <c r="L447" t="s">
        <v>8519</v>
      </c>
      <c r="M447" t="s">
        <v>8520</v>
      </c>
      <c r="N447">
        <f>-635.629536497574 -6.37932890706202 -527.467823119951</f>
        <v>-1169.4766885245872</v>
      </c>
      <c r="O447">
        <f>-659.753557241735 -156.768590013779 -493.714607766762</f>
        <v>-1310.2367550222762</v>
      </c>
      <c r="P447">
        <f>-673.223655384104 -188.64269792823 -213.748107038989</f>
        <v>-1075.614460351323</v>
      </c>
      <c r="Q447">
        <f>-473.533937093293 -113.411504794253 -305.46968927954</f>
        <v>-892.41513116708597</v>
      </c>
      <c r="R447" t="s">
        <v>8521</v>
      </c>
      <c r="S447" t="s">
        <v>8522</v>
      </c>
      <c r="T447" t="s">
        <v>8523</v>
      </c>
      <c r="U447" t="s">
        <v>8524</v>
      </c>
      <c r="V447">
        <f>-576.989824102039 -54.9541003555228 -91.3824246631018</f>
        <v>-723.32634912066362</v>
      </c>
      <c r="W447" t="s">
        <v>8525</v>
      </c>
      <c r="X447" t="s">
        <v>8526</v>
      </c>
      <c r="Y447" t="s">
        <v>8527</v>
      </c>
    </row>
    <row r="448" spans="1:25" x14ac:dyDescent="0.3">
      <c r="A448">
        <v>22350</v>
      </c>
      <c r="B448" t="s">
        <v>8528</v>
      </c>
      <c r="C448" t="s">
        <v>8529</v>
      </c>
      <c r="D448" t="s">
        <v>8530</v>
      </c>
      <c r="E448" t="s">
        <v>8531</v>
      </c>
      <c r="F448" t="s">
        <v>8532</v>
      </c>
      <c r="G448" t="s">
        <v>8533</v>
      </c>
      <c r="H448" t="s">
        <v>8534</v>
      </c>
      <c r="I448" t="s">
        <v>8535</v>
      </c>
      <c r="J448" t="s">
        <v>8536</v>
      </c>
      <c r="K448" t="s">
        <v>8537</v>
      </c>
      <c r="L448" t="s">
        <v>8538</v>
      </c>
      <c r="M448" t="s">
        <v>8539</v>
      </c>
      <c r="N448">
        <f>-635.688930740514 -6.11734454390626 -527.494624687242</f>
        <v>-1169.3008999716621</v>
      </c>
      <c r="O448">
        <f>-659.746907348105 -156.548087866373 -493.898118841616</f>
        <v>-1310.1931140560939</v>
      </c>
      <c r="P448">
        <f>-673.071746000083 -188.521750521081 -213.936096206971</f>
        <v>-1075.529592728135</v>
      </c>
      <c r="Q448">
        <f>-473.675159147754 -112.709779153495 -305.817028220404</f>
        <v>-892.20196652165305</v>
      </c>
      <c r="R448" t="s">
        <v>8540</v>
      </c>
      <c r="S448" t="s">
        <v>8541</v>
      </c>
      <c r="T448" t="s">
        <v>8542</v>
      </c>
      <c r="U448" t="s">
        <v>8543</v>
      </c>
      <c r="V448">
        <f>-576.942259745307 -54.8590181810871 -91.3902565516428</f>
        <v>-723.19153447803683</v>
      </c>
      <c r="W448" t="s">
        <v>8544</v>
      </c>
      <c r="X448" t="s">
        <v>8545</v>
      </c>
      <c r="Y448" t="s">
        <v>8546</v>
      </c>
    </row>
    <row r="449" spans="1:25" x14ac:dyDescent="0.3">
      <c r="A449">
        <v>22400</v>
      </c>
      <c r="B449" t="s">
        <v>8547</v>
      </c>
      <c r="C449" t="s">
        <v>8548</v>
      </c>
      <c r="D449" t="s">
        <v>8549</v>
      </c>
      <c r="E449" t="s">
        <v>8550</v>
      </c>
      <c r="F449" t="s">
        <v>8551</v>
      </c>
      <c r="G449" t="s">
        <v>8552</v>
      </c>
      <c r="H449" t="s">
        <v>8553</v>
      </c>
      <c r="I449" t="s">
        <v>8554</v>
      </c>
      <c r="J449" t="s">
        <v>8555</v>
      </c>
      <c r="K449" t="s">
        <v>8556</v>
      </c>
      <c r="L449" t="s">
        <v>8557</v>
      </c>
      <c r="M449" t="s">
        <v>8558</v>
      </c>
      <c r="N449">
        <f>-635.285425053642 -5.61198745101183 -527.577630933378</f>
        <v>-1168.4750434380319</v>
      </c>
      <c r="O449">
        <f>-659.022765341255 -156.198087701962 -494.454535250143</f>
        <v>-1309.6753882933599</v>
      </c>
      <c r="P449">
        <f>-672.067723679036 -188.786467089464 -214.550331214064</f>
        <v>-1075.4045219825641</v>
      </c>
      <c r="Q449">
        <f>-473.369985952388 -111.263151119626 -306.517042852272</f>
        <v>-891.15017992428602</v>
      </c>
      <c r="R449" t="s">
        <v>8559</v>
      </c>
      <c r="S449" t="s">
        <v>8560</v>
      </c>
      <c r="T449" t="s">
        <v>8561</v>
      </c>
      <c r="U449" t="s">
        <v>8562</v>
      </c>
      <c r="V449">
        <f>-576.704730772581 -54.7915465729398 -91.3859083376236</f>
        <v>-722.88218568314437</v>
      </c>
      <c r="W449" t="s">
        <v>8563</v>
      </c>
      <c r="X449" t="s">
        <v>8564</v>
      </c>
      <c r="Y449" t="s">
        <v>8565</v>
      </c>
    </row>
    <row r="450" spans="1:25" x14ac:dyDescent="0.3">
      <c r="A450">
        <v>22450</v>
      </c>
      <c r="B450" t="s">
        <v>8566</v>
      </c>
      <c r="C450" t="s">
        <v>8567</v>
      </c>
      <c r="D450" t="s">
        <v>8568</v>
      </c>
      <c r="E450" t="s">
        <v>8569</v>
      </c>
      <c r="F450" t="s">
        <v>8570</v>
      </c>
      <c r="G450" t="s">
        <v>8571</v>
      </c>
      <c r="H450" t="s">
        <v>8572</v>
      </c>
      <c r="I450" t="s">
        <v>8573</v>
      </c>
      <c r="J450" t="s">
        <v>8574</v>
      </c>
      <c r="K450" t="s">
        <v>8575</v>
      </c>
      <c r="L450" t="s">
        <v>8576</v>
      </c>
      <c r="M450" t="s">
        <v>8577</v>
      </c>
      <c r="N450">
        <f>-635.107940242859 -5.35808662756699 -527.599438920679</f>
        <v>-1168.065465791105</v>
      </c>
      <c r="O450">
        <f>-658.617122920111 -156.036963123169 -494.721770190746</f>
        <v>-1309.3758562340261</v>
      </c>
      <c r="P450">
        <f>-671.427672375005 -188.690184045969 -214.81415520192</f>
        <v>-1074.9320116228939</v>
      </c>
      <c r="Q450">
        <f>-472.96985061376 -110.878547509236 -307.055040636124</f>
        <v>-890.90343875912004</v>
      </c>
      <c r="R450" t="s">
        <v>8578</v>
      </c>
      <c r="S450" t="s">
        <v>8579</v>
      </c>
      <c r="T450" t="s">
        <v>8580</v>
      </c>
      <c r="U450" t="s">
        <v>8581</v>
      </c>
      <c r="V450">
        <f>-576.503090619114 -54.7641974382304 -91.3677193911817</f>
        <v>-722.63500744852615</v>
      </c>
      <c r="W450" t="s">
        <v>8582</v>
      </c>
      <c r="X450" t="s">
        <v>8583</v>
      </c>
      <c r="Y450" t="s">
        <v>8584</v>
      </c>
    </row>
    <row r="451" spans="1:25" x14ac:dyDescent="0.3">
      <c r="A451">
        <v>22500</v>
      </c>
      <c r="B451" t="s">
        <v>8585</v>
      </c>
      <c r="C451" t="s">
        <v>8586</v>
      </c>
      <c r="D451" t="s">
        <v>8587</v>
      </c>
      <c r="E451" t="s">
        <v>8588</v>
      </c>
      <c r="F451" t="s">
        <v>8589</v>
      </c>
      <c r="G451" t="s">
        <v>8590</v>
      </c>
      <c r="H451" t="s">
        <v>8591</v>
      </c>
      <c r="I451" t="s">
        <v>8592</v>
      </c>
      <c r="J451" t="s">
        <v>8593</v>
      </c>
      <c r="K451" t="s">
        <v>8594</v>
      </c>
      <c r="L451" t="s">
        <v>8595</v>
      </c>
      <c r="M451" t="s">
        <v>8596</v>
      </c>
      <c r="N451">
        <f>-634.717776613048 -5.24944971490527 -527.63942741605</f>
        <v>-1167.6066537440033</v>
      </c>
      <c r="O451">
        <f>-657.938211403045 -156.012026699487 -494.964439525381</f>
        <v>-1308.9146776279131</v>
      </c>
      <c r="P451">
        <f>-669.778929508052 -188.574649562861 -215.003610118093</f>
        <v>-1073.357189189006</v>
      </c>
      <c r="Q451">
        <f>-471.511646605113 -111.4526666246 -308.228018799194</f>
        <v>-891.192332028907</v>
      </c>
      <c r="R451" t="s">
        <v>8597</v>
      </c>
      <c r="S451" t="s">
        <v>8598</v>
      </c>
      <c r="T451" t="s">
        <v>8599</v>
      </c>
      <c r="U451" t="s">
        <v>8600</v>
      </c>
      <c r="V451">
        <f>-576.071674188162 -55.0309114217357 -91.3562453636059</f>
        <v>-722.45883097350361</v>
      </c>
      <c r="W451" t="s">
        <v>8601</v>
      </c>
      <c r="X451" t="s">
        <v>8602</v>
      </c>
      <c r="Y451" t="s">
        <v>8603</v>
      </c>
    </row>
    <row r="452" spans="1:25" x14ac:dyDescent="0.3">
      <c r="A452">
        <v>22550</v>
      </c>
      <c r="B452" t="s">
        <v>8604</v>
      </c>
      <c r="C452" t="s">
        <v>8605</v>
      </c>
      <c r="D452" t="s">
        <v>8606</v>
      </c>
      <c r="E452" t="s">
        <v>8607</v>
      </c>
      <c r="F452" t="s">
        <v>8608</v>
      </c>
      <c r="G452" t="s">
        <v>8609</v>
      </c>
      <c r="H452" t="s">
        <v>8610</v>
      </c>
      <c r="I452" t="s">
        <v>8611</v>
      </c>
      <c r="J452" t="s">
        <v>8612</v>
      </c>
      <c r="K452" t="s">
        <v>8613</v>
      </c>
      <c r="L452" t="s">
        <v>8614</v>
      </c>
      <c r="M452" t="s">
        <v>8615</v>
      </c>
      <c r="N452">
        <f>-634.579152964592 -5.28468218033117 -527.637546471984</f>
        <v>-1167.5013816169071</v>
      </c>
      <c r="O452">
        <f>-657.702309928247 -156.086185216105 -495.044303010984</f>
        <v>-1308.8327981553361</v>
      </c>
      <c r="P452">
        <f>-669.184549897499 -188.682372723914 -215.072454635401</f>
        <v>-1072.9393772568139</v>
      </c>
      <c r="Q452">
        <f>-470.849867778614 -112.129075569643 -308.621822449698</f>
        <v>-891.60076579795498</v>
      </c>
      <c r="R452" t="s">
        <v>8616</v>
      </c>
      <c r="S452" t="s">
        <v>8617</v>
      </c>
      <c r="T452" t="s">
        <v>8618</v>
      </c>
      <c r="U452" t="s">
        <v>8619</v>
      </c>
      <c r="V452">
        <f>-575.853292149181 -55.1690040551102 -91.3578170419166</f>
        <v>-722.38011324620788</v>
      </c>
      <c r="W452" t="s">
        <v>8620</v>
      </c>
      <c r="X452" t="s">
        <v>8621</v>
      </c>
      <c r="Y452" t="s">
        <v>8622</v>
      </c>
    </row>
    <row r="453" spans="1:25" x14ac:dyDescent="0.3">
      <c r="A453">
        <v>22600</v>
      </c>
      <c r="B453" t="s">
        <v>8623</v>
      </c>
      <c r="C453" t="s">
        <v>8624</v>
      </c>
      <c r="D453" t="s">
        <v>8625</v>
      </c>
      <c r="E453" t="s">
        <v>8626</v>
      </c>
      <c r="F453" t="s">
        <v>8627</v>
      </c>
      <c r="G453" t="s">
        <v>8628</v>
      </c>
      <c r="H453" t="s">
        <v>8629</v>
      </c>
      <c r="I453" t="s">
        <v>8630</v>
      </c>
      <c r="J453" t="s">
        <v>8631</v>
      </c>
      <c r="K453" t="s">
        <v>8632</v>
      </c>
      <c r="L453" t="s">
        <v>8633</v>
      </c>
      <c r="M453" t="s">
        <v>8634</v>
      </c>
      <c r="N453">
        <f>-634.386272903784 -5.32935033564172 -527.644417542614</f>
        <v>-1167.3600407820395</v>
      </c>
      <c r="O453">
        <f>-657.449220129034 -156.187606075767 -495.264487716929</f>
        <v>-1308.90131392173</v>
      </c>
      <c r="P453">
        <f>-669.013031072471 -189.030306443399 -215.324946177421</f>
        <v>-1073.368283693291</v>
      </c>
      <c r="Q453">
        <f>-470.988546827376 -112.754898764387 -309.75423380804</f>
        <v>-893.49767939980302</v>
      </c>
      <c r="R453" t="s">
        <v>8635</v>
      </c>
      <c r="S453" t="s">
        <v>8636</v>
      </c>
      <c r="T453" t="s">
        <v>8637</v>
      </c>
      <c r="U453" t="s">
        <v>8638</v>
      </c>
      <c r="V453">
        <f>-575.467544637592 -55.7584469740657 -91.3358301642703</f>
        <v>-722.56182177592802</v>
      </c>
      <c r="W453" t="s">
        <v>8639</v>
      </c>
      <c r="X453" t="s">
        <v>8640</v>
      </c>
      <c r="Y453" t="s">
        <v>8641</v>
      </c>
    </row>
    <row r="454" spans="1:25" x14ac:dyDescent="0.3">
      <c r="A454">
        <v>22650</v>
      </c>
      <c r="B454" t="s">
        <v>8642</v>
      </c>
      <c r="C454" t="s">
        <v>8643</v>
      </c>
      <c r="D454" t="s">
        <v>8644</v>
      </c>
      <c r="E454" t="s">
        <v>8645</v>
      </c>
      <c r="F454" t="s">
        <v>8646</v>
      </c>
      <c r="G454" t="s">
        <v>8647</v>
      </c>
      <c r="H454" t="s">
        <v>8648</v>
      </c>
      <c r="I454" t="s">
        <v>8649</v>
      </c>
      <c r="J454" t="s">
        <v>8650</v>
      </c>
      <c r="K454" t="s">
        <v>8651</v>
      </c>
      <c r="L454" t="s">
        <v>8652</v>
      </c>
      <c r="M454" t="s">
        <v>8653</v>
      </c>
      <c r="N454">
        <f>-634.011475339777 -5.42726982852605 -527.679437517993</f>
        <v>-1167.1181826862962</v>
      </c>
      <c r="O454">
        <f>-657.214461699952 -156.282597479449 -495.381923206554</f>
        <v>-1308.8789823859552</v>
      </c>
      <c r="P454">
        <f>-668.969268252717 -189.234573576484 -215.46309671079</f>
        <v>-1073.666938539991</v>
      </c>
      <c r="Q454">
        <f>-470.990644949399 -113.246054852325 -310.219287716843</f>
        <v>-894.45598751856687</v>
      </c>
      <c r="R454" t="s">
        <v>8654</v>
      </c>
      <c r="S454" t="s">
        <v>8655</v>
      </c>
      <c r="T454" t="s">
        <v>8656</v>
      </c>
      <c r="U454" t="s">
        <v>8657</v>
      </c>
      <c r="V454">
        <f>-575.096068765376 -56.1540823176244 -91.3143493451532</f>
        <v>-722.56450042815368</v>
      </c>
      <c r="W454" t="s">
        <v>8658</v>
      </c>
      <c r="X454" t="s">
        <v>8659</v>
      </c>
      <c r="Y454" t="s">
        <v>8660</v>
      </c>
    </row>
    <row r="455" spans="1:25" x14ac:dyDescent="0.3">
      <c r="A455">
        <v>22700</v>
      </c>
      <c r="B455" t="s">
        <v>8661</v>
      </c>
      <c r="C455" t="s">
        <v>8662</v>
      </c>
      <c r="D455" t="s">
        <v>8663</v>
      </c>
      <c r="E455" t="s">
        <v>8664</v>
      </c>
      <c r="F455" t="s">
        <v>8665</v>
      </c>
      <c r="G455" t="s">
        <v>8666</v>
      </c>
      <c r="H455" t="s">
        <v>8667</v>
      </c>
      <c r="I455" t="s">
        <v>8668</v>
      </c>
      <c r="J455" t="s">
        <v>8669</v>
      </c>
      <c r="K455" t="s">
        <v>8670</v>
      </c>
      <c r="L455" t="s">
        <v>8671</v>
      </c>
      <c r="M455" t="s">
        <v>8672</v>
      </c>
      <c r="N455">
        <f>-633.261637641331 -5.68875477287452 -527.686914983838</f>
        <v>-1166.6373073980435</v>
      </c>
      <c r="O455">
        <f>-656.887682277077 -156.478566931148 -495.425089809279</f>
        <v>-1308.791339017504</v>
      </c>
      <c r="P455">
        <f>-669.697061963643 -189.156554792846 -215.52033215191</f>
        <v>-1074.3739489083991</v>
      </c>
      <c r="Q455">
        <f>-470.81149331999 -114.747563261941 -309.628569792254</f>
        <v>-895.18762637418502</v>
      </c>
      <c r="R455" t="s">
        <v>8673</v>
      </c>
      <c r="S455" t="s">
        <v>8674</v>
      </c>
      <c r="T455" t="s">
        <v>8675</v>
      </c>
      <c r="U455" t="s">
        <v>8676</v>
      </c>
      <c r="V455">
        <f>-574.628601091129 -56.8988469983728 -91.2643630990283</f>
        <v>-722.79181118853012</v>
      </c>
      <c r="W455" t="s">
        <v>8677</v>
      </c>
      <c r="X455" t="s">
        <v>8678</v>
      </c>
      <c r="Y455" t="s">
        <v>8679</v>
      </c>
    </row>
    <row r="456" spans="1:25" x14ac:dyDescent="0.3">
      <c r="A456">
        <v>22750</v>
      </c>
      <c r="B456" t="s">
        <v>8680</v>
      </c>
      <c r="C456" t="s">
        <v>8681</v>
      </c>
      <c r="D456" t="s">
        <v>8682</v>
      </c>
      <c r="E456" t="s">
        <v>8683</v>
      </c>
      <c r="F456" t="s">
        <v>8684</v>
      </c>
      <c r="G456" t="s">
        <v>8685</v>
      </c>
      <c r="H456" t="s">
        <v>8686</v>
      </c>
      <c r="I456" t="s">
        <v>8687</v>
      </c>
      <c r="J456" t="s">
        <v>8688</v>
      </c>
      <c r="K456" t="s">
        <v>8689</v>
      </c>
      <c r="L456" t="s">
        <v>8690</v>
      </c>
      <c r="M456" t="s">
        <v>8691</v>
      </c>
      <c r="N456">
        <f>-632.754928616687 -5.86645522046933 -527.662772977021</f>
        <v>-1166.2841568141773</v>
      </c>
      <c r="O456">
        <f>-656.677301423982 -156.608625581515 -495.391634222118</f>
        <v>-1308.6775612276151</v>
      </c>
      <c r="P456">
        <f>-670.121299581686 -188.994289567615 -215.482589635437</f>
        <v>-1074.5981787847381</v>
      </c>
      <c r="Q456">
        <f>-470.400265794945 -115.72763614108 -308.713528791697</f>
        <v>-894.84143072772213</v>
      </c>
      <c r="R456" t="s">
        <v>8692</v>
      </c>
      <c r="S456" t="s">
        <v>8693</v>
      </c>
      <c r="T456" t="s">
        <v>8694</v>
      </c>
      <c r="U456" t="s">
        <v>8695</v>
      </c>
      <c r="V456">
        <f>-574.37542437484 -57.1986693648964 -91.2270978776629</f>
        <v>-722.80119161739935</v>
      </c>
      <c r="W456" t="s">
        <v>8696</v>
      </c>
      <c r="X456" t="s">
        <v>8697</v>
      </c>
      <c r="Y456" t="s">
        <v>8698</v>
      </c>
    </row>
    <row r="457" spans="1:25" x14ac:dyDescent="0.3">
      <c r="A457">
        <v>22800</v>
      </c>
      <c r="B457" t="s">
        <v>8699</v>
      </c>
      <c r="C457" t="s">
        <v>8700</v>
      </c>
      <c r="D457" t="s">
        <v>8701</v>
      </c>
      <c r="E457" t="s">
        <v>8702</v>
      </c>
      <c r="F457" t="s">
        <v>8703</v>
      </c>
      <c r="G457" t="s">
        <v>8704</v>
      </c>
      <c r="H457" t="s">
        <v>8705</v>
      </c>
      <c r="I457" t="s">
        <v>8706</v>
      </c>
      <c r="J457" t="s">
        <v>8707</v>
      </c>
      <c r="K457" t="s">
        <v>8708</v>
      </c>
      <c r="L457" t="s">
        <v>8709</v>
      </c>
      <c r="M457" t="s">
        <v>8710</v>
      </c>
      <c r="N457">
        <f>-632.027639621444 -6.25376559268375 -527.601757026057</f>
        <v>-1165.8831622401849</v>
      </c>
      <c r="O457">
        <f>-656.299779577777 -156.917161975861 -495.252875587146</f>
        <v>-1308.469817140784</v>
      </c>
      <c r="P457">
        <f>-671.043587651346 -189.564975581586 -215.439974154635</f>
        <v>-1076.048537387567</v>
      </c>
      <c r="Q457">
        <f>-470.294862828783 -117.087962469647 -307.067302171903</f>
        <v>-894.45012747033297</v>
      </c>
      <c r="R457" t="s">
        <v>8711</v>
      </c>
      <c r="S457" t="s">
        <v>8712</v>
      </c>
      <c r="T457" t="s">
        <v>8713</v>
      </c>
      <c r="U457" t="s">
        <v>8714</v>
      </c>
      <c r="V457">
        <f>-574.111583195935 -57.6806544669805 -91.1670034970521</f>
        <v>-722.95924115996763</v>
      </c>
      <c r="W457" t="s">
        <v>8715</v>
      </c>
      <c r="X457" t="s">
        <v>8716</v>
      </c>
      <c r="Y457" t="s">
        <v>8717</v>
      </c>
    </row>
    <row r="458" spans="1:25" x14ac:dyDescent="0.3">
      <c r="A458">
        <v>22850</v>
      </c>
      <c r="B458" t="s">
        <v>8718</v>
      </c>
      <c r="C458" t="s">
        <v>8719</v>
      </c>
      <c r="D458" t="s">
        <v>8720</v>
      </c>
      <c r="E458" t="s">
        <v>8721</v>
      </c>
      <c r="F458" t="s">
        <v>8722</v>
      </c>
      <c r="G458" t="s">
        <v>8723</v>
      </c>
      <c r="H458" t="s">
        <v>8724</v>
      </c>
      <c r="I458" t="s">
        <v>8725</v>
      </c>
      <c r="J458" t="s">
        <v>8726</v>
      </c>
      <c r="K458" t="s">
        <v>8727</v>
      </c>
      <c r="L458" t="s">
        <v>8728</v>
      </c>
      <c r="M458" t="s">
        <v>8729</v>
      </c>
      <c r="N458">
        <f>-631.795528435872 -6.43182771383499 -527.621892952219</f>
        <v>-1165.849249101926</v>
      </c>
      <c r="O458">
        <f>-656.109450638007 -157.088896466378 -495.222100459007</f>
        <v>-1308.4204475633919</v>
      </c>
      <c r="P458">
        <f>-671.416811061464 -189.668880157461 -215.43148277134</f>
        <v>-1076.5171739902651</v>
      </c>
      <c r="Q458">
        <f>-470.52608472143 -117.24752077011 -306.791171870483</f>
        <v>-894.56477736202305</v>
      </c>
      <c r="R458" t="s">
        <v>8730</v>
      </c>
      <c r="S458" t="s">
        <v>8731</v>
      </c>
      <c r="T458" t="s">
        <v>8732</v>
      </c>
      <c r="U458" t="s">
        <v>8733</v>
      </c>
      <c r="V458">
        <f>-574.029178457711 -57.9354236985562 -91.1879774946234</f>
        <v>-723.15257965089063</v>
      </c>
      <c r="W458" t="s">
        <v>8734</v>
      </c>
      <c r="X458" t="s">
        <v>8735</v>
      </c>
      <c r="Y458" t="s">
        <v>8736</v>
      </c>
    </row>
    <row r="459" spans="1:25" x14ac:dyDescent="0.3">
      <c r="A459">
        <v>22900</v>
      </c>
      <c r="B459" t="s">
        <v>8737</v>
      </c>
      <c r="C459" t="s">
        <v>8738</v>
      </c>
      <c r="D459" t="s">
        <v>8739</v>
      </c>
      <c r="E459" t="s">
        <v>8740</v>
      </c>
      <c r="F459" t="s">
        <v>8741</v>
      </c>
      <c r="G459" t="s">
        <v>8742</v>
      </c>
      <c r="H459" t="s">
        <v>8743</v>
      </c>
      <c r="I459" t="s">
        <v>8744</v>
      </c>
      <c r="J459" t="s">
        <v>8745</v>
      </c>
      <c r="K459" t="s">
        <v>8746</v>
      </c>
      <c r="L459" t="s">
        <v>8747</v>
      </c>
      <c r="M459" t="s">
        <v>8748</v>
      </c>
      <c r="N459">
        <f>-631.655676415872 -6.79239038553783 -527.685665960394</f>
        <v>-1166.1337327618039</v>
      </c>
      <c r="O459">
        <f>-655.971970678086 -157.438879595021 -495.269065670411</f>
        <v>-1308.6799159435182</v>
      </c>
      <c r="P459">
        <f>-671.696067017622 -189.661594808781 -215.4601454305</f>
        <v>-1076.8178072569031</v>
      </c>
      <c r="Q459">
        <f>-470.639329794895 -117.277804946187 -306.483832772832</f>
        <v>-894.400967513914</v>
      </c>
      <c r="R459" t="s">
        <v>8749</v>
      </c>
      <c r="S459" t="s">
        <v>8750</v>
      </c>
      <c r="T459" t="s">
        <v>8751</v>
      </c>
      <c r="U459" t="s">
        <v>8752</v>
      </c>
      <c r="V459">
        <f>-574.141979931198 -58.3006822050374 -91.2270461585578</f>
        <v>-723.66970829479317</v>
      </c>
      <c r="W459" t="s">
        <v>8753</v>
      </c>
      <c r="X459" t="s">
        <v>8754</v>
      </c>
      <c r="Y459" t="s">
        <v>8755</v>
      </c>
    </row>
    <row r="460" spans="1:25" x14ac:dyDescent="0.3">
      <c r="A460">
        <v>22950</v>
      </c>
      <c r="B460" t="s">
        <v>8756</v>
      </c>
      <c r="C460" t="s">
        <v>8757</v>
      </c>
      <c r="D460" t="s">
        <v>8758</v>
      </c>
      <c r="E460" t="s">
        <v>8759</v>
      </c>
      <c r="F460" t="s">
        <v>8760</v>
      </c>
      <c r="G460" t="s">
        <v>8761</v>
      </c>
      <c r="H460" t="s">
        <v>8762</v>
      </c>
      <c r="I460" t="s">
        <v>8763</v>
      </c>
      <c r="J460" t="s">
        <v>8764</v>
      </c>
      <c r="K460" t="s">
        <v>8765</v>
      </c>
      <c r="L460" t="s">
        <v>8766</v>
      </c>
      <c r="M460" t="s">
        <v>8767</v>
      </c>
      <c r="N460">
        <f>-631.705717387164 -6.96784118441178 -527.691974561004</f>
        <v>-1166.3655331325799</v>
      </c>
      <c r="O460">
        <f>-655.902197351836 -157.627900596838 -495.231212405398</f>
        <v>-1308.7613103540721</v>
      </c>
      <c r="P460">
        <f>-671.627218567931 -189.792802046421 -215.415485071839</f>
        <v>-1076.835505686191</v>
      </c>
      <c r="Q460">
        <f>-470.50087344935 -117.365052963519 -306.250364683869</f>
        <v>-894.116291096738</v>
      </c>
      <c r="R460" t="s">
        <v>8768</v>
      </c>
      <c r="S460" t="s">
        <v>8769</v>
      </c>
      <c r="T460" t="s">
        <v>8770</v>
      </c>
      <c r="U460" t="s">
        <v>8771</v>
      </c>
      <c r="V460">
        <f>-574.166957174552 -58.4816179185814 -91.2480253011772</f>
        <v>-723.89660039431055</v>
      </c>
      <c r="W460" t="s">
        <v>8772</v>
      </c>
      <c r="X460" t="s">
        <v>8773</v>
      </c>
      <c r="Y460" t="s">
        <v>8774</v>
      </c>
    </row>
    <row r="461" spans="1:25" x14ac:dyDescent="0.3">
      <c r="A461">
        <v>23000</v>
      </c>
      <c r="B461" t="s">
        <v>8775</v>
      </c>
      <c r="C461" t="s">
        <v>8776</v>
      </c>
      <c r="D461" t="s">
        <v>8777</v>
      </c>
      <c r="E461" t="s">
        <v>8778</v>
      </c>
      <c r="F461" t="s">
        <v>8779</v>
      </c>
      <c r="G461" t="s">
        <v>8780</v>
      </c>
      <c r="H461" t="s">
        <v>8781</v>
      </c>
      <c r="I461" t="s">
        <v>8782</v>
      </c>
      <c r="J461" t="s">
        <v>8783</v>
      </c>
      <c r="K461" t="s">
        <v>8784</v>
      </c>
      <c r="L461" t="s">
        <v>8785</v>
      </c>
      <c r="M461" t="s">
        <v>8786</v>
      </c>
      <c r="N461">
        <f>-631.688689111765 -7.31817988620583 -527.793491349232</f>
        <v>-1166.800360347203</v>
      </c>
      <c r="O461">
        <f>-655.63483170007 -158.010028751519 -495.298303689012</f>
        <v>-1308.9431641406011</v>
      </c>
      <c r="P461">
        <f>-671.315952327212 -190.394983649427 -215.505740396972</f>
        <v>-1077.2166763736109</v>
      </c>
      <c r="Q461">
        <f>-469.962560650199 -117.600479992956 -305.540725818777</f>
        <v>-893.10376646193197</v>
      </c>
      <c r="R461" t="s">
        <v>8787</v>
      </c>
      <c r="S461" t="s">
        <v>8788</v>
      </c>
      <c r="T461" t="s">
        <v>8789</v>
      </c>
      <c r="U461" t="s">
        <v>8790</v>
      </c>
      <c r="V461">
        <f>-574.2094674144 -58.821258894345 -91.3199876981721</f>
        <v>-724.35071400691709</v>
      </c>
      <c r="W461" t="s">
        <v>8791</v>
      </c>
      <c r="X461" t="s">
        <v>8792</v>
      </c>
      <c r="Y461" t="s">
        <v>8793</v>
      </c>
    </row>
    <row r="462" spans="1:25" x14ac:dyDescent="0.3">
      <c r="A462">
        <v>23050</v>
      </c>
      <c r="B462" t="s">
        <v>8794</v>
      </c>
      <c r="C462" t="s">
        <v>8795</v>
      </c>
      <c r="D462" t="s">
        <v>8796</v>
      </c>
      <c r="E462" t="s">
        <v>8797</v>
      </c>
      <c r="F462" t="s">
        <v>8798</v>
      </c>
      <c r="G462" t="s">
        <v>8799</v>
      </c>
      <c r="H462" t="s">
        <v>8800</v>
      </c>
      <c r="I462" t="s">
        <v>8801</v>
      </c>
      <c r="J462" t="s">
        <v>8802</v>
      </c>
      <c r="K462" t="s">
        <v>8803</v>
      </c>
      <c r="L462" t="s">
        <v>8804</v>
      </c>
      <c r="M462" t="s">
        <v>8805</v>
      </c>
      <c r="N462">
        <f>-631.586967987298 -7.5264827569049 -527.852440278583</f>
        <v>-1166.9658910227859</v>
      </c>
      <c r="O462">
        <f>-655.355441755752 -158.247567308394 -495.375331758932</f>
        <v>-1308.978340823078</v>
      </c>
      <c r="P462">
        <f>-671.204950067003 -190.838687147348 -215.616203403828</f>
        <v>-1077.659840618179</v>
      </c>
      <c r="Q462">
        <f>-469.766113150071 -117.708688114611 -305.187079967772</f>
        <v>-892.66188123245399</v>
      </c>
      <c r="R462" t="s">
        <v>8806</v>
      </c>
      <c r="S462" t="s">
        <v>8807</v>
      </c>
      <c r="T462" t="s">
        <v>8808</v>
      </c>
      <c r="U462" t="s">
        <v>8809</v>
      </c>
      <c r="V462">
        <f>-574.201949220027 -58.9636570143971 -91.3486023422738</f>
        <v>-724.51420857669791</v>
      </c>
      <c r="W462" t="s">
        <v>8810</v>
      </c>
      <c r="X462" t="s">
        <v>8811</v>
      </c>
      <c r="Y462" t="s">
        <v>8812</v>
      </c>
    </row>
    <row r="463" spans="1:25" x14ac:dyDescent="0.3">
      <c r="A463">
        <v>23100</v>
      </c>
      <c r="B463" t="s">
        <v>8813</v>
      </c>
      <c r="C463" t="s">
        <v>8814</v>
      </c>
      <c r="D463" t="s">
        <v>8815</v>
      </c>
      <c r="E463" t="s">
        <v>8816</v>
      </c>
      <c r="F463" t="s">
        <v>8817</v>
      </c>
      <c r="G463" t="s">
        <v>8818</v>
      </c>
      <c r="H463" t="s">
        <v>8819</v>
      </c>
      <c r="I463" t="s">
        <v>8820</v>
      </c>
      <c r="J463" t="s">
        <v>8821</v>
      </c>
      <c r="K463" t="s">
        <v>8822</v>
      </c>
      <c r="L463" t="s">
        <v>8823</v>
      </c>
      <c r="M463" t="s">
        <v>8824</v>
      </c>
      <c r="N463">
        <f>-631.66894589723 -7.76668365492924 -527.853119882901</f>
        <v>-1167.2887494350603</v>
      </c>
      <c r="O463">
        <f>-655.102639595104 -158.546330063442 -495.380415088687</f>
        <v>-1309.0293847472331</v>
      </c>
      <c r="P463">
        <f>-671.218308259104 -191.233276252678 -215.647645439292</f>
        <v>-1078.099229951074</v>
      </c>
      <c r="Q463">
        <f>-469.873281908862 -117.592891063102 -305.010954305294</f>
        <v>-892.47712727725798</v>
      </c>
      <c r="R463" t="s">
        <v>8825</v>
      </c>
      <c r="S463" t="s">
        <v>8826</v>
      </c>
      <c r="T463" t="s">
        <v>8827</v>
      </c>
      <c r="U463" t="s">
        <v>8828</v>
      </c>
      <c r="V463">
        <f>-574.240024851935 -59.1430676524092 -91.3452746086293</f>
        <v>-724.7283671129735</v>
      </c>
      <c r="W463" t="s">
        <v>8829</v>
      </c>
      <c r="X463" t="s">
        <v>8830</v>
      </c>
      <c r="Y463" t="s">
        <v>8831</v>
      </c>
    </row>
    <row r="464" spans="1:25" x14ac:dyDescent="0.3">
      <c r="A464">
        <v>23150</v>
      </c>
      <c r="B464" t="s">
        <v>8832</v>
      </c>
      <c r="C464" t="s">
        <v>8833</v>
      </c>
      <c r="D464" t="s">
        <v>8834</v>
      </c>
      <c r="E464" t="s">
        <v>8835</v>
      </c>
      <c r="F464" t="s">
        <v>8836</v>
      </c>
      <c r="G464" t="s">
        <v>8837</v>
      </c>
      <c r="H464" t="s">
        <v>8838</v>
      </c>
      <c r="I464" t="s">
        <v>8839</v>
      </c>
      <c r="J464" t="s">
        <v>8840</v>
      </c>
      <c r="K464" t="s">
        <v>8841</v>
      </c>
      <c r="L464" t="s">
        <v>8842</v>
      </c>
      <c r="M464" t="s">
        <v>8843</v>
      </c>
      <c r="N464">
        <f>-631.860962415544 -7.80083098175464 -527.823950673313</f>
        <v>-1167.4857440706116</v>
      </c>
      <c r="O464">
        <f>-655.128741615595 -158.604087676964 -495.365874912808</f>
        <v>-1309.0987042053671</v>
      </c>
      <c r="P464">
        <f>-671.237088700855 -191.386142210552 -215.643746133616</f>
        <v>-1078.2669770450229</v>
      </c>
      <c r="Q464">
        <f>-470.097508168884 -117.38772980914 -305.173927555529</f>
        <v>-892.65916553355305</v>
      </c>
      <c r="R464" t="s">
        <v>8844</v>
      </c>
      <c r="S464" t="s">
        <v>8845</v>
      </c>
      <c r="T464" t="s">
        <v>8846</v>
      </c>
      <c r="U464" t="s">
        <v>8847</v>
      </c>
      <c r="V464">
        <f>-574.279735516425 -59.1432033007497 -91.3272059799526</f>
        <v>-724.7501447971274</v>
      </c>
      <c r="W464" t="s">
        <v>8848</v>
      </c>
      <c r="X464" t="s">
        <v>8849</v>
      </c>
      <c r="Y464" t="s">
        <v>8850</v>
      </c>
    </row>
    <row r="465" spans="1:25" x14ac:dyDescent="0.3">
      <c r="A465">
        <v>23200</v>
      </c>
      <c r="B465" t="s">
        <v>8851</v>
      </c>
      <c r="C465" t="s">
        <v>8852</v>
      </c>
      <c r="D465" t="s">
        <v>8853</v>
      </c>
      <c r="E465" t="s">
        <v>8854</v>
      </c>
      <c r="F465" t="s">
        <v>8855</v>
      </c>
      <c r="G465" t="s">
        <v>8856</v>
      </c>
      <c r="H465" t="s">
        <v>8857</v>
      </c>
      <c r="I465" t="s">
        <v>8858</v>
      </c>
      <c r="J465" t="s">
        <v>8859</v>
      </c>
      <c r="K465" t="s">
        <v>8860</v>
      </c>
      <c r="L465" t="s">
        <v>8861</v>
      </c>
      <c r="M465" t="s">
        <v>8862</v>
      </c>
      <c r="N465">
        <f>-632.283765088473 -7.65736674511209 -527.827707461298</f>
        <v>-1167.768839294883</v>
      </c>
      <c r="O465">
        <f>-655.198187351562 -158.518466617991 -495.378856251921</f>
        <v>-1309.0955102214739</v>
      </c>
      <c r="P465">
        <f>-671.067904970529 -191.294792062275 -215.642479941671</f>
        <v>-1078.005176974475</v>
      </c>
      <c r="Q465">
        <f>-470.40846646568 -116.799777380099 -305.835605020751</f>
        <v>-893.04384886653008</v>
      </c>
      <c r="R465" t="s">
        <v>8863</v>
      </c>
      <c r="S465" t="s">
        <v>8864</v>
      </c>
      <c r="T465" t="s">
        <v>8865</v>
      </c>
      <c r="U465" t="s">
        <v>8866</v>
      </c>
      <c r="V465">
        <f>-574.538195359651 -58.8838351844272 -91.3274999387451</f>
        <v>-724.74953048282327</v>
      </c>
      <c r="W465" t="s">
        <v>8867</v>
      </c>
      <c r="X465" t="s">
        <v>8868</v>
      </c>
      <c r="Y465" t="s">
        <v>8869</v>
      </c>
    </row>
    <row r="466" spans="1:25" x14ac:dyDescent="0.3">
      <c r="A466">
        <v>23250</v>
      </c>
      <c r="B466" t="s">
        <v>8870</v>
      </c>
      <c r="C466" t="s">
        <v>8871</v>
      </c>
      <c r="D466" t="s">
        <v>8872</v>
      </c>
      <c r="E466" t="s">
        <v>8873</v>
      </c>
      <c r="F466" t="s">
        <v>8874</v>
      </c>
      <c r="G466" t="s">
        <v>8875</v>
      </c>
      <c r="H466" t="s">
        <v>8876</v>
      </c>
      <c r="I466" t="s">
        <v>8877</v>
      </c>
      <c r="J466" t="s">
        <v>8878</v>
      </c>
      <c r="K466" t="s">
        <v>8879</v>
      </c>
      <c r="L466" t="s">
        <v>8880</v>
      </c>
      <c r="M466" t="s">
        <v>8881</v>
      </c>
      <c r="N466">
        <f>-632.346835147392 -7.64641190752695 -527.828092510936</f>
        <v>-1167.8213395658549</v>
      </c>
      <c r="O466">
        <f>-655.164848583356 -158.522367440795 -495.405950550251</f>
        <v>-1309.0931665744019</v>
      </c>
      <c r="P466">
        <f>-670.913652715437 -191.545512896798 -215.691843524331</f>
        <v>-1078.151009136566</v>
      </c>
      <c r="Q466">
        <f>-470.497844865033 -116.767443420428 -306.191995143914</f>
        <v>-893.45728342937502</v>
      </c>
      <c r="R466" t="s">
        <v>8882</v>
      </c>
      <c r="S466" t="s">
        <v>8883</v>
      </c>
      <c r="T466" t="s">
        <v>8884</v>
      </c>
      <c r="U466" t="s">
        <v>8885</v>
      </c>
      <c r="V466">
        <f>-574.652369065589 -58.7161822079845 -91.3348118938291</f>
        <v>-724.70336316740259</v>
      </c>
      <c r="W466" t="s">
        <v>8886</v>
      </c>
      <c r="X466" t="s">
        <v>8887</v>
      </c>
      <c r="Y466" t="s">
        <v>8888</v>
      </c>
    </row>
    <row r="467" spans="1:25" x14ac:dyDescent="0.3">
      <c r="A467">
        <v>23300</v>
      </c>
      <c r="B467" t="s">
        <v>8889</v>
      </c>
      <c r="C467" t="s">
        <v>8890</v>
      </c>
      <c r="D467" t="s">
        <v>8891</v>
      </c>
      <c r="E467" t="s">
        <v>8892</v>
      </c>
      <c r="F467" t="s">
        <v>8893</v>
      </c>
      <c r="G467" t="s">
        <v>8894</v>
      </c>
      <c r="H467" t="s">
        <v>8895</v>
      </c>
      <c r="I467" t="s">
        <v>8896</v>
      </c>
      <c r="J467" t="s">
        <v>8897</v>
      </c>
      <c r="K467" t="s">
        <v>8898</v>
      </c>
      <c r="L467" t="s">
        <v>8899</v>
      </c>
      <c r="M467" t="s">
        <v>8900</v>
      </c>
      <c r="N467">
        <f>-632.529422647118 -7.82760080481762 -527.831340064024</f>
        <v>-1168.1883635159597</v>
      </c>
      <c r="O467">
        <f>-655.294202266024 -158.714297628875 -495.372553303461</f>
        <v>-1309.38105319836</v>
      </c>
      <c r="P467">
        <f>-670.724387137667 -191.778022920399 -215.645374560464</f>
        <v>-1078.1477846185301</v>
      </c>
      <c r="Q467">
        <f>-470.596793577803 -117.127420861632 -306.885468161529</f>
        <v>-894.60968260096388</v>
      </c>
      <c r="R467" t="s">
        <v>8901</v>
      </c>
      <c r="S467" t="s">
        <v>8902</v>
      </c>
      <c r="T467" t="s">
        <v>8903</v>
      </c>
      <c r="U467" t="s">
        <v>8904</v>
      </c>
      <c r="V467">
        <f>-574.87978961081 -58.7042941765931 -91.3809151794979</f>
        <v>-724.96499896690102</v>
      </c>
      <c r="W467" t="s">
        <v>8905</v>
      </c>
      <c r="X467" t="s">
        <v>8906</v>
      </c>
      <c r="Y467" t="s">
        <v>8907</v>
      </c>
    </row>
    <row r="468" spans="1:25" x14ac:dyDescent="0.3">
      <c r="A468">
        <v>23350</v>
      </c>
      <c r="B468" t="s">
        <v>8908</v>
      </c>
      <c r="C468" t="s">
        <v>8909</v>
      </c>
      <c r="D468" t="s">
        <v>8910</v>
      </c>
      <c r="E468" t="s">
        <v>8911</v>
      </c>
      <c r="F468" t="s">
        <v>8912</v>
      </c>
      <c r="G468" t="s">
        <v>8913</v>
      </c>
      <c r="H468" t="s">
        <v>8914</v>
      </c>
      <c r="I468" t="s">
        <v>8915</v>
      </c>
      <c r="J468" t="s">
        <v>8916</v>
      </c>
      <c r="K468" t="s">
        <v>8917</v>
      </c>
      <c r="L468" t="s">
        <v>8918</v>
      </c>
      <c r="M468" t="s">
        <v>8919</v>
      </c>
      <c r="N468">
        <f>-632.542644942308 -7.90443119396241 -527.794547358218</f>
        <v>-1168.2416234944885</v>
      </c>
      <c r="O468">
        <f>-655.382391988606 -158.76970885264 -495.322911997074</f>
        <v>-1309.47501283832</v>
      </c>
      <c r="P468">
        <f>-670.692357349724 -191.804631215158 -215.585731063265</f>
        <v>-1078.0827196281471</v>
      </c>
      <c r="Q468">
        <f>-470.664809675962 -117.281929690347 -307.149217789374</f>
        <v>-895.09595715568298</v>
      </c>
      <c r="R468" t="s">
        <v>8920</v>
      </c>
      <c r="S468" t="s">
        <v>8921</v>
      </c>
      <c r="T468" t="s">
        <v>8922</v>
      </c>
      <c r="U468" t="s">
        <v>8923</v>
      </c>
      <c r="V468">
        <f>-574.746852355196 -58.6248692743065 -91.3599474222646</f>
        <v>-724.73166905176708</v>
      </c>
      <c r="W468" t="s">
        <v>8924</v>
      </c>
      <c r="X468" t="s">
        <v>8925</v>
      </c>
      <c r="Y468" t="s">
        <v>8926</v>
      </c>
    </row>
    <row r="469" spans="1:25" x14ac:dyDescent="0.3">
      <c r="A469">
        <v>23400</v>
      </c>
      <c r="B469" t="s">
        <v>8927</v>
      </c>
      <c r="C469" t="s">
        <v>8928</v>
      </c>
      <c r="D469" t="s">
        <v>8929</v>
      </c>
      <c r="E469" t="s">
        <v>8930</v>
      </c>
      <c r="F469" t="s">
        <v>8931</v>
      </c>
      <c r="G469" t="s">
        <v>8932</v>
      </c>
      <c r="H469" t="s">
        <v>8933</v>
      </c>
      <c r="I469" t="s">
        <v>8934</v>
      </c>
      <c r="J469" t="s">
        <v>8935</v>
      </c>
      <c r="K469" t="s">
        <v>8936</v>
      </c>
      <c r="L469" t="s">
        <v>8937</v>
      </c>
      <c r="M469" t="s">
        <v>8938</v>
      </c>
      <c r="N469">
        <f>-631.748737774651 -7.72097074221074 -527.48233842888</f>
        <v>-1166.9520469457416</v>
      </c>
      <c r="O469">
        <f>-654.864266053983 -158.551631381845 -495.01119743401</f>
        <v>-1308.4270948698381</v>
      </c>
      <c r="P469">
        <f>-670.230236551272 -191.604846411208 -215.279188209498</f>
        <v>-1077.1142711719781</v>
      </c>
      <c r="Q469">
        <f>-470.267288292617 -117.392520860295 -307.235061085201</f>
        <v>-894.89487023811296</v>
      </c>
      <c r="R469" t="s">
        <v>8939</v>
      </c>
      <c r="S469" t="s">
        <v>8940</v>
      </c>
      <c r="T469" t="s">
        <v>8941</v>
      </c>
      <c r="U469" t="s">
        <v>8942</v>
      </c>
      <c r="V469">
        <f>-573.263116104898 -58.382205888189 -90.9589265396723</f>
        <v>-722.60424853275936</v>
      </c>
      <c r="W469" t="s">
        <v>8943</v>
      </c>
      <c r="X469" t="s">
        <v>8944</v>
      </c>
      <c r="Y469" t="s">
        <v>8945</v>
      </c>
    </row>
    <row r="470" spans="1:25" x14ac:dyDescent="0.3">
      <c r="A470">
        <v>23450</v>
      </c>
      <c r="B470" t="s">
        <v>8946</v>
      </c>
      <c r="C470" t="s">
        <v>8947</v>
      </c>
      <c r="D470" t="s">
        <v>8948</v>
      </c>
      <c r="E470" t="s">
        <v>8949</v>
      </c>
      <c r="F470" t="s">
        <v>8950</v>
      </c>
      <c r="G470" t="s">
        <v>8951</v>
      </c>
      <c r="H470" t="s">
        <v>8952</v>
      </c>
      <c r="I470" t="s">
        <v>8953</v>
      </c>
      <c r="J470" t="s">
        <v>8954</v>
      </c>
      <c r="K470" t="s">
        <v>8955</v>
      </c>
      <c r="L470" t="s">
        <v>8956</v>
      </c>
      <c r="M470" t="s">
        <v>8957</v>
      </c>
      <c r="N470">
        <f>-631.172269822493 -7.66320491235251 -527.206258535566</f>
        <v>-1166.0417332704114</v>
      </c>
      <c r="O470">
        <f>-654.412155162197 -158.471232666464 -494.729247635837</f>
        <v>-1307.612635464498</v>
      </c>
      <c r="P470">
        <f>-670.040837016534 -191.48113696724 -215.006710022879</f>
        <v>-1076.5286840066531</v>
      </c>
      <c r="Q470">
        <f>-469.963600322341 -117.506729069675 -306.905786803575</f>
        <v>-894.37611619559095</v>
      </c>
      <c r="R470" t="s">
        <v>8958</v>
      </c>
      <c r="S470" t="s">
        <v>8959</v>
      </c>
      <c r="T470" t="s">
        <v>8960</v>
      </c>
      <c r="U470" t="s">
        <v>8961</v>
      </c>
      <c r="V470">
        <f>-572.609517462574 -58.3429679515693 -90.6307188613195</f>
        <v>-721.58320427546278</v>
      </c>
      <c r="W470" t="s">
        <v>8962</v>
      </c>
      <c r="X470" t="s">
        <v>8963</v>
      </c>
      <c r="Y470" t="s">
        <v>8964</v>
      </c>
    </row>
    <row r="471" spans="1:25" x14ac:dyDescent="0.3">
      <c r="A471">
        <v>23500</v>
      </c>
      <c r="B471" t="s">
        <v>8965</v>
      </c>
      <c r="C471" t="s">
        <v>8966</v>
      </c>
      <c r="D471" t="s">
        <v>8967</v>
      </c>
      <c r="E471" t="s">
        <v>8968</v>
      </c>
      <c r="F471" t="s">
        <v>8969</v>
      </c>
      <c r="G471" t="s">
        <v>8970</v>
      </c>
      <c r="H471" t="s">
        <v>8971</v>
      </c>
      <c r="I471" t="s">
        <v>8972</v>
      </c>
      <c r="J471" t="s">
        <v>8973</v>
      </c>
      <c r="K471" t="s">
        <v>8974</v>
      </c>
      <c r="L471" t="s">
        <v>8975</v>
      </c>
      <c r="M471" t="s">
        <v>8976</v>
      </c>
      <c r="N471">
        <f>-630.734743882302 -7.5988164746102 -526.728162764888</f>
        <v>-1165.0617231218002</v>
      </c>
      <c r="O471">
        <f>-654.188936168745 -158.37894282873 -494.285763997039</f>
        <v>-1306.8536429945141</v>
      </c>
      <c r="P471">
        <f>-670.22964310518 -191.302249415785 -214.57647911023</f>
        <v>-1076.108371631195</v>
      </c>
      <c r="Q471">
        <f>-469.54964077802 -117.844863469659 -305.571425293516</f>
        <v>-892.9659295411949</v>
      </c>
      <c r="R471" t="s">
        <v>8977</v>
      </c>
      <c r="S471" t="s">
        <v>8978</v>
      </c>
      <c r="T471" t="s">
        <v>8979</v>
      </c>
      <c r="U471" t="s">
        <v>8980</v>
      </c>
      <c r="V471">
        <f>-572.14433015605 -58.2914898052345 -90.1720292865289</f>
        <v>-720.60784924781342</v>
      </c>
      <c r="W471" t="s">
        <v>8981</v>
      </c>
      <c r="X471" t="s">
        <v>8982</v>
      </c>
      <c r="Y471" t="s">
        <v>8983</v>
      </c>
    </row>
    <row r="472" spans="1:25" x14ac:dyDescent="0.3">
      <c r="A472">
        <v>23550</v>
      </c>
      <c r="B472" t="s">
        <v>8984</v>
      </c>
      <c r="C472" t="s">
        <v>8985</v>
      </c>
      <c r="D472" t="s">
        <v>8986</v>
      </c>
      <c r="E472" t="s">
        <v>8987</v>
      </c>
      <c r="F472" t="s">
        <v>8988</v>
      </c>
      <c r="G472" t="s">
        <v>8989</v>
      </c>
      <c r="H472" t="s">
        <v>8990</v>
      </c>
      <c r="I472" t="s">
        <v>8991</v>
      </c>
      <c r="J472" t="s">
        <v>8992</v>
      </c>
      <c r="K472" t="s">
        <v>8993</v>
      </c>
      <c r="L472" t="s">
        <v>8994</v>
      </c>
      <c r="M472" t="s">
        <v>8995</v>
      </c>
      <c r="N472">
        <f>-630.898227985072 -7.51668358498637 -526.558777618726</f>
        <v>-1164.9736891887844</v>
      </c>
      <c r="O472">
        <f>-654.355713093057 -158.300389909502 -494.133770483448</f>
        <v>-1306.7898734860071</v>
      </c>
      <c r="P472">
        <f>-670.618325902776 -191.395209735519 -214.457507305704</f>
        <v>-1076.471042943999</v>
      </c>
      <c r="Q472">
        <f>-469.651970376265 -118.07758092917 -304.931713717326</f>
        <v>-892.66126502276097</v>
      </c>
      <c r="R472" t="s">
        <v>8996</v>
      </c>
      <c r="S472" t="s">
        <v>8997</v>
      </c>
      <c r="T472" t="s">
        <v>8998</v>
      </c>
      <c r="U472" t="s">
        <v>8999</v>
      </c>
      <c r="V472">
        <f>-572.266800303059 -58.1751678208673 -90.0631312230317</f>
        <v>-720.50509934695799</v>
      </c>
      <c r="W472" t="s">
        <v>9000</v>
      </c>
      <c r="X472" t="s">
        <v>9001</v>
      </c>
      <c r="Y472" t="s">
        <v>9002</v>
      </c>
    </row>
    <row r="473" spans="1:25" x14ac:dyDescent="0.3">
      <c r="A473">
        <v>23600</v>
      </c>
      <c r="B473" t="s">
        <v>9003</v>
      </c>
      <c r="C473" t="s">
        <v>9004</v>
      </c>
      <c r="D473" t="s">
        <v>9005</v>
      </c>
      <c r="E473" t="s">
        <v>9006</v>
      </c>
      <c r="F473" t="s">
        <v>9007</v>
      </c>
      <c r="G473" t="s">
        <v>9008</v>
      </c>
      <c r="H473" t="s">
        <v>9009</v>
      </c>
      <c r="I473" t="s">
        <v>9010</v>
      </c>
      <c r="J473" t="s">
        <v>9011</v>
      </c>
      <c r="K473" t="s">
        <v>9012</v>
      </c>
      <c r="L473" t="s">
        <v>9013</v>
      </c>
      <c r="M473" t="s">
        <v>9014</v>
      </c>
      <c r="N473">
        <f>-631.494060247928 -7.26252315196507 -526.506164039422</f>
        <v>-1165.262747439315</v>
      </c>
      <c r="O473">
        <f>-654.89682168055 -158.055523289445 -494.103857361815</f>
        <v>-1307.05620233181</v>
      </c>
      <c r="P473">
        <f>-671.255600205075 -191.331365277 -214.454514214696</f>
        <v>-1077.0414796967709</v>
      </c>
      <c r="Q473">
        <f>-469.72489730626 -118.564828624218 -304.114662645918</f>
        <v>-892.40438857639595</v>
      </c>
      <c r="R473" t="s">
        <v>9015</v>
      </c>
      <c r="S473" t="s">
        <v>9016</v>
      </c>
      <c r="T473" t="s">
        <v>9017</v>
      </c>
      <c r="U473" t="s">
        <v>9018</v>
      </c>
      <c r="V473">
        <f>-573.12825258286 -58.1904544003285 -90.1144570527659</f>
        <v>-721.43316403595441</v>
      </c>
      <c r="W473" t="s">
        <v>9019</v>
      </c>
      <c r="X473" t="s">
        <v>9020</v>
      </c>
      <c r="Y473" t="s">
        <v>9021</v>
      </c>
    </row>
    <row r="474" spans="1:25" x14ac:dyDescent="0.3">
      <c r="A474">
        <v>23650</v>
      </c>
      <c r="B474" t="s">
        <v>9022</v>
      </c>
      <c r="C474" t="s">
        <v>9023</v>
      </c>
      <c r="D474" t="s">
        <v>9024</v>
      </c>
      <c r="E474" t="s">
        <v>9025</v>
      </c>
      <c r="F474" t="s">
        <v>9026</v>
      </c>
      <c r="G474" t="s">
        <v>9027</v>
      </c>
      <c r="H474" t="s">
        <v>9028</v>
      </c>
      <c r="I474" t="s">
        <v>9029</v>
      </c>
      <c r="J474" t="s">
        <v>9030</v>
      </c>
      <c r="K474" t="s">
        <v>9031</v>
      </c>
      <c r="L474" t="s">
        <v>9032</v>
      </c>
      <c r="M474" t="s">
        <v>9033</v>
      </c>
      <c r="N474">
        <f>-632.018652881391 -7.16454597656366 -526.616438449135</f>
        <v>-1165.7996373070896</v>
      </c>
      <c r="O474">
        <f>-655.320734297409 -157.965948057038 -494.194718975242</f>
        <v>-1307.4814013296889</v>
      </c>
      <c r="P474">
        <f>-671.574468271048 -191.176291907676 -214.531707219327</f>
        <v>-1077.282467398051</v>
      </c>
      <c r="Q474">
        <f>-469.812552791065 -118.684621344758 -303.893880864208</f>
        <v>-892.39105500003097</v>
      </c>
      <c r="R474" t="s">
        <v>9034</v>
      </c>
      <c r="S474" t="s">
        <v>9035</v>
      </c>
      <c r="T474" t="s">
        <v>9036</v>
      </c>
      <c r="U474" t="s">
        <v>9037</v>
      </c>
      <c r="V474">
        <f>-573.848650495273 -58.0893244530814 -90.2610964561075</f>
        <v>-722.19907140446185</v>
      </c>
      <c r="W474" t="s">
        <v>9038</v>
      </c>
      <c r="X474" t="s">
        <v>9039</v>
      </c>
      <c r="Y474" t="s">
        <v>9040</v>
      </c>
    </row>
    <row r="475" spans="1:25" x14ac:dyDescent="0.3">
      <c r="A475">
        <v>23700</v>
      </c>
      <c r="B475" t="s">
        <v>9041</v>
      </c>
      <c r="C475" t="s">
        <v>9042</v>
      </c>
      <c r="D475" t="s">
        <v>9043</v>
      </c>
      <c r="E475" t="s">
        <v>9044</v>
      </c>
      <c r="F475" t="s">
        <v>9045</v>
      </c>
      <c r="G475" t="s">
        <v>9046</v>
      </c>
      <c r="H475" t="s">
        <v>9047</v>
      </c>
      <c r="I475" t="s">
        <v>9048</v>
      </c>
      <c r="J475" t="s">
        <v>9049</v>
      </c>
      <c r="K475" t="s">
        <v>9050</v>
      </c>
      <c r="L475" t="s">
        <v>9051</v>
      </c>
      <c r="M475" t="s">
        <v>9052</v>
      </c>
      <c r="N475">
        <f>-633.341191483696 -6.94250372254692 -526.930460300177</f>
        <v>-1167.21415550642</v>
      </c>
      <c r="O475">
        <f>-656.47892761652 -157.763808123508 -494.470256743242</f>
        <v>-1308.7129924832698</v>
      </c>
      <c r="P475">
        <f>-672.211516987904 -190.918441430524 -214.770733936234</f>
        <v>-1077.9006923546619</v>
      </c>
      <c r="Q475">
        <f>-470.438311253368 -118.725142293293 -304.34887661998</f>
        <v>-893.51233016664105</v>
      </c>
      <c r="R475" t="s">
        <v>9053</v>
      </c>
      <c r="S475" t="s">
        <v>9054</v>
      </c>
      <c r="T475" t="s">
        <v>9055</v>
      </c>
      <c r="U475" t="s">
        <v>9056</v>
      </c>
      <c r="V475">
        <f>-575.421714148675 -57.8306478578202 -90.6623156078529</f>
        <v>-723.91467761434808</v>
      </c>
      <c r="W475" t="s">
        <v>9057</v>
      </c>
      <c r="X475" t="s">
        <v>9058</v>
      </c>
      <c r="Y475" t="s">
        <v>9059</v>
      </c>
    </row>
    <row r="476" spans="1:25" x14ac:dyDescent="0.3">
      <c r="A476">
        <v>23750</v>
      </c>
      <c r="B476" t="s">
        <v>9060</v>
      </c>
      <c r="C476" t="s">
        <v>9061</v>
      </c>
      <c r="D476" t="s">
        <v>9062</v>
      </c>
      <c r="E476" t="s">
        <v>9063</v>
      </c>
      <c r="F476" t="s">
        <v>9064</v>
      </c>
      <c r="G476" t="s">
        <v>9065</v>
      </c>
      <c r="H476" t="s">
        <v>9066</v>
      </c>
      <c r="I476" t="s">
        <v>9067</v>
      </c>
      <c r="J476" t="s">
        <v>9068</v>
      </c>
      <c r="K476" t="s">
        <v>9069</v>
      </c>
      <c r="L476" t="s">
        <v>9070</v>
      </c>
      <c r="M476" t="s">
        <v>9071</v>
      </c>
      <c r="N476">
        <f>-634.094568138413 -6.81747185451491 -527.061380379441</f>
        <v>-1167.9734203723688</v>
      </c>
      <c r="O476">
        <f>-657.15455618289 -157.64717615581 -494.57118828498</f>
        <v>-1309.3729206236801</v>
      </c>
      <c r="P476">
        <f>-672.412806520205 -190.691312278791 -214.832290582733</f>
        <v>-1077.9364093817289</v>
      </c>
      <c r="Q476">
        <f>-470.994428346135 -118.339476712659 -305.078544194385</f>
        <v>-894.41244925317903</v>
      </c>
      <c r="R476" t="s">
        <v>9072</v>
      </c>
      <c r="S476" t="s">
        <v>9073</v>
      </c>
      <c r="T476" t="s">
        <v>9074</v>
      </c>
      <c r="U476" t="s">
        <v>9075</v>
      </c>
      <c r="V476">
        <f>-575.995210977338 -57.6225163327726 -90.8360048666283</f>
        <v>-724.45373217673898</v>
      </c>
      <c r="W476" t="s">
        <v>9076</v>
      </c>
      <c r="X476" t="s">
        <v>9077</v>
      </c>
      <c r="Y476" t="s">
        <v>9078</v>
      </c>
    </row>
    <row r="477" spans="1:25" x14ac:dyDescent="0.3">
      <c r="A477">
        <v>23800</v>
      </c>
      <c r="B477" t="s">
        <v>9079</v>
      </c>
      <c r="C477" t="s">
        <v>9080</v>
      </c>
      <c r="D477" t="s">
        <v>9081</v>
      </c>
      <c r="E477" t="s">
        <v>9082</v>
      </c>
      <c r="F477" t="s">
        <v>9083</v>
      </c>
      <c r="G477" t="s">
        <v>9084</v>
      </c>
      <c r="H477" t="s">
        <v>9085</v>
      </c>
      <c r="I477" t="s">
        <v>9086</v>
      </c>
      <c r="J477" t="s">
        <v>9087</v>
      </c>
      <c r="K477" t="s">
        <v>9088</v>
      </c>
      <c r="L477" t="s">
        <v>9089</v>
      </c>
      <c r="M477" t="s">
        <v>9090</v>
      </c>
      <c r="N477">
        <f>-635.498177186501 -6.48144104628454 -527.223969684309</f>
        <v>-1169.2035879170946</v>
      </c>
      <c r="O477">
        <f>-658.523463880231 -157.308482816379 -494.68129542935</f>
        <v>-1310.51324212596</v>
      </c>
      <c r="P477">
        <f>-672.707003360385 -189.791251198537 -214.820035584924</f>
        <v>-1077.3182901438461</v>
      </c>
      <c r="Q477">
        <f>-472.488368312896 -116.46465381189 -306.929997494707</f>
        <v>-895.88301961949298</v>
      </c>
      <c r="R477" t="s">
        <v>9091</v>
      </c>
      <c r="S477" t="s">
        <v>9092</v>
      </c>
      <c r="T477" t="s">
        <v>9093</v>
      </c>
      <c r="U477" t="s">
        <v>9094</v>
      </c>
      <c r="V477">
        <f>-576.758848791981 -57.1734004468879 -91.0579277326658</f>
        <v>-724.99017697153465</v>
      </c>
      <c r="W477" t="s">
        <v>9095</v>
      </c>
      <c r="X477" t="s">
        <v>9096</v>
      </c>
      <c r="Y477" t="s">
        <v>9097</v>
      </c>
    </row>
    <row r="478" spans="1:25" x14ac:dyDescent="0.3">
      <c r="A478">
        <v>23850</v>
      </c>
      <c r="B478" t="s">
        <v>9098</v>
      </c>
      <c r="C478" t="s">
        <v>9099</v>
      </c>
      <c r="D478" t="s">
        <v>9100</v>
      </c>
      <c r="E478" t="s">
        <v>9101</v>
      </c>
      <c r="F478" t="s">
        <v>9102</v>
      </c>
      <c r="G478" t="s">
        <v>9103</v>
      </c>
      <c r="H478" t="s">
        <v>9104</v>
      </c>
      <c r="I478" t="s">
        <v>9105</v>
      </c>
      <c r="J478" t="s">
        <v>9106</v>
      </c>
      <c r="K478" t="s">
        <v>9107</v>
      </c>
      <c r="L478" t="s">
        <v>9108</v>
      </c>
      <c r="M478" t="s">
        <v>9109</v>
      </c>
      <c r="N478">
        <f>-636.021149909256 -6.31023277587701 -527.276219662364</f>
        <v>-1169.607602347497</v>
      </c>
      <c r="O478">
        <f>-659.033560633586 -157.13477112841 -494.720738693298</f>
        <v>-1310.8890704552941</v>
      </c>
      <c r="P478">
        <f>-672.882511896672 -189.597680707933 -214.840498791816</f>
        <v>-1077.3206913964209</v>
      </c>
      <c r="Q478">
        <f>-472.673064588505 -116.221596498303 -306.930943488163</f>
        <v>-895.82560457497107</v>
      </c>
      <c r="R478" t="s">
        <v>9110</v>
      </c>
      <c r="S478" t="s">
        <v>9111</v>
      </c>
      <c r="T478" t="s">
        <v>9112</v>
      </c>
      <c r="U478" t="s">
        <v>9113</v>
      </c>
      <c r="V478">
        <f>-576.948770136617 -56.9393468609294 -91.1425319857622</f>
        <v>-725.03064898330854</v>
      </c>
      <c r="W478" t="s">
        <v>9114</v>
      </c>
      <c r="X478" t="s">
        <v>9115</v>
      </c>
      <c r="Y478" t="s">
        <v>9116</v>
      </c>
    </row>
    <row r="479" spans="1:25" x14ac:dyDescent="0.3">
      <c r="A479">
        <v>23900</v>
      </c>
      <c r="B479" t="s">
        <v>9117</v>
      </c>
      <c r="C479" t="s">
        <v>9118</v>
      </c>
      <c r="D479" t="s">
        <v>9119</v>
      </c>
      <c r="E479" t="s">
        <v>9120</v>
      </c>
      <c r="F479" t="s">
        <v>9121</v>
      </c>
      <c r="G479" t="s">
        <v>9122</v>
      </c>
      <c r="H479" t="s">
        <v>9123</v>
      </c>
      <c r="I479" t="s">
        <v>9124</v>
      </c>
      <c r="J479" t="s">
        <v>9125</v>
      </c>
      <c r="K479" t="s">
        <v>9126</v>
      </c>
      <c r="L479" t="s">
        <v>9127</v>
      </c>
      <c r="M479" t="s">
        <v>9128</v>
      </c>
      <c r="N479">
        <f>-636.390665888231 -6.04513421995853 -527.167636050019</f>
        <v>-1169.6034361582085</v>
      </c>
      <c r="O479">
        <f>-659.201811044419 -156.899298707371 -494.602336646308</f>
        <v>-1310.7034463980981</v>
      </c>
      <c r="P479">
        <f>-673.495594627209 -189.608395161906 -214.773118845301</f>
        <v>-1077.8771086344161</v>
      </c>
      <c r="Q479">
        <f>-473.121414031575 -115.660045414087 -306.043661070479</f>
        <v>-894.82512051614094</v>
      </c>
      <c r="R479" t="s">
        <v>9129</v>
      </c>
      <c r="S479" t="s">
        <v>9130</v>
      </c>
      <c r="T479" t="s">
        <v>9131</v>
      </c>
      <c r="U479" t="s">
        <v>9132</v>
      </c>
      <c r="V479">
        <f>-576.495910003728 -56.7495729816585 -91.10397533998</f>
        <v>-724.34945832536653</v>
      </c>
      <c r="W479" t="s">
        <v>9133</v>
      </c>
      <c r="X479" t="s">
        <v>9134</v>
      </c>
      <c r="Y479" t="s">
        <v>9135</v>
      </c>
    </row>
    <row r="480" spans="1:25" x14ac:dyDescent="0.3">
      <c r="A480">
        <v>23950</v>
      </c>
      <c r="B480" t="s">
        <v>9136</v>
      </c>
      <c r="C480" t="s">
        <v>9137</v>
      </c>
      <c r="D480" t="s">
        <v>9138</v>
      </c>
      <c r="E480" t="s">
        <v>9139</v>
      </c>
      <c r="F480" t="s">
        <v>9140</v>
      </c>
      <c r="G480" t="s">
        <v>9141</v>
      </c>
      <c r="H480" t="s">
        <v>9142</v>
      </c>
      <c r="I480" t="s">
        <v>9143</v>
      </c>
      <c r="J480" t="s">
        <v>9144</v>
      </c>
      <c r="K480" t="s">
        <v>9145</v>
      </c>
      <c r="L480" t="s">
        <v>9146</v>
      </c>
      <c r="M480" t="s">
        <v>9147</v>
      </c>
      <c r="N480">
        <f>-636.253650978602 -5.87526579664723 -526.968129496122</f>
        <v>-1169.0970462713713</v>
      </c>
      <c r="O480">
        <f>-659.135536275131 -156.725242681964 -494.41756584749</f>
        <v>-1310.278344804585</v>
      </c>
      <c r="P480">
        <f>-673.643833683496 -189.253037421225 -214.578436231713</f>
        <v>-1077.4753073364341</v>
      </c>
      <c r="Q480">
        <f>-473.264579973783 -115.222503892449 -305.771499895775</f>
        <v>-894.25858376200699</v>
      </c>
      <c r="R480" t="s">
        <v>9148</v>
      </c>
      <c r="S480" t="s">
        <v>9149</v>
      </c>
      <c r="T480" t="s">
        <v>9150</v>
      </c>
      <c r="U480" t="s">
        <v>9151</v>
      </c>
      <c r="V480">
        <f>-575.816344896145 -56.7732521368191 -90.8891340705832</f>
        <v>-723.47873110354726</v>
      </c>
      <c r="W480" t="s">
        <v>9152</v>
      </c>
      <c r="X480" t="s">
        <v>9153</v>
      </c>
      <c r="Y480" t="s">
        <v>9154</v>
      </c>
    </row>
    <row r="481" spans="1:25" x14ac:dyDescent="0.3">
      <c r="A481">
        <v>24000</v>
      </c>
      <c r="B481" t="s">
        <v>9155</v>
      </c>
      <c r="C481" t="s">
        <v>9156</v>
      </c>
      <c r="D481" t="s">
        <v>9157</v>
      </c>
      <c r="E481" t="s">
        <v>9158</v>
      </c>
      <c r="F481" t="s">
        <v>9159</v>
      </c>
      <c r="G481" t="s">
        <v>9160</v>
      </c>
      <c r="H481" t="s">
        <v>9161</v>
      </c>
      <c r="I481" t="s">
        <v>9162</v>
      </c>
      <c r="J481" t="s">
        <v>9163</v>
      </c>
      <c r="K481" t="s">
        <v>9164</v>
      </c>
      <c r="L481" t="s">
        <v>9165</v>
      </c>
      <c r="M481" t="s">
        <v>9166</v>
      </c>
      <c r="N481">
        <f>-635.899009118064 -5.72169077492163 -526.452171719223</f>
        <v>-1168.0728716122085</v>
      </c>
      <c r="O481">
        <f>-659.157927585863 -156.51712124075 -493.935460949252</f>
        <v>-1309.610509775865</v>
      </c>
      <c r="P481">
        <f>-673.829088688699 -188.535784013093 -214.045888724181</f>
        <v>-1076.4107614259731</v>
      </c>
      <c r="Q481">
        <f>-473.282884834059 -115.233012963132 -305.45953049837</f>
        <v>-893.97542829556096</v>
      </c>
      <c r="R481" t="s">
        <v>9167</v>
      </c>
      <c r="S481" t="s">
        <v>9168</v>
      </c>
      <c r="T481" t="s">
        <v>9169</v>
      </c>
      <c r="U481" t="s">
        <v>9170</v>
      </c>
      <c r="V481">
        <f>-574.847109528986 -56.9916903730525 -90.3634552597787</f>
        <v>-722.20225516181722</v>
      </c>
      <c r="W481" t="s">
        <v>9171</v>
      </c>
      <c r="X481" t="s">
        <v>9172</v>
      </c>
      <c r="Y481" t="s">
        <v>9173</v>
      </c>
    </row>
    <row r="482" spans="1:25" x14ac:dyDescent="0.3">
      <c r="A482">
        <v>24050</v>
      </c>
      <c r="B482" t="s">
        <v>9174</v>
      </c>
      <c r="C482" t="s">
        <v>9175</v>
      </c>
      <c r="D482" t="s">
        <v>9176</v>
      </c>
      <c r="E482" t="s">
        <v>9177</v>
      </c>
      <c r="F482" t="s">
        <v>9178</v>
      </c>
      <c r="G482" t="s">
        <v>9179</v>
      </c>
      <c r="H482" t="s">
        <v>9180</v>
      </c>
      <c r="I482" t="s">
        <v>9181</v>
      </c>
      <c r="J482" t="s">
        <v>9182</v>
      </c>
      <c r="K482" t="s">
        <v>9183</v>
      </c>
      <c r="L482" t="s">
        <v>9184</v>
      </c>
      <c r="M482" t="s">
        <v>9185</v>
      </c>
      <c r="N482">
        <f>-635.821795323207 -5.76177461024076 -526.242640001915</f>
        <v>-1167.8262099353628</v>
      </c>
      <c r="O482">
        <f>-659.215206154177 -156.545049496063 -493.770521124792</f>
        <v>-1309.5307767750321</v>
      </c>
      <c r="P482">
        <f>-673.789422436648 -188.617822314433 -213.88203799712</f>
        <v>-1076.289282748201</v>
      </c>
      <c r="Q482">
        <f>-473.246656856714 -115.518349105733 -305.465926643905</f>
        <v>-894.2309326063521</v>
      </c>
      <c r="R482" t="s">
        <v>9186</v>
      </c>
      <c r="S482" t="s">
        <v>9187</v>
      </c>
      <c r="T482" t="s">
        <v>9188</v>
      </c>
      <c r="U482" t="s">
        <v>9189</v>
      </c>
      <c r="V482">
        <f>-574.678946425096 -57.129173409025 -90.1947381369406</f>
        <v>-722.00285797106164</v>
      </c>
      <c r="W482" t="s">
        <v>9190</v>
      </c>
      <c r="X482" t="s">
        <v>9191</v>
      </c>
      <c r="Y482" t="s">
        <v>9192</v>
      </c>
    </row>
    <row r="483" spans="1:25" x14ac:dyDescent="0.3">
      <c r="A483">
        <v>24100</v>
      </c>
      <c r="B483" t="s">
        <v>9193</v>
      </c>
      <c r="C483" t="s">
        <v>9194</v>
      </c>
      <c r="D483" t="s">
        <v>9195</v>
      </c>
      <c r="E483" t="s">
        <v>9196</v>
      </c>
      <c r="F483" t="s">
        <v>9197</v>
      </c>
      <c r="G483" t="s">
        <v>9198</v>
      </c>
      <c r="H483" t="s">
        <v>9199</v>
      </c>
      <c r="I483" t="s">
        <v>9200</v>
      </c>
      <c r="J483" t="s">
        <v>9201</v>
      </c>
      <c r="K483" t="s">
        <v>9202</v>
      </c>
      <c r="L483" t="s">
        <v>9203</v>
      </c>
      <c r="M483" t="s">
        <v>9204</v>
      </c>
      <c r="N483">
        <f>-636.212244064209 -5.78699246991914 -525.970090161949</f>
        <v>-1167.9693266960771</v>
      </c>
      <c r="O483">
        <f>-659.712546251792 -156.577460771789 -493.593882635682</f>
        <v>-1309.8838896592629</v>
      </c>
      <c r="P483">
        <f>-673.666024289722 -189.207258566537 -213.738294207452</f>
        <v>-1076.6115770637111</v>
      </c>
      <c r="Q483">
        <f>-473.351976409306 -115.983132012443 -305.722142314888</f>
        <v>-895.05725073663712</v>
      </c>
      <c r="R483" t="s">
        <v>9205</v>
      </c>
      <c r="S483" t="s">
        <v>9206</v>
      </c>
      <c r="T483" t="s">
        <v>9207</v>
      </c>
      <c r="U483" t="s">
        <v>9208</v>
      </c>
      <c r="V483">
        <f>-574.823491034723 -57.3702895984843 -90.0566106257818</f>
        <v>-722.25039125898911</v>
      </c>
      <c r="W483" t="s">
        <v>9209</v>
      </c>
      <c r="X483" t="s">
        <v>9210</v>
      </c>
      <c r="Y483" t="s">
        <v>9211</v>
      </c>
    </row>
    <row r="484" spans="1:25" x14ac:dyDescent="0.3">
      <c r="A484">
        <v>24150</v>
      </c>
      <c r="B484" t="s">
        <v>9212</v>
      </c>
      <c r="C484" t="s">
        <v>9213</v>
      </c>
      <c r="D484" t="s">
        <v>9214</v>
      </c>
      <c r="E484" t="s">
        <v>9215</v>
      </c>
      <c r="F484" t="s">
        <v>9216</v>
      </c>
      <c r="G484" t="s">
        <v>9217</v>
      </c>
      <c r="H484" t="s">
        <v>9218</v>
      </c>
      <c r="I484" t="s">
        <v>9219</v>
      </c>
      <c r="J484" t="s">
        <v>9220</v>
      </c>
      <c r="K484" t="s">
        <v>9221</v>
      </c>
      <c r="L484" t="s">
        <v>9222</v>
      </c>
      <c r="M484" t="s">
        <v>9223</v>
      </c>
      <c r="N484">
        <f>-636.708177425088 -5.77420278854538 -525.968712434228</f>
        <v>-1168.4510926478615</v>
      </c>
      <c r="O484">
        <f>-660.292260442402 -156.557327066828 -493.619813247098</f>
        <v>-1310.469400756328</v>
      </c>
      <c r="P484">
        <f>-673.679392462498 -189.368643534458 -213.757712653398</f>
        <v>-1076.805748650354</v>
      </c>
      <c r="Q484">
        <f>-473.503232573681 -116.035595511382 -305.954807009225</f>
        <v>-895.49363509428804</v>
      </c>
      <c r="R484" t="s">
        <v>9224</v>
      </c>
      <c r="S484" t="s">
        <v>9225</v>
      </c>
      <c r="T484" t="s">
        <v>9226</v>
      </c>
      <c r="U484" t="s">
        <v>9227</v>
      </c>
      <c r="V484">
        <f>-575.213979367139 -57.5485490648227 -90.1247520063048</f>
        <v>-722.88728043826654</v>
      </c>
      <c r="W484" t="s">
        <v>9228</v>
      </c>
      <c r="X484" t="s">
        <v>9229</v>
      </c>
      <c r="Y484" t="s">
        <v>9230</v>
      </c>
    </row>
    <row r="485" spans="1:25" x14ac:dyDescent="0.3">
      <c r="A485">
        <v>24200</v>
      </c>
      <c r="B485" t="s">
        <v>9231</v>
      </c>
      <c r="C485" t="s">
        <v>9232</v>
      </c>
      <c r="D485" t="s">
        <v>9233</v>
      </c>
      <c r="E485" t="s">
        <v>9234</v>
      </c>
      <c r="F485" t="s">
        <v>9235</v>
      </c>
      <c r="G485" t="s">
        <v>9236</v>
      </c>
      <c r="H485" t="s">
        <v>9237</v>
      </c>
      <c r="I485" t="s">
        <v>9238</v>
      </c>
      <c r="J485" t="s">
        <v>9239</v>
      </c>
      <c r="K485" t="s">
        <v>9240</v>
      </c>
      <c r="L485" t="s">
        <v>9241</v>
      </c>
      <c r="M485" t="s">
        <v>9242</v>
      </c>
      <c r="N485">
        <f>-638.127992278472 -5.54343654263266 -526.194265734984</f>
        <v>-1169.8656945560888</v>
      </c>
      <c r="O485">
        <f>-661.87120120488 -156.304178876941 -493.870775795514</f>
        <v>-1312.046155877335</v>
      </c>
      <c r="P485">
        <f>-674.519370197792 -189.064189799264 -213.968182701508</f>
        <v>-1077.5517426985639</v>
      </c>
      <c r="Q485">
        <f>-474.592690292767 -115.594455146941 -306.596816254967</f>
        <v>-896.78396169467487</v>
      </c>
      <c r="R485" t="s">
        <v>9243</v>
      </c>
      <c r="S485" t="s">
        <v>9244</v>
      </c>
      <c r="T485" t="s">
        <v>9245</v>
      </c>
      <c r="U485" t="s">
        <v>9246</v>
      </c>
      <c r="V485">
        <f>-576.478540271852 -57.5075387266172 -90.4911175126599</f>
        <v>-724.47719651112914</v>
      </c>
      <c r="W485" t="s">
        <v>9247</v>
      </c>
      <c r="X485" t="s">
        <v>9248</v>
      </c>
      <c r="Y485" t="s">
        <v>9249</v>
      </c>
    </row>
    <row r="486" spans="1:25" x14ac:dyDescent="0.3">
      <c r="A486">
        <v>24250</v>
      </c>
      <c r="B486" t="s">
        <v>9250</v>
      </c>
      <c r="C486" t="s">
        <v>9251</v>
      </c>
      <c r="D486" t="s">
        <v>9252</v>
      </c>
      <c r="E486" t="s">
        <v>9253</v>
      </c>
      <c r="F486" t="s">
        <v>9254</v>
      </c>
      <c r="G486" t="s">
        <v>9255</v>
      </c>
      <c r="H486" t="s">
        <v>9256</v>
      </c>
      <c r="I486" t="s">
        <v>9257</v>
      </c>
      <c r="J486" t="s">
        <v>9258</v>
      </c>
      <c r="K486" t="s">
        <v>9259</v>
      </c>
      <c r="L486" t="s">
        <v>9260</v>
      </c>
      <c r="M486" t="s">
        <v>9261</v>
      </c>
      <c r="N486">
        <f>-638.85572611713 -5.51446591319382 -526.346951191297</f>
        <v>-1170.7171432216207</v>
      </c>
      <c r="O486">
        <f>-662.743527827369 -156.23505016124 -493.974548683823</f>
        <v>-1312.9531266724321</v>
      </c>
      <c r="P486">
        <f>-675.149365441928 -188.886319681876 -214.048500598038</f>
        <v>-1078.084185721842</v>
      </c>
      <c r="Q486">
        <f>-475.314729108376 -115.407398391725 -306.868288048688</f>
        <v>-897.590415548789</v>
      </c>
      <c r="R486" t="s">
        <v>9262</v>
      </c>
      <c r="S486" t="s">
        <v>9263</v>
      </c>
      <c r="T486" t="s">
        <v>9264</v>
      </c>
      <c r="U486" t="s">
        <v>9265</v>
      </c>
      <c r="V486">
        <f>-577.152977115809 -57.4936923448704 -90.7108462735476</f>
        <v>-725.35751573422704</v>
      </c>
      <c r="W486" t="s">
        <v>9266</v>
      </c>
      <c r="X486" t="s">
        <v>9267</v>
      </c>
      <c r="Y486" t="s">
        <v>9268</v>
      </c>
    </row>
    <row r="487" spans="1:25" x14ac:dyDescent="0.3">
      <c r="A487">
        <v>24300</v>
      </c>
      <c r="B487" t="s">
        <v>9269</v>
      </c>
      <c r="C487" t="s">
        <v>9270</v>
      </c>
      <c r="D487" t="s">
        <v>9271</v>
      </c>
      <c r="E487" t="s">
        <v>9272</v>
      </c>
      <c r="F487" t="s">
        <v>9273</v>
      </c>
      <c r="G487" t="s">
        <v>9274</v>
      </c>
      <c r="H487" t="s">
        <v>9275</v>
      </c>
      <c r="I487" t="s">
        <v>9276</v>
      </c>
      <c r="J487" t="s">
        <v>9277</v>
      </c>
      <c r="K487" t="s">
        <v>9278</v>
      </c>
      <c r="L487" t="s">
        <v>9279</v>
      </c>
      <c r="M487" t="s">
        <v>9280</v>
      </c>
      <c r="N487">
        <f>-639.70233111519 -5.64093358838795 -526.639161061805</f>
        <v>-1171.9824257653829</v>
      </c>
      <c r="O487">
        <f>-663.929109988191 -156.279335593799 -494.123864820089</f>
        <v>-1314.3323104020792</v>
      </c>
      <c r="P487">
        <f>-676.225783617792 -188.682895630129 -214.164304017773</f>
        <v>-1079.0729832656939</v>
      </c>
      <c r="Q487">
        <f>-476.332568312398 -115.445595398586 -307.048905671275</f>
        <v>-898.82706938225897</v>
      </c>
      <c r="R487" t="s">
        <v>9281</v>
      </c>
      <c r="S487" t="s">
        <v>9282</v>
      </c>
      <c r="T487" t="s">
        <v>9283</v>
      </c>
      <c r="U487" t="s">
        <v>9284</v>
      </c>
      <c r="V487">
        <f>-577.862931475676 -57.5199076669742 -91.0768671685726</f>
        <v>-726.4597063112227</v>
      </c>
      <c r="W487" t="s">
        <v>9285</v>
      </c>
      <c r="X487" t="s">
        <v>9286</v>
      </c>
      <c r="Y487" t="s">
        <v>9287</v>
      </c>
    </row>
    <row r="488" spans="1:25" x14ac:dyDescent="0.3">
      <c r="A488">
        <v>24350</v>
      </c>
      <c r="B488" t="s">
        <v>9288</v>
      </c>
      <c r="C488" t="s">
        <v>9289</v>
      </c>
      <c r="D488" t="s">
        <v>9290</v>
      </c>
      <c r="E488" t="s">
        <v>9291</v>
      </c>
      <c r="F488" t="s">
        <v>9292</v>
      </c>
      <c r="G488" t="s">
        <v>9293</v>
      </c>
      <c r="H488" t="s">
        <v>9294</v>
      </c>
      <c r="I488" t="s">
        <v>9295</v>
      </c>
      <c r="J488" t="s">
        <v>9296</v>
      </c>
      <c r="K488" t="s">
        <v>9297</v>
      </c>
      <c r="L488" t="s">
        <v>9298</v>
      </c>
      <c r="M488" t="s">
        <v>9299</v>
      </c>
      <c r="N488">
        <f>-639.854208761935 -5.7387324199392 -526.723102464571</f>
        <v>-1172.316043646445</v>
      </c>
      <c r="O488">
        <f>-664.210363207261 -156.33332625569 -494.096835553978</f>
        <v>-1314.6405250169291</v>
      </c>
      <c r="P488">
        <f>-676.649581363904 -188.592207568604 -214.126784413644</f>
        <v>-1079.3685733461518</v>
      </c>
      <c r="Q488">
        <f>-476.673428981672 -115.448446909712 -306.906436065534</f>
        <v>-899.02831195691806</v>
      </c>
      <c r="R488" t="s">
        <v>9300</v>
      </c>
      <c r="S488" t="s">
        <v>9301</v>
      </c>
      <c r="T488" t="s">
        <v>9302</v>
      </c>
      <c r="U488" t="s">
        <v>9303</v>
      </c>
      <c r="V488">
        <f>-577.905223592981 -57.4268870539881 -91.1704568057172</f>
        <v>-726.50256745268632</v>
      </c>
      <c r="W488" t="s">
        <v>9304</v>
      </c>
      <c r="X488" t="s">
        <v>9305</v>
      </c>
      <c r="Y488" t="s">
        <v>9306</v>
      </c>
    </row>
    <row r="489" spans="1:25" x14ac:dyDescent="0.3">
      <c r="A489">
        <v>24400</v>
      </c>
      <c r="B489" t="s">
        <v>9307</v>
      </c>
      <c r="C489" t="s">
        <v>9308</v>
      </c>
      <c r="D489" t="s">
        <v>9309</v>
      </c>
      <c r="E489" t="s">
        <v>9310</v>
      </c>
      <c r="F489" t="s">
        <v>9311</v>
      </c>
      <c r="G489" t="s">
        <v>9312</v>
      </c>
      <c r="H489" t="s">
        <v>9313</v>
      </c>
      <c r="I489" t="s">
        <v>9314</v>
      </c>
      <c r="J489" t="s">
        <v>9315</v>
      </c>
      <c r="K489" t="s">
        <v>9316</v>
      </c>
      <c r="L489" t="s">
        <v>9317</v>
      </c>
      <c r="M489" t="s">
        <v>9318</v>
      </c>
      <c r="N489">
        <f>-639.605040015389 -5.86915052606264 -526.784828577464</f>
        <v>-1172.2590191189156</v>
      </c>
      <c r="O489">
        <f>-664.254517686432 -156.371607075521 -493.938821552522</f>
        <v>-1314.564946314475</v>
      </c>
      <c r="P489">
        <f>-677.118413467059 -188.221014148984 -213.941079416265</f>
        <v>-1079.2805070323079</v>
      </c>
      <c r="Q489">
        <f>-476.967441251836 -115.333367222182 -306.545257442193</f>
        <v>-898.84606591621105</v>
      </c>
      <c r="R489" t="s">
        <v>9319</v>
      </c>
      <c r="S489" t="s">
        <v>9320</v>
      </c>
      <c r="T489" t="s">
        <v>9321</v>
      </c>
      <c r="U489" t="s">
        <v>9322</v>
      </c>
      <c r="V489">
        <f>-577.688295053891 -57.2522297611813 -91.2285461646944</f>
        <v>-726.16907097976673</v>
      </c>
      <c r="W489" t="s">
        <v>9323</v>
      </c>
      <c r="X489" t="s">
        <v>9324</v>
      </c>
      <c r="Y489" t="s">
        <v>9325</v>
      </c>
    </row>
    <row r="490" spans="1:25" x14ac:dyDescent="0.3">
      <c r="A490">
        <v>24450</v>
      </c>
      <c r="B490" t="s">
        <v>9326</v>
      </c>
      <c r="C490" t="s">
        <v>9327</v>
      </c>
      <c r="D490" t="s">
        <v>9328</v>
      </c>
      <c r="E490" t="s">
        <v>9329</v>
      </c>
      <c r="F490" t="s">
        <v>9330</v>
      </c>
      <c r="G490" t="s">
        <v>9331</v>
      </c>
      <c r="H490" t="s">
        <v>9332</v>
      </c>
      <c r="I490" t="s">
        <v>9333</v>
      </c>
      <c r="J490" t="s">
        <v>9334</v>
      </c>
      <c r="K490" t="s">
        <v>9335</v>
      </c>
      <c r="L490" t="s">
        <v>9336</v>
      </c>
      <c r="M490" t="s">
        <v>9337</v>
      </c>
      <c r="N490">
        <f>-639.349271159004 -5.95201673762631 -526.759609183251</f>
        <v>-1172.0608970798812</v>
      </c>
      <c r="O490">
        <f>-664.153299806999 -156.404875430182 -493.802137499769</f>
        <v>-1314.3603127369499</v>
      </c>
      <c r="P490">
        <f>-677.17496882953 -187.914145531844 -213.773341688086</f>
        <v>-1078.86245604946</v>
      </c>
      <c r="Q490">
        <f>-476.927303020645 -115.206910143033 -306.310394177268</f>
        <v>-898.44460734094605</v>
      </c>
      <c r="R490" t="s">
        <v>9338</v>
      </c>
      <c r="S490" t="s">
        <v>9339</v>
      </c>
      <c r="T490" t="s">
        <v>9340</v>
      </c>
      <c r="U490" t="s">
        <v>9341</v>
      </c>
      <c r="V490">
        <f>-577.447586923798 -57.2532064766954 -91.2063879696436</f>
        <v>-725.90718137013698</v>
      </c>
      <c r="W490" t="s">
        <v>9342</v>
      </c>
      <c r="X490" t="s">
        <v>9343</v>
      </c>
      <c r="Y490" t="s">
        <v>9344</v>
      </c>
    </row>
    <row r="491" spans="1:25" x14ac:dyDescent="0.3">
      <c r="A491">
        <v>24500</v>
      </c>
      <c r="B491" t="s">
        <v>9345</v>
      </c>
      <c r="C491" t="s">
        <v>9346</v>
      </c>
      <c r="D491" t="s">
        <v>9347</v>
      </c>
      <c r="E491" t="s">
        <v>9348</v>
      </c>
      <c r="F491" t="s">
        <v>9349</v>
      </c>
      <c r="G491" t="s">
        <v>9350</v>
      </c>
      <c r="H491" t="s">
        <v>9351</v>
      </c>
      <c r="I491" t="s">
        <v>9352</v>
      </c>
      <c r="J491" t="s">
        <v>9353</v>
      </c>
      <c r="K491" t="s">
        <v>9354</v>
      </c>
      <c r="L491" t="s">
        <v>9355</v>
      </c>
      <c r="M491" t="s">
        <v>9356</v>
      </c>
      <c r="N491">
        <f>-638.39367071614 -6.12291636341524 -526.484352745584</f>
        <v>-1171.0009398251393</v>
      </c>
      <c r="O491">
        <f>-663.406159397055 -156.496327087345 -493.325557873247</f>
        <v>-1313.2280443576469</v>
      </c>
      <c r="P491">
        <f>-676.75614717316 -187.54044638547 -213.259990800073</f>
        <v>-1077.556584358703</v>
      </c>
      <c r="Q491">
        <f>-476.288672576334 -115.106859468189 -305.535231917393</f>
        <v>-896.930763961916</v>
      </c>
      <c r="R491" t="s">
        <v>9357</v>
      </c>
      <c r="S491" t="s">
        <v>9358</v>
      </c>
      <c r="T491" t="s">
        <v>9359</v>
      </c>
      <c r="U491" t="s">
        <v>9360</v>
      </c>
      <c r="V491">
        <f>-576.282485409141 -57.1961633724839 -90.8636824912211</f>
        <v>-724.34233127284597</v>
      </c>
      <c r="W491" t="s">
        <v>9361</v>
      </c>
      <c r="X491" t="s">
        <v>9362</v>
      </c>
      <c r="Y491" t="s">
        <v>9363</v>
      </c>
    </row>
    <row r="492" spans="1:25" x14ac:dyDescent="0.3">
      <c r="A492">
        <v>24550</v>
      </c>
      <c r="B492" t="s">
        <v>9364</v>
      </c>
      <c r="C492" t="s">
        <v>9365</v>
      </c>
      <c r="D492" t="s">
        <v>9366</v>
      </c>
      <c r="E492" t="s">
        <v>9367</v>
      </c>
      <c r="F492" t="s">
        <v>9368</v>
      </c>
      <c r="G492" t="s">
        <v>9369</v>
      </c>
      <c r="H492" t="s">
        <v>9370</v>
      </c>
      <c r="I492" t="s">
        <v>9371</v>
      </c>
      <c r="J492" t="s">
        <v>9372</v>
      </c>
      <c r="K492" t="s">
        <v>9373</v>
      </c>
      <c r="L492" t="s">
        <v>9374</v>
      </c>
      <c r="M492" t="s">
        <v>9375</v>
      </c>
      <c r="N492">
        <f>-637.966577739125 -6.19627563310451 -526.269862071756</f>
        <v>-1170.4327154439857</v>
      </c>
      <c r="O492">
        <f>-662.967541230472 -156.560811932614 -493.076620569756</f>
        <v>-1312.6049737328419</v>
      </c>
      <c r="P492">
        <f>-676.614607895548 -187.648090908254 -213.03028667212</f>
        <v>-1077.292985475922</v>
      </c>
      <c r="Q492">
        <f>-476.051329325848 -115.10022961266 -305.007189659146</f>
        <v>-896.15874859765393</v>
      </c>
      <c r="R492" t="s">
        <v>9376</v>
      </c>
      <c r="S492" t="s">
        <v>9377</v>
      </c>
      <c r="T492" t="s">
        <v>9378</v>
      </c>
      <c r="U492" t="s">
        <v>9379</v>
      </c>
      <c r="V492">
        <f>-575.817138722796 -57.0710607454075 -90.6304484329205</f>
        <v>-723.51864790112404</v>
      </c>
      <c r="W492" t="s">
        <v>9380</v>
      </c>
      <c r="X492" t="s">
        <v>9381</v>
      </c>
      <c r="Y492" t="s">
        <v>9382</v>
      </c>
    </row>
    <row r="493" spans="1:25" x14ac:dyDescent="0.3">
      <c r="A493">
        <v>24600</v>
      </c>
      <c r="B493" t="s">
        <v>9383</v>
      </c>
      <c r="C493" t="s">
        <v>9384</v>
      </c>
      <c r="D493" t="s">
        <v>9385</v>
      </c>
      <c r="E493" t="s">
        <v>9386</v>
      </c>
      <c r="F493" t="s">
        <v>9387</v>
      </c>
      <c r="G493" t="s">
        <v>9388</v>
      </c>
      <c r="H493" t="s">
        <v>9389</v>
      </c>
      <c r="I493" t="s">
        <v>9390</v>
      </c>
      <c r="J493" t="s">
        <v>9391</v>
      </c>
      <c r="K493" t="s">
        <v>9392</v>
      </c>
      <c r="L493" t="s">
        <v>9393</v>
      </c>
      <c r="M493" t="s">
        <v>9394</v>
      </c>
      <c r="N493">
        <f>-637.682934871056 -6.52605869435138 -525.941711214273</f>
        <v>-1170.1507047796804</v>
      </c>
      <c r="O493">
        <f>-662.486031766846 -156.895271948642 -492.602787400243</f>
        <v>-1311.984091115731</v>
      </c>
      <c r="P493">
        <f>-676.562507745724 -187.965023588218 -212.575843120355</f>
        <v>-1077.103374454297</v>
      </c>
      <c r="Q493">
        <f>-475.83626409101 -115.143125880933 -303.978660781488</f>
        <v>-894.95805075343094</v>
      </c>
      <c r="R493" t="s">
        <v>9395</v>
      </c>
      <c r="S493" t="s">
        <v>9396</v>
      </c>
      <c r="T493" t="s">
        <v>9397</v>
      </c>
      <c r="U493" t="s">
        <v>9398</v>
      </c>
      <c r="V493">
        <f>-575.471098609704 -56.9466603879941 -90.3823375119896</f>
        <v>-722.80009650968771</v>
      </c>
      <c r="W493" t="s">
        <v>9399</v>
      </c>
      <c r="X493" t="s">
        <v>9400</v>
      </c>
      <c r="Y493" t="s">
        <v>9401</v>
      </c>
    </row>
    <row r="494" spans="1:25" x14ac:dyDescent="0.3">
      <c r="A494">
        <v>24650</v>
      </c>
      <c r="B494" t="s">
        <v>9402</v>
      </c>
      <c r="C494" t="s">
        <v>9403</v>
      </c>
      <c r="D494" t="s">
        <v>9404</v>
      </c>
      <c r="E494" t="s">
        <v>9405</v>
      </c>
      <c r="F494" t="s">
        <v>9406</v>
      </c>
      <c r="G494" t="s">
        <v>9407</v>
      </c>
      <c r="H494" t="s">
        <v>9408</v>
      </c>
      <c r="I494" t="s">
        <v>9409</v>
      </c>
      <c r="J494" t="s">
        <v>9410</v>
      </c>
      <c r="K494" t="s">
        <v>9411</v>
      </c>
      <c r="L494" t="s">
        <v>9412</v>
      </c>
      <c r="M494" t="s">
        <v>9413</v>
      </c>
      <c r="N494">
        <f>-637.834230752311 -6.865555702846 -525.855683263407</f>
        <v>-1170.5554697185639</v>
      </c>
      <c r="O494">
        <f>-662.497806531062 -157.22666597065 -492.388777192586</f>
        <v>-1312.113249694298</v>
      </c>
      <c r="P494">
        <f>-676.622716537288 -188.06330382319 -212.338462749803</f>
        <v>-1077.0244831102812</v>
      </c>
      <c r="Q494">
        <f>-475.861555706565 -115.152607308659 -303.593774547009</f>
        <v>-894.60793756223302</v>
      </c>
      <c r="R494" t="s">
        <v>9414</v>
      </c>
      <c r="S494" t="s">
        <v>9415</v>
      </c>
      <c r="T494" t="s">
        <v>9416</v>
      </c>
      <c r="U494" t="s">
        <v>9417</v>
      </c>
      <c r="V494">
        <f>-575.670029445081 -56.9929790044155 -90.3810366904636</f>
        <v>-723.04404513996008</v>
      </c>
      <c r="W494" t="s">
        <v>9418</v>
      </c>
      <c r="X494" t="s">
        <v>9419</v>
      </c>
      <c r="Y494" t="s">
        <v>9420</v>
      </c>
    </row>
    <row r="495" spans="1:25" x14ac:dyDescent="0.3">
      <c r="A495">
        <v>24700</v>
      </c>
      <c r="B495" t="s">
        <v>9421</v>
      </c>
      <c r="C495" t="s">
        <v>9422</v>
      </c>
      <c r="D495" t="s">
        <v>9423</v>
      </c>
      <c r="E495" t="s">
        <v>9424</v>
      </c>
      <c r="F495" t="s">
        <v>9425</v>
      </c>
      <c r="G495" t="s">
        <v>9426</v>
      </c>
      <c r="H495" t="s">
        <v>9427</v>
      </c>
      <c r="I495" t="s">
        <v>9428</v>
      </c>
      <c r="J495" t="s">
        <v>9429</v>
      </c>
      <c r="K495" t="s">
        <v>9430</v>
      </c>
      <c r="L495" t="s">
        <v>9431</v>
      </c>
      <c r="M495" t="s">
        <v>9432</v>
      </c>
      <c r="N495">
        <f>-638.469279669242 -7.60279048922757 -525.898700923088</f>
        <v>-1171.9707710815576</v>
      </c>
      <c r="O495">
        <f>-662.955630490217 -157.903740635633 -492.031859826432</f>
        <v>-1312.8912309522821</v>
      </c>
      <c r="P495">
        <f>-676.757345554511 -188.095933972208 -211.895308993182</f>
        <v>-1076.748588519901</v>
      </c>
      <c r="Q495">
        <f>-476.114384978981 -115.057783551164 -303.308315336993</f>
        <v>-894.48048386713799</v>
      </c>
      <c r="R495" t="s">
        <v>9433</v>
      </c>
      <c r="S495" t="s">
        <v>9434</v>
      </c>
      <c r="T495" t="s">
        <v>9435</v>
      </c>
      <c r="U495" t="s">
        <v>9436</v>
      </c>
      <c r="V495">
        <f>-576.669751860302 -56.8625967937028 -90.5880899047156</f>
        <v>-724.12043855872037</v>
      </c>
      <c r="W495" t="s">
        <v>9437</v>
      </c>
      <c r="X495" t="s">
        <v>9438</v>
      </c>
      <c r="Y495" t="s">
        <v>9439</v>
      </c>
    </row>
    <row r="496" spans="1:25" x14ac:dyDescent="0.3">
      <c r="A496">
        <v>24750</v>
      </c>
      <c r="B496" t="s">
        <v>9440</v>
      </c>
      <c r="C496" t="s">
        <v>9441</v>
      </c>
      <c r="D496" t="s">
        <v>9442</v>
      </c>
      <c r="E496" t="s">
        <v>9443</v>
      </c>
      <c r="F496" t="s">
        <v>9444</v>
      </c>
      <c r="G496" t="s">
        <v>9445</v>
      </c>
      <c r="H496" t="s">
        <v>9446</v>
      </c>
      <c r="I496" t="s">
        <v>9447</v>
      </c>
      <c r="J496" t="s">
        <v>9448</v>
      </c>
      <c r="K496" t="s">
        <v>9449</v>
      </c>
      <c r="L496" t="s">
        <v>9450</v>
      </c>
      <c r="M496" t="s">
        <v>9451</v>
      </c>
      <c r="N496">
        <f>-638.838960749468 -7.95838276243717 -525.993785565404</f>
        <v>-1172.7911290773091</v>
      </c>
      <c r="O496">
        <f>-663.317111383547 -158.206243924331 -491.874268031045</f>
        <v>-1313.397623338923</v>
      </c>
      <c r="P496">
        <f>-676.927899358505 -187.980447438093 -211.683605463374</f>
        <v>-1076.591952259972</v>
      </c>
      <c r="Q496">
        <f>-476.387917702971 -115.01092061472 -303.377119945962</f>
        <v>-894.77595826365302</v>
      </c>
      <c r="R496" t="s">
        <v>9452</v>
      </c>
      <c r="S496" t="s">
        <v>9453</v>
      </c>
      <c r="T496" t="s">
        <v>9454</v>
      </c>
      <c r="U496" t="s">
        <v>9455</v>
      </c>
      <c r="V496">
        <f>-577.239646698175 -56.7395853009496 -90.7657528444797</f>
        <v>-724.74498484360424</v>
      </c>
      <c r="W496" t="s">
        <v>9456</v>
      </c>
      <c r="X496" t="s">
        <v>9457</v>
      </c>
      <c r="Y496" t="s">
        <v>9458</v>
      </c>
    </row>
    <row r="497" spans="1:25" x14ac:dyDescent="0.3">
      <c r="A497">
        <v>24800</v>
      </c>
      <c r="B497" t="s">
        <v>9459</v>
      </c>
      <c r="C497" t="s">
        <v>9460</v>
      </c>
      <c r="D497" t="s">
        <v>9461</v>
      </c>
      <c r="E497" t="s">
        <v>9462</v>
      </c>
      <c r="F497" t="s">
        <v>9463</v>
      </c>
      <c r="G497" t="s">
        <v>9464</v>
      </c>
      <c r="H497" t="s">
        <v>9465</v>
      </c>
      <c r="I497" t="s">
        <v>9466</v>
      </c>
      <c r="J497" t="s">
        <v>9467</v>
      </c>
      <c r="K497" t="s">
        <v>9468</v>
      </c>
      <c r="L497" t="s">
        <v>9469</v>
      </c>
      <c r="M497" t="s">
        <v>9470</v>
      </c>
      <c r="N497">
        <f>-639.320524878997 -8.60845056378002 -526.245404489778</f>
        <v>-1174.174379932555</v>
      </c>
      <c r="O497">
        <f>-664.065016163802 -158.697916863931 -491.620726181024</f>
        <v>-1314.3836592087571</v>
      </c>
      <c r="P497">
        <f>-677.397958548469 -187.500281945729 -211.314924656734</f>
        <v>-1076.2131651509321</v>
      </c>
      <c r="Q497">
        <f>-476.846431254457 -115.084487764515 -303.4213704388</f>
        <v>-895.35228945777203</v>
      </c>
      <c r="R497" t="s">
        <v>9471</v>
      </c>
      <c r="S497" t="s">
        <v>9472</v>
      </c>
      <c r="T497" t="s">
        <v>9473</v>
      </c>
      <c r="U497" t="s">
        <v>9474</v>
      </c>
      <c r="V497">
        <f>-578.047523459681 -56.7416670253572 -91.0927756194687</f>
        <v>-725.88196610450689</v>
      </c>
      <c r="W497" t="s">
        <v>9475</v>
      </c>
      <c r="X497" t="s">
        <v>9476</v>
      </c>
      <c r="Y497" t="s">
        <v>9477</v>
      </c>
    </row>
    <row r="498" spans="1:25" x14ac:dyDescent="0.3">
      <c r="A498">
        <v>24850</v>
      </c>
      <c r="B498" t="s">
        <v>9478</v>
      </c>
      <c r="C498" t="s">
        <v>9479</v>
      </c>
      <c r="D498" t="s">
        <v>9480</v>
      </c>
      <c r="E498" t="s">
        <v>9481</v>
      </c>
      <c r="F498" t="s">
        <v>9482</v>
      </c>
      <c r="G498" t="s">
        <v>9483</v>
      </c>
      <c r="H498" t="s">
        <v>9484</v>
      </c>
      <c r="I498" t="s">
        <v>9485</v>
      </c>
      <c r="J498" t="s">
        <v>9486</v>
      </c>
      <c r="K498" t="s">
        <v>9487</v>
      </c>
      <c r="L498" t="s">
        <v>9488</v>
      </c>
      <c r="M498" t="s">
        <v>9489</v>
      </c>
      <c r="N498">
        <f>-639.191490178481 -8.79311317832867 -526.374306382939</f>
        <v>-1174.3589097397487</v>
      </c>
      <c r="O498">
        <f>-664.09725811043 -158.836394048783 -491.635890200648</f>
        <v>-1314.5695423598609</v>
      </c>
      <c r="P498">
        <f>-677.563519128194 -187.284493928678 -211.300478769125</f>
        <v>-1076.1484918259971</v>
      </c>
      <c r="Q498">
        <f>-476.832321620532 -115.287929397826 -303.343954853569</f>
        <v>-895.46420587192699</v>
      </c>
      <c r="R498" t="s">
        <v>9490</v>
      </c>
      <c r="S498" t="s">
        <v>9491</v>
      </c>
      <c r="T498" t="s">
        <v>9492</v>
      </c>
      <c r="U498" t="s">
        <v>9493</v>
      </c>
      <c r="V498">
        <f>-578.112490564446 -56.766506262682 -91.1902709493633</f>
        <v>-726.0692677764913</v>
      </c>
      <c r="W498" t="s">
        <v>9494</v>
      </c>
      <c r="X498" t="s">
        <v>9495</v>
      </c>
      <c r="Y498" t="s">
        <v>9496</v>
      </c>
    </row>
    <row r="499" spans="1:25" x14ac:dyDescent="0.3">
      <c r="A499">
        <v>24900</v>
      </c>
      <c r="B499" t="s">
        <v>9497</v>
      </c>
      <c r="C499" t="s">
        <v>9498</v>
      </c>
      <c r="D499" t="s">
        <v>9499</v>
      </c>
      <c r="E499" t="s">
        <v>9500</v>
      </c>
      <c r="F499" t="s">
        <v>9501</v>
      </c>
      <c r="G499" t="s">
        <v>9502</v>
      </c>
      <c r="H499" t="s">
        <v>9503</v>
      </c>
      <c r="I499" t="s">
        <v>9504</v>
      </c>
      <c r="J499" t="s">
        <v>9505</v>
      </c>
      <c r="K499" t="s">
        <v>9506</v>
      </c>
      <c r="L499" t="s">
        <v>9507</v>
      </c>
      <c r="M499" t="s">
        <v>9508</v>
      </c>
      <c r="N499">
        <f>-638.633006183768 -8.9844359282863 -526.504245238923</f>
        <v>-1174.1216873509773</v>
      </c>
      <c r="O499">
        <f>-663.766494112698 -158.949424277062 -491.63308138702</f>
        <v>-1314.3489997767799</v>
      </c>
      <c r="P499">
        <f>-677.599238702453 -187.43135281206 -211.318859909687</f>
        <v>-1076.3494514242</v>
      </c>
      <c r="Q499">
        <f>-476.61217211944 -115.863386864018 -303.138077404261</f>
        <v>-895.613636387719</v>
      </c>
      <c r="R499" t="s">
        <v>9509</v>
      </c>
      <c r="S499" t="s">
        <v>9510</v>
      </c>
      <c r="T499" t="s">
        <v>9511</v>
      </c>
      <c r="U499" t="s">
        <v>9512</v>
      </c>
      <c r="V499">
        <f>-577.836229530571 -56.6137152398958 -91.2272351238603</f>
        <v>-725.67717989432708</v>
      </c>
      <c r="W499" t="s">
        <v>9513</v>
      </c>
      <c r="X499" t="s">
        <v>9514</v>
      </c>
      <c r="Y499" t="s">
        <v>9515</v>
      </c>
    </row>
    <row r="500" spans="1:25" x14ac:dyDescent="0.3">
      <c r="A500">
        <v>24950</v>
      </c>
      <c r="B500" t="s">
        <v>9516</v>
      </c>
      <c r="C500" t="s">
        <v>9517</v>
      </c>
      <c r="D500" t="s">
        <v>9518</v>
      </c>
      <c r="E500" t="s">
        <v>9519</v>
      </c>
      <c r="F500" t="s">
        <v>9520</v>
      </c>
      <c r="G500" t="s">
        <v>9521</v>
      </c>
      <c r="H500" t="s">
        <v>9522</v>
      </c>
      <c r="I500" t="s">
        <v>9523</v>
      </c>
      <c r="J500" t="s">
        <v>9524</v>
      </c>
      <c r="K500" t="s">
        <v>9525</v>
      </c>
      <c r="L500" t="s">
        <v>9526</v>
      </c>
      <c r="M500" t="s">
        <v>9527</v>
      </c>
      <c r="N500">
        <f>-638.419020507288 -8.99978521252183 -526.503283762278</f>
        <v>-1173.9220894820878</v>
      </c>
      <c r="O500">
        <f>-663.658707957066 -158.929716569429 -491.561576492423</f>
        <v>-1314.1500010189179</v>
      </c>
      <c r="P500">
        <f>-677.571466594704 -187.576590350322 -211.268145390723</f>
        <v>-1076.4162023357489</v>
      </c>
      <c r="Q500">
        <f>-476.475263544783 -116.139464040575 -302.95016195247</f>
        <v>-895.56488953782798</v>
      </c>
      <c r="R500" t="s">
        <v>9528</v>
      </c>
      <c r="S500" t="s">
        <v>9529</v>
      </c>
      <c r="T500" t="s">
        <v>9530</v>
      </c>
      <c r="U500" t="s">
        <v>9531</v>
      </c>
      <c r="V500">
        <f>-577.555323685888 -56.4823544005062 -91.2221135757433</f>
        <v>-725.25979166213745</v>
      </c>
      <c r="W500" t="s">
        <v>9532</v>
      </c>
      <c r="X500" t="s">
        <v>9533</v>
      </c>
      <c r="Y500" t="s">
        <v>9534</v>
      </c>
    </row>
    <row r="501" spans="1:25" x14ac:dyDescent="0.3">
      <c r="A501">
        <v>25000</v>
      </c>
      <c r="B501" t="s">
        <v>9535</v>
      </c>
      <c r="C501" t="s">
        <v>9536</v>
      </c>
      <c r="D501" t="s">
        <v>9537</v>
      </c>
      <c r="E501" t="s">
        <v>9538</v>
      </c>
      <c r="F501" t="s">
        <v>9539</v>
      </c>
      <c r="G501" t="s">
        <v>9540</v>
      </c>
      <c r="H501" t="s">
        <v>9541</v>
      </c>
      <c r="I501" t="s">
        <v>9542</v>
      </c>
      <c r="J501" t="s">
        <v>9543</v>
      </c>
      <c r="K501" t="s">
        <v>9544</v>
      </c>
      <c r="L501" t="s">
        <v>9545</v>
      </c>
      <c r="M501" t="s">
        <v>9546</v>
      </c>
      <c r="N501">
        <f>-638.100840421492 -8.91716121722584 -526.437123224611</f>
        <v>-1173.4551248633288</v>
      </c>
      <c r="O501">
        <f>-663.585843902634 -158.777459940783 -491.369172898669</f>
        <v>-1313.732476742086</v>
      </c>
      <c r="P501">
        <f>-677.305998963033 -187.308383347686 -211.054512795448</f>
        <v>-1075.6688951061669</v>
      </c>
      <c r="Q501">
        <f>-476.010275767897 -116.384646511825 -302.697123935162</f>
        <v>-895.09204621488402</v>
      </c>
      <c r="R501" t="s">
        <v>9547</v>
      </c>
      <c r="S501" t="s">
        <v>9548</v>
      </c>
      <c r="T501" t="s">
        <v>9549</v>
      </c>
      <c r="U501" t="s">
        <v>9550</v>
      </c>
      <c r="V501">
        <f>-576.927173439722 -56.1487955465129 -91.1716271345995</f>
        <v>-724.24759612083437</v>
      </c>
      <c r="W501" t="s">
        <v>9551</v>
      </c>
      <c r="X501" t="s">
        <v>9552</v>
      </c>
      <c r="Y501" t="s">
        <v>9553</v>
      </c>
    </row>
    <row r="502" spans="1:25" x14ac:dyDescent="0.3">
      <c r="A502">
        <v>25050</v>
      </c>
      <c r="B502" t="s">
        <v>9554</v>
      </c>
      <c r="C502" t="s">
        <v>9555</v>
      </c>
      <c r="D502" t="s">
        <v>9556</v>
      </c>
      <c r="E502" t="s">
        <v>9557</v>
      </c>
      <c r="F502" t="s">
        <v>9558</v>
      </c>
      <c r="G502" t="s">
        <v>9559</v>
      </c>
      <c r="H502" t="s">
        <v>9560</v>
      </c>
      <c r="I502" t="s">
        <v>9561</v>
      </c>
      <c r="J502" t="s">
        <v>9562</v>
      </c>
      <c r="K502" t="s">
        <v>9563</v>
      </c>
      <c r="L502" t="s">
        <v>9564</v>
      </c>
      <c r="M502" t="s">
        <v>9565</v>
      </c>
      <c r="N502">
        <f>-637.933743581818 -8.87864173715434 -526.383422673984</f>
        <v>-1173.1958079929564</v>
      </c>
      <c r="O502">
        <f>-663.581944190549 -158.696659611599 -491.271826215123</f>
        <v>-1313.5504300172711</v>
      </c>
      <c r="P502">
        <f>-677.101801119991 -187.085273925228 -210.932939654535</f>
        <v>-1075.1200146997539</v>
      </c>
      <c r="Q502">
        <f>-475.762537183326 -116.391161241873 -302.657359938417</f>
        <v>-894.81105836361598</v>
      </c>
      <c r="R502" t="s">
        <v>9566</v>
      </c>
      <c r="S502" t="s">
        <v>9567</v>
      </c>
      <c r="T502" t="s">
        <v>9568</v>
      </c>
      <c r="U502" t="s">
        <v>9569</v>
      </c>
      <c r="V502">
        <f>-576.643667051329 -56.0801453256963 -91.1424009464467</f>
        <v>-723.86621332347204</v>
      </c>
      <c r="W502" t="s">
        <v>9570</v>
      </c>
      <c r="X502" t="s">
        <v>9571</v>
      </c>
      <c r="Y502" t="s">
        <v>9572</v>
      </c>
    </row>
    <row r="503" spans="1:25" x14ac:dyDescent="0.3">
      <c r="A503">
        <v>25100</v>
      </c>
      <c r="B503" t="s">
        <v>9573</v>
      </c>
      <c r="C503" t="s">
        <v>9574</v>
      </c>
      <c r="D503" t="s">
        <v>9575</v>
      </c>
      <c r="E503" t="s">
        <v>9576</v>
      </c>
      <c r="F503" t="s">
        <v>9577</v>
      </c>
      <c r="G503" t="s">
        <v>9578</v>
      </c>
      <c r="H503" t="s">
        <v>9579</v>
      </c>
      <c r="I503" t="s">
        <v>9580</v>
      </c>
      <c r="J503" t="s">
        <v>9581</v>
      </c>
      <c r="K503" t="s">
        <v>9582</v>
      </c>
      <c r="L503" t="s">
        <v>9583</v>
      </c>
      <c r="M503" t="s">
        <v>9584</v>
      </c>
      <c r="N503">
        <f>-637.690443102057 -8.92386287377894 -526.32618641482</f>
        <v>-1172.9404923906559</v>
      </c>
      <c r="O503">
        <f>-663.649148565093 -158.67595849505 -491.155010817117</f>
        <v>-1313.48011787726</v>
      </c>
      <c r="P503">
        <f>-676.915556845973 -186.98865354309 -210.796288447237</f>
        <v>-1074.7004988363001</v>
      </c>
      <c r="Q503">
        <f>-475.528482593165 -116.514503918301 -302.585064464208</f>
        <v>-894.628050975674</v>
      </c>
      <c r="R503" t="s">
        <v>9585</v>
      </c>
      <c r="S503" t="s">
        <v>9586</v>
      </c>
      <c r="T503" t="s">
        <v>9587</v>
      </c>
      <c r="U503" t="s">
        <v>9588</v>
      </c>
      <c r="V503">
        <f>-576.251557924712 -56.1052054760276 -91.1287938540887</f>
        <v>-723.48555725482822</v>
      </c>
      <c r="W503" t="s">
        <v>9589</v>
      </c>
      <c r="X503" t="s">
        <v>9590</v>
      </c>
      <c r="Y503" t="s">
        <v>9591</v>
      </c>
    </row>
    <row r="504" spans="1:25" x14ac:dyDescent="0.3">
      <c r="A504">
        <v>25150</v>
      </c>
      <c r="B504" t="s">
        <v>9592</v>
      </c>
      <c r="C504" t="s">
        <v>9593</v>
      </c>
      <c r="D504" t="s">
        <v>9594</v>
      </c>
      <c r="E504" t="s">
        <v>9595</v>
      </c>
      <c r="F504" t="s">
        <v>9596</v>
      </c>
      <c r="G504" t="s">
        <v>9597</v>
      </c>
      <c r="H504" t="s">
        <v>9598</v>
      </c>
      <c r="I504" t="s">
        <v>9599</v>
      </c>
      <c r="J504" t="s">
        <v>9600</v>
      </c>
      <c r="K504" t="s">
        <v>9601</v>
      </c>
      <c r="L504" t="s">
        <v>9602</v>
      </c>
      <c r="M504" t="s">
        <v>9603</v>
      </c>
      <c r="N504">
        <f>-637.474187655309 -8.86931070290029 -526.328232509835</f>
        <v>-1172.6717308680443</v>
      </c>
      <c r="O504">
        <f>-663.554078968463 -158.609148201675 -491.180978930309</f>
        <v>-1313.3442061004471</v>
      </c>
      <c r="P504">
        <f>-676.773944142063 -186.967497281539 -210.824723274861</f>
        <v>-1074.5661646984631</v>
      </c>
      <c r="Q504">
        <f>-475.336167615031 -116.483679074948 -302.494669820137</f>
        <v>-894.31451651011605</v>
      </c>
      <c r="R504" t="s">
        <v>9604</v>
      </c>
      <c r="S504" t="s">
        <v>9605</v>
      </c>
      <c r="T504" t="s">
        <v>9606</v>
      </c>
      <c r="U504" t="s">
        <v>9607</v>
      </c>
      <c r="V504">
        <f>-576.044640776407 -56.1072552099592 -91.1202737344757</f>
        <v>-723.27216972084204</v>
      </c>
      <c r="W504" t="s">
        <v>9608</v>
      </c>
      <c r="X504" t="s">
        <v>9609</v>
      </c>
      <c r="Y504" t="s">
        <v>9610</v>
      </c>
    </row>
    <row r="505" spans="1:25" x14ac:dyDescent="0.3">
      <c r="A505">
        <v>25200</v>
      </c>
      <c r="B505" t="s">
        <v>9611</v>
      </c>
      <c r="C505" t="s">
        <v>9612</v>
      </c>
      <c r="D505" t="s">
        <v>9613</v>
      </c>
      <c r="E505" t="s">
        <v>9614</v>
      </c>
      <c r="F505" t="s">
        <v>9615</v>
      </c>
      <c r="G505" t="s">
        <v>9616</v>
      </c>
      <c r="H505" t="s">
        <v>9617</v>
      </c>
      <c r="I505" t="s">
        <v>9618</v>
      </c>
      <c r="J505" t="s">
        <v>9619</v>
      </c>
      <c r="K505" t="s">
        <v>9620</v>
      </c>
      <c r="L505" t="s">
        <v>9621</v>
      </c>
      <c r="M505" t="s">
        <v>9622</v>
      </c>
      <c r="N505">
        <f>-636.617865048125 -8.66292957125347 -526.358549877933</f>
        <v>-1171.6393444973114</v>
      </c>
      <c r="O505">
        <f>-662.88929011463 -158.401436724804 -491.340868103377</f>
        <v>-1312.631594942811</v>
      </c>
      <c r="P505">
        <f>-676.4028315629 -187.20367063751 -211.043909666172</f>
        <v>-1074.6504118665821</v>
      </c>
      <c r="Q505">
        <f>-474.874997267657 -116.492119194436 -302.339768952587</f>
        <v>-893.70688541468007</v>
      </c>
      <c r="R505" t="s">
        <v>9623</v>
      </c>
      <c r="S505" t="s">
        <v>9624</v>
      </c>
      <c r="T505" t="s">
        <v>9625</v>
      </c>
      <c r="U505" t="s">
        <v>9626</v>
      </c>
      <c r="V505">
        <f>-575.485345818534 -56.0714597652902 -91.09475061604</f>
        <v>-722.65155619986422</v>
      </c>
      <c r="W505" t="s">
        <v>9627</v>
      </c>
      <c r="X505" t="s">
        <v>9628</v>
      </c>
      <c r="Y505" t="s">
        <v>9629</v>
      </c>
    </row>
    <row r="506" spans="1:25" x14ac:dyDescent="0.3">
      <c r="A506">
        <v>25250</v>
      </c>
      <c r="B506" t="s">
        <v>9630</v>
      </c>
      <c r="C506" t="s">
        <v>9631</v>
      </c>
      <c r="D506" t="s">
        <v>9632</v>
      </c>
      <c r="E506" t="s">
        <v>9633</v>
      </c>
      <c r="F506" t="s">
        <v>9634</v>
      </c>
      <c r="G506" t="s">
        <v>9635</v>
      </c>
      <c r="H506" t="s">
        <v>9636</v>
      </c>
      <c r="I506" t="s">
        <v>9637</v>
      </c>
      <c r="J506" t="s">
        <v>9638</v>
      </c>
      <c r="K506" t="s">
        <v>9639</v>
      </c>
      <c r="L506" t="s">
        <v>9640</v>
      </c>
      <c r="M506" t="s">
        <v>9641</v>
      </c>
      <c r="N506">
        <f>-636.008336655695 -8.42401795851833 -526.426855720073</f>
        <v>-1170.8592103342862</v>
      </c>
      <c r="O506">
        <f>-662.39397369054 -158.176529074003 -491.558056402071</f>
        <v>-1312.128559166614</v>
      </c>
      <c r="P506">
        <f>-676.184197074578 -187.219105902356 -211.299322421837</f>
        <v>-1074.702625398771</v>
      </c>
      <c r="Q506">
        <f>-474.571536220756 -116.422801358328 -302.341801617339</f>
        <v>-893.33613919642301</v>
      </c>
      <c r="R506" t="s">
        <v>9642</v>
      </c>
      <c r="S506" t="s">
        <v>9643</v>
      </c>
      <c r="T506" t="s">
        <v>9644</v>
      </c>
      <c r="U506" t="s">
        <v>9645</v>
      </c>
      <c r="V506">
        <f>-575.251958660931 -56.067968402712 -91.0794711003497</f>
        <v>-722.39939816399271</v>
      </c>
      <c r="W506" t="s">
        <v>9646</v>
      </c>
      <c r="X506" t="s">
        <v>9647</v>
      </c>
      <c r="Y506" t="s">
        <v>9648</v>
      </c>
    </row>
    <row r="507" spans="1:25" x14ac:dyDescent="0.3">
      <c r="A507">
        <v>25300</v>
      </c>
      <c r="B507" t="s">
        <v>9649</v>
      </c>
      <c r="C507" t="s">
        <v>9650</v>
      </c>
      <c r="D507" t="s">
        <v>9651</v>
      </c>
      <c r="E507" t="s">
        <v>9652</v>
      </c>
      <c r="F507" t="s">
        <v>9653</v>
      </c>
      <c r="G507" t="s">
        <v>9654</v>
      </c>
      <c r="H507" t="s">
        <v>9655</v>
      </c>
      <c r="I507" t="s">
        <v>9656</v>
      </c>
      <c r="J507" t="s">
        <v>9657</v>
      </c>
      <c r="K507" t="s">
        <v>9658</v>
      </c>
      <c r="L507" t="s">
        <v>9659</v>
      </c>
      <c r="M507" t="s">
        <v>9660</v>
      </c>
      <c r="N507">
        <f>-634.943442241461 -7.94257366229726 -526.573563813509</f>
        <v>-1169.4595797172674</v>
      </c>
      <c r="O507">
        <f>-661.496024865562 -157.740645809496 -492.033328220151</f>
        <v>-1311.269998895209</v>
      </c>
      <c r="P507">
        <f>-675.773097388258 -187.282265942925 -211.851208660783</f>
        <v>-1074.9065719919658</v>
      </c>
      <c r="Q507">
        <f>-473.961071324161 -116.307833302563 -302.311568781413</f>
        <v>-892.5804734081371</v>
      </c>
      <c r="R507" t="s">
        <v>9661</v>
      </c>
      <c r="S507" t="s">
        <v>9662</v>
      </c>
      <c r="T507" t="s">
        <v>9663</v>
      </c>
      <c r="U507" t="s">
        <v>9664</v>
      </c>
      <c r="V507">
        <f>-574.942308202187 -56.0847786949071 -91.0631840950607</f>
        <v>-722.09027099215473</v>
      </c>
      <c r="W507" t="s">
        <v>9665</v>
      </c>
      <c r="X507" t="s">
        <v>9666</v>
      </c>
      <c r="Y507" t="s">
        <v>9667</v>
      </c>
    </row>
    <row r="508" spans="1:25" x14ac:dyDescent="0.3">
      <c r="A508">
        <v>25350</v>
      </c>
      <c r="B508" t="s">
        <v>9668</v>
      </c>
      <c r="C508" t="s">
        <v>9669</v>
      </c>
      <c r="D508" t="s">
        <v>9670</v>
      </c>
      <c r="E508" t="s">
        <v>9671</v>
      </c>
      <c r="F508" t="s">
        <v>9672</v>
      </c>
      <c r="G508" t="s">
        <v>9673</v>
      </c>
      <c r="H508" t="s">
        <v>9674</v>
      </c>
      <c r="I508" t="s">
        <v>9675</v>
      </c>
      <c r="J508" t="s">
        <v>9676</v>
      </c>
      <c r="K508" t="s">
        <v>9677</v>
      </c>
      <c r="L508" t="s">
        <v>9678</v>
      </c>
      <c r="M508" t="s">
        <v>9679</v>
      </c>
      <c r="N508">
        <f>-634.489850727072 -7.70499545295206 -526.64469660226</f>
        <v>-1168.8395427822841</v>
      </c>
      <c r="O508">
        <f>-661.076518243027 -157.532137920829 -492.266771805298</f>
        <v>-1310.8754279691539</v>
      </c>
      <c r="P508">
        <f>-675.479603150779 -187.401443656849 -212.125764880392</f>
        <v>-1075.00681168802</v>
      </c>
      <c r="Q508">
        <f>-473.587607833404 -116.334657611894 -302.334837803701</f>
        <v>-892.25710324899899</v>
      </c>
      <c r="R508" t="s">
        <v>9680</v>
      </c>
      <c r="S508" t="s">
        <v>9681</v>
      </c>
      <c r="T508" t="s">
        <v>9682</v>
      </c>
      <c r="U508" t="s">
        <v>9683</v>
      </c>
      <c r="V508">
        <f>-574.843827310609 -56.0572785631198 -91.0700456763548</f>
        <v>-721.9711515500835</v>
      </c>
      <c r="W508" t="s">
        <v>9684</v>
      </c>
      <c r="X508" t="s">
        <v>9685</v>
      </c>
      <c r="Y508" t="s">
        <v>9686</v>
      </c>
    </row>
    <row r="509" spans="1:25" x14ac:dyDescent="0.3">
      <c r="A509">
        <v>25400</v>
      </c>
      <c r="B509" t="s">
        <v>9687</v>
      </c>
      <c r="C509" t="s">
        <v>9688</v>
      </c>
      <c r="D509" t="s">
        <v>9689</v>
      </c>
      <c r="E509" t="s">
        <v>9690</v>
      </c>
      <c r="F509" t="s">
        <v>9691</v>
      </c>
      <c r="G509" t="s">
        <v>9692</v>
      </c>
      <c r="H509" t="s">
        <v>9693</v>
      </c>
      <c r="I509" t="s">
        <v>9694</v>
      </c>
      <c r="J509" t="s">
        <v>9695</v>
      </c>
      <c r="K509" t="s">
        <v>9696</v>
      </c>
      <c r="L509" t="s">
        <v>9697</v>
      </c>
      <c r="M509" t="s">
        <v>9698</v>
      </c>
      <c r="N509">
        <f>-633.658273959675 -7.16634426470932 -526.803708806215</f>
        <v>-1167.6283270305994</v>
      </c>
      <c r="O509">
        <f>-660.360683235447 -157.023589894364 -492.640564363431</f>
        <v>-1310.0248374932421</v>
      </c>
      <c r="P509">
        <f>-674.812544815758 -187.455905591972 -212.562671231166</f>
        <v>-1074.8311216388959</v>
      </c>
      <c r="Q509">
        <f>-472.816759789304 -116.2166675663 -302.402407519598</f>
        <v>-891.43583487520198</v>
      </c>
      <c r="R509" t="s">
        <v>9699</v>
      </c>
      <c r="S509" t="s">
        <v>9700</v>
      </c>
      <c r="T509" t="s">
        <v>9701</v>
      </c>
      <c r="U509" t="s">
        <v>9702</v>
      </c>
      <c r="V509">
        <f>-574.682115744804 -55.9467066199418 -91.1031372687924</f>
        <v>-721.73195963353817</v>
      </c>
      <c r="W509" t="s">
        <v>9703</v>
      </c>
      <c r="X509" t="s">
        <v>9704</v>
      </c>
      <c r="Y509" t="s">
        <v>9705</v>
      </c>
    </row>
    <row r="510" spans="1:25" x14ac:dyDescent="0.3">
      <c r="A510">
        <v>25450</v>
      </c>
      <c r="B510" t="s">
        <v>9706</v>
      </c>
      <c r="C510" t="s">
        <v>9707</v>
      </c>
      <c r="D510" t="s">
        <v>9708</v>
      </c>
      <c r="E510" t="s">
        <v>9709</v>
      </c>
      <c r="F510" t="s">
        <v>9710</v>
      </c>
      <c r="G510" t="s">
        <v>9711</v>
      </c>
      <c r="H510" t="s">
        <v>9712</v>
      </c>
      <c r="I510" t="s">
        <v>9713</v>
      </c>
      <c r="J510" t="s">
        <v>9714</v>
      </c>
      <c r="K510" t="s">
        <v>9715</v>
      </c>
      <c r="L510" t="s">
        <v>9716</v>
      </c>
      <c r="M510" t="s">
        <v>9717</v>
      </c>
      <c r="N510">
        <f>-633.199129829974 -6.95430037873984 -526.869891565078</f>
        <v>-1167.0233217737918</v>
      </c>
      <c r="O510">
        <f>-660.005868421219 -156.80739830504 -492.773334837331</f>
        <v>-1309.58660156359</v>
      </c>
      <c r="P510">
        <f>-674.532800542508 -187.424440193119 -212.719465176207</f>
        <v>-1074.676705911834</v>
      </c>
      <c r="Q510">
        <f>-472.537163110711 -116.097575173622 -302.490348222138</f>
        <v>-891.12508650647101</v>
      </c>
      <c r="R510" t="s">
        <v>9718</v>
      </c>
      <c r="S510" t="s">
        <v>9719</v>
      </c>
      <c r="T510" t="s">
        <v>9720</v>
      </c>
      <c r="U510" t="s">
        <v>9721</v>
      </c>
      <c r="V510">
        <f>-574.496508870106 -55.8776850763802 -91.1102692611075</f>
        <v>-721.48446320759376</v>
      </c>
      <c r="W510" t="s">
        <v>9722</v>
      </c>
      <c r="X510" t="s">
        <v>9723</v>
      </c>
      <c r="Y510" t="s">
        <v>9724</v>
      </c>
    </row>
    <row r="511" spans="1:25" x14ac:dyDescent="0.3">
      <c r="A511">
        <v>25500</v>
      </c>
      <c r="B511" t="s">
        <v>9725</v>
      </c>
      <c r="C511" t="s">
        <v>9726</v>
      </c>
      <c r="D511" t="s">
        <v>9727</v>
      </c>
      <c r="E511" t="s">
        <v>9728</v>
      </c>
      <c r="F511" t="s">
        <v>9729</v>
      </c>
      <c r="G511" t="s">
        <v>9730</v>
      </c>
      <c r="H511" t="s">
        <v>9731</v>
      </c>
      <c r="I511" t="s">
        <v>9732</v>
      </c>
      <c r="J511" t="s">
        <v>9733</v>
      </c>
      <c r="K511" t="s">
        <v>9734</v>
      </c>
      <c r="L511" t="s">
        <v>9735</v>
      </c>
      <c r="M511" t="s">
        <v>9736</v>
      </c>
      <c r="N511">
        <f>-631.960949713405 -6.61437484646513 -526.949923188067</f>
        <v>-1165.5252477479371</v>
      </c>
      <c r="O511">
        <f>-659.013255474556 -156.443867431308 -492.943595645191</f>
        <v>-1308.400718551055</v>
      </c>
      <c r="P511">
        <f>-674.059759235458 -187.261429631328 -212.939129147876</f>
        <v>-1074.2603180146621</v>
      </c>
      <c r="Q511">
        <f>-471.99700792111 -115.971915727445 -302.588286887844</f>
        <v>-890.557210536399</v>
      </c>
      <c r="R511" t="s">
        <v>9737</v>
      </c>
      <c r="S511" t="s">
        <v>9738</v>
      </c>
      <c r="T511" t="s">
        <v>9739</v>
      </c>
      <c r="U511" t="s">
        <v>9740</v>
      </c>
      <c r="V511">
        <f>-574.105193715683 -55.6609413608574 -91.0746800867695</f>
        <v>-720.8408151633098</v>
      </c>
      <c r="W511" t="s">
        <v>9741</v>
      </c>
      <c r="X511" t="s">
        <v>9742</v>
      </c>
      <c r="Y511" t="s">
        <v>9743</v>
      </c>
    </row>
    <row r="512" spans="1:25" x14ac:dyDescent="0.3">
      <c r="A512">
        <v>25550</v>
      </c>
      <c r="B512" t="s">
        <v>9744</v>
      </c>
      <c r="C512" t="s">
        <v>9745</v>
      </c>
      <c r="D512" t="s">
        <v>9746</v>
      </c>
      <c r="E512" t="s">
        <v>9747</v>
      </c>
      <c r="F512" t="s">
        <v>9748</v>
      </c>
      <c r="G512" t="s">
        <v>9749</v>
      </c>
      <c r="H512" t="s">
        <v>9750</v>
      </c>
      <c r="I512" t="s">
        <v>9751</v>
      </c>
      <c r="J512" t="s">
        <v>9752</v>
      </c>
      <c r="K512" t="s">
        <v>9753</v>
      </c>
      <c r="L512" t="s">
        <v>9754</v>
      </c>
      <c r="M512" t="s">
        <v>9755</v>
      </c>
      <c r="N512">
        <f>-631.286018092843 -6.33534174810097 -526.972010465622</f>
        <v>-1164.5933703065662</v>
      </c>
      <c r="O512">
        <f>-658.46083019865 -156.156744469008 -492.99617700693</f>
        <v>-1307.613751674588</v>
      </c>
      <c r="P512">
        <f>-673.794501633913 -186.875097565526 -212.996438369619</f>
        <v>-1073.6660375690581</v>
      </c>
      <c r="Q512">
        <f>-471.639463991052 -115.713411229543 -302.539158299142</f>
        <v>-889.89203351973697</v>
      </c>
      <c r="R512" t="s">
        <v>9756</v>
      </c>
      <c r="S512" t="s">
        <v>9757</v>
      </c>
      <c r="T512" t="s">
        <v>9758</v>
      </c>
      <c r="U512" t="s">
        <v>9759</v>
      </c>
      <c r="V512">
        <f>-573.806961141028 -55.4400616912724 -91.039788050732</f>
        <v>-720.28681088303233</v>
      </c>
      <c r="W512" t="s">
        <v>9760</v>
      </c>
      <c r="X512" t="s">
        <v>9761</v>
      </c>
      <c r="Y512" t="s">
        <v>9762</v>
      </c>
    </row>
    <row r="513" spans="1:25" x14ac:dyDescent="0.3">
      <c r="A513">
        <v>25600</v>
      </c>
      <c r="B513" t="s">
        <v>9763</v>
      </c>
      <c r="C513" t="s">
        <v>9764</v>
      </c>
      <c r="D513" t="s">
        <v>9765</v>
      </c>
      <c r="E513" t="s">
        <v>9766</v>
      </c>
      <c r="F513" t="s">
        <v>9767</v>
      </c>
      <c r="G513" t="s">
        <v>9768</v>
      </c>
      <c r="H513" t="s">
        <v>9769</v>
      </c>
      <c r="I513" t="s">
        <v>9770</v>
      </c>
      <c r="J513" t="s">
        <v>9771</v>
      </c>
      <c r="K513" t="s">
        <v>9772</v>
      </c>
      <c r="L513" t="s">
        <v>9773</v>
      </c>
      <c r="M513" t="s">
        <v>9774</v>
      </c>
      <c r="N513">
        <f>-629.961317795557 -5.6502897682717 -526.990915007375</f>
        <v>-1162.6025225712037</v>
      </c>
      <c r="O513">
        <f>-657.333095939659 -155.439949468476 -493.070431107368</f>
        <v>-1305.843476515503</v>
      </c>
      <c r="P513">
        <f>-673.212377737973 -186.316956630674 -213.118497287528</f>
        <v>-1072.647831656175</v>
      </c>
      <c r="Q513">
        <f>-470.810326513538 -115.311088370966 -302.225825905111</f>
        <v>-888.34724078961494</v>
      </c>
      <c r="R513" t="s">
        <v>9775</v>
      </c>
      <c r="S513" t="s">
        <v>9776</v>
      </c>
      <c r="T513" t="s">
        <v>9777</v>
      </c>
      <c r="U513" t="s">
        <v>9778</v>
      </c>
      <c r="V513">
        <f>-573.075233429066 -54.8353929232558 -90.9601358299952</f>
        <v>-718.87076218231698</v>
      </c>
      <c r="W513" t="s">
        <v>9779</v>
      </c>
      <c r="X513" t="s">
        <v>9780</v>
      </c>
      <c r="Y513" t="s">
        <v>9781</v>
      </c>
    </row>
    <row r="514" spans="1:25" x14ac:dyDescent="0.3">
      <c r="A514">
        <v>25650</v>
      </c>
      <c r="B514" t="s">
        <v>9782</v>
      </c>
      <c r="C514" t="s">
        <v>9783</v>
      </c>
      <c r="D514" t="s">
        <v>9784</v>
      </c>
      <c r="E514" t="s">
        <v>9785</v>
      </c>
      <c r="F514" t="s">
        <v>9786</v>
      </c>
      <c r="G514" t="s">
        <v>9787</v>
      </c>
      <c r="H514" t="s">
        <v>9788</v>
      </c>
      <c r="I514" t="s">
        <v>9789</v>
      </c>
      <c r="J514" t="s">
        <v>9790</v>
      </c>
      <c r="K514" t="s">
        <v>9791</v>
      </c>
      <c r="L514" t="s">
        <v>9792</v>
      </c>
      <c r="M514" t="s">
        <v>9793</v>
      </c>
      <c r="N514">
        <f>-629.277578862034 -5.18441886704431 -526.999788345544</f>
        <v>-1161.4617860746223</v>
      </c>
      <c r="O514">
        <f>-656.7078997051 -154.973929745351 -493.103042676191</f>
        <v>-1304.7848721266421</v>
      </c>
      <c r="P514">
        <f>-672.884669358668 -185.941366344051 -213.178215188295</f>
        <v>-1072.0042508910142</v>
      </c>
      <c r="Q514">
        <f>-470.397728447754 -114.994172908963 -302.139116296522</f>
        <v>-887.53101765323891</v>
      </c>
      <c r="R514" t="s">
        <v>9794</v>
      </c>
      <c r="S514" t="s">
        <v>9795</v>
      </c>
      <c r="T514" t="s">
        <v>9796</v>
      </c>
      <c r="U514" t="s">
        <v>9797</v>
      </c>
      <c r="V514">
        <f>-572.620311796882 -54.4489147249128 -90.9162510775534</f>
        <v>-717.9854775993482</v>
      </c>
      <c r="W514" t="s">
        <v>9798</v>
      </c>
      <c r="X514" t="s">
        <v>9799</v>
      </c>
      <c r="Y514" t="s">
        <v>9800</v>
      </c>
    </row>
    <row r="515" spans="1:25" x14ac:dyDescent="0.3">
      <c r="A515">
        <v>25700</v>
      </c>
      <c r="B515" t="s">
        <v>9801</v>
      </c>
      <c r="C515" t="s">
        <v>9802</v>
      </c>
      <c r="D515" t="s">
        <v>9803</v>
      </c>
      <c r="E515" t="s">
        <v>9804</v>
      </c>
      <c r="F515" t="s">
        <v>9805</v>
      </c>
      <c r="G515" t="s">
        <v>9806</v>
      </c>
      <c r="H515" t="s">
        <v>9807</v>
      </c>
      <c r="I515" t="s">
        <v>9808</v>
      </c>
      <c r="J515" t="s">
        <v>9809</v>
      </c>
      <c r="K515" t="s">
        <v>9810</v>
      </c>
      <c r="L515" t="s">
        <v>9811</v>
      </c>
      <c r="M515" t="s">
        <v>9812</v>
      </c>
      <c r="N515">
        <f>-627.504019577135 -4.24894593771 -527.046232974549</f>
        <v>-1158.7991984893938</v>
      </c>
      <c r="O515">
        <f>-655.102564270982 -154.015514164666 -493.221387720205</f>
        <v>-1302.339466155853</v>
      </c>
      <c r="P515">
        <f>-671.380860343031 -185.023008435921 -213.306818671803</f>
        <v>-1069.7106874507551</v>
      </c>
      <c r="Q515">
        <f>-468.943327669904 -114.251329502416 -302.519877426565</f>
        <v>-885.71453459888505</v>
      </c>
      <c r="R515" t="s">
        <v>9813</v>
      </c>
      <c r="S515" t="s">
        <v>9814</v>
      </c>
      <c r="T515" t="s">
        <v>9815</v>
      </c>
      <c r="U515" t="s">
        <v>9816</v>
      </c>
      <c r="V515">
        <f>-571.797788175034 -53.8080414517299 -90.8377840654482</f>
        <v>-716.44361369221212</v>
      </c>
      <c r="W515" t="s">
        <v>9817</v>
      </c>
      <c r="X515" t="s">
        <v>9818</v>
      </c>
      <c r="Y515" t="s">
        <v>9819</v>
      </c>
    </row>
    <row r="516" spans="1:25" x14ac:dyDescent="0.3">
      <c r="A516">
        <v>25750</v>
      </c>
      <c r="B516" t="s">
        <v>9820</v>
      </c>
      <c r="C516" t="s">
        <v>9821</v>
      </c>
      <c r="D516" t="s">
        <v>9822</v>
      </c>
      <c r="E516" t="s">
        <v>9823</v>
      </c>
      <c r="F516" t="s">
        <v>9824</v>
      </c>
      <c r="G516" t="s">
        <v>9825</v>
      </c>
      <c r="H516" t="s">
        <v>9826</v>
      </c>
      <c r="I516" t="s">
        <v>9827</v>
      </c>
      <c r="J516" t="s">
        <v>9828</v>
      </c>
      <c r="K516" t="s">
        <v>9829</v>
      </c>
      <c r="L516" t="s">
        <v>9830</v>
      </c>
      <c r="M516" t="s">
        <v>9831</v>
      </c>
      <c r="N516">
        <f>-626.588592242014 -3.88427231371998 -527.061953442401</f>
        <v>-1157.5348179981349</v>
      </c>
      <c r="O516">
        <f>-654.241925665404 -153.648812940496 -493.259190739441</f>
        <v>-1301.149929345341</v>
      </c>
      <c r="P516">
        <f>-670.390097909127 -184.828431025723 -213.356207284746</f>
        <v>-1068.5747362195962</v>
      </c>
      <c r="Q516">
        <f>-468.086087137892 -114.084910789961 -302.89380216664</f>
        <v>-885.06480009449297</v>
      </c>
      <c r="R516" t="s">
        <v>9832</v>
      </c>
      <c r="S516" t="s">
        <v>9833</v>
      </c>
      <c r="T516" t="s">
        <v>9834</v>
      </c>
      <c r="U516" t="s">
        <v>9835</v>
      </c>
      <c r="V516">
        <f>-571.354415599559 -53.5574839537226 -90.8163244043224</f>
        <v>-715.72822395760397</v>
      </c>
      <c r="W516" t="s">
        <v>9836</v>
      </c>
      <c r="X516" t="s">
        <v>9837</v>
      </c>
      <c r="Y516" t="s">
        <v>9838</v>
      </c>
    </row>
    <row r="517" spans="1:25" x14ac:dyDescent="0.3">
      <c r="A517">
        <v>25800</v>
      </c>
      <c r="B517" t="s">
        <v>9839</v>
      </c>
      <c r="C517" t="s">
        <v>9840</v>
      </c>
      <c r="D517" t="s">
        <v>9841</v>
      </c>
      <c r="E517" t="s">
        <v>9842</v>
      </c>
      <c r="F517" t="s">
        <v>9843</v>
      </c>
      <c r="G517" t="s">
        <v>9844</v>
      </c>
      <c r="H517" t="s">
        <v>9845</v>
      </c>
      <c r="I517" t="s">
        <v>9846</v>
      </c>
      <c r="J517" t="s">
        <v>9847</v>
      </c>
      <c r="K517" t="s">
        <v>9848</v>
      </c>
      <c r="L517" t="s">
        <v>9849</v>
      </c>
      <c r="M517" t="s">
        <v>9850</v>
      </c>
      <c r="N517">
        <f>-624.957337025614 -3.04960606603822 -526.973896295973</f>
        <v>-1154.9808393876251</v>
      </c>
      <c r="O517">
        <f>-652.754493842211 -152.803626937233 -493.224767451709</f>
        <v>-1298.7828882311528</v>
      </c>
      <c r="P517">
        <f>-668.352132609776 -184.328296485651 -213.329298642268</f>
        <v>-1066.0097277376949</v>
      </c>
      <c r="Q517">
        <f>-466.280848082408 -114.045605328355 -303.750796946505</f>
        <v>-884.07725035726799</v>
      </c>
      <c r="R517" t="s">
        <v>9851</v>
      </c>
      <c r="S517" t="s">
        <v>9852</v>
      </c>
      <c r="T517" t="s">
        <v>9853</v>
      </c>
      <c r="U517" t="s">
        <v>9854</v>
      </c>
      <c r="V517">
        <f>-570.385637417128 -53.1051418170264 -90.6998172724852</f>
        <v>-714.19059650663962</v>
      </c>
      <c r="W517" t="s">
        <v>9855</v>
      </c>
      <c r="X517" t="s">
        <v>9856</v>
      </c>
      <c r="Y517" t="s">
        <v>9857</v>
      </c>
    </row>
    <row r="518" spans="1:25" x14ac:dyDescent="0.3">
      <c r="A518">
        <v>25850</v>
      </c>
      <c r="B518" t="s">
        <v>9858</v>
      </c>
      <c r="C518" t="s">
        <v>9859</v>
      </c>
      <c r="D518" t="s">
        <v>9860</v>
      </c>
      <c r="E518" t="s">
        <v>9861</v>
      </c>
      <c r="F518" t="s">
        <v>9862</v>
      </c>
      <c r="G518" t="s">
        <v>9863</v>
      </c>
      <c r="H518" t="s">
        <v>9864</v>
      </c>
      <c r="I518" t="s">
        <v>9865</v>
      </c>
      <c r="J518" t="s">
        <v>9866</v>
      </c>
      <c r="K518" t="s">
        <v>9867</v>
      </c>
      <c r="L518" t="s">
        <v>9868</v>
      </c>
      <c r="M518" t="s">
        <v>9869</v>
      </c>
      <c r="N518">
        <f>-624.155432011062 -2.68012772994348 -526.902684118217</f>
        <v>-1153.7382438592226</v>
      </c>
      <c r="O518">
        <f>-652.035862081901 -152.42489757489 -493.194978736452</f>
        <v>-1297.6557383932429</v>
      </c>
      <c r="P518">
        <f>-667.376917596776 -184.049231547838 -213.296390241643</f>
        <v>-1064.722539386257</v>
      </c>
      <c r="Q518">
        <f>-465.351914616261 -114.127834039012 -304.100752529851</f>
        <v>-883.58050118512404</v>
      </c>
      <c r="R518" t="s">
        <v>9870</v>
      </c>
      <c r="S518" t="s">
        <v>9871</v>
      </c>
      <c r="T518" t="s">
        <v>9872</v>
      </c>
      <c r="U518" t="s">
        <v>9873</v>
      </c>
      <c r="V518">
        <f>-569.868245183899 -52.8346147264951 -90.611177377004</f>
        <v>-713.31403728739815</v>
      </c>
      <c r="W518" t="s">
        <v>9874</v>
      </c>
      <c r="X518" t="s">
        <v>9875</v>
      </c>
      <c r="Y518" t="s">
        <v>9876</v>
      </c>
    </row>
    <row r="519" spans="1:25" x14ac:dyDescent="0.3">
      <c r="A519">
        <v>25900</v>
      </c>
      <c r="B519" t="s">
        <v>9877</v>
      </c>
      <c r="C519" t="s">
        <v>9878</v>
      </c>
      <c r="D519" t="s">
        <v>9879</v>
      </c>
      <c r="E519" t="s">
        <v>9880</v>
      </c>
      <c r="F519" t="s">
        <v>9881</v>
      </c>
      <c r="G519" t="s">
        <v>9882</v>
      </c>
      <c r="H519" t="s">
        <v>9883</v>
      </c>
      <c r="I519" t="s">
        <v>9884</v>
      </c>
      <c r="J519" t="s">
        <v>9885</v>
      </c>
      <c r="K519" t="s">
        <v>9886</v>
      </c>
      <c r="L519" t="s">
        <v>9887</v>
      </c>
      <c r="M519" t="s">
        <v>9888</v>
      </c>
      <c r="N519">
        <f>-622.77419859314 -1.77766942282324 -526.814387689248</f>
        <v>-1151.3662557052112</v>
      </c>
      <c r="O519">
        <f>-650.760276590281 -151.53195116991 -493.229460362483</f>
        <v>-1295.521688122674</v>
      </c>
      <c r="P519">
        <f>-665.993516598458 -183.553670306654 -213.370389551537</f>
        <v>-1062.9175764566489</v>
      </c>
      <c r="Q519">
        <f>-464.254622865763 -113.500654358257 -304.70776393027</f>
        <v>-882.46304115429007</v>
      </c>
      <c r="R519" t="s">
        <v>9889</v>
      </c>
      <c r="S519" t="s">
        <v>9890</v>
      </c>
      <c r="T519" t="s">
        <v>9891</v>
      </c>
      <c r="U519" t="s">
        <v>9892</v>
      </c>
      <c r="V519">
        <f>-568.900624944715 -52.1661579348984 -90.474797390921</f>
        <v>-711.54158027053438</v>
      </c>
      <c r="W519" t="s">
        <v>9893</v>
      </c>
      <c r="X519" t="s">
        <v>9894</v>
      </c>
      <c r="Y519" t="s">
        <v>9895</v>
      </c>
    </row>
    <row r="520" spans="1:25" x14ac:dyDescent="0.3">
      <c r="A520">
        <v>25950</v>
      </c>
      <c r="B520" t="s">
        <v>9896</v>
      </c>
      <c r="C520" t="s">
        <v>9897</v>
      </c>
      <c r="D520" t="s">
        <v>9898</v>
      </c>
      <c r="E520" t="s">
        <v>9899</v>
      </c>
      <c r="F520" t="s">
        <v>9900</v>
      </c>
      <c r="G520" t="s">
        <v>9901</v>
      </c>
      <c r="H520" t="s">
        <v>9902</v>
      </c>
      <c r="I520" t="s">
        <v>9903</v>
      </c>
      <c r="J520" t="s">
        <v>9904</v>
      </c>
      <c r="K520" t="s">
        <v>9905</v>
      </c>
      <c r="L520" t="s">
        <v>9906</v>
      </c>
      <c r="M520" t="s">
        <v>9907</v>
      </c>
      <c r="N520">
        <f>-622.033672239736 -1.3749567297632 -526.784361156249</f>
        <v>-1150.1929901257481</v>
      </c>
      <c r="O520">
        <f>-650.10429524661 -151.128198708437 -493.275434029079</f>
        <v>-1294.5079279841261</v>
      </c>
      <c r="P520">
        <f>-665.531707571176 -183.52912841552 -213.470452975239</f>
        <v>-1062.5312889619349</v>
      </c>
      <c r="Q520">
        <f>-463.887652681165 -113.219591666302 -304.820061456358</f>
        <v>-881.92730580382499</v>
      </c>
      <c r="R520" t="s">
        <v>9908</v>
      </c>
      <c r="S520" t="s">
        <v>9909</v>
      </c>
      <c r="T520" t="s">
        <v>9910</v>
      </c>
      <c r="U520" t="s">
        <v>9911</v>
      </c>
      <c r="V520">
        <f>-568.462881382603 -51.8611363933715 -90.4179384590117</f>
        <v>-710.74195623498611</v>
      </c>
      <c r="W520" t="s">
        <v>9912</v>
      </c>
      <c r="X520" t="s">
        <v>9913</v>
      </c>
      <c r="Y520" t="s">
        <v>9914</v>
      </c>
    </row>
    <row r="521" spans="1:25" x14ac:dyDescent="0.3">
      <c r="A521">
        <v>26000</v>
      </c>
      <c r="B521" t="s">
        <v>9915</v>
      </c>
      <c r="C521" t="s">
        <v>9916</v>
      </c>
      <c r="D521" t="s">
        <v>9917</v>
      </c>
      <c r="E521" t="s">
        <v>9918</v>
      </c>
      <c r="F521" t="s">
        <v>9919</v>
      </c>
      <c r="G521" t="s">
        <v>9920</v>
      </c>
      <c r="H521" t="s">
        <v>9921</v>
      </c>
      <c r="I521" t="s">
        <v>9922</v>
      </c>
      <c r="J521" t="s">
        <v>9923</v>
      </c>
      <c r="K521" t="s">
        <v>9924</v>
      </c>
      <c r="L521" t="s">
        <v>9925</v>
      </c>
      <c r="M521" t="s">
        <v>9926</v>
      </c>
      <c r="N521">
        <f>-620.515998278753 -0.720868229940834 -526.781395484871</f>
        <v>-1148.0182619935649</v>
      </c>
      <c r="O521">
        <f>-648.873582869628 -150.458272633558 -493.443045048517</f>
        <v>-1292.774900551703</v>
      </c>
      <c r="P521">
        <f>-664.818872257803 -182.818422222342 -213.662505213601</f>
        <v>-1061.2997996937461</v>
      </c>
      <c r="Q521">
        <f>-462.890013632624 -112.728828861569 -304.551063743035</f>
        <v>-880.16990623722802</v>
      </c>
      <c r="R521" t="s">
        <v>9927</v>
      </c>
      <c r="S521" t="s">
        <v>9928</v>
      </c>
      <c r="T521" t="s">
        <v>9929</v>
      </c>
      <c r="U521" t="s">
        <v>9930</v>
      </c>
      <c r="V521">
        <f>-567.840037545271 -51.5073676016896 -90.3256074681117</f>
        <v>-709.67301261507225</v>
      </c>
      <c r="W521" t="s">
        <v>9931</v>
      </c>
      <c r="X521" t="s">
        <v>9932</v>
      </c>
      <c r="Y521" t="s">
        <v>9933</v>
      </c>
    </row>
    <row r="522" spans="1:25" x14ac:dyDescent="0.3">
      <c r="A522">
        <v>26050</v>
      </c>
      <c r="B522" t="s">
        <v>9934</v>
      </c>
      <c r="C522" t="s">
        <v>9935</v>
      </c>
      <c r="D522" t="s">
        <v>9936</v>
      </c>
      <c r="E522" t="s">
        <v>9937</v>
      </c>
      <c r="F522" t="s">
        <v>9938</v>
      </c>
      <c r="G522" t="s">
        <v>9939</v>
      </c>
      <c r="H522" t="s">
        <v>9940</v>
      </c>
      <c r="I522" t="s">
        <v>9941</v>
      </c>
      <c r="J522" t="s">
        <v>9942</v>
      </c>
      <c r="K522" t="s">
        <v>9943</v>
      </c>
      <c r="L522" t="s">
        <v>9944</v>
      </c>
      <c r="M522" t="s">
        <v>9945</v>
      </c>
      <c r="N522">
        <f>-619.768042668472 -0.512818438877048 -526.807966977255</f>
        <v>-1147.0888280846041</v>
      </c>
      <c r="O522">
        <f>-648.312944832034 -150.22389345669 -493.518206756055</f>
        <v>-1292.055045044779</v>
      </c>
      <c r="P522">
        <f>-664.715119597401 -182.675023102946 -213.774462711725</f>
        <v>-1061.164605412072</v>
      </c>
      <c r="Q522">
        <f>-462.552574732142 -112.490855016211 -304.068454495978</f>
        <v>-879.11188424433101</v>
      </c>
      <c r="R522" t="s">
        <v>9946</v>
      </c>
      <c r="S522" t="s">
        <v>9947</v>
      </c>
      <c r="T522" t="s">
        <v>9948</v>
      </c>
      <c r="U522" t="s">
        <v>9949</v>
      </c>
      <c r="V522">
        <f>-567.690157313024 -51.3639455011489 -90.3053278792955</f>
        <v>-709.35943069346843</v>
      </c>
      <c r="W522" t="s">
        <v>9950</v>
      </c>
      <c r="X522" t="s">
        <v>9951</v>
      </c>
      <c r="Y522" t="s">
        <v>9952</v>
      </c>
    </row>
    <row r="523" spans="1:25" x14ac:dyDescent="0.3">
      <c r="A523">
        <v>26100</v>
      </c>
      <c r="B523" t="s">
        <v>9953</v>
      </c>
      <c r="C523" t="s">
        <v>9954</v>
      </c>
      <c r="D523" t="s">
        <v>9955</v>
      </c>
      <c r="E523" t="s">
        <v>9956</v>
      </c>
      <c r="F523" t="s">
        <v>9957</v>
      </c>
      <c r="G523" t="s">
        <v>9958</v>
      </c>
      <c r="H523" t="s">
        <v>9959</v>
      </c>
      <c r="I523" t="s">
        <v>9960</v>
      </c>
      <c r="J523" t="s">
        <v>9961</v>
      </c>
      <c r="K523" t="s">
        <v>9962</v>
      </c>
      <c r="L523" t="s">
        <v>9963</v>
      </c>
      <c r="M523" t="s">
        <v>9964</v>
      </c>
      <c r="N523">
        <f>-618.306190630404 -0.255616915965675 -526.933381471363</f>
        <v>-1145.4951890177326</v>
      </c>
      <c r="O523">
        <f>-647.385353303692 -149.884985339186 -493.732512023707</f>
        <v>-1291.0028506665849</v>
      </c>
      <c r="P523">
        <f>-664.659914797871 -182.370649350579 -214.045534181161</f>
        <v>-1061.0760983296111</v>
      </c>
      <c r="Q523">
        <f>-462.051768341841 -112.10342901563 -303.269955925402</f>
        <v>-877.425153282873</v>
      </c>
      <c r="R523" t="s">
        <v>9965</v>
      </c>
      <c r="S523" t="s">
        <v>9966</v>
      </c>
      <c r="T523" t="s">
        <v>9967</v>
      </c>
      <c r="U523" t="s">
        <v>9968</v>
      </c>
      <c r="V523">
        <f>-567.56752269175 -51.2685731890206 -90.2977071802584</f>
        <v>-709.13380306102897</v>
      </c>
      <c r="W523" t="s">
        <v>9969</v>
      </c>
      <c r="X523" t="s">
        <v>9970</v>
      </c>
      <c r="Y523" t="s">
        <v>9971</v>
      </c>
    </row>
    <row r="524" spans="1:25" x14ac:dyDescent="0.3">
      <c r="A524">
        <v>26150</v>
      </c>
      <c r="B524" t="s">
        <v>9972</v>
      </c>
      <c r="C524" t="s">
        <v>9973</v>
      </c>
      <c r="D524" t="s">
        <v>9974</v>
      </c>
      <c r="E524" t="s">
        <v>9975</v>
      </c>
      <c r="F524" t="s">
        <v>9976</v>
      </c>
      <c r="G524" t="s">
        <v>9977</v>
      </c>
      <c r="H524" t="s">
        <v>9978</v>
      </c>
      <c r="I524" t="s">
        <v>9979</v>
      </c>
      <c r="J524" t="s">
        <v>9980</v>
      </c>
      <c r="K524" t="s">
        <v>9981</v>
      </c>
      <c r="L524" t="s">
        <v>9982</v>
      </c>
      <c r="M524" t="s">
        <v>9983</v>
      </c>
      <c r="N524">
        <f>-617.633478048303 -0.193397197336708 -526.987485752115</f>
        <v>-1144.8143609977546</v>
      </c>
      <c r="O524">
        <f>-646.925364330347 -149.788729448553 -493.818134634114</f>
        <v>-1290.5322284130139</v>
      </c>
      <c r="P524">
        <f>-664.71043530125 -182.166595205007 -214.15064936784</f>
        <v>-1061.027679874097</v>
      </c>
      <c r="Q524">
        <f>-461.759777585686 -112.163932129423 -302.802663996245</f>
        <v>-876.72637371135397</v>
      </c>
      <c r="R524" t="s">
        <v>9984</v>
      </c>
      <c r="S524" t="s">
        <v>9985</v>
      </c>
      <c r="T524" t="s">
        <v>9986</v>
      </c>
      <c r="U524" t="s">
        <v>9987</v>
      </c>
      <c r="V524">
        <f>-567.502544799499 -51.2560006006627 -90.3040111187631</f>
        <v>-709.06255651892479</v>
      </c>
      <c r="W524" t="s">
        <v>9988</v>
      </c>
      <c r="X524" t="s">
        <v>9989</v>
      </c>
      <c r="Y524" t="s">
        <v>9990</v>
      </c>
    </row>
    <row r="525" spans="1:25" x14ac:dyDescent="0.3">
      <c r="A525">
        <v>26200</v>
      </c>
      <c r="B525" t="s">
        <v>9991</v>
      </c>
      <c r="C525" t="s">
        <v>9992</v>
      </c>
      <c r="D525" t="s">
        <v>9993</v>
      </c>
      <c r="E525" t="s">
        <v>9994</v>
      </c>
      <c r="F525" t="s">
        <v>9995</v>
      </c>
      <c r="G525" t="s">
        <v>9996</v>
      </c>
      <c r="H525" t="s">
        <v>9997</v>
      </c>
      <c r="I525" t="s">
        <v>9998</v>
      </c>
      <c r="J525" t="s">
        <v>9999</v>
      </c>
      <c r="K525" t="s">
        <v>10000</v>
      </c>
      <c r="L525" t="s">
        <v>10001</v>
      </c>
      <c r="M525" t="s">
        <v>10002</v>
      </c>
      <c r="N525">
        <f>-616.413312171623 -0.180312705418373 -527.076136545764</f>
        <v>-1143.6697614228055</v>
      </c>
      <c r="O525">
        <f>-646.111917886389 -149.71089844579 -493.954145197216</f>
        <v>-1289.7769615293951</v>
      </c>
      <c r="P525">
        <f>-664.819528682927 -182.028273129629 -214.33971709919</f>
        <v>-1061.1875189117459</v>
      </c>
      <c r="Q525">
        <f>-461.2482113784 -112.599889003614 -302.014863917139</f>
        <v>-875.86296429915296</v>
      </c>
      <c r="R525" t="s">
        <v>10003</v>
      </c>
      <c r="S525" t="s">
        <v>10004</v>
      </c>
      <c r="T525" t="s">
        <v>10005</v>
      </c>
      <c r="U525" t="s">
        <v>10006</v>
      </c>
      <c r="V525">
        <f>-567.292046214403 -51.3706340812259 -90.3167541424617</f>
        <v>-708.97943443809061</v>
      </c>
      <c r="W525" t="s">
        <v>10007</v>
      </c>
      <c r="X525" t="s">
        <v>10008</v>
      </c>
      <c r="Y525" t="s">
        <v>10009</v>
      </c>
    </row>
    <row r="526" spans="1:25" x14ac:dyDescent="0.3">
      <c r="A526">
        <v>26250</v>
      </c>
      <c r="B526" t="s">
        <v>10010</v>
      </c>
      <c r="C526" t="s">
        <v>10011</v>
      </c>
      <c r="D526" t="s">
        <v>10012</v>
      </c>
      <c r="E526" t="s">
        <v>10013</v>
      </c>
      <c r="F526" t="s">
        <v>10014</v>
      </c>
      <c r="G526" t="s">
        <v>10015</v>
      </c>
      <c r="H526" t="s">
        <v>10016</v>
      </c>
      <c r="I526" t="s">
        <v>10017</v>
      </c>
      <c r="J526" t="s">
        <v>10018</v>
      </c>
      <c r="K526" t="s">
        <v>10019</v>
      </c>
      <c r="L526" t="s">
        <v>10020</v>
      </c>
      <c r="M526" t="s">
        <v>10021</v>
      </c>
      <c r="N526">
        <f>-615.885503411062 -0.190267600758716 -527.106432405383</f>
        <v>-1143.1822034172037</v>
      </c>
      <c r="O526">
        <f>-645.758375187937 -149.68059659098 -493.983122140825</f>
        <v>-1289.4220939197421</v>
      </c>
      <c r="P526">
        <f>-664.855383376772 -181.999633561952 -214.395366735466</f>
        <v>-1061.2503836741901</v>
      </c>
      <c r="Q526">
        <f>-461.000693685933 -112.917676545545 -301.684888325482</f>
        <v>-875.60325855695999</v>
      </c>
      <c r="R526" t="s">
        <v>10022</v>
      </c>
      <c r="S526" t="s">
        <v>10023</v>
      </c>
      <c r="T526" t="s">
        <v>10024</v>
      </c>
      <c r="U526" t="s">
        <v>10025</v>
      </c>
      <c r="V526">
        <f>-567.127746605918 -51.399399047893 -90.3101857514934</f>
        <v>-708.83733140530444</v>
      </c>
      <c r="W526" t="s">
        <v>10026</v>
      </c>
      <c r="X526" t="s">
        <v>10027</v>
      </c>
      <c r="Y526" t="s">
        <v>10028</v>
      </c>
    </row>
    <row r="527" spans="1:25" x14ac:dyDescent="0.3">
      <c r="A527">
        <v>26300</v>
      </c>
      <c r="B527" t="s">
        <v>10029</v>
      </c>
      <c r="C527" t="s">
        <v>10030</v>
      </c>
      <c r="D527" t="s">
        <v>10031</v>
      </c>
      <c r="E527" t="s">
        <v>10032</v>
      </c>
      <c r="F527" t="s">
        <v>10033</v>
      </c>
      <c r="G527" t="s">
        <v>10034</v>
      </c>
      <c r="H527" t="s">
        <v>10035</v>
      </c>
      <c r="I527" t="s">
        <v>10036</v>
      </c>
      <c r="J527" t="s">
        <v>10037</v>
      </c>
      <c r="K527" t="s">
        <v>10038</v>
      </c>
      <c r="L527" t="s">
        <v>10039</v>
      </c>
      <c r="M527" t="s">
        <v>10040</v>
      </c>
      <c r="N527">
        <f>-614.893704616011 -0.208684711232763 -527.108871609033</f>
        <v>-1142.2112609362766</v>
      </c>
      <c r="O527">
        <f>-645.052891777966 -149.632660298307 -493.917063478229</f>
        <v>-1288.6026155545019</v>
      </c>
      <c r="P527">
        <f>-664.618617250368 -181.746470272933 -214.338099864441</f>
        <v>-1060.703187387742</v>
      </c>
      <c r="Q527">
        <f>-460.487014902232 -113.363924659065 -301.531275410361</f>
        <v>-875.38221497165796</v>
      </c>
      <c r="R527" t="s">
        <v>10041</v>
      </c>
      <c r="S527" t="s">
        <v>10042</v>
      </c>
      <c r="T527" t="s">
        <v>10043</v>
      </c>
      <c r="U527" t="s">
        <v>10044</v>
      </c>
      <c r="V527">
        <f>-566.66128876292 -51.4534907842587 -90.2955355146452</f>
        <v>-708.41031506182389</v>
      </c>
      <c r="W527" t="s">
        <v>10045</v>
      </c>
      <c r="X527" t="s">
        <v>10046</v>
      </c>
      <c r="Y527" t="s">
        <v>10047</v>
      </c>
    </row>
    <row r="528" spans="1:25" x14ac:dyDescent="0.3">
      <c r="A528">
        <v>26350</v>
      </c>
      <c r="B528" t="s">
        <v>10048</v>
      </c>
      <c r="C528" t="s">
        <v>10049</v>
      </c>
      <c r="D528" t="s">
        <v>10050</v>
      </c>
      <c r="E528" t="s">
        <v>10051</v>
      </c>
      <c r="F528" t="s">
        <v>10052</v>
      </c>
      <c r="G528" t="s">
        <v>10053</v>
      </c>
      <c r="H528" t="s">
        <v>10054</v>
      </c>
      <c r="I528" t="s">
        <v>10055</v>
      </c>
      <c r="J528" t="s">
        <v>10056</v>
      </c>
      <c r="K528" t="s">
        <v>10057</v>
      </c>
      <c r="L528" t="s">
        <v>10058</v>
      </c>
      <c r="M528" t="s">
        <v>10059</v>
      </c>
      <c r="N528">
        <f>-614.455528597299 -0.141552831583795 -527.111037481781</f>
        <v>-1141.7081189106639</v>
      </c>
      <c r="O528">
        <f>-644.780803467262 -149.513244113311 -493.854100355312</f>
        <v>-1288.1481479358849</v>
      </c>
      <c r="P528">
        <f>-664.285282027223 -181.459785367024 -214.251548055969</f>
        <v>-1059.996615450216</v>
      </c>
      <c r="Q528">
        <f>-460.157591442512 -113.383851055241 -301.693437928574</f>
        <v>-875.23488042632698</v>
      </c>
      <c r="R528" t="s">
        <v>10060</v>
      </c>
      <c r="S528" t="s">
        <v>10061</v>
      </c>
      <c r="T528" t="s">
        <v>10062</v>
      </c>
      <c r="U528" t="s">
        <v>10063</v>
      </c>
      <c r="V528">
        <f>-566.428439593101 -51.4198761658763 -90.2828052928173</f>
        <v>-708.13112105179459</v>
      </c>
      <c r="W528" t="s">
        <v>10064</v>
      </c>
      <c r="X528" t="s">
        <v>10065</v>
      </c>
      <c r="Y528" t="s">
        <v>10066</v>
      </c>
    </row>
    <row r="529" spans="1:25" x14ac:dyDescent="0.3">
      <c r="A529">
        <v>26400</v>
      </c>
      <c r="B529" t="s">
        <v>10067</v>
      </c>
      <c r="C529" t="s">
        <v>10068</v>
      </c>
      <c r="D529" t="s">
        <v>10069</v>
      </c>
      <c r="E529" t="s">
        <v>10070</v>
      </c>
      <c r="F529" t="s">
        <v>10071</v>
      </c>
      <c r="G529" t="s">
        <v>10072</v>
      </c>
      <c r="H529" t="s">
        <v>10073</v>
      </c>
      <c r="I529" t="s">
        <v>10074</v>
      </c>
      <c r="J529" t="s">
        <v>10075</v>
      </c>
      <c r="K529" t="s">
        <v>10076</v>
      </c>
      <c r="L529" t="s">
        <v>10077</v>
      </c>
      <c r="M529" t="s">
        <v>10078</v>
      </c>
      <c r="N529">
        <f>-613.663407379308 -0.0544233450248157 -527.039432820756</f>
        <v>-1140.7572635450888</v>
      </c>
      <c r="O529">
        <f>-644.315459028669 -149.315290540215 -493.594909547642</f>
        <v>-1287.225659116526</v>
      </c>
      <c r="P529">
        <f>-663.537679825035 -180.822247917843 -213.922903731592</f>
        <v>-1058.28283147447</v>
      </c>
      <c r="Q529">
        <f>-459.444520371541 -113.440065226868 -301.980526846471</f>
        <v>-874.86511244487997</v>
      </c>
      <c r="R529" t="s">
        <v>10079</v>
      </c>
      <c r="S529" t="s">
        <v>10080</v>
      </c>
      <c r="T529" t="s">
        <v>10081</v>
      </c>
      <c r="U529" t="s">
        <v>10082</v>
      </c>
      <c r="V529">
        <f>-565.96899450551 -51.3814283688985 -90.2298493245572</f>
        <v>-707.58027219896564</v>
      </c>
      <c r="W529" t="s">
        <v>10083</v>
      </c>
      <c r="X529" t="s">
        <v>10084</v>
      </c>
      <c r="Y529" t="s">
        <v>10085</v>
      </c>
    </row>
    <row r="530" spans="1:25" x14ac:dyDescent="0.3">
      <c r="A530">
        <v>26450</v>
      </c>
      <c r="B530" t="s">
        <v>10086</v>
      </c>
      <c r="C530" t="s">
        <v>10087</v>
      </c>
      <c r="D530" t="s">
        <v>10088</v>
      </c>
      <c r="E530" t="s">
        <v>10089</v>
      </c>
      <c r="F530" t="s">
        <v>10090</v>
      </c>
      <c r="G530" t="s">
        <v>10091</v>
      </c>
      <c r="H530" t="s">
        <v>10092</v>
      </c>
      <c r="I530" t="s">
        <v>10093</v>
      </c>
      <c r="J530" t="s">
        <v>10094</v>
      </c>
      <c r="K530" t="s">
        <v>10095</v>
      </c>
      <c r="L530" t="s">
        <v>10096</v>
      </c>
      <c r="M530" t="s">
        <v>10097</v>
      </c>
      <c r="N530" t="s">
        <v>10098</v>
      </c>
      <c r="O530">
        <f>-644.086598050068 -149.187507936865 -493.449267545512</f>
        <v>-1286.7233735324451</v>
      </c>
      <c r="P530">
        <f>-663.222595745765 -180.496588956698 -213.749183915774</f>
        <v>-1057.468368618237</v>
      </c>
      <c r="Q530">
        <f>-459.04324089916 -113.610451439833 -301.985135252434</f>
        <v>-874.638827591427</v>
      </c>
      <c r="R530" t="s">
        <v>10099</v>
      </c>
      <c r="S530" t="s">
        <v>10100</v>
      </c>
      <c r="T530" t="s">
        <v>10101</v>
      </c>
      <c r="U530" t="s">
        <v>10102</v>
      </c>
      <c r="V530">
        <f>-565.641183715479 -51.3285308994487 -90.1971437985301</f>
        <v>-707.1668584134577</v>
      </c>
      <c r="W530" t="s">
        <v>10103</v>
      </c>
      <c r="X530" t="s">
        <v>10104</v>
      </c>
      <c r="Y530" t="s">
        <v>10105</v>
      </c>
    </row>
    <row r="531" spans="1:25" x14ac:dyDescent="0.3">
      <c r="A531">
        <v>26500</v>
      </c>
      <c r="B531" t="s">
        <v>10106</v>
      </c>
      <c r="C531" t="s">
        <v>10107</v>
      </c>
      <c r="D531" t="s">
        <v>10108</v>
      </c>
      <c r="E531" t="s">
        <v>10109</v>
      </c>
      <c r="F531" t="s">
        <v>10110</v>
      </c>
      <c r="G531" t="s">
        <v>10111</v>
      </c>
      <c r="H531" t="s">
        <v>10112</v>
      </c>
      <c r="I531" t="s">
        <v>10113</v>
      </c>
      <c r="J531" t="s">
        <v>10114</v>
      </c>
      <c r="K531" t="s">
        <v>10115</v>
      </c>
      <c r="L531" t="s">
        <v>10116</v>
      </c>
      <c r="M531" t="s">
        <v>10117</v>
      </c>
      <c r="N531" t="s">
        <v>10118</v>
      </c>
      <c r="O531">
        <f>-643.401103237465 -148.969384591147 -493.203026791198</f>
        <v>-1285.5735146198099</v>
      </c>
      <c r="P531">
        <f>-662.692106433421 -179.869999757597 -213.468278285476</f>
        <v>-1056.030384476494</v>
      </c>
      <c r="Q531">
        <f>-458.212642309686 -114.040224697336 -301.803411792624</f>
        <v>-874.05627879964595</v>
      </c>
      <c r="R531" t="s">
        <v>10119</v>
      </c>
      <c r="S531" t="s">
        <v>10120</v>
      </c>
      <c r="T531" t="s">
        <v>10121</v>
      </c>
      <c r="U531" t="s">
        <v>10122</v>
      </c>
      <c r="V531">
        <f>-564.98821931722 -51.1410810913258 -90.1095024945008</f>
        <v>-706.23880290304658</v>
      </c>
      <c r="W531" t="s">
        <v>10123</v>
      </c>
      <c r="X531" t="s">
        <v>10124</v>
      </c>
      <c r="Y531" t="s">
        <v>10125</v>
      </c>
    </row>
    <row r="532" spans="1:25" x14ac:dyDescent="0.3">
      <c r="A532">
        <v>26550</v>
      </c>
      <c r="B532" t="s">
        <v>10126</v>
      </c>
      <c r="C532" t="s">
        <v>10127</v>
      </c>
      <c r="D532" t="s">
        <v>10128</v>
      </c>
      <c r="E532" t="s">
        <v>10129</v>
      </c>
      <c r="F532" t="s">
        <v>10130</v>
      </c>
      <c r="G532" t="s">
        <v>10131</v>
      </c>
      <c r="H532" t="s">
        <v>10132</v>
      </c>
      <c r="I532" t="s">
        <v>10133</v>
      </c>
      <c r="J532" t="s">
        <v>10134</v>
      </c>
      <c r="K532" t="s">
        <v>10135</v>
      </c>
      <c r="L532" t="s">
        <v>10136</v>
      </c>
      <c r="M532" t="s">
        <v>10137</v>
      </c>
      <c r="N532" t="s">
        <v>10138</v>
      </c>
      <c r="O532">
        <f>-642.868594766816 -148.968831665014 -493.143818056452</f>
        <v>-1284.9812444882821</v>
      </c>
      <c r="P532">
        <f>-662.359670259686 -179.703926214974 -213.404530897164</f>
        <v>-1055.468127371824</v>
      </c>
      <c r="Q532">
        <f>-457.706924443206 -114.232975538303 -301.605003949831</f>
        <v>-873.54490393134006</v>
      </c>
      <c r="R532" t="s">
        <v>10139</v>
      </c>
      <c r="S532" t="s">
        <v>10140</v>
      </c>
      <c r="T532" t="s">
        <v>10141</v>
      </c>
      <c r="U532" t="s">
        <v>10142</v>
      </c>
      <c r="V532">
        <f>-564.616127662854 -51.1199905383776 -90.084776462989</f>
        <v>-705.82089466422053</v>
      </c>
      <c r="W532" t="s">
        <v>10143</v>
      </c>
      <c r="X532" t="s">
        <v>10144</v>
      </c>
      <c r="Y532" t="s">
        <v>10145</v>
      </c>
    </row>
    <row r="533" spans="1:25" x14ac:dyDescent="0.3">
      <c r="A533">
        <v>26600</v>
      </c>
      <c r="B533" t="s">
        <v>10146</v>
      </c>
      <c r="C533" t="s">
        <v>10147</v>
      </c>
      <c r="D533" t="s">
        <v>10148</v>
      </c>
      <c r="E533" t="s">
        <v>10149</v>
      </c>
      <c r="F533" t="s">
        <v>10150</v>
      </c>
      <c r="G533" t="s">
        <v>10151</v>
      </c>
      <c r="H533" t="s">
        <v>10152</v>
      </c>
      <c r="I533" t="s">
        <v>10153</v>
      </c>
      <c r="J533" t="s">
        <v>10154</v>
      </c>
      <c r="K533" t="s">
        <v>10155</v>
      </c>
      <c r="L533" t="s">
        <v>10156</v>
      </c>
      <c r="M533" t="s">
        <v>10157</v>
      </c>
      <c r="N533">
        <f>-610.271202435258 -0.0571571248417513 -526.800518238811</f>
        <v>-1137.1288777989107</v>
      </c>
      <c r="O533">
        <f>-641.808322145326 -149.043478480118 -492.951542997551</f>
        <v>-1283.8033436229948</v>
      </c>
      <c r="P533">
        <f>-661.735358410409 -179.658836374551 -213.230001889626</f>
        <v>-1054.6241966745861</v>
      </c>
      <c r="Q533">
        <f>-456.781275675719 -114.552825740929 -300.999940650437</f>
        <v>-872.33404206708497</v>
      </c>
      <c r="R533" t="s">
        <v>10158</v>
      </c>
      <c r="S533" t="s">
        <v>10159</v>
      </c>
      <c r="T533" t="s">
        <v>10160</v>
      </c>
      <c r="U533" t="s">
        <v>10161</v>
      </c>
      <c r="V533">
        <f>-563.804616687075 -51.1934992166455 -90.0151204955397</f>
        <v>-705.01323639926022</v>
      </c>
      <c r="W533" t="s">
        <v>10162</v>
      </c>
      <c r="X533" t="s">
        <v>10163</v>
      </c>
      <c r="Y533" t="s">
        <v>10164</v>
      </c>
    </row>
    <row r="534" spans="1:25" x14ac:dyDescent="0.3">
      <c r="A534">
        <v>26650</v>
      </c>
      <c r="B534" t="s">
        <v>10165</v>
      </c>
      <c r="C534" t="s">
        <v>10166</v>
      </c>
      <c r="D534" t="s">
        <v>10167</v>
      </c>
      <c r="E534" t="s">
        <v>10168</v>
      </c>
      <c r="F534" t="s">
        <v>10169</v>
      </c>
      <c r="G534" t="s">
        <v>10170</v>
      </c>
      <c r="H534" t="s">
        <v>10171</v>
      </c>
      <c r="I534" t="s">
        <v>10172</v>
      </c>
      <c r="J534" t="s">
        <v>10173</v>
      </c>
      <c r="K534" t="s">
        <v>10174</v>
      </c>
      <c r="L534" t="s">
        <v>10175</v>
      </c>
      <c r="M534" t="s">
        <v>10176</v>
      </c>
      <c r="N534">
        <f>-609.712287486693 -0.0955509402183452 -526.751055928695</f>
        <v>-1136.5588943556063</v>
      </c>
      <c r="O534">
        <f>-641.32129121929 -149.058223765789 -492.857504969878</f>
        <v>-1283.2370199549568</v>
      </c>
      <c r="P534">
        <f>-661.293377617916 -179.577259174659 -213.12855500531</f>
        <v>-1053.999191797885</v>
      </c>
      <c r="Q534">
        <f>-456.256016159351 -114.615405631111 -300.810769372275</f>
        <v>-871.68219116273701</v>
      </c>
      <c r="R534" t="s">
        <v>10177</v>
      </c>
      <c r="S534" t="s">
        <v>10178</v>
      </c>
      <c r="T534" t="s">
        <v>10179</v>
      </c>
      <c r="U534" t="s">
        <v>10180</v>
      </c>
      <c r="V534">
        <f>-563.407077609952 -51.1695826367156 -89.9751636460218</f>
        <v>-704.55182389268941</v>
      </c>
      <c r="W534" t="s">
        <v>10181</v>
      </c>
      <c r="X534" t="s">
        <v>10182</v>
      </c>
      <c r="Y534" t="s">
        <v>10183</v>
      </c>
    </row>
    <row r="535" spans="1:25" x14ac:dyDescent="0.3">
      <c r="A535">
        <v>26700</v>
      </c>
      <c r="B535" t="s">
        <v>10184</v>
      </c>
      <c r="C535" t="s">
        <v>10185</v>
      </c>
      <c r="D535" t="s">
        <v>10186</v>
      </c>
      <c r="E535" t="s">
        <v>10187</v>
      </c>
      <c r="F535" t="s">
        <v>10188</v>
      </c>
      <c r="G535" t="s">
        <v>10189</v>
      </c>
      <c r="H535" t="s">
        <v>10190</v>
      </c>
      <c r="I535" t="s">
        <v>10191</v>
      </c>
      <c r="J535" t="s">
        <v>10192</v>
      </c>
      <c r="K535" t="s">
        <v>10193</v>
      </c>
      <c r="L535" t="s">
        <v>10194</v>
      </c>
      <c r="M535" t="s">
        <v>10195</v>
      </c>
      <c r="N535" t="s">
        <v>10196</v>
      </c>
      <c r="O535">
        <f>-640.601845686076 -148.889799881025 -492.672205662725</f>
        <v>-1282.1638512298259</v>
      </c>
      <c r="P535">
        <f>-660.367138649336 -179.153839772378 -212.900869786444</f>
        <v>-1052.4218482081578</v>
      </c>
      <c r="Q535">
        <f>-455.389919791686 -114.363182058256 -300.849756063244</f>
        <v>-870.60285791318597</v>
      </c>
      <c r="R535" t="s">
        <v>10197</v>
      </c>
      <c r="S535" t="s">
        <v>10198</v>
      </c>
      <c r="T535" t="s">
        <v>10199</v>
      </c>
      <c r="U535" t="s">
        <v>10200</v>
      </c>
      <c r="V535">
        <f>-562.583553127239 -51.002499925999 -89.8866315079083</f>
        <v>-703.47268456114637</v>
      </c>
      <c r="W535" t="s">
        <v>10201</v>
      </c>
      <c r="X535" t="s">
        <v>10202</v>
      </c>
      <c r="Y535" t="s">
        <v>10203</v>
      </c>
    </row>
    <row r="536" spans="1:25" x14ac:dyDescent="0.3">
      <c r="A536">
        <v>26750</v>
      </c>
      <c r="B536" t="s">
        <v>10204</v>
      </c>
      <c r="C536" t="s">
        <v>10205</v>
      </c>
      <c r="D536" t="s">
        <v>10206</v>
      </c>
      <c r="E536" t="s">
        <v>10207</v>
      </c>
      <c r="F536" t="s">
        <v>10208</v>
      </c>
      <c r="G536" t="s">
        <v>10209</v>
      </c>
      <c r="H536" t="s">
        <v>10210</v>
      </c>
      <c r="I536" t="s">
        <v>10211</v>
      </c>
      <c r="J536" t="s">
        <v>10212</v>
      </c>
      <c r="K536" t="s">
        <v>10213</v>
      </c>
      <c r="L536" t="s">
        <v>10214</v>
      </c>
      <c r="M536" t="s">
        <v>10215</v>
      </c>
      <c r="N536" t="s">
        <v>10216</v>
      </c>
      <c r="O536">
        <f>-640.329878876032 -148.786927293055 -492.569614276571</f>
        <v>-1281.6864204456579</v>
      </c>
      <c r="P536">
        <f>-659.864796661243 -178.943767617702 -212.770458192571</f>
        <v>-1051.5790224715158</v>
      </c>
      <c r="Q536">
        <f>-454.988377856473 -114.158396819081 -300.95797843867</f>
        <v>-870.10475311422397</v>
      </c>
      <c r="R536" t="s">
        <v>10217</v>
      </c>
      <c r="S536" t="s">
        <v>10218</v>
      </c>
      <c r="T536" t="s">
        <v>10219</v>
      </c>
      <c r="U536" t="s">
        <v>10220</v>
      </c>
      <c r="V536">
        <f>-562.193787324182 -50.8995188489016 -89.8581687629645</f>
        <v>-702.95147493604816</v>
      </c>
      <c r="W536" t="s">
        <v>10221</v>
      </c>
      <c r="X536" t="s">
        <v>10222</v>
      </c>
      <c r="Y536" t="s">
        <v>10223</v>
      </c>
    </row>
    <row r="537" spans="1:25" x14ac:dyDescent="0.3">
      <c r="A537">
        <v>26800</v>
      </c>
      <c r="B537" t="s">
        <v>10224</v>
      </c>
      <c r="C537" t="s">
        <v>10225</v>
      </c>
      <c r="D537" t="s">
        <v>10226</v>
      </c>
      <c r="E537" t="s">
        <v>10227</v>
      </c>
      <c r="F537" t="s">
        <v>10228</v>
      </c>
      <c r="G537" t="s">
        <v>10229</v>
      </c>
      <c r="H537" t="s">
        <v>10230</v>
      </c>
      <c r="I537" t="s">
        <v>10231</v>
      </c>
      <c r="J537" t="s">
        <v>10232</v>
      </c>
      <c r="K537" t="s">
        <v>10233</v>
      </c>
      <c r="L537" t="s">
        <v>10234</v>
      </c>
      <c r="M537" t="s">
        <v>10235</v>
      </c>
      <c r="N537" t="s">
        <v>10236</v>
      </c>
      <c r="O537">
        <f>-639.910317795019 -148.544939863251 -492.311487003566</f>
        <v>-1280.7667446618359</v>
      </c>
      <c r="P537">
        <f>-658.763522246498 -178.490723714499 -212.443070374685</f>
        <v>-1049.697316335682</v>
      </c>
      <c r="Q537">
        <f>-454.084212649983 -113.787514761951 -301.147320730549</f>
        <v>-869.01904814248292</v>
      </c>
      <c r="R537" t="s">
        <v>10237</v>
      </c>
      <c r="S537" t="s">
        <v>10238</v>
      </c>
      <c r="T537" t="s">
        <v>10239</v>
      </c>
      <c r="U537" t="s">
        <v>10240</v>
      </c>
      <c r="V537">
        <f>-561.472410982645 -50.6885023285654 -89.7574264347529</f>
        <v>-701.91833974596329</v>
      </c>
      <c r="W537" t="s">
        <v>10241</v>
      </c>
      <c r="X537" t="s">
        <v>10242</v>
      </c>
      <c r="Y537" t="s">
        <v>10243</v>
      </c>
    </row>
    <row r="538" spans="1:25" x14ac:dyDescent="0.3">
      <c r="A538">
        <v>26850</v>
      </c>
      <c r="B538" t="s">
        <v>10244</v>
      </c>
      <c r="C538" t="s">
        <v>10245</v>
      </c>
      <c r="D538" t="s">
        <v>10246</v>
      </c>
      <c r="E538" t="s">
        <v>10247</v>
      </c>
      <c r="F538" t="s">
        <v>10248</v>
      </c>
      <c r="G538" t="s">
        <v>10249</v>
      </c>
      <c r="H538" t="s">
        <v>10250</v>
      </c>
      <c r="I538" t="s">
        <v>10251</v>
      </c>
      <c r="J538" t="s">
        <v>10252</v>
      </c>
      <c r="K538" t="s">
        <v>10253</v>
      </c>
      <c r="L538" t="s">
        <v>10254</v>
      </c>
      <c r="M538" t="s">
        <v>10255</v>
      </c>
      <c r="N538" t="s">
        <v>10256</v>
      </c>
      <c r="O538">
        <f>-639.742559608166 -148.514426309716 -492.148995069435</f>
        <v>-1280.405980987317</v>
      </c>
      <c r="P538">
        <f>-658.312378347684 -178.349316002852 -212.24969131784</f>
        <v>-1048.9113856683759</v>
      </c>
      <c r="Q538">
        <f>-453.666100098859 -113.733788974228 -301.0935989234</f>
        <v>-868.49348799648703</v>
      </c>
      <c r="R538" t="s">
        <v>10257</v>
      </c>
      <c r="S538" t="s">
        <v>10258</v>
      </c>
      <c r="T538" t="s">
        <v>10259</v>
      </c>
      <c r="U538" t="s">
        <v>10260</v>
      </c>
      <c r="V538">
        <f>-561.091014911961 -50.6815049391166 -89.7257782419204</f>
        <v>-701.49829809299797</v>
      </c>
      <c r="W538" t="s">
        <v>10261</v>
      </c>
      <c r="X538" t="s">
        <v>10262</v>
      </c>
      <c r="Y538" t="s">
        <v>10263</v>
      </c>
    </row>
    <row r="539" spans="1:25" x14ac:dyDescent="0.3">
      <c r="A539">
        <v>26900</v>
      </c>
      <c r="B539" t="s">
        <v>10264</v>
      </c>
      <c r="C539" t="s">
        <v>10265</v>
      </c>
      <c r="D539" t="s">
        <v>10266</v>
      </c>
      <c r="E539" t="s">
        <v>10267</v>
      </c>
      <c r="F539" t="s">
        <v>10268</v>
      </c>
      <c r="G539" t="s">
        <v>10269</v>
      </c>
      <c r="H539" t="s">
        <v>10270</v>
      </c>
      <c r="I539" t="s">
        <v>10271</v>
      </c>
      <c r="J539" t="s">
        <v>10272</v>
      </c>
      <c r="K539" t="s">
        <v>10273</v>
      </c>
      <c r="L539" t="s">
        <v>10274</v>
      </c>
      <c r="M539" t="s">
        <v>10275</v>
      </c>
      <c r="N539" t="s">
        <v>10276</v>
      </c>
      <c r="O539">
        <f>-639.517460914006 -148.760164906655 -491.863613649804</f>
        <v>-1280.1412394704651</v>
      </c>
      <c r="P539">
        <f>-657.83104125181 -178.261219952691 -211.912136425664</f>
        <v>-1048.0043976301649</v>
      </c>
      <c r="Q539">
        <f>-452.990267103365 -113.838684738254 -300.44754433806</f>
        <v>-867.27649617967904</v>
      </c>
      <c r="R539" t="s">
        <v>10277</v>
      </c>
      <c r="S539" t="s">
        <v>10278</v>
      </c>
      <c r="T539" t="s">
        <v>10279</v>
      </c>
      <c r="U539" t="s">
        <v>10280</v>
      </c>
      <c r="V539">
        <f>-560.377347871713 -50.9225377393316 -89.6789757496774</f>
        <v>-700.97886136072202</v>
      </c>
      <c r="W539" t="s">
        <v>10281</v>
      </c>
      <c r="X539" t="s">
        <v>10282</v>
      </c>
      <c r="Y539" t="s">
        <v>10283</v>
      </c>
    </row>
    <row r="540" spans="1:25" x14ac:dyDescent="0.3">
      <c r="A540">
        <v>26950</v>
      </c>
      <c r="B540" t="s">
        <v>10284</v>
      </c>
      <c r="C540" t="s">
        <v>10285</v>
      </c>
      <c r="D540" t="s">
        <v>10286</v>
      </c>
      <c r="E540" t="s">
        <v>10287</v>
      </c>
      <c r="F540" t="s">
        <v>10288</v>
      </c>
      <c r="G540" t="s">
        <v>10289</v>
      </c>
      <c r="H540" t="s">
        <v>10290</v>
      </c>
      <c r="I540" t="s">
        <v>10291</v>
      </c>
      <c r="J540" t="s">
        <v>10292</v>
      </c>
      <c r="K540" t="s">
        <v>10293</v>
      </c>
      <c r="L540" t="s">
        <v>10294</v>
      </c>
      <c r="M540" t="s">
        <v>10295</v>
      </c>
      <c r="N540">
        <f>-607.645120330899 -0.176018768366703 -526.249882193421</f>
        <v>-1134.0710212926865</v>
      </c>
      <c r="O540">
        <f>-639.639746793179 -148.90380472132 -491.692355722907</f>
        <v>-1280.2359072374061</v>
      </c>
      <c r="P540">
        <f>-658.001121989931 -178.108351468464 -211.71272484957</f>
        <v>-1047.822198307965</v>
      </c>
      <c r="Q540">
        <f>-453.111575930779 -113.898523582534 -300.289729166045</f>
        <v>-867.29982867935792</v>
      </c>
      <c r="R540" t="s">
        <v>10296</v>
      </c>
      <c r="S540" t="s">
        <v>10297</v>
      </c>
      <c r="T540" t="s">
        <v>10298</v>
      </c>
      <c r="U540" t="s">
        <v>10299</v>
      </c>
      <c r="V540">
        <f>-560.182056208306 -51.0621812517322 -89.6243546676816</f>
        <v>-700.86859212771981</v>
      </c>
      <c r="W540" t="s">
        <v>10300</v>
      </c>
      <c r="X540" t="s">
        <v>10301</v>
      </c>
      <c r="Y540" t="s">
        <v>10302</v>
      </c>
    </row>
    <row r="541" spans="1:25" x14ac:dyDescent="0.3">
      <c r="A541">
        <v>27000</v>
      </c>
      <c r="B541" t="s">
        <v>10303</v>
      </c>
      <c r="C541" t="s">
        <v>10304</v>
      </c>
      <c r="D541" t="s">
        <v>10305</v>
      </c>
      <c r="E541" t="s">
        <v>10306</v>
      </c>
      <c r="F541" t="s">
        <v>10307</v>
      </c>
      <c r="G541" t="s">
        <v>10308</v>
      </c>
      <c r="H541" t="s">
        <v>10309</v>
      </c>
      <c r="I541" t="s">
        <v>10310</v>
      </c>
      <c r="J541" t="s">
        <v>10311</v>
      </c>
      <c r="K541" t="s">
        <v>10312</v>
      </c>
      <c r="L541" t="s">
        <v>10313</v>
      </c>
      <c r="M541" t="s">
        <v>10314</v>
      </c>
      <c r="N541">
        <f>-608.253643948796 -0.269732222475568 -526.058576387193</f>
        <v>-1134.5819525584648</v>
      </c>
      <c r="O541">
        <f>-640.467648329583 -148.932975358559 -491.429348658808</f>
        <v>-1280.8299723469499</v>
      </c>
      <c r="P541">
        <f>-658.68713485091 -177.982906481122 -211.42436169237</f>
        <v>-1048.094403024402</v>
      </c>
      <c r="Q541">
        <f>-453.746517429043 -114.039048126572 -300.075708875826</f>
        <v>-867.86127443144096</v>
      </c>
      <c r="R541" t="s">
        <v>10315</v>
      </c>
      <c r="S541" t="s">
        <v>10316</v>
      </c>
      <c r="T541" t="s">
        <v>10317</v>
      </c>
      <c r="U541" t="s">
        <v>10318</v>
      </c>
      <c r="V541">
        <f>-559.964389148276 -51.0420510215508 -89.4981748237121</f>
        <v>-700.50461499353901</v>
      </c>
      <c r="W541" t="s">
        <v>10319</v>
      </c>
      <c r="X541" t="s">
        <v>10320</v>
      </c>
      <c r="Y541" t="s">
        <v>10321</v>
      </c>
    </row>
    <row r="542" spans="1:25" x14ac:dyDescent="0.3">
      <c r="A542">
        <v>27050</v>
      </c>
      <c r="B542" t="s">
        <v>10322</v>
      </c>
      <c r="C542" t="s">
        <v>10323</v>
      </c>
      <c r="D542" t="s">
        <v>10324</v>
      </c>
      <c r="E542" t="s">
        <v>10325</v>
      </c>
      <c r="F542" t="s">
        <v>10326</v>
      </c>
      <c r="G542" t="s">
        <v>10327</v>
      </c>
      <c r="H542" t="s">
        <v>10328</v>
      </c>
      <c r="I542" t="s">
        <v>10329</v>
      </c>
      <c r="J542" t="s">
        <v>10330</v>
      </c>
      <c r="K542" t="s">
        <v>10331</v>
      </c>
      <c r="L542" t="s">
        <v>10332</v>
      </c>
      <c r="M542" t="s">
        <v>10333</v>
      </c>
      <c r="N542">
        <f>-608.837131338131 -0.256686331694482 -525.968618748172</f>
        <v>-1135.0624364179976</v>
      </c>
      <c r="O542">
        <f>-641.088137975714 -148.900587641619 -491.320487434363</f>
        <v>-1281.3092130516959</v>
      </c>
      <c r="P542">
        <f>-659.20532987621 -178.171656401511 -211.332125793031</f>
        <v>-1048.7091120707521</v>
      </c>
      <c r="Q542">
        <f>-454.279084887097 -114.146252823513 -299.957592887209</f>
        <v>-868.38293059781893</v>
      </c>
      <c r="R542" t="s">
        <v>10334</v>
      </c>
      <c r="S542" t="s">
        <v>10335</v>
      </c>
      <c r="T542" t="s">
        <v>10336</v>
      </c>
      <c r="U542" t="s">
        <v>10337</v>
      </c>
      <c r="V542">
        <f>-560.021055151879 -51.0603013814168 -89.4710686475102</f>
        <v>-700.55242518080593</v>
      </c>
      <c r="W542" t="s">
        <v>10338</v>
      </c>
      <c r="X542" t="s">
        <v>10339</v>
      </c>
      <c r="Y542" t="s">
        <v>10340</v>
      </c>
    </row>
    <row r="543" spans="1:25" x14ac:dyDescent="0.3">
      <c r="A543">
        <v>27100</v>
      </c>
      <c r="B543" t="s">
        <v>10341</v>
      </c>
      <c r="C543" t="s">
        <v>10342</v>
      </c>
      <c r="D543" t="s">
        <v>10343</v>
      </c>
      <c r="E543" t="s">
        <v>10344</v>
      </c>
      <c r="F543" t="s">
        <v>10345</v>
      </c>
      <c r="G543" t="s">
        <v>10346</v>
      </c>
      <c r="H543" t="s">
        <v>10347</v>
      </c>
      <c r="I543" t="s">
        <v>10348</v>
      </c>
      <c r="J543" t="s">
        <v>10349</v>
      </c>
      <c r="K543" t="s">
        <v>10350</v>
      </c>
      <c r="L543" t="s">
        <v>10351</v>
      </c>
      <c r="M543" t="s">
        <v>10352</v>
      </c>
      <c r="N543">
        <f>-610.577057138989 -0.436465117438729 -525.814973474028</f>
        <v>-1136.8284957304556</v>
      </c>
      <c r="O543">
        <f>-642.736095452947 -149.096669760074 -491.137279753892</f>
        <v>-1282.9700449669131</v>
      </c>
      <c r="P543">
        <f>-660.587150561404 -178.734799637464 -211.170271979457</f>
        <v>-1050.4922221783249</v>
      </c>
      <c r="Q543">
        <f>-455.704626845012 -114.783234039016 -299.950266853466</f>
        <v>-870.43812773749403</v>
      </c>
      <c r="R543" t="s">
        <v>10353</v>
      </c>
      <c r="S543" t="s">
        <v>10354</v>
      </c>
      <c r="T543" t="s">
        <v>10355</v>
      </c>
      <c r="U543" t="s">
        <v>10356</v>
      </c>
      <c r="V543">
        <f>-560.417443915961 -51.4120332832413 -89.4912114244653</f>
        <v>-701.32068862366759</v>
      </c>
      <c r="W543" t="s">
        <v>10357</v>
      </c>
      <c r="X543" t="s">
        <v>10358</v>
      </c>
      <c r="Y543" t="s">
        <v>10359</v>
      </c>
    </row>
    <row r="544" spans="1:25" x14ac:dyDescent="0.3">
      <c r="A544">
        <v>27150</v>
      </c>
      <c r="B544" t="s">
        <v>10360</v>
      </c>
      <c r="C544" t="s">
        <v>10361</v>
      </c>
      <c r="D544" t="s">
        <v>10362</v>
      </c>
      <c r="E544" t="s">
        <v>10363</v>
      </c>
      <c r="F544" t="s">
        <v>10364</v>
      </c>
      <c r="G544" t="s">
        <v>10365</v>
      </c>
      <c r="H544" t="s">
        <v>10366</v>
      </c>
      <c r="I544" t="s">
        <v>10367</v>
      </c>
      <c r="J544" t="s">
        <v>10368</v>
      </c>
      <c r="K544" t="s">
        <v>10369</v>
      </c>
      <c r="L544" t="s">
        <v>10370</v>
      </c>
      <c r="M544" t="s">
        <v>10371</v>
      </c>
      <c r="N544">
        <f>-611.467921537491 -0.618791438468861 -525.759477948187</f>
        <v>-1137.8461909241469</v>
      </c>
      <c r="O544">
        <f>-643.608342291686 -149.278200938406 -491.058384494595</f>
        <v>-1283.944927724687</v>
      </c>
      <c r="P544">
        <f>-661.224307299238 -178.845346928515 -211.068946216874</f>
        <v>-1051.1386004446272</v>
      </c>
      <c r="Q544">
        <f>-456.414132814529 -114.987792686207 -300.083226532975</f>
        <v>-871.48515203371107</v>
      </c>
      <c r="R544" t="s">
        <v>10372</v>
      </c>
      <c r="S544" t="s">
        <v>10373</v>
      </c>
      <c r="T544" t="s">
        <v>10374</v>
      </c>
      <c r="U544" t="s">
        <v>10375</v>
      </c>
      <c r="V544">
        <f>-560.669975916254 -51.6551483616181 -89.5104187176644</f>
        <v>-701.83554299553646</v>
      </c>
      <c r="W544" t="s">
        <v>10376</v>
      </c>
      <c r="X544" t="s">
        <v>10377</v>
      </c>
      <c r="Y544" t="s">
        <v>10378</v>
      </c>
    </row>
    <row r="545" spans="1:25" x14ac:dyDescent="0.3">
      <c r="A545">
        <v>27200</v>
      </c>
      <c r="B545" t="s">
        <v>10379</v>
      </c>
      <c r="C545" t="s">
        <v>10380</v>
      </c>
      <c r="D545" t="s">
        <v>10381</v>
      </c>
      <c r="E545" t="s">
        <v>10382</v>
      </c>
      <c r="F545" t="s">
        <v>10383</v>
      </c>
      <c r="G545" t="s">
        <v>10384</v>
      </c>
      <c r="H545" t="s">
        <v>10385</v>
      </c>
      <c r="I545" t="s">
        <v>10386</v>
      </c>
      <c r="J545" t="s">
        <v>10387</v>
      </c>
      <c r="K545" t="s">
        <v>10388</v>
      </c>
      <c r="L545" t="s">
        <v>10389</v>
      </c>
      <c r="M545" t="s">
        <v>10390</v>
      </c>
      <c r="N545">
        <f>-613.258479073261 -0.96346095833951 -525.753131121468</f>
        <v>-1139.9750711530685</v>
      </c>
      <c r="O545">
        <f>-645.301171364462 -149.647210173849 -491.061944863597</f>
        <v>-1286.0103264019081</v>
      </c>
      <c r="P545">
        <f>-662.230346048332 -179.053665009622 -211.013312400557</f>
        <v>-1052.2973234585111</v>
      </c>
      <c r="Q545">
        <f>-457.707585968509 -115.103348479697 -300.619845948758</f>
        <v>-873.430780396964</v>
      </c>
      <c r="R545" t="s">
        <v>10391</v>
      </c>
      <c r="S545" t="s">
        <v>10392</v>
      </c>
      <c r="T545" t="s">
        <v>10393</v>
      </c>
      <c r="U545" t="s">
        <v>10394</v>
      </c>
      <c r="V545">
        <f>-561.372112538675 -52.1382488983948 -89.6039693468778</f>
        <v>-703.11433078394748</v>
      </c>
      <c r="W545" t="s">
        <v>10395</v>
      </c>
      <c r="X545" t="s">
        <v>10396</v>
      </c>
      <c r="Y545" t="s">
        <v>10397</v>
      </c>
    </row>
    <row r="546" spans="1:25" x14ac:dyDescent="0.3">
      <c r="A546">
        <v>27250</v>
      </c>
      <c r="B546" t="s">
        <v>10398</v>
      </c>
      <c r="C546" t="s">
        <v>10399</v>
      </c>
      <c r="D546" t="s">
        <v>10400</v>
      </c>
      <c r="E546" t="s">
        <v>10401</v>
      </c>
      <c r="F546" t="s">
        <v>10402</v>
      </c>
      <c r="G546" t="s">
        <v>10403</v>
      </c>
      <c r="H546" t="s">
        <v>10404</v>
      </c>
      <c r="I546" t="s">
        <v>10405</v>
      </c>
      <c r="J546" t="s">
        <v>10406</v>
      </c>
      <c r="K546" t="s">
        <v>10407</v>
      </c>
      <c r="L546" t="s">
        <v>10408</v>
      </c>
      <c r="M546" t="s">
        <v>10409</v>
      </c>
      <c r="N546">
        <f>-614.100011118416 -1.15562139527378 -525.7890446508</f>
        <v>-1141.0446771644897</v>
      </c>
      <c r="O546">
        <f>-646.063226612608 -149.865563697544 -491.136528244645</f>
        <v>-1287.0653185547969</v>
      </c>
      <c r="P546">
        <f>-662.72555271668 -179.356484622576 -211.080618570723</f>
        <v>-1053.1626559099791</v>
      </c>
      <c r="Q546">
        <f>-458.367282830184 -115.240080163542 -300.943383423144</f>
        <v>-874.55074641686997</v>
      </c>
      <c r="R546" t="s">
        <v>10410</v>
      </c>
      <c r="S546" t="s">
        <v>10411</v>
      </c>
      <c r="T546" t="s">
        <v>10412</v>
      </c>
      <c r="U546" t="s">
        <v>10413</v>
      </c>
      <c r="V546">
        <f>-561.853726909722 -52.3985744396589 -89.685250317802</f>
        <v>-703.9375516671829</v>
      </c>
      <c r="W546" t="s">
        <v>10414</v>
      </c>
      <c r="X546" t="s">
        <v>10415</v>
      </c>
      <c r="Y546" t="s">
        <v>10416</v>
      </c>
    </row>
    <row r="547" spans="1:25" x14ac:dyDescent="0.3">
      <c r="A547">
        <v>27300</v>
      </c>
      <c r="B547" t="s">
        <v>10417</v>
      </c>
      <c r="C547" t="s">
        <v>10418</v>
      </c>
      <c r="D547" t="s">
        <v>10419</v>
      </c>
      <c r="E547" t="s">
        <v>10420</v>
      </c>
      <c r="F547" t="s">
        <v>10421</v>
      </c>
      <c r="G547" t="s">
        <v>10422</v>
      </c>
      <c r="H547" t="s">
        <v>10423</v>
      </c>
      <c r="I547" t="s">
        <v>10424</v>
      </c>
      <c r="J547" t="s">
        <v>10425</v>
      </c>
      <c r="K547" t="s">
        <v>10426</v>
      </c>
      <c r="L547" t="s">
        <v>10427</v>
      </c>
      <c r="M547" t="s">
        <v>10428</v>
      </c>
      <c r="N547">
        <f>-615.682155051206 -1.56431477820774 -525.877609594083</f>
        <v>-1143.1240794234968</v>
      </c>
      <c r="O547">
        <f>-647.35895256559 -150.36877980104 -491.359495695546</f>
        <v>-1289.0872280621761</v>
      </c>
      <c r="P547">
        <f>-663.794261213828 -180.174042577043 -211.323638143958</f>
        <v>-1055.2919419348291</v>
      </c>
      <c r="Q547">
        <f>-459.570645250577 -115.607949446986 -301.170560957057</f>
        <v>-876.34915565461995</v>
      </c>
      <c r="R547" t="s">
        <v>10429</v>
      </c>
      <c r="S547" t="s">
        <v>10430</v>
      </c>
      <c r="T547" t="s">
        <v>10431</v>
      </c>
      <c r="U547" t="s">
        <v>10432</v>
      </c>
      <c r="V547">
        <f>-562.842563464857 -52.8545169745989 -89.8265045289545</f>
        <v>-705.52358496841043</v>
      </c>
      <c r="W547" t="s">
        <v>10433</v>
      </c>
      <c r="X547" t="s">
        <v>10434</v>
      </c>
      <c r="Y547" t="s">
        <v>10435</v>
      </c>
    </row>
    <row r="548" spans="1:25" x14ac:dyDescent="0.3">
      <c r="A548">
        <v>27350</v>
      </c>
      <c r="B548" t="s">
        <v>10436</v>
      </c>
      <c r="C548" t="s">
        <v>10437</v>
      </c>
      <c r="D548" t="s">
        <v>10438</v>
      </c>
      <c r="E548" t="s">
        <v>10439</v>
      </c>
      <c r="F548" t="s">
        <v>10440</v>
      </c>
      <c r="G548" t="s">
        <v>10441</v>
      </c>
      <c r="H548" t="s">
        <v>10442</v>
      </c>
      <c r="I548" t="s">
        <v>10443</v>
      </c>
      <c r="J548" t="s">
        <v>10444</v>
      </c>
      <c r="K548" t="s">
        <v>10445</v>
      </c>
      <c r="L548" t="s">
        <v>10446</v>
      </c>
      <c r="M548" t="s">
        <v>10447</v>
      </c>
      <c r="N548">
        <f>-616.194170430937 -1.7074273905705 -525.962522421906</f>
        <v>-1143.8641202434135</v>
      </c>
      <c r="O548">
        <f>-647.752193199421 -150.548945920573 -491.502269227496</f>
        <v>-1289.8034083474899</v>
      </c>
      <c r="P548">
        <f>-664.161103356932 -180.538099565611 -211.484348806908</f>
        <v>-1056.183551729451</v>
      </c>
      <c r="Q548">
        <f>-459.967159222241 -115.676259172485 -301.185705656305</f>
        <v>-876.82912405103104</v>
      </c>
      <c r="R548" t="s">
        <v>10448</v>
      </c>
      <c r="S548" t="s">
        <v>10449</v>
      </c>
      <c r="T548" t="s">
        <v>10450</v>
      </c>
      <c r="U548" t="s">
        <v>10451</v>
      </c>
      <c r="V548">
        <f>-563.310812008576 -52.9778392334999 -89.8974240728197</f>
        <v>-706.18607531489567</v>
      </c>
      <c r="W548" t="s">
        <v>10452</v>
      </c>
      <c r="X548" t="s">
        <v>10453</v>
      </c>
      <c r="Y548" t="s">
        <v>10454</v>
      </c>
    </row>
    <row r="549" spans="1:25" x14ac:dyDescent="0.3">
      <c r="A549">
        <v>27400</v>
      </c>
      <c r="B549" t="s">
        <v>10455</v>
      </c>
      <c r="C549" t="s">
        <v>10456</v>
      </c>
      <c r="D549" t="s">
        <v>10457</v>
      </c>
      <c r="E549" t="s">
        <v>10458</v>
      </c>
      <c r="F549" t="s">
        <v>10459</v>
      </c>
      <c r="G549" t="s">
        <v>10460</v>
      </c>
      <c r="H549" t="s">
        <v>10461</v>
      </c>
      <c r="I549" t="s">
        <v>10462</v>
      </c>
      <c r="J549" t="s">
        <v>10463</v>
      </c>
      <c r="K549" t="s">
        <v>10464</v>
      </c>
      <c r="L549" t="s">
        <v>10465</v>
      </c>
      <c r="M549" t="s">
        <v>10466</v>
      </c>
      <c r="N549">
        <f>-617.287443636752 -1.98462013793551 -526.119519316782</f>
        <v>-1145.3915830914693</v>
      </c>
      <c r="O549">
        <f>-648.607456905662 -150.892273768822 -491.721194144175</f>
        <v>-1291.2209248186591</v>
      </c>
      <c r="P549">
        <f>-665.224637433249 -180.80446173712 -211.707527454286</f>
        <v>-1057.7366266246549</v>
      </c>
      <c r="Q549">
        <f>-461.085792506748 -115.650979649493 -301.322564929707</f>
        <v>-878.05933708594807</v>
      </c>
      <c r="R549" t="s">
        <v>10467</v>
      </c>
      <c r="S549" t="s">
        <v>10468</v>
      </c>
      <c r="T549" t="s">
        <v>10469</v>
      </c>
      <c r="U549" t="s">
        <v>10470</v>
      </c>
      <c r="V549">
        <f>-563.954730232221 -53.1413811212249 -90.0851762187174</f>
        <v>-707.18128757216323</v>
      </c>
      <c r="W549" t="s">
        <v>10471</v>
      </c>
      <c r="X549" t="s">
        <v>10472</v>
      </c>
      <c r="Y549" t="s">
        <v>10473</v>
      </c>
    </row>
    <row r="550" spans="1:25" x14ac:dyDescent="0.3">
      <c r="A550">
        <v>27450</v>
      </c>
      <c r="B550" t="s">
        <v>10474</v>
      </c>
      <c r="C550" t="s">
        <v>10475</v>
      </c>
      <c r="D550" t="s">
        <v>10476</v>
      </c>
      <c r="E550" t="s">
        <v>10477</v>
      </c>
      <c r="F550" t="s">
        <v>10478</v>
      </c>
      <c r="G550" t="s">
        <v>10479</v>
      </c>
      <c r="H550" t="s">
        <v>10480</v>
      </c>
      <c r="I550" t="s">
        <v>10481</v>
      </c>
      <c r="J550" t="s">
        <v>10482</v>
      </c>
      <c r="K550" t="s">
        <v>10483</v>
      </c>
      <c r="L550" t="s">
        <v>10484</v>
      </c>
      <c r="M550" t="s">
        <v>10485</v>
      </c>
      <c r="N550">
        <f>-617.977223751192 -2.07565579526135 -526.16381501924</f>
        <v>-1146.2166945656934</v>
      </c>
      <c r="O550">
        <f>-649.202815536214 -151.016046938798 -491.803300327279</f>
        <v>-1292.0221628022909</v>
      </c>
      <c r="P550">
        <f>-665.79598431377 -180.790985881567 -211.773418965274</f>
        <v>-1058.360389160611</v>
      </c>
      <c r="Q550">
        <f>-461.712335176502 -115.599147231813 -301.486308688907</f>
        <v>-878.79779109722199</v>
      </c>
      <c r="R550" t="s">
        <v>10486</v>
      </c>
      <c r="S550" t="s">
        <v>10487</v>
      </c>
      <c r="T550" t="s">
        <v>10488</v>
      </c>
      <c r="U550" t="s">
        <v>10489</v>
      </c>
      <c r="V550">
        <f>-564.245489621088 -53.2575796091924 -90.1554461637334</f>
        <v>-707.65851539401376</v>
      </c>
      <c r="W550" t="s">
        <v>10490</v>
      </c>
      <c r="X550" t="s">
        <v>10491</v>
      </c>
      <c r="Y550" t="s">
        <v>10492</v>
      </c>
    </row>
    <row r="551" spans="1:25" x14ac:dyDescent="0.3">
      <c r="A551">
        <v>27500</v>
      </c>
      <c r="B551" t="s">
        <v>10493</v>
      </c>
      <c r="C551" t="s">
        <v>10494</v>
      </c>
      <c r="D551" t="s">
        <v>10495</v>
      </c>
      <c r="E551" t="s">
        <v>10496</v>
      </c>
      <c r="F551" t="s">
        <v>10497</v>
      </c>
      <c r="G551" t="s">
        <v>10498</v>
      </c>
      <c r="H551" t="s">
        <v>10499</v>
      </c>
      <c r="I551" t="s">
        <v>10500</v>
      </c>
      <c r="J551" t="s">
        <v>10501</v>
      </c>
      <c r="K551" t="s">
        <v>10502</v>
      </c>
      <c r="L551" t="s">
        <v>10503</v>
      </c>
      <c r="M551" t="s">
        <v>10504</v>
      </c>
      <c r="N551">
        <f>-619.406452377085 -2.01937211205177 -526.150925137124</f>
        <v>-1147.5767496262606</v>
      </c>
      <c r="O551">
        <f>-650.499665010394 -150.993676832417 -491.818277883826</f>
        <v>-1293.311619726637</v>
      </c>
      <c r="P551">
        <f>-666.429658681339 -180.802495934364 -211.753561631397</f>
        <v>-1058.9857162470998</v>
      </c>
      <c r="Q551">
        <f>-462.695231045088 -115.530764995349 -302.199060483804</f>
        <v>-880.42505652424097</v>
      </c>
      <c r="R551" t="s">
        <v>10505</v>
      </c>
      <c r="S551" t="s">
        <v>10506</v>
      </c>
      <c r="T551" t="s">
        <v>10507</v>
      </c>
      <c r="U551" t="s">
        <v>10508</v>
      </c>
      <c r="V551">
        <f>-564.7609887332 -53.1905988222609 -90.2119495575408</f>
        <v>-708.16353711300167</v>
      </c>
      <c r="W551" t="s">
        <v>10509</v>
      </c>
      <c r="X551" t="s">
        <v>10510</v>
      </c>
      <c r="Y551" t="s">
        <v>10511</v>
      </c>
    </row>
    <row r="552" spans="1:25" x14ac:dyDescent="0.3">
      <c r="A552">
        <v>27550</v>
      </c>
      <c r="B552" t="s">
        <v>10512</v>
      </c>
      <c r="C552" t="s">
        <v>10513</v>
      </c>
      <c r="D552" t="s">
        <v>10514</v>
      </c>
      <c r="E552" t="s">
        <v>10515</v>
      </c>
      <c r="F552" t="s">
        <v>10516</v>
      </c>
      <c r="G552" t="s">
        <v>10517</v>
      </c>
      <c r="H552" t="s">
        <v>10518</v>
      </c>
      <c r="I552" t="s">
        <v>10519</v>
      </c>
      <c r="J552" t="s">
        <v>10520</v>
      </c>
      <c r="K552" t="s">
        <v>10521</v>
      </c>
      <c r="L552" t="s">
        <v>10522</v>
      </c>
      <c r="M552" t="s">
        <v>10523</v>
      </c>
      <c r="N552">
        <f>-620.253511548853 -1.92312595231101 -526.120866205279</f>
        <v>-1148.297503706443</v>
      </c>
      <c r="O552">
        <f>-651.220820967504 -150.923871750447 -491.795271728521</f>
        <v>-1293.939964446472</v>
      </c>
      <c r="P552">
        <f>-666.579430735271 -180.654364042242 -211.690365146804</f>
        <v>-1058.9241599243171</v>
      </c>
      <c r="Q552">
        <f>-463.119662528685 -115.371874743764 -302.744277293064</f>
        <v>-881.23581456551301</v>
      </c>
      <c r="R552" t="s">
        <v>10524</v>
      </c>
      <c r="S552" t="s">
        <v>10525</v>
      </c>
      <c r="T552" t="s">
        <v>10526</v>
      </c>
      <c r="U552" t="s">
        <v>10527</v>
      </c>
      <c r="V552">
        <f>-564.946420700066 -53.0890719503143 -90.2426480491553</f>
        <v>-708.27814069953558</v>
      </c>
      <c r="W552" t="s">
        <v>10528</v>
      </c>
      <c r="X552" t="s">
        <v>10529</v>
      </c>
      <c r="Y552" t="s">
        <v>10530</v>
      </c>
    </row>
    <row r="553" spans="1:25" x14ac:dyDescent="0.3">
      <c r="A553">
        <v>27600</v>
      </c>
      <c r="B553" t="s">
        <v>10531</v>
      </c>
      <c r="C553" t="s">
        <v>10532</v>
      </c>
      <c r="D553" t="s">
        <v>10533</v>
      </c>
      <c r="E553" t="s">
        <v>10534</v>
      </c>
      <c r="F553" t="s">
        <v>10535</v>
      </c>
      <c r="G553" t="s">
        <v>10536</v>
      </c>
      <c r="H553" t="s">
        <v>10537</v>
      </c>
      <c r="I553" t="s">
        <v>10538</v>
      </c>
      <c r="J553" t="s">
        <v>10539</v>
      </c>
      <c r="K553" t="s">
        <v>10540</v>
      </c>
      <c r="L553" t="s">
        <v>10541</v>
      </c>
      <c r="M553" t="s">
        <v>10542</v>
      </c>
      <c r="N553">
        <f>-621.817528477014 -1.61446189144021 -526.010460908775</f>
        <v>-1149.4424512772293</v>
      </c>
      <c r="O553">
        <f>-652.538916028331 -150.670304527882 -491.721071450715</f>
        <v>-1294.9302920069279</v>
      </c>
      <c r="P553">
        <f>-666.562937705544 -180.539617703238 -211.560931745552</f>
        <v>-1058.663487154334</v>
      </c>
      <c r="Q553">
        <f>-463.767254578751 -114.85933839338 -303.802757380939</f>
        <v>-882.42935035307005</v>
      </c>
      <c r="R553" t="s">
        <v>10543</v>
      </c>
      <c r="S553" t="s">
        <v>10544</v>
      </c>
      <c r="T553" t="s">
        <v>10545</v>
      </c>
      <c r="U553" t="s">
        <v>10546</v>
      </c>
      <c r="V553">
        <f>-565.206393980471 -52.9463455032833 -90.2886697455823</f>
        <v>-708.44140922933661</v>
      </c>
      <c r="W553" t="s">
        <v>10547</v>
      </c>
      <c r="X553" t="s">
        <v>10548</v>
      </c>
      <c r="Y553" t="s">
        <v>10549</v>
      </c>
    </row>
    <row r="554" spans="1:25" x14ac:dyDescent="0.3">
      <c r="A554">
        <v>27650</v>
      </c>
      <c r="B554" t="s">
        <v>10550</v>
      </c>
      <c r="C554" t="s">
        <v>10551</v>
      </c>
      <c r="D554" t="s">
        <v>10552</v>
      </c>
      <c r="E554" t="s">
        <v>10553</v>
      </c>
      <c r="F554" t="s">
        <v>10554</v>
      </c>
      <c r="G554" t="s">
        <v>10555</v>
      </c>
      <c r="H554" t="s">
        <v>10556</v>
      </c>
      <c r="I554" t="s">
        <v>10557</v>
      </c>
      <c r="J554" t="s">
        <v>10558</v>
      </c>
      <c r="K554" t="s">
        <v>10559</v>
      </c>
      <c r="L554" t="s">
        <v>10560</v>
      </c>
      <c r="M554" t="s">
        <v>10561</v>
      </c>
      <c r="N554">
        <f>-622.544017541414 -1.41796380228425 -525.959815967454</f>
        <v>-1149.9217973111522</v>
      </c>
      <c r="O554">
        <f>-653.112386730612 -150.526564805116 -491.746572285796</f>
        <v>-1295.385523821524</v>
      </c>
      <c r="P554">
        <f>-666.521042792717 -180.502804316311 -211.567692875288</f>
        <v>-1058.5915399843161</v>
      </c>
      <c r="Q554">
        <f>-464.275423605827 -114.314386647348 -304.650029028869</f>
        <v>-883.23983928204393</v>
      </c>
      <c r="R554" t="s">
        <v>10562</v>
      </c>
      <c r="S554" t="s">
        <v>10563</v>
      </c>
      <c r="T554" t="s">
        <v>10564</v>
      </c>
      <c r="U554" t="s">
        <v>10565</v>
      </c>
      <c r="V554">
        <f>-565.291189999254 -52.9143526461096 -90.3005386120633</f>
        <v>-708.5060812574269</v>
      </c>
      <c r="W554" t="s">
        <v>10566</v>
      </c>
      <c r="X554" t="s">
        <v>10567</v>
      </c>
      <c r="Y554" t="s">
        <v>10568</v>
      </c>
    </row>
    <row r="555" spans="1:25" x14ac:dyDescent="0.3">
      <c r="A555">
        <v>27700</v>
      </c>
      <c r="B555" t="s">
        <v>10569</v>
      </c>
      <c r="C555" t="s">
        <v>10570</v>
      </c>
      <c r="D555" t="s">
        <v>10571</v>
      </c>
      <c r="E555" t="s">
        <v>10572</v>
      </c>
      <c r="F555" t="s">
        <v>10573</v>
      </c>
      <c r="G555" t="s">
        <v>10574</v>
      </c>
      <c r="H555" t="s">
        <v>10575</v>
      </c>
      <c r="I555" t="s">
        <v>10576</v>
      </c>
      <c r="J555" t="s">
        <v>10577</v>
      </c>
      <c r="K555" t="s">
        <v>10578</v>
      </c>
      <c r="L555" t="s">
        <v>10579</v>
      </c>
      <c r="M555" t="s">
        <v>10580</v>
      </c>
      <c r="N555">
        <f>-623.632980883386 -1.07159213399677 -525.875849970735</f>
        <v>-1150.5804229881178</v>
      </c>
      <c r="O555">
        <f>-653.921035785269 -150.267233778746 -491.827767824649</f>
        <v>-1296.016037388664</v>
      </c>
      <c r="P555">
        <f>-666.228822748929 -180.618614585545 -211.638732967382</f>
        <v>-1058.486170301856</v>
      </c>
      <c r="Q555">
        <f>-464.8281856976 -113.636025994135 -305.976605440529</f>
        <v>-884.4408171322641</v>
      </c>
      <c r="R555" t="s">
        <v>10581</v>
      </c>
      <c r="S555" t="s">
        <v>10582</v>
      </c>
      <c r="T555" t="s">
        <v>10583</v>
      </c>
      <c r="U555" t="s">
        <v>10584</v>
      </c>
      <c r="V555">
        <f>-565.422327094113 -52.9325443924647 -90.299422053493</f>
        <v>-708.65429354007074</v>
      </c>
      <c r="W555" t="s">
        <v>10585</v>
      </c>
      <c r="X555" t="s">
        <v>10586</v>
      </c>
      <c r="Y555" t="s">
        <v>10587</v>
      </c>
    </row>
    <row r="556" spans="1:25" x14ac:dyDescent="0.3">
      <c r="A556">
        <v>27750</v>
      </c>
      <c r="B556" t="s">
        <v>10588</v>
      </c>
      <c r="C556" t="s">
        <v>10589</v>
      </c>
      <c r="D556" t="s">
        <v>10590</v>
      </c>
      <c r="E556" t="s">
        <v>10591</v>
      </c>
      <c r="F556" t="s">
        <v>10592</v>
      </c>
      <c r="G556" t="s">
        <v>10593</v>
      </c>
      <c r="H556" t="s">
        <v>10594</v>
      </c>
      <c r="I556" t="s">
        <v>10595</v>
      </c>
      <c r="J556" t="s">
        <v>10596</v>
      </c>
      <c r="K556" t="s">
        <v>10597</v>
      </c>
      <c r="L556" t="s">
        <v>10598</v>
      </c>
      <c r="M556" t="s">
        <v>10599</v>
      </c>
      <c r="N556">
        <f>-624.026562622369 -0.926187790090125 -525.861492730896</f>
        <v>-1150.8142431433553</v>
      </c>
      <c r="O556">
        <f>-654.18294772849 -150.169981986666 -491.87963705942</f>
        <v>-1296.2325667745761</v>
      </c>
      <c r="P556">
        <f>-666.172565226278 -180.631988107433 -211.688878187545</f>
        <v>-1058.4934315212561</v>
      </c>
      <c r="Q556">
        <f>-464.981708502427 -113.460450421333 -306.339504832735</f>
        <v>-884.78166375649494</v>
      </c>
      <c r="R556" t="s">
        <v>10600</v>
      </c>
      <c r="S556" t="s">
        <v>10601</v>
      </c>
      <c r="T556" t="s">
        <v>10602</v>
      </c>
      <c r="U556" t="s">
        <v>10603</v>
      </c>
      <c r="V556">
        <f>-565.492468572878 -52.9015092024845 -90.3133679622094</f>
        <v>-708.70734573757193</v>
      </c>
      <c r="W556" t="s">
        <v>10604</v>
      </c>
      <c r="X556" t="s">
        <v>10605</v>
      </c>
      <c r="Y556" t="s">
        <v>10606</v>
      </c>
    </row>
    <row r="557" spans="1:25" x14ac:dyDescent="0.3">
      <c r="A557">
        <v>27800</v>
      </c>
      <c r="B557" t="s">
        <v>10607</v>
      </c>
      <c r="C557" t="s">
        <v>10608</v>
      </c>
      <c r="D557" t="s">
        <v>10609</v>
      </c>
      <c r="E557" t="s">
        <v>10610</v>
      </c>
      <c r="F557" t="s">
        <v>10611</v>
      </c>
      <c r="G557" t="s">
        <v>10612</v>
      </c>
      <c r="H557" t="s">
        <v>10613</v>
      </c>
      <c r="I557" t="s">
        <v>10614</v>
      </c>
      <c r="J557" t="s">
        <v>10615</v>
      </c>
      <c r="K557" t="s">
        <v>10616</v>
      </c>
      <c r="L557" t="s">
        <v>10617</v>
      </c>
      <c r="M557" t="s">
        <v>10618</v>
      </c>
      <c r="N557">
        <f>-624.633705666307 -0.569179089757881 -525.909961416627</f>
        <v>-1151.1128461726919</v>
      </c>
      <c r="O557">
        <f>-654.750895893368 -149.85295456337 -492.075361033232</f>
        <v>-1296.6792114899699</v>
      </c>
      <c r="P557">
        <f>-666.203065639858 -180.230731811225 -211.852778050445</f>
        <v>-1058.286575501528</v>
      </c>
      <c r="Q557">
        <f>-465.080761374562 -113.00813402891 -306.612951922425</f>
        <v>-884.70184732589701</v>
      </c>
      <c r="R557" t="s">
        <v>10619</v>
      </c>
      <c r="S557" t="s">
        <v>10620</v>
      </c>
      <c r="T557" t="s">
        <v>10621</v>
      </c>
      <c r="U557" t="s">
        <v>10622</v>
      </c>
      <c r="V557">
        <f>-565.786880384288 -52.8477940995253 -90.354913697401</f>
        <v>-708.98958818121434</v>
      </c>
      <c r="W557" t="s">
        <v>10623</v>
      </c>
      <c r="X557" t="s">
        <v>10624</v>
      </c>
      <c r="Y557" t="s">
        <v>10625</v>
      </c>
    </row>
    <row r="558" spans="1:25" x14ac:dyDescent="0.3">
      <c r="A558">
        <v>27850</v>
      </c>
      <c r="B558" t="s">
        <v>10626</v>
      </c>
      <c r="C558" t="s">
        <v>10627</v>
      </c>
      <c r="D558" t="s">
        <v>10628</v>
      </c>
      <c r="E558" t="s">
        <v>10629</v>
      </c>
      <c r="F558" t="s">
        <v>10630</v>
      </c>
      <c r="G558" t="s">
        <v>10631</v>
      </c>
      <c r="H558" t="s">
        <v>10632</v>
      </c>
      <c r="I558" t="s">
        <v>10633</v>
      </c>
      <c r="J558" t="s">
        <v>10634</v>
      </c>
      <c r="K558" t="s">
        <v>10635</v>
      </c>
      <c r="L558" t="s">
        <v>10636</v>
      </c>
      <c r="M558" t="s">
        <v>10637</v>
      </c>
      <c r="N558">
        <f>-624.716797843288 -0.407108203963844 -525.953289158814</f>
        <v>-1151.0771952060659</v>
      </c>
      <c r="O558">
        <f>-654.85912143281 -149.706832236032 -492.208446177383</f>
        <v>-1296.7743998462249</v>
      </c>
      <c r="P558">
        <f>-666.256019541775 -180.051569408702 -211.980292784848</f>
        <v>-1058.2878817353251</v>
      </c>
      <c r="Q558">
        <f>-465.051592832214 -112.750063560864 -306.509697263976</f>
        <v>-884.31135365705404</v>
      </c>
      <c r="R558" t="s">
        <v>10638</v>
      </c>
      <c r="S558" t="s">
        <v>10639</v>
      </c>
      <c r="T558" t="s">
        <v>10640</v>
      </c>
      <c r="U558" t="s">
        <v>10641</v>
      </c>
      <c r="V558">
        <f>-565.968822358628 -52.8485184046126 -90.3778008997043</f>
        <v>-709.19514166294493</v>
      </c>
      <c r="W558" t="s">
        <v>10642</v>
      </c>
      <c r="X558" t="s">
        <v>10643</v>
      </c>
      <c r="Y558" t="s">
        <v>10644</v>
      </c>
    </row>
    <row r="559" spans="1:25" x14ac:dyDescent="0.3">
      <c r="A559">
        <v>27900</v>
      </c>
      <c r="B559" t="s">
        <v>10645</v>
      </c>
      <c r="C559" t="s">
        <v>10646</v>
      </c>
      <c r="D559" t="s">
        <v>10647</v>
      </c>
      <c r="E559" t="s">
        <v>10648</v>
      </c>
      <c r="F559" t="s">
        <v>10649</v>
      </c>
      <c r="G559" t="s">
        <v>10650</v>
      </c>
      <c r="H559" t="s">
        <v>10651</v>
      </c>
      <c r="I559" t="s">
        <v>10652</v>
      </c>
      <c r="J559" t="s">
        <v>10653</v>
      </c>
      <c r="K559" t="s">
        <v>10654</v>
      </c>
      <c r="L559" t="s">
        <v>10655</v>
      </c>
      <c r="M559" t="s">
        <v>10656</v>
      </c>
      <c r="N559">
        <f>-624.88823108855 -0.139283238522921 -526.0597681193</f>
        <v>-1151.0872824463729</v>
      </c>
      <c r="O559">
        <f>-654.982808446018 -149.480629420184 -492.45144286979</f>
        <v>-1296.914880735992</v>
      </c>
      <c r="P559">
        <f>-666.698763081827 -180.00589398061 -212.255873156657</f>
        <v>-1058.9605302190939</v>
      </c>
      <c r="Q559">
        <f>-465.1586466946 -112.642364882063 -306.023037773437</f>
        <v>-883.82404935010004</v>
      </c>
      <c r="R559" t="s">
        <v>10657</v>
      </c>
      <c r="S559" t="s">
        <v>10658</v>
      </c>
      <c r="T559" t="s">
        <v>10659</v>
      </c>
      <c r="U559" t="s">
        <v>10660</v>
      </c>
      <c r="V559">
        <f>-566.457274163749 -52.7906533293115 -90.419326579886</f>
        <v>-709.66725407294655</v>
      </c>
      <c r="W559" t="s">
        <v>10661</v>
      </c>
      <c r="X559" t="s">
        <v>10662</v>
      </c>
      <c r="Y559" t="s">
        <v>10663</v>
      </c>
    </row>
    <row r="560" spans="1:25" x14ac:dyDescent="0.3">
      <c r="A560">
        <v>27950</v>
      </c>
      <c r="B560" t="s">
        <v>10664</v>
      </c>
      <c r="C560" t="s">
        <v>10665</v>
      </c>
      <c r="D560" t="s">
        <v>10666</v>
      </c>
      <c r="E560" t="s">
        <v>10667</v>
      </c>
      <c r="F560" t="s">
        <v>10668</v>
      </c>
      <c r="G560" t="s">
        <v>10669</v>
      </c>
      <c r="H560" t="s">
        <v>10670</v>
      </c>
      <c r="I560" t="s">
        <v>10671</v>
      </c>
      <c r="J560" t="s">
        <v>10672</v>
      </c>
      <c r="K560" t="s">
        <v>10673</v>
      </c>
      <c r="L560" t="s">
        <v>10674</v>
      </c>
      <c r="M560" t="s">
        <v>10675</v>
      </c>
      <c r="N560" t="s">
        <v>10676</v>
      </c>
      <c r="O560">
        <f>-655.262300048056 -149.25564579684 -492.516812347716</f>
        <v>-1297.0347581926119</v>
      </c>
      <c r="P560">
        <f>-667.069778621343 -179.930471439969 -212.341517662871</f>
        <v>-1059.341767724183</v>
      </c>
      <c r="Q560">
        <f>-465.347457272784 -112.5379533958 -305.694964745172</f>
        <v>-883.58037541375597</v>
      </c>
      <c r="R560" t="s">
        <v>10677</v>
      </c>
      <c r="S560" t="s">
        <v>10678</v>
      </c>
      <c r="T560" t="s">
        <v>10679</v>
      </c>
      <c r="U560" t="s">
        <v>10680</v>
      </c>
      <c r="V560">
        <f>-566.749402986955 -52.7092389521947 -90.4322437199856</f>
        <v>-709.89088565913539</v>
      </c>
      <c r="W560" t="s">
        <v>10681</v>
      </c>
      <c r="X560" t="s">
        <v>10682</v>
      </c>
      <c r="Y560" t="s">
        <v>10683</v>
      </c>
    </row>
    <row r="561" spans="1:25" x14ac:dyDescent="0.3">
      <c r="A561">
        <v>28000</v>
      </c>
      <c r="B561" t="s">
        <v>10684</v>
      </c>
      <c r="C561" t="s">
        <v>10685</v>
      </c>
      <c r="D561" t="s">
        <v>10686</v>
      </c>
      <c r="E561" t="s">
        <v>10687</v>
      </c>
      <c r="F561" t="s">
        <v>10688</v>
      </c>
      <c r="G561" t="s">
        <v>10689</v>
      </c>
      <c r="H561" t="s">
        <v>10690</v>
      </c>
      <c r="I561" t="s">
        <v>10691</v>
      </c>
      <c r="J561" t="s">
        <v>10692</v>
      </c>
      <c r="K561" t="s">
        <v>10693</v>
      </c>
      <c r="L561" t="s">
        <v>10694</v>
      </c>
      <c r="M561" t="s">
        <v>10695</v>
      </c>
      <c r="N561" t="s">
        <v>10696</v>
      </c>
      <c r="O561">
        <f>-655.940268189172 -148.84354414728 -492.51564524936</f>
        <v>-1297.299457585812</v>
      </c>
      <c r="P561">
        <f>-667.681227903228 -179.451048321 -212.330145349363</f>
        <v>-1059.462421573591</v>
      </c>
      <c r="Q561">
        <f>-465.693556636377 -112.158326978627 -305.180688362623</f>
        <v>-883.03257197762696</v>
      </c>
      <c r="R561" t="s">
        <v>10697</v>
      </c>
      <c r="S561" t="s">
        <v>10698</v>
      </c>
      <c r="T561" t="s">
        <v>10699</v>
      </c>
      <c r="U561" t="s">
        <v>10700</v>
      </c>
      <c r="V561">
        <f>-567.331430102325 -52.5055809362475 -90.4661780894232</f>
        <v>-710.30318912799578</v>
      </c>
      <c r="W561" t="s">
        <v>10701</v>
      </c>
      <c r="X561" t="s">
        <v>10702</v>
      </c>
      <c r="Y561" t="s">
        <v>10703</v>
      </c>
    </row>
    <row r="562" spans="1:25" x14ac:dyDescent="0.3">
      <c r="A562">
        <v>28050</v>
      </c>
      <c r="B562" t="s">
        <v>10704</v>
      </c>
      <c r="C562" t="s">
        <v>10705</v>
      </c>
      <c r="D562" t="s">
        <v>10706</v>
      </c>
      <c r="E562" t="s">
        <v>10707</v>
      </c>
      <c r="F562" t="s">
        <v>10708</v>
      </c>
      <c r="G562" t="s">
        <v>10709</v>
      </c>
      <c r="H562" t="s">
        <v>10710</v>
      </c>
      <c r="I562" t="s">
        <v>10711</v>
      </c>
      <c r="J562" t="s">
        <v>10712</v>
      </c>
      <c r="K562" t="s">
        <v>10713</v>
      </c>
      <c r="L562" t="s">
        <v>10714</v>
      </c>
      <c r="M562" t="s">
        <v>10715</v>
      </c>
      <c r="N562" t="s">
        <v>10716</v>
      </c>
      <c r="O562">
        <f>-656.195093223317 -148.689981805129 -492.506580029628</f>
        <v>-1297.3916550580741</v>
      </c>
      <c r="P562">
        <f>-667.731780197843 -179.240086900776 -212.306282561993</f>
        <v>-1059.2781496606119</v>
      </c>
      <c r="Q562">
        <f>-465.749667298467 -111.978635346898 -305.191422704875</f>
        <v>-882.91972535024001</v>
      </c>
      <c r="R562" t="s">
        <v>10717</v>
      </c>
      <c r="S562" t="s">
        <v>10718</v>
      </c>
      <c r="T562" t="s">
        <v>10719</v>
      </c>
      <c r="U562" t="s">
        <v>10720</v>
      </c>
      <c r="V562">
        <f>-567.605228927096 -52.4472422442841 -90.4744684221021</f>
        <v>-710.52693959348221</v>
      </c>
      <c r="W562" t="s">
        <v>10721</v>
      </c>
      <c r="X562" t="s">
        <v>10722</v>
      </c>
      <c r="Y562" t="s">
        <v>10723</v>
      </c>
    </row>
    <row r="563" spans="1:25" x14ac:dyDescent="0.3">
      <c r="A563">
        <v>28100</v>
      </c>
      <c r="B563" t="s">
        <v>10724</v>
      </c>
      <c r="C563" t="s">
        <v>10725</v>
      </c>
      <c r="D563" t="s">
        <v>10726</v>
      </c>
      <c r="E563" t="s">
        <v>10727</v>
      </c>
      <c r="F563" t="s">
        <v>10728</v>
      </c>
      <c r="G563" t="s">
        <v>10729</v>
      </c>
      <c r="H563" t="s">
        <v>10730</v>
      </c>
      <c r="I563" t="s">
        <v>10731</v>
      </c>
      <c r="J563" t="s">
        <v>10732</v>
      </c>
      <c r="K563" t="s">
        <v>10733</v>
      </c>
      <c r="L563" t="s">
        <v>10734</v>
      </c>
      <c r="M563" t="s">
        <v>10735</v>
      </c>
      <c r="N563" t="s">
        <v>10736</v>
      </c>
      <c r="O563">
        <f>-656.958425686474 -148.40442304011 -492.356877668165</f>
        <v>-1297.7197263947492</v>
      </c>
      <c r="P563">
        <f>-668.121067552401 -178.876238179325 -212.132952247652</f>
        <v>-1059.130257979378</v>
      </c>
      <c r="Q563">
        <f>-466.387512297093 -111.539165090906 -305.502421517939</f>
        <v>-883.42909890593796</v>
      </c>
      <c r="R563" t="s">
        <v>10737</v>
      </c>
      <c r="S563" t="s">
        <v>10738</v>
      </c>
      <c r="T563" t="s">
        <v>10739</v>
      </c>
      <c r="U563" t="s">
        <v>10740</v>
      </c>
      <c r="V563">
        <f>-568.034668319893 -52.2919628313434 -90.5024125200498</f>
        <v>-710.82904367128617</v>
      </c>
      <c r="W563" t="s">
        <v>10741</v>
      </c>
      <c r="X563" t="s">
        <v>10742</v>
      </c>
      <c r="Y563" t="s">
        <v>10743</v>
      </c>
    </row>
    <row r="564" spans="1:25" x14ac:dyDescent="0.3">
      <c r="A564">
        <v>28150</v>
      </c>
      <c r="B564" t="s">
        <v>10744</v>
      </c>
      <c r="C564" t="s">
        <v>10745</v>
      </c>
      <c r="D564" t="s">
        <v>10746</v>
      </c>
      <c r="E564" t="s">
        <v>10747</v>
      </c>
      <c r="F564" t="s">
        <v>10748</v>
      </c>
      <c r="G564" t="s">
        <v>10749</v>
      </c>
      <c r="H564" t="s">
        <v>10750</v>
      </c>
      <c r="I564" t="s">
        <v>10751</v>
      </c>
      <c r="J564" t="s">
        <v>10752</v>
      </c>
      <c r="K564" t="s">
        <v>10753</v>
      </c>
      <c r="L564" t="s">
        <v>10754</v>
      </c>
      <c r="M564" t="s">
        <v>10755</v>
      </c>
      <c r="N564" t="s">
        <v>10756</v>
      </c>
      <c r="O564">
        <f>-657.450541483264 -148.339555899449 -492.235212226922</f>
        <v>-1298.0253096096351</v>
      </c>
      <c r="P564">
        <f>-668.464974809035 -178.697708530247 -211.993093564492</f>
        <v>-1059.155776903774</v>
      </c>
      <c r="Q564">
        <f>-466.836839164267 -111.422111351211 -305.633996593695</f>
        <v>-883.89294710917295</v>
      </c>
      <c r="R564" t="s">
        <v>10757</v>
      </c>
      <c r="S564" t="s">
        <v>10758</v>
      </c>
      <c r="T564" t="s">
        <v>10759</v>
      </c>
      <c r="U564" t="s">
        <v>10760</v>
      </c>
      <c r="V564">
        <f>-568.230193724864 -52.2151497846276 -90.5164547240307</f>
        <v>-710.96179823352225</v>
      </c>
      <c r="W564" t="s">
        <v>10761</v>
      </c>
      <c r="X564" t="s">
        <v>10762</v>
      </c>
      <c r="Y564" t="s">
        <v>10763</v>
      </c>
    </row>
    <row r="565" spans="1:25" x14ac:dyDescent="0.3">
      <c r="A565">
        <v>28200</v>
      </c>
      <c r="B565" t="s">
        <v>10764</v>
      </c>
      <c r="C565" t="s">
        <v>10765</v>
      </c>
      <c r="D565" t="s">
        <v>10766</v>
      </c>
      <c r="E565" t="s">
        <v>10767</v>
      </c>
      <c r="F565" t="s">
        <v>10768</v>
      </c>
      <c r="G565" t="s">
        <v>10769</v>
      </c>
      <c r="H565" t="s">
        <v>10770</v>
      </c>
      <c r="I565" t="s">
        <v>10771</v>
      </c>
      <c r="J565" t="s">
        <v>10772</v>
      </c>
      <c r="K565" t="s">
        <v>10773</v>
      </c>
      <c r="L565" t="s">
        <v>10774</v>
      </c>
      <c r="M565" t="s">
        <v>10775</v>
      </c>
      <c r="N565" t="s">
        <v>10776</v>
      </c>
      <c r="O565">
        <f>-658.248698074332 -148.218480795342 -492.075756912369</f>
        <v>-1298.5429357820431</v>
      </c>
      <c r="P565">
        <f>-669.352954577123 -178.347558261309 -211.812510871858</f>
        <v>-1059.5130237102901</v>
      </c>
      <c r="Q565">
        <f>-467.804078602833 -111.073374610773 -305.624840197084</f>
        <v>-884.50229341069007</v>
      </c>
      <c r="R565" t="s">
        <v>10777</v>
      </c>
      <c r="S565" t="s">
        <v>10778</v>
      </c>
      <c r="T565" t="s">
        <v>10779</v>
      </c>
      <c r="U565" t="s">
        <v>10780</v>
      </c>
      <c r="V565">
        <f>-568.616095387653 -52.1359898212083 -90.5476051481184</f>
        <v>-711.29969035697968</v>
      </c>
      <c r="W565" t="s">
        <v>10781</v>
      </c>
      <c r="X565" t="s">
        <v>10782</v>
      </c>
      <c r="Y565" t="s">
        <v>10783</v>
      </c>
    </row>
    <row r="566" spans="1:25" x14ac:dyDescent="0.3">
      <c r="A566">
        <v>28250</v>
      </c>
      <c r="B566" t="s">
        <v>10784</v>
      </c>
      <c r="C566" t="s">
        <v>10785</v>
      </c>
      <c r="D566" t="s">
        <v>10786</v>
      </c>
      <c r="E566" t="s">
        <v>10787</v>
      </c>
      <c r="F566" t="s">
        <v>10788</v>
      </c>
      <c r="G566" t="s">
        <v>10789</v>
      </c>
      <c r="H566" t="s">
        <v>10790</v>
      </c>
      <c r="I566" t="s">
        <v>10791</v>
      </c>
      <c r="J566" t="s">
        <v>10792</v>
      </c>
      <c r="K566" t="s">
        <v>10793</v>
      </c>
      <c r="L566" t="s">
        <v>10794</v>
      </c>
      <c r="M566" t="s">
        <v>10795</v>
      </c>
      <c r="N566" t="s">
        <v>10796</v>
      </c>
      <c r="O566">
        <f>-658.394475757319 -148.363599268026 -492.066020786559</f>
        <v>-1298.824095811904</v>
      </c>
      <c r="P566">
        <f>-669.637187482416 -178.420163319502 -211.800440076848</f>
        <v>-1059.8577908787661</v>
      </c>
      <c r="Q566">
        <f>-468.106565612696 -111.106332700525 -305.623607008033</f>
        <v>-884.83650532125398</v>
      </c>
      <c r="R566" t="s">
        <v>10797</v>
      </c>
      <c r="S566" t="s">
        <v>10798</v>
      </c>
      <c r="T566" t="s">
        <v>10799</v>
      </c>
      <c r="U566" t="s">
        <v>10800</v>
      </c>
      <c r="V566">
        <f>-568.764557960981 -52.0554372593058 -90.5528144636081</f>
        <v>-711.37280968389496</v>
      </c>
      <c r="W566" t="s">
        <v>10801</v>
      </c>
      <c r="X566" t="s">
        <v>10802</v>
      </c>
      <c r="Y566" t="s">
        <v>10803</v>
      </c>
    </row>
    <row r="567" spans="1:25" x14ac:dyDescent="0.3">
      <c r="A567">
        <v>28300</v>
      </c>
      <c r="B567" t="s">
        <v>10804</v>
      </c>
      <c r="C567" t="s">
        <v>10805</v>
      </c>
      <c r="D567" t="s">
        <v>10806</v>
      </c>
      <c r="E567" t="s">
        <v>10807</v>
      </c>
      <c r="F567" t="s">
        <v>10808</v>
      </c>
      <c r="G567" t="s">
        <v>10809</v>
      </c>
      <c r="H567" t="s">
        <v>10810</v>
      </c>
      <c r="I567" t="s">
        <v>10811</v>
      </c>
      <c r="J567" t="s">
        <v>10812</v>
      </c>
      <c r="K567" t="s">
        <v>10813</v>
      </c>
      <c r="L567" t="s">
        <v>10814</v>
      </c>
      <c r="M567" t="s">
        <v>10815</v>
      </c>
      <c r="N567" t="s">
        <v>10816</v>
      </c>
      <c r="O567">
        <f>-658.749453121805 -148.732060560224 -491.93368155291</f>
        <v>-1299.4151952349389</v>
      </c>
      <c r="P567">
        <f>-670.271841925354 -178.778029839409 -211.678380222631</f>
        <v>-1060.7282519873941</v>
      </c>
      <c r="Q567">
        <f>-468.848954471381 -111.353245593466 -305.653095536625</f>
        <v>-885.85529560147188</v>
      </c>
      <c r="R567" t="s">
        <v>10817</v>
      </c>
      <c r="S567" t="s">
        <v>10818</v>
      </c>
      <c r="T567" t="s">
        <v>10819</v>
      </c>
      <c r="U567" t="s">
        <v>10820</v>
      </c>
      <c r="V567">
        <f>-569.067179492435 -51.9899879125642 -90.538889543453</f>
        <v>-711.5960569484522</v>
      </c>
      <c r="W567" t="s">
        <v>10821</v>
      </c>
      <c r="X567" t="s">
        <v>10822</v>
      </c>
      <c r="Y567" t="s">
        <v>10823</v>
      </c>
    </row>
    <row r="568" spans="1:25" x14ac:dyDescent="0.3">
      <c r="A568">
        <v>28350</v>
      </c>
      <c r="B568" t="s">
        <v>10824</v>
      </c>
      <c r="C568" t="s">
        <v>10825</v>
      </c>
      <c r="D568" t="s">
        <v>10826</v>
      </c>
      <c r="E568" t="s">
        <v>10827</v>
      </c>
      <c r="F568" t="s">
        <v>10828</v>
      </c>
      <c r="G568" t="s">
        <v>10829</v>
      </c>
      <c r="H568" t="s">
        <v>10830</v>
      </c>
      <c r="I568" t="s">
        <v>10831</v>
      </c>
      <c r="J568" t="s">
        <v>10832</v>
      </c>
      <c r="K568" t="s">
        <v>10833</v>
      </c>
      <c r="L568" t="s">
        <v>10834</v>
      </c>
      <c r="M568" t="s">
        <v>10835</v>
      </c>
      <c r="N568" t="s">
        <v>10836</v>
      </c>
      <c r="O568">
        <f>-659.019414429546 -148.917686489938 -491.846286021119</f>
        <v>-1299.7833869406031</v>
      </c>
      <c r="P568">
        <f>-670.504262734476 -178.778770889941 -211.569563498059</f>
        <v>-1060.852597122476</v>
      </c>
      <c r="Q568">
        <f>-469.17596955103 -111.396303997111 -305.777094023443</f>
        <v>-886.34936757158403</v>
      </c>
      <c r="R568" t="s">
        <v>10837</v>
      </c>
      <c r="S568" t="s">
        <v>10838</v>
      </c>
      <c r="T568" t="s">
        <v>10839</v>
      </c>
      <c r="U568" t="s">
        <v>10840</v>
      </c>
      <c r="V568">
        <f>-569.214674531779 -51.9378068957858 -90.542462605722</f>
        <v>-711.69494403328679</v>
      </c>
      <c r="W568" t="s">
        <v>10841</v>
      </c>
      <c r="X568" t="s">
        <v>10842</v>
      </c>
      <c r="Y568" t="s">
        <v>10843</v>
      </c>
    </row>
    <row r="569" spans="1:25" x14ac:dyDescent="0.3">
      <c r="A569">
        <v>28400</v>
      </c>
      <c r="B569" t="s">
        <v>10844</v>
      </c>
      <c r="C569" t="s">
        <v>10845</v>
      </c>
      <c r="D569" t="s">
        <v>10846</v>
      </c>
      <c r="E569" t="s">
        <v>10847</v>
      </c>
      <c r="F569" t="s">
        <v>10848</v>
      </c>
      <c r="G569" t="s">
        <v>10849</v>
      </c>
      <c r="H569" t="s">
        <v>10850</v>
      </c>
      <c r="I569" t="s">
        <v>10851</v>
      </c>
      <c r="J569" t="s">
        <v>10852</v>
      </c>
      <c r="K569" t="s">
        <v>10853</v>
      </c>
      <c r="L569" t="s">
        <v>10854</v>
      </c>
      <c r="M569" t="s">
        <v>10855</v>
      </c>
      <c r="N569">
        <f>-629.771379388219 -0.00142411597948922 -525.89287080753</f>
        <v>-1155.6656743117285</v>
      </c>
      <c r="O569">
        <f>-659.596474281857 -149.247710276436 -491.650555142791</f>
        <v>-1300.494739701084</v>
      </c>
      <c r="P569">
        <f>-670.585664685757 -178.66873671476 -211.307448884315</f>
        <v>-1060.561850284832</v>
      </c>
      <c r="Q569">
        <f>-469.45749839553 -111.40529351265 -306.026061311118</f>
        <v>-886.88885321929797</v>
      </c>
      <c r="R569" t="s">
        <v>10856</v>
      </c>
      <c r="S569" t="s">
        <v>10857</v>
      </c>
      <c r="T569" t="s">
        <v>10858</v>
      </c>
      <c r="U569" t="s">
        <v>10859</v>
      </c>
      <c r="V569">
        <f>-569.445485978806 -51.8749333939165 -90.557314065535</f>
        <v>-711.87773343825756</v>
      </c>
      <c r="W569" t="s">
        <v>10860</v>
      </c>
      <c r="X569" t="s">
        <v>10861</v>
      </c>
      <c r="Y569" t="s">
        <v>10862</v>
      </c>
    </row>
    <row r="570" spans="1:25" x14ac:dyDescent="0.3">
      <c r="A570">
        <v>28450</v>
      </c>
      <c r="B570" t="s">
        <v>10863</v>
      </c>
      <c r="C570" t="s">
        <v>10864</v>
      </c>
      <c r="D570" t="s">
        <v>10865</v>
      </c>
      <c r="E570" t="s">
        <v>10866</v>
      </c>
      <c r="F570" t="s">
        <v>10867</v>
      </c>
      <c r="G570" t="s">
        <v>10868</v>
      </c>
      <c r="H570" t="s">
        <v>10869</v>
      </c>
      <c r="I570" t="s">
        <v>10870</v>
      </c>
      <c r="J570" t="s">
        <v>10871</v>
      </c>
      <c r="K570" t="s">
        <v>10872</v>
      </c>
      <c r="L570" t="s">
        <v>10873</v>
      </c>
      <c r="M570" t="s">
        <v>10874</v>
      </c>
      <c r="N570">
        <f>-630.070598753114 -0.294376092737593 -525.859013643619</f>
        <v>-1156.2239884894707</v>
      </c>
      <c r="O570">
        <f>-659.822030384592 -149.532136286477 -491.530043485084</f>
        <v>-1300.8842101561531</v>
      </c>
      <c r="P570">
        <f>-670.559254126446 -178.822182651287 -211.163628723583</f>
        <v>-1060.545065501316</v>
      </c>
      <c r="Q570">
        <f>-469.581841103435 -111.524639602914 -306.17751629302</f>
        <v>-887.28399699936904</v>
      </c>
      <c r="R570" t="s">
        <v>10875</v>
      </c>
      <c r="S570" t="s">
        <v>10876</v>
      </c>
      <c r="T570" t="s">
        <v>10877</v>
      </c>
      <c r="U570" t="s">
        <v>10878</v>
      </c>
      <c r="V570">
        <f>-569.529922402118 -51.8799812443137 -90.5729952264345</f>
        <v>-711.98289887286626</v>
      </c>
      <c r="W570" t="s">
        <v>10879</v>
      </c>
      <c r="X570" t="s">
        <v>10880</v>
      </c>
      <c r="Y570" t="s">
        <v>10881</v>
      </c>
    </row>
    <row r="571" spans="1:25" x14ac:dyDescent="0.3">
      <c r="A571">
        <v>28500</v>
      </c>
      <c r="B571" t="s">
        <v>10882</v>
      </c>
      <c r="C571" t="s">
        <v>10883</v>
      </c>
      <c r="D571" t="s">
        <v>10884</v>
      </c>
      <c r="E571" t="s">
        <v>10885</v>
      </c>
      <c r="F571" t="s">
        <v>10886</v>
      </c>
      <c r="G571" t="s">
        <v>10887</v>
      </c>
      <c r="H571" t="s">
        <v>10888</v>
      </c>
      <c r="I571" t="s">
        <v>10889</v>
      </c>
      <c r="J571" t="s">
        <v>10890</v>
      </c>
      <c r="K571" t="s">
        <v>10891</v>
      </c>
      <c r="L571" t="s">
        <v>10892</v>
      </c>
      <c r="M571" t="s">
        <v>10893</v>
      </c>
      <c r="N571">
        <f>-631.200888770244 -0.622282446324334 -525.799662020294</f>
        <v>-1157.6228332368623</v>
      </c>
      <c r="O571">
        <f>-660.852386835178 -149.860795480279 -491.329014192875</f>
        <v>-1302.0421965083319</v>
      </c>
      <c r="P571">
        <f>-670.961269778471 -178.796369063285 -210.902305895773</f>
        <v>-1060.659944737529</v>
      </c>
      <c r="Q571">
        <f>-470.153768196222 -111.555103135876 -306.31452393751</f>
        <v>-888.02339526960805</v>
      </c>
      <c r="R571" t="s">
        <v>10894</v>
      </c>
      <c r="S571" t="s">
        <v>10895</v>
      </c>
      <c r="T571" t="s">
        <v>10896</v>
      </c>
      <c r="U571" t="s">
        <v>10897</v>
      </c>
      <c r="V571">
        <f>-569.806603411881 -51.9750636951806 -90.6233185251735</f>
        <v>-712.40498563223514</v>
      </c>
      <c r="W571" t="s">
        <v>10898</v>
      </c>
      <c r="X571" t="s">
        <v>10899</v>
      </c>
      <c r="Y571" t="s">
        <v>10900</v>
      </c>
    </row>
    <row r="572" spans="1:25" x14ac:dyDescent="0.3">
      <c r="A572">
        <v>28550</v>
      </c>
      <c r="B572" t="s">
        <v>10901</v>
      </c>
      <c r="C572" t="s">
        <v>10902</v>
      </c>
      <c r="D572" t="s">
        <v>10903</v>
      </c>
      <c r="E572" t="s">
        <v>10904</v>
      </c>
      <c r="F572" t="s">
        <v>10905</v>
      </c>
      <c r="G572" t="s">
        <v>10906</v>
      </c>
      <c r="H572" t="s">
        <v>10907</v>
      </c>
      <c r="I572" t="s">
        <v>10908</v>
      </c>
      <c r="J572" t="s">
        <v>10909</v>
      </c>
      <c r="K572" t="s">
        <v>10910</v>
      </c>
      <c r="L572" t="s">
        <v>10911</v>
      </c>
      <c r="M572" t="s">
        <v>10912</v>
      </c>
      <c r="N572">
        <f>-631.738139416935 -0.874474739784091 -525.78572888583</f>
        <v>-1158.3983430425492</v>
      </c>
      <c r="O572">
        <f>-661.363001644793 -150.095341217512 -491.27367916628</f>
        <v>-1302.7320220285851</v>
      </c>
      <c r="P572">
        <f>-671.130301928196 -178.797314208097 -210.810849609333</f>
        <v>-1060.7384657456259</v>
      </c>
      <c r="Q572">
        <f>-470.31467534781 -111.749779261232 -306.342269491008</f>
        <v>-888.40672410005004</v>
      </c>
      <c r="R572" t="s">
        <v>10913</v>
      </c>
      <c r="S572" t="s">
        <v>10914</v>
      </c>
      <c r="T572" t="s">
        <v>10915</v>
      </c>
      <c r="U572" t="s">
        <v>10916</v>
      </c>
      <c r="V572">
        <f>-569.918322308566 -52.1825546593805 -90.6645048438488</f>
        <v>-712.76538181179524</v>
      </c>
      <c r="W572" t="s">
        <v>10917</v>
      </c>
      <c r="X572" t="s">
        <v>10918</v>
      </c>
      <c r="Y572" t="s">
        <v>10919</v>
      </c>
    </row>
    <row r="573" spans="1:25" x14ac:dyDescent="0.3">
      <c r="A573">
        <v>28600</v>
      </c>
      <c r="B573" t="s">
        <v>10920</v>
      </c>
      <c r="C573" t="s">
        <v>10921</v>
      </c>
      <c r="D573" t="s">
        <v>10922</v>
      </c>
      <c r="E573" t="s">
        <v>10923</v>
      </c>
      <c r="F573" t="s">
        <v>10924</v>
      </c>
      <c r="G573" t="s">
        <v>10925</v>
      </c>
      <c r="H573" t="s">
        <v>10926</v>
      </c>
      <c r="I573" t="s">
        <v>10927</v>
      </c>
      <c r="J573" t="s">
        <v>10928</v>
      </c>
      <c r="K573" t="s">
        <v>10929</v>
      </c>
      <c r="L573" t="s">
        <v>10930</v>
      </c>
      <c r="M573" t="s">
        <v>10931</v>
      </c>
      <c r="N573">
        <f>-632.379865472685 -1.48000967340545 -525.741680799445</f>
        <v>-1159.6015559455354</v>
      </c>
      <c r="O573">
        <f>-662.034340203406 -150.665466045246 -491.081255038664</f>
        <v>-1303.7810612873161</v>
      </c>
      <c r="P573">
        <f>-671.194372657704 -179.237142826917 -210.584667510426</f>
        <v>-1061.0161829950468</v>
      </c>
      <c r="Q573">
        <f>-470.365129401584 -112.428550715833 -306.254781657312</f>
        <v>-889.04846177472905</v>
      </c>
      <c r="R573" t="s">
        <v>10932</v>
      </c>
      <c r="S573" t="s">
        <v>10933</v>
      </c>
      <c r="T573" t="s">
        <v>10934</v>
      </c>
      <c r="U573" t="s">
        <v>10935</v>
      </c>
      <c r="V573">
        <f>-569.985475457592 -52.368763011845 -90.7152820969278</f>
        <v>-713.06952056636476</v>
      </c>
      <c r="W573" t="s">
        <v>10936</v>
      </c>
      <c r="X573" t="s">
        <v>10937</v>
      </c>
      <c r="Y573" t="s">
        <v>10938</v>
      </c>
    </row>
    <row r="574" spans="1:25" x14ac:dyDescent="0.3">
      <c r="A574">
        <v>28650</v>
      </c>
      <c r="B574" t="s">
        <v>10939</v>
      </c>
      <c r="C574" t="s">
        <v>10940</v>
      </c>
      <c r="D574" t="s">
        <v>10941</v>
      </c>
      <c r="E574" t="s">
        <v>10942</v>
      </c>
      <c r="F574" t="s">
        <v>10943</v>
      </c>
      <c r="G574" t="s">
        <v>10944</v>
      </c>
      <c r="H574" t="s">
        <v>10945</v>
      </c>
      <c r="I574" t="s">
        <v>10946</v>
      </c>
      <c r="J574" t="s">
        <v>10947</v>
      </c>
      <c r="K574" t="s">
        <v>10948</v>
      </c>
      <c r="L574" t="s">
        <v>10949</v>
      </c>
      <c r="M574" t="s">
        <v>10950</v>
      </c>
      <c r="N574">
        <f>-632.573656243818 -1.70898914094846 -525.712824919527</f>
        <v>-1159.9954703042936</v>
      </c>
      <c r="O574">
        <f>-662.261498905956 -150.875031071013 -490.985851505221</f>
        <v>-1304.1223814821901</v>
      </c>
      <c r="P574">
        <f>-671.158091520261 -179.327742013803 -210.468751066757</f>
        <v>-1060.9545846008209</v>
      </c>
      <c r="Q574">
        <f>-470.394152649254 -112.483920806289 -306.251316176683</f>
        <v>-889.12938963222609</v>
      </c>
      <c r="R574" t="s">
        <v>10951</v>
      </c>
      <c r="S574" t="s">
        <v>10952</v>
      </c>
      <c r="T574" t="s">
        <v>10953</v>
      </c>
      <c r="U574" t="s">
        <v>10954</v>
      </c>
      <c r="V574">
        <f>-570.001732447701 -52.4812575979199 -90.7155110500939</f>
        <v>-713.19850109571485</v>
      </c>
      <c r="W574" t="s">
        <v>10955</v>
      </c>
      <c r="X574" t="s">
        <v>10956</v>
      </c>
      <c r="Y574" t="s">
        <v>10957</v>
      </c>
    </row>
    <row r="575" spans="1:25" x14ac:dyDescent="0.3">
      <c r="A575">
        <v>28700</v>
      </c>
      <c r="B575" t="s">
        <v>10958</v>
      </c>
      <c r="C575" t="s">
        <v>10959</v>
      </c>
      <c r="D575" t="s">
        <v>10960</v>
      </c>
      <c r="E575" t="s">
        <v>10961</v>
      </c>
      <c r="F575" t="s">
        <v>10962</v>
      </c>
      <c r="G575" t="s">
        <v>10963</v>
      </c>
      <c r="H575" t="s">
        <v>10964</v>
      </c>
      <c r="I575" t="s">
        <v>10965</v>
      </c>
      <c r="J575" t="s">
        <v>10966</v>
      </c>
      <c r="K575" t="s">
        <v>10967</v>
      </c>
      <c r="L575" t="s">
        <v>10968</v>
      </c>
      <c r="M575" t="s">
        <v>10969</v>
      </c>
      <c r="N575">
        <f>-632.79954660462 -2.04764541956524 -525.609304875406</f>
        <v>-1160.4564968995912</v>
      </c>
      <c r="O575">
        <f>-662.515374980577 -151.187286802302 -490.785230588626</f>
        <v>-1304.487892371505</v>
      </c>
      <c r="P575">
        <f>-670.934767867944 -179.148984959743 -210.204055896251</f>
        <v>-1060.2878087239378</v>
      </c>
      <c r="Q575">
        <f>-470.315251141083 -112.476851573776 -306.407827483205</f>
        <v>-889.19993019806407</v>
      </c>
      <c r="R575" t="s">
        <v>10970</v>
      </c>
      <c r="S575" t="s">
        <v>10971</v>
      </c>
      <c r="T575" t="s">
        <v>10972</v>
      </c>
      <c r="U575" t="s">
        <v>10973</v>
      </c>
      <c r="V575">
        <f>-569.805944463184 -52.7639249126255 -90.6645022915827</f>
        <v>-713.23437166739222</v>
      </c>
      <c r="W575" t="s">
        <v>10974</v>
      </c>
      <c r="X575" t="s">
        <v>10975</v>
      </c>
      <c r="Y575" t="s">
        <v>10976</v>
      </c>
    </row>
    <row r="576" spans="1:25" x14ac:dyDescent="0.3">
      <c r="A576">
        <v>28750</v>
      </c>
      <c r="B576" t="s">
        <v>10977</v>
      </c>
      <c r="C576" t="s">
        <v>10978</v>
      </c>
      <c r="D576" t="s">
        <v>10979</v>
      </c>
      <c r="E576" t="s">
        <v>10980</v>
      </c>
      <c r="F576" t="s">
        <v>10981</v>
      </c>
      <c r="G576" t="s">
        <v>10982</v>
      </c>
      <c r="H576" t="s">
        <v>10983</v>
      </c>
      <c r="I576" t="s">
        <v>10984</v>
      </c>
      <c r="J576" t="s">
        <v>10985</v>
      </c>
      <c r="K576" t="s">
        <v>10986</v>
      </c>
      <c r="L576" t="s">
        <v>10987</v>
      </c>
      <c r="M576" t="s">
        <v>10988</v>
      </c>
      <c r="N576">
        <f>-632.799714346887 -2.1251089392722 -525.54216321986</f>
        <v>-1160.4669865060191</v>
      </c>
      <c r="O576">
        <f>-662.540688657117 -151.25838828479 -490.719198300576</f>
        <v>-1304.518275242483</v>
      </c>
      <c r="P576">
        <f>-670.780914962857 -179.140301184892 -210.12460580143</f>
        <v>-1060.0458219491788</v>
      </c>
      <c r="Q576">
        <f>-470.254370464608 -112.443039629922 -306.504737540217</f>
        <v>-889.20214763474689</v>
      </c>
      <c r="R576" t="s">
        <v>10989</v>
      </c>
      <c r="S576" t="s">
        <v>10990</v>
      </c>
      <c r="T576" t="s">
        <v>10991</v>
      </c>
      <c r="U576" t="s">
        <v>10992</v>
      </c>
      <c r="V576">
        <f>-569.631961754603 -52.9064960683179 -90.6002070176569</f>
        <v>-713.1386648405778</v>
      </c>
      <c r="W576" t="s">
        <v>10993</v>
      </c>
      <c r="X576" t="s">
        <v>10994</v>
      </c>
      <c r="Y576" t="s">
        <v>10995</v>
      </c>
    </row>
    <row r="577" spans="1:25" x14ac:dyDescent="0.3">
      <c r="A577">
        <v>28800</v>
      </c>
      <c r="B577" t="s">
        <v>10996</v>
      </c>
      <c r="C577" t="s">
        <v>10997</v>
      </c>
      <c r="D577" t="s">
        <v>10998</v>
      </c>
      <c r="E577" t="s">
        <v>10999</v>
      </c>
      <c r="F577" t="s">
        <v>11000</v>
      </c>
      <c r="G577" t="s">
        <v>11001</v>
      </c>
      <c r="H577" t="s">
        <v>11002</v>
      </c>
      <c r="I577" t="s">
        <v>11003</v>
      </c>
      <c r="J577" t="s">
        <v>11004</v>
      </c>
      <c r="K577" t="s">
        <v>11005</v>
      </c>
      <c r="L577" t="s">
        <v>11006</v>
      </c>
      <c r="M577" t="s">
        <v>11007</v>
      </c>
      <c r="N577">
        <f>-632.892681559636 -2.17451924844886 -525.378628631563</f>
        <v>-1160.4458294396477</v>
      </c>
      <c r="O577">
        <f>-662.650740409387 -151.321944078893 -490.624120311929</f>
        <v>-1304.5968048002092</v>
      </c>
      <c r="P577">
        <f>-670.512128154276 -179.514735192745 -210.049715705878</f>
        <v>-1060.076579052899</v>
      </c>
      <c r="Q577">
        <f>-470.201323124124 -112.562554111763 -306.701362648815</f>
        <v>-889.46523988470199</v>
      </c>
      <c r="R577" t="s">
        <v>11008</v>
      </c>
      <c r="S577" t="s">
        <v>11009</v>
      </c>
      <c r="T577" t="s">
        <v>11010</v>
      </c>
      <c r="U577" t="s">
        <v>11011</v>
      </c>
      <c r="V577">
        <f>-569.38514855072 -53.1837680479061 -90.4259994120158</f>
        <v>-712.99491601064199</v>
      </c>
      <c r="W577" t="s">
        <v>11012</v>
      </c>
      <c r="X577" t="s">
        <v>11013</v>
      </c>
      <c r="Y577" t="s">
        <v>11014</v>
      </c>
    </row>
    <row r="578" spans="1:25" x14ac:dyDescent="0.3">
      <c r="A578">
        <v>28850</v>
      </c>
      <c r="B578" t="s">
        <v>11015</v>
      </c>
      <c r="C578" t="s">
        <v>11016</v>
      </c>
      <c r="D578" t="s">
        <v>11017</v>
      </c>
      <c r="E578" t="s">
        <v>11018</v>
      </c>
      <c r="F578" t="s">
        <v>11019</v>
      </c>
      <c r="G578" t="s">
        <v>11020</v>
      </c>
      <c r="H578" t="s">
        <v>11021</v>
      </c>
      <c r="I578" t="s">
        <v>11022</v>
      </c>
      <c r="J578" t="s">
        <v>11023</v>
      </c>
      <c r="K578" t="s">
        <v>11024</v>
      </c>
      <c r="L578" t="s">
        <v>11025</v>
      </c>
      <c r="M578" t="s">
        <v>11026</v>
      </c>
      <c r="N578">
        <f>-633.071616458442 -2.08697078593559 -525.320265019329</f>
        <v>-1160.4788522637066</v>
      </c>
      <c r="O578">
        <f>-662.859935270487 -151.245573979855 -490.638712597766</f>
        <v>-1304.7442218481081</v>
      </c>
      <c r="P578">
        <f>-670.481997864016 -179.614936604374 -210.075568793884</f>
        <v>-1060.1725032622739</v>
      </c>
      <c r="Q578">
        <f>-470.335386233699 -112.487675820956 -306.945678580329</f>
        <v>-889.76874063498394</v>
      </c>
      <c r="R578" t="s">
        <v>11027</v>
      </c>
      <c r="S578" t="s">
        <v>11028</v>
      </c>
      <c r="T578" t="s">
        <v>11029</v>
      </c>
      <c r="U578" t="s">
        <v>11030</v>
      </c>
      <c r="V578">
        <f>-569.456528024046 -53.2903079720284 -90.3710544490192</f>
        <v>-713.11789044509351</v>
      </c>
      <c r="W578" t="s">
        <v>11031</v>
      </c>
      <c r="X578" t="s">
        <v>11032</v>
      </c>
      <c r="Y578" t="s">
        <v>11033</v>
      </c>
    </row>
    <row r="579" spans="1:25" x14ac:dyDescent="0.3">
      <c r="A579">
        <v>28900</v>
      </c>
      <c r="B579" t="s">
        <v>11034</v>
      </c>
      <c r="C579" t="s">
        <v>11035</v>
      </c>
      <c r="D579" t="s">
        <v>11036</v>
      </c>
      <c r="E579" t="s">
        <v>11037</v>
      </c>
      <c r="F579" t="s">
        <v>11038</v>
      </c>
      <c r="G579" t="s">
        <v>11039</v>
      </c>
      <c r="H579" t="s">
        <v>11040</v>
      </c>
      <c r="I579" t="s">
        <v>11041</v>
      </c>
      <c r="J579" t="s">
        <v>11042</v>
      </c>
      <c r="K579" t="s">
        <v>11043</v>
      </c>
      <c r="L579" t="s">
        <v>11044</v>
      </c>
      <c r="M579" t="s">
        <v>11045</v>
      </c>
      <c r="N579">
        <f>-633.460709968322 -1.95560958336682 -525.331135466345</f>
        <v>-1160.7474550180339</v>
      </c>
      <c r="O579">
        <f>-663.288960377151 -151.13213316664 -490.789846947467</f>
        <v>-1305.210940491258</v>
      </c>
      <c r="P579">
        <f>-670.402623427323 -179.700639001403 -210.233619481562</f>
        <v>-1060.336881910288</v>
      </c>
      <c r="Q579">
        <f>-470.610906606653 -112.352071135033 -307.681001259999</f>
        <v>-890.64397900168501</v>
      </c>
      <c r="R579" t="s">
        <v>11046</v>
      </c>
      <c r="S579" t="s">
        <v>11047</v>
      </c>
      <c r="T579" t="s">
        <v>11048</v>
      </c>
      <c r="U579" t="s">
        <v>11049</v>
      </c>
      <c r="V579">
        <f>-569.889661698792 -53.4192757126291 -90.3831944068743</f>
        <v>-713.69213181829537</v>
      </c>
      <c r="W579" t="s">
        <v>11050</v>
      </c>
      <c r="X579" t="s">
        <v>11051</v>
      </c>
      <c r="Y579" t="s">
        <v>11052</v>
      </c>
    </row>
    <row r="580" spans="1:25" x14ac:dyDescent="0.3">
      <c r="A580">
        <v>28950</v>
      </c>
      <c r="B580" t="s">
        <v>11053</v>
      </c>
      <c r="C580" t="s">
        <v>11054</v>
      </c>
      <c r="D580" t="s">
        <v>11055</v>
      </c>
      <c r="E580" t="s">
        <v>11056</v>
      </c>
      <c r="F580" t="s">
        <v>11057</v>
      </c>
      <c r="G580" t="s">
        <v>11058</v>
      </c>
      <c r="H580" t="s">
        <v>11059</v>
      </c>
      <c r="I580" t="s">
        <v>11060</v>
      </c>
      <c r="J580" t="s">
        <v>11061</v>
      </c>
      <c r="K580" t="s">
        <v>11062</v>
      </c>
      <c r="L580" t="s">
        <v>11063</v>
      </c>
      <c r="M580" t="s">
        <v>11064</v>
      </c>
      <c r="N580">
        <f>-633.761576720824 -1.99371598871289 -525.372718798149</f>
        <v>-1161.1280115076859</v>
      </c>
      <c r="O580">
        <f>-663.565170843896 -151.188788881825 -490.888408878012</f>
        <v>-1305.6423686037328</v>
      </c>
      <c r="P580">
        <f>-670.54337122568 -179.884952416745 -210.34174018272</f>
        <v>-1060.7700638251449</v>
      </c>
      <c r="Q580">
        <f>-470.877242166489 -112.462289666565 -307.994983490259</f>
        <v>-891.3345153233131</v>
      </c>
      <c r="R580" t="s">
        <v>11065</v>
      </c>
      <c r="S580" t="s">
        <v>11066</v>
      </c>
      <c r="T580" t="s">
        <v>11067</v>
      </c>
      <c r="U580" t="s">
        <v>11068</v>
      </c>
      <c r="V580">
        <f>-570.144435301317 -53.5530143949741 -90.440120575164</f>
        <v>-714.13757027145505</v>
      </c>
      <c r="W580" t="s">
        <v>11069</v>
      </c>
      <c r="X580" t="s">
        <v>11070</v>
      </c>
      <c r="Y580" t="s">
        <v>11071</v>
      </c>
    </row>
    <row r="581" spans="1:25" x14ac:dyDescent="0.3">
      <c r="A581">
        <v>29000</v>
      </c>
      <c r="B581" t="s">
        <v>11072</v>
      </c>
      <c r="C581" t="s">
        <v>11073</v>
      </c>
      <c r="D581" t="s">
        <v>11074</v>
      </c>
      <c r="E581" t="s">
        <v>11075</v>
      </c>
      <c r="F581" t="s">
        <v>11076</v>
      </c>
      <c r="G581" t="s">
        <v>11077</v>
      </c>
      <c r="H581" t="s">
        <v>11078</v>
      </c>
      <c r="I581" t="s">
        <v>11079</v>
      </c>
      <c r="J581" t="s">
        <v>11080</v>
      </c>
      <c r="K581" t="s">
        <v>11081</v>
      </c>
      <c r="L581" t="s">
        <v>11082</v>
      </c>
      <c r="M581" t="s">
        <v>11083</v>
      </c>
      <c r="N581">
        <f>-634.46239942884 -1.99487960376723 -525.548456829401</f>
        <v>-1162.0057358620081</v>
      </c>
      <c r="O581">
        <f>-664.221613941753 -151.233097796477 -491.177784124062</f>
        <v>-1306.6324958622922</v>
      </c>
      <c r="P581">
        <f>-671.179306347737 -180.124717329956 -210.650763661128</f>
        <v>-1061.954787338821</v>
      </c>
      <c r="Q581">
        <f>-471.591217396443 -112.559669250027 -308.36523566751</f>
        <v>-892.51612231397996</v>
      </c>
      <c r="R581" t="s">
        <v>11084</v>
      </c>
      <c r="S581" t="s">
        <v>11085</v>
      </c>
      <c r="T581" t="s">
        <v>11086</v>
      </c>
      <c r="U581" t="s">
        <v>11087</v>
      </c>
      <c r="V581">
        <f>-570.748837134544 -53.8403740614535 -90.6013059001964</f>
        <v>-715.19051709619396</v>
      </c>
      <c r="W581" t="s">
        <v>11088</v>
      </c>
      <c r="X581" t="s">
        <v>11089</v>
      </c>
      <c r="Y581" t="s">
        <v>11090</v>
      </c>
    </row>
    <row r="582" spans="1:25" x14ac:dyDescent="0.3">
      <c r="A582">
        <v>29050</v>
      </c>
      <c r="B582" t="s">
        <v>11091</v>
      </c>
      <c r="C582" t="s">
        <v>11092</v>
      </c>
      <c r="D582" t="s">
        <v>11093</v>
      </c>
      <c r="E582" t="s">
        <v>11094</v>
      </c>
      <c r="F582" t="s">
        <v>11095</v>
      </c>
      <c r="G582" t="s">
        <v>11096</v>
      </c>
      <c r="H582" t="s">
        <v>11097</v>
      </c>
      <c r="I582" t="s">
        <v>11098</v>
      </c>
      <c r="J582" t="s">
        <v>11099</v>
      </c>
      <c r="K582" t="s">
        <v>11100</v>
      </c>
      <c r="L582" t="s">
        <v>11101</v>
      </c>
      <c r="M582" t="s">
        <v>11102</v>
      </c>
      <c r="N582">
        <f>-634.743024586681 -1.95505604677055 -525.663881510571</f>
        <v>-1162.3619621440225</v>
      </c>
      <c r="O582">
        <f>-664.508274169348 -151.211164884485 -491.393971536757</f>
        <v>-1307.1134105905901</v>
      </c>
      <c r="P582">
        <f>-671.554913020511 -180.269755131166 -210.886280252809</f>
        <v>-1062.7109484044859</v>
      </c>
      <c r="Q582">
        <f>-471.942251053885 -112.602183388652 -308.479611128977</f>
        <v>-893.02404557151397</v>
      </c>
      <c r="R582" t="s">
        <v>11103</v>
      </c>
      <c r="S582" t="s">
        <v>11104</v>
      </c>
      <c r="T582" t="s">
        <v>11105</v>
      </c>
      <c r="U582" t="s">
        <v>11106</v>
      </c>
      <c r="V582">
        <f>-571.107360097664 -53.9667424170727 -90.685759658488</f>
        <v>-715.75986217322475</v>
      </c>
      <c r="W582" t="s">
        <v>11107</v>
      </c>
      <c r="X582" t="s">
        <v>11108</v>
      </c>
      <c r="Y582" t="s">
        <v>11109</v>
      </c>
    </row>
    <row r="583" spans="1:25" x14ac:dyDescent="0.3">
      <c r="A583">
        <v>29100</v>
      </c>
      <c r="B583" t="s">
        <v>11110</v>
      </c>
      <c r="C583" t="s">
        <v>11111</v>
      </c>
      <c r="D583" t="s">
        <v>11112</v>
      </c>
      <c r="E583" t="s">
        <v>11113</v>
      </c>
      <c r="F583" t="s">
        <v>11114</v>
      </c>
      <c r="G583" t="s">
        <v>11115</v>
      </c>
      <c r="H583" t="s">
        <v>11116</v>
      </c>
      <c r="I583" t="s">
        <v>11117</v>
      </c>
      <c r="J583" t="s">
        <v>11118</v>
      </c>
      <c r="K583" t="s">
        <v>11119</v>
      </c>
      <c r="L583" t="s">
        <v>11120</v>
      </c>
      <c r="M583" t="s">
        <v>11121</v>
      </c>
      <c r="N583">
        <f>-634.850694414178 -1.89636202457723 -525.937314986257</f>
        <v>-1162.6843714250122</v>
      </c>
      <c r="O583">
        <f>-664.636208069456 -151.190627904874 -491.856612408234</f>
        <v>-1307.6834483825639</v>
      </c>
      <c r="P583">
        <f>-672.038545235912 -180.469988393564 -211.381196930538</f>
        <v>-1063.889730560014</v>
      </c>
      <c r="Q583">
        <f>-472.323261857343 -112.693896558404 -308.688627716873</f>
        <v>-893.70578613262001</v>
      </c>
      <c r="R583" t="s">
        <v>11122</v>
      </c>
      <c r="S583" t="s">
        <v>11123</v>
      </c>
      <c r="T583" t="s">
        <v>11124</v>
      </c>
      <c r="U583" t="s">
        <v>11125</v>
      </c>
      <c r="V583">
        <f>-571.768409183263 -54.0490377845017 -90.8576690729471</f>
        <v>-716.67511604071183</v>
      </c>
      <c r="W583" t="s">
        <v>11126</v>
      </c>
      <c r="X583" t="s">
        <v>11127</v>
      </c>
      <c r="Y583" t="s">
        <v>11128</v>
      </c>
    </row>
    <row r="584" spans="1:25" x14ac:dyDescent="0.3">
      <c r="A584">
        <v>29150</v>
      </c>
      <c r="B584" t="s">
        <v>11129</v>
      </c>
      <c r="C584" t="s">
        <v>11130</v>
      </c>
      <c r="D584" t="s">
        <v>11131</v>
      </c>
      <c r="E584" t="s">
        <v>11132</v>
      </c>
      <c r="F584" t="s">
        <v>11133</v>
      </c>
      <c r="G584" t="s">
        <v>11134</v>
      </c>
      <c r="H584" t="s">
        <v>11135</v>
      </c>
      <c r="I584" t="s">
        <v>11136</v>
      </c>
      <c r="J584" t="s">
        <v>11137</v>
      </c>
      <c r="K584" t="s">
        <v>11138</v>
      </c>
      <c r="L584" t="s">
        <v>11139</v>
      </c>
      <c r="M584" t="s">
        <v>11140</v>
      </c>
      <c r="N584">
        <f>-634.890118123755 -1.90181143707264 -526.055175384266</f>
        <v>-1162.8471049450936</v>
      </c>
      <c r="O584">
        <f>-664.691505512951 -151.199126355935 -492.013796943866</f>
        <v>-1307.904428812752</v>
      </c>
      <c r="P584">
        <f>-672.180759142232 -180.634314639023 -211.55695397056</f>
        <v>-1064.372027751815</v>
      </c>
      <c r="Q584">
        <f>-472.421774744135 -112.834445038158 -308.758117558518</f>
        <v>-894.01433734081093</v>
      </c>
      <c r="R584" t="s">
        <v>11141</v>
      </c>
      <c r="S584" t="s">
        <v>11142</v>
      </c>
      <c r="T584" t="s">
        <v>11143</v>
      </c>
      <c r="U584" t="s">
        <v>11144</v>
      </c>
      <c r="V584">
        <f>-572.041576741695 -54.0930376197002 -90.9399685599938</f>
        <v>-717.07458292138904</v>
      </c>
      <c r="W584" t="s">
        <v>11145</v>
      </c>
      <c r="X584" t="s">
        <v>11146</v>
      </c>
      <c r="Y584" t="s">
        <v>11147</v>
      </c>
    </row>
    <row r="585" spans="1:25" x14ac:dyDescent="0.3">
      <c r="A585">
        <v>29200</v>
      </c>
      <c r="B585" t="s">
        <v>11148</v>
      </c>
      <c r="C585" t="s">
        <v>11149</v>
      </c>
      <c r="D585" t="s">
        <v>11150</v>
      </c>
      <c r="E585" t="s">
        <v>11151</v>
      </c>
      <c r="F585" t="s">
        <v>11152</v>
      </c>
      <c r="G585" t="s">
        <v>11153</v>
      </c>
      <c r="H585" t="s">
        <v>11154</v>
      </c>
      <c r="I585" t="s">
        <v>11155</v>
      </c>
      <c r="J585" t="s">
        <v>11156</v>
      </c>
      <c r="K585" t="s">
        <v>11157</v>
      </c>
      <c r="L585" t="s">
        <v>11158</v>
      </c>
      <c r="M585" t="s">
        <v>11159</v>
      </c>
      <c r="N585">
        <f>-635.267244878671 -2.0388565395906 -526.172440436906</f>
        <v>-1163.4785418551676</v>
      </c>
      <c r="O585">
        <f>-665.04712399316 -151.363513346053 -492.218627782938</f>
        <v>-1308.6292651221509</v>
      </c>
      <c r="P585">
        <f>-672.358020089333 -181.021848700835 -211.780408000831</f>
        <v>-1065.160276790999</v>
      </c>
      <c r="Q585">
        <f>-472.635121212285 -113.121566549062 -308.985572129738</f>
        <v>-894.74225989108504</v>
      </c>
      <c r="R585" t="s">
        <v>11160</v>
      </c>
      <c r="S585" t="s">
        <v>11161</v>
      </c>
      <c r="T585" t="s">
        <v>11162</v>
      </c>
      <c r="U585" t="s">
        <v>11163</v>
      </c>
      <c r="V585">
        <f>-572.480793375642 -54.179218247295 -91.0441487271122</f>
        <v>-717.70416035004916</v>
      </c>
      <c r="W585" t="s">
        <v>11164</v>
      </c>
      <c r="X585" t="s">
        <v>11165</v>
      </c>
      <c r="Y585" t="s">
        <v>11166</v>
      </c>
    </row>
    <row r="586" spans="1:25" x14ac:dyDescent="0.3">
      <c r="A586">
        <v>29250</v>
      </c>
      <c r="B586" t="s">
        <v>11167</v>
      </c>
      <c r="C586" t="s">
        <v>11168</v>
      </c>
      <c r="D586" t="s">
        <v>11169</v>
      </c>
      <c r="E586" t="s">
        <v>11170</v>
      </c>
      <c r="F586" t="s">
        <v>11171</v>
      </c>
      <c r="G586" t="s">
        <v>11172</v>
      </c>
      <c r="H586" t="s">
        <v>11173</v>
      </c>
      <c r="I586" t="s">
        <v>11174</v>
      </c>
      <c r="J586" t="s">
        <v>11175</v>
      </c>
      <c r="K586" t="s">
        <v>11176</v>
      </c>
      <c r="L586" t="s">
        <v>11177</v>
      </c>
      <c r="M586" t="s">
        <v>11178</v>
      </c>
      <c r="N586">
        <f>-635.616088611722 -2.01505654167568 -526.203106663978</f>
        <v>-1163.8342518173758</v>
      </c>
      <c r="O586">
        <f>-665.416185680862 -151.351324301656 -492.297054378013</f>
        <v>-1309.064564360531</v>
      </c>
      <c r="P586">
        <f>-672.468860031487 -180.989656505264 -211.850140831838</f>
        <v>-1065.3086573685889</v>
      </c>
      <c r="Q586">
        <f>-472.797000328522 -113.126998391916 -309.186269227666</f>
        <v>-895.11026794810402</v>
      </c>
      <c r="R586" t="s">
        <v>11179</v>
      </c>
      <c r="S586" t="s">
        <v>11180</v>
      </c>
      <c r="T586" t="s">
        <v>11181</v>
      </c>
      <c r="U586" t="s">
        <v>11182</v>
      </c>
      <c r="V586">
        <f>-572.649174111687 -54.2166942373683 -91.0823739725057</f>
        <v>-717.948242321561</v>
      </c>
      <c r="W586" t="s">
        <v>11183</v>
      </c>
      <c r="X586" t="s">
        <v>11184</v>
      </c>
      <c r="Y586" t="s">
        <v>11185</v>
      </c>
    </row>
    <row r="587" spans="1:25" x14ac:dyDescent="0.3">
      <c r="A587">
        <v>29300</v>
      </c>
      <c r="B587" t="s">
        <v>11186</v>
      </c>
      <c r="C587" t="s">
        <v>11187</v>
      </c>
      <c r="D587" t="s">
        <v>11188</v>
      </c>
      <c r="E587" t="s">
        <v>11189</v>
      </c>
      <c r="F587" t="s">
        <v>11190</v>
      </c>
      <c r="G587" t="s">
        <v>11191</v>
      </c>
      <c r="H587" t="s">
        <v>11192</v>
      </c>
      <c r="I587" t="s">
        <v>11193</v>
      </c>
      <c r="J587" t="s">
        <v>11194</v>
      </c>
      <c r="K587" t="s">
        <v>11195</v>
      </c>
      <c r="L587" t="s">
        <v>11196</v>
      </c>
      <c r="M587" t="s">
        <v>11197</v>
      </c>
      <c r="N587">
        <f>-636.515268875593 -1.87470691997396 -526.189286335894</f>
        <v>-1164.5792621314611</v>
      </c>
      <c r="O587">
        <f>-666.346980861993 -151.209402357483 -492.319555164882</f>
        <v>-1309.8759383843581</v>
      </c>
      <c r="P587">
        <f>-672.854542303724 -180.799992261249 -211.854612006434</f>
        <v>-1065.509146571407</v>
      </c>
      <c r="Q587">
        <f>-473.401899340305 -112.96948490667 -309.661612241804</f>
        <v>-896.03299648877896</v>
      </c>
      <c r="R587" t="s">
        <v>11198</v>
      </c>
      <c r="S587" t="s">
        <v>11199</v>
      </c>
      <c r="T587" t="s">
        <v>11200</v>
      </c>
      <c r="U587" t="s">
        <v>11201</v>
      </c>
      <c r="V587">
        <f>-572.962801049395 -54.2374854235698 -91.1334642649042</f>
        <v>-718.33375073786897</v>
      </c>
      <c r="W587" t="s">
        <v>11202</v>
      </c>
      <c r="X587" t="s">
        <v>11203</v>
      </c>
      <c r="Y587" t="s">
        <v>11204</v>
      </c>
    </row>
    <row r="588" spans="1:25" x14ac:dyDescent="0.3">
      <c r="A588">
        <v>29350</v>
      </c>
      <c r="B588" t="s">
        <v>11205</v>
      </c>
      <c r="C588" t="s">
        <v>11206</v>
      </c>
      <c r="D588" t="s">
        <v>11207</v>
      </c>
      <c r="E588" t="s">
        <v>11208</v>
      </c>
      <c r="F588" t="s">
        <v>11209</v>
      </c>
      <c r="G588" t="s">
        <v>11210</v>
      </c>
      <c r="H588" t="s">
        <v>11211</v>
      </c>
      <c r="I588" t="s">
        <v>11212</v>
      </c>
      <c r="J588" t="s">
        <v>11213</v>
      </c>
      <c r="K588" t="s">
        <v>11214</v>
      </c>
      <c r="L588" t="s">
        <v>11215</v>
      </c>
      <c r="M588" t="s">
        <v>11216</v>
      </c>
      <c r="N588">
        <f>-636.925301689132 -1.79512890021101 -526.186065035336</f>
        <v>-1164.9064956246789</v>
      </c>
      <c r="O588">
        <f>-666.790938396295 -151.123268575861 -492.309443795501</f>
        <v>-1310.2236507676571</v>
      </c>
      <c r="P588">
        <f>-673.091430881096 -180.733857187383 -211.841839977661</f>
        <v>-1065.6671280461401</v>
      </c>
      <c r="Q588">
        <f>-473.679950524409 -113.010670101976 -309.807038544184</f>
        <v>-896.49765917056902</v>
      </c>
      <c r="R588" t="s">
        <v>11217</v>
      </c>
      <c r="S588" t="s">
        <v>11218</v>
      </c>
      <c r="T588" t="s">
        <v>11219</v>
      </c>
      <c r="U588" t="s">
        <v>11220</v>
      </c>
      <c r="V588">
        <f>-573.140367927736 -54.2636518658758 -91.162419937228</f>
        <v>-718.56643973083976</v>
      </c>
      <c r="W588" t="s">
        <v>11221</v>
      </c>
      <c r="X588" t="s">
        <v>11222</v>
      </c>
      <c r="Y588" t="s">
        <v>11223</v>
      </c>
    </row>
    <row r="589" spans="1:25" x14ac:dyDescent="0.3">
      <c r="A589">
        <v>29400</v>
      </c>
      <c r="B589" t="s">
        <v>11224</v>
      </c>
      <c r="C589" t="s">
        <v>11225</v>
      </c>
      <c r="D589" t="s">
        <v>11226</v>
      </c>
      <c r="E589" t="s">
        <v>11227</v>
      </c>
      <c r="F589" t="s">
        <v>11228</v>
      </c>
      <c r="G589" t="s">
        <v>11229</v>
      </c>
      <c r="H589" t="s">
        <v>11230</v>
      </c>
      <c r="I589" t="s">
        <v>11231</v>
      </c>
      <c r="J589" t="s">
        <v>11232</v>
      </c>
      <c r="K589" t="s">
        <v>11233</v>
      </c>
      <c r="L589" t="s">
        <v>11234</v>
      </c>
      <c r="M589" t="s">
        <v>11235</v>
      </c>
      <c r="N589">
        <f>-637.479915532627 -1.68388555618481 -526.213386366058</f>
        <v>-1165.3771874548697</v>
      </c>
      <c r="O589">
        <f>-667.316480003078 -150.999689053014 -492.284566787923</f>
        <v>-1310.6007358440149</v>
      </c>
      <c r="P589">
        <f>-673.641689137965 -180.643112415652 -211.821040254874</f>
        <v>-1066.105841808491</v>
      </c>
      <c r="Q589">
        <f>-474.281268204907 -112.988024366031 -309.936862672399</f>
        <v>-897.20615524333698</v>
      </c>
      <c r="R589" t="s">
        <v>11236</v>
      </c>
      <c r="S589" t="s">
        <v>11237</v>
      </c>
      <c r="T589" t="s">
        <v>11238</v>
      </c>
      <c r="U589" t="s">
        <v>11239</v>
      </c>
      <c r="V589">
        <f>-573.715327318781 -54.1936812206038 -91.2053114205033</f>
        <v>-719.11431995988812</v>
      </c>
      <c r="W589" t="s">
        <v>11240</v>
      </c>
      <c r="X589" t="s">
        <v>11241</v>
      </c>
      <c r="Y589" t="s">
        <v>11242</v>
      </c>
    </row>
    <row r="590" spans="1:25" x14ac:dyDescent="0.3">
      <c r="A590">
        <v>29450</v>
      </c>
      <c r="B590" t="s">
        <v>11243</v>
      </c>
      <c r="C590" t="s">
        <v>11244</v>
      </c>
      <c r="D590" t="s">
        <v>11245</v>
      </c>
      <c r="E590" t="s">
        <v>11246</v>
      </c>
      <c r="F590" t="s">
        <v>11247</v>
      </c>
      <c r="G590" t="s">
        <v>11248</v>
      </c>
      <c r="H590" t="s">
        <v>11249</v>
      </c>
      <c r="I590" t="s">
        <v>11250</v>
      </c>
      <c r="J590" t="s">
        <v>11251</v>
      </c>
      <c r="K590" t="s">
        <v>11252</v>
      </c>
      <c r="L590" t="s">
        <v>11253</v>
      </c>
      <c r="M590" t="s">
        <v>11254</v>
      </c>
      <c r="N590">
        <f>-637.610997058122 -1.75677427813548 -526.265062728829</f>
        <v>-1165.6328340650866</v>
      </c>
      <c r="O590">
        <f>-667.461511329777 -151.057116889597 -492.291903564851</f>
        <v>-1310.8105317842251</v>
      </c>
      <c r="P590">
        <f>-673.924527482492 -180.829699955305 -211.845089234077</f>
        <v>-1066.599316671874</v>
      </c>
      <c r="Q590">
        <f>-474.586196273165 -113.067510955396 -309.932086881416</f>
        <v>-897.58579410997697</v>
      </c>
      <c r="R590" t="s">
        <v>11255</v>
      </c>
      <c r="S590" t="s">
        <v>11256</v>
      </c>
      <c r="T590" t="s">
        <v>11257</v>
      </c>
      <c r="U590" t="s">
        <v>11258</v>
      </c>
      <c r="V590">
        <f>-574.021969424049 -54.160684035091 -91.2359662644179</f>
        <v>-719.41861972355787</v>
      </c>
      <c r="W590" t="s">
        <v>11259</v>
      </c>
      <c r="X590" t="s">
        <v>11260</v>
      </c>
      <c r="Y590" t="s">
        <v>11261</v>
      </c>
    </row>
    <row r="591" spans="1:25" x14ac:dyDescent="0.3">
      <c r="A591">
        <v>29500</v>
      </c>
      <c r="B591" t="s">
        <v>11262</v>
      </c>
      <c r="C591" t="s">
        <v>11263</v>
      </c>
      <c r="D591" t="s">
        <v>11264</v>
      </c>
      <c r="E591" t="s">
        <v>11265</v>
      </c>
      <c r="F591" t="s">
        <v>11266</v>
      </c>
      <c r="G591" t="s">
        <v>11267</v>
      </c>
      <c r="H591" t="s">
        <v>11268</v>
      </c>
      <c r="I591" t="s">
        <v>11269</v>
      </c>
      <c r="J591" t="s">
        <v>11270</v>
      </c>
      <c r="K591" t="s">
        <v>11271</v>
      </c>
      <c r="L591" t="s">
        <v>11272</v>
      </c>
      <c r="M591" t="s">
        <v>11273</v>
      </c>
      <c r="N591">
        <f>-637.713635501032 -1.98606841193669 -526.402251740265</f>
        <v>-1166.1019556532337</v>
      </c>
      <c r="O591">
        <f>-667.66104203233 -151.243087023254 -492.320100403304</f>
        <v>-1311.224229458888</v>
      </c>
      <c r="P591">
        <f>-674.188967356225 -181.215067450349 -211.896084639884</f>
        <v>-1067.300119446458</v>
      </c>
      <c r="Q591">
        <f>-474.857203197715 -113.250040687779 -309.85609324597</f>
        <v>-897.96333713146396</v>
      </c>
      <c r="R591" t="s">
        <v>11274</v>
      </c>
      <c r="S591" t="s">
        <v>11275</v>
      </c>
      <c r="T591" t="s">
        <v>11276</v>
      </c>
      <c r="U591" t="s">
        <v>11277</v>
      </c>
      <c r="V591">
        <f>-574.615463023361 -54.02700768926 -91.3106771463846</f>
        <v>-719.95314785900564</v>
      </c>
      <c r="W591" t="s">
        <v>11278</v>
      </c>
      <c r="X591" t="s">
        <v>11279</v>
      </c>
      <c r="Y591" t="s">
        <v>11280</v>
      </c>
    </row>
    <row r="592" spans="1:25" x14ac:dyDescent="0.3">
      <c r="A592">
        <v>29550</v>
      </c>
      <c r="B592" t="s">
        <v>11281</v>
      </c>
      <c r="C592" t="s">
        <v>11282</v>
      </c>
      <c r="D592" t="s">
        <v>11283</v>
      </c>
      <c r="E592" t="s">
        <v>11284</v>
      </c>
      <c r="F592" t="s">
        <v>11285</v>
      </c>
      <c r="G592" t="s">
        <v>11286</v>
      </c>
      <c r="H592" t="s">
        <v>11287</v>
      </c>
      <c r="I592" t="s">
        <v>11288</v>
      </c>
      <c r="J592" t="s">
        <v>11289</v>
      </c>
      <c r="K592" t="s">
        <v>11290</v>
      </c>
      <c r="L592" t="s">
        <v>11291</v>
      </c>
      <c r="M592" t="s">
        <v>11292</v>
      </c>
      <c r="N592">
        <f>-637.649481972345 -2.11015425326991 -526.449114866461</f>
        <v>-1166.208751092076</v>
      </c>
      <c r="O592">
        <f>-667.628393827969 -151.34348783191 -492.286290019028</f>
        <v>-1311.258171678907</v>
      </c>
      <c r="P592">
        <f>-674.016572128363 -181.1524869109 -211.841568256523</f>
        <v>-1067.010627295786</v>
      </c>
      <c r="Q592">
        <f>-474.461485369574 -113.587944815081 -309.623662724822</f>
        <v>-897.67309290947696</v>
      </c>
      <c r="R592" t="s">
        <v>11293</v>
      </c>
      <c r="S592" t="s">
        <v>11294</v>
      </c>
      <c r="T592" t="s">
        <v>11295</v>
      </c>
      <c r="U592" t="s">
        <v>11296</v>
      </c>
      <c r="V592">
        <f>-574.807066993593 -53.9098553841802 -91.328895674241</f>
        <v>-720.04581805201428</v>
      </c>
      <c r="W592" t="s">
        <v>11297</v>
      </c>
      <c r="X592" t="s">
        <v>11298</v>
      </c>
      <c r="Y592" t="s">
        <v>11299</v>
      </c>
    </row>
    <row r="593" spans="1:25" x14ac:dyDescent="0.3">
      <c r="A593">
        <v>29600</v>
      </c>
      <c r="B593" t="s">
        <v>11300</v>
      </c>
      <c r="C593" t="s">
        <v>11301</v>
      </c>
      <c r="D593" t="s">
        <v>11302</v>
      </c>
      <c r="E593" t="s">
        <v>11303</v>
      </c>
      <c r="F593" t="s">
        <v>11304</v>
      </c>
      <c r="G593" t="s">
        <v>11305</v>
      </c>
      <c r="H593" t="s">
        <v>11306</v>
      </c>
      <c r="I593" t="s">
        <v>11307</v>
      </c>
      <c r="J593" t="s">
        <v>11308</v>
      </c>
      <c r="K593" t="s">
        <v>11309</v>
      </c>
      <c r="L593" t="s">
        <v>11310</v>
      </c>
      <c r="M593" t="s">
        <v>11311</v>
      </c>
      <c r="N593">
        <f>-637.648281161223 -2.48476753571072 -526.504034616703</f>
        <v>-1166.6370833136368</v>
      </c>
      <c r="O593">
        <f>-667.606522876487 -151.668872794907 -492.101092931184</f>
        <v>-1311.3764886025779</v>
      </c>
      <c r="P593">
        <f>-673.491882944997 -181.170230618798 -211.612907454834</f>
        <v>-1066.2750210186289</v>
      </c>
      <c r="Q593">
        <f>-473.602378035304 -114.233650032465 -309.143451825149</f>
        <v>-896.97947989291799</v>
      </c>
      <c r="R593" t="s">
        <v>11312</v>
      </c>
      <c r="S593" t="s">
        <v>11313</v>
      </c>
      <c r="T593" t="s">
        <v>11314</v>
      </c>
      <c r="U593" t="s">
        <v>11315</v>
      </c>
      <c r="V593">
        <f>-575.033321381896 -53.8415995549137 -91.3700623503107</f>
        <v>-720.24498328712048</v>
      </c>
      <c r="W593" t="s">
        <v>11316</v>
      </c>
      <c r="X593" t="s">
        <v>11317</v>
      </c>
      <c r="Y593" t="s">
        <v>11318</v>
      </c>
    </row>
    <row r="594" spans="1:25" x14ac:dyDescent="0.3">
      <c r="A594">
        <v>29650</v>
      </c>
      <c r="B594" t="s">
        <v>11319</v>
      </c>
      <c r="C594" t="s">
        <v>11320</v>
      </c>
      <c r="D594" t="s">
        <v>11321</v>
      </c>
      <c r="E594" t="s">
        <v>11322</v>
      </c>
      <c r="F594" t="s">
        <v>11323</v>
      </c>
      <c r="G594" t="s">
        <v>11324</v>
      </c>
      <c r="H594" t="s">
        <v>11325</v>
      </c>
      <c r="I594" t="s">
        <v>11326</v>
      </c>
      <c r="J594" t="s">
        <v>11327</v>
      </c>
      <c r="K594" t="s">
        <v>11328</v>
      </c>
      <c r="L594" t="s">
        <v>11329</v>
      </c>
      <c r="M594" t="s">
        <v>11330</v>
      </c>
      <c r="N594">
        <f>-637.651242653832 -2.63195893511966 -526.510356723187</f>
        <v>-1166.7935583121387</v>
      </c>
      <c r="O594">
        <f>-667.554287985775 -151.818412553751 -492.047096197531</f>
        <v>-1311.4197967370569</v>
      </c>
      <c r="P594">
        <f>-673.176808703069 -181.321372949682 -211.55376066143</f>
        <v>-1066.0519423141809</v>
      </c>
      <c r="Q594">
        <f>-473.038719623467 -114.757058269204 -308.828911268145</f>
        <v>-896.62468916081605</v>
      </c>
      <c r="R594" t="s">
        <v>11331</v>
      </c>
      <c r="S594" t="s">
        <v>11332</v>
      </c>
      <c r="T594" t="s">
        <v>11333</v>
      </c>
      <c r="U594" t="s">
        <v>11334</v>
      </c>
      <c r="V594">
        <f>-575.061124498997 -53.8301289731794 -91.3823220655549</f>
        <v>-720.27357553773129</v>
      </c>
      <c r="W594" t="s">
        <v>11335</v>
      </c>
      <c r="X594" t="s">
        <v>11336</v>
      </c>
      <c r="Y594" t="s">
        <v>11337</v>
      </c>
    </row>
    <row r="595" spans="1:25" x14ac:dyDescent="0.3">
      <c r="A595">
        <v>29700</v>
      </c>
      <c r="B595" t="s">
        <v>11338</v>
      </c>
      <c r="C595" t="s">
        <v>11339</v>
      </c>
      <c r="D595" t="s">
        <v>11340</v>
      </c>
      <c r="E595" t="s">
        <v>11341</v>
      </c>
      <c r="F595" t="s">
        <v>11342</v>
      </c>
      <c r="G595" t="s">
        <v>11343</v>
      </c>
      <c r="H595" t="s">
        <v>11344</v>
      </c>
      <c r="I595" t="s">
        <v>11345</v>
      </c>
      <c r="J595" t="s">
        <v>11346</v>
      </c>
      <c r="K595" t="s">
        <v>11347</v>
      </c>
      <c r="L595" t="s">
        <v>11348</v>
      </c>
      <c r="M595" t="s">
        <v>11349</v>
      </c>
      <c r="N595">
        <f>-637.754996483592 -2.58710234224191 -526.499884580331</f>
        <v>-1166.8419834061649</v>
      </c>
      <c r="O595">
        <f>-667.543263324668 -151.784829630449 -491.994785912111</f>
        <v>-1311.3228788672279</v>
      </c>
      <c r="P595">
        <f>-672.14392787714 -181.530569207341 -211.508381910311</f>
        <v>-1065.182878994792</v>
      </c>
      <c r="Q595">
        <f>-471.340869283963 -115.512061266688 -307.780073321043</f>
        <v>-894.63300387169397</v>
      </c>
      <c r="R595" t="s">
        <v>11350</v>
      </c>
      <c r="S595" t="s">
        <v>11351</v>
      </c>
      <c r="T595" t="s">
        <v>11352</v>
      </c>
      <c r="U595" t="s">
        <v>11353</v>
      </c>
      <c r="V595">
        <f>-575.020528015516 -53.7975182893465 -91.3781221951371</f>
        <v>-720.19616849999954</v>
      </c>
      <c r="W595" t="s">
        <v>11354</v>
      </c>
      <c r="X595" t="s">
        <v>11355</v>
      </c>
      <c r="Y595" t="s">
        <v>11356</v>
      </c>
    </row>
    <row r="596" spans="1:25" x14ac:dyDescent="0.3">
      <c r="A596">
        <v>29750</v>
      </c>
      <c r="B596" t="s">
        <v>11357</v>
      </c>
      <c r="C596" t="s">
        <v>11358</v>
      </c>
      <c r="D596" t="s">
        <v>11359</v>
      </c>
      <c r="E596" t="s">
        <v>11360</v>
      </c>
      <c r="F596" t="s">
        <v>11361</v>
      </c>
      <c r="G596" t="s">
        <v>11362</v>
      </c>
      <c r="H596" t="s">
        <v>11363</v>
      </c>
      <c r="I596" t="s">
        <v>11364</v>
      </c>
      <c r="J596" t="s">
        <v>11365</v>
      </c>
      <c r="K596" t="s">
        <v>11366</v>
      </c>
      <c r="L596" t="s">
        <v>11367</v>
      </c>
      <c r="M596" t="s">
        <v>11368</v>
      </c>
      <c r="N596">
        <f>-637.767500447258 -2.63292538371957 -526.495518852709</f>
        <v>-1166.8959446836866</v>
      </c>
      <c r="O596">
        <f>-667.438014237457 -151.848621027927 -491.973080961308</f>
        <v>-1311.259716226692</v>
      </c>
      <c r="P596">
        <f>-671.563207360211 -181.34201711472 -211.452759312665</f>
        <v>-1064.3579837875959</v>
      </c>
      <c r="Q596">
        <f>-470.627366867068 -115.565358419575 -307.612734610867</f>
        <v>-893.80545989750999</v>
      </c>
      <c r="R596" t="s">
        <v>11369</v>
      </c>
      <c r="S596" t="s">
        <v>11370</v>
      </c>
      <c r="T596" t="s">
        <v>11371</v>
      </c>
      <c r="U596" t="s">
        <v>11372</v>
      </c>
      <c r="V596">
        <f>-574.976361418509 -53.7985472246787 -91.3771967437078</f>
        <v>-720.15210538689553</v>
      </c>
      <c r="W596" t="s">
        <v>11373</v>
      </c>
      <c r="X596" t="s">
        <v>11374</v>
      </c>
      <c r="Y596" t="s">
        <v>11375</v>
      </c>
    </row>
    <row r="597" spans="1:25" x14ac:dyDescent="0.3">
      <c r="A597">
        <v>29800</v>
      </c>
      <c r="B597" t="s">
        <v>11376</v>
      </c>
      <c r="C597" t="s">
        <v>11377</v>
      </c>
      <c r="D597" t="s">
        <v>11378</v>
      </c>
      <c r="E597" t="s">
        <v>11379</v>
      </c>
      <c r="F597" t="s">
        <v>11380</v>
      </c>
      <c r="G597" t="s">
        <v>11381</v>
      </c>
      <c r="H597" t="s">
        <v>11382</v>
      </c>
      <c r="I597" t="s">
        <v>11383</v>
      </c>
      <c r="J597" t="s">
        <v>11384</v>
      </c>
      <c r="K597" t="s">
        <v>11385</v>
      </c>
      <c r="L597" t="s">
        <v>11386</v>
      </c>
      <c r="M597" t="s">
        <v>11387</v>
      </c>
      <c r="N597">
        <f>-637.499510242332 -2.71683437604293 -526.495503821379</f>
        <v>-1166.7118484397538</v>
      </c>
      <c r="O597">
        <f>-666.969080364532 -151.973609775468 -491.954770501567</f>
        <v>-1310.897460641567</v>
      </c>
      <c r="P597">
        <f>-670.998007287542 -180.568762955575 -211.340003186941</f>
        <v>-1062.9067734300581</v>
      </c>
      <c r="Q597">
        <f>-469.469209707082 -116.706506719598 -307.549593226474</f>
        <v>-893.725309653154</v>
      </c>
      <c r="R597" t="s">
        <v>11388</v>
      </c>
      <c r="S597" t="s">
        <v>11389</v>
      </c>
      <c r="T597" t="s">
        <v>11390</v>
      </c>
      <c r="U597" t="s">
        <v>11391</v>
      </c>
      <c r="V597">
        <f>-574.763880445418 -53.7547173875087 -91.3607052913475</f>
        <v>-719.87930312427409</v>
      </c>
      <c r="W597" t="s">
        <v>11392</v>
      </c>
      <c r="X597" t="s">
        <v>11393</v>
      </c>
      <c r="Y597" t="s">
        <v>11394</v>
      </c>
    </row>
    <row r="598" spans="1:25" x14ac:dyDescent="0.3">
      <c r="A598">
        <v>29850</v>
      </c>
      <c r="B598" t="s">
        <v>11395</v>
      </c>
      <c r="C598" t="s">
        <v>11396</v>
      </c>
      <c r="D598" t="s">
        <v>11397</v>
      </c>
      <c r="E598" t="s">
        <v>11398</v>
      </c>
      <c r="F598" t="s">
        <v>11399</v>
      </c>
      <c r="G598" t="s">
        <v>11400</v>
      </c>
      <c r="H598" t="s">
        <v>11401</v>
      </c>
      <c r="I598" t="s">
        <v>11402</v>
      </c>
      <c r="J598" t="s">
        <v>11403</v>
      </c>
      <c r="K598" t="s">
        <v>11404</v>
      </c>
      <c r="L598" t="s">
        <v>11405</v>
      </c>
      <c r="M598" t="s">
        <v>11406</v>
      </c>
      <c r="N598">
        <f>-637.295948418541 -2.78537008998569 -526.493857160726</f>
        <v>-1166.5751756692525</v>
      </c>
      <c r="O598">
        <f>-666.694126174261 -152.047149908468 -491.923362653381</f>
        <v>-1310.66463873611</v>
      </c>
      <c r="P598">
        <f>-671.107426309653 -180.383390860215 -211.28804507735</f>
        <v>-1062.7788622472181</v>
      </c>
      <c r="Q598">
        <f>-469.371185167144 -117.603069643349 -307.774760599536</f>
        <v>-894.74901541002896</v>
      </c>
      <c r="R598" t="s">
        <v>11407</v>
      </c>
      <c r="S598" t="s">
        <v>11408</v>
      </c>
      <c r="T598" t="s">
        <v>11409</v>
      </c>
      <c r="U598" t="s">
        <v>11410</v>
      </c>
      <c r="V598">
        <f>-574.622364793304 -53.715211418589 -91.341934032581</f>
        <v>-719.67951024447393</v>
      </c>
      <c r="W598" t="s">
        <v>11411</v>
      </c>
      <c r="X598" t="s">
        <v>11412</v>
      </c>
      <c r="Y598" t="s">
        <v>11413</v>
      </c>
    </row>
    <row r="599" spans="1:25" x14ac:dyDescent="0.3">
      <c r="A599">
        <v>29900</v>
      </c>
      <c r="B599" t="s">
        <v>11414</v>
      </c>
      <c r="C599" t="s">
        <v>11415</v>
      </c>
      <c r="D599" t="s">
        <v>11416</v>
      </c>
      <c r="E599" t="s">
        <v>11417</v>
      </c>
      <c r="F599" t="s">
        <v>11418</v>
      </c>
      <c r="G599" t="s">
        <v>11419</v>
      </c>
      <c r="H599" t="s">
        <v>11420</v>
      </c>
      <c r="I599" t="s">
        <v>11421</v>
      </c>
      <c r="J599" t="s">
        <v>11422</v>
      </c>
      <c r="K599" t="s">
        <v>11423</v>
      </c>
      <c r="L599" t="s">
        <v>11424</v>
      </c>
      <c r="M599" t="s">
        <v>11425</v>
      </c>
      <c r="N599">
        <f>-636.821024893651 -2.73197415625191 -526.513344032954</f>
        <v>-1166.066343082857</v>
      </c>
      <c r="O599">
        <f>-666.139595999918 -152.034582160029 -492.057163320516</f>
        <v>-1310.231341480463</v>
      </c>
      <c r="P599">
        <f>-672.050501330911 -180.68386724904 -211.481122421747</f>
        <v>-1064.215491001698</v>
      </c>
      <c r="Q599">
        <f>-470.372712671368 -117.746262739829 -307.987351369418</f>
        <v>-896.10632678061495</v>
      </c>
      <c r="R599" t="s">
        <v>11426</v>
      </c>
      <c r="S599" t="s">
        <v>11427</v>
      </c>
      <c r="T599" t="s">
        <v>11428</v>
      </c>
      <c r="U599" t="s">
        <v>11429</v>
      </c>
      <c r="V599">
        <f>-574.341282358716 -53.6346475281537 -91.2835905062813</f>
        <v>-719.25952039315086</v>
      </c>
      <c r="W599" t="s">
        <v>11430</v>
      </c>
      <c r="X599" t="s">
        <v>11431</v>
      </c>
      <c r="Y599" t="s">
        <v>11432</v>
      </c>
    </row>
    <row r="600" spans="1:25" x14ac:dyDescent="0.3">
      <c r="A600">
        <v>29950</v>
      </c>
      <c r="B600" t="s">
        <v>11433</v>
      </c>
      <c r="C600" t="s">
        <v>11434</v>
      </c>
      <c r="D600" t="s">
        <v>11435</v>
      </c>
      <c r="E600" t="s">
        <v>11436</v>
      </c>
      <c r="F600" t="s">
        <v>11437</v>
      </c>
      <c r="G600" t="s">
        <v>11438</v>
      </c>
      <c r="H600" t="s">
        <v>11439</v>
      </c>
      <c r="I600" t="s">
        <v>11440</v>
      </c>
      <c r="J600" t="s">
        <v>11441</v>
      </c>
      <c r="K600" t="s">
        <v>11442</v>
      </c>
      <c r="L600" t="s">
        <v>11443</v>
      </c>
      <c r="M600" t="s">
        <v>11444</v>
      </c>
      <c r="N600">
        <f>-636.398957554928 -2.79331006152529 -526.54541066528</f>
        <v>-1165.7376782817332</v>
      </c>
      <c r="O600">
        <f>-665.688603753984 -152.114776131264 -492.173840931134</f>
        <v>-1309.977220816382</v>
      </c>
      <c r="P600">
        <f>-672.433089115204 -180.999566442778 -211.64087505833</f>
        <v>-1065.0735306163119</v>
      </c>
      <c r="Q600">
        <f>-470.956440960227 -117.148115461804 -307.96665044947</f>
        <v>-896.07120687150109</v>
      </c>
      <c r="R600" t="s">
        <v>11445</v>
      </c>
      <c r="S600" t="s">
        <v>11446</v>
      </c>
      <c r="T600" t="s">
        <v>11447</v>
      </c>
      <c r="U600" t="s">
        <v>11448</v>
      </c>
      <c r="V600">
        <f>-574.230387275972 -53.6492524573955 -91.2423295219546</f>
        <v>-719.12196925532214</v>
      </c>
      <c r="W600" t="s">
        <v>11449</v>
      </c>
      <c r="X600" t="s">
        <v>11450</v>
      </c>
      <c r="Y600" t="s">
        <v>11451</v>
      </c>
    </row>
    <row r="601" spans="1:25" x14ac:dyDescent="0.3">
      <c r="A601">
        <v>30000</v>
      </c>
      <c r="B601" t="s">
        <v>11452</v>
      </c>
      <c r="C601" t="s">
        <v>11453</v>
      </c>
      <c r="D601" t="s">
        <v>11454</v>
      </c>
      <c r="E601" t="s">
        <v>11455</v>
      </c>
      <c r="F601" t="s">
        <v>11456</v>
      </c>
      <c r="G601" t="s">
        <v>11457</v>
      </c>
      <c r="H601" t="s">
        <v>11458</v>
      </c>
      <c r="I601" t="s">
        <v>11459</v>
      </c>
      <c r="J601" t="s">
        <v>11460</v>
      </c>
      <c r="K601" t="s">
        <v>11461</v>
      </c>
      <c r="L601" t="s">
        <v>11462</v>
      </c>
      <c r="M601" t="s">
        <v>11463</v>
      </c>
      <c r="N601">
        <f>-635.592631648683 -3.10976718532606 -526.566837723258</f>
        <v>-1165.269236557267</v>
      </c>
      <c r="O601">
        <f>-665.023825563043 -152.430211995916 -492.301409565889</f>
        <v>-1309.7554471248482</v>
      </c>
      <c r="P601">
        <f>-672.464989280423 -181.208240719989 -211.775052339839</f>
        <v>-1065.4482823402509</v>
      </c>
      <c r="Q601">
        <f>-471.31879763443 -116.19018145567 -308.011096090945</f>
        <v>-895.52007518104494</v>
      </c>
      <c r="R601" t="s">
        <v>11464</v>
      </c>
      <c r="S601" t="s">
        <v>11465</v>
      </c>
      <c r="T601" t="s">
        <v>11466</v>
      </c>
      <c r="U601" t="s">
        <v>11467</v>
      </c>
      <c r="V601">
        <f>-573.983609544722 -53.8209744575518 -91.1642881523201</f>
        <v>-718.96887215459378</v>
      </c>
      <c r="W601" t="s">
        <v>11468</v>
      </c>
      <c r="X601" t="s">
        <v>11469</v>
      </c>
      <c r="Y601" t="s">
        <v>11470</v>
      </c>
    </row>
    <row r="602" spans="1:25" x14ac:dyDescent="0.3">
      <c r="A602">
        <v>30050</v>
      </c>
      <c r="B602" t="s">
        <v>11471</v>
      </c>
      <c r="C602" t="s">
        <v>11472</v>
      </c>
      <c r="D602" t="s">
        <v>11473</v>
      </c>
      <c r="E602" t="s">
        <v>11474</v>
      </c>
      <c r="F602" t="s">
        <v>11475</v>
      </c>
      <c r="G602" t="s">
        <v>11476</v>
      </c>
      <c r="H602" t="s">
        <v>11477</v>
      </c>
      <c r="I602" t="s">
        <v>11478</v>
      </c>
      <c r="J602" t="s">
        <v>11479</v>
      </c>
      <c r="K602" t="s">
        <v>11480</v>
      </c>
      <c r="L602" t="s">
        <v>11481</v>
      </c>
      <c r="M602" t="s">
        <v>11482</v>
      </c>
      <c r="N602">
        <f>-635.316500471407 -3.37518759055934 -526.532008592908</f>
        <v>-1165.2236966548744</v>
      </c>
      <c r="O602">
        <f>-664.786547084574 -152.673919425023 -492.231786525425</f>
        <v>-1309.6922530350218</v>
      </c>
      <c r="P602">
        <f>-672.204869595541 -181.376901430293 -211.69718536048</f>
        <v>-1065.2789563863141</v>
      </c>
      <c r="Q602">
        <f>-471.193969868895 -116.206865687104 -308.113039872937</f>
        <v>-895.51387542893599</v>
      </c>
      <c r="R602" t="s">
        <v>11483</v>
      </c>
      <c r="S602" t="s">
        <v>11484</v>
      </c>
      <c r="T602" t="s">
        <v>11485</v>
      </c>
      <c r="U602" t="s">
        <v>11486</v>
      </c>
      <c r="V602">
        <f>-573.870643628218 -53.9866506280262 -91.1139744843296</f>
        <v>-718.97126874057369</v>
      </c>
      <c r="W602" t="s">
        <v>11487</v>
      </c>
      <c r="X602" t="s">
        <v>11488</v>
      </c>
      <c r="Y602" t="s">
        <v>11489</v>
      </c>
    </row>
    <row r="603" spans="1:25" x14ac:dyDescent="0.3">
      <c r="A603">
        <v>30100</v>
      </c>
      <c r="B603" t="s">
        <v>11490</v>
      </c>
      <c r="C603" t="s">
        <v>11491</v>
      </c>
      <c r="D603" t="s">
        <v>11492</v>
      </c>
      <c r="E603" t="s">
        <v>11493</v>
      </c>
      <c r="F603" t="s">
        <v>11494</v>
      </c>
      <c r="G603" t="s">
        <v>11495</v>
      </c>
      <c r="H603" t="s">
        <v>11496</v>
      </c>
      <c r="I603" t="s">
        <v>11497</v>
      </c>
      <c r="J603" t="s">
        <v>11498</v>
      </c>
      <c r="K603" t="s">
        <v>11499</v>
      </c>
      <c r="L603" t="s">
        <v>11500</v>
      </c>
      <c r="M603" t="s">
        <v>11501</v>
      </c>
      <c r="N603">
        <f>-634.977105372575 -3.81641918806417 -526.530286295579</f>
        <v>-1165.3238108562182</v>
      </c>
      <c r="O603">
        <f>-664.513270528488 -153.114087767601 -492.222159505479</f>
        <v>-1309.8495178015678</v>
      </c>
      <c r="P603">
        <f>-671.404890859201 -181.688847072049 -211.660953441985</f>
        <v>-1064.7546913732349</v>
      </c>
      <c r="Q603">
        <f>-470.768628661803 -116.309790033068 -308.713569837408</f>
        <v>-895.79198853227899</v>
      </c>
      <c r="R603" t="s">
        <v>11502</v>
      </c>
      <c r="S603" t="s">
        <v>11503</v>
      </c>
      <c r="T603" t="s">
        <v>11504</v>
      </c>
      <c r="U603" t="s">
        <v>11505</v>
      </c>
      <c r="V603">
        <f>-573.734083868001 -54.3412444590786 -91.085164846883</f>
        <v>-719.16049317396255</v>
      </c>
      <c r="W603" t="s">
        <v>11506</v>
      </c>
      <c r="X603" t="s">
        <v>11507</v>
      </c>
      <c r="Y603" t="s">
        <v>11508</v>
      </c>
    </row>
    <row r="604" spans="1:25" x14ac:dyDescent="0.3">
      <c r="A604">
        <v>30150</v>
      </c>
      <c r="B604" t="s">
        <v>11509</v>
      </c>
      <c r="C604" t="s">
        <v>11510</v>
      </c>
      <c r="D604" t="s">
        <v>11511</v>
      </c>
      <c r="E604" t="s">
        <v>11512</v>
      </c>
      <c r="F604" t="s">
        <v>11513</v>
      </c>
      <c r="G604" t="s">
        <v>11514</v>
      </c>
      <c r="H604" t="s">
        <v>11515</v>
      </c>
      <c r="I604" t="s">
        <v>11516</v>
      </c>
      <c r="J604" t="s">
        <v>11517</v>
      </c>
      <c r="K604" t="s">
        <v>11518</v>
      </c>
      <c r="L604" t="s">
        <v>11519</v>
      </c>
      <c r="M604" t="s">
        <v>11520</v>
      </c>
      <c r="N604">
        <f>-634.88747412667 -3.87612511712155 -526.560306708864</f>
        <v>-1165.3239059526554</v>
      </c>
      <c r="O604">
        <f>-664.441586462374 -153.184320384941 -492.33010266767</f>
        <v>-1309.956009514985</v>
      </c>
      <c r="P604">
        <f>-671.120496411556 -181.854213952973 -211.773395888967</f>
        <v>-1064.7481062534962</v>
      </c>
      <c r="Q604">
        <f>-470.621845147426 -116.328283087346 -309.011115598807</f>
        <v>-895.96124383357892</v>
      </c>
      <c r="R604" t="s">
        <v>11521</v>
      </c>
      <c r="S604" t="s">
        <v>11522</v>
      </c>
      <c r="T604" t="s">
        <v>11523</v>
      </c>
      <c r="U604" t="s">
        <v>11524</v>
      </c>
      <c r="V604">
        <f>-573.708518613332 -54.487261088143 -91.0939786012391</f>
        <v>-719.28975830271406</v>
      </c>
      <c r="W604" t="s">
        <v>11525</v>
      </c>
      <c r="X604" t="s">
        <v>11526</v>
      </c>
      <c r="Y604" t="s">
        <v>11527</v>
      </c>
    </row>
    <row r="605" spans="1:25" x14ac:dyDescent="0.3">
      <c r="A605">
        <v>30200</v>
      </c>
      <c r="B605" t="s">
        <v>11528</v>
      </c>
      <c r="C605" t="s">
        <v>11529</v>
      </c>
      <c r="D605" t="s">
        <v>11530</v>
      </c>
      <c r="E605" t="s">
        <v>11531</v>
      </c>
      <c r="F605" t="s">
        <v>11532</v>
      </c>
      <c r="G605" t="s">
        <v>11533</v>
      </c>
      <c r="H605" t="s">
        <v>11534</v>
      </c>
      <c r="I605" t="s">
        <v>11535</v>
      </c>
      <c r="J605" t="s">
        <v>11536</v>
      </c>
      <c r="K605" t="s">
        <v>11537</v>
      </c>
      <c r="L605" t="s">
        <v>11538</v>
      </c>
      <c r="M605" t="s">
        <v>11539</v>
      </c>
      <c r="N605">
        <f>-634.748504076162 -3.92955141259972 -526.639366369278</f>
        <v>-1165.3174218580398</v>
      </c>
      <c r="O605">
        <f>-664.233945416276 -153.293238613327 -492.58394879036</f>
        <v>-1310.1111328199629</v>
      </c>
      <c r="P605">
        <f>-670.849392411521 -182.483877907862 -212.079548128622</f>
        <v>-1065.4128184480051</v>
      </c>
      <c r="Q605">
        <f>-470.533969820872 -116.464156247776 -309.360918237299</f>
        <v>-896.35904430594701</v>
      </c>
      <c r="R605" t="s">
        <v>11540</v>
      </c>
      <c r="S605" t="s">
        <v>11541</v>
      </c>
      <c r="T605" t="s">
        <v>11542</v>
      </c>
      <c r="U605" t="s">
        <v>11543</v>
      </c>
      <c r="V605">
        <f>-573.663392971541 -54.6921118273049 -91.1273310735112</f>
        <v>-719.4828358723571</v>
      </c>
      <c r="W605" t="s">
        <v>11544</v>
      </c>
      <c r="X605" t="s">
        <v>11545</v>
      </c>
      <c r="Y605" t="s">
        <v>11546</v>
      </c>
    </row>
    <row r="606" spans="1:25" x14ac:dyDescent="0.3">
      <c r="A606">
        <v>30250</v>
      </c>
      <c r="B606" t="s">
        <v>11547</v>
      </c>
      <c r="C606" t="s">
        <v>11548</v>
      </c>
      <c r="D606" t="s">
        <v>11549</v>
      </c>
      <c r="E606" t="s">
        <v>11550</v>
      </c>
      <c r="F606" t="s">
        <v>11551</v>
      </c>
      <c r="G606" t="s">
        <v>11552</v>
      </c>
      <c r="H606" t="s">
        <v>11553</v>
      </c>
      <c r="I606" t="s">
        <v>11554</v>
      </c>
      <c r="J606" t="s">
        <v>11555</v>
      </c>
      <c r="K606" t="s">
        <v>11556</v>
      </c>
      <c r="L606" t="s">
        <v>11557</v>
      </c>
      <c r="M606" t="s">
        <v>11558</v>
      </c>
      <c r="N606">
        <f>-634.760154714939 -3.93978369373735 -526.69198045984</f>
        <v>-1165.3919188685163</v>
      </c>
      <c r="O606">
        <f>-664.184116100106 -153.32746578122 -492.72084201937</f>
        <v>-1310.2324239006962</v>
      </c>
      <c r="P606">
        <f>-670.883359216916 -182.842404103377 -212.25239184296</f>
        <v>-1065.9781551632529</v>
      </c>
      <c r="Q606">
        <f>-470.656779030697 -116.46532268111 -309.473525873115</f>
        <v>-896.595627584922</v>
      </c>
      <c r="R606" t="s">
        <v>11559</v>
      </c>
      <c r="S606" t="s">
        <v>11560</v>
      </c>
      <c r="T606" t="s">
        <v>11561</v>
      </c>
      <c r="U606" t="s">
        <v>11562</v>
      </c>
      <c r="V606">
        <f>-573.649193341112 -54.7380456500946 -91.1559682854332</f>
        <v>-719.54320727663981</v>
      </c>
      <c r="W606" t="s">
        <v>11563</v>
      </c>
      <c r="X606" t="s">
        <v>11564</v>
      </c>
      <c r="Y606" t="s">
        <v>11565</v>
      </c>
    </row>
    <row r="607" spans="1:25" x14ac:dyDescent="0.3">
      <c r="A607">
        <v>30300</v>
      </c>
      <c r="B607" t="s">
        <v>11566</v>
      </c>
      <c r="C607" t="s">
        <v>11567</v>
      </c>
      <c r="D607" t="s">
        <v>11568</v>
      </c>
      <c r="E607" t="s">
        <v>11569</v>
      </c>
      <c r="F607" t="s">
        <v>11570</v>
      </c>
      <c r="G607" t="s">
        <v>11571</v>
      </c>
      <c r="H607" t="s">
        <v>11572</v>
      </c>
      <c r="I607" t="s">
        <v>11573</v>
      </c>
      <c r="J607" t="s">
        <v>11574</v>
      </c>
      <c r="K607" t="s">
        <v>11575</v>
      </c>
      <c r="L607" t="s">
        <v>11576</v>
      </c>
      <c r="M607" t="s">
        <v>11577</v>
      </c>
      <c r="N607">
        <f>-634.80656473758 -3.88448412970524 -526.806681233525</f>
        <v>-1165.4977301008103</v>
      </c>
      <c r="O607">
        <f>-664.036579909606 -153.357357242281 -493.013859480328</f>
        <v>-1310.407796632215</v>
      </c>
      <c r="P607">
        <f>-670.823919024247 -183.343092738186 -212.597426545844</f>
        <v>-1066.764438308277</v>
      </c>
      <c r="Q607">
        <f>-470.803371126616 -116.123554380753 -309.663561891993</f>
        <v>-896.59048739936202</v>
      </c>
      <c r="R607" t="s">
        <v>11578</v>
      </c>
      <c r="S607" t="s">
        <v>11579</v>
      </c>
      <c r="T607" t="s">
        <v>11580</v>
      </c>
      <c r="U607" t="s">
        <v>11581</v>
      </c>
      <c r="V607">
        <f>-573.631499384087 -54.7734327055371 -91.2142474551982</f>
        <v>-719.61917954482226</v>
      </c>
      <c r="W607" t="s">
        <v>11582</v>
      </c>
      <c r="X607" t="s">
        <v>11583</v>
      </c>
      <c r="Y607" t="s">
        <v>11584</v>
      </c>
    </row>
    <row r="608" spans="1:25" x14ac:dyDescent="0.3">
      <c r="A608">
        <v>30350</v>
      </c>
      <c r="B608" t="s">
        <v>11585</v>
      </c>
      <c r="C608" t="s">
        <v>11586</v>
      </c>
      <c r="D608" t="s">
        <v>11587</v>
      </c>
      <c r="E608" t="s">
        <v>11588</v>
      </c>
      <c r="F608" t="s">
        <v>11589</v>
      </c>
      <c r="G608" t="s">
        <v>11590</v>
      </c>
      <c r="H608" t="s">
        <v>11591</v>
      </c>
      <c r="I608" t="s">
        <v>11592</v>
      </c>
      <c r="J608" t="s">
        <v>11593</v>
      </c>
      <c r="K608" t="s">
        <v>11594</v>
      </c>
      <c r="L608" t="s">
        <v>11595</v>
      </c>
      <c r="M608" t="s">
        <v>11596</v>
      </c>
      <c r="N608">
        <f>-634.95725538184 -3.78874095384822 -526.851770226576</f>
        <v>-1165.5977665622643</v>
      </c>
      <c r="O608">
        <f>-664.090187801892 -153.29061727212 -493.146304296202</f>
        <v>-1310.527109370214</v>
      </c>
      <c r="P608">
        <f>-670.746872724166 -183.42895021712 -212.743051799717</f>
        <v>-1066.918874741003</v>
      </c>
      <c r="Q608">
        <f>-470.847179695173 -115.82510149531 -309.791253801787</f>
        <v>-896.46353499226996</v>
      </c>
      <c r="R608" t="s">
        <v>11597</v>
      </c>
      <c r="S608" t="s">
        <v>11598</v>
      </c>
      <c r="T608" t="s">
        <v>11599</v>
      </c>
      <c r="U608" t="s">
        <v>11600</v>
      </c>
      <c r="V608">
        <f>-573.629774170057 -54.7878200356597 -91.2398589176883</f>
        <v>-719.65745312340493</v>
      </c>
      <c r="W608" t="s">
        <v>11601</v>
      </c>
      <c r="X608" t="s">
        <v>11602</v>
      </c>
      <c r="Y608" t="s">
        <v>11603</v>
      </c>
    </row>
    <row r="609" spans="1:25" x14ac:dyDescent="0.3">
      <c r="A609">
        <v>30400</v>
      </c>
      <c r="B609" t="s">
        <v>11604</v>
      </c>
      <c r="C609" t="s">
        <v>11605</v>
      </c>
      <c r="D609" t="s">
        <v>11606</v>
      </c>
      <c r="E609" t="s">
        <v>11607</v>
      </c>
      <c r="F609" t="s">
        <v>11608</v>
      </c>
      <c r="G609" t="s">
        <v>11609</v>
      </c>
      <c r="H609" t="s">
        <v>11610</v>
      </c>
      <c r="I609" t="s">
        <v>11611</v>
      </c>
      <c r="J609" t="s">
        <v>11612</v>
      </c>
      <c r="K609" t="s">
        <v>11613</v>
      </c>
      <c r="L609" t="s">
        <v>11614</v>
      </c>
      <c r="M609" t="s">
        <v>11615</v>
      </c>
      <c r="N609">
        <f>-635.513285606535 -3.57456860061802 -526.897438340194</f>
        <v>-1165.9852925473469</v>
      </c>
      <c r="O609">
        <f>-664.270576860495 -153.203476102995 -493.405428761158</f>
        <v>-1310.879481724648</v>
      </c>
      <c r="P609">
        <f>-670.630045196978 -183.796837004806 -213.044705642956</f>
        <v>-1067.47158784474</v>
      </c>
      <c r="Q609">
        <f>-471.07354535456 -115.159157507128 -310.073531344463</f>
        <v>-896.30623420615098</v>
      </c>
      <c r="R609" t="s">
        <v>11616</v>
      </c>
      <c r="S609" t="s">
        <v>11617</v>
      </c>
      <c r="T609" t="s">
        <v>11618</v>
      </c>
      <c r="U609" t="s">
        <v>11619</v>
      </c>
      <c r="V609">
        <f>-573.662281438028 -54.762763117235 -91.2748894450887</f>
        <v>-719.69993400035162</v>
      </c>
      <c r="W609" t="s">
        <v>11620</v>
      </c>
      <c r="X609" t="s">
        <v>11621</v>
      </c>
      <c r="Y609" t="s">
        <v>11622</v>
      </c>
    </row>
    <row r="610" spans="1:25" x14ac:dyDescent="0.3">
      <c r="A610">
        <v>30450</v>
      </c>
      <c r="B610" t="s">
        <v>11623</v>
      </c>
      <c r="C610" t="s">
        <v>11624</v>
      </c>
      <c r="D610" t="s">
        <v>11625</v>
      </c>
      <c r="E610" t="s">
        <v>11626</v>
      </c>
      <c r="F610" t="s">
        <v>11627</v>
      </c>
      <c r="G610" t="s">
        <v>11628</v>
      </c>
      <c r="H610" t="s">
        <v>11629</v>
      </c>
      <c r="I610" t="s">
        <v>11630</v>
      </c>
      <c r="J610" t="s">
        <v>11631</v>
      </c>
      <c r="K610" t="s">
        <v>11632</v>
      </c>
      <c r="L610" t="s">
        <v>11633</v>
      </c>
      <c r="M610" t="s">
        <v>11634</v>
      </c>
      <c r="N610">
        <f>-635.803439437816 -3.49554974196917 -526.914886714397</f>
        <v>-1166.2138758941821</v>
      </c>
      <c r="O610">
        <f>-664.375669783619 -153.188362196277 -493.547765459279</f>
        <v>-1311.111797439175</v>
      </c>
      <c r="P610">
        <f>-670.555198981655 -184.140262755808 -213.222331094787</f>
        <v>-1067.9177928322501</v>
      </c>
      <c r="Q610">
        <f>-471.214960081297 -114.781482201309 -310.183007828469</f>
        <v>-896.17945011107508</v>
      </c>
      <c r="R610" t="s">
        <v>11635</v>
      </c>
      <c r="S610" t="s">
        <v>11636</v>
      </c>
      <c r="T610" t="s">
        <v>11637</v>
      </c>
      <c r="U610" t="s">
        <v>11638</v>
      </c>
      <c r="V610">
        <f>-573.70856066275 -54.7971565269258 -91.2870333638266</f>
        <v>-719.7927505535024</v>
      </c>
      <c r="W610" t="s">
        <v>11639</v>
      </c>
      <c r="X610" t="s">
        <v>11640</v>
      </c>
      <c r="Y610" t="s">
        <v>11641</v>
      </c>
    </row>
    <row r="611" spans="1:25" x14ac:dyDescent="0.3">
      <c r="A611">
        <v>30500</v>
      </c>
      <c r="B611" t="s">
        <v>11642</v>
      </c>
      <c r="C611" t="s">
        <v>11643</v>
      </c>
      <c r="D611" t="s">
        <v>11644</v>
      </c>
      <c r="E611" t="s">
        <v>11645</v>
      </c>
      <c r="F611" t="s">
        <v>11646</v>
      </c>
      <c r="G611" t="s">
        <v>11647</v>
      </c>
      <c r="H611" t="s">
        <v>11648</v>
      </c>
      <c r="I611" t="s">
        <v>11649</v>
      </c>
      <c r="J611" t="s">
        <v>11650</v>
      </c>
      <c r="K611" t="s">
        <v>11651</v>
      </c>
      <c r="L611" t="s">
        <v>11652</v>
      </c>
      <c r="M611" t="s">
        <v>11653</v>
      </c>
      <c r="N611">
        <f>-636.353945147555 -3.21902580981191 -526.969967420812</f>
        <v>-1166.5429383781789</v>
      </c>
      <c r="O611">
        <f>-664.618158260939 -153.029720909014 -493.874398216612</f>
        <v>-1311.5222773865651</v>
      </c>
      <c r="P611">
        <f>-670.484612581084 -184.889487198418 -213.643915886593</f>
        <v>-1069.0180156660949</v>
      </c>
      <c r="Q611">
        <f>-471.553406950113 -114.082400256633 -310.397299751191</f>
        <v>-896.03310695793698</v>
      </c>
      <c r="R611" t="s">
        <v>11654</v>
      </c>
      <c r="S611" t="s">
        <v>11655</v>
      </c>
      <c r="T611" t="s">
        <v>11656</v>
      </c>
      <c r="U611" t="s">
        <v>11657</v>
      </c>
      <c r="V611">
        <f>-573.892558416181 -54.8078430818757 -91.3282381583633</f>
        <v>-720.02863965642007</v>
      </c>
      <c r="W611" t="s">
        <v>11658</v>
      </c>
      <c r="X611" t="s">
        <v>11659</v>
      </c>
      <c r="Y611" t="s">
        <v>11660</v>
      </c>
    </row>
    <row r="612" spans="1:25" x14ac:dyDescent="0.3">
      <c r="A612">
        <v>30550</v>
      </c>
      <c r="B612" t="s">
        <v>11661</v>
      </c>
      <c r="C612" t="s">
        <v>11662</v>
      </c>
      <c r="D612" t="s">
        <v>11663</v>
      </c>
      <c r="E612" t="s">
        <v>11664</v>
      </c>
      <c r="F612" t="s">
        <v>11665</v>
      </c>
      <c r="G612" t="s">
        <v>11666</v>
      </c>
      <c r="H612" t="s">
        <v>11667</v>
      </c>
      <c r="I612" t="s">
        <v>11668</v>
      </c>
      <c r="J612" t="s">
        <v>11669</v>
      </c>
      <c r="K612" t="s">
        <v>11670</v>
      </c>
      <c r="L612" t="s">
        <v>11671</v>
      </c>
      <c r="M612" t="s">
        <v>11672</v>
      </c>
      <c r="N612">
        <f>-636.661604191429 -3.01044811110819 -526.995342907508</f>
        <v>-1166.667395210045</v>
      </c>
      <c r="O612">
        <f>-664.757303532858 -152.891634250451 -494.068885714838</f>
        <v>-1311.717823498147</v>
      </c>
      <c r="P612">
        <f>-670.631958419448 -185.156948461338 -213.884908575342</f>
        <v>-1069.6738154561281</v>
      </c>
      <c r="Q612">
        <f>-471.84231477472 -113.644102285679 -310.410244713075</f>
        <v>-895.89666177347408</v>
      </c>
      <c r="R612" t="s">
        <v>11673</v>
      </c>
      <c r="S612" t="s">
        <v>11674</v>
      </c>
      <c r="T612" t="s">
        <v>11675</v>
      </c>
      <c r="U612" t="s">
        <v>11676</v>
      </c>
      <c r="V612">
        <f>-574.000430473267 -54.824843828962 -91.348184594578</f>
        <v>-720.17345889680701</v>
      </c>
      <c r="W612" t="s">
        <v>11677</v>
      </c>
      <c r="X612" t="s">
        <v>11678</v>
      </c>
      <c r="Y612" t="s">
        <v>11679</v>
      </c>
    </row>
    <row r="613" spans="1:25" x14ac:dyDescent="0.3">
      <c r="A613">
        <v>30600</v>
      </c>
      <c r="B613" t="s">
        <v>11680</v>
      </c>
      <c r="C613" t="s">
        <v>11681</v>
      </c>
      <c r="D613" t="s">
        <v>11682</v>
      </c>
      <c r="E613" t="s">
        <v>11683</v>
      </c>
      <c r="F613" t="s">
        <v>11684</v>
      </c>
      <c r="G613" t="s">
        <v>11685</v>
      </c>
      <c r="H613" t="s">
        <v>11686</v>
      </c>
      <c r="I613" t="s">
        <v>11687</v>
      </c>
      <c r="J613" t="s">
        <v>11688</v>
      </c>
      <c r="K613" t="s">
        <v>11689</v>
      </c>
      <c r="L613" t="s">
        <v>11690</v>
      </c>
      <c r="M613" t="s">
        <v>11691</v>
      </c>
      <c r="N613">
        <f>-637.18039923713 -2.6303423602867 -527.07287622219</f>
        <v>-1166.8836178196066</v>
      </c>
      <c r="O613">
        <f>-665.104199259017 -152.622974291214 -494.49804346423</f>
        <v>-1312.2252170144611</v>
      </c>
      <c r="P613">
        <f>-670.767652538098 -185.741662531831 -214.409476902798</f>
        <v>-1070.9187919727269</v>
      </c>
      <c r="Q613">
        <f>-472.371261702161 -112.718643540817 -310.612410144365</f>
        <v>-895.70231538734311</v>
      </c>
      <c r="R613" t="s">
        <v>11692</v>
      </c>
      <c r="S613" t="s">
        <v>11693</v>
      </c>
      <c r="T613" t="s">
        <v>11694</v>
      </c>
      <c r="U613" t="s">
        <v>11695</v>
      </c>
      <c r="V613">
        <f>-574.288048257133 -54.9078864404109 -91.3904167884536</f>
        <v>-720.58635148599762</v>
      </c>
      <c r="W613" t="s">
        <v>11696</v>
      </c>
      <c r="X613" t="s">
        <v>11697</v>
      </c>
      <c r="Y613" t="s">
        <v>11698</v>
      </c>
    </row>
    <row r="614" spans="1:25" x14ac:dyDescent="0.3">
      <c r="A614">
        <v>30650</v>
      </c>
      <c r="B614" t="s">
        <v>11699</v>
      </c>
      <c r="C614" t="s">
        <v>11700</v>
      </c>
      <c r="D614" t="s">
        <v>11701</v>
      </c>
      <c r="E614" t="s">
        <v>11702</v>
      </c>
      <c r="F614" t="s">
        <v>11703</v>
      </c>
      <c r="G614" t="s">
        <v>11704</v>
      </c>
      <c r="H614" t="s">
        <v>11705</v>
      </c>
      <c r="I614" t="s">
        <v>11706</v>
      </c>
      <c r="J614" t="s">
        <v>11707</v>
      </c>
      <c r="K614" t="s">
        <v>11708</v>
      </c>
      <c r="L614" t="s">
        <v>11709</v>
      </c>
      <c r="M614" t="s">
        <v>11710</v>
      </c>
      <c r="N614">
        <f>-637.450078255414 -2.42005885906406 -527.100475735596</f>
        <v>-1166.9706128500741</v>
      </c>
      <c r="O614">
        <f>-665.32846148896 -152.458457480038 -494.705963352865</f>
        <v>-1312.4928823218629</v>
      </c>
      <c r="P614">
        <f>-670.815825414124 -185.931606589359 -214.655949487659</f>
        <v>-1071.403381491142</v>
      </c>
      <c r="Q614">
        <f>-472.677947704509 -112.141439774806 -310.806509381497</f>
        <v>-895.62589686081196</v>
      </c>
      <c r="R614" t="s">
        <v>11711</v>
      </c>
      <c r="S614" t="s">
        <v>11712</v>
      </c>
      <c r="T614" t="s">
        <v>11713</v>
      </c>
      <c r="U614" t="s">
        <v>11714</v>
      </c>
      <c r="V614">
        <f>-574.4432643479 -54.8731158293308 -91.39989281424</f>
        <v>-720.71627299147087</v>
      </c>
      <c r="W614" t="s">
        <v>11715</v>
      </c>
      <c r="X614" t="s">
        <v>11716</v>
      </c>
      <c r="Y614" t="s">
        <v>11717</v>
      </c>
    </row>
    <row r="615" spans="1:25" x14ac:dyDescent="0.3">
      <c r="A615">
        <v>30700</v>
      </c>
      <c r="B615" t="s">
        <v>11718</v>
      </c>
      <c r="C615" t="s">
        <v>11719</v>
      </c>
      <c r="D615" t="s">
        <v>11720</v>
      </c>
      <c r="E615" t="s">
        <v>11721</v>
      </c>
      <c r="F615" t="s">
        <v>11722</v>
      </c>
      <c r="G615" t="s">
        <v>11723</v>
      </c>
      <c r="H615" t="s">
        <v>11724</v>
      </c>
      <c r="I615" t="s">
        <v>11725</v>
      </c>
      <c r="J615" t="s">
        <v>11726</v>
      </c>
      <c r="K615" t="s">
        <v>11727</v>
      </c>
      <c r="L615" t="s">
        <v>11728</v>
      </c>
      <c r="M615" t="s">
        <v>11729</v>
      </c>
      <c r="N615">
        <f>-638.157178333679 -1.81523209666602 -527.121567076353</f>
        <v>-1167.0939775066981</v>
      </c>
      <c r="O615">
        <f>-666.011721244238 -151.925202741734 -495.038069001385</f>
        <v>-1312.9749929873569</v>
      </c>
      <c r="P615">
        <f>-670.928555490918 -186.057447382142 -215.057145620194</f>
        <v>-1072.043148493254</v>
      </c>
      <c r="Q615">
        <f>-473.270825851159 -111.144650482671 -311.327685964159</f>
        <v>-895.74316229798887</v>
      </c>
      <c r="R615" t="s">
        <v>11730</v>
      </c>
      <c r="S615" t="s">
        <v>11731</v>
      </c>
      <c r="T615" t="s">
        <v>11732</v>
      </c>
      <c r="U615" t="s">
        <v>11733</v>
      </c>
      <c r="V615">
        <f>-574.779840531133 -54.7682742262768 -91.423863607858</f>
        <v>-720.97197836526789</v>
      </c>
      <c r="W615" t="s">
        <v>11734</v>
      </c>
      <c r="X615" t="s">
        <v>11735</v>
      </c>
      <c r="Y615" t="s">
        <v>11736</v>
      </c>
    </row>
    <row r="616" spans="1:25" x14ac:dyDescent="0.3">
      <c r="A616">
        <v>30750</v>
      </c>
      <c r="B616" t="s">
        <v>11737</v>
      </c>
      <c r="C616" t="s">
        <v>11738</v>
      </c>
      <c r="D616" t="s">
        <v>11739</v>
      </c>
      <c r="E616" t="s">
        <v>11740</v>
      </c>
      <c r="F616" t="s">
        <v>11741</v>
      </c>
      <c r="G616" t="s">
        <v>11742</v>
      </c>
      <c r="H616" t="s">
        <v>11743</v>
      </c>
      <c r="I616" t="s">
        <v>11744</v>
      </c>
      <c r="J616" t="s">
        <v>11745</v>
      </c>
      <c r="K616" t="s">
        <v>11746</v>
      </c>
      <c r="L616" t="s">
        <v>11747</v>
      </c>
      <c r="M616" t="s">
        <v>11748</v>
      </c>
      <c r="N616">
        <f>-638.541862508193 -1.49322424143088 -527.142255129209</f>
        <v>-1167.177341878833</v>
      </c>
      <c r="O616">
        <f>-666.40802253245 -151.624980243588 -495.179756091511</f>
        <v>-1313.2127588675489</v>
      </c>
      <c r="P616">
        <f>-671.034903602838 -185.956145469047 -215.218159135828</f>
        <v>-1072.2092082077129</v>
      </c>
      <c r="Q616">
        <f>-473.526868771533 -110.758140401671 -311.573636701868</f>
        <v>-895.85864587507194</v>
      </c>
      <c r="R616" t="s">
        <v>11749</v>
      </c>
      <c r="S616" t="s">
        <v>11750</v>
      </c>
      <c r="T616" t="s">
        <v>11751</v>
      </c>
      <c r="U616" t="s">
        <v>11752</v>
      </c>
      <c r="V616">
        <f>-574.962793755447 -54.7651876037319 -91.4409438121005</f>
        <v>-721.1689251712794</v>
      </c>
      <c r="W616" t="s">
        <v>11753</v>
      </c>
      <c r="X616" t="s">
        <v>11754</v>
      </c>
      <c r="Y616" t="s">
        <v>11755</v>
      </c>
    </row>
    <row r="617" spans="1:25" x14ac:dyDescent="0.3">
      <c r="A617">
        <v>30800</v>
      </c>
      <c r="B617" t="s">
        <v>11756</v>
      </c>
      <c r="C617" t="s">
        <v>11757</v>
      </c>
      <c r="D617" t="s">
        <v>11758</v>
      </c>
      <c r="E617" t="s">
        <v>11759</v>
      </c>
      <c r="F617" t="s">
        <v>11760</v>
      </c>
      <c r="G617" t="s">
        <v>11761</v>
      </c>
      <c r="H617" t="s">
        <v>11762</v>
      </c>
      <c r="I617" t="s">
        <v>11763</v>
      </c>
      <c r="J617" t="s">
        <v>11764</v>
      </c>
      <c r="K617" t="s">
        <v>11765</v>
      </c>
      <c r="L617" t="s">
        <v>11766</v>
      </c>
      <c r="M617" t="s">
        <v>11767</v>
      </c>
      <c r="N617">
        <f>-639.006250589207 -1.03299123466945 -527.218758394705</f>
        <v>-1167.2580002185814</v>
      </c>
      <c r="O617">
        <f>-666.956077295718 -151.204165612561 -495.536444740867</f>
        <v>-1313.696687649146</v>
      </c>
      <c r="P617">
        <f>-671.10627561773 -186.009095390276 -215.625878739729</f>
        <v>-1072.7412497477351</v>
      </c>
      <c r="Q617">
        <f>-473.851442545586 -110.271995190367 -312.077671722673</f>
        <v>-896.20110945862598</v>
      </c>
      <c r="R617" t="s">
        <v>11768</v>
      </c>
      <c r="S617" t="s">
        <v>11769</v>
      </c>
      <c r="T617" t="s">
        <v>11770</v>
      </c>
      <c r="U617" t="s">
        <v>11771</v>
      </c>
      <c r="V617">
        <f>-575.301404238739 -54.7946558791828 -91.4627865334971</f>
        <v>-721.55884665141889</v>
      </c>
      <c r="W617" t="s">
        <v>11772</v>
      </c>
      <c r="X617" t="s">
        <v>11773</v>
      </c>
      <c r="Y617" t="s">
        <v>11774</v>
      </c>
    </row>
    <row r="618" spans="1:25" x14ac:dyDescent="0.3">
      <c r="A618">
        <v>30850</v>
      </c>
      <c r="B618" t="s">
        <v>11775</v>
      </c>
      <c r="C618" t="s">
        <v>11776</v>
      </c>
      <c r="D618" t="s">
        <v>11777</v>
      </c>
      <c r="E618" t="s">
        <v>11778</v>
      </c>
      <c r="F618" t="s">
        <v>11779</v>
      </c>
      <c r="G618" t="s">
        <v>11780</v>
      </c>
      <c r="H618" t="s">
        <v>11781</v>
      </c>
      <c r="I618" t="s">
        <v>11782</v>
      </c>
      <c r="J618" t="s">
        <v>11783</v>
      </c>
      <c r="K618" t="s">
        <v>11784</v>
      </c>
      <c r="L618" t="s">
        <v>11785</v>
      </c>
      <c r="M618" t="s">
        <v>11786</v>
      </c>
      <c r="N618">
        <f>-639.196488266983 -0.927191766553051 -527.24792709246</f>
        <v>-1167.371607125996</v>
      </c>
      <c r="O618">
        <f>-667.226268184813 -151.116081446779 -495.71731291525</f>
        <v>-1314.059662546842</v>
      </c>
      <c r="P618">
        <f>-671.189118110864 -186.199868153533 -215.838741644617</f>
        <v>-1073.227727909014</v>
      </c>
      <c r="Q618">
        <f>-474.025052645807 -110.228726271943 -312.292099006784</f>
        <v>-896.5458779245339</v>
      </c>
      <c r="R618" t="s">
        <v>11787</v>
      </c>
      <c r="S618" t="s">
        <v>11788</v>
      </c>
      <c r="T618" t="s">
        <v>11789</v>
      </c>
      <c r="U618" t="s">
        <v>11790</v>
      </c>
      <c r="V618">
        <f>-575.42629984497 -54.821697159008 -91.4727905168392</f>
        <v>-721.72078752081711</v>
      </c>
      <c r="W618" t="s">
        <v>11791</v>
      </c>
      <c r="X618" t="s">
        <v>11792</v>
      </c>
      <c r="Y618" t="s">
        <v>11793</v>
      </c>
    </row>
    <row r="619" spans="1:25" x14ac:dyDescent="0.3">
      <c r="A619">
        <v>30900</v>
      </c>
      <c r="B619" t="s">
        <v>11794</v>
      </c>
      <c r="C619" t="s">
        <v>11795</v>
      </c>
      <c r="D619" t="s">
        <v>11796</v>
      </c>
      <c r="E619" t="s">
        <v>11797</v>
      </c>
      <c r="F619" t="s">
        <v>11798</v>
      </c>
      <c r="G619" t="s">
        <v>11799</v>
      </c>
      <c r="H619" t="s">
        <v>11800</v>
      </c>
      <c r="I619" t="s">
        <v>11801</v>
      </c>
      <c r="J619" t="s">
        <v>11802</v>
      </c>
      <c r="K619" t="s">
        <v>11803</v>
      </c>
      <c r="L619" t="s">
        <v>11804</v>
      </c>
      <c r="M619" t="s">
        <v>11805</v>
      </c>
      <c r="N619">
        <f>-639.503159686091 -0.635503558951996 -527.273533282633</f>
        <v>-1167.4121965276759</v>
      </c>
      <c r="O619">
        <f>-667.596128594402 -150.876366656878 -496.016304845933</f>
        <v>-1314.488800097213</v>
      </c>
      <c r="P619">
        <f>-671.270278169258 -186.539797805789 -216.207101958279</f>
        <v>-1074.0171779333259</v>
      </c>
      <c r="Q619">
        <f>-474.33991496356 -110.033480318646 -312.714963551739</f>
        <v>-897.08835883394499</v>
      </c>
      <c r="R619" t="s">
        <v>11806</v>
      </c>
      <c r="S619" t="s">
        <v>11807</v>
      </c>
      <c r="T619" t="s">
        <v>11808</v>
      </c>
      <c r="U619" t="s">
        <v>11809</v>
      </c>
      <c r="V619">
        <f>-575.628798054776 -54.9140598898557 -91.4892401742522</f>
        <v>-722.03209811888394</v>
      </c>
      <c r="W619" t="s">
        <v>11810</v>
      </c>
      <c r="X619" t="s">
        <v>11811</v>
      </c>
      <c r="Y619" t="s">
        <v>11812</v>
      </c>
    </row>
    <row r="620" spans="1:25" x14ac:dyDescent="0.3">
      <c r="A620">
        <v>30950</v>
      </c>
      <c r="B620" t="s">
        <v>11813</v>
      </c>
      <c r="C620" t="s">
        <v>11814</v>
      </c>
      <c r="D620" t="s">
        <v>11815</v>
      </c>
      <c r="E620" t="s">
        <v>11816</v>
      </c>
      <c r="F620" t="s">
        <v>11817</v>
      </c>
      <c r="G620" t="s">
        <v>11818</v>
      </c>
      <c r="H620" t="s">
        <v>11819</v>
      </c>
      <c r="I620" t="s">
        <v>11820</v>
      </c>
      <c r="J620" t="s">
        <v>11821</v>
      </c>
      <c r="K620" t="s">
        <v>11822</v>
      </c>
      <c r="L620" t="s">
        <v>11823</v>
      </c>
      <c r="M620" t="s">
        <v>11824</v>
      </c>
      <c r="N620">
        <f>-639.74187803766 -0.404026581366452 -527.293201887544</f>
        <v>-1167.4391065065704</v>
      </c>
      <c r="O620">
        <f>-667.795836394226 -150.680922523829 -496.20677747053</f>
        <v>-1314.6835363885848</v>
      </c>
      <c r="P620">
        <f>-671.253835474361 -186.563979392901 -216.422735926426</f>
        <v>-1074.240550793688</v>
      </c>
      <c r="Q620">
        <f>-474.441616405666 -109.76641609239 -312.940299187342</f>
        <v>-897.14833168539803</v>
      </c>
      <c r="R620" t="s">
        <v>11825</v>
      </c>
      <c r="S620" t="s">
        <v>11826</v>
      </c>
      <c r="T620" t="s">
        <v>11827</v>
      </c>
      <c r="U620" t="s">
        <v>11828</v>
      </c>
      <c r="V620">
        <f>-575.731084981369 -54.9614608016566 -91.501064401849</f>
        <v>-722.19361018487461</v>
      </c>
      <c r="W620" t="s">
        <v>11829</v>
      </c>
      <c r="X620" t="s">
        <v>11830</v>
      </c>
      <c r="Y620" t="s">
        <v>11831</v>
      </c>
    </row>
    <row r="621" spans="1:25" x14ac:dyDescent="0.3">
      <c r="A621">
        <v>31000</v>
      </c>
      <c r="B621" t="s">
        <v>11832</v>
      </c>
      <c r="C621" t="s">
        <v>11833</v>
      </c>
      <c r="D621" t="s">
        <v>11834</v>
      </c>
      <c r="E621" t="s">
        <v>11835</v>
      </c>
      <c r="F621" t="s">
        <v>11836</v>
      </c>
      <c r="G621" t="s">
        <v>11837</v>
      </c>
      <c r="H621" t="s">
        <v>11838</v>
      </c>
      <c r="I621" t="s">
        <v>11839</v>
      </c>
      <c r="J621" t="s">
        <v>11840</v>
      </c>
      <c r="K621" t="s">
        <v>11841</v>
      </c>
      <c r="L621" t="s">
        <v>11842</v>
      </c>
      <c r="M621" t="s">
        <v>11843</v>
      </c>
      <c r="N621">
        <f>-640.38889619547 -0.065831570907676 -527.334808526822</f>
        <v>-1167.7895362931997</v>
      </c>
      <c r="O621">
        <f>-668.465832734923 -150.414257125455 -496.625940585031</f>
        <v>-1315.5060304454091</v>
      </c>
      <c r="P621">
        <f>-671.2763254125 -186.881805357518 -216.910246744837</f>
        <v>-1075.068377514855</v>
      </c>
      <c r="Q621">
        <f>-474.779514964697 -109.368100470112 -313.497805645138</f>
        <v>-897.64542107994703</v>
      </c>
      <c r="R621" t="s">
        <v>11844</v>
      </c>
      <c r="S621" t="s">
        <v>11845</v>
      </c>
      <c r="T621" t="s">
        <v>11846</v>
      </c>
      <c r="U621" t="s">
        <v>11847</v>
      </c>
      <c r="V621">
        <f>-576.010415932984 -55.2499330541389 -91.5432751422254</f>
        <v>-722.80362412934824</v>
      </c>
      <c r="W621" t="s">
        <v>11848</v>
      </c>
      <c r="X621" t="s">
        <v>11849</v>
      </c>
      <c r="Y621" t="s">
        <v>11850</v>
      </c>
    </row>
    <row r="622" spans="1:25" x14ac:dyDescent="0.3">
      <c r="A622">
        <v>31050</v>
      </c>
      <c r="B622" t="s">
        <v>11851</v>
      </c>
      <c r="C622" t="s">
        <v>11852</v>
      </c>
      <c r="D622" t="s">
        <v>11853</v>
      </c>
      <c r="E622" t="s">
        <v>11854</v>
      </c>
      <c r="F622" t="s">
        <v>11855</v>
      </c>
      <c r="G622" t="s">
        <v>11856</v>
      </c>
      <c r="H622" t="s">
        <v>11857</v>
      </c>
      <c r="I622" t="s">
        <v>11858</v>
      </c>
      <c r="J622" t="s">
        <v>11859</v>
      </c>
      <c r="K622" t="s">
        <v>11860</v>
      </c>
      <c r="L622" t="s">
        <v>11861</v>
      </c>
      <c r="M622" t="s">
        <v>11862</v>
      </c>
      <c r="N622" t="s">
        <v>11863</v>
      </c>
      <c r="O622">
        <f>-668.780201097733 -150.29534247311 -496.796731961114</f>
        <v>-1315.8722755319568</v>
      </c>
      <c r="P622">
        <f>-671.225655021245 -187.051467843543 -217.115339066281</f>
        <v>-1075.392461931069</v>
      </c>
      <c r="Q622">
        <f>-474.977464411115 -109.14655936801 -313.893630236738</f>
        <v>-898.01765401586306</v>
      </c>
      <c r="R622" t="s">
        <v>11864</v>
      </c>
      <c r="S622" t="s">
        <v>11865</v>
      </c>
      <c r="T622" t="s">
        <v>11866</v>
      </c>
      <c r="U622" t="s">
        <v>11867</v>
      </c>
      <c r="V622">
        <f>-576.117544093066 -55.422269030312 -91.5562176958322</f>
        <v>-723.09603081921023</v>
      </c>
      <c r="W622" t="s">
        <v>11868</v>
      </c>
      <c r="X622" t="s">
        <v>11869</v>
      </c>
      <c r="Y622" t="s">
        <v>11870</v>
      </c>
    </row>
    <row r="623" spans="1:25" x14ac:dyDescent="0.3">
      <c r="A623">
        <v>31100</v>
      </c>
      <c r="B623" t="s">
        <v>11871</v>
      </c>
      <c r="C623" t="s">
        <v>11872</v>
      </c>
      <c r="D623" t="s">
        <v>11873</v>
      </c>
      <c r="E623" t="s">
        <v>11874</v>
      </c>
      <c r="F623" t="s">
        <v>11875</v>
      </c>
      <c r="G623" t="s">
        <v>11876</v>
      </c>
      <c r="H623" t="s">
        <v>11877</v>
      </c>
      <c r="I623" t="s">
        <v>11878</v>
      </c>
      <c r="J623" t="s">
        <v>11879</v>
      </c>
      <c r="K623" t="s">
        <v>11880</v>
      </c>
      <c r="L623" t="s">
        <v>11881</v>
      </c>
      <c r="M623" t="s">
        <v>11882</v>
      </c>
      <c r="N623" t="s">
        <v>11883</v>
      </c>
      <c r="O623">
        <f>-668.710918411031 -150.014209768275 -497.221431879521</f>
        <v>-1315.9465600588269</v>
      </c>
      <c r="P623">
        <f>-670.69073698405 -187.256462325764 -217.600889696269</f>
        <v>-1075.548089006083</v>
      </c>
      <c r="Q623">
        <f>-474.768139541357 -109.016582993398 -314.767694007601</f>
        <v>-898.55241654235601</v>
      </c>
      <c r="R623" t="s">
        <v>11884</v>
      </c>
      <c r="S623" t="s">
        <v>11885</v>
      </c>
      <c r="T623" t="s">
        <v>11886</v>
      </c>
      <c r="U623" t="s">
        <v>11887</v>
      </c>
      <c r="V623">
        <f>-576.31828078311 -55.9491185412517 -91.6197916316563</f>
        <v>-723.887190956018</v>
      </c>
      <c r="W623" t="s">
        <v>11888</v>
      </c>
      <c r="X623" t="s">
        <v>11889</v>
      </c>
      <c r="Y623" t="s">
        <v>11890</v>
      </c>
    </row>
    <row r="624" spans="1:25" x14ac:dyDescent="0.3">
      <c r="A624">
        <v>31150</v>
      </c>
      <c r="B624" t="s">
        <v>11891</v>
      </c>
      <c r="C624" t="s">
        <v>11892</v>
      </c>
      <c r="D624" t="s">
        <v>11893</v>
      </c>
      <c r="E624" t="s">
        <v>11894</v>
      </c>
      <c r="F624" t="s">
        <v>11895</v>
      </c>
      <c r="G624" t="s">
        <v>11896</v>
      </c>
      <c r="H624" t="s">
        <v>11897</v>
      </c>
      <c r="I624" t="s">
        <v>11898</v>
      </c>
      <c r="J624" t="s">
        <v>11899</v>
      </c>
      <c r="K624" t="s">
        <v>11900</v>
      </c>
      <c r="L624" t="s">
        <v>11901</v>
      </c>
      <c r="M624" t="s">
        <v>11902</v>
      </c>
      <c r="N624" t="s">
        <v>11903</v>
      </c>
      <c r="O624">
        <f>-668.551971007909 -149.934958195778 -497.417201767179</f>
        <v>-1315.9041309708659</v>
      </c>
      <c r="P624">
        <f>-670.560397727441 -187.284008950349 -217.811135576416</f>
        <v>-1075.655542254206</v>
      </c>
      <c r="Q624">
        <f>-474.636809642004 -109.175880508598 -315.081788868697</f>
        <v>-898.89447901929896</v>
      </c>
      <c r="R624" t="s">
        <v>11904</v>
      </c>
      <c r="S624" t="s">
        <v>11905</v>
      </c>
      <c r="T624" t="s">
        <v>11906</v>
      </c>
      <c r="U624" t="s">
        <v>11907</v>
      </c>
      <c r="V624">
        <f>-576.341254535271 -56.1613364373284 -91.6444756358819</f>
        <v>-724.14706660848128</v>
      </c>
      <c r="W624" t="s">
        <v>11908</v>
      </c>
      <c r="X624" t="s">
        <v>11909</v>
      </c>
      <c r="Y624" t="s">
        <v>11910</v>
      </c>
    </row>
    <row r="625" spans="1:25" x14ac:dyDescent="0.3">
      <c r="A625">
        <v>31200</v>
      </c>
      <c r="B625" t="s">
        <v>11911</v>
      </c>
      <c r="C625" t="s">
        <v>11912</v>
      </c>
      <c r="D625" t="s">
        <v>11913</v>
      </c>
      <c r="E625" t="s">
        <v>11914</v>
      </c>
      <c r="F625" t="s">
        <v>11915</v>
      </c>
      <c r="G625" t="s">
        <v>11916</v>
      </c>
      <c r="H625" t="s">
        <v>11917</v>
      </c>
      <c r="I625" t="s">
        <v>11918</v>
      </c>
      <c r="J625" t="s">
        <v>11919</v>
      </c>
      <c r="K625" t="s">
        <v>11920</v>
      </c>
      <c r="L625" t="s">
        <v>11921</v>
      </c>
      <c r="M625" t="s">
        <v>11922</v>
      </c>
      <c r="N625" t="s">
        <v>11923</v>
      </c>
      <c r="O625">
        <f>-669.017901262731 -149.36798094503 -497.681972369275</f>
        <v>-1316.0678545770361</v>
      </c>
      <c r="P625">
        <f>-670.624958850035 -186.766443530254 -218.079805534099</f>
        <v>-1075.4712079143881</v>
      </c>
      <c r="Q625">
        <f>-474.605465148343 -109.16174661629 -315.559980044602</f>
        <v>-899.32719180923505</v>
      </c>
      <c r="R625" t="s">
        <v>11924</v>
      </c>
      <c r="S625" t="s">
        <v>11925</v>
      </c>
      <c r="T625" t="s">
        <v>11926</v>
      </c>
      <c r="U625" t="s">
        <v>11927</v>
      </c>
      <c r="V625">
        <f>-576.288289257472 -56.5404201131962 -91.6670064893412</f>
        <v>-724.49571586000945</v>
      </c>
      <c r="W625" t="s">
        <v>11928</v>
      </c>
      <c r="X625" t="s">
        <v>11929</v>
      </c>
      <c r="Y625" t="s">
        <v>11930</v>
      </c>
    </row>
    <row r="626" spans="1:25" x14ac:dyDescent="0.3">
      <c r="A626">
        <v>31250</v>
      </c>
      <c r="B626" t="s">
        <v>11931</v>
      </c>
      <c r="C626" t="s">
        <v>11932</v>
      </c>
      <c r="D626" t="s">
        <v>11933</v>
      </c>
      <c r="E626" t="s">
        <v>11934</v>
      </c>
      <c r="F626" t="s">
        <v>11935</v>
      </c>
      <c r="G626" t="s">
        <v>11936</v>
      </c>
      <c r="H626" t="s">
        <v>11937</v>
      </c>
      <c r="I626" t="s">
        <v>11938</v>
      </c>
      <c r="J626" t="s">
        <v>11939</v>
      </c>
      <c r="K626" t="s">
        <v>11940</v>
      </c>
      <c r="L626" t="s">
        <v>11941</v>
      </c>
      <c r="M626" t="s">
        <v>11942</v>
      </c>
      <c r="N626" t="s">
        <v>11943</v>
      </c>
      <c r="O626">
        <f>-669.112020369308 -148.884877527988 -497.830008117787</f>
        <v>-1315.8269060150828</v>
      </c>
      <c r="P626">
        <f>-670.426695434059 -186.299464216521 -218.228500640538</f>
        <v>-1074.954660291118</v>
      </c>
      <c r="Q626">
        <f>-474.394279373876 -109.000000582834 -315.925022431295</f>
        <v>-899.31930238800499</v>
      </c>
      <c r="R626" t="s">
        <v>11944</v>
      </c>
      <c r="S626" t="s">
        <v>11945</v>
      </c>
      <c r="T626" t="s">
        <v>11946</v>
      </c>
      <c r="U626" t="s">
        <v>11947</v>
      </c>
      <c r="V626">
        <f>-576.238326813866 -56.6733565312982 -91.6529223704126</f>
        <v>-724.56460571557682</v>
      </c>
      <c r="W626" t="s">
        <v>11948</v>
      </c>
      <c r="X626" t="s">
        <v>11949</v>
      </c>
      <c r="Y626" t="s">
        <v>11950</v>
      </c>
    </row>
    <row r="627" spans="1:25" x14ac:dyDescent="0.3">
      <c r="A627">
        <v>31300</v>
      </c>
      <c r="B627" t="s">
        <v>11951</v>
      </c>
      <c r="C627" t="s">
        <v>11952</v>
      </c>
      <c r="D627" t="s">
        <v>11953</v>
      </c>
      <c r="E627" t="s">
        <v>11954</v>
      </c>
      <c r="F627" t="s">
        <v>11955</v>
      </c>
      <c r="G627" t="s">
        <v>11956</v>
      </c>
      <c r="H627" t="s">
        <v>11957</v>
      </c>
      <c r="I627" t="s">
        <v>11958</v>
      </c>
      <c r="J627" t="s">
        <v>11959</v>
      </c>
      <c r="K627" t="s">
        <v>11960</v>
      </c>
      <c r="L627" t="s">
        <v>11961</v>
      </c>
      <c r="M627" t="s">
        <v>11962</v>
      </c>
      <c r="N627" t="s">
        <v>11963</v>
      </c>
      <c r="O627">
        <f>-668.5702765446 -148.409472612213 -498.14742503286</f>
        <v>-1315.127174189673</v>
      </c>
      <c r="P627">
        <f>-670.110503466897 -186.178929274151 -218.594739976252</f>
        <v>-1074.8841727172999</v>
      </c>
      <c r="Q627">
        <f>-474.072212558503 -109.447313388064 -316.726131667416</f>
        <v>-900.24565761398298</v>
      </c>
      <c r="R627" t="s">
        <v>11964</v>
      </c>
      <c r="S627" t="s">
        <v>11965</v>
      </c>
      <c r="T627" t="s">
        <v>11966</v>
      </c>
      <c r="U627" t="s">
        <v>11967</v>
      </c>
      <c r="V627">
        <f>-575.864656049489 -56.6542028005501 -91.6375510934743</f>
        <v>-724.15640994351338</v>
      </c>
      <c r="W627" t="s">
        <v>11968</v>
      </c>
      <c r="X627" t="s">
        <v>11969</v>
      </c>
      <c r="Y627" t="s">
        <v>11970</v>
      </c>
    </row>
    <row r="628" spans="1:25" x14ac:dyDescent="0.3">
      <c r="A628">
        <v>31350</v>
      </c>
      <c r="B628" t="s">
        <v>11971</v>
      </c>
      <c r="C628" t="s">
        <v>11972</v>
      </c>
      <c r="D628" t="s">
        <v>11973</v>
      </c>
      <c r="E628" t="s">
        <v>11974</v>
      </c>
      <c r="F628" t="s">
        <v>11975</v>
      </c>
      <c r="G628" t="s">
        <v>11976</v>
      </c>
      <c r="H628" t="s">
        <v>11977</v>
      </c>
      <c r="I628" t="s">
        <v>11978</v>
      </c>
      <c r="J628" t="s">
        <v>11979</v>
      </c>
      <c r="K628" t="s">
        <v>11980</v>
      </c>
      <c r="L628" t="s">
        <v>11981</v>
      </c>
      <c r="M628" t="s">
        <v>11982</v>
      </c>
      <c r="N628" t="s">
        <v>11983</v>
      </c>
      <c r="O628">
        <f>-668.787940051305 -148.204302895807 -498.104019468788</f>
        <v>-1315.0962624159001</v>
      </c>
      <c r="P628">
        <f>-670.213052718549 -186.116489329207 -218.570077433667</f>
        <v>-1074.8996194814229</v>
      </c>
      <c r="Q628">
        <f>-474.17321184537 -109.672400817418 -316.922616330881</f>
        <v>-900.76822899366903</v>
      </c>
      <c r="R628" t="s">
        <v>11984</v>
      </c>
      <c r="S628" t="s">
        <v>11985</v>
      </c>
      <c r="T628" t="s">
        <v>11986</v>
      </c>
      <c r="U628" t="s">
        <v>11987</v>
      </c>
      <c r="V628">
        <f>-575.683520390128 -56.5377099495502 -91.6174618820364</f>
        <v>-723.83869222171461</v>
      </c>
      <c r="W628" t="s">
        <v>11988</v>
      </c>
      <c r="X628" t="s">
        <v>11989</v>
      </c>
      <c r="Y628" t="s">
        <v>11990</v>
      </c>
    </row>
    <row r="629" spans="1:25" x14ac:dyDescent="0.3">
      <c r="A629">
        <v>31400</v>
      </c>
      <c r="B629" t="s">
        <v>11991</v>
      </c>
      <c r="C629" t="s">
        <v>11992</v>
      </c>
      <c r="D629" t="s">
        <v>11993</v>
      </c>
      <c r="E629" t="s">
        <v>11994</v>
      </c>
      <c r="F629" t="s">
        <v>11995</v>
      </c>
      <c r="G629" t="s">
        <v>11996</v>
      </c>
      <c r="H629" t="s">
        <v>11997</v>
      </c>
      <c r="I629" t="s">
        <v>11998</v>
      </c>
      <c r="J629" t="s">
        <v>11999</v>
      </c>
      <c r="K629" t="s">
        <v>12000</v>
      </c>
      <c r="L629" t="s">
        <v>12001</v>
      </c>
      <c r="M629" t="s">
        <v>12002</v>
      </c>
      <c r="N629" t="s">
        <v>12003</v>
      </c>
      <c r="O629">
        <f>-669.180976786364 -147.976589212115 -497.918682104188</f>
        <v>-1315.076248102667</v>
      </c>
      <c r="P629">
        <f>-669.984982854079 -185.737081931061 -218.361640330557</f>
        <v>-1074.0837051156971</v>
      </c>
      <c r="Q629">
        <f>-473.890873548413 -110.214173437922 -317.315978289143</f>
        <v>-901.42102527547809</v>
      </c>
      <c r="R629" t="s">
        <v>12004</v>
      </c>
      <c r="S629" t="s">
        <v>12005</v>
      </c>
      <c r="T629" t="s">
        <v>12006</v>
      </c>
      <c r="U629" t="s">
        <v>12007</v>
      </c>
      <c r="V629">
        <f>-575.227369056703 -56.292335215893 -91.5706641762919</f>
        <v>-723.09036844888783</v>
      </c>
      <c r="W629" t="s">
        <v>12008</v>
      </c>
      <c r="X629" t="s">
        <v>12009</v>
      </c>
      <c r="Y629" t="s">
        <v>12010</v>
      </c>
    </row>
    <row r="630" spans="1:25" x14ac:dyDescent="0.3">
      <c r="A630">
        <v>31450</v>
      </c>
      <c r="B630" t="s">
        <v>12011</v>
      </c>
      <c r="C630" t="s">
        <v>12012</v>
      </c>
      <c r="D630" t="s">
        <v>12013</v>
      </c>
      <c r="E630" t="s">
        <v>12014</v>
      </c>
      <c r="F630" t="s">
        <v>12015</v>
      </c>
      <c r="G630" t="s">
        <v>12016</v>
      </c>
      <c r="H630" t="s">
        <v>12017</v>
      </c>
      <c r="I630" t="s">
        <v>12018</v>
      </c>
      <c r="J630" t="s">
        <v>12019</v>
      </c>
      <c r="K630" t="s">
        <v>12020</v>
      </c>
      <c r="L630" t="s">
        <v>12021</v>
      </c>
      <c r="M630" t="s">
        <v>12022</v>
      </c>
      <c r="N630" t="s">
        <v>12023</v>
      </c>
      <c r="O630">
        <f>-669.082097648281 -147.884117305253 -497.829704231264</f>
        <v>-1314.7959191847979</v>
      </c>
      <c r="P630">
        <f>-669.8102146036 -185.399193251902 -218.23951941952</f>
        <v>-1073.448927275022</v>
      </c>
      <c r="Q630">
        <f>-473.716989724965 -110.349802582795 -317.55504157561</f>
        <v>-901.62183388337007</v>
      </c>
      <c r="R630" t="s">
        <v>12024</v>
      </c>
      <c r="S630" t="s">
        <v>12025</v>
      </c>
      <c r="T630" t="s">
        <v>12026</v>
      </c>
      <c r="U630" t="s">
        <v>12027</v>
      </c>
      <c r="V630">
        <f>-575.007599753175 -56.0369370006301 -91.549451210742</f>
        <v>-722.59398796454707</v>
      </c>
      <c r="W630" t="s">
        <v>12028</v>
      </c>
      <c r="X630" t="s">
        <v>12029</v>
      </c>
      <c r="Y630" t="s">
        <v>12030</v>
      </c>
    </row>
    <row r="631" spans="1:25" x14ac:dyDescent="0.3">
      <c r="A631">
        <v>31500</v>
      </c>
      <c r="B631" t="s">
        <v>12031</v>
      </c>
      <c r="C631" t="s">
        <v>12032</v>
      </c>
      <c r="D631" t="s">
        <v>12033</v>
      </c>
      <c r="E631" t="s">
        <v>12034</v>
      </c>
      <c r="F631" t="s">
        <v>12035</v>
      </c>
      <c r="G631" t="s">
        <v>12036</v>
      </c>
      <c r="H631" t="s">
        <v>12037</v>
      </c>
      <c r="I631" t="s">
        <v>12038</v>
      </c>
      <c r="J631" t="s">
        <v>12039</v>
      </c>
      <c r="K631" t="s">
        <v>12040</v>
      </c>
      <c r="L631" t="s">
        <v>12041</v>
      </c>
      <c r="M631" t="s">
        <v>12042</v>
      </c>
      <c r="N631" t="s">
        <v>12043</v>
      </c>
      <c r="O631">
        <f>-668.550491213558 -147.285817955161 -497.913957408233</f>
        <v>-1313.7502665769521</v>
      </c>
      <c r="P631">
        <f>-669.216016940955 -184.856294396999 -218.331205023393</f>
        <v>-1072.4035163613471</v>
      </c>
      <c r="Q631">
        <f>-473.077714998758 -110.285109314279 -317.917400534054</f>
        <v>-901.28022484709095</v>
      </c>
      <c r="R631" t="s">
        <v>12044</v>
      </c>
      <c r="S631" t="s">
        <v>12045</v>
      </c>
      <c r="T631" t="s">
        <v>12046</v>
      </c>
      <c r="U631" t="s">
        <v>12047</v>
      </c>
      <c r="V631">
        <f>-574.459673199537 -55.5344554251319 -91.489289026864</f>
        <v>-721.48341765153282</v>
      </c>
      <c r="W631" t="s">
        <v>12048</v>
      </c>
      <c r="X631" t="s">
        <v>12049</v>
      </c>
      <c r="Y631" t="s">
        <v>12050</v>
      </c>
    </row>
    <row r="632" spans="1:25" x14ac:dyDescent="0.3">
      <c r="A632">
        <v>31550</v>
      </c>
      <c r="B632" t="s">
        <v>12051</v>
      </c>
      <c r="C632" t="s">
        <v>12052</v>
      </c>
      <c r="D632" t="s">
        <v>12053</v>
      </c>
      <c r="E632" t="s">
        <v>12054</v>
      </c>
      <c r="F632" t="s">
        <v>12055</v>
      </c>
      <c r="G632" t="s">
        <v>12056</v>
      </c>
      <c r="H632" t="s">
        <v>12057</v>
      </c>
      <c r="I632" t="s">
        <v>12058</v>
      </c>
      <c r="J632" t="s">
        <v>12059</v>
      </c>
      <c r="K632" t="s">
        <v>12060</v>
      </c>
      <c r="L632" t="s">
        <v>12061</v>
      </c>
      <c r="M632" t="s">
        <v>12062</v>
      </c>
      <c r="N632" t="s">
        <v>12063</v>
      </c>
      <c r="O632">
        <f>-668.095408637369 -146.899956627824 -498.146864635953</f>
        <v>-1313.142229901146</v>
      </c>
      <c r="P632">
        <f>-668.744626664109 -184.817119957009 -218.610589306841</f>
        <v>-1072.172335927959</v>
      </c>
      <c r="Q632">
        <f>-472.624863784883 -110.10211382993 -318.125484042095</f>
        <v>-900.85246165690796</v>
      </c>
      <c r="R632" t="s">
        <v>12064</v>
      </c>
      <c r="S632" t="s">
        <v>12065</v>
      </c>
      <c r="T632" t="s">
        <v>12066</v>
      </c>
      <c r="U632" t="s">
        <v>12067</v>
      </c>
      <c r="V632">
        <f>-574.178672334215 -55.3025309910511 -91.4514376043489</f>
        <v>-720.93264092961499</v>
      </c>
      <c r="W632" t="s">
        <v>12068</v>
      </c>
      <c r="X632" t="s">
        <v>12069</v>
      </c>
      <c r="Y632" t="s">
        <v>12070</v>
      </c>
    </row>
    <row r="633" spans="1:25" x14ac:dyDescent="0.3">
      <c r="A633">
        <v>31600</v>
      </c>
      <c r="B633" t="s">
        <v>12071</v>
      </c>
      <c r="C633" t="s">
        <v>12072</v>
      </c>
      <c r="D633" t="s">
        <v>12073</v>
      </c>
      <c r="E633" t="s">
        <v>12074</v>
      </c>
      <c r="F633" t="s">
        <v>12075</v>
      </c>
      <c r="G633" t="s">
        <v>12076</v>
      </c>
      <c r="H633" t="s">
        <v>12077</v>
      </c>
      <c r="I633" t="s">
        <v>12078</v>
      </c>
      <c r="J633" t="s">
        <v>12079</v>
      </c>
      <c r="K633" t="s">
        <v>12080</v>
      </c>
      <c r="L633" t="s">
        <v>12081</v>
      </c>
      <c r="M633" t="s">
        <v>12082</v>
      </c>
      <c r="N633" t="s">
        <v>12083</v>
      </c>
      <c r="O633">
        <f>-666.316953820109 -147.097436614601 -498.690223981958</f>
        <v>-1312.104614416668</v>
      </c>
      <c r="P633">
        <f>-667.331977474374 -186.207881572617 -219.319499469652</f>
        <v>-1072.8593585166429</v>
      </c>
      <c r="Q633">
        <f>-471.626369739016 -110.257884044376 -318.715061281029</f>
        <v>-900.59931506442103</v>
      </c>
      <c r="R633" t="s">
        <v>12084</v>
      </c>
      <c r="S633" t="s">
        <v>12085</v>
      </c>
      <c r="T633" t="s">
        <v>12086</v>
      </c>
      <c r="U633" t="s">
        <v>12087</v>
      </c>
      <c r="V633">
        <f>-573.584867698431 -54.807236608405 -91.377124961341</f>
        <v>-719.76922926817701</v>
      </c>
      <c r="W633" t="s">
        <v>12088</v>
      </c>
      <c r="X633" t="s">
        <v>12089</v>
      </c>
      <c r="Y633" t="s">
        <v>12090</v>
      </c>
    </row>
    <row r="634" spans="1:25" x14ac:dyDescent="0.3">
      <c r="A634">
        <v>31650</v>
      </c>
      <c r="B634" t="s">
        <v>12091</v>
      </c>
      <c r="C634" t="s">
        <v>12092</v>
      </c>
      <c r="D634" t="s">
        <v>12093</v>
      </c>
      <c r="E634" t="s">
        <v>12094</v>
      </c>
      <c r="F634" t="s">
        <v>12095</v>
      </c>
      <c r="G634" t="s">
        <v>12096</v>
      </c>
      <c r="H634" t="s">
        <v>12097</v>
      </c>
      <c r="I634" t="s">
        <v>12098</v>
      </c>
      <c r="J634" t="s">
        <v>12099</v>
      </c>
      <c r="K634" t="s">
        <v>12100</v>
      </c>
      <c r="L634" t="s">
        <v>12101</v>
      </c>
      <c r="M634" t="s">
        <v>12102</v>
      </c>
      <c r="N634" t="s">
        <v>12103</v>
      </c>
      <c r="O634">
        <f>-665.503226034833 -147.532752573319 -498.85916871798</f>
        <v>-1311.895147326132</v>
      </c>
      <c r="P634">
        <f>-666.382311247815 -187.301977753262 -219.581210301017</f>
        <v>-1073.265499302094</v>
      </c>
      <c r="Q634">
        <f>-471.151801655565 -110.252912481512 -319.064953252913</f>
        <v>-900.46966738999004</v>
      </c>
      <c r="R634" t="s">
        <v>12104</v>
      </c>
      <c r="S634" t="s">
        <v>12105</v>
      </c>
      <c r="T634" t="s">
        <v>12106</v>
      </c>
      <c r="U634" t="s">
        <v>12107</v>
      </c>
      <c r="V634">
        <f>-573.312669608172 -54.6508523058715 -91.3414592779983</f>
        <v>-719.30498119204174</v>
      </c>
      <c r="W634" t="s">
        <v>12108</v>
      </c>
      <c r="X634" t="s">
        <v>12109</v>
      </c>
      <c r="Y634" t="s">
        <v>12110</v>
      </c>
    </row>
    <row r="635" spans="1:25" x14ac:dyDescent="0.3">
      <c r="A635">
        <v>31700</v>
      </c>
      <c r="B635" t="s">
        <v>12111</v>
      </c>
      <c r="C635" t="s">
        <v>12112</v>
      </c>
      <c r="D635" t="s">
        <v>12113</v>
      </c>
      <c r="E635" t="s">
        <v>12114</v>
      </c>
      <c r="F635" t="s">
        <v>12115</v>
      </c>
      <c r="G635" t="s">
        <v>12116</v>
      </c>
      <c r="H635" t="s">
        <v>12117</v>
      </c>
      <c r="I635" t="s">
        <v>12118</v>
      </c>
      <c r="J635" t="s">
        <v>12119</v>
      </c>
      <c r="K635" t="s">
        <v>12120</v>
      </c>
      <c r="L635" t="s">
        <v>12121</v>
      </c>
      <c r="M635" t="s">
        <v>12122</v>
      </c>
      <c r="N635" t="s">
        <v>12123</v>
      </c>
      <c r="O635">
        <f>-664.998793135859 -148.512314841943 -498.945494896569</f>
        <v>-1312.4566028743711</v>
      </c>
      <c r="P635">
        <f>-664.409526168377 -188.880734454455 -219.752722605493</f>
        <v>-1073.0429832283251</v>
      </c>
      <c r="Q635">
        <f>-470.501201081461 -109.298612658212 -319.826598460009</f>
        <v>-899.62641219968202</v>
      </c>
      <c r="R635" t="s">
        <v>12124</v>
      </c>
      <c r="S635" t="s">
        <v>12125</v>
      </c>
      <c r="T635" t="s">
        <v>12126</v>
      </c>
      <c r="U635" t="s">
        <v>12127</v>
      </c>
      <c r="V635">
        <f>-572.891064566621 -54.6890385902966 -91.2718703503645</f>
        <v>-718.85197350728208</v>
      </c>
      <c r="W635" t="s">
        <v>12128</v>
      </c>
      <c r="X635" t="s">
        <v>12129</v>
      </c>
      <c r="Y635" t="s">
        <v>12130</v>
      </c>
    </row>
    <row r="636" spans="1:25" x14ac:dyDescent="0.3">
      <c r="A636">
        <v>31750</v>
      </c>
      <c r="B636" t="s">
        <v>12131</v>
      </c>
      <c r="C636" t="s">
        <v>12132</v>
      </c>
      <c r="D636" t="s">
        <v>12133</v>
      </c>
      <c r="E636" t="s">
        <v>12134</v>
      </c>
      <c r="F636" t="s">
        <v>12135</v>
      </c>
      <c r="G636" t="s">
        <v>12136</v>
      </c>
      <c r="H636" t="s">
        <v>12137</v>
      </c>
      <c r="I636" t="s">
        <v>12138</v>
      </c>
      <c r="J636" t="s">
        <v>12139</v>
      </c>
      <c r="K636" t="s">
        <v>12140</v>
      </c>
      <c r="L636" t="s">
        <v>12141</v>
      </c>
      <c r="M636" t="s">
        <v>12142</v>
      </c>
      <c r="N636" t="s">
        <v>12143</v>
      </c>
      <c r="O636">
        <f>-665.090395820569 -149.092007157034 -498.910426235959</f>
        <v>-1313.092829213562</v>
      </c>
      <c r="P636">
        <f>-663.611119803171 -189.50995533833 -219.727994979223</f>
        <v>-1072.849070120724</v>
      </c>
      <c r="Q636">
        <f>-470.460697955311 -108.509894812811 -320.129262196362</f>
        <v>-899.09985496448394</v>
      </c>
      <c r="R636" t="s">
        <v>12144</v>
      </c>
      <c r="S636" t="s">
        <v>12145</v>
      </c>
      <c r="T636" t="s">
        <v>12146</v>
      </c>
      <c r="U636" t="s">
        <v>12147</v>
      </c>
      <c r="V636">
        <f>-572.810000751814 -54.7940695350032 -91.227726032648</f>
        <v>-718.83179631946518</v>
      </c>
      <c r="W636" t="s">
        <v>12148</v>
      </c>
      <c r="X636" t="s">
        <v>12149</v>
      </c>
      <c r="Y636" t="s">
        <v>12150</v>
      </c>
    </row>
    <row r="637" spans="1:25" x14ac:dyDescent="0.3">
      <c r="A637">
        <v>31800</v>
      </c>
      <c r="B637" t="s">
        <v>12151</v>
      </c>
      <c r="C637" t="s">
        <v>12152</v>
      </c>
      <c r="D637" t="s">
        <v>12153</v>
      </c>
      <c r="E637" t="s">
        <v>12154</v>
      </c>
      <c r="F637" t="s">
        <v>12155</v>
      </c>
      <c r="G637" t="s">
        <v>12156</v>
      </c>
      <c r="H637" t="s">
        <v>12157</v>
      </c>
      <c r="I637" t="s">
        <v>12158</v>
      </c>
      <c r="J637" t="s">
        <v>12159</v>
      </c>
      <c r="K637" t="s">
        <v>12160</v>
      </c>
      <c r="L637" t="s">
        <v>12161</v>
      </c>
      <c r="M637" t="s">
        <v>12162</v>
      </c>
      <c r="N637" t="s">
        <v>12163</v>
      </c>
      <c r="O637">
        <f>-665.565170963863 -150.053308928523 -498.74513323202</f>
        <v>-1314.3636131244059</v>
      </c>
      <c r="P637">
        <f>-662.881194303258 -189.952383281139 -219.497237794649</f>
        <v>-1072.330815379046</v>
      </c>
      <c r="Q637">
        <f>-471.170838480914 -106.321589351471 -320.499976734063</f>
        <v>-897.99240456644793</v>
      </c>
      <c r="R637" t="s">
        <v>12164</v>
      </c>
      <c r="S637" t="s">
        <v>12165</v>
      </c>
      <c r="T637" t="s">
        <v>12166</v>
      </c>
      <c r="U637" t="s">
        <v>12167</v>
      </c>
      <c r="V637">
        <f>-573.132174646727 -55.2146207238022 -91.1138940309894</f>
        <v>-719.46068940151861</v>
      </c>
      <c r="W637" t="s">
        <v>12168</v>
      </c>
      <c r="X637" t="s">
        <v>12169</v>
      </c>
      <c r="Y637" t="s">
        <v>12170</v>
      </c>
    </row>
    <row r="638" spans="1:25" x14ac:dyDescent="0.3">
      <c r="A638">
        <v>31850</v>
      </c>
      <c r="B638" t="s">
        <v>12171</v>
      </c>
      <c r="C638" t="s">
        <v>12172</v>
      </c>
      <c r="D638" t="s">
        <v>12173</v>
      </c>
      <c r="E638" t="s">
        <v>12174</v>
      </c>
      <c r="F638" t="s">
        <v>12175</v>
      </c>
      <c r="G638" t="s">
        <v>12176</v>
      </c>
      <c r="H638" t="s">
        <v>12177</v>
      </c>
      <c r="I638" t="s">
        <v>12178</v>
      </c>
      <c r="J638" t="s">
        <v>12179</v>
      </c>
      <c r="K638" t="s">
        <v>12180</v>
      </c>
      <c r="L638" t="s">
        <v>12181</v>
      </c>
      <c r="M638" t="s">
        <v>12182</v>
      </c>
      <c r="N638" t="s">
        <v>12183</v>
      </c>
      <c r="O638">
        <f>-665.712718941617 -150.561996950227 -498.695547880048</f>
        <v>-1314.970263771892</v>
      </c>
      <c r="P638">
        <f>-663.001497546436 -190.400810810133 -219.439079228421</f>
        <v>-1072.8413875849899</v>
      </c>
      <c r="Q638">
        <f>-471.701308731695 -105.698851036145 -320.327055756163</f>
        <v>-897.72721552400299</v>
      </c>
      <c r="R638" t="s">
        <v>12184</v>
      </c>
      <c r="S638" t="s">
        <v>12185</v>
      </c>
      <c r="T638" t="s">
        <v>12186</v>
      </c>
      <c r="U638" t="s">
        <v>12187</v>
      </c>
      <c r="V638">
        <f>-573.443127630053 -55.4827429108454 -91.0807828305166</f>
        <v>-720.00665337141504</v>
      </c>
      <c r="W638" t="s">
        <v>12188</v>
      </c>
      <c r="X638" t="s">
        <v>12189</v>
      </c>
      <c r="Y638" t="s">
        <v>12190</v>
      </c>
    </row>
    <row r="639" spans="1:25" x14ac:dyDescent="0.3">
      <c r="A639">
        <v>31900</v>
      </c>
      <c r="B639" t="s">
        <v>12191</v>
      </c>
      <c r="C639" t="s">
        <v>12192</v>
      </c>
      <c r="D639" t="s">
        <v>12193</v>
      </c>
      <c r="E639" t="s">
        <v>12194</v>
      </c>
      <c r="F639" t="s">
        <v>12195</v>
      </c>
      <c r="G639" t="s">
        <v>12196</v>
      </c>
      <c r="H639" t="s">
        <v>12197</v>
      </c>
      <c r="I639" t="s">
        <v>12198</v>
      </c>
      <c r="J639" t="s">
        <v>12199</v>
      </c>
      <c r="K639" t="s">
        <v>12200</v>
      </c>
      <c r="L639" t="s">
        <v>12201</v>
      </c>
      <c r="M639" t="s">
        <v>12202</v>
      </c>
      <c r="N639" t="s">
        <v>12203</v>
      </c>
      <c r="O639">
        <f>-665.831837813336 -151.25931837873 -498.559512128272</f>
        <v>-1315.6506683203379</v>
      </c>
      <c r="P639">
        <f>-663.787305540324 -191.220195467875 -219.314888395854</f>
        <v>-1074.322389404053</v>
      </c>
      <c r="Q639">
        <f>-472.619022153775 -105.163533553543 -319.302261555346</f>
        <v>-897.08481726266405</v>
      </c>
      <c r="R639" t="s">
        <v>12204</v>
      </c>
      <c r="S639" t="s">
        <v>12205</v>
      </c>
      <c r="T639" t="s">
        <v>12206</v>
      </c>
      <c r="U639" t="s">
        <v>12207</v>
      </c>
      <c r="V639">
        <f>-573.936642853438 -55.5099815079134 -91.0307395868184</f>
        <v>-720.4773639481698</v>
      </c>
      <c r="W639" t="s">
        <v>12208</v>
      </c>
      <c r="X639" t="s">
        <v>12209</v>
      </c>
      <c r="Y639" t="s">
        <v>12210</v>
      </c>
    </row>
    <row r="640" spans="1:25" x14ac:dyDescent="0.3">
      <c r="A640">
        <v>31950</v>
      </c>
      <c r="B640" t="s">
        <v>12211</v>
      </c>
      <c r="C640" t="s">
        <v>12212</v>
      </c>
      <c r="D640" t="s">
        <v>12213</v>
      </c>
      <c r="E640" t="s">
        <v>12214</v>
      </c>
      <c r="F640" t="s">
        <v>12215</v>
      </c>
      <c r="G640" t="s">
        <v>12216</v>
      </c>
      <c r="H640" t="s">
        <v>12217</v>
      </c>
      <c r="I640" t="s">
        <v>12218</v>
      </c>
      <c r="J640" t="s">
        <v>12219</v>
      </c>
      <c r="K640" t="s">
        <v>12220</v>
      </c>
      <c r="L640" t="s">
        <v>12221</v>
      </c>
      <c r="M640" t="s">
        <v>12222</v>
      </c>
      <c r="N640" t="s">
        <v>12223</v>
      </c>
      <c r="O640">
        <f>-666.009087090284 -151.461229188869 -498.498050873742</f>
        <v>-1315.9683671528949</v>
      </c>
      <c r="P640">
        <f>-664.168394134135 -191.49650942641 -219.262815319453</f>
        <v>-1074.9277188799981</v>
      </c>
      <c r="Q640">
        <f>-472.874819988048 -105.20364212353 -318.805818831719</f>
        <v>-896.88428094329697</v>
      </c>
      <c r="R640" t="s">
        <v>12224</v>
      </c>
      <c r="S640" t="s">
        <v>12225</v>
      </c>
      <c r="T640" t="s">
        <v>12226</v>
      </c>
      <c r="U640" t="s">
        <v>12227</v>
      </c>
      <c r="V640">
        <f>-574.031442146506 -55.5666097379142 -91.0319704308691</f>
        <v>-720.63002231528935</v>
      </c>
      <c r="W640" t="s">
        <v>12228</v>
      </c>
      <c r="X640" t="s">
        <v>12229</v>
      </c>
      <c r="Y640" t="s">
        <v>12230</v>
      </c>
    </row>
    <row r="641" spans="1:25" x14ac:dyDescent="0.3">
      <c r="A641">
        <v>32000</v>
      </c>
      <c r="B641" t="s">
        <v>12231</v>
      </c>
      <c r="C641" t="s">
        <v>12232</v>
      </c>
      <c r="D641" t="s">
        <v>12233</v>
      </c>
      <c r="E641" t="s">
        <v>12234</v>
      </c>
      <c r="F641" t="s">
        <v>12235</v>
      </c>
      <c r="G641" t="s">
        <v>12236</v>
      </c>
      <c r="H641" t="s">
        <v>12237</v>
      </c>
      <c r="I641" t="s">
        <v>12238</v>
      </c>
      <c r="J641" t="s">
        <v>12239</v>
      </c>
      <c r="K641" t="s">
        <v>12240</v>
      </c>
      <c r="L641" t="s">
        <v>12241</v>
      </c>
      <c r="M641" t="s">
        <v>12242</v>
      </c>
      <c r="N641">
        <f>-644.730160230158 -0.15496781488423 -526.526169162202</f>
        <v>-1171.4112972072444</v>
      </c>
      <c r="O641">
        <f>-666.698772457819 -152.028325730847 -498.414656089861</f>
        <v>-1317.1417542785271</v>
      </c>
      <c r="P641">
        <f>-664.800146489157 -191.791434891986 -219.140805046252</f>
        <v>-1075.7323864273949</v>
      </c>
      <c r="Q641">
        <f>-473.229575205738 -105.753460226947 -318.371426737563</f>
        <v>-897.3544621702481</v>
      </c>
      <c r="R641" t="s">
        <v>12243</v>
      </c>
      <c r="S641" t="s">
        <v>12244</v>
      </c>
      <c r="T641" t="s">
        <v>12245</v>
      </c>
      <c r="U641" t="s">
        <v>12246</v>
      </c>
      <c r="V641">
        <f>-574.264580157355 -56.2997489795657 -91.0699493927394</f>
        <v>-721.63427852966015</v>
      </c>
      <c r="W641" t="s">
        <v>12247</v>
      </c>
      <c r="X641" t="s">
        <v>12248</v>
      </c>
      <c r="Y641" t="s">
        <v>12249</v>
      </c>
    </row>
    <row r="642" spans="1:25" x14ac:dyDescent="0.3">
      <c r="A642">
        <v>32050</v>
      </c>
      <c r="B642" t="s">
        <v>12250</v>
      </c>
      <c r="C642" t="s">
        <v>12251</v>
      </c>
      <c r="D642" t="s">
        <v>12252</v>
      </c>
      <c r="E642" t="s">
        <v>12253</v>
      </c>
      <c r="F642" t="s">
        <v>12254</v>
      </c>
      <c r="G642" t="s">
        <v>12255</v>
      </c>
      <c r="H642" t="s">
        <v>12256</v>
      </c>
      <c r="I642" t="s">
        <v>12257</v>
      </c>
      <c r="J642" t="s">
        <v>12258</v>
      </c>
      <c r="K642" t="s">
        <v>12259</v>
      </c>
      <c r="L642" t="s">
        <v>12260</v>
      </c>
      <c r="M642" t="s">
        <v>12261</v>
      </c>
      <c r="N642">
        <f>-644.967834149602 -0.427891323869972 -526.478090487778</f>
        <v>-1171.8738159612499</v>
      </c>
      <c r="O642">
        <f>-667.17067749003 -152.263918202888 -498.346597292417</f>
        <v>-1317.7811929853351</v>
      </c>
      <c r="P642">
        <f>-664.891343184841 -191.923990125177 -219.060951565666</f>
        <v>-1075.8762848756842</v>
      </c>
      <c r="Q642">
        <f>-473.382309099954 -106.222710723584 -318.700773620675</f>
        <v>-898.30579344421301</v>
      </c>
      <c r="R642" t="s">
        <v>12262</v>
      </c>
      <c r="S642" t="s">
        <v>12263</v>
      </c>
      <c r="T642" t="s">
        <v>12264</v>
      </c>
      <c r="U642" t="s">
        <v>12265</v>
      </c>
      <c r="V642">
        <f>-574.296661522446 -56.7278071078101 -91.0544687503688</f>
        <v>-722.07893738062489</v>
      </c>
      <c r="W642" t="s">
        <v>12266</v>
      </c>
      <c r="X642" t="s">
        <v>12267</v>
      </c>
      <c r="Y642" t="s">
        <v>12268</v>
      </c>
    </row>
    <row r="643" spans="1:25" x14ac:dyDescent="0.3">
      <c r="A643">
        <v>32100</v>
      </c>
      <c r="B643" t="s">
        <v>12269</v>
      </c>
      <c r="C643" t="s">
        <v>12270</v>
      </c>
      <c r="D643" t="s">
        <v>12271</v>
      </c>
      <c r="E643" t="s">
        <v>12272</v>
      </c>
      <c r="F643" t="s">
        <v>12273</v>
      </c>
      <c r="G643" t="s">
        <v>12274</v>
      </c>
      <c r="H643" t="s">
        <v>12275</v>
      </c>
      <c r="I643" t="s">
        <v>12276</v>
      </c>
      <c r="J643" t="s">
        <v>12277</v>
      </c>
      <c r="K643" t="s">
        <v>12278</v>
      </c>
      <c r="L643" t="s">
        <v>12279</v>
      </c>
      <c r="M643" t="s">
        <v>12280</v>
      </c>
      <c r="N643">
        <f>-645.38586701881 -0.878818475107437 -526.340923859287</f>
        <v>-1172.6056093532045</v>
      </c>
      <c r="O643">
        <f>-668.056625757271 -152.64550992895 -498.219209402997</f>
        <v>-1318.921345089218</v>
      </c>
      <c r="P643">
        <f>-664.651628900657 -192.327370471382 -218.948173337081</f>
        <v>-1075.92717270912</v>
      </c>
      <c r="Q643">
        <f>-473.339704412288 -107.403071214555 -319.626460171079</f>
        <v>-900.36923579792199</v>
      </c>
      <c r="R643" t="s">
        <v>12281</v>
      </c>
      <c r="S643" t="s">
        <v>12282</v>
      </c>
      <c r="T643" t="s">
        <v>12283</v>
      </c>
      <c r="U643" t="s">
        <v>12284</v>
      </c>
      <c r="V643">
        <f>-574.057153072089 -57.4140969856999 -91.0044201444671</f>
        <v>-722.47567020225597</v>
      </c>
      <c r="W643" t="s">
        <v>12285</v>
      </c>
      <c r="X643" t="s">
        <v>12286</v>
      </c>
      <c r="Y643" t="s">
        <v>12287</v>
      </c>
    </row>
    <row r="644" spans="1:25" x14ac:dyDescent="0.3">
      <c r="A644">
        <v>32150</v>
      </c>
      <c r="B644" t="s">
        <v>12288</v>
      </c>
      <c r="C644" t="s">
        <v>12289</v>
      </c>
      <c r="D644" t="s">
        <v>12290</v>
      </c>
      <c r="E644" t="s">
        <v>12291</v>
      </c>
      <c r="F644" t="s">
        <v>12292</v>
      </c>
      <c r="G644" t="s">
        <v>12293</v>
      </c>
      <c r="H644" t="s">
        <v>12294</v>
      </c>
      <c r="I644" t="s">
        <v>12295</v>
      </c>
      <c r="J644" t="s">
        <v>12296</v>
      </c>
      <c r="K644" t="s">
        <v>12297</v>
      </c>
      <c r="L644" t="s">
        <v>12298</v>
      </c>
      <c r="M644" t="s">
        <v>12299</v>
      </c>
      <c r="N644">
        <f>-645.586014882142 -1.00061701776553 -526.264612456713</f>
        <v>-1172.8512443566206</v>
      </c>
      <c r="O644">
        <f>-668.470562670694 -152.738504702951 -498.158123453434</f>
        <v>-1319.367190827079</v>
      </c>
      <c r="P644">
        <f>-664.406977740989 -192.542494087316 -218.913227710146</f>
        <v>-1075.8626995384509</v>
      </c>
      <c r="Q644">
        <f>-473.186018732391 -107.823652441753 -319.936912585464</f>
        <v>-900.94658375960807</v>
      </c>
      <c r="R644" t="s">
        <v>12300</v>
      </c>
      <c r="S644" t="s">
        <v>12301</v>
      </c>
      <c r="T644" t="s">
        <v>12302</v>
      </c>
      <c r="U644" t="s">
        <v>12303</v>
      </c>
      <c r="V644">
        <f>-573.853748327111 -57.772640909272 -90.9908010087855</f>
        <v>-722.61719024516856</v>
      </c>
      <c r="W644" t="s">
        <v>12304</v>
      </c>
      <c r="X644" t="s">
        <v>12305</v>
      </c>
      <c r="Y644" t="s">
        <v>12306</v>
      </c>
    </row>
    <row r="645" spans="1:25" x14ac:dyDescent="0.3">
      <c r="A645">
        <v>32200</v>
      </c>
      <c r="B645" t="s">
        <v>12307</v>
      </c>
      <c r="C645" t="s">
        <v>12308</v>
      </c>
      <c r="D645" t="s">
        <v>12309</v>
      </c>
      <c r="E645" t="s">
        <v>12310</v>
      </c>
      <c r="F645" t="s">
        <v>12311</v>
      </c>
      <c r="G645" t="s">
        <v>12312</v>
      </c>
      <c r="H645" t="s">
        <v>12313</v>
      </c>
      <c r="I645" t="s">
        <v>12314</v>
      </c>
      <c r="J645" t="s">
        <v>12315</v>
      </c>
      <c r="K645" t="s">
        <v>12316</v>
      </c>
      <c r="L645" t="s">
        <v>12317</v>
      </c>
      <c r="M645" t="s">
        <v>12318</v>
      </c>
      <c r="N645">
        <f>-645.545552033788 -1.35227389535135 -526.109602406694</f>
        <v>-1173.0074283358333</v>
      </c>
      <c r="O645">
        <f>-668.558781609645 -153.0876130171 -498.128313368616</f>
        <v>-1319.774707995361</v>
      </c>
      <c r="P645">
        <f>-663.825609419794 -193.398319217104 -218.96677583438</f>
        <v>-1076.190704471278</v>
      </c>
      <c r="Q645">
        <f>-472.675115604816 -108.431577230094 -319.915487790075</f>
        <v>-901.02218062498514</v>
      </c>
      <c r="R645" t="s">
        <v>12319</v>
      </c>
      <c r="S645" t="s">
        <v>12320</v>
      </c>
      <c r="T645" t="s">
        <v>12321</v>
      </c>
      <c r="U645" t="s">
        <v>12322</v>
      </c>
      <c r="V645">
        <f>-573.16722228915 -58.5170903232793 -90.9370529626405</f>
        <v>-722.62136557506972</v>
      </c>
      <c r="W645" t="s">
        <v>12323</v>
      </c>
      <c r="X645" t="s">
        <v>12324</v>
      </c>
      <c r="Y645" t="s">
        <v>12325</v>
      </c>
    </row>
    <row r="646" spans="1:25" x14ac:dyDescent="0.3">
      <c r="A646">
        <v>32250</v>
      </c>
      <c r="B646" t="s">
        <v>12326</v>
      </c>
      <c r="C646" t="s">
        <v>12327</v>
      </c>
      <c r="D646" t="s">
        <v>12328</v>
      </c>
      <c r="E646" t="s">
        <v>12329</v>
      </c>
      <c r="F646" t="s">
        <v>12330</v>
      </c>
      <c r="G646" t="s">
        <v>12331</v>
      </c>
      <c r="H646" t="s">
        <v>12332</v>
      </c>
      <c r="I646" t="s">
        <v>12333</v>
      </c>
      <c r="J646" t="s">
        <v>12334</v>
      </c>
      <c r="K646" t="s">
        <v>12335</v>
      </c>
      <c r="L646" t="s">
        <v>12336</v>
      </c>
      <c r="M646" t="s">
        <v>12337</v>
      </c>
      <c r="N646">
        <f>-645.411362909708 -1.51829500038411 -526.046581982065</f>
        <v>-1172.9762398921571</v>
      </c>
      <c r="O646">
        <f>-668.381593968349 -153.287570011126 -498.185826685739</f>
        <v>-1319.854990665214</v>
      </c>
      <c r="P646">
        <f>-663.569724300067 -193.678992783697 -219.03716450158</f>
        <v>-1076.285881585344</v>
      </c>
      <c r="Q646">
        <f>-472.358025404293 -108.731964914932 -319.886856574383</f>
        <v>-900.97684689360813</v>
      </c>
      <c r="R646" t="s">
        <v>12338</v>
      </c>
      <c r="S646" t="s">
        <v>12339</v>
      </c>
      <c r="T646" t="s">
        <v>12340</v>
      </c>
      <c r="U646" t="s">
        <v>12341</v>
      </c>
      <c r="V646">
        <f>-572.7387166982 -58.8334725587104 -90.9027608275685</f>
        <v>-722.47495008447891</v>
      </c>
      <c r="W646" t="s">
        <v>12342</v>
      </c>
      <c r="X646" t="s">
        <v>12343</v>
      </c>
      <c r="Y646" t="s">
        <v>12344</v>
      </c>
    </row>
    <row r="647" spans="1:25" x14ac:dyDescent="0.3">
      <c r="A647">
        <v>32300</v>
      </c>
      <c r="B647" t="s">
        <v>12345</v>
      </c>
      <c r="C647" t="s">
        <v>12346</v>
      </c>
      <c r="D647" t="s">
        <v>12347</v>
      </c>
      <c r="E647" t="s">
        <v>12348</v>
      </c>
      <c r="F647" t="s">
        <v>12349</v>
      </c>
      <c r="G647" t="s">
        <v>12350</v>
      </c>
      <c r="H647" t="s">
        <v>12351</v>
      </c>
      <c r="I647" t="s">
        <v>12352</v>
      </c>
      <c r="J647" t="s">
        <v>12353</v>
      </c>
      <c r="K647" t="s">
        <v>12354</v>
      </c>
      <c r="L647" t="s">
        <v>12355</v>
      </c>
      <c r="M647" t="s">
        <v>12356</v>
      </c>
      <c r="N647">
        <f>-645.04507722748 -1.64647315743582 -525.958140329233</f>
        <v>-1172.6496907141486</v>
      </c>
      <c r="O647">
        <f>-667.851964028474 -153.489359703048 -498.359953179542</f>
        <v>-1319.7012769110638</v>
      </c>
      <c r="P647">
        <f>-662.598342452304 -194.050836342207 -219.243835033317</f>
        <v>-1075.8930138278281</v>
      </c>
      <c r="Q647">
        <f>-471.353119970486 -108.975150396849 -319.921165374838</f>
        <v>-900.24943574217298</v>
      </c>
      <c r="R647" t="s">
        <v>12357</v>
      </c>
      <c r="S647" t="s">
        <v>12358</v>
      </c>
      <c r="T647" t="s">
        <v>12359</v>
      </c>
      <c r="U647" t="s">
        <v>12360</v>
      </c>
      <c r="V647">
        <f>-571.841169863862 -59.2279848268802 -90.8493510105676</f>
        <v>-721.91850570130975</v>
      </c>
      <c r="W647" t="s">
        <v>12361</v>
      </c>
      <c r="X647" t="s">
        <v>12362</v>
      </c>
      <c r="Y647" t="s">
        <v>12363</v>
      </c>
    </row>
    <row r="648" spans="1:25" x14ac:dyDescent="0.3">
      <c r="A648">
        <v>32350</v>
      </c>
      <c r="B648" t="s">
        <v>12364</v>
      </c>
      <c r="C648" t="s">
        <v>12365</v>
      </c>
      <c r="D648" t="s">
        <v>12366</v>
      </c>
      <c r="E648" t="s">
        <v>12367</v>
      </c>
      <c r="F648" t="s">
        <v>12368</v>
      </c>
      <c r="G648" t="s">
        <v>12369</v>
      </c>
      <c r="H648" t="s">
        <v>12370</v>
      </c>
      <c r="I648" t="s">
        <v>12371</v>
      </c>
      <c r="J648" t="s">
        <v>12372</v>
      </c>
      <c r="K648" t="s">
        <v>12373</v>
      </c>
      <c r="L648" t="s">
        <v>12374</v>
      </c>
      <c r="M648" t="s">
        <v>12375</v>
      </c>
      <c r="N648">
        <f>-644.758876677976 -1.59354047603483 -525.951594639825</f>
        <v>-1172.3040117938358</v>
      </c>
      <c r="O648">
        <f>-667.410779883268 -153.49456154053 -498.549350409841</f>
        <v>-1319.4546918336389</v>
      </c>
      <c r="P648">
        <f>-661.94634266189 -194.269088406655 -219.468386571627</f>
        <v>-1075.683817640172</v>
      </c>
      <c r="Q648">
        <f>-470.697426546156 -109.013616764259 -319.986634371401</f>
        <v>-899.697677681816</v>
      </c>
      <c r="R648" t="s">
        <v>12376</v>
      </c>
      <c r="S648" t="s">
        <v>12377</v>
      </c>
      <c r="T648" t="s">
        <v>12378</v>
      </c>
      <c r="U648" t="s">
        <v>12379</v>
      </c>
      <c r="V648">
        <f>-571.449235143853 -59.3404170969593 -90.8229751170597</f>
        <v>-721.61262735787204</v>
      </c>
      <c r="W648" t="s">
        <v>12380</v>
      </c>
      <c r="X648" t="s">
        <v>12381</v>
      </c>
      <c r="Y648" t="s">
        <v>12382</v>
      </c>
    </row>
    <row r="649" spans="1:25" x14ac:dyDescent="0.3">
      <c r="A649">
        <v>32400</v>
      </c>
      <c r="B649" t="s">
        <v>12383</v>
      </c>
      <c r="C649" t="s">
        <v>12384</v>
      </c>
      <c r="D649" t="s">
        <v>12385</v>
      </c>
      <c r="E649" t="s">
        <v>12386</v>
      </c>
      <c r="F649" t="s">
        <v>12387</v>
      </c>
      <c r="G649" t="s">
        <v>12388</v>
      </c>
      <c r="H649" t="s">
        <v>12389</v>
      </c>
      <c r="I649" t="s">
        <v>12390</v>
      </c>
      <c r="J649" t="s">
        <v>12391</v>
      </c>
      <c r="K649" t="s">
        <v>12392</v>
      </c>
      <c r="L649" t="s">
        <v>12393</v>
      </c>
      <c r="M649" t="s">
        <v>12394</v>
      </c>
      <c r="N649">
        <f>-644.032955140267 -1.04765848385273 -526.048322370699</f>
        <v>-1171.1289359948187</v>
      </c>
      <c r="O649">
        <f>-666.15365852254 -153.133150673561 -499.250637772815</f>
        <v>-1318.5374469689159</v>
      </c>
      <c r="P649">
        <f>-660.412085738203 -194.829362750116 -220.311538716464</f>
        <v>-1075.552987204783</v>
      </c>
      <c r="Q649">
        <f>-469.360582142453 -108.597883678922 -320.371430219132</f>
        <v>-898.32989604050692</v>
      </c>
      <c r="R649" t="s">
        <v>12395</v>
      </c>
      <c r="S649" t="s">
        <v>12396</v>
      </c>
      <c r="T649" t="s">
        <v>12397</v>
      </c>
      <c r="U649" t="s">
        <v>12398</v>
      </c>
      <c r="V649">
        <f>-570.815051893595 -59.1745338644278 -90.7642076306125</f>
        <v>-720.75379338863524</v>
      </c>
      <c r="W649" t="s">
        <v>12399</v>
      </c>
      <c r="X649" t="s">
        <v>12400</v>
      </c>
      <c r="Y649" t="s">
        <v>12401</v>
      </c>
    </row>
    <row r="650" spans="1:25" x14ac:dyDescent="0.3">
      <c r="A650">
        <v>32450</v>
      </c>
      <c r="B650" t="s">
        <v>12402</v>
      </c>
      <c r="C650" t="s">
        <v>12403</v>
      </c>
      <c r="D650" t="s">
        <v>12404</v>
      </c>
      <c r="E650" t="s">
        <v>12405</v>
      </c>
      <c r="F650" t="s">
        <v>12406</v>
      </c>
      <c r="G650" t="s">
        <v>12407</v>
      </c>
      <c r="H650" t="s">
        <v>12408</v>
      </c>
      <c r="I650" t="s">
        <v>12409</v>
      </c>
      <c r="J650" t="s">
        <v>12410</v>
      </c>
      <c r="K650" t="s">
        <v>12411</v>
      </c>
      <c r="L650" t="s">
        <v>12412</v>
      </c>
      <c r="M650" t="s">
        <v>12413</v>
      </c>
      <c r="N650">
        <f>-643.760593117881 -0.656855914064863 -526.088883611118</f>
        <v>-1170.5063326430638</v>
      </c>
      <c r="O650">
        <f>-665.550206090168 -152.835056822738 -499.55855151588</f>
        <v>-1317.943814428786</v>
      </c>
      <c r="P650">
        <f>-659.564233846746 -194.865972712378 -220.674803045496</f>
        <v>-1075.1050096046201</v>
      </c>
      <c r="Q650">
        <f>-468.671021768951 -108.103394935401 -320.577550719883</f>
        <v>-897.351967424235</v>
      </c>
      <c r="R650" t="s">
        <v>12414</v>
      </c>
      <c r="S650" t="s">
        <v>12415</v>
      </c>
      <c r="T650" t="s">
        <v>12416</v>
      </c>
      <c r="U650" t="s">
        <v>12417</v>
      </c>
      <c r="V650">
        <f>-570.558333830723 -58.892086514152 -90.7575918252473</f>
        <v>-720.20801217012229</v>
      </c>
      <c r="W650" t="s">
        <v>12418</v>
      </c>
      <c r="X650" t="s">
        <v>12419</v>
      </c>
      <c r="Y650" t="s">
        <v>12420</v>
      </c>
    </row>
    <row r="651" spans="1:25" x14ac:dyDescent="0.3">
      <c r="A651">
        <v>32500</v>
      </c>
      <c r="B651" t="s">
        <v>12421</v>
      </c>
      <c r="C651" t="s">
        <v>12422</v>
      </c>
      <c r="D651" t="s">
        <v>12423</v>
      </c>
      <c r="E651" t="s">
        <v>12424</v>
      </c>
      <c r="F651" t="s">
        <v>12425</v>
      </c>
      <c r="G651" t="s">
        <v>12426</v>
      </c>
      <c r="H651" t="s">
        <v>12427</v>
      </c>
      <c r="I651" t="s">
        <v>12428</v>
      </c>
      <c r="J651" t="s">
        <v>12429</v>
      </c>
      <c r="K651" t="s">
        <v>12430</v>
      </c>
      <c r="L651" t="s">
        <v>12431</v>
      </c>
      <c r="M651" t="s">
        <v>12432</v>
      </c>
      <c r="N651" t="s">
        <v>12433</v>
      </c>
      <c r="O651">
        <f>-664.665407418656 -152.293725820602 -499.818944308569</f>
        <v>-1316.7780775478268</v>
      </c>
      <c r="P651">
        <f>-657.912294880394 -194.82047843921 -221.027848732194</f>
        <v>-1073.760622051798</v>
      </c>
      <c r="Q651">
        <f>-467.57941122304 -106.808694568617 -320.906813569725</f>
        <v>-895.29491936138197</v>
      </c>
      <c r="R651" t="s">
        <v>12434</v>
      </c>
      <c r="S651" t="s">
        <v>12435</v>
      </c>
      <c r="T651" t="s">
        <v>12436</v>
      </c>
      <c r="U651" t="s">
        <v>12437</v>
      </c>
      <c r="V651">
        <f>-570.024201981737 -58.2932830246068 -90.7618558039229</f>
        <v>-719.07934081026667</v>
      </c>
      <c r="W651" t="s">
        <v>12438</v>
      </c>
      <c r="X651" t="s">
        <v>12439</v>
      </c>
      <c r="Y651" t="s">
        <v>12440</v>
      </c>
    </row>
    <row r="652" spans="1:25" x14ac:dyDescent="0.3">
      <c r="A652">
        <v>32550</v>
      </c>
      <c r="B652" t="s">
        <v>12441</v>
      </c>
      <c r="C652" t="s">
        <v>12442</v>
      </c>
      <c r="D652" t="s">
        <v>12443</v>
      </c>
      <c r="E652" t="s">
        <v>12444</v>
      </c>
      <c r="F652" t="s">
        <v>12445</v>
      </c>
      <c r="G652" t="s">
        <v>12446</v>
      </c>
      <c r="H652" t="s">
        <v>12447</v>
      </c>
      <c r="I652" t="s">
        <v>12448</v>
      </c>
      <c r="J652" t="s">
        <v>12449</v>
      </c>
      <c r="K652" t="s">
        <v>12450</v>
      </c>
      <c r="L652" t="s">
        <v>12451</v>
      </c>
      <c r="M652" t="s">
        <v>12452</v>
      </c>
      <c r="N652" t="s">
        <v>12453</v>
      </c>
      <c r="O652">
        <f>-664.375198467436 -152.15251211571 -499.803086607019</f>
        <v>-1316.330797190165</v>
      </c>
      <c r="P652">
        <f>-657.163512653327 -194.567073087859 -221.006439511975</f>
        <v>-1072.7370252531609</v>
      </c>
      <c r="Q652">
        <f>-467.158758847125 -106.039393638618 -321.054287559494</f>
        <v>-894.25244004523699</v>
      </c>
      <c r="R652" t="s">
        <v>12454</v>
      </c>
      <c r="S652" t="s">
        <v>12455</v>
      </c>
      <c r="T652" t="s">
        <v>12456</v>
      </c>
      <c r="U652" t="s">
        <v>12457</v>
      </c>
      <c r="V652">
        <f>-569.758686403377 -57.9519872016133 -90.7570451171225</f>
        <v>-718.46771872211286</v>
      </c>
      <c r="W652" t="s">
        <v>12458</v>
      </c>
      <c r="X652" t="s">
        <v>12459</v>
      </c>
      <c r="Y652" t="s">
        <v>12460</v>
      </c>
    </row>
    <row r="653" spans="1:25" x14ac:dyDescent="0.3">
      <c r="A653">
        <v>32600</v>
      </c>
      <c r="B653" t="s">
        <v>12461</v>
      </c>
      <c r="C653" t="s">
        <v>12462</v>
      </c>
      <c r="D653" t="s">
        <v>12463</v>
      </c>
      <c r="E653" t="s">
        <v>12464</v>
      </c>
      <c r="F653" t="s">
        <v>12465</v>
      </c>
      <c r="G653" t="s">
        <v>12466</v>
      </c>
      <c r="H653" t="s">
        <v>12467</v>
      </c>
      <c r="I653" t="s">
        <v>12468</v>
      </c>
      <c r="J653" t="s">
        <v>12469</v>
      </c>
      <c r="K653" t="s">
        <v>12470</v>
      </c>
      <c r="L653" t="s">
        <v>12471</v>
      </c>
      <c r="M653" t="s">
        <v>12472</v>
      </c>
      <c r="N653" t="s">
        <v>12473</v>
      </c>
      <c r="O653">
        <f>-664.278679461447 -151.994007055324 -499.453437513062</f>
        <v>-1315.726124029833</v>
      </c>
      <c r="P653">
        <f>-656.222650857175 -193.618292514848 -220.560801541826</f>
        <v>-1070.4017449138491</v>
      </c>
      <c r="Q653">
        <f>-466.954019880736 -104.267566384333 -321.270129146115</f>
        <v>-892.49171541118392</v>
      </c>
      <c r="R653" t="s">
        <v>12474</v>
      </c>
      <c r="S653" t="s">
        <v>12475</v>
      </c>
      <c r="T653" t="s">
        <v>12476</v>
      </c>
      <c r="U653" t="s">
        <v>12477</v>
      </c>
      <c r="V653">
        <f>-569.334729151622 -57.2268135107809 -90.7316484536025</f>
        <v>-717.29319111600535</v>
      </c>
      <c r="W653" t="s">
        <v>12478</v>
      </c>
      <c r="X653" t="s">
        <v>12479</v>
      </c>
      <c r="Y653" t="s">
        <v>12480</v>
      </c>
    </row>
    <row r="654" spans="1:25" x14ac:dyDescent="0.3">
      <c r="A654">
        <v>32650</v>
      </c>
      <c r="B654" t="s">
        <v>12481</v>
      </c>
      <c r="C654" t="s">
        <v>12482</v>
      </c>
      <c r="D654" t="s">
        <v>12483</v>
      </c>
      <c r="E654" t="s">
        <v>12484</v>
      </c>
      <c r="F654" t="s">
        <v>12485</v>
      </c>
      <c r="G654" t="s">
        <v>12486</v>
      </c>
      <c r="H654" t="s">
        <v>12487</v>
      </c>
      <c r="I654" t="s">
        <v>12488</v>
      </c>
      <c r="J654" t="s">
        <v>12489</v>
      </c>
      <c r="K654" t="s">
        <v>12490</v>
      </c>
      <c r="L654" t="s">
        <v>12491</v>
      </c>
      <c r="M654" t="s">
        <v>12492</v>
      </c>
      <c r="N654" t="s">
        <v>12493</v>
      </c>
      <c r="O654">
        <f>-664.39968266865 -151.892099674385 -499.164082696972</f>
        <v>-1315.455865040007</v>
      </c>
      <c r="P654">
        <f>-655.946718502991 -193.149383994348 -220.228664662541</f>
        <v>-1069.3247671598799</v>
      </c>
      <c r="Q654">
        <f>-467.000536492302 -103.53793959683 -321.311118314636</f>
        <v>-891.84959440376804</v>
      </c>
      <c r="R654" t="s">
        <v>12494</v>
      </c>
      <c r="S654" t="s">
        <v>12495</v>
      </c>
      <c r="T654" t="s">
        <v>12496</v>
      </c>
      <c r="U654" t="s">
        <v>12497</v>
      </c>
      <c r="V654">
        <f>-569.145683492471 -56.8936962609516 -90.7099763186524</f>
        <v>-716.74935607207499</v>
      </c>
      <c r="W654" t="s">
        <v>12498</v>
      </c>
      <c r="X654" t="s">
        <v>12499</v>
      </c>
      <c r="Y654" t="s">
        <v>12500</v>
      </c>
    </row>
    <row r="655" spans="1:25" x14ac:dyDescent="0.3">
      <c r="A655">
        <v>32700</v>
      </c>
      <c r="B655" t="s">
        <v>12501</v>
      </c>
      <c r="C655" t="s">
        <v>12502</v>
      </c>
      <c r="D655" t="s">
        <v>12503</v>
      </c>
      <c r="E655" t="s">
        <v>12504</v>
      </c>
      <c r="F655" t="s">
        <v>12505</v>
      </c>
      <c r="G655" t="s">
        <v>12506</v>
      </c>
      <c r="H655" t="s">
        <v>12507</v>
      </c>
      <c r="I655" t="s">
        <v>12508</v>
      </c>
      <c r="J655" t="s">
        <v>12509</v>
      </c>
      <c r="K655" t="s">
        <v>12510</v>
      </c>
      <c r="L655" t="s">
        <v>12511</v>
      </c>
      <c r="M655" t="s">
        <v>12512</v>
      </c>
      <c r="N655" t="s">
        <v>12513</v>
      </c>
      <c r="O655">
        <f>-664.746860198987 -151.822704233537 -498.534920160782</f>
        <v>-1315.1044845933061</v>
      </c>
      <c r="P655">
        <f>-655.600455069433 -192.35024225497 -219.51435680175</f>
        <v>-1067.4650541261531</v>
      </c>
      <c r="Q655">
        <f>-467.108072819786 -102.58348501601 -321.303903396272</f>
        <v>-890.99546123206801</v>
      </c>
      <c r="R655" t="s">
        <v>12514</v>
      </c>
      <c r="S655" t="s">
        <v>12515</v>
      </c>
      <c r="T655" t="s">
        <v>12516</v>
      </c>
      <c r="U655" t="s">
        <v>12517</v>
      </c>
      <c r="V655">
        <f>-568.930859425519 -56.3340166770092 -90.6484291721166</f>
        <v>-715.91330527464481</v>
      </c>
      <c r="W655" t="s">
        <v>12518</v>
      </c>
      <c r="X655" t="s">
        <v>12519</v>
      </c>
      <c r="Y655" t="s">
        <v>12520</v>
      </c>
    </row>
    <row r="656" spans="1:25" x14ac:dyDescent="0.3">
      <c r="A656">
        <v>32750</v>
      </c>
      <c r="B656" t="s">
        <v>12521</v>
      </c>
      <c r="C656" t="s">
        <v>12522</v>
      </c>
      <c r="D656" t="s">
        <v>12523</v>
      </c>
      <c r="E656" t="s">
        <v>12524</v>
      </c>
      <c r="F656" t="s">
        <v>12525</v>
      </c>
      <c r="G656" t="s">
        <v>12526</v>
      </c>
      <c r="H656" t="s">
        <v>12527</v>
      </c>
      <c r="I656" t="s">
        <v>12528</v>
      </c>
      <c r="J656" t="s">
        <v>12529</v>
      </c>
      <c r="K656" t="s">
        <v>12530</v>
      </c>
      <c r="L656" t="s">
        <v>12531</v>
      </c>
      <c r="M656" t="s">
        <v>12532</v>
      </c>
      <c r="N656" t="s">
        <v>12533</v>
      </c>
      <c r="O656">
        <f>-664.986224583164 -151.854098075811 -498.201643168562</f>
        <v>-1315.0419658275371</v>
      </c>
      <c r="P656">
        <f>-655.5411111384 -191.966176377883 -219.131161177418</f>
        <v>-1066.6384486937009</v>
      </c>
      <c r="Q656">
        <f>-467.173304246049 -102.309642219248 -321.247829481515</f>
        <v>-890.73077594681195</v>
      </c>
      <c r="R656" t="s">
        <v>12534</v>
      </c>
      <c r="S656" t="s">
        <v>12535</v>
      </c>
      <c r="T656" t="s">
        <v>12536</v>
      </c>
      <c r="U656" t="s">
        <v>12537</v>
      </c>
      <c r="V656">
        <f>-568.882065934913 -56.0846656431274 -90.6148630239018</f>
        <v>-715.58159460194224</v>
      </c>
      <c r="W656" t="s">
        <v>12538</v>
      </c>
      <c r="X656" t="s">
        <v>12539</v>
      </c>
      <c r="Y656" t="s">
        <v>12540</v>
      </c>
    </row>
    <row r="657" spans="1:25" x14ac:dyDescent="0.3">
      <c r="A657">
        <v>32800</v>
      </c>
      <c r="B657" t="s">
        <v>12541</v>
      </c>
      <c r="C657" t="s">
        <v>12542</v>
      </c>
      <c r="D657" t="s">
        <v>12543</v>
      </c>
      <c r="E657" t="s">
        <v>12544</v>
      </c>
      <c r="F657" t="s">
        <v>12545</v>
      </c>
      <c r="G657" t="s">
        <v>12546</v>
      </c>
      <c r="H657" t="s">
        <v>12547</v>
      </c>
      <c r="I657" t="s">
        <v>12548</v>
      </c>
      <c r="J657" t="s">
        <v>12549</v>
      </c>
      <c r="K657" t="s">
        <v>12550</v>
      </c>
      <c r="L657" t="s">
        <v>12551</v>
      </c>
      <c r="M657" t="s">
        <v>12552</v>
      </c>
      <c r="N657" t="s">
        <v>12553</v>
      </c>
      <c r="O657">
        <f>-665.530362464377 -151.872547479044 -497.536451827217</f>
        <v>-1314.939361770638</v>
      </c>
      <c r="P657">
        <f>-655.66739674749 -191.192976822887 -218.367696512682</f>
        <v>-1065.228070083059</v>
      </c>
      <c r="Q657">
        <f>-467.530841429338 -101.80212635857 -321.141428219576</f>
        <v>-890.47439600748407</v>
      </c>
      <c r="R657" t="s">
        <v>12554</v>
      </c>
      <c r="S657" t="s">
        <v>12555</v>
      </c>
      <c r="T657" t="s">
        <v>12556</v>
      </c>
      <c r="U657" t="s">
        <v>12557</v>
      </c>
      <c r="V657">
        <f>-568.8818500089 -55.5611547249212 -90.5506154041898</f>
        <v>-714.9936201380109</v>
      </c>
      <c r="W657" t="s">
        <v>12558</v>
      </c>
      <c r="X657" t="s">
        <v>12559</v>
      </c>
      <c r="Y657" t="s">
        <v>12560</v>
      </c>
    </row>
    <row r="658" spans="1:25" x14ac:dyDescent="0.3">
      <c r="A658">
        <v>32850</v>
      </c>
      <c r="B658" t="s">
        <v>12561</v>
      </c>
      <c r="C658" t="s">
        <v>12562</v>
      </c>
      <c r="D658" t="s">
        <v>12563</v>
      </c>
      <c r="E658" t="s">
        <v>12564</v>
      </c>
      <c r="F658" t="s">
        <v>12565</v>
      </c>
      <c r="G658" t="s">
        <v>12566</v>
      </c>
      <c r="H658" t="s">
        <v>12567</v>
      </c>
      <c r="I658" t="s">
        <v>12568</v>
      </c>
      <c r="J658" t="s">
        <v>12569</v>
      </c>
      <c r="K658" t="s">
        <v>12570</v>
      </c>
      <c r="L658" t="s">
        <v>12571</v>
      </c>
      <c r="M658" t="s">
        <v>12572</v>
      </c>
      <c r="N658" t="s">
        <v>12573</v>
      </c>
      <c r="O658">
        <f>-665.768552866824 -151.86700407808 -497.229653438608</f>
        <v>-1314.865210383512</v>
      </c>
      <c r="P658">
        <f>-655.766142480451 -190.787340446377 -218.009804354671</f>
        <v>-1064.563287281499</v>
      </c>
      <c r="Q658">
        <f>-467.69202246746 -101.655459829758 -321.122026883591</f>
        <v>-890.46950918080893</v>
      </c>
      <c r="R658" t="s">
        <v>12574</v>
      </c>
      <c r="S658" t="s">
        <v>12575</v>
      </c>
      <c r="T658" t="s">
        <v>12576</v>
      </c>
      <c r="U658" t="s">
        <v>12577</v>
      </c>
      <c r="V658">
        <f>-568.894574363259 -55.3071273243311 -90.512692388455</f>
        <v>-714.7143940760451</v>
      </c>
      <c r="W658" t="s">
        <v>12578</v>
      </c>
      <c r="X658" t="s">
        <v>12579</v>
      </c>
      <c r="Y658" t="s">
        <v>12580</v>
      </c>
    </row>
    <row r="659" spans="1:25" x14ac:dyDescent="0.3">
      <c r="A659">
        <v>32900</v>
      </c>
      <c r="B659" t="s">
        <v>12581</v>
      </c>
      <c r="C659" t="s">
        <v>12582</v>
      </c>
      <c r="D659" t="s">
        <v>12583</v>
      </c>
      <c r="E659" t="s">
        <v>12584</v>
      </c>
      <c r="F659" t="s">
        <v>12585</v>
      </c>
      <c r="G659" t="s">
        <v>12586</v>
      </c>
      <c r="H659" t="s">
        <v>12587</v>
      </c>
      <c r="I659" t="s">
        <v>12588</v>
      </c>
      <c r="J659" t="s">
        <v>12589</v>
      </c>
      <c r="K659" t="s">
        <v>12590</v>
      </c>
      <c r="L659" t="s">
        <v>12591</v>
      </c>
      <c r="M659" t="s">
        <v>12592</v>
      </c>
      <c r="N659" t="s">
        <v>12593</v>
      </c>
      <c r="O659">
        <f>-666.434680134702 -151.893618431146 -496.695621247828</f>
        <v>-1315.023919813676</v>
      </c>
      <c r="P659">
        <f>-656.00631001371 -190.107658718879 -217.393903476036</f>
        <v>-1063.507872208625</v>
      </c>
      <c r="Q659">
        <f>-468.046295454719 -101.651747825109 -321.293254426579</f>
        <v>-890.99129770640695</v>
      </c>
      <c r="R659" t="s">
        <v>12594</v>
      </c>
      <c r="S659" t="s">
        <v>12595</v>
      </c>
      <c r="T659" t="s">
        <v>12596</v>
      </c>
      <c r="U659" t="s">
        <v>12597</v>
      </c>
      <c r="V659">
        <f>-569.029251136513 -54.9140525692003 -90.4514822629451</f>
        <v>-714.39478596865843</v>
      </c>
      <c r="W659" t="s">
        <v>12598</v>
      </c>
      <c r="X659" t="s">
        <v>12599</v>
      </c>
      <c r="Y659" t="s">
        <v>12600</v>
      </c>
    </row>
    <row r="660" spans="1:25" x14ac:dyDescent="0.3">
      <c r="A660">
        <v>32950</v>
      </c>
      <c r="B660" t="s">
        <v>12601</v>
      </c>
      <c r="C660" t="s">
        <v>12602</v>
      </c>
      <c r="D660" t="s">
        <v>12603</v>
      </c>
      <c r="E660" t="s">
        <v>12604</v>
      </c>
      <c r="F660" t="s">
        <v>12605</v>
      </c>
      <c r="G660" t="s">
        <v>12606</v>
      </c>
      <c r="H660" t="s">
        <v>12607</v>
      </c>
      <c r="I660" t="s">
        <v>12608</v>
      </c>
      <c r="J660" t="s">
        <v>12609</v>
      </c>
      <c r="K660" t="s">
        <v>12610</v>
      </c>
      <c r="L660" t="s">
        <v>12611</v>
      </c>
      <c r="M660" t="s">
        <v>12612</v>
      </c>
      <c r="N660" t="s">
        <v>12613</v>
      </c>
      <c r="O660">
        <f>-666.780111220256 -151.982428941056 -496.405009187927</f>
        <v>-1315.1675493492389</v>
      </c>
      <c r="P660">
        <f>-656.140513525395 -189.929765569141 -217.07478619326</f>
        <v>-1063.1450652877961</v>
      </c>
      <c r="Q660">
        <f>-468.24544167537 -101.765078187351 -321.33863282282</f>
        <v>-891.34915268554096</v>
      </c>
      <c r="R660" t="s">
        <v>12614</v>
      </c>
      <c r="S660" t="s">
        <v>12615</v>
      </c>
      <c r="T660" t="s">
        <v>12616</v>
      </c>
      <c r="U660" t="s">
        <v>12617</v>
      </c>
      <c r="V660">
        <f>-569.042854060162 -54.8334075536734 -90.4156493217095</f>
        <v>-714.29191093554482</v>
      </c>
      <c r="W660" t="s">
        <v>12618</v>
      </c>
      <c r="X660" t="s">
        <v>12619</v>
      </c>
      <c r="Y660" t="s">
        <v>12620</v>
      </c>
    </row>
    <row r="661" spans="1:25" x14ac:dyDescent="0.3">
      <c r="A661">
        <v>33000</v>
      </c>
      <c r="B661" t="s">
        <v>12621</v>
      </c>
      <c r="C661" t="s">
        <v>12622</v>
      </c>
      <c r="D661" t="s">
        <v>12623</v>
      </c>
      <c r="E661" t="s">
        <v>12624</v>
      </c>
      <c r="F661" t="s">
        <v>12625</v>
      </c>
      <c r="G661" t="s">
        <v>12626</v>
      </c>
      <c r="H661" t="s">
        <v>12627</v>
      </c>
      <c r="I661" t="s">
        <v>12628</v>
      </c>
      <c r="J661" t="s">
        <v>12629</v>
      </c>
      <c r="K661" t="s">
        <v>12630</v>
      </c>
      <c r="L661" t="s">
        <v>12631</v>
      </c>
      <c r="M661" t="s">
        <v>12632</v>
      </c>
      <c r="N661">
        <f>-646.955775094242 -0.386326820861541 -524.573136586965</f>
        <v>-1171.9152385020684</v>
      </c>
      <c r="O661">
        <f>-667.067023738239 -152.377126502766 -495.734733644455</f>
        <v>-1315.17888388546</v>
      </c>
      <c r="P661">
        <f>-656.008343358702 -189.560839149889 -216.318058646772</f>
        <v>-1061.887241155363</v>
      </c>
      <c r="Q661">
        <f>-468.184779419896 -102.084698560824 -321.288598113464</f>
        <v>-891.558076094184</v>
      </c>
      <c r="R661" t="s">
        <v>12633</v>
      </c>
      <c r="S661" t="s">
        <v>12634</v>
      </c>
      <c r="T661" t="s">
        <v>12635</v>
      </c>
      <c r="U661" t="s">
        <v>12636</v>
      </c>
      <c r="V661">
        <f>-568.869506534943 -54.7687416202459 -90.2893135110119</f>
        <v>-713.92756166620075</v>
      </c>
      <c r="W661" t="s">
        <v>12637</v>
      </c>
      <c r="X661" t="s">
        <v>12638</v>
      </c>
      <c r="Y661" t="s">
        <v>12639</v>
      </c>
    </row>
    <row r="662" spans="1:25" x14ac:dyDescent="0.3">
      <c r="A662">
        <v>33050</v>
      </c>
      <c r="B662" t="s">
        <v>12640</v>
      </c>
      <c r="C662" t="s">
        <v>12641</v>
      </c>
      <c r="D662" t="s">
        <v>12642</v>
      </c>
      <c r="E662" t="s">
        <v>12643</v>
      </c>
      <c r="F662" t="s">
        <v>12644</v>
      </c>
      <c r="G662" t="s">
        <v>12645</v>
      </c>
      <c r="H662" t="s">
        <v>12646</v>
      </c>
      <c r="I662" t="s">
        <v>12647</v>
      </c>
      <c r="J662" t="s">
        <v>12648</v>
      </c>
      <c r="K662" t="s">
        <v>12649</v>
      </c>
      <c r="L662" t="s">
        <v>12650</v>
      </c>
      <c r="M662" t="s">
        <v>12651</v>
      </c>
      <c r="N662">
        <f>-646.940088110618 -0.652878723219601 -524.440475747467</f>
        <v>-1172.0334425813046</v>
      </c>
      <c r="O662">
        <f>-667.109093894084 -152.592194607711 -495.358293135314</f>
        <v>-1315.059581637109</v>
      </c>
      <c r="P662">
        <f>-655.848440938302 -189.322923044679 -215.88972409933</f>
        <v>-1061.061088082311</v>
      </c>
      <c r="Q662">
        <f>-468.0298147936 -102.171178102687 -321.138442269511</f>
        <v>-891.33943516579802</v>
      </c>
      <c r="R662" t="s">
        <v>12652</v>
      </c>
      <c r="S662" t="s">
        <v>12653</v>
      </c>
      <c r="T662" t="s">
        <v>12654</v>
      </c>
      <c r="U662" t="s">
        <v>12655</v>
      </c>
      <c r="V662">
        <f>-568.658970036385 -54.7876881470247 -90.2012118003413</f>
        <v>-713.64786998375098</v>
      </c>
      <c r="W662" t="s">
        <v>12656</v>
      </c>
      <c r="X662" t="s">
        <v>12657</v>
      </c>
      <c r="Y662" t="s">
        <v>12658</v>
      </c>
    </row>
    <row r="663" spans="1:25" x14ac:dyDescent="0.3">
      <c r="A663">
        <v>33100</v>
      </c>
      <c r="B663" t="s">
        <v>12659</v>
      </c>
      <c r="C663" t="s">
        <v>12660</v>
      </c>
      <c r="D663" t="s">
        <v>12661</v>
      </c>
      <c r="E663" t="s">
        <v>12662</v>
      </c>
      <c r="F663" t="s">
        <v>12663</v>
      </c>
      <c r="G663" t="s">
        <v>12664</v>
      </c>
      <c r="H663" t="s">
        <v>12665</v>
      </c>
      <c r="I663" t="s">
        <v>12666</v>
      </c>
      <c r="J663" t="s">
        <v>12667</v>
      </c>
      <c r="K663" t="s">
        <v>12668</v>
      </c>
      <c r="L663" t="s">
        <v>12669</v>
      </c>
      <c r="M663" t="s">
        <v>12670</v>
      </c>
      <c r="N663">
        <f>-647.350639427023 -1.10333220131201 -524.057387071125</f>
        <v>-1172.5113586994601</v>
      </c>
      <c r="O663">
        <f>-667.626114119559 -152.956428216682 -494.59238377277</f>
        <v>-1315.174926109011</v>
      </c>
      <c r="P663">
        <f>-656.118928156485 -188.761142158078 -215.013793847127</f>
        <v>-1059.8938641616901</v>
      </c>
      <c r="Q663">
        <f>-468.205974831257 -102.349218518881 -320.702994371371</f>
        <v>-891.25818772150899</v>
      </c>
      <c r="R663" t="s">
        <v>12671</v>
      </c>
      <c r="S663" t="s">
        <v>12672</v>
      </c>
      <c r="T663" t="s">
        <v>12673</v>
      </c>
      <c r="U663" t="s">
        <v>12674</v>
      </c>
      <c r="V663">
        <f>-568.244626700985 -54.7988403931972 -89.9905433091502</f>
        <v>-713.03401040333245</v>
      </c>
      <c r="W663" t="s">
        <v>12675</v>
      </c>
      <c r="X663" t="s">
        <v>12676</v>
      </c>
      <c r="Y663" t="s">
        <v>12677</v>
      </c>
    </row>
    <row r="664" spans="1:25" x14ac:dyDescent="0.3">
      <c r="A664">
        <v>33150</v>
      </c>
      <c r="B664" t="s">
        <v>12678</v>
      </c>
      <c r="C664" t="s">
        <v>12679</v>
      </c>
      <c r="D664" t="s">
        <v>12680</v>
      </c>
      <c r="E664" t="s">
        <v>12681</v>
      </c>
      <c r="F664" t="s">
        <v>12682</v>
      </c>
      <c r="G664" t="s">
        <v>12683</v>
      </c>
      <c r="H664" t="s">
        <v>12684</v>
      </c>
      <c r="I664" t="s">
        <v>12685</v>
      </c>
      <c r="J664" t="s">
        <v>12686</v>
      </c>
      <c r="K664" t="s">
        <v>12687</v>
      </c>
      <c r="L664" t="s">
        <v>12688</v>
      </c>
      <c r="M664" t="s">
        <v>12689</v>
      </c>
      <c r="N664">
        <f>-647.673137863566 -1.31502374101069 -523.828477283997</f>
        <v>-1172.8166388885738</v>
      </c>
      <c r="O664">
        <f>-668.043967490009 -153.119357044577 -494.180137794626</f>
        <v>-1315.3434623292119</v>
      </c>
      <c r="P664">
        <f>-656.297112632459 -188.610570392313 -214.57163561907</f>
        <v>-1059.4793186438419</v>
      </c>
      <c r="Q664">
        <f>-468.341536736445 -102.38699543519 -320.33897794554</f>
        <v>-891.06751011717506</v>
      </c>
      <c r="R664" t="s">
        <v>12690</v>
      </c>
      <c r="S664" t="s">
        <v>12691</v>
      </c>
      <c r="T664" t="s">
        <v>12692</v>
      </c>
      <c r="U664" t="s">
        <v>12693</v>
      </c>
      <c r="V664">
        <f>-568.007567675881 -54.8024477830816 -89.8697764612468</f>
        <v>-712.67979192020937</v>
      </c>
      <c r="W664" t="s">
        <v>12694</v>
      </c>
      <c r="X664" t="s">
        <v>12695</v>
      </c>
      <c r="Y664" t="s">
        <v>12696</v>
      </c>
    </row>
    <row r="665" spans="1:25" x14ac:dyDescent="0.3">
      <c r="A665">
        <v>33200</v>
      </c>
      <c r="B665" t="s">
        <v>12697</v>
      </c>
      <c r="C665" t="s">
        <v>12698</v>
      </c>
      <c r="D665" t="s">
        <v>12699</v>
      </c>
      <c r="E665" t="s">
        <v>12700</v>
      </c>
      <c r="F665" t="s">
        <v>12701</v>
      </c>
      <c r="G665" t="s">
        <v>12702</v>
      </c>
      <c r="H665" t="s">
        <v>12703</v>
      </c>
      <c r="I665" t="s">
        <v>12704</v>
      </c>
      <c r="J665" t="s">
        <v>12705</v>
      </c>
      <c r="K665" t="s">
        <v>12706</v>
      </c>
      <c r="L665" t="s">
        <v>12707</v>
      </c>
      <c r="M665" t="s">
        <v>12708</v>
      </c>
      <c r="N665">
        <f>-648.354791504151 -1.78778471666737 -523.384177139942</f>
        <v>-1173.5267533607603</v>
      </c>
      <c r="O665">
        <f>-668.789774514846 -153.504054924443 -493.354784933196</f>
        <v>-1315.6486143724851</v>
      </c>
      <c r="P665">
        <f>-656.272723616368 -188.377832391025 -213.701886207721</f>
        <v>-1058.352442215114</v>
      </c>
      <c r="Q665">
        <f>-468.249659874375 -102.589798111587 -319.70336163763</f>
        <v>-890.54281962359198</v>
      </c>
      <c r="R665" t="s">
        <v>12709</v>
      </c>
      <c r="S665" t="s">
        <v>12710</v>
      </c>
      <c r="T665" t="s">
        <v>12711</v>
      </c>
      <c r="U665" t="s">
        <v>12712</v>
      </c>
      <c r="V665">
        <f>-567.723579621785 -54.7348152523182 -89.6603861407826</f>
        <v>-712.11878101488583</v>
      </c>
      <c r="W665" t="s">
        <v>12713</v>
      </c>
      <c r="X665" t="s">
        <v>12714</v>
      </c>
      <c r="Y665" t="s">
        <v>12715</v>
      </c>
    </row>
    <row r="666" spans="1:25" x14ac:dyDescent="0.3">
      <c r="A666">
        <v>33250</v>
      </c>
      <c r="B666" t="s">
        <v>12716</v>
      </c>
      <c r="C666" t="s">
        <v>12717</v>
      </c>
      <c r="D666" t="s">
        <v>12718</v>
      </c>
      <c r="E666" t="s">
        <v>12719</v>
      </c>
      <c r="F666" t="s">
        <v>12720</v>
      </c>
      <c r="G666" t="s">
        <v>12721</v>
      </c>
      <c r="H666" t="s">
        <v>12722</v>
      </c>
      <c r="I666" t="s">
        <v>12723</v>
      </c>
      <c r="J666" t="s">
        <v>12724</v>
      </c>
      <c r="K666" t="s">
        <v>12725</v>
      </c>
      <c r="L666" t="s">
        <v>12726</v>
      </c>
      <c r="M666" t="s">
        <v>12727</v>
      </c>
      <c r="N666">
        <f>-648.81163633389 -2.00126791254934 -523.127192617335</f>
        <v>-1173.9400968637742</v>
      </c>
      <c r="O666">
        <f>-669.261918938305 -153.668210298491 -492.848731716931</f>
        <v>-1315.778860953727</v>
      </c>
      <c r="P666">
        <f>-656.07367880804 -188.246108393966 -213.189976907631</f>
        <v>-1057.509764109637</v>
      </c>
      <c r="Q666">
        <f>-468.058658224145 -102.689471744792 -319.392252884129</f>
        <v>-890.14038285306606</v>
      </c>
      <c r="R666" t="s">
        <v>12728</v>
      </c>
      <c r="S666" t="s">
        <v>12729</v>
      </c>
      <c r="T666" t="s">
        <v>12730</v>
      </c>
      <c r="U666" t="s">
        <v>12731</v>
      </c>
      <c r="V666">
        <f>-567.627384891644 -54.6273788125293 -89.5776666620314</f>
        <v>-711.83243036620479</v>
      </c>
      <c r="W666" t="s">
        <v>12732</v>
      </c>
      <c r="X666" t="s">
        <v>12733</v>
      </c>
      <c r="Y666" t="s">
        <v>12734</v>
      </c>
    </row>
    <row r="667" spans="1:25" x14ac:dyDescent="0.3">
      <c r="A667">
        <v>33300</v>
      </c>
      <c r="B667" t="s">
        <v>12735</v>
      </c>
      <c r="C667" t="s">
        <v>12736</v>
      </c>
      <c r="D667" t="s">
        <v>12737</v>
      </c>
      <c r="E667" t="s">
        <v>12738</v>
      </c>
      <c r="F667" t="s">
        <v>12739</v>
      </c>
      <c r="G667" t="s">
        <v>12740</v>
      </c>
      <c r="H667" t="s">
        <v>12741</v>
      </c>
      <c r="I667" t="s">
        <v>12742</v>
      </c>
      <c r="J667" t="s">
        <v>12743</v>
      </c>
      <c r="K667" t="s">
        <v>12744</v>
      </c>
      <c r="L667" t="s">
        <v>12745</v>
      </c>
      <c r="M667" t="s">
        <v>12746</v>
      </c>
      <c r="N667">
        <f>-650.035044307401 -2.56147659083149 -522.601958675451</f>
        <v>-1175.1984795736835</v>
      </c>
      <c r="O667">
        <f>-670.473486578231 -154.100870739938 -491.707200220116</f>
        <v>-1316.2815575382849</v>
      </c>
      <c r="P667">
        <f>-655.610923922461 -187.318649101534 -211.967511932871</f>
        <v>-1054.8970849568659</v>
      </c>
      <c r="Q667">
        <f>-467.414550226596 -102.745370287237 -318.635223205519</f>
        <v>-888.79514371935193</v>
      </c>
      <c r="R667" t="s">
        <v>12747</v>
      </c>
      <c r="S667" t="s">
        <v>12748</v>
      </c>
      <c r="T667" t="s">
        <v>12749</v>
      </c>
      <c r="U667" t="s">
        <v>12750</v>
      </c>
      <c r="V667">
        <f>-567.384444948933 -54.4867884431987 -89.4313020151163</f>
        <v>-711.30253540724812</v>
      </c>
      <c r="W667" t="s">
        <v>12751</v>
      </c>
      <c r="X667" t="s">
        <v>12752</v>
      </c>
      <c r="Y667" t="s">
        <v>12753</v>
      </c>
    </row>
    <row r="668" spans="1:25" x14ac:dyDescent="0.3">
      <c r="A668">
        <v>33350</v>
      </c>
      <c r="B668" t="s">
        <v>12754</v>
      </c>
      <c r="C668" t="s">
        <v>12755</v>
      </c>
      <c r="D668" t="s">
        <v>12756</v>
      </c>
      <c r="E668" t="s">
        <v>12757</v>
      </c>
      <c r="F668" t="s">
        <v>12758</v>
      </c>
      <c r="G668" t="s">
        <v>12759</v>
      </c>
      <c r="H668" t="s">
        <v>12760</v>
      </c>
      <c r="I668" t="s">
        <v>12761</v>
      </c>
      <c r="J668" t="s">
        <v>12762</v>
      </c>
      <c r="K668" t="s">
        <v>12763</v>
      </c>
      <c r="L668" t="s">
        <v>12764</v>
      </c>
      <c r="M668" t="s">
        <v>12765</v>
      </c>
      <c r="N668">
        <f>-650.465263675187 -2.89557954456677 -522.387189497697</f>
        <v>-1175.7480327174508</v>
      </c>
      <c r="O668">
        <f>-670.898126746294 -154.3726320099 -491.175255066592</f>
        <v>-1316.446013822786</v>
      </c>
      <c r="P668">
        <f>-655.386364491236 -186.849153609244 -211.38385599679</f>
        <v>-1053.6193740972701</v>
      </c>
      <c r="Q668">
        <f>-467.0487891302 -102.804094438589 -318.219669249116</f>
        <v>-888.07255281790503</v>
      </c>
      <c r="R668" t="s">
        <v>12766</v>
      </c>
      <c r="S668" t="s">
        <v>12767</v>
      </c>
      <c r="T668" t="s">
        <v>12768</v>
      </c>
      <c r="U668" t="s">
        <v>12769</v>
      </c>
      <c r="V668">
        <f>-567.190012831349 -54.3791099268542 -89.3577025275956</f>
        <v>-710.92682528579883</v>
      </c>
      <c r="W668" t="s">
        <v>12770</v>
      </c>
      <c r="X668" t="s">
        <v>12771</v>
      </c>
      <c r="Y668" t="s">
        <v>12772</v>
      </c>
    </row>
    <row r="669" spans="1:25" x14ac:dyDescent="0.3">
      <c r="A669">
        <v>33400</v>
      </c>
      <c r="B669" t="s">
        <v>12773</v>
      </c>
      <c r="C669" t="s">
        <v>12774</v>
      </c>
      <c r="D669" t="s">
        <v>12775</v>
      </c>
      <c r="E669" t="s">
        <v>12776</v>
      </c>
      <c r="F669" t="s">
        <v>12777</v>
      </c>
      <c r="G669" t="s">
        <v>12778</v>
      </c>
      <c r="H669" t="s">
        <v>12779</v>
      </c>
      <c r="I669" t="s">
        <v>12780</v>
      </c>
      <c r="J669" t="s">
        <v>12781</v>
      </c>
      <c r="K669" t="s">
        <v>12782</v>
      </c>
      <c r="L669" t="s">
        <v>12783</v>
      </c>
      <c r="M669" t="s">
        <v>12784</v>
      </c>
      <c r="N669">
        <f>-651.25962867257 -3.70119299604858 -522.001445986466</f>
        <v>-1176.9622676550846</v>
      </c>
      <c r="O669">
        <f>-671.52281157981 -155.079669696066 -490.212843663549</f>
        <v>-1316.815324939425</v>
      </c>
      <c r="P669">
        <f>-655.434128184892 -186.505847758137 -210.334067386614</f>
        <v>-1052.2740433296428</v>
      </c>
      <c r="Q669">
        <f>-466.824110161345 -103.372129723525 -317.402125837353</f>
        <v>-887.59836572222298</v>
      </c>
      <c r="R669" t="s">
        <v>12785</v>
      </c>
      <c r="S669" t="s">
        <v>12786</v>
      </c>
      <c r="T669" t="s">
        <v>12787</v>
      </c>
      <c r="U669" t="s">
        <v>12788</v>
      </c>
      <c r="V669">
        <f>-566.986837063246 -54.2583557693702 -89.2366494840838</f>
        <v>-710.48184231669995</v>
      </c>
      <c r="W669" t="s">
        <v>12789</v>
      </c>
      <c r="X669" t="s">
        <v>12790</v>
      </c>
      <c r="Y669" t="s">
        <v>12791</v>
      </c>
    </row>
    <row r="670" spans="1:25" x14ac:dyDescent="0.3">
      <c r="A670">
        <v>33450</v>
      </c>
      <c r="B670" t="s">
        <v>12792</v>
      </c>
      <c r="C670" t="s">
        <v>12793</v>
      </c>
      <c r="D670" t="s">
        <v>12794</v>
      </c>
      <c r="E670" t="s">
        <v>12795</v>
      </c>
      <c r="F670" t="s">
        <v>12796</v>
      </c>
      <c r="G670" t="s">
        <v>12797</v>
      </c>
      <c r="H670" t="s">
        <v>12798</v>
      </c>
      <c r="I670" t="s">
        <v>12799</v>
      </c>
      <c r="J670" t="s">
        <v>12800</v>
      </c>
      <c r="K670" t="s">
        <v>12801</v>
      </c>
      <c r="L670" t="s">
        <v>12802</v>
      </c>
      <c r="M670" t="s">
        <v>12803</v>
      </c>
      <c r="N670">
        <f>-651.588600350261 -4.11408980929627 -521.849626063773</f>
        <v>-1177.5523162233303</v>
      </c>
      <c r="O670">
        <f>-671.785591175218 -155.451321567479 -489.788702841649</f>
        <v>-1317.025615584346</v>
      </c>
      <c r="P670">
        <f>-655.389903239612 -186.532485519529 -209.889245561492</f>
        <v>-1051.8116343206329</v>
      </c>
      <c r="Q670">
        <f>-466.810453224108 -103.556699333697 -317.133452903116</f>
        <v>-887.50060546092095</v>
      </c>
      <c r="R670" t="s">
        <v>12804</v>
      </c>
      <c r="S670" t="s">
        <v>12805</v>
      </c>
      <c r="T670" t="s">
        <v>12806</v>
      </c>
      <c r="U670" t="s">
        <v>12807</v>
      </c>
      <c r="V670">
        <f>-567.010515777469 -54.2188959553121 -89.196282338036</f>
        <v>-710.42569407081703</v>
      </c>
      <c r="W670" t="s">
        <v>12808</v>
      </c>
      <c r="X670" t="s">
        <v>12809</v>
      </c>
      <c r="Y670" t="s">
        <v>12810</v>
      </c>
    </row>
    <row r="671" spans="1:25" x14ac:dyDescent="0.3">
      <c r="A671">
        <v>33500</v>
      </c>
      <c r="B671" t="s">
        <v>12811</v>
      </c>
      <c r="C671" t="s">
        <v>12812</v>
      </c>
      <c r="D671" t="s">
        <v>12813</v>
      </c>
      <c r="E671" t="s">
        <v>12814</v>
      </c>
      <c r="F671" t="s">
        <v>12815</v>
      </c>
      <c r="G671" t="s">
        <v>12816</v>
      </c>
      <c r="H671" t="s">
        <v>12817</v>
      </c>
      <c r="I671" t="s">
        <v>12818</v>
      </c>
      <c r="J671" t="s">
        <v>12819</v>
      </c>
      <c r="K671" t="s">
        <v>12820</v>
      </c>
      <c r="L671" t="s">
        <v>12821</v>
      </c>
      <c r="M671" t="s">
        <v>12822</v>
      </c>
      <c r="N671">
        <f>-652.634051451982 -4.77437372372924 -521.627144614608</f>
        <v>-1179.0355697903192</v>
      </c>
      <c r="O671">
        <f>-672.568399550149 -156.043551835724 -489.140995563452</f>
        <v>-1317.752946949325</v>
      </c>
      <c r="P671">
        <f>-655.476258725153 -186.283087333453 -209.19099659431</f>
        <v>-1050.9503426529161</v>
      </c>
      <c r="Q671">
        <f>-467.208132914644 -103.171019759569 -316.875812917038</f>
        <v>-887.25496559125099</v>
      </c>
      <c r="R671" t="s">
        <v>12823</v>
      </c>
      <c r="S671" t="s">
        <v>12824</v>
      </c>
      <c r="T671" t="s">
        <v>12825</v>
      </c>
      <c r="U671" t="s">
        <v>12826</v>
      </c>
      <c r="V671">
        <f>-567.481022947095 -54.1302729883346 -89.1603790686972</f>
        <v>-710.77167500412679</v>
      </c>
      <c r="W671" t="s">
        <v>12827</v>
      </c>
      <c r="X671" t="s">
        <v>12828</v>
      </c>
      <c r="Y671" t="s">
        <v>12829</v>
      </c>
    </row>
    <row r="672" spans="1:25" x14ac:dyDescent="0.3">
      <c r="A672">
        <v>33550</v>
      </c>
      <c r="B672" t="s">
        <v>12830</v>
      </c>
      <c r="C672" t="s">
        <v>12831</v>
      </c>
      <c r="D672" t="s">
        <v>12832</v>
      </c>
      <c r="E672" t="s">
        <v>12833</v>
      </c>
      <c r="F672" t="s">
        <v>12834</v>
      </c>
      <c r="G672" t="s">
        <v>12835</v>
      </c>
      <c r="H672" t="s">
        <v>12836</v>
      </c>
      <c r="I672" t="s">
        <v>12837</v>
      </c>
      <c r="J672" t="s">
        <v>12838</v>
      </c>
      <c r="K672" t="s">
        <v>12839</v>
      </c>
      <c r="L672" t="s">
        <v>12840</v>
      </c>
      <c r="M672" t="s">
        <v>12841</v>
      </c>
      <c r="N672">
        <f>-653.29359907658 -5.23554829258183 -521.563516620068</f>
        <v>-1180.0926639892298</v>
      </c>
      <c r="O672">
        <f>-673.175809513981 -156.469202083905 -488.858175630347</f>
        <v>-1318.5031872282329</v>
      </c>
      <c r="P672">
        <f>-655.664686835187 -186.347875890632 -208.895216369597</f>
        <v>-1050.9077790954159</v>
      </c>
      <c r="Q672">
        <f>-467.424789801382 -103.343641061101 -316.712768047202</f>
        <v>-887.48119890968496</v>
      </c>
      <c r="R672" t="s">
        <v>12842</v>
      </c>
      <c r="S672" t="s">
        <v>12843</v>
      </c>
      <c r="T672" t="s">
        <v>12844</v>
      </c>
      <c r="U672" t="s">
        <v>12845</v>
      </c>
      <c r="V672">
        <f>-567.92705363204 -54.2288966028318 -89.1710375132925</f>
        <v>-711.32698774816436</v>
      </c>
      <c r="W672" t="s">
        <v>12846</v>
      </c>
      <c r="X672" t="s">
        <v>12847</v>
      </c>
      <c r="Y672" t="s">
        <v>12848</v>
      </c>
    </row>
    <row r="673" spans="1:25" x14ac:dyDescent="0.3">
      <c r="A673">
        <v>33600</v>
      </c>
      <c r="B673" t="s">
        <v>12849</v>
      </c>
      <c r="C673" t="s">
        <v>12850</v>
      </c>
      <c r="D673" t="s">
        <v>12851</v>
      </c>
      <c r="E673" t="s">
        <v>12852</v>
      </c>
      <c r="F673" t="s">
        <v>12853</v>
      </c>
      <c r="G673" t="s">
        <v>12854</v>
      </c>
      <c r="H673" t="s">
        <v>12855</v>
      </c>
      <c r="I673" t="s">
        <v>12856</v>
      </c>
      <c r="J673" t="s">
        <v>12857</v>
      </c>
      <c r="K673" t="s">
        <v>12858</v>
      </c>
      <c r="L673" t="s">
        <v>12859</v>
      </c>
      <c r="M673" t="s">
        <v>12860</v>
      </c>
      <c r="N673">
        <f>-654.859317728638 -6.39560184785273 -521.484152500256</f>
        <v>-1182.7390720767467</v>
      </c>
      <c r="O673">
        <f>-674.660982041085 -157.526564847195 -488.235906040272</f>
        <v>-1320.423452928552</v>
      </c>
      <c r="P673">
        <f>-656.584084019131 -186.558840525451 -208.219910230103</f>
        <v>-1051.3628347746851</v>
      </c>
      <c r="Q673">
        <f>-468.407120990725 -103.549384966258 -316.143154069332</f>
        <v>-888.09966002631495</v>
      </c>
      <c r="R673" t="s">
        <v>12861</v>
      </c>
      <c r="S673" t="s">
        <v>12862</v>
      </c>
      <c r="T673" t="s">
        <v>12863</v>
      </c>
      <c r="U673" t="s">
        <v>12864</v>
      </c>
      <c r="V673">
        <f>-569.314883773786 -54.7252897087576 -89.2539881008885</f>
        <v>-713.29416158343213</v>
      </c>
      <c r="W673" t="s">
        <v>12865</v>
      </c>
      <c r="X673" t="s">
        <v>12866</v>
      </c>
      <c r="Y673" t="s">
        <v>12867</v>
      </c>
    </row>
    <row r="674" spans="1:25" x14ac:dyDescent="0.3">
      <c r="A674">
        <v>33650</v>
      </c>
      <c r="B674" t="s">
        <v>12868</v>
      </c>
      <c r="C674" t="s">
        <v>12869</v>
      </c>
      <c r="D674" t="s">
        <v>12870</v>
      </c>
      <c r="E674" t="s">
        <v>12871</v>
      </c>
      <c r="F674" t="s">
        <v>12872</v>
      </c>
      <c r="G674" t="s">
        <v>12873</v>
      </c>
      <c r="H674" t="s">
        <v>12874</v>
      </c>
      <c r="I674" t="s">
        <v>12875</v>
      </c>
      <c r="J674" t="s">
        <v>12876</v>
      </c>
      <c r="K674" t="s">
        <v>12877</v>
      </c>
      <c r="L674" t="s">
        <v>12878</v>
      </c>
      <c r="M674" t="s">
        <v>12879</v>
      </c>
      <c r="N674">
        <f>-655.6103835136 -6.97437635799156 -521.506824716685</f>
        <v>-1184.0915845882764</v>
      </c>
      <c r="O674">
        <f>-675.379867840788 -158.056998525559 -488.034236761607</f>
        <v>-1321.4711031279542</v>
      </c>
      <c r="P674">
        <f>-657.377506612504 -186.610665094569 -207.964274877007</f>
        <v>-1051.95244658408</v>
      </c>
      <c r="Q674">
        <f>-469.207281546282 -103.623664855792 -315.91666947519</f>
        <v>-888.74761587726402</v>
      </c>
      <c r="R674" t="s">
        <v>12880</v>
      </c>
      <c r="S674" t="s">
        <v>12881</v>
      </c>
      <c r="T674" t="s">
        <v>12882</v>
      </c>
      <c r="U674" t="s">
        <v>12883</v>
      </c>
      <c r="V674">
        <f>-570.248760577451 -55.0026603309063 -89.3269304785949</f>
        <v>-714.57835138695225</v>
      </c>
      <c r="W674" t="s">
        <v>12884</v>
      </c>
      <c r="X674" t="s">
        <v>12885</v>
      </c>
      <c r="Y674" t="s">
        <v>12886</v>
      </c>
    </row>
    <row r="675" spans="1:25" x14ac:dyDescent="0.3">
      <c r="A675">
        <v>33700</v>
      </c>
      <c r="B675" t="s">
        <v>12887</v>
      </c>
      <c r="C675" t="s">
        <v>12888</v>
      </c>
      <c r="D675" t="s">
        <v>12889</v>
      </c>
      <c r="E675" t="s">
        <v>12890</v>
      </c>
      <c r="F675" t="s">
        <v>12891</v>
      </c>
      <c r="G675" t="s">
        <v>12892</v>
      </c>
      <c r="H675" t="s">
        <v>12893</v>
      </c>
      <c r="I675" t="s">
        <v>12894</v>
      </c>
      <c r="J675" t="s">
        <v>12895</v>
      </c>
      <c r="K675" t="s">
        <v>12896</v>
      </c>
      <c r="L675" t="s">
        <v>12897</v>
      </c>
      <c r="M675" t="s">
        <v>12898</v>
      </c>
      <c r="N675">
        <f>-657.335598395279 -8.13185906067702 -521.674498619125</f>
        <v>-1187.141956075081</v>
      </c>
      <c r="O675">
        <f>-677.235630068464 -159.117167991747 -487.836235699205</f>
        <v>-1324.1890337594161</v>
      </c>
      <c r="P675">
        <f>-659.473138439614 -186.725724554888 -207.656339613853</f>
        <v>-1053.8552026083548</v>
      </c>
      <c r="Q675">
        <f>-471.044078769164 -104.100527443145 -315.43434924609</f>
        <v>-890.57895545839892</v>
      </c>
      <c r="R675" t="s">
        <v>12899</v>
      </c>
      <c r="S675" t="s">
        <v>12900</v>
      </c>
      <c r="T675" t="s">
        <v>12901</v>
      </c>
      <c r="U675" t="s">
        <v>12902</v>
      </c>
      <c r="V675">
        <f>-572.450263919386 -55.6946401987211 -89.5608016108871</f>
        <v>-717.70570572899419</v>
      </c>
      <c r="W675" t="s">
        <v>12903</v>
      </c>
      <c r="X675" t="s">
        <v>12904</v>
      </c>
      <c r="Y675" t="s">
        <v>12905</v>
      </c>
    </row>
    <row r="676" spans="1:25" x14ac:dyDescent="0.3">
      <c r="A676">
        <v>33750</v>
      </c>
      <c r="B676" t="s">
        <v>12906</v>
      </c>
      <c r="C676" t="s">
        <v>12907</v>
      </c>
      <c r="D676" t="s">
        <v>12908</v>
      </c>
      <c r="E676" t="s">
        <v>12909</v>
      </c>
      <c r="F676" t="s">
        <v>12910</v>
      </c>
      <c r="G676" t="s">
        <v>12911</v>
      </c>
      <c r="H676" t="s">
        <v>12912</v>
      </c>
      <c r="I676" t="s">
        <v>12913</v>
      </c>
      <c r="J676" t="s">
        <v>12914</v>
      </c>
      <c r="K676" t="s">
        <v>12915</v>
      </c>
      <c r="L676" t="s">
        <v>12916</v>
      </c>
      <c r="M676" t="s">
        <v>12917</v>
      </c>
      <c r="N676">
        <f>-658.32936578123 -8.68112903923111 -521.772860242512</f>
        <v>-1188.783355062973</v>
      </c>
      <c r="O676">
        <f>-678.441022351934 -159.590866703099 -487.743454305206</f>
        <v>-1325.7753433602388</v>
      </c>
      <c r="P676">
        <f>-660.821591702031 -186.840883386546 -207.519294868477</f>
        <v>-1055.181769957054</v>
      </c>
      <c r="Q676">
        <f>-472.218369592774 -104.654239394396 -315.327872292832</f>
        <v>-892.20048128000201</v>
      </c>
      <c r="R676" t="s">
        <v>12918</v>
      </c>
      <c r="S676" t="s">
        <v>12919</v>
      </c>
      <c r="T676" t="s">
        <v>12920</v>
      </c>
      <c r="U676" t="s">
        <v>12921</v>
      </c>
      <c r="V676">
        <f>-573.795665331125 -55.971493120257 -89.690303100137</f>
        <v>-719.45746155151903</v>
      </c>
      <c r="W676" t="s">
        <v>12922</v>
      </c>
      <c r="X676" t="s">
        <v>12923</v>
      </c>
      <c r="Y676" t="s">
        <v>12924</v>
      </c>
    </row>
    <row r="677" spans="1:25" x14ac:dyDescent="0.3">
      <c r="A677">
        <v>33800</v>
      </c>
      <c r="B677" t="s">
        <v>12925</v>
      </c>
      <c r="C677" t="s">
        <v>12926</v>
      </c>
      <c r="D677" t="s">
        <v>12927</v>
      </c>
      <c r="E677" t="s">
        <v>12928</v>
      </c>
      <c r="F677" t="s">
        <v>12929</v>
      </c>
      <c r="G677" t="s">
        <v>12930</v>
      </c>
      <c r="H677" t="s">
        <v>12931</v>
      </c>
      <c r="I677" t="s">
        <v>12932</v>
      </c>
      <c r="J677" t="s">
        <v>12933</v>
      </c>
      <c r="K677" t="s">
        <v>12934</v>
      </c>
      <c r="L677" t="s">
        <v>12935</v>
      </c>
      <c r="M677" t="s">
        <v>12936</v>
      </c>
      <c r="N677">
        <f>-660.015084841388 -9.74169576697022 -522.107147644347</f>
        <v>-1191.8639282527051</v>
      </c>
      <c r="O677">
        <f>-680.697244178879 -160.490860471172 -487.703247346595</f>
        <v>-1328.8913519966461</v>
      </c>
      <c r="P677">
        <f>-663.497262770302 -187.122860504379 -207.393625108721</f>
        <v>-1058.0137483834019</v>
      </c>
      <c r="Q677">
        <f>-474.339316705877 -105.906399654931 -314.965146544684</f>
        <v>-895.21086290549204</v>
      </c>
      <c r="R677" t="s">
        <v>12937</v>
      </c>
      <c r="S677" t="s">
        <v>12938</v>
      </c>
      <c r="T677" t="s">
        <v>12939</v>
      </c>
      <c r="U677" t="s">
        <v>12940</v>
      </c>
      <c r="V677">
        <f>-576.425274695953 -56.5276536586307 -89.9951252600723</f>
        <v>-722.94805361465603</v>
      </c>
      <c r="W677" t="s">
        <v>12941</v>
      </c>
      <c r="X677" t="s">
        <v>12942</v>
      </c>
      <c r="Y677" t="s">
        <v>12943</v>
      </c>
    </row>
    <row r="678" spans="1:25" x14ac:dyDescent="0.3">
      <c r="A678">
        <v>33850</v>
      </c>
      <c r="B678" t="s">
        <v>12944</v>
      </c>
      <c r="C678" t="s">
        <v>12945</v>
      </c>
      <c r="D678" t="s">
        <v>12946</v>
      </c>
      <c r="E678" t="s">
        <v>12947</v>
      </c>
      <c r="F678" t="s">
        <v>12948</v>
      </c>
      <c r="G678" t="s">
        <v>12949</v>
      </c>
      <c r="H678" t="s">
        <v>12950</v>
      </c>
      <c r="I678" t="s">
        <v>12951</v>
      </c>
      <c r="J678" t="s">
        <v>12952</v>
      </c>
      <c r="K678" t="s">
        <v>12953</v>
      </c>
      <c r="L678" t="s">
        <v>12954</v>
      </c>
      <c r="M678" t="s">
        <v>12955</v>
      </c>
      <c r="N678">
        <f>-660.824034813056 -10.1596165848364 -522.258059355567</f>
        <v>-1193.2417107534593</v>
      </c>
      <c r="O678">
        <f>-681.725227045913 -160.846352382757 -487.708376468375</f>
        <v>-1330.2799558970451</v>
      </c>
      <c r="P678">
        <f>-665.035275895616 -187.312368335103 -207.352117815292</f>
        <v>-1059.6997620460111</v>
      </c>
      <c r="Q678">
        <f>-475.495797870092 -106.566108070176 -314.605988559483</f>
        <v>-896.66789449975113</v>
      </c>
      <c r="R678" t="s">
        <v>12956</v>
      </c>
      <c r="S678" t="s">
        <v>12957</v>
      </c>
      <c r="T678" t="s">
        <v>12958</v>
      </c>
      <c r="U678" t="s">
        <v>12959</v>
      </c>
      <c r="V678">
        <f>-577.671298819875 -56.725505787334 -90.1443230171509</f>
        <v>-724.54112762435989</v>
      </c>
      <c r="W678" t="s">
        <v>12960</v>
      </c>
      <c r="X678" t="s">
        <v>12961</v>
      </c>
      <c r="Y678" t="s">
        <v>12962</v>
      </c>
    </row>
    <row r="679" spans="1:25" x14ac:dyDescent="0.3">
      <c r="A679">
        <v>33900</v>
      </c>
      <c r="B679" t="s">
        <v>12963</v>
      </c>
      <c r="C679" t="s">
        <v>12964</v>
      </c>
      <c r="D679" t="s">
        <v>12965</v>
      </c>
      <c r="E679" t="s">
        <v>12966</v>
      </c>
      <c r="F679" t="s">
        <v>12967</v>
      </c>
      <c r="G679" t="s">
        <v>12968</v>
      </c>
      <c r="H679" t="s">
        <v>12969</v>
      </c>
      <c r="I679" t="s">
        <v>12970</v>
      </c>
      <c r="J679" t="s">
        <v>12971</v>
      </c>
      <c r="K679" t="s">
        <v>12972</v>
      </c>
      <c r="L679" t="s">
        <v>12973</v>
      </c>
      <c r="M679" t="s">
        <v>12974</v>
      </c>
      <c r="N679">
        <f>-662.108822975407 -10.8788546342419 -522.488475724936</f>
        <v>-1195.476153334585</v>
      </c>
      <c r="O679">
        <f>-683.457383069355 -161.447487415239 -487.667752881356</f>
        <v>-1332.5726233659502</v>
      </c>
      <c r="P679">
        <f>-668.002663982188 -187.574906978237 -207.209031863159</f>
        <v>-1062.786602823584</v>
      </c>
      <c r="Q679">
        <f>-477.837379833063 -107.798311783415 -314.080015126392</f>
        <v>-899.71570674287</v>
      </c>
      <c r="R679" t="s">
        <v>12975</v>
      </c>
      <c r="S679" t="s">
        <v>12976</v>
      </c>
      <c r="T679" t="s">
        <v>12977</v>
      </c>
      <c r="U679" t="s">
        <v>12978</v>
      </c>
      <c r="V679">
        <f>-579.736811225294 -57.2362540276597 -90.3479057590658</f>
        <v>-727.32097101201953</v>
      </c>
      <c r="W679" t="s">
        <v>12979</v>
      </c>
      <c r="X679" t="s">
        <v>12980</v>
      </c>
      <c r="Y679" t="s">
        <v>12981</v>
      </c>
    </row>
    <row r="680" spans="1:25" x14ac:dyDescent="0.3">
      <c r="A680">
        <v>33950</v>
      </c>
      <c r="B680" t="s">
        <v>12982</v>
      </c>
      <c r="C680" t="s">
        <v>12983</v>
      </c>
      <c r="D680" t="s">
        <v>12984</v>
      </c>
      <c r="E680" t="s">
        <v>12985</v>
      </c>
      <c r="F680" t="s">
        <v>12986</v>
      </c>
      <c r="G680" t="s">
        <v>12987</v>
      </c>
      <c r="H680" t="s">
        <v>12988</v>
      </c>
      <c r="I680" t="s">
        <v>12989</v>
      </c>
      <c r="J680" t="s">
        <v>12990</v>
      </c>
      <c r="K680" t="s">
        <v>12991</v>
      </c>
      <c r="L680" t="s">
        <v>12992</v>
      </c>
      <c r="M680" t="s">
        <v>12993</v>
      </c>
      <c r="N680">
        <f>-662.548232558618 -11.1248759587741 -522.650020937227</f>
        <v>-1196.323129454619</v>
      </c>
      <c r="O680">
        <f>-684.18015727295 -161.633347475349 -487.749022779411</f>
        <v>-1333.56252752771</v>
      </c>
      <c r="P680">
        <f>-669.338952592342 -187.467629769771 -207.229957878019</f>
        <v>-1064.0365402401319</v>
      </c>
      <c r="Q680">
        <f>-478.826381731171 -108.261493679418 -313.90671470935</f>
        <v>-900.99459011993906</v>
      </c>
      <c r="R680" t="s">
        <v>12994</v>
      </c>
      <c r="S680" t="s">
        <v>12995</v>
      </c>
      <c r="T680" t="s">
        <v>12996</v>
      </c>
      <c r="U680" t="s">
        <v>12997</v>
      </c>
      <c r="V680">
        <f>-580.830511653302 -57.4382292595026 -90.4437395637399</f>
        <v>-728.71248047654444</v>
      </c>
      <c r="W680" t="s">
        <v>12998</v>
      </c>
      <c r="X680" t="s">
        <v>12999</v>
      </c>
      <c r="Y680" t="s">
        <v>13000</v>
      </c>
    </row>
    <row r="681" spans="1:25" x14ac:dyDescent="0.3">
      <c r="A681">
        <v>34000</v>
      </c>
      <c r="B681" t="s">
        <v>13001</v>
      </c>
      <c r="C681" t="s">
        <v>13002</v>
      </c>
      <c r="D681" t="s">
        <v>13003</v>
      </c>
      <c r="E681" t="s">
        <v>13004</v>
      </c>
      <c r="F681" t="s">
        <v>13005</v>
      </c>
      <c r="G681" t="s">
        <v>13006</v>
      </c>
      <c r="H681" t="s">
        <v>13007</v>
      </c>
      <c r="I681" t="s">
        <v>13008</v>
      </c>
      <c r="J681" t="s">
        <v>13009</v>
      </c>
      <c r="K681" t="s">
        <v>13010</v>
      </c>
      <c r="L681" t="s">
        <v>13011</v>
      </c>
      <c r="M681" t="s">
        <v>13012</v>
      </c>
      <c r="N681">
        <f>-663.334022008749 -11.5031484342367 -522.995267344406</f>
        <v>-1197.8324377873917</v>
      </c>
      <c r="O681">
        <f>-685.466108799743 -161.93061907665 -488.075104259592</f>
        <v>-1335.4718321359851</v>
      </c>
      <c r="P681">
        <f>-671.740252598505 -187.28230517504 -207.455172317432</f>
        <v>-1066.477730090977</v>
      </c>
      <c r="Q681">
        <f>-480.482791044839 -109.353640257321 -313.738846407031</f>
        <v>-903.57527770919103</v>
      </c>
      <c r="R681" t="s">
        <v>13013</v>
      </c>
      <c r="S681" t="s">
        <v>13014</v>
      </c>
      <c r="T681" t="s">
        <v>13015</v>
      </c>
      <c r="U681" t="s">
        <v>13016</v>
      </c>
      <c r="V681">
        <f>-582.953007379261 -57.8788367788668 -90.6188196092145</f>
        <v>-731.45066376734223</v>
      </c>
      <c r="W681" t="s">
        <v>13017</v>
      </c>
      <c r="X681" t="s">
        <v>13018</v>
      </c>
      <c r="Y681" t="s">
        <v>13019</v>
      </c>
    </row>
    <row r="682" spans="1:25" x14ac:dyDescent="0.3">
      <c r="A682">
        <v>34050</v>
      </c>
      <c r="B682" t="s">
        <v>13020</v>
      </c>
      <c r="C682" t="s">
        <v>13021</v>
      </c>
      <c r="D682" t="s">
        <v>13022</v>
      </c>
      <c r="E682" t="s">
        <v>13023</v>
      </c>
      <c r="F682" t="s">
        <v>13024</v>
      </c>
      <c r="G682" t="s">
        <v>13025</v>
      </c>
      <c r="H682" t="s">
        <v>13026</v>
      </c>
      <c r="I682" t="s">
        <v>13027</v>
      </c>
      <c r="J682" t="s">
        <v>13028</v>
      </c>
      <c r="K682" t="s">
        <v>13029</v>
      </c>
      <c r="L682" t="s">
        <v>13030</v>
      </c>
      <c r="M682" t="s">
        <v>13031</v>
      </c>
      <c r="N682">
        <f>-663.776701642301 -11.6684345187236 -523.111262928624</f>
        <v>-1198.5563990896485</v>
      </c>
      <c r="O682">
        <f>-686.120255025048 -162.060926987979 -488.188474368578</f>
        <v>-1336.369656381605</v>
      </c>
      <c r="P682">
        <f>-672.722345664303 -187.507768379347 -207.56148016446</f>
        <v>-1067.7915942081099</v>
      </c>
      <c r="Q682">
        <f>-481.160781757557 -110.066231567111 -313.653408045655</f>
        <v>-904.88042137032289</v>
      </c>
      <c r="R682" t="s">
        <v>13032</v>
      </c>
      <c r="S682" t="s">
        <v>13033</v>
      </c>
      <c r="T682" t="s">
        <v>13034</v>
      </c>
      <c r="U682" t="s">
        <v>13035</v>
      </c>
      <c r="V682">
        <f>-583.82000548641 -57.976567171376 -90.6821120331477</f>
        <v>-732.47868469093373</v>
      </c>
      <c r="W682" t="s">
        <v>13036</v>
      </c>
      <c r="X682" t="s">
        <v>13037</v>
      </c>
      <c r="Y682" t="s">
        <v>13038</v>
      </c>
    </row>
    <row r="683" spans="1:25" x14ac:dyDescent="0.3">
      <c r="A683">
        <v>34100</v>
      </c>
      <c r="B683" t="s">
        <v>13039</v>
      </c>
      <c r="C683" t="s">
        <v>13040</v>
      </c>
      <c r="D683" t="s">
        <v>13041</v>
      </c>
      <c r="E683" t="s">
        <v>13042</v>
      </c>
      <c r="F683" t="s">
        <v>13043</v>
      </c>
      <c r="G683" t="s">
        <v>13044</v>
      </c>
      <c r="H683" t="s">
        <v>13045</v>
      </c>
      <c r="I683" t="s">
        <v>13046</v>
      </c>
      <c r="J683" t="s">
        <v>13047</v>
      </c>
      <c r="K683" t="s">
        <v>13048</v>
      </c>
      <c r="L683" t="s">
        <v>13049</v>
      </c>
      <c r="M683" t="s">
        <v>13050</v>
      </c>
      <c r="N683">
        <f>-664.7527269549 -11.8595330939384 -523.239881236018</f>
        <v>-1199.8521412848563</v>
      </c>
      <c r="O683">
        <f>-687.351920980522 -162.20477843249 -488.248467148021</f>
        <v>-1337.805166561033</v>
      </c>
      <c r="P683">
        <f>-674.156349394594 -187.734343550462 -207.619347618187</f>
        <v>-1069.5100405632429</v>
      </c>
      <c r="Q683">
        <f>-482.167960122029 -111.237363112577 -313.624935189365</f>
        <v>-907.03025842397096</v>
      </c>
      <c r="R683" t="s">
        <v>13051</v>
      </c>
      <c r="S683" t="s">
        <v>13052</v>
      </c>
      <c r="T683" t="s">
        <v>13053</v>
      </c>
      <c r="U683" t="s">
        <v>13054</v>
      </c>
      <c r="V683">
        <f>-585.299863444414 -58.1008679419167 -90.7843704627883</f>
        <v>-734.18510184911895</v>
      </c>
      <c r="W683" t="s">
        <v>13055</v>
      </c>
      <c r="X683" t="s">
        <v>13056</v>
      </c>
      <c r="Y683" t="s">
        <v>13057</v>
      </c>
    </row>
    <row r="684" spans="1:25" x14ac:dyDescent="0.3">
      <c r="A684">
        <v>34150</v>
      </c>
      <c r="B684" t="s">
        <v>13058</v>
      </c>
      <c r="C684" t="s">
        <v>13059</v>
      </c>
      <c r="D684" t="s">
        <v>13060</v>
      </c>
      <c r="E684" t="s">
        <v>13061</v>
      </c>
      <c r="F684" t="s">
        <v>13062</v>
      </c>
      <c r="G684" t="s">
        <v>13063</v>
      </c>
      <c r="H684" t="s">
        <v>13064</v>
      </c>
      <c r="I684" t="s">
        <v>13065</v>
      </c>
      <c r="J684" t="s">
        <v>13066</v>
      </c>
      <c r="K684" t="s">
        <v>13067</v>
      </c>
      <c r="L684" t="s">
        <v>13068</v>
      </c>
      <c r="M684" t="s">
        <v>13069</v>
      </c>
      <c r="N684">
        <f>-665.355405582403 -11.9527071655377 -523.291444617393</f>
        <v>-1200.5995573653338</v>
      </c>
      <c r="O684">
        <f>-688.07917164229 -162.262592783492 -488.2448582524</f>
        <v>-1338.586622678182</v>
      </c>
      <c r="P684">
        <f>-674.691996093886 -187.669829395343 -207.613690757093</f>
        <v>-1069.9755162463221</v>
      </c>
      <c r="Q684">
        <f>-482.626473000324 -111.51407775927 -313.725194825636</f>
        <v>-907.86574558523</v>
      </c>
      <c r="R684" t="s">
        <v>13070</v>
      </c>
      <c r="S684" t="s">
        <v>13071</v>
      </c>
      <c r="T684" t="s">
        <v>13072</v>
      </c>
      <c r="U684" t="s">
        <v>13073</v>
      </c>
      <c r="V684">
        <f>-585.877656824536 -58.3477608632802 -90.8412980084759</f>
        <v>-735.06671569629202</v>
      </c>
      <c r="W684" t="s">
        <v>13074</v>
      </c>
      <c r="X684" t="s">
        <v>13075</v>
      </c>
      <c r="Y684" t="s">
        <v>13076</v>
      </c>
    </row>
    <row r="685" spans="1:25" x14ac:dyDescent="0.3">
      <c r="A685">
        <v>34200</v>
      </c>
      <c r="B685" t="s">
        <v>13077</v>
      </c>
      <c r="C685" t="s">
        <v>13078</v>
      </c>
      <c r="D685" t="s">
        <v>13079</v>
      </c>
      <c r="E685" t="s">
        <v>13080</v>
      </c>
      <c r="F685" t="s">
        <v>13081</v>
      </c>
      <c r="G685" t="s">
        <v>13082</v>
      </c>
      <c r="H685" t="s">
        <v>13083</v>
      </c>
      <c r="I685" t="s">
        <v>13084</v>
      </c>
      <c r="J685" t="s">
        <v>13085</v>
      </c>
      <c r="K685" t="s">
        <v>13086</v>
      </c>
      <c r="L685" t="s">
        <v>13087</v>
      </c>
      <c r="M685" t="s">
        <v>13088</v>
      </c>
      <c r="N685">
        <f>-666.68724130588 -12.2377001919817 -523.316389973126</f>
        <v>-1202.2413314709877</v>
      </c>
      <c r="O685">
        <f>-689.64770640637 -162.480745665667 -488.14342693676</f>
        <v>-1340.271879008797</v>
      </c>
      <c r="P685">
        <f>-675.970393230767 -187.301534013291 -207.473790767581</f>
        <v>-1070.7457180116389</v>
      </c>
      <c r="Q685">
        <f>-483.916989419166 -111.748912611884 -314.037612733357</f>
        <v>-909.70351476440692</v>
      </c>
      <c r="R685" t="s">
        <v>13089</v>
      </c>
      <c r="S685" t="s">
        <v>13090</v>
      </c>
      <c r="T685" t="s">
        <v>13091</v>
      </c>
      <c r="U685" t="s">
        <v>13092</v>
      </c>
      <c r="V685">
        <f>-587.074019219441 -58.7624028047219 -90.929391426142</f>
        <v>-736.7658134503049</v>
      </c>
      <c r="W685" t="s">
        <v>13093</v>
      </c>
      <c r="X685" t="s">
        <v>13094</v>
      </c>
      <c r="Y685" t="s">
        <v>13095</v>
      </c>
    </row>
    <row r="686" spans="1:25" x14ac:dyDescent="0.3">
      <c r="A686">
        <v>34250</v>
      </c>
      <c r="B686" t="s">
        <v>13096</v>
      </c>
      <c r="C686" t="s">
        <v>13097</v>
      </c>
      <c r="D686" t="s">
        <v>13098</v>
      </c>
      <c r="E686" t="s">
        <v>13099</v>
      </c>
      <c r="F686" t="s">
        <v>13100</v>
      </c>
      <c r="G686" t="s">
        <v>13101</v>
      </c>
      <c r="H686" t="s">
        <v>13102</v>
      </c>
      <c r="I686" t="s">
        <v>13103</v>
      </c>
      <c r="J686" t="s">
        <v>13104</v>
      </c>
      <c r="K686" t="s">
        <v>13105</v>
      </c>
      <c r="L686" t="s">
        <v>13106</v>
      </c>
      <c r="M686" t="s">
        <v>13107</v>
      </c>
      <c r="N686">
        <f>-667.391009072071 -12.3438805364642 -523.332580798722</f>
        <v>-1203.0674704072571</v>
      </c>
      <c r="O686">
        <f>-690.44297986583 -162.56351302287 -488.108852512744</f>
        <v>-1341.1153454014441</v>
      </c>
      <c r="P686">
        <f>-676.68861885615 -187.231727323473 -207.429505341765</f>
        <v>-1071.349851521388</v>
      </c>
      <c r="Q686">
        <f>-484.649167376868 -111.849667293294 -314.138958824759</f>
        <v>-910.63779349492097</v>
      </c>
      <c r="R686" t="s">
        <v>13108</v>
      </c>
      <c r="S686" t="s">
        <v>13109</v>
      </c>
      <c r="T686" t="s">
        <v>13110</v>
      </c>
      <c r="U686" t="s">
        <v>13111</v>
      </c>
      <c r="V686">
        <f>-587.6855684379 -58.9550682962242 -90.9730233428695</f>
        <v>-737.61366007699371</v>
      </c>
      <c r="W686" t="s">
        <v>13112</v>
      </c>
      <c r="X686" t="s">
        <v>13113</v>
      </c>
      <c r="Y686" t="s">
        <v>13114</v>
      </c>
    </row>
    <row r="687" spans="1:25" x14ac:dyDescent="0.3">
      <c r="A687">
        <v>34300</v>
      </c>
      <c r="B687" t="s">
        <v>13115</v>
      </c>
      <c r="C687" t="s">
        <v>13116</v>
      </c>
      <c r="D687" t="s">
        <v>13117</v>
      </c>
      <c r="E687" t="s">
        <v>13118</v>
      </c>
      <c r="F687" t="s">
        <v>13119</v>
      </c>
      <c r="G687" t="s">
        <v>13120</v>
      </c>
      <c r="H687" t="s">
        <v>13121</v>
      </c>
      <c r="I687" t="s">
        <v>13122</v>
      </c>
      <c r="J687" t="s">
        <v>13123</v>
      </c>
      <c r="K687" t="s">
        <v>13124</v>
      </c>
      <c r="L687" t="s">
        <v>13125</v>
      </c>
      <c r="M687" t="s">
        <v>13126</v>
      </c>
      <c r="N687">
        <f>-668.904735079537 -12.5900615586361 -523.403922755271</f>
        <v>-1204.898719393444</v>
      </c>
      <c r="O687">
        <f>-692.077276141511 -162.767261879929 -488.096377743217</f>
        <v>-1342.9409157646569</v>
      </c>
      <c r="P687">
        <f>-678.2489540969 -187.186829155144 -207.398927302472</f>
        <v>-1072.8347105545161</v>
      </c>
      <c r="Q687">
        <f>-486.17103006845 -112.039254518811 -314.204555899886</f>
        <v>-912.4148404871471</v>
      </c>
      <c r="R687" t="s">
        <v>13127</v>
      </c>
      <c r="S687" t="s">
        <v>13128</v>
      </c>
      <c r="T687" t="s">
        <v>13129</v>
      </c>
      <c r="U687" t="s">
        <v>13130</v>
      </c>
      <c r="V687">
        <f>-588.984819227123 -59.4676013676326 -91.1311896181893</f>
        <v>-739.5836102129449</v>
      </c>
      <c r="W687" t="s">
        <v>13131</v>
      </c>
      <c r="X687" t="s">
        <v>13132</v>
      </c>
      <c r="Y687" t="s">
        <v>13133</v>
      </c>
    </row>
    <row r="688" spans="1:25" x14ac:dyDescent="0.3">
      <c r="A688">
        <v>34350</v>
      </c>
      <c r="B688" t="s">
        <v>13134</v>
      </c>
      <c r="C688" t="s">
        <v>13135</v>
      </c>
      <c r="D688" t="s">
        <v>13136</v>
      </c>
      <c r="E688" t="s">
        <v>13137</v>
      </c>
      <c r="F688" t="s">
        <v>13138</v>
      </c>
      <c r="G688" t="s">
        <v>13139</v>
      </c>
      <c r="H688" t="s">
        <v>13140</v>
      </c>
      <c r="I688" t="s">
        <v>13141</v>
      </c>
      <c r="J688" t="s">
        <v>13142</v>
      </c>
      <c r="K688" t="s">
        <v>13143</v>
      </c>
      <c r="L688" t="s">
        <v>13144</v>
      </c>
      <c r="M688" t="s">
        <v>13145</v>
      </c>
      <c r="N688">
        <f>-669.675724404109 -12.7852648768155 -523.452490155951</f>
        <v>-1205.9134794368756</v>
      </c>
      <c r="O688">
        <f>-692.89432291226 -162.944230825374 -488.099184800853</f>
        <v>-1343.9377385384869</v>
      </c>
      <c r="P688">
        <f>-679.121383294327 -187.415903499776 -207.403536580715</f>
        <v>-1073.9408233748181</v>
      </c>
      <c r="Q688">
        <f>-487.033654628067 -112.32340153132 -314.23027812096</f>
        <v>-913.58733428034702</v>
      </c>
      <c r="R688" t="s">
        <v>13146</v>
      </c>
      <c r="S688" t="s">
        <v>13147</v>
      </c>
      <c r="T688" t="s">
        <v>13148</v>
      </c>
      <c r="U688" t="s">
        <v>13149</v>
      </c>
      <c r="V688">
        <f>-589.716603504674 -59.637599628317 -91.2319587077095</f>
        <v>-740.58616184070058</v>
      </c>
      <c r="W688" t="s">
        <v>13150</v>
      </c>
      <c r="X688" t="s">
        <v>13151</v>
      </c>
      <c r="Y688" t="s">
        <v>13152</v>
      </c>
    </row>
    <row r="689" spans="1:25" x14ac:dyDescent="0.3">
      <c r="A689">
        <v>34400</v>
      </c>
      <c r="B689" t="s">
        <v>13153</v>
      </c>
      <c r="C689" t="s">
        <v>13154</v>
      </c>
      <c r="D689" t="s">
        <v>13155</v>
      </c>
      <c r="E689" t="s">
        <v>13156</v>
      </c>
      <c r="F689" t="s">
        <v>13157</v>
      </c>
      <c r="G689" t="s">
        <v>13158</v>
      </c>
      <c r="H689" t="s">
        <v>13159</v>
      </c>
      <c r="I689" t="s">
        <v>13160</v>
      </c>
      <c r="J689" t="s">
        <v>13161</v>
      </c>
      <c r="K689" t="s">
        <v>13162</v>
      </c>
      <c r="L689" t="s">
        <v>13163</v>
      </c>
      <c r="M689" t="s">
        <v>13164</v>
      </c>
      <c r="N689">
        <f>-671.398624097971 -12.8669630176521 -523.538499085862</f>
        <v>-1207.804086201485</v>
      </c>
      <c r="O689">
        <f>-694.727531198437 -162.995097384411 -488.09888657291</f>
        <v>-1345.8215151557579</v>
      </c>
      <c r="P689">
        <f>-680.835326169426 -187.203007488454 -207.38635404699</f>
        <v>-1075.4246877048699</v>
      </c>
      <c r="Q689">
        <f>-488.749884701284 -112.480231218525 -314.475965106998</f>
        <v>-915.70608102680694</v>
      </c>
      <c r="R689" t="s">
        <v>13165</v>
      </c>
      <c r="S689" t="s">
        <v>13166</v>
      </c>
      <c r="T689" t="s">
        <v>13167</v>
      </c>
      <c r="U689" t="s">
        <v>13168</v>
      </c>
      <c r="V689">
        <f>-591.214650939093 -59.8151384397402 -91.4046742306609</f>
        <v>-742.43446360949406</v>
      </c>
      <c r="W689" t="s">
        <v>13169</v>
      </c>
      <c r="X689" t="s">
        <v>13170</v>
      </c>
      <c r="Y689" t="s">
        <v>13171</v>
      </c>
    </row>
    <row r="690" spans="1:25" x14ac:dyDescent="0.3">
      <c r="A690">
        <v>34450</v>
      </c>
      <c r="B690" t="s">
        <v>13172</v>
      </c>
      <c r="C690" t="s">
        <v>13173</v>
      </c>
      <c r="D690" t="s">
        <v>13174</v>
      </c>
      <c r="E690" t="s">
        <v>13175</v>
      </c>
      <c r="F690" t="s">
        <v>13176</v>
      </c>
      <c r="G690" t="s">
        <v>13177</v>
      </c>
      <c r="H690" t="s">
        <v>13178</v>
      </c>
      <c r="I690" t="s">
        <v>13179</v>
      </c>
      <c r="J690" t="s">
        <v>13180</v>
      </c>
      <c r="K690" t="s">
        <v>13181</v>
      </c>
      <c r="L690" t="s">
        <v>13182</v>
      </c>
      <c r="M690" t="s">
        <v>13183</v>
      </c>
      <c r="N690">
        <f>-672.275662005896 -12.9699863245608 -523.557142993613</f>
        <v>-1208.8027913240699</v>
      </c>
      <c r="O690">
        <f>-695.664098090911 -163.066538830842 -488.043890127222</f>
        <v>-1346.774527048975</v>
      </c>
      <c r="P690">
        <f>-681.617199271614 -187.169780103369 -207.330032414538</f>
        <v>-1076.117011789521</v>
      </c>
      <c r="Q690">
        <f>-489.586035346362 -112.631502303013 -314.645509251332</f>
        <v>-916.86304690070699</v>
      </c>
      <c r="R690" t="s">
        <v>13184</v>
      </c>
      <c r="S690" t="s">
        <v>13185</v>
      </c>
      <c r="T690" t="s">
        <v>13186</v>
      </c>
      <c r="U690" t="s">
        <v>13187</v>
      </c>
      <c r="V690">
        <f>-591.934978245321 -60.0042064928325 -91.4621870797762</f>
        <v>-743.40137181792966</v>
      </c>
      <c r="W690" t="s">
        <v>13188</v>
      </c>
      <c r="X690" t="s">
        <v>13189</v>
      </c>
      <c r="Y690" t="s">
        <v>13190</v>
      </c>
    </row>
    <row r="691" spans="1:25" x14ac:dyDescent="0.3">
      <c r="A691">
        <v>34500</v>
      </c>
      <c r="B691" t="s">
        <v>13191</v>
      </c>
      <c r="C691" t="s">
        <v>13192</v>
      </c>
      <c r="D691" t="s">
        <v>13193</v>
      </c>
      <c r="E691" t="s">
        <v>13194</v>
      </c>
      <c r="F691" t="s">
        <v>13195</v>
      </c>
      <c r="G691" t="s">
        <v>13196</v>
      </c>
      <c r="H691" t="s">
        <v>13197</v>
      </c>
      <c r="I691" t="s">
        <v>13198</v>
      </c>
      <c r="J691" t="s">
        <v>13199</v>
      </c>
      <c r="K691" t="s">
        <v>13200</v>
      </c>
      <c r="L691" t="s">
        <v>13201</v>
      </c>
      <c r="M691" t="s">
        <v>13202</v>
      </c>
      <c r="N691">
        <f>-674.062616002689 -13.2115543477039 -523.576531257416</f>
        <v>-1210.8507016078088</v>
      </c>
      <c r="O691">
        <f>-697.457190368485 -163.285738549866 -487.988346370014</f>
        <v>-1348.7312752883649</v>
      </c>
      <c r="P691">
        <f>-683.301144373815 -187.485712069842 -207.288159198481</f>
        <v>-1078.0750156421379</v>
      </c>
      <c r="Q691">
        <f>-491.567604839341 -113.032391983362 -315.193148866553</f>
        <v>-919.79314568925599</v>
      </c>
      <c r="R691" t="s">
        <v>13203</v>
      </c>
      <c r="S691" t="s">
        <v>13204</v>
      </c>
      <c r="T691" t="s">
        <v>13205</v>
      </c>
      <c r="U691" t="s">
        <v>13206</v>
      </c>
      <c r="V691">
        <f>-593.560543434276 -60.3643807246424 -91.5345967761798</f>
        <v>-745.45952093509823</v>
      </c>
      <c r="W691" t="s">
        <v>13207</v>
      </c>
      <c r="X691" t="s">
        <v>13208</v>
      </c>
      <c r="Y691" t="s">
        <v>13209</v>
      </c>
    </row>
    <row r="692" spans="1:25" x14ac:dyDescent="0.3">
      <c r="A692">
        <v>34550</v>
      </c>
      <c r="B692" t="s">
        <v>13210</v>
      </c>
      <c r="C692" t="s">
        <v>13211</v>
      </c>
      <c r="D692" t="s">
        <v>13212</v>
      </c>
      <c r="E692" t="s">
        <v>13213</v>
      </c>
      <c r="F692" t="s">
        <v>13214</v>
      </c>
      <c r="G692" t="s">
        <v>13215</v>
      </c>
      <c r="H692" t="s">
        <v>13216</v>
      </c>
      <c r="I692" t="s">
        <v>13217</v>
      </c>
      <c r="J692" t="s">
        <v>13218</v>
      </c>
      <c r="K692" t="s">
        <v>13219</v>
      </c>
      <c r="L692" t="s">
        <v>13220</v>
      </c>
      <c r="M692" t="s">
        <v>13221</v>
      </c>
      <c r="N692">
        <f>-675.093557682706 -13.2770665655198 -523.551248600119</f>
        <v>-1211.9218728483447</v>
      </c>
      <c r="O692">
        <f>-698.45011681896 -163.364819483705 -487.961128468932</f>
        <v>-1349.776064771597</v>
      </c>
      <c r="P692">
        <f>-684.254660714416 -187.528122161559 -207.259914709118</f>
        <v>-1079.042697585093</v>
      </c>
      <c r="Q692">
        <f>-492.590235584036 -113.204519430431 -315.376805124859</f>
        <v>-921.17156013932595</v>
      </c>
      <c r="R692" t="s">
        <v>13222</v>
      </c>
      <c r="S692" t="s">
        <v>13223</v>
      </c>
      <c r="T692" t="s">
        <v>13224</v>
      </c>
      <c r="U692" t="s">
        <v>13225</v>
      </c>
      <c r="V692">
        <f>-594.483287007217 -60.382260137168 -91.550606545428</f>
        <v>-746.41615368981297</v>
      </c>
      <c r="W692" t="s">
        <v>13226</v>
      </c>
      <c r="X692" t="s">
        <v>13227</v>
      </c>
      <c r="Y692" t="s">
        <v>13228</v>
      </c>
    </row>
    <row r="693" spans="1:25" x14ac:dyDescent="0.3">
      <c r="A693">
        <v>34600</v>
      </c>
      <c r="B693" t="s">
        <v>13229</v>
      </c>
      <c r="C693" t="s">
        <v>13230</v>
      </c>
      <c r="D693" t="s">
        <v>13231</v>
      </c>
      <c r="E693" t="s">
        <v>13232</v>
      </c>
      <c r="F693" t="s">
        <v>13233</v>
      </c>
      <c r="G693" t="s">
        <v>13234</v>
      </c>
      <c r="H693" t="s">
        <v>13235</v>
      </c>
      <c r="I693" t="s">
        <v>13236</v>
      </c>
      <c r="J693" t="s">
        <v>13237</v>
      </c>
      <c r="K693" t="s">
        <v>13238</v>
      </c>
      <c r="L693" t="s">
        <v>13239</v>
      </c>
      <c r="M693" t="s">
        <v>13240</v>
      </c>
      <c r="N693">
        <f>-677.267871779554 -13.3784531916426 -523.503465078093</f>
        <v>-1214.1497900492895</v>
      </c>
      <c r="O693">
        <f>-700.585491154076 -163.462074955276 -487.881573174024</f>
        <v>-1351.9291392833759</v>
      </c>
      <c r="P693">
        <f>-685.972297335917 -187.592639350421 -207.198809947593</f>
        <v>-1080.7637466339311</v>
      </c>
      <c r="Q693">
        <f>-494.280365803753 -113.478471996538 -315.410759826795</f>
        <v>-923.16959762708598</v>
      </c>
      <c r="R693" t="s">
        <v>13241</v>
      </c>
      <c r="S693" t="s">
        <v>13242</v>
      </c>
      <c r="T693" t="s">
        <v>13243</v>
      </c>
      <c r="U693" t="s">
        <v>13244</v>
      </c>
      <c r="V693">
        <f>-596.230988452476 -60.4891113309989 -91.5925546653123</f>
        <v>-748.31265444878716</v>
      </c>
      <c r="W693" t="s">
        <v>13245</v>
      </c>
      <c r="X693" t="s">
        <v>13246</v>
      </c>
      <c r="Y693" t="s">
        <v>13247</v>
      </c>
    </row>
    <row r="694" spans="1:25" x14ac:dyDescent="0.3">
      <c r="A694">
        <v>34650</v>
      </c>
      <c r="B694" t="s">
        <v>13248</v>
      </c>
      <c r="C694" t="s">
        <v>13249</v>
      </c>
      <c r="D694" t="s">
        <v>13250</v>
      </c>
      <c r="E694" t="s">
        <v>13251</v>
      </c>
      <c r="F694" t="s">
        <v>13252</v>
      </c>
      <c r="G694" t="s">
        <v>13253</v>
      </c>
      <c r="H694" t="s">
        <v>13254</v>
      </c>
      <c r="I694" t="s">
        <v>13255</v>
      </c>
      <c r="J694" t="s">
        <v>13256</v>
      </c>
      <c r="K694" t="s">
        <v>13257</v>
      </c>
      <c r="L694" t="s">
        <v>13258</v>
      </c>
      <c r="M694" t="s">
        <v>13259</v>
      </c>
      <c r="N694">
        <f>-678.219191792092 -13.4253810659529 -523.491314957817</f>
        <v>-1215.1358878158621</v>
      </c>
      <c r="O694">
        <f>-701.464836782481 -163.516579764314 -487.85379241701</f>
        <v>-1352.8352089638051</v>
      </c>
      <c r="P694">
        <f>-686.685279567713 -187.625159047205 -207.177989950719</f>
        <v>-1081.4884285656369</v>
      </c>
      <c r="Q694">
        <f>-494.926892986788 -113.603455723885 -315.33538970504</f>
        <v>-923.86573841571294</v>
      </c>
      <c r="R694" t="s">
        <v>13260</v>
      </c>
      <c r="S694" t="s">
        <v>13261</v>
      </c>
      <c r="T694" t="s">
        <v>13262</v>
      </c>
      <c r="U694" t="s">
        <v>13263</v>
      </c>
      <c r="V694">
        <f>-596.969714229409 -60.4559940873326 -91.6422029094023</f>
        <v>-749.06791122614379</v>
      </c>
      <c r="W694" t="s">
        <v>13264</v>
      </c>
      <c r="X694" t="s">
        <v>13265</v>
      </c>
      <c r="Y694" t="s">
        <v>13266</v>
      </c>
    </row>
    <row r="695" spans="1:25" x14ac:dyDescent="0.3">
      <c r="A695">
        <v>34700</v>
      </c>
      <c r="B695" t="s">
        <v>13267</v>
      </c>
      <c r="C695" t="s">
        <v>13268</v>
      </c>
      <c r="D695" t="s">
        <v>13269</v>
      </c>
      <c r="E695" t="s">
        <v>13270</v>
      </c>
      <c r="F695" t="s">
        <v>13271</v>
      </c>
      <c r="G695" t="s">
        <v>13272</v>
      </c>
      <c r="H695" t="s">
        <v>13273</v>
      </c>
      <c r="I695" t="s">
        <v>13274</v>
      </c>
      <c r="J695" t="s">
        <v>13275</v>
      </c>
      <c r="K695" t="s">
        <v>13276</v>
      </c>
      <c r="L695" t="s">
        <v>13277</v>
      </c>
      <c r="M695" t="s">
        <v>13278</v>
      </c>
      <c r="N695">
        <f>-680.033499208196 -13.2427249136683 -523.477828992043</f>
        <v>-1216.7540531139073</v>
      </c>
      <c r="O695">
        <f>-703.047922205881 -163.366352440295 -487.825357290416</f>
        <v>-1354.2396319365921</v>
      </c>
      <c r="P695">
        <f>-688.002121313888 -187.416909792839 -207.158686126081</f>
        <v>-1082.577717232808</v>
      </c>
      <c r="Q695">
        <f>-496.150234507131 -113.383914918176 -315.142588162332</f>
        <v>-924.67673758763908</v>
      </c>
      <c r="R695" t="s">
        <v>13279</v>
      </c>
      <c r="S695" t="s">
        <v>13280</v>
      </c>
      <c r="T695" t="s">
        <v>13281</v>
      </c>
      <c r="U695" t="s">
        <v>13282</v>
      </c>
      <c r="V695">
        <f>-598.236696042774 -60.024399764663 -91.7314429313451</f>
        <v>-749.99253873878217</v>
      </c>
      <c r="W695" t="s">
        <v>13283</v>
      </c>
      <c r="X695" t="s">
        <v>13284</v>
      </c>
      <c r="Y695" t="s">
        <v>13285</v>
      </c>
    </row>
    <row r="696" spans="1:25" x14ac:dyDescent="0.3">
      <c r="A696">
        <v>34750</v>
      </c>
      <c r="B696" t="s">
        <v>13286</v>
      </c>
      <c r="C696" t="s">
        <v>13287</v>
      </c>
      <c r="D696" t="s">
        <v>13288</v>
      </c>
      <c r="E696" t="s">
        <v>13289</v>
      </c>
      <c r="F696" t="s">
        <v>13290</v>
      </c>
      <c r="G696" t="s">
        <v>13291</v>
      </c>
      <c r="H696" t="s">
        <v>13292</v>
      </c>
      <c r="I696" t="s">
        <v>13293</v>
      </c>
      <c r="J696" t="s">
        <v>13294</v>
      </c>
      <c r="K696" t="s">
        <v>13295</v>
      </c>
      <c r="L696" t="s">
        <v>13296</v>
      </c>
      <c r="M696" t="s">
        <v>13297</v>
      </c>
      <c r="N696">
        <f>-680.674700409633 -13.1361500294331 -523.48417232934</f>
        <v>-1217.2950227684062</v>
      </c>
      <c r="O696">
        <f>-703.561265624979 -163.291631654805 -487.864347601287</f>
        <v>-1354.7172448810711</v>
      </c>
      <c r="P696">
        <f>-688.410190073791 -187.028569369511 -207.176755315404</f>
        <v>-1082.615514758706</v>
      </c>
      <c r="Q696">
        <f>-496.594441200519 -113.004537947436 -315.230773944211</f>
        <v>-924.82975309216602</v>
      </c>
      <c r="R696" t="s">
        <v>13298</v>
      </c>
      <c r="S696" t="s">
        <v>13299</v>
      </c>
      <c r="T696" t="s">
        <v>13300</v>
      </c>
      <c r="U696" t="s">
        <v>13301</v>
      </c>
      <c r="V696">
        <f>-598.707877337642 -59.8640776222705 -91.7854812381385</f>
        <v>-750.357436198051</v>
      </c>
      <c r="W696" t="s">
        <v>13302</v>
      </c>
      <c r="X696" t="s">
        <v>13303</v>
      </c>
      <c r="Y696" t="s">
        <v>13304</v>
      </c>
    </row>
    <row r="697" spans="1:25" x14ac:dyDescent="0.3">
      <c r="A697">
        <v>34800</v>
      </c>
      <c r="B697" t="s">
        <v>13305</v>
      </c>
      <c r="C697" t="s">
        <v>13306</v>
      </c>
      <c r="D697" t="s">
        <v>13307</v>
      </c>
      <c r="E697" t="s">
        <v>13308</v>
      </c>
      <c r="F697" t="s">
        <v>13309</v>
      </c>
      <c r="G697" t="s">
        <v>13310</v>
      </c>
      <c r="H697" t="s">
        <v>13311</v>
      </c>
      <c r="I697" t="s">
        <v>13312</v>
      </c>
      <c r="J697" t="s">
        <v>13313</v>
      </c>
      <c r="K697" t="s">
        <v>13314</v>
      </c>
      <c r="L697" t="s">
        <v>13315</v>
      </c>
      <c r="M697" t="s">
        <v>13316</v>
      </c>
      <c r="N697">
        <f>-681.487097621862 -13.1525076525979 -523.48324313647</f>
        <v>-1218.1228484109299</v>
      </c>
      <c r="O697">
        <f>-704.182731041229 -163.324585708434 -487.841216672937</f>
        <v>-1355.3485334226</v>
      </c>
      <c r="P697">
        <f>-688.662658382059 -186.887754018251 -207.159030763389</f>
        <v>-1082.709443163699</v>
      </c>
      <c r="Q697">
        <f>-497.087600192493 -112.647395716836 -315.491425469722</f>
        <v>-925.22642137905098</v>
      </c>
      <c r="R697" t="s">
        <v>13317</v>
      </c>
      <c r="S697" t="s">
        <v>13318</v>
      </c>
      <c r="T697" t="s">
        <v>13319</v>
      </c>
      <c r="U697" t="s">
        <v>13320</v>
      </c>
      <c r="V697">
        <f>-599.431876116359 -59.5620649497946 -91.8178943598161</f>
        <v>-750.81183542596978</v>
      </c>
      <c r="W697" t="s">
        <v>13321</v>
      </c>
      <c r="X697" t="s">
        <v>13322</v>
      </c>
      <c r="Y697" t="s">
        <v>13323</v>
      </c>
    </row>
    <row r="698" spans="1:25" x14ac:dyDescent="0.3">
      <c r="A698">
        <v>34850</v>
      </c>
      <c r="B698" t="s">
        <v>13324</v>
      </c>
      <c r="C698" t="s">
        <v>13325</v>
      </c>
      <c r="D698" t="s">
        <v>13326</v>
      </c>
      <c r="E698" t="s">
        <v>13327</v>
      </c>
      <c r="F698" t="s">
        <v>13328</v>
      </c>
      <c r="G698" t="s">
        <v>13329</v>
      </c>
      <c r="H698" t="s">
        <v>13330</v>
      </c>
      <c r="I698" t="s">
        <v>13331</v>
      </c>
      <c r="J698" t="s">
        <v>13332</v>
      </c>
      <c r="K698" t="s">
        <v>13333</v>
      </c>
      <c r="L698" t="s">
        <v>13334</v>
      </c>
      <c r="M698" t="s">
        <v>13335</v>
      </c>
      <c r="N698">
        <f>-681.719623238862 -13.4343002231269 -523.467139306779</f>
        <v>-1218.6210627687678</v>
      </c>
      <c r="O698">
        <f>-704.332187295527 -163.608006950075 -487.782279979703</f>
        <v>-1355.7224742253049</v>
      </c>
      <c r="P698">
        <f>-688.716634653134 -187.33231018712 -207.118923522685</f>
        <v>-1083.1678683629389</v>
      </c>
      <c r="Q698">
        <f>-497.310138055907 -112.779596771188 -315.534548379527</f>
        <v>-925.62428320662195</v>
      </c>
      <c r="R698" t="s">
        <v>13336</v>
      </c>
      <c r="S698" t="s">
        <v>13337</v>
      </c>
      <c r="T698" t="s">
        <v>13338</v>
      </c>
      <c r="U698" t="s">
        <v>13339</v>
      </c>
      <c r="V698">
        <f>-599.610778409495 -59.6919678907202 -91.8384673276889</f>
        <v>-751.14121362790411</v>
      </c>
      <c r="W698" t="s">
        <v>13340</v>
      </c>
      <c r="X698" t="s">
        <v>13341</v>
      </c>
      <c r="Y698" t="s">
        <v>13342</v>
      </c>
    </row>
    <row r="699" spans="1:25" x14ac:dyDescent="0.3">
      <c r="A699">
        <v>34900</v>
      </c>
      <c r="B699" t="s">
        <v>13343</v>
      </c>
      <c r="C699" t="s">
        <v>13344</v>
      </c>
      <c r="D699" t="s">
        <v>13345</v>
      </c>
      <c r="E699" t="s">
        <v>13346</v>
      </c>
      <c r="F699" t="s">
        <v>13347</v>
      </c>
      <c r="G699" t="s">
        <v>13348</v>
      </c>
      <c r="H699" t="s">
        <v>13349</v>
      </c>
      <c r="I699" t="s">
        <v>13350</v>
      </c>
      <c r="J699" t="s">
        <v>13351</v>
      </c>
      <c r="K699" t="s">
        <v>13352</v>
      </c>
      <c r="L699" t="s">
        <v>13353</v>
      </c>
      <c r="M699" t="s">
        <v>13354</v>
      </c>
      <c r="N699">
        <f>-682.109373749347 -13.9302419047719 -523.392174421075</f>
        <v>-1219.4317900751939</v>
      </c>
      <c r="O699">
        <f>-704.628800934015 -164.093629834277 -487.594260606049</f>
        <v>-1356.316691374341</v>
      </c>
      <c r="P699">
        <f>-688.677402365936 -187.679141587543 -206.938085868656</f>
        <v>-1083.294629822135</v>
      </c>
      <c r="Q699">
        <f>-497.474351885222 -113.068294399732 -315.672289783493</f>
        <v>-926.21493606844706</v>
      </c>
      <c r="R699" t="s">
        <v>13355</v>
      </c>
      <c r="S699" t="s">
        <v>13356</v>
      </c>
      <c r="T699" t="s">
        <v>13357</v>
      </c>
      <c r="U699" t="s">
        <v>13358</v>
      </c>
      <c r="V699">
        <f>-599.77636144868 -59.8450606190584 -91.8269281258042</f>
        <v>-751.44835019354252</v>
      </c>
      <c r="W699" t="s">
        <v>13359</v>
      </c>
      <c r="X699" t="s">
        <v>13360</v>
      </c>
      <c r="Y699" t="s">
        <v>13361</v>
      </c>
    </row>
    <row r="700" spans="1:25" x14ac:dyDescent="0.3">
      <c r="A700">
        <v>34950</v>
      </c>
      <c r="B700" t="s">
        <v>13362</v>
      </c>
      <c r="C700" t="s">
        <v>13363</v>
      </c>
      <c r="D700" t="s">
        <v>13364</v>
      </c>
      <c r="E700" t="s">
        <v>13365</v>
      </c>
      <c r="F700" t="s">
        <v>13366</v>
      </c>
      <c r="G700" t="s">
        <v>13367</v>
      </c>
      <c r="H700" t="s">
        <v>13368</v>
      </c>
      <c r="I700" t="s">
        <v>13369</v>
      </c>
      <c r="J700" t="s">
        <v>13370</v>
      </c>
      <c r="K700" t="s">
        <v>13371</v>
      </c>
      <c r="L700" t="s">
        <v>13372</v>
      </c>
      <c r="M700" t="s">
        <v>13373</v>
      </c>
      <c r="N700">
        <f>-682.320087124308 -14.2508776777524 -523.333854198259</f>
        <v>-1219.9048190003195</v>
      </c>
      <c r="O700">
        <f>-704.81976749345 -164.392943936869 -487.432563822842</f>
        <v>-1356.6452752531609</v>
      </c>
      <c r="P700">
        <f>-688.661097637158 -187.770342969415 -206.770873699067</f>
        <v>-1083.2023143056399</v>
      </c>
      <c r="Q700">
        <f>-497.537194504952 -113.16165992288 -315.64582203973</f>
        <v>-926.34467646756195</v>
      </c>
      <c r="R700" t="s">
        <v>13374</v>
      </c>
      <c r="S700" t="s">
        <v>13375</v>
      </c>
      <c r="T700" t="s">
        <v>13376</v>
      </c>
      <c r="U700" t="s">
        <v>13377</v>
      </c>
      <c r="V700">
        <f>-599.741677483177 -60.0930288378629 -91.8264851401541</f>
        <v>-751.66119146119399</v>
      </c>
      <c r="W700" t="s">
        <v>13378</v>
      </c>
      <c r="X700" t="s">
        <v>13379</v>
      </c>
      <c r="Y700" t="s">
        <v>13380</v>
      </c>
    </row>
    <row r="701" spans="1:25" x14ac:dyDescent="0.3">
      <c r="A701">
        <v>35000</v>
      </c>
      <c r="B701" t="s">
        <v>13381</v>
      </c>
      <c r="C701" t="s">
        <v>13382</v>
      </c>
      <c r="D701" t="s">
        <v>13383</v>
      </c>
      <c r="E701" t="s">
        <v>13384</v>
      </c>
      <c r="F701" t="s">
        <v>13385</v>
      </c>
      <c r="G701" t="s">
        <v>13386</v>
      </c>
      <c r="H701" t="s">
        <v>13387</v>
      </c>
      <c r="I701" t="s">
        <v>13388</v>
      </c>
      <c r="J701" t="s">
        <v>13389</v>
      </c>
      <c r="K701" t="s">
        <v>13390</v>
      </c>
      <c r="L701" t="s">
        <v>13391</v>
      </c>
      <c r="M701" t="s">
        <v>13392</v>
      </c>
      <c r="N701">
        <f>-682.450669401444 -14.883210866074 -523.209634153783</f>
        <v>-1220.5435144213011</v>
      </c>
      <c r="O701">
        <f>-705.041184145997 -164.961155748953 -487.088030869942</f>
        <v>-1357.090370764892</v>
      </c>
      <c r="P701">
        <f>-688.543754545139 -187.949968083867 -206.413942109347</f>
        <v>-1082.9076647383531</v>
      </c>
      <c r="Q701">
        <f>-497.688100882934 -113.407337967984 -315.803161453442</f>
        <v>-926.89860030436012</v>
      </c>
      <c r="R701" t="s">
        <v>13393</v>
      </c>
      <c r="S701" t="s">
        <v>13394</v>
      </c>
      <c r="T701" t="s">
        <v>13395</v>
      </c>
      <c r="U701" t="s">
        <v>13396</v>
      </c>
      <c r="V701">
        <f>-599.583469682519 -60.4443340218754 -91.7610636967912</f>
        <v>-751.7888674011856</v>
      </c>
      <c r="W701" t="s">
        <v>13397</v>
      </c>
      <c r="X701" t="s">
        <v>13398</v>
      </c>
      <c r="Y701" t="s">
        <v>13399</v>
      </c>
    </row>
    <row r="702" spans="1:25" x14ac:dyDescent="0.3">
      <c r="A702">
        <v>35050</v>
      </c>
      <c r="B702" t="s">
        <v>13400</v>
      </c>
      <c r="C702" t="s">
        <v>13401</v>
      </c>
      <c r="D702" t="s">
        <v>13402</v>
      </c>
      <c r="E702" t="s">
        <v>13403</v>
      </c>
      <c r="F702" t="s">
        <v>13404</v>
      </c>
      <c r="G702" t="s">
        <v>13405</v>
      </c>
      <c r="H702" t="s">
        <v>13406</v>
      </c>
      <c r="I702" t="s">
        <v>13407</v>
      </c>
      <c r="J702" t="s">
        <v>13408</v>
      </c>
      <c r="K702" t="s">
        <v>13409</v>
      </c>
      <c r="L702" t="s">
        <v>13410</v>
      </c>
      <c r="M702" t="s">
        <v>13411</v>
      </c>
      <c r="N702">
        <f>-682.340686465968 -15.2233044299176 -523.179761115096</f>
        <v>-1220.7437520109816</v>
      </c>
      <c r="O702">
        <f>-705.002013123794 -165.269924073068 -486.985094408922</f>
        <v>-1357.2570316057841</v>
      </c>
      <c r="P702">
        <f>-688.469102887561 -188.151177464031 -206.304241419829</f>
        <v>-1082.924521771421</v>
      </c>
      <c r="Q702">
        <f>-497.748236860792 -113.572262077015 -315.903820325079</f>
        <v>-927.22431926288596</v>
      </c>
      <c r="R702" t="s">
        <v>13412</v>
      </c>
      <c r="S702" t="s">
        <v>13413</v>
      </c>
      <c r="T702" t="s">
        <v>13414</v>
      </c>
      <c r="U702" t="s">
        <v>13415</v>
      </c>
      <c r="V702">
        <f>-599.463077009231 -60.7373740272028 -91.7289154653375</f>
        <v>-751.92936650177137</v>
      </c>
      <c r="W702" t="s">
        <v>13416</v>
      </c>
      <c r="X702" t="s">
        <v>13417</v>
      </c>
      <c r="Y702" t="s">
        <v>13418</v>
      </c>
    </row>
    <row r="703" spans="1:25" x14ac:dyDescent="0.3">
      <c r="A703">
        <v>35100</v>
      </c>
      <c r="B703" t="s">
        <v>13419</v>
      </c>
      <c r="C703" t="s">
        <v>13420</v>
      </c>
      <c r="D703" t="s">
        <v>13421</v>
      </c>
      <c r="E703" t="s">
        <v>13422</v>
      </c>
      <c r="F703" t="s">
        <v>13423</v>
      </c>
      <c r="G703" t="s">
        <v>13424</v>
      </c>
      <c r="H703" t="s">
        <v>13425</v>
      </c>
      <c r="I703" t="s">
        <v>13426</v>
      </c>
      <c r="J703" t="s">
        <v>13427</v>
      </c>
      <c r="K703" t="s">
        <v>13428</v>
      </c>
      <c r="L703" t="s">
        <v>13429</v>
      </c>
      <c r="M703" t="s">
        <v>13430</v>
      </c>
      <c r="N703">
        <f>-682.023449498328 -15.8384401224562 -523.133921204436</f>
        <v>-1220.9958108252201</v>
      </c>
      <c r="O703">
        <f>-704.846254017878 -165.819747409166 -486.775149162135</f>
        <v>-1357.441150589179</v>
      </c>
      <c r="P703">
        <f>-688.230258672568 -188.622063572519 -206.092895165312</f>
        <v>-1082.945217410399</v>
      </c>
      <c r="Q703">
        <f>-497.703565986589 -113.95225294234 -315.967947342544</f>
        <v>-927.62376627147296</v>
      </c>
      <c r="R703" t="s">
        <v>13431</v>
      </c>
      <c r="S703" t="s">
        <v>13432</v>
      </c>
      <c r="T703" t="s">
        <v>13433</v>
      </c>
      <c r="U703" t="s">
        <v>13434</v>
      </c>
      <c r="V703">
        <f>-599.191435298688 -61.0543681430684 -91.6808799520477</f>
        <v>-751.92668339380407</v>
      </c>
      <c r="W703" t="s">
        <v>13435</v>
      </c>
      <c r="X703" t="s">
        <v>13436</v>
      </c>
      <c r="Y703" t="s">
        <v>13437</v>
      </c>
    </row>
    <row r="704" spans="1:25" x14ac:dyDescent="0.3">
      <c r="A704">
        <v>35150</v>
      </c>
      <c r="B704" t="s">
        <v>13438</v>
      </c>
      <c r="C704" t="s">
        <v>13439</v>
      </c>
      <c r="D704" t="s">
        <v>13440</v>
      </c>
      <c r="E704" t="s">
        <v>13441</v>
      </c>
      <c r="F704" t="s">
        <v>13442</v>
      </c>
      <c r="G704" t="s">
        <v>13443</v>
      </c>
      <c r="H704" t="s">
        <v>13444</v>
      </c>
      <c r="I704" t="s">
        <v>13445</v>
      </c>
      <c r="J704" t="s">
        <v>13446</v>
      </c>
      <c r="K704" t="s">
        <v>13447</v>
      </c>
      <c r="L704" t="s">
        <v>13448</v>
      </c>
      <c r="M704" t="s">
        <v>13449</v>
      </c>
      <c r="N704">
        <f>-681.893235401006 -16.1090754896545 -523.128565510191</f>
        <v>-1221.1308764008515</v>
      </c>
      <c r="O704">
        <f>-704.733397517328 -166.066852327597 -486.687044736002</f>
        <v>-1357.487294580927</v>
      </c>
      <c r="P704">
        <f>-688.144557774743 -188.884316640428 -206.004327323514</f>
        <v>-1083.033201738685</v>
      </c>
      <c r="Q704">
        <f>-497.688243132014 -114.085675064051 -315.913787364912</f>
        <v>-927.68770556097707</v>
      </c>
      <c r="R704" t="s">
        <v>13450</v>
      </c>
      <c r="S704" t="s">
        <v>13451</v>
      </c>
      <c r="T704" t="s">
        <v>13452</v>
      </c>
      <c r="U704" t="s">
        <v>13453</v>
      </c>
      <c r="V704">
        <f>-599.113957110111 -61.2529194624519 -91.6796565150455</f>
        <v>-752.0465330876084</v>
      </c>
      <c r="W704" t="s">
        <v>13454</v>
      </c>
      <c r="X704" t="s">
        <v>13455</v>
      </c>
      <c r="Y704" t="s">
        <v>13456</v>
      </c>
    </row>
    <row r="705" spans="1:25" x14ac:dyDescent="0.3">
      <c r="A705">
        <v>35200</v>
      </c>
      <c r="B705" t="s">
        <v>13457</v>
      </c>
      <c r="C705" t="s">
        <v>13458</v>
      </c>
      <c r="D705" t="s">
        <v>13459</v>
      </c>
      <c r="E705" t="s">
        <v>13460</v>
      </c>
      <c r="F705" t="s">
        <v>13461</v>
      </c>
      <c r="G705" t="s">
        <v>13462</v>
      </c>
      <c r="H705" t="s">
        <v>13463</v>
      </c>
      <c r="I705" t="s">
        <v>13464</v>
      </c>
      <c r="J705" t="s">
        <v>13465</v>
      </c>
      <c r="K705" t="s">
        <v>13466</v>
      </c>
      <c r="L705" t="s">
        <v>13467</v>
      </c>
      <c r="M705" t="s">
        <v>13468</v>
      </c>
      <c r="N705">
        <f>-681.459920466325 -16.5712543791281 -523.148429533514</f>
        <v>-1221.179604378967</v>
      </c>
      <c r="O705">
        <f>-704.28358689834 -166.503537117611 -486.57700714306</f>
        <v>-1357.3641311590109</v>
      </c>
      <c r="P705">
        <f>-687.725126056359 -189.075190167629 -205.872593518878</f>
        <v>-1082.6729097428661</v>
      </c>
      <c r="Q705">
        <f>-497.371419816524 -114.126262757737 -315.85752275213</f>
        <v>-927.35520532639111</v>
      </c>
      <c r="R705" t="s">
        <v>13469</v>
      </c>
      <c r="S705" t="s">
        <v>13470</v>
      </c>
      <c r="T705" t="s">
        <v>13471</v>
      </c>
      <c r="U705" t="s">
        <v>13472</v>
      </c>
      <c r="V705">
        <f>-598.785193856315 -61.402469521207 -91.6967181484662</f>
        <v>-751.88438152598815</v>
      </c>
      <c r="W705" t="s">
        <v>13473</v>
      </c>
      <c r="X705" t="s">
        <v>13474</v>
      </c>
      <c r="Y705" t="s">
        <v>13475</v>
      </c>
    </row>
    <row r="706" spans="1:25" x14ac:dyDescent="0.3">
      <c r="A706">
        <v>35250</v>
      </c>
      <c r="B706" t="s">
        <v>13476</v>
      </c>
      <c r="C706" t="s">
        <v>13477</v>
      </c>
      <c r="D706" t="s">
        <v>13478</v>
      </c>
      <c r="E706" t="s">
        <v>13479</v>
      </c>
      <c r="F706" t="s">
        <v>13480</v>
      </c>
      <c r="G706" t="s">
        <v>13481</v>
      </c>
      <c r="H706" t="s">
        <v>13482</v>
      </c>
      <c r="I706" t="s">
        <v>13483</v>
      </c>
      <c r="J706" t="s">
        <v>13484</v>
      </c>
      <c r="K706" t="s">
        <v>13485</v>
      </c>
      <c r="L706" t="s">
        <v>13486</v>
      </c>
      <c r="M706" t="s">
        <v>13487</v>
      </c>
      <c r="N706">
        <f>-681.218204547182 -16.6411679153932 -523.166653971962</f>
        <v>-1221.0260264345372</v>
      </c>
      <c r="O706">
        <f>-703.981835615415 -166.565945669004 -486.532756564864</f>
        <v>-1357.080537849283</v>
      </c>
      <c r="P706">
        <f>-687.418499340655 -189.066394798564 -205.82304285673</f>
        <v>-1082.3079369959491</v>
      </c>
      <c r="Q706">
        <f>-497.097917981748 -113.955188303796 -315.754450700636</f>
        <v>-926.80755698618009</v>
      </c>
      <c r="R706" t="s">
        <v>13488</v>
      </c>
      <c r="S706" t="s">
        <v>13489</v>
      </c>
      <c r="T706" t="s">
        <v>13490</v>
      </c>
      <c r="U706" t="s">
        <v>13491</v>
      </c>
      <c r="V706">
        <f>-598.654631884091 -61.3488822903403 -91.7028939426439</f>
        <v>-751.70640811707517</v>
      </c>
      <c r="W706" t="s">
        <v>13492</v>
      </c>
      <c r="X706" t="s">
        <v>13493</v>
      </c>
      <c r="Y706" t="s">
        <v>13494</v>
      </c>
    </row>
    <row r="707" spans="1:25" x14ac:dyDescent="0.3">
      <c r="A707">
        <v>35300</v>
      </c>
      <c r="B707" t="s">
        <v>13495</v>
      </c>
      <c r="C707" t="s">
        <v>13496</v>
      </c>
      <c r="D707" t="s">
        <v>13497</v>
      </c>
      <c r="E707" t="s">
        <v>13498</v>
      </c>
      <c r="F707" t="s">
        <v>13499</v>
      </c>
      <c r="G707" t="s">
        <v>13500</v>
      </c>
      <c r="H707" t="s">
        <v>13501</v>
      </c>
      <c r="I707" t="s">
        <v>13502</v>
      </c>
      <c r="J707" t="s">
        <v>13503</v>
      </c>
      <c r="K707" t="s">
        <v>13504</v>
      </c>
      <c r="L707" t="s">
        <v>13505</v>
      </c>
      <c r="M707" t="s">
        <v>13506</v>
      </c>
      <c r="N707">
        <f>-680.712114069657 -16.8809321757808 -523.189481157134</f>
        <v>-1220.7825274025718</v>
      </c>
      <c r="O707">
        <f>-703.339928149489 -166.795954546044 -486.444495581556</f>
        <v>-1356.580378277089</v>
      </c>
      <c r="P707">
        <f>-686.818028144927 -189.39094360894 -205.739945283817</f>
        <v>-1081.9489170376839</v>
      </c>
      <c r="Q707">
        <f>-496.593536711407 -113.725276349554 -315.4570843287</f>
        <v>-925.77589738966094</v>
      </c>
      <c r="R707" t="s">
        <v>13507</v>
      </c>
      <c r="S707" t="s">
        <v>13508</v>
      </c>
      <c r="T707" t="s">
        <v>13509</v>
      </c>
      <c r="U707" t="s">
        <v>13510</v>
      </c>
      <c r="V707">
        <f>-598.278291008268 -61.4709182904462 -91.726199531994</f>
        <v>-751.47540883070815</v>
      </c>
      <c r="W707" t="s">
        <v>13511</v>
      </c>
      <c r="X707" t="s">
        <v>13512</v>
      </c>
      <c r="Y707" t="s">
        <v>13513</v>
      </c>
    </row>
    <row r="708" spans="1:25" x14ac:dyDescent="0.3">
      <c r="A708">
        <v>35350</v>
      </c>
      <c r="B708" t="s">
        <v>13514</v>
      </c>
      <c r="C708" t="s">
        <v>13515</v>
      </c>
      <c r="D708" t="s">
        <v>13516</v>
      </c>
      <c r="E708" t="s">
        <v>13517</v>
      </c>
      <c r="F708" t="s">
        <v>13518</v>
      </c>
      <c r="G708" t="s">
        <v>13519</v>
      </c>
      <c r="H708" t="s">
        <v>13520</v>
      </c>
      <c r="I708" t="s">
        <v>13521</v>
      </c>
      <c r="J708" t="s">
        <v>13522</v>
      </c>
      <c r="K708" t="s">
        <v>13523</v>
      </c>
      <c r="L708" t="s">
        <v>13524</v>
      </c>
      <c r="M708" t="s">
        <v>13525</v>
      </c>
      <c r="N708">
        <f>-680.297820358183 -17.002290778338 -523.241192576068</f>
        <v>-1220.5413037125891</v>
      </c>
      <c r="O708">
        <f>-702.885425171007 -166.925110567669 -486.47445160183</f>
        <v>-1356.2849873405059</v>
      </c>
      <c r="P708">
        <f>-686.493166682739 -189.503825067299 -205.761003541083</f>
        <v>-1081.757995291121</v>
      </c>
      <c r="Q708">
        <f>-496.33684310224 -113.575817455843 -315.415209663719</f>
        <v>-925.32787022180196</v>
      </c>
      <c r="R708" t="s">
        <v>13526</v>
      </c>
      <c r="S708" t="s">
        <v>13527</v>
      </c>
      <c r="T708" t="s">
        <v>13528</v>
      </c>
      <c r="U708" t="s">
        <v>13529</v>
      </c>
      <c r="V708">
        <f>-598.088019496714 -61.5579344137952 -91.7315791026847</f>
        <v>-751.3775330131939</v>
      </c>
      <c r="W708" t="s">
        <v>13530</v>
      </c>
      <c r="X708" t="s">
        <v>13531</v>
      </c>
      <c r="Y708" t="s">
        <v>13532</v>
      </c>
    </row>
    <row r="709" spans="1:25" x14ac:dyDescent="0.3">
      <c r="A709">
        <v>35400</v>
      </c>
      <c r="B709" t="s">
        <v>13533</v>
      </c>
      <c r="C709" t="s">
        <v>13534</v>
      </c>
      <c r="D709" t="s">
        <v>13535</v>
      </c>
      <c r="E709" t="s">
        <v>13536</v>
      </c>
      <c r="F709" t="s">
        <v>13537</v>
      </c>
      <c r="G709" t="s">
        <v>13538</v>
      </c>
      <c r="H709" t="s">
        <v>13539</v>
      </c>
      <c r="I709" t="s">
        <v>13540</v>
      </c>
      <c r="J709" t="s">
        <v>13541</v>
      </c>
      <c r="K709" t="s">
        <v>13542</v>
      </c>
      <c r="L709" t="s">
        <v>13543</v>
      </c>
      <c r="M709" t="s">
        <v>13544</v>
      </c>
      <c r="N709">
        <f>-679.432011009923 -17.1633675418373 -523.420362490698</f>
        <v>-1220.0157410424583</v>
      </c>
      <c r="O709">
        <f>-701.876807056988 -167.090664046048 -486.606941873017</f>
        <v>-1355.5744129760531</v>
      </c>
      <c r="P709">
        <f>-685.677779309478 -189.830689715697 -205.89514418708</f>
        <v>-1081.4036132122549</v>
      </c>
      <c r="Q709">
        <f>-495.808828684791 -113.077272501318 -315.472588051294</f>
        <v>-924.35868923740304</v>
      </c>
      <c r="R709" t="s">
        <v>13545</v>
      </c>
      <c r="S709" t="s">
        <v>13546</v>
      </c>
      <c r="T709" t="s">
        <v>13547</v>
      </c>
      <c r="U709" t="s">
        <v>13548</v>
      </c>
      <c r="V709">
        <f>-598.009160714192 -61.5713115634021 -91.8024905977918</f>
        <v>-751.38296287538594</v>
      </c>
      <c r="W709" t="s">
        <v>13549</v>
      </c>
      <c r="X709" t="s">
        <v>13550</v>
      </c>
      <c r="Y709" t="s">
        <v>13551</v>
      </c>
    </row>
    <row r="710" spans="1:25" x14ac:dyDescent="0.3">
      <c r="A710">
        <v>35450</v>
      </c>
      <c r="B710" t="s">
        <v>13552</v>
      </c>
      <c r="C710" t="s">
        <v>13553</v>
      </c>
      <c r="D710" t="s">
        <v>13554</v>
      </c>
      <c r="E710" t="s">
        <v>13555</v>
      </c>
      <c r="F710" t="s">
        <v>13556</v>
      </c>
      <c r="G710" t="s">
        <v>13557</v>
      </c>
      <c r="H710" t="s">
        <v>13558</v>
      </c>
      <c r="I710" t="s">
        <v>13559</v>
      </c>
      <c r="J710" t="s">
        <v>13560</v>
      </c>
      <c r="K710" t="s">
        <v>13561</v>
      </c>
      <c r="L710" t="s">
        <v>13562</v>
      </c>
      <c r="M710" t="s">
        <v>13563</v>
      </c>
      <c r="N710">
        <f>-679.105393288214 -17.2404154946557 -523.553419564387</f>
        <v>-1219.8992283472567</v>
      </c>
      <c r="O710">
        <f>-701.537689147015 -167.168180669823 -486.727961814753</f>
        <v>-1355.4338316315909</v>
      </c>
      <c r="P710">
        <f>-685.350283753935 -190.050454619806 -206.027069340965</f>
        <v>-1081.427807714706</v>
      </c>
      <c r="Q710">
        <f>-495.693341582495 -112.775172187813 -315.604957739001</f>
        <v>-924.073471509309</v>
      </c>
      <c r="R710" t="s">
        <v>13564</v>
      </c>
      <c r="S710" t="s">
        <v>13565</v>
      </c>
      <c r="T710" t="s">
        <v>13566</v>
      </c>
      <c r="U710" t="s">
        <v>13567</v>
      </c>
      <c r="V710">
        <f>-598.160432492147 -61.6519072891815 -91.884612785424</f>
        <v>-751.69695256675254</v>
      </c>
      <c r="W710" t="s">
        <v>13568</v>
      </c>
      <c r="X710" t="s">
        <v>13569</v>
      </c>
      <c r="Y710" t="s">
        <v>13570</v>
      </c>
    </row>
    <row r="711" spans="1:25" x14ac:dyDescent="0.3">
      <c r="A711">
        <v>35500</v>
      </c>
      <c r="B711" t="s">
        <v>13571</v>
      </c>
      <c r="C711" t="s">
        <v>13572</v>
      </c>
      <c r="D711" t="s">
        <v>13573</v>
      </c>
      <c r="E711" t="s">
        <v>13574</v>
      </c>
      <c r="F711" t="s">
        <v>13575</v>
      </c>
      <c r="G711" t="s">
        <v>13576</v>
      </c>
      <c r="H711" t="s">
        <v>13577</v>
      </c>
      <c r="I711" t="s">
        <v>13578</v>
      </c>
      <c r="J711" t="s">
        <v>13579</v>
      </c>
      <c r="K711" t="s">
        <v>13580</v>
      </c>
      <c r="L711" t="s">
        <v>13581</v>
      </c>
      <c r="M711" t="s">
        <v>13582</v>
      </c>
      <c r="N711">
        <f>-678.824455032108 -17.1662345330121 -523.914851822017</f>
        <v>-1219.905541387137</v>
      </c>
      <c r="O711">
        <f>-701.30392915682 -167.087914708385 -487.076653428522</f>
        <v>-1355.4684972937271</v>
      </c>
      <c r="P711">
        <f>-684.99057882327 -190.20834032052 -206.402694004611</f>
        <v>-1081.6016131484009</v>
      </c>
      <c r="Q711">
        <f>-495.846225514534 -112.059470552864 -316.246686962835</f>
        <v>-924.15238303023307</v>
      </c>
      <c r="R711" t="s">
        <v>13583</v>
      </c>
      <c r="S711" t="s">
        <v>13584</v>
      </c>
      <c r="T711" t="s">
        <v>13585</v>
      </c>
      <c r="U711" t="s">
        <v>13586</v>
      </c>
      <c r="V711">
        <f>-599.026170567051 -61.5169120605365 -92.111244278668</f>
        <v>-752.65432690625551</v>
      </c>
      <c r="W711" t="s">
        <v>13587</v>
      </c>
      <c r="X711" t="s">
        <v>13588</v>
      </c>
      <c r="Y711" t="s">
        <v>13589</v>
      </c>
    </row>
    <row r="712" spans="1:25" x14ac:dyDescent="0.3">
      <c r="A712">
        <v>35550</v>
      </c>
      <c r="B712" t="s">
        <v>13590</v>
      </c>
      <c r="C712" t="s">
        <v>13591</v>
      </c>
      <c r="D712" t="s">
        <v>13592</v>
      </c>
      <c r="E712" t="s">
        <v>13593</v>
      </c>
      <c r="F712" t="s">
        <v>13594</v>
      </c>
      <c r="G712" t="s">
        <v>13595</v>
      </c>
      <c r="H712" t="s">
        <v>13596</v>
      </c>
      <c r="I712" t="s">
        <v>13597</v>
      </c>
      <c r="J712" t="s">
        <v>13598</v>
      </c>
      <c r="K712" t="s">
        <v>13599</v>
      </c>
      <c r="L712" t="s">
        <v>13600</v>
      </c>
      <c r="M712" t="s">
        <v>13601</v>
      </c>
      <c r="N712">
        <f>-678.67241460692 -17.0251241263079 -524.15550914705</f>
        <v>-1219.8530478802779</v>
      </c>
      <c r="O712">
        <f>-701.203595804506 -166.940714151569 -487.331902748448</f>
        <v>-1355.4762127045228</v>
      </c>
      <c r="P712">
        <f>-684.733981854165 -190.308325466667 -206.687425779452</f>
        <v>-1081.729733100284</v>
      </c>
      <c r="Q712">
        <f>-495.907635342115 -111.692945834935 -316.745634536143</f>
        <v>-924.34621571319303</v>
      </c>
      <c r="R712" t="s">
        <v>13602</v>
      </c>
      <c r="S712" t="s">
        <v>13603</v>
      </c>
      <c r="T712" t="s">
        <v>13604</v>
      </c>
      <c r="U712" t="s">
        <v>13605</v>
      </c>
      <c r="V712">
        <f>-599.62401785061 -61.4202858838073 -92.2557636279668</f>
        <v>-753.30006736238408</v>
      </c>
      <c r="W712" t="s">
        <v>13606</v>
      </c>
      <c r="X712" t="s">
        <v>13607</v>
      </c>
      <c r="Y712" t="s">
        <v>13608</v>
      </c>
    </row>
    <row r="713" spans="1:25" x14ac:dyDescent="0.3">
      <c r="A713">
        <v>35600</v>
      </c>
      <c r="B713" t="s">
        <v>13609</v>
      </c>
      <c r="C713" t="s">
        <v>13610</v>
      </c>
      <c r="D713" t="s">
        <v>13611</v>
      </c>
      <c r="E713" t="s">
        <v>13612</v>
      </c>
      <c r="F713" t="s">
        <v>13613</v>
      </c>
      <c r="G713" t="s">
        <v>13614</v>
      </c>
      <c r="H713" t="s">
        <v>13615</v>
      </c>
      <c r="I713" t="s">
        <v>13616</v>
      </c>
      <c r="J713" t="s">
        <v>13617</v>
      </c>
      <c r="K713" t="s">
        <v>13618</v>
      </c>
      <c r="L713" t="s">
        <v>13619</v>
      </c>
      <c r="M713" t="s">
        <v>13620</v>
      </c>
      <c r="N713">
        <f>-678.24794714176 -16.9093846984895 -524.601655871023</f>
        <v>-1219.7589877112734</v>
      </c>
      <c r="O713">
        <f>-700.895776965986 -166.819423967151 -487.842896979078</f>
        <v>-1355.5580979122151</v>
      </c>
      <c r="P713">
        <f>-683.965684110782 -190.777398139623 -207.275728362046</f>
        <v>-1082.018810612451</v>
      </c>
      <c r="Q713">
        <f>-495.905981132945 -111.371872527343 -318.07638585357</f>
        <v>-925.35423951385792</v>
      </c>
      <c r="R713" t="s">
        <v>13621</v>
      </c>
      <c r="S713" t="s">
        <v>13622</v>
      </c>
      <c r="T713" t="s">
        <v>13623</v>
      </c>
      <c r="U713" t="s">
        <v>13624</v>
      </c>
      <c r="V713">
        <f>-600.332571933363 -61.2275534978651 -92.5022482135309</f>
        <v>-754.06237364475908</v>
      </c>
      <c r="W713" t="s">
        <v>13625</v>
      </c>
      <c r="X713" t="s">
        <v>13626</v>
      </c>
      <c r="Y713" t="s">
        <v>13627</v>
      </c>
    </row>
    <row r="714" spans="1:25" x14ac:dyDescent="0.3">
      <c r="A714">
        <v>35650</v>
      </c>
      <c r="B714" t="s">
        <v>13628</v>
      </c>
      <c r="C714" t="s">
        <v>13629</v>
      </c>
      <c r="D714" t="s">
        <v>13630</v>
      </c>
      <c r="E714" t="s">
        <v>13631</v>
      </c>
      <c r="F714" t="s">
        <v>13632</v>
      </c>
      <c r="G714" t="s">
        <v>13633</v>
      </c>
      <c r="H714" t="s">
        <v>13634</v>
      </c>
      <c r="I714" t="s">
        <v>13635</v>
      </c>
      <c r="J714" t="s">
        <v>13636</v>
      </c>
      <c r="K714" t="s">
        <v>13637</v>
      </c>
      <c r="L714" t="s">
        <v>13638</v>
      </c>
      <c r="M714" t="s">
        <v>13639</v>
      </c>
      <c r="N714">
        <f>-678.027511892546 -16.7128127763717 -524.73597179437</f>
        <v>-1219.4762964632878</v>
      </c>
      <c r="O714">
        <f>-700.738581177408 -166.616308711617 -487.981394135288</f>
        <v>-1355.336284024313</v>
      </c>
      <c r="P714">
        <f>-683.543136167724 -191.058774144818 -207.472149753544</f>
        <v>-1082.0740600660861</v>
      </c>
      <c r="Q714">
        <f>-495.888500488779 -111.207710973657 -318.638883387823</f>
        <v>-925.73509485025897</v>
      </c>
      <c r="R714" t="s">
        <v>13640</v>
      </c>
      <c r="S714" t="s">
        <v>13641</v>
      </c>
      <c r="T714" t="s">
        <v>13642</v>
      </c>
      <c r="U714" t="s">
        <v>13643</v>
      </c>
      <c r="V714">
        <f>-600.42373345069 -61.0387219894917 -92.5475967244302</f>
        <v>-754.01005216461181</v>
      </c>
      <c r="W714" t="s">
        <v>13644</v>
      </c>
      <c r="X714" t="s">
        <v>13645</v>
      </c>
      <c r="Y714" t="s">
        <v>13646</v>
      </c>
    </row>
    <row r="715" spans="1:25" x14ac:dyDescent="0.3">
      <c r="A715">
        <v>35700</v>
      </c>
      <c r="B715" t="s">
        <v>13647</v>
      </c>
      <c r="C715" t="s">
        <v>13648</v>
      </c>
      <c r="D715" t="s">
        <v>13649</v>
      </c>
      <c r="E715" t="s">
        <v>13650</v>
      </c>
      <c r="F715" t="s">
        <v>13651</v>
      </c>
      <c r="G715" t="s">
        <v>13652</v>
      </c>
      <c r="H715" t="s">
        <v>13653</v>
      </c>
      <c r="I715" t="s">
        <v>13654</v>
      </c>
      <c r="J715" t="s">
        <v>13655</v>
      </c>
      <c r="K715" t="s">
        <v>13656</v>
      </c>
      <c r="L715" t="s">
        <v>13657</v>
      </c>
      <c r="M715" t="s">
        <v>13658</v>
      </c>
      <c r="N715">
        <f>-677.598757872124 -16.3184513708995 -524.878119028637</f>
        <v>-1218.7953282716605</v>
      </c>
      <c r="O715">
        <f>-700.394162501419 -166.220681653004 -488.17658435184</f>
        <v>-1354.7914285062629</v>
      </c>
      <c r="P715">
        <f>-682.622368191586 -191.403779476829 -207.768731854901</f>
        <v>-1081.794879523316</v>
      </c>
      <c r="Q715">
        <f>-495.604631853308 -110.903645292816 -319.539350791867</f>
        <v>-926.04762793799091</v>
      </c>
      <c r="R715" t="s">
        <v>13659</v>
      </c>
      <c r="S715" t="s">
        <v>13660</v>
      </c>
      <c r="T715" t="s">
        <v>13661</v>
      </c>
      <c r="U715" t="s">
        <v>13662</v>
      </c>
      <c r="V715">
        <f>-600.252898062632 -60.7525771563921 -92.5701427835471</f>
        <v>-753.57561800257122</v>
      </c>
      <c r="W715" t="s">
        <v>13663</v>
      </c>
      <c r="X715" t="s">
        <v>13664</v>
      </c>
      <c r="Y715" t="s">
        <v>13665</v>
      </c>
    </row>
    <row r="716" spans="1:25" x14ac:dyDescent="0.3">
      <c r="A716">
        <v>35750</v>
      </c>
      <c r="B716" t="s">
        <v>13666</v>
      </c>
      <c r="C716" t="s">
        <v>13667</v>
      </c>
      <c r="D716" t="s">
        <v>13668</v>
      </c>
      <c r="E716" t="s">
        <v>13669</v>
      </c>
      <c r="F716" t="s">
        <v>13670</v>
      </c>
      <c r="G716" t="s">
        <v>13671</v>
      </c>
      <c r="H716" t="s">
        <v>13672</v>
      </c>
      <c r="I716" t="s">
        <v>13673</v>
      </c>
      <c r="J716" t="s">
        <v>13674</v>
      </c>
      <c r="K716" t="s">
        <v>13675</v>
      </c>
      <c r="L716" t="s">
        <v>13676</v>
      </c>
      <c r="M716" t="s">
        <v>13677</v>
      </c>
      <c r="N716">
        <f>-677.466441412599 -16.0315988249858 -524.888523385219</f>
        <v>-1218.3865636228038</v>
      </c>
      <c r="O716">
        <f>-700.217555825146 -165.956862840447 -488.242955535624</f>
        <v>-1354.4173742012169</v>
      </c>
      <c r="P716">
        <f>-682.271757936528 -191.237709160501 -207.855046992634</f>
        <v>-1081.3645140896631</v>
      </c>
      <c r="Q716">
        <f>-495.444873238624 -110.46429849943 -319.74748299733</f>
        <v>-925.65665473538388</v>
      </c>
      <c r="R716" t="s">
        <v>13678</v>
      </c>
      <c r="S716" t="s">
        <v>13679</v>
      </c>
      <c r="T716" t="s">
        <v>13680</v>
      </c>
      <c r="U716" t="s">
        <v>13681</v>
      </c>
      <c r="V716">
        <f>-600.11480419652 -60.5709583262503 -92.5548434286007</f>
        <v>-753.24060595137109</v>
      </c>
      <c r="W716" t="s">
        <v>13682</v>
      </c>
      <c r="X716" t="s">
        <v>13683</v>
      </c>
      <c r="Y716" t="s">
        <v>13684</v>
      </c>
    </row>
    <row r="717" spans="1:25" x14ac:dyDescent="0.3">
      <c r="A717">
        <v>35800</v>
      </c>
      <c r="B717" t="s">
        <v>13685</v>
      </c>
      <c r="C717" t="s">
        <v>13686</v>
      </c>
      <c r="D717" t="s">
        <v>13687</v>
      </c>
      <c r="E717" t="s">
        <v>13688</v>
      </c>
      <c r="F717" t="s">
        <v>13689</v>
      </c>
      <c r="G717" t="s">
        <v>13690</v>
      </c>
      <c r="H717" t="s">
        <v>13691</v>
      </c>
      <c r="I717" t="s">
        <v>13692</v>
      </c>
      <c r="J717" t="s">
        <v>13693</v>
      </c>
      <c r="K717" t="s">
        <v>13694</v>
      </c>
      <c r="L717" t="s">
        <v>13695</v>
      </c>
      <c r="M717" t="s">
        <v>13696</v>
      </c>
      <c r="N717">
        <f>-677.394287171333 -15.409519425926 -524.872997687949</f>
        <v>-1217.6768042852079</v>
      </c>
      <c r="O717">
        <f>-700.037270428147 -165.398550230504 -488.411579266553</f>
        <v>-1353.8473999252039</v>
      </c>
      <c r="P717">
        <f>-681.791859215955 -190.726593958111 -208.047282958225</f>
        <v>-1080.565736132291</v>
      </c>
      <c r="Q717">
        <f>-495.12044049569 -109.43360797669 -319.822712337217</f>
        <v>-924.37676080959704</v>
      </c>
      <c r="R717" t="s">
        <v>13697</v>
      </c>
      <c r="S717" t="s">
        <v>13698</v>
      </c>
      <c r="T717" t="s">
        <v>13699</v>
      </c>
      <c r="U717" t="s">
        <v>13700</v>
      </c>
      <c r="V717">
        <f>-599.814741622958 -60.3790886061095 -92.5550451294058</f>
        <v>-752.74887535847324</v>
      </c>
      <c r="W717" t="s">
        <v>13701</v>
      </c>
      <c r="X717" t="s">
        <v>13702</v>
      </c>
      <c r="Y717" t="s">
        <v>13703</v>
      </c>
    </row>
    <row r="718" spans="1:25" x14ac:dyDescent="0.3">
      <c r="A718">
        <v>35850</v>
      </c>
      <c r="B718" t="s">
        <v>13704</v>
      </c>
      <c r="C718" t="s">
        <v>13705</v>
      </c>
      <c r="D718" t="s">
        <v>13706</v>
      </c>
      <c r="E718" t="s">
        <v>13707</v>
      </c>
      <c r="F718" t="s">
        <v>13708</v>
      </c>
      <c r="G718" t="s">
        <v>13709</v>
      </c>
      <c r="H718" t="s">
        <v>13710</v>
      </c>
      <c r="I718" t="s">
        <v>13711</v>
      </c>
      <c r="J718" t="s">
        <v>13712</v>
      </c>
      <c r="K718" t="s">
        <v>13713</v>
      </c>
      <c r="L718" t="s">
        <v>13714</v>
      </c>
      <c r="M718" t="s">
        <v>13715</v>
      </c>
      <c r="N718">
        <f>-677.258917835081 -15.0243396390529 -524.882610213107</f>
        <v>-1217.1658676872407</v>
      </c>
      <c r="O718">
        <f>-699.872709898493 -165.04544549347 -488.557782955003</f>
        <v>-1353.4759383469659</v>
      </c>
      <c r="P718">
        <f>-681.547974598093 -190.623380902805 -208.221192034192</f>
        <v>-1080.39254753509</v>
      </c>
      <c r="Q718">
        <f>-494.927268429047 -108.979548690869 -319.825640734951</f>
        <v>-923.73245785486699</v>
      </c>
      <c r="R718" t="s">
        <v>13716</v>
      </c>
      <c r="S718" t="s">
        <v>13717</v>
      </c>
      <c r="T718" t="s">
        <v>13718</v>
      </c>
      <c r="U718" t="s">
        <v>13719</v>
      </c>
      <c r="V718">
        <f>-599.605730782135 -60.2056343728621 -92.5536927741276</f>
        <v>-752.36505792912465</v>
      </c>
      <c r="W718" t="s">
        <v>13720</v>
      </c>
      <c r="X718" t="s">
        <v>13721</v>
      </c>
      <c r="Y718" t="s">
        <v>13722</v>
      </c>
    </row>
    <row r="719" spans="1:25" x14ac:dyDescent="0.3">
      <c r="A719">
        <v>35900</v>
      </c>
      <c r="B719" t="s">
        <v>13723</v>
      </c>
      <c r="C719" t="s">
        <v>13724</v>
      </c>
      <c r="D719" t="s">
        <v>13725</v>
      </c>
      <c r="E719" t="s">
        <v>13726</v>
      </c>
      <c r="F719" t="s">
        <v>13727</v>
      </c>
      <c r="G719" t="s">
        <v>13728</v>
      </c>
      <c r="H719" t="s">
        <v>13729</v>
      </c>
      <c r="I719" t="s">
        <v>13730</v>
      </c>
      <c r="J719" t="s">
        <v>13731</v>
      </c>
      <c r="K719" t="s">
        <v>13732</v>
      </c>
      <c r="L719" t="s">
        <v>13733</v>
      </c>
      <c r="M719" t="s">
        <v>13734</v>
      </c>
      <c r="N719">
        <f>-676.997964690118 -14.2455989358032 -524.934320304136</f>
        <v>-1216.1778839300573</v>
      </c>
      <c r="O719">
        <f>-699.551359938587 -164.363402816261 -488.95574861506</f>
        <v>-1352.8705113699079</v>
      </c>
      <c r="P719">
        <f>-681.271622475451 -190.527211545406 -208.670482535983</f>
        <v>-1080.4693165568399</v>
      </c>
      <c r="Q719">
        <f>-494.722587198667 -108.325727818611 -319.984986005838</f>
        <v>-923.033301023116</v>
      </c>
      <c r="R719" t="s">
        <v>13735</v>
      </c>
      <c r="S719" t="s">
        <v>13736</v>
      </c>
      <c r="T719" t="s">
        <v>13737</v>
      </c>
      <c r="U719" t="s">
        <v>13738</v>
      </c>
      <c r="V719">
        <f>-599.26901818604 -60.1331045006486 -92.5840899605622</f>
        <v>-751.9862126472508</v>
      </c>
      <c r="W719" t="s">
        <v>13739</v>
      </c>
      <c r="X719" t="s">
        <v>13740</v>
      </c>
      <c r="Y719" t="s">
        <v>13741</v>
      </c>
    </row>
    <row r="720" spans="1:25" x14ac:dyDescent="0.3">
      <c r="A720">
        <v>35950</v>
      </c>
      <c r="B720" t="s">
        <v>13742</v>
      </c>
      <c r="C720" t="s">
        <v>13743</v>
      </c>
      <c r="D720" t="s">
        <v>13744</v>
      </c>
      <c r="E720" t="s">
        <v>13745</v>
      </c>
      <c r="F720" t="s">
        <v>13746</v>
      </c>
      <c r="G720" t="s">
        <v>13747</v>
      </c>
      <c r="H720" t="s">
        <v>13748</v>
      </c>
      <c r="I720" t="s">
        <v>13749</v>
      </c>
      <c r="J720" t="s">
        <v>13750</v>
      </c>
      <c r="K720" t="s">
        <v>13751</v>
      </c>
      <c r="L720" t="s">
        <v>13752</v>
      </c>
      <c r="M720" t="s">
        <v>13753</v>
      </c>
      <c r="N720">
        <f>-676.897566958363 -13.897309155197 -524.968567942186</f>
        <v>-1215.763444055746</v>
      </c>
      <c r="O720">
        <f>-699.46879098314 -164.046272625349 -489.147692466122</f>
        <v>-1352.662756074611</v>
      </c>
      <c r="P720">
        <f>-681.017337384037 -190.501614832506 -208.900896294673</f>
        <v>-1080.4198485112161</v>
      </c>
      <c r="Q720">
        <f>-494.503462220118 -108.069128845067 -320.103371813215</f>
        <v>-922.67596287840001</v>
      </c>
      <c r="R720" t="s">
        <v>13754</v>
      </c>
      <c r="S720" t="s">
        <v>13755</v>
      </c>
      <c r="T720" t="s">
        <v>13756</v>
      </c>
      <c r="U720" t="s">
        <v>13757</v>
      </c>
      <c r="V720">
        <f>-599.148335532233 -60.1758724745275 -92.5959377132249</f>
        <v>-751.92014571998538</v>
      </c>
      <c r="W720" t="s">
        <v>13758</v>
      </c>
      <c r="X720" t="s">
        <v>13759</v>
      </c>
      <c r="Y720" t="s">
        <v>13760</v>
      </c>
    </row>
    <row r="721" spans="1:25" x14ac:dyDescent="0.3">
      <c r="A721">
        <v>36000</v>
      </c>
      <c r="B721" t="s">
        <v>13761</v>
      </c>
      <c r="C721" t="s">
        <v>13762</v>
      </c>
      <c r="D721" t="s">
        <v>13763</v>
      </c>
      <c r="E721" t="s">
        <v>13764</v>
      </c>
      <c r="F721" t="s">
        <v>13765</v>
      </c>
      <c r="G721" t="s">
        <v>13766</v>
      </c>
      <c r="H721" t="s">
        <v>13767</v>
      </c>
      <c r="I721" t="s">
        <v>13768</v>
      </c>
      <c r="J721" t="s">
        <v>13769</v>
      </c>
      <c r="K721" t="s">
        <v>13770</v>
      </c>
      <c r="L721" t="s">
        <v>13771</v>
      </c>
      <c r="M721" t="s">
        <v>13772</v>
      </c>
      <c r="N721">
        <f>-676.760667523543 -13.1568941637934 -525.04738568119</f>
        <v>-1214.9649473685263</v>
      </c>
      <c r="O721">
        <f>-699.387707924224 -163.37613721125 -489.561041611113</f>
        <v>-1352.324886746587</v>
      </c>
      <c r="P721">
        <f>-680.631905583797 -190.470021678409 -209.395551812234</f>
        <v>-1080.49747907444</v>
      </c>
      <c r="Q721">
        <f>-494.382534480444 -107.43465584201 -320.592750588195</f>
        <v>-922.40994091064908</v>
      </c>
      <c r="R721" t="s">
        <v>13773</v>
      </c>
      <c r="S721" t="s">
        <v>13774</v>
      </c>
      <c r="T721" t="s">
        <v>13775</v>
      </c>
      <c r="U721" t="s">
        <v>13776</v>
      </c>
      <c r="V721">
        <f>-599.063517162229 -60.2204122957212 -92.6261601908392</f>
        <v>-751.91008964878938</v>
      </c>
      <c r="W721" t="s">
        <v>13777</v>
      </c>
      <c r="X721" t="s">
        <v>13778</v>
      </c>
      <c r="Y721" t="s">
        <v>13779</v>
      </c>
    </row>
    <row r="722" spans="1:25" x14ac:dyDescent="0.3">
      <c r="A722">
        <v>36050</v>
      </c>
      <c r="B722" t="s">
        <v>13780</v>
      </c>
      <c r="C722" t="s">
        <v>13781</v>
      </c>
      <c r="D722" t="s">
        <v>13782</v>
      </c>
      <c r="E722" t="s">
        <v>13783</v>
      </c>
      <c r="F722" t="s">
        <v>13784</v>
      </c>
      <c r="G722" t="s">
        <v>13785</v>
      </c>
      <c r="H722" t="s">
        <v>13786</v>
      </c>
      <c r="I722" t="s">
        <v>13787</v>
      </c>
      <c r="J722" t="s">
        <v>13788</v>
      </c>
      <c r="K722" t="s">
        <v>13789</v>
      </c>
      <c r="L722" t="s">
        <v>13790</v>
      </c>
      <c r="M722" t="s">
        <v>13791</v>
      </c>
      <c r="N722">
        <f>-676.714000408378 -12.8060971292207 -525.091912980702</f>
        <v>-1214.6120105183006</v>
      </c>
      <c r="O722">
        <f>-699.390012419106 -163.062519123256 -489.790498180119</f>
        <v>-1352.243029722481</v>
      </c>
      <c r="P722">
        <f>-680.440886407469 -190.493275569615 -209.670701728742</f>
        <v>-1080.6048637058259</v>
      </c>
      <c r="Q722">
        <f>-494.390481207031 -107.095343407705 -320.929667954528</f>
        <v>-922.41549256926396</v>
      </c>
      <c r="R722" t="s">
        <v>13792</v>
      </c>
      <c r="S722" t="s">
        <v>13793</v>
      </c>
      <c r="T722" t="s">
        <v>13794</v>
      </c>
      <c r="U722" t="s">
        <v>13795</v>
      </c>
      <c r="V722">
        <f>-599.008888974971 -60.2574343366132 -92.6450647851741</f>
        <v>-751.91138809675829</v>
      </c>
      <c r="W722" t="s">
        <v>13796</v>
      </c>
      <c r="X722" t="s">
        <v>13797</v>
      </c>
      <c r="Y722" t="s">
        <v>13798</v>
      </c>
    </row>
    <row r="723" spans="1:25" x14ac:dyDescent="0.3">
      <c r="A723">
        <v>36100</v>
      </c>
      <c r="B723" t="s">
        <v>13799</v>
      </c>
      <c r="C723" t="s">
        <v>13800</v>
      </c>
      <c r="D723" t="s">
        <v>13801</v>
      </c>
      <c r="E723" t="s">
        <v>13802</v>
      </c>
      <c r="F723" t="s">
        <v>13803</v>
      </c>
      <c r="G723" t="s">
        <v>13804</v>
      </c>
      <c r="H723" t="s">
        <v>13805</v>
      </c>
      <c r="I723" t="s">
        <v>13806</v>
      </c>
      <c r="J723" t="s">
        <v>13807</v>
      </c>
      <c r="K723" t="s">
        <v>13808</v>
      </c>
      <c r="L723" t="s">
        <v>13809</v>
      </c>
      <c r="M723" t="s">
        <v>13810</v>
      </c>
      <c r="N723">
        <f>-676.710262813369 -12.327197413251 -525.182297064903</f>
        <v>-1214.2197572915229</v>
      </c>
      <c r="O723">
        <f>-699.57863287278 -162.631349207941 -490.205450541263</f>
        <v>-1352.4154326219839</v>
      </c>
      <c r="P723">
        <f>-680.17938612197 -190.826297262974 -210.192445502058</f>
        <v>-1081.198128887002</v>
      </c>
      <c r="Q723">
        <f>-494.636946808186 -106.71587674757 -321.762861870735</f>
        <v>-923.11568542649093</v>
      </c>
      <c r="R723" t="s">
        <v>13811</v>
      </c>
      <c r="S723" t="s">
        <v>13812</v>
      </c>
      <c r="T723" t="s">
        <v>13813</v>
      </c>
      <c r="U723" t="s">
        <v>13814</v>
      </c>
      <c r="V723">
        <f>-599.088967289196 -60.4413966380914 -92.6896416269651</f>
        <v>-752.22000555425257</v>
      </c>
      <c r="W723" t="s">
        <v>13815</v>
      </c>
      <c r="X723" t="s">
        <v>13816</v>
      </c>
      <c r="Y723" t="s">
        <v>13817</v>
      </c>
    </row>
    <row r="724" spans="1:25" x14ac:dyDescent="0.3">
      <c r="A724">
        <v>36150</v>
      </c>
      <c r="B724" t="s">
        <v>13818</v>
      </c>
      <c r="C724" t="s">
        <v>13819</v>
      </c>
      <c r="D724" t="s">
        <v>13820</v>
      </c>
      <c r="E724" t="s">
        <v>13821</v>
      </c>
      <c r="F724" t="s">
        <v>13822</v>
      </c>
      <c r="G724" t="s">
        <v>13823</v>
      </c>
      <c r="H724" t="s">
        <v>13824</v>
      </c>
      <c r="I724" t="s">
        <v>13825</v>
      </c>
      <c r="J724" t="s">
        <v>13826</v>
      </c>
      <c r="K724" t="s">
        <v>13827</v>
      </c>
      <c r="L724" t="s">
        <v>13828</v>
      </c>
      <c r="M724" t="s">
        <v>13829</v>
      </c>
      <c r="N724">
        <f>-676.628272633426 -12.1999201337574 -525.257668022285</f>
        <v>-1214.0858607894684</v>
      </c>
      <c r="O724">
        <f>-699.563603260365 -162.529704532396 -490.443777995949</f>
        <v>-1352.5370857887099</v>
      </c>
      <c r="P724">
        <f>-680.042808611472 -191.112106653192 -210.478343793925</f>
        <v>-1081.6332590585889</v>
      </c>
      <c r="Q724">
        <f>-494.790535459743 -106.649010147572 -322.264468737218</f>
        <v>-923.70401434453311</v>
      </c>
      <c r="R724" t="s">
        <v>13830</v>
      </c>
      <c r="S724" t="s">
        <v>13831</v>
      </c>
      <c r="T724" t="s">
        <v>13832</v>
      </c>
      <c r="U724" t="s">
        <v>13833</v>
      </c>
      <c r="V724">
        <f>-599.166614604736 -60.6450174930301 -92.7369391247835</f>
        <v>-752.54857122254953</v>
      </c>
      <c r="W724" t="s">
        <v>13834</v>
      </c>
      <c r="X724" t="s">
        <v>13835</v>
      </c>
      <c r="Y724" t="s">
        <v>13836</v>
      </c>
    </row>
    <row r="725" spans="1:25" x14ac:dyDescent="0.3">
      <c r="A725">
        <v>36200</v>
      </c>
      <c r="B725" t="s">
        <v>13837</v>
      </c>
      <c r="C725" t="s">
        <v>13838</v>
      </c>
      <c r="D725" t="s">
        <v>13839</v>
      </c>
      <c r="E725" t="s">
        <v>13840</v>
      </c>
      <c r="F725" t="s">
        <v>13841</v>
      </c>
      <c r="G725" t="s">
        <v>13842</v>
      </c>
      <c r="H725" t="s">
        <v>13843</v>
      </c>
      <c r="I725" t="s">
        <v>13844</v>
      </c>
      <c r="J725" t="s">
        <v>13845</v>
      </c>
      <c r="K725" t="s">
        <v>13846</v>
      </c>
      <c r="L725" t="s">
        <v>13847</v>
      </c>
      <c r="M725" t="s">
        <v>13848</v>
      </c>
      <c r="N725">
        <f>-676.37473458376 -12.0854112185691 -525.460658379958</f>
        <v>-1213.9208041822872</v>
      </c>
      <c r="O725">
        <f>-699.52531211127 -162.438033315095 -490.889038769689</f>
        <v>-1352.8523841960541</v>
      </c>
      <c r="P725">
        <f>-679.527941391806 -191.766722584552 -211.034445467513</f>
        <v>-1082.3291094438709</v>
      </c>
      <c r="Q725">
        <f>-494.964247812489 -106.487988483445 -323.339112244803</f>
        <v>-924.79134854073698</v>
      </c>
      <c r="R725" t="s">
        <v>13849</v>
      </c>
      <c r="S725" t="s">
        <v>13850</v>
      </c>
      <c r="T725" t="s">
        <v>13851</v>
      </c>
      <c r="U725" t="s">
        <v>13852</v>
      </c>
      <c r="V725">
        <f>-599.414975090864 -61.1494157308309 -92.8519960411855</f>
        <v>-753.41638686288047</v>
      </c>
      <c r="W725" t="s">
        <v>13853</v>
      </c>
      <c r="X725" t="s">
        <v>13854</v>
      </c>
      <c r="Y725" t="s">
        <v>13855</v>
      </c>
    </row>
    <row r="726" spans="1:25" x14ac:dyDescent="0.3">
      <c r="A726">
        <v>36250</v>
      </c>
      <c r="B726" t="s">
        <v>13856</v>
      </c>
      <c r="C726" t="s">
        <v>13857</v>
      </c>
      <c r="D726" t="s">
        <v>13858</v>
      </c>
      <c r="E726" t="s">
        <v>13859</v>
      </c>
      <c r="F726" t="s">
        <v>13860</v>
      </c>
      <c r="G726" t="s">
        <v>13861</v>
      </c>
      <c r="H726" t="s">
        <v>13862</v>
      </c>
      <c r="I726" t="s">
        <v>13863</v>
      </c>
      <c r="J726" t="s">
        <v>13864</v>
      </c>
      <c r="K726" t="s">
        <v>13865</v>
      </c>
      <c r="L726" t="s">
        <v>13866</v>
      </c>
      <c r="M726" t="s">
        <v>13867</v>
      </c>
      <c r="N726">
        <f>-676.138061339531 -12.2019081180517 -525.579712861093</f>
        <v>-1213.9196823186758</v>
      </c>
      <c r="O726">
        <f>-699.394519940249 -162.549316882323 -491.064511721759</f>
        <v>-1353.0083485443311</v>
      </c>
      <c r="P726">
        <f>-679.169285159169 -192.247054696057 -211.265318961073</f>
        <v>-1082.681658816299</v>
      </c>
      <c r="Q726">
        <f>-494.980145650637 -106.573791344821 -323.884200233377</f>
        <v>-925.43813722883499</v>
      </c>
      <c r="R726" t="s">
        <v>13868</v>
      </c>
      <c r="S726" t="s">
        <v>13869</v>
      </c>
      <c r="T726" t="s">
        <v>13870</v>
      </c>
      <c r="U726" t="s">
        <v>13871</v>
      </c>
      <c r="V726">
        <f>-599.591871770234 -61.4802222525304 -92.9312687933607</f>
        <v>-754.0033628161251</v>
      </c>
      <c r="W726" t="s">
        <v>13872</v>
      </c>
      <c r="X726" t="s">
        <v>13873</v>
      </c>
      <c r="Y726" t="s">
        <v>13874</v>
      </c>
    </row>
    <row r="727" spans="1:25" x14ac:dyDescent="0.3">
      <c r="A727">
        <v>36300</v>
      </c>
      <c r="B727" t="s">
        <v>13875</v>
      </c>
      <c r="C727" t="s">
        <v>13876</v>
      </c>
      <c r="D727" t="s">
        <v>13877</v>
      </c>
      <c r="E727" t="s">
        <v>13878</v>
      </c>
      <c r="F727" t="s">
        <v>13879</v>
      </c>
      <c r="G727" t="s">
        <v>13880</v>
      </c>
      <c r="H727" t="s">
        <v>13881</v>
      </c>
      <c r="I727" t="s">
        <v>13882</v>
      </c>
      <c r="J727" t="s">
        <v>13883</v>
      </c>
      <c r="K727" t="s">
        <v>13884</v>
      </c>
      <c r="L727" t="s">
        <v>13885</v>
      </c>
      <c r="M727" t="s">
        <v>13886</v>
      </c>
      <c r="N727">
        <f>-675.835547864312 -12.4634527158498 -525.803213731318</f>
        <v>-1214.1022143114799</v>
      </c>
      <c r="O727">
        <f>-699.241354679763 -162.808201987739 -491.358244694461</f>
        <v>-1353.407801361963</v>
      </c>
      <c r="P727">
        <f>-678.759308245884 -192.965971614229 -211.626927163395</f>
        <v>-1083.3522070235081</v>
      </c>
      <c r="Q727">
        <f>-495.208481937688 -106.596113787316 -324.754647915077</f>
        <v>-926.55924364008092</v>
      </c>
      <c r="R727" t="s">
        <v>13887</v>
      </c>
      <c r="S727" t="s">
        <v>13888</v>
      </c>
      <c r="T727" t="s">
        <v>13889</v>
      </c>
      <c r="U727" t="s">
        <v>13890</v>
      </c>
      <c r="V727">
        <f>-600.080165994812 -62.2455371591984 -93.0604070326883</f>
        <v>-755.38611018669872</v>
      </c>
      <c r="W727" t="s">
        <v>13891</v>
      </c>
      <c r="X727" t="s">
        <v>13892</v>
      </c>
      <c r="Y727" t="s">
        <v>13893</v>
      </c>
    </row>
    <row r="728" spans="1:25" x14ac:dyDescent="0.3">
      <c r="A728">
        <v>36350</v>
      </c>
      <c r="B728" t="s">
        <v>13894</v>
      </c>
      <c r="C728" t="s">
        <v>13895</v>
      </c>
      <c r="D728" t="s">
        <v>13896</v>
      </c>
      <c r="E728" t="s">
        <v>13897</v>
      </c>
      <c r="F728" t="s">
        <v>13898</v>
      </c>
      <c r="G728" t="s">
        <v>13899</v>
      </c>
      <c r="H728" t="s">
        <v>13900</v>
      </c>
      <c r="I728" t="s">
        <v>13901</v>
      </c>
      <c r="J728" t="s">
        <v>13902</v>
      </c>
      <c r="K728" t="s">
        <v>13903</v>
      </c>
      <c r="L728" t="s">
        <v>13904</v>
      </c>
      <c r="M728" t="s">
        <v>13905</v>
      </c>
      <c r="N728">
        <f>-675.716178326267 -12.6346430539631 -525.92330974429</f>
        <v>-1214.2741311245202</v>
      </c>
      <c r="O728">
        <f>-699.203907447809 -162.975291227173 -491.524572900676</f>
        <v>-1353.703771575658</v>
      </c>
      <c r="P728">
        <f>-678.594275054591 -193.258221278621 -211.81616198113</f>
        <v>-1083.6686583143419</v>
      </c>
      <c r="Q728">
        <f>-495.302588577876 -106.5330740105 -325.092073433073</f>
        <v>-926.92773602144894</v>
      </c>
      <c r="R728" t="s">
        <v>13906</v>
      </c>
      <c r="S728" t="s">
        <v>13907</v>
      </c>
      <c r="T728" t="s">
        <v>13908</v>
      </c>
      <c r="U728" t="s">
        <v>13909</v>
      </c>
      <c r="V728">
        <f>-600.298597157106 -62.4179027569542 -93.1031205697828</f>
        <v>-755.81962048384298</v>
      </c>
      <c r="W728" t="s">
        <v>13910</v>
      </c>
      <c r="X728" t="s">
        <v>13911</v>
      </c>
      <c r="Y728" t="s">
        <v>13912</v>
      </c>
    </row>
    <row r="729" spans="1:25" x14ac:dyDescent="0.3">
      <c r="A729">
        <v>36400</v>
      </c>
      <c r="B729" t="s">
        <v>13913</v>
      </c>
      <c r="C729" t="s">
        <v>13914</v>
      </c>
      <c r="D729" t="s">
        <v>13915</v>
      </c>
      <c r="E729" t="s">
        <v>13916</v>
      </c>
      <c r="F729" t="s">
        <v>13917</v>
      </c>
      <c r="G729" t="s">
        <v>13918</v>
      </c>
      <c r="H729" t="s">
        <v>13919</v>
      </c>
      <c r="I729" t="s">
        <v>13920</v>
      </c>
      <c r="J729" t="s">
        <v>13921</v>
      </c>
      <c r="K729" t="s">
        <v>13922</v>
      </c>
      <c r="L729" t="s">
        <v>13923</v>
      </c>
      <c r="M729" t="s">
        <v>13924</v>
      </c>
      <c r="N729">
        <f>-675.516401272494 -12.7413711067113 -526.078212170203</f>
        <v>-1214.3359845494083</v>
      </c>
      <c r="O729">
        <f>-699.026665530572 -163.105310516305 -491.782584193527</f>
        <v>-1353.9145602404042</v>
      </c>
      <c r="P729">
        <f>-678.351790100823 -193.681151298736 -212.11084402447</f>
        <v>-1084.1437854240289</v>
      </c>
      <c r="Q729">
        <f>-495.376463166985 -106.302415275095 -325.395932973584</f>
        <v>-927.07481141566404</v>
      </c>
      <c r="R729" t="s">
        <v>13925</v>
      </c>
      <c r="S729" t="s">
        <v>13926</v>
      </c>
      <c r="T729" t="s">
        <v>13927</v>
      </c>
      <c r="U729" t="s">
        <v>13928</v>
      </c>
      <c r="V729">
        <f>-600.445920898326 -62.3303094006278 -93.1269298246264</f>
        <v>-755.90316012358016</v>
      </c>
      <c r="W729" t="s">
        <v>13929</v>
      </c>
      <c r="X729" t="s">
        <v>13930</v>
      </c>
      <c r="Y729" t="s">
        <v>13931</v>
      </c>
    </row>
    <row r="730" spans="1:25" x14ac:dyDescent="0.3">
      <c r="A730">
        <v>36450</v>
      </c>
      <c r="B730" t="s">
        <v>13932</v>
      </c>
      <c r="C730" t="s">
        <v>13933</v>
      </c>
      <c r="D730" t="s">
        <v>13934</v>
      </c>
      <c r="E730" t="s">
        <v>13935</v>
      </c>
      <c r="F730" t="s">
        <v>13936</v>
      </c>
      <c r="G730" t="s">
        <v>13937</v>
      </c>
      <c r="H730" t="s">
        <v>13938</v>
      </c>
      <c r="I730" t="s">
        <v>13939</v>
      </c>
      <c r="J730" t="s">
        <v>13940</v>
      </c>
      <c r="K730" t="s">
        <v>13941</v>
      </c>
      <c r="L730" t="s">
        <v>13942</v>
      </c>
      <c r="M730" t="s">
        <v>13943</v>
      </c>
      <c r="N730">
        <f>-675.42867763597 -12.7303251150879 -526.103906260513</f>
        <v>-1214.2629090115709</v>
      </c>
      <c r="O730">
        <f>-698.922630537782 -163.096751635689 -491.814652222804</f>
        <v>-1353.834034396275</v>
      </c>
      <c r="P730">
        <f>-678.19695141836 -193.817007843097 -212.162543464351</f>
        <v>-1084.1765027258079</v>
      </c>
      <c r="Q730">
        <f>-495.262144473161 -106.291977035935 -325.400182372428</f>
        <v>-926.95430388152408</v>
      </c>
      <c r="R730" t="s">
        <v>13944</v>
      </c>
      <c r="S730" t="s">
        <v>13945</v>
      </c>
      <c r="T730" t="s">
        <v>13946</v>
      </c>
      <c r="U730" t="s">
        <v>13947</v>
      </c>
      <c r="V730">
        <f>-600.460780946305 -62.2169613575397 -93.1098119397375</f>
        <v>-755.78755424358224</v>
      </c>
      <c r="W730" t="s">
        <v>13948</v>
      </c>
      <c r="X730" t="s">
        <v>13949</v>
      </c>
      <c r="Y730" t="s">
        <v>13950</v>
      </c>
    </row>
    <row r="731" spans="1:25" x14ac:dyDescent="0.3">
      <c r="A731">
        <v>36500</v>
      </c>
      <c r="B731" t="s">
        <v>13951</v>
      </c>
      <c r="C731" t="s">
        <v>13952</v>
      </c>
      <c r="D731" t="s">
        <v>13953</v>
      </c>
      <c r="E731" t="s">
        <v>13954</v>
      </c>
      <c r="F731" t="s">
        <v>13955</v>
      </c>
      <c r="G731" t="s">
        <v>13956</v>
      </c>
      <c r="H731" t="s">
        <v>13957</v>
      </c>
      <c r="I731" t="s">
        <v>13958</v>
      </c>
      <c r="J731" t="s">
        <v>13959</v>
      </c>
      <c r="K731" t="s">
        <v>13960</v>
      </c>
      <c r="L731" t="s">
        <v>13961</v>
      </c>
      <c r="M731" t="s">
        <v>13962</v>
      </c>
      <c r="N731">
        <f>-675.157894237239 -12.9265914601242 -526.095992149702</f>
        <v>-1214.1804778470653</v>
      </c>
      <c r="O731">
        <f>-698.734384751651 -163.240711573748 -491.65081615432</f>
        <v>-1353.6259124797189</v>
      </c>
      <c r="P731">
        <f>-677.704200611514 -194.037884768053 -212.029828994567</f>
        <v>-1083.771914374134</v>
      </c>
      <c r="Q731">
        <f>-494.777286788955 -106.705625672034 -325.429141215579</f>
        <v>-926.91205367656812</v>
      </c>
      <c r="R731" t="s">
        <v>13963</v>
      </c>
      <c r="S731" t="s">
        <v>13964</v>
      </c>
      <c r="T731" t="s">
        <v>13965</v>
      </c>
      <c r="U731" t="s">
        <v>13966</v>
      </c>
      <c r="V731">
        <f>-600.579477869449 -61.8885884114443 -93.0928487953231</f>
        <v>-755.56091507621636</v>
      </c>
      <c r="W731" t="s">
        <v>13967</v>
      </c>
      <c r="X731" t="s">
        <v>13968</v>
      </c>
      <c r="Y731" t="s">
        <v>13969</v>
      </c>
    </row>
    <row r="732" spans="1:25" x14ac:dyDescent="0.3">
      <c r="A732">
        <v>36550</v>
      </c>
      <c r="B732" t="s">
        <v>13970</v>
      </c>
      <c r="C732" t="s">
        <v>13971</v>
      </c>
      <c r="D732" t="s">
        <v>13972</v>
      </c>
      <c r="E732" t="s">
        <v>13973</v>
      </c>
      <c r="F732" t="s">
        <v>13974</v>
      </c>
      <c r="G732" t="s">
        <v>13975</v>
      </c>
      <c r="H732" t="s">
        <v>13976</v>
      </c>
      <c r="I732" t="s">
        <v>13977</v>
      </c>
      <c r="J732" t="s">
        <v>13978</v>
      </c>
      <c r="K732" t="s">
        <v>13979</v>
      </c>
      <c r="L732" t="s">
        <v>13980</v>
      </c>
      <c r="M732" t="s">
        <v>13981</v>
      </c>
      <c r="N732">
        <f>-675.062342167735 -13.1272345733946 -526.041772755387</f>
        <v>-1214.2313494965165</v>
      </c>
      <c r="O732">
        <f>-698.785604921902 -163.381387175996 -491.46513062124</f>
        <v>-1353.6321227191379</v>
      </c>
      <c r="P732">
        <f>-677.414405129561 -194.213995454938 -211.874010243216</f>
        <v>-1083.502410827715</v>
      </c>
      <c r="Q732">
        <f>-494.588428344289 -106.955575756605 -325.492317499322</f>
        <v>-927.03632160021596</v>
      </c>
      <c r="R732" t="s">
        <v>13982</v>
      </c>
      <c r="S732" t="s">
        <v>13983</v>
      </c>
      <c r="T732" t="s">
        <v>13984</v>
      </c>
      <c r="U732" t="s">
        <v>13985</v>
      </c>
      <c r="V732">
        <f>-600.671499935165 -61.7167968333083 -93.0751334103015</f>
        <v>-755.46343017877484</v>
      </c>
      <c r="W732" t="s">
        <v>13986</v>
      </c>
      <c r="X732" t="s">
        <v>13987</v>
      </c>
      <c r="Y732" t="s">
        <v>13988</v>
      </c>
    </row>
    <row r="733" spans="1:25" x14ac:dyDescent="0.3">
      <c r="A733">
        <v>36600</v>
      </c>
      <c r="B733" t="s">
        <v>13989</v>
      </c>
      <c r="C733" t="s">
        <v>13990</v>
      </c>
      <c r="D733" t="s">
        <v>13991</v>
      </c>
      <c r="E733" t="s">
        <v>13992</v>
      </c>
      <c r="F733" t="s">
        <v>13993</v>
      </c>
      <c r="G733" t="s">
        <v>13994</v>
      </c>
      <c r="H733" t="s">
        <v>13995</v>
      </c>
      <c r="I733" t="s">
        <v>13996</v>
      </c>
      <c r="J733" t="s">
        <v>13997</v>
      </c>
      <c r="K733" t="s">
        <v>13998</v>
      </c>
      <c r="L733" t="s">
        <v>13999</v>
      </c>
      <c r="M733" t="s">
        <v>14000</v>
      </c>
      <c r="N733">
        <f>-674.467387053496 -13.6470219354887 -525.962146733282</f>
        <v>-1214.0765557222667</v>
      </c>
      <c r="O733">
        <f>-698.667868226789 -163.750223734761 -491.01623418773</f>
        <v>-1353.43432614928</v>
      </c>
      <c r="P733">
        <f>-675.552121311537 -194.703746924997 -211.577200301343</f>
        <v>-1081.8330685378771</v>
      </c>
      <c r="Q733">
        <f>-493.341393695982 -107.631827040954 -326.321624684053</f>
        <v>-927.29484542098908</v>
      </c>
      <c r="R733" t="s">
        <v>14001</v>
      </c>
      <c r="S733" t="s">
        <v>14002</v>
      </c>
      <c r="T733" t="s">
        <v>14003</v>
      </c>
      <c r="U733" t="s">
        <v>14004</v>
      </c>
      <c r="V733">
        <f>-600.509849316845 -61.5927547306815 -93.0618785066686</f>
        <v>-755.16448255419505</v>
      </c>
      <c r="W733" t="s">
        <v>14005</v>
      </c>
      <c r="X733" t="s">
        <v>14006</v>
      </c>
      <c r="Y733" t="s">
        <v>14007</v>
      </c>
    </row>
    <row r="734" spans="1:25" x14ac:dyDescent="0.3">
      <c r="A734">
        <v>36650</v>
      </c>
      <c r="B734" t="s">
        <v>14008</v>
      </c>
      <c r="C734" t="s">
        <v>14009</v>
      </c>
      <c r="D734" t="s">
        <v>14010</v>
      </c>
      <c r="E734" t="s">
        <v>14011</v>
      </c>
      <c r="F734" t="s">
        <v>14012</v>
      </c>
      <c r="G734" t="s">
        <v>14013</v>
      </c>
      <c r="H734" t="s">
        <v>14014</v>
      </c>
      <c r="I734" t="s">
        <v>14015</v>
      </c>
      <c r="J734" t="s">
        <v>14016</v>
      </c>
      <c r="K734" t="s">
        <v>14017</v>
      </c>
      <c r="L734" t="s">
        <v>14018</v>
      </c>
      <c r="M734" t="s">
        <v>14019</v>
      </c>
      <c r="N734">
        <f>-673.97059281831 -13.9045330429776 -525.933266301763</f>
        <v>-1213.8083921630505</v>
      </c>
      <c r="O734">
        <f>-698.465896606785 -163.90196397132 -490.750788713096</f>
        <v>-1353.1186492912011</v>
      </c>
      <c r="P734">
        <f>-673.568573866586 -195.078514024173 -211.489766632305</f>
        <v>-1080.1368545230639</v>
      </c>
      <c r="Q734">
        <f>-492.02930595673 -107.974572180123 -327.269476931098</f>
        <v>-927.273355067951</v>
      </c>
      <c r="R734" t="s">
        <v>14020</v>
      </c>
      <c r="S734" t="s">
        <v>14021</v>
      </c>
      <c r="T734" t="s">
        <v>14022</v>
      </c>
      <c r="U734" t="s">
        <v>14023</v>
      </c>
      <c r="V734">
        <f>-600.382343193343 -61.5110985413521 -93.0484728558727</f>
        <v>-754.94191459056776</v>
      </c>
      <c r="W734" t="s">
        <v>14024</v>
      </c>
      <c r="X734" t="s">
        <v>14025</v>
      </c>
      <c r="Y734" t="s">
        <v>14026</v>
      </c>
    </row>
    <row r="735" spans="1:25" x14ac:dyDescent="0.3">
      <c r="A735">
        <v>36700</v>
      </c>
      <c r="B735" t="s">
        <v>14027</v>
      </c>
      <c r="C735" t="s">
        <v>14028</v>
      </c>
      <c r="D735" t="s">
        <v>14029</v>
      </c>
      <c r="E735" t="s">
        <v>14030</v>
      </c>
      <c r="F735" t="s">
        <v>14031</v>
      </c>
      <c r="G735" t="s">
        <v>14032</v>
      </c>
      <c r="H735" t="s">
        <v>14033</v>
      </c>
      <c r="I735" t="s">
        <v>14034</v>
      </c>
      <c r="J735" t="s">
        <v>14035</v>
      </c>
      <c r="K735" t="s">
        <v>14036</v>
      </c>
      <c r="L735" t="s">
        <v>14037</v>
      </c>
      <c r="M735" t="s">
        <v>14038</v>
      </c>
      <c r="N735">
        <f>-673.079169344448 -14.3867799516709 -525.935414592655</f>
        <v>-1213.4013638887739</v>
      </c>
      <c r="O735">
        <f>-698.194201136837 -164.186377347194 -490.325094306213</f>
        <v>-1352.7056727902441</v>
      </c>
      <c r="P735">
        <f>-668.086318166398 -196.369955496953 -211.692322338679</f>
        <v>-1076.14859600203</v>
      </c>
      <c r="Q735">
        <f>-489.010927849028 -108.759392524885 -330.876681802332</f>
        <v>-928.647002176245</v>
      </c>
      <c r="R735" t="s">
        <v>14039</v>
      </c>
      <c r="S735" t="s">
        <v>14040</v>
      </c>
      <c r="T735" t="s">
        <v>14041</v>
      </c>
      <c r="U735" t="s">
        <v>14042</v>
      </c>
      <c r="V735">
        <f>-600.288414524306 -61.6756699606954 -93.058428256427</f>
        <v>-755.02251274142827</v>
      </c>
      <c r="W735" t="s">
        <v>14043</v>
      </c>
      <c r="X735" t="s">
        <v>14044</v>
      </c>
      <c r="Y735" t="s">
        <v>14045</v>
      </c>
    </row>
    <row r="736" spans="1:25" x14ac:dyDescent="0.3">
      <c r="A736">
        <v>36750</v>
      </c>
      <c r="B736" t="s">
        <v>14046</v>
      </c>
      <c r="C736" t="s">
        <v>14047</v>
      </c>
      <c r="D736" t="s">
        <v>14048</v>
      </c>
      <c r="E736" t="s">
        <v>14049</v>
      </c>
      <c r="F736" t="s">
        <v>14050</v>
      </c>
      <c r="G736" t="s">
        <v>14051</v>
      </c>
      <c r="H736" t="s">
        <v>14052</v>
      </c>
      <c r="I736" t="s">
        <v>14053</v>
      </c>
      <c r="J736" t="s">
        <v>14054</v>
      </c>
      <c r="K736" t="s">
        <v>14055</v>
      </c>
      <c r="L736" t="s">
        <v>14056</v>
      </c>
      <c r="M736" t="s">
        <v>14057</v>
      </c>
      <c r="N736">
        <f>-672.728090762527 -14.6270443785284 -525.965886451964</f>
        <v>-1213.3210215930194</v>
      </c>
      <c r="O736">
        <f>-698.01966007796 -164.349835831627 -490.171788387026</f>
        <v>-1352.541284296613</v>
      </c>
      <c r="P736">
        <f>-664.932000267436 -196.902953893023 -211.920019832921</f>
        <v>-1073.75497399338</v>
      </c>
      <c r="Q736">
        <f>-487.45837377263 -109.139910290003 -333.366609782088</f>
        <v>-929.96489384472102</v>
      </c>
      <c r="R736" t="s">
        <v>14058</v>
      </c>
      <c r="S736" t="s">
        <v>14059</v>
      </c>
      <c r="T736" t="s">
        <v>14060</v>
      </c>
      <c r="U736" t="s">
        <v>14061</v>
      </c>
      <c r="V736">
        <f>-600.347196609451 -61.8250007063448 -93.083579514541</f>
        <v>-755.2557768303368</v>
      </c>
      <c r="W736" t="s">
        <v>14062</v>
      </c>
      <c r="X736" t="s">
        <v>14063</v>
      </c>
      <c r="Y736" t="s">
        <v>14064</v>
      </c>
    </row>
    <row r="737" spans="1:25" x14ac:dyDescent="0.3">
      <c r="A737">
        <v>36800</v>
      </c>
      <c r="B737" t="s">
        <v>14065</v>
      </c>
      <c r="C737" t="s">
        <v>14066</v>
      </c>
      <c r="D737" t="s">
        <v>14067</v>
      </c>
      <c r="E737" t="s">
        <v>14068</v>
      </c>
      <c r="F737" t="s">
        <v>14069</v>
      </c>
      <c r="G737" t="s">
        <v>14070</v>
      </c>
      <c r="H737" t="s">
        <v>14071</v>
      </c>
      <c r="I737" t="s">
        <v>14072</v>
      </c>
      <c r="J737" t="s">
        <v>14073</v>
      </c>
      <c r="K737" t="s">
        <v>14074</v>
      </c>
      <c r="L737" t="s">
        <v>14075</v>
      </c>
      <c r="M737" t="s">
        <v>14076</v>
      </c>
      <c r="N737">
        <f>-671.904058938105 -15.0524210167232 -526.069089508076</f>
        <v>-1213.0255694629041</v>
      </c>
      <c r="O737">
        <f>-697.155100808224 -164.738065941898 -490.089399778718</f>
        <v>-1351.9825665288399</v>
      </c>
      <c r="P737">
        <f>-658.654441189242 -197.453037028876 -212.553822977011</f>
        <v>-1068.661301195129</v>
      </c>
      <c r="Q737">
        <f>-484.458357297968 -109.736275763919 -338.688920782214</f>
        <v>-932.88355384410102</v>
      </c>
      <c r="R737" t="s">
        <v>14077</v>
      </c>
      <c r="S737" t="s">
        <v>14078</v>
      </c>
      <c r="T737" t="s">
        <v>14079</v>
      </c>
      <c r="U737" t="s">
        <v>14080</v>
      </c>
      <c r="V737">
        <f>-600.135714174479 -61.9814461579588 -93.1185506141685</f>
        <v>-755.23571094660622</v>
      </c>
      <c r="W737" t="s">
        <v>14081</v>
      </c>
      <c r="X737" t="s">
        <v>14082</v>
      </c>
      <c r="Y737" t="s">
        <v>14083</v>
      </c>
    </row>
    <row r="738" spans="1:25" x14ac:dyDescent="0.3">
      <c r="A738">
        <v>36850</v>
      </c>
      <c r="B738" t="s">
        <v>14084</v>
      </c>
      <c r="C738" t="s">
        <v>14085</v>
      </c>
      <c r="D738" t="s">
        <v>14086</v>
      </c>
      <c r="E738" t="s">
        <v>14087</v>
      </c>
      <c r="F738" t="s">
        <v>14088</v>
      </c>
      <c r="G738" t="s">
        <v>14089</v>
      </c>
      <c r="H738" t="s">
        <v>14090</v>
      </c>
      <c r="I738" t="s">
        <v>14091</v>
      </c>
      <c r="J738" t="s">
        <v>14092</v>
      </c>
      <c r="K738" t="s">
        <v>14093</v>
      </c>
      <c r="L738" t="s">
        <v>14094</v>
      </c>
      <c r="M738" t="s">
        <v>14095</v>
      </c>
      <c r="N738">
        <f>-671.525508611011 -15.3623187335102 -526.103830823575</f>
        <v>-1212.9916581680961</v>
      </c>
      <c r="O738">
        <f>-696.636742754297 -165.053647646193 -490.053379607701</f>
        <v>-1351.7437700081909</v>
      </c>
      <c r="P738">
        <f>-655.894873207988 -197.523256067899 -212.809080960831</f>
        <v>-1066.2272102367178</v>
      </c>
      <c r="Q738">
        <f>-483.306595812807 -109.941910533908 -341.227638130506</f>
        <v>-934.47614447722094</v>
      </c>
      <c r="R738" t="s">
        <v>14096</v>
      </c>
      <c r="S738" t="s">
        <v>14097</v>
      </c>
      <c r="T738" t="s">
        <v>14098</v>
      </c>
      <c r="U738" t="s">
        <v>14099</v>
      </c>
      <c r="V738">
        <f>-599.950187039002 -62.1789952719737 -93.1312070867364</f>
        <v>-755.26038939771206</v>
      </c>
      <c r="W738" t="s">
        <v>14100</v>
      </c>
      <c r="X738" t="s">
        <v>14101</v>
      </c>
      <c r="Y738" t="s">
        <v>14102</v>
      </c>
    </row>
    <row r="739" spans="1:25" x14ac:dyDescent="0.3">
      <c r="A739">
        <v>36900</v>
      </c>
      <c r="B739" t="s">
        <v>14103</v>
      </c>
      <c r="C739" t="s">
        <v>14104</v>
      </c>
      <c r="D739" t="s">
        <v>14105</v>
      </c>
      <c r="E739" t="s">
        <v>14106</v>
      </c>
      <c r="F739" t="s">
        <v>14107</v>
      </c>
      <c r="G739" t="s">
        <v>14108</v>
      </c>
      <c r="H739" t="s">
        <v>14109</v>
      </c>
      <c r="I739" t="s">
        <v>14110</v>
      </c>
      <c r="J739" t="s">
        <v>14111</v>
      </c>
      <c r="K739" t="s">
        <v>14112</v>
      </c>
      <c r="L739" t="s">
        <v>14113</v>
      </c>
      <c r="M739" t="s">
        <v>14114</v>
      </c>
      <c r="N739">
        <f>-670.624505212954 -16.4875519156283 -526.15011937225</f>
        <v>-1213.2621765008321</v>
      </c>
      <c r="O739">
        <f>-695.3899126304 -166.183706457844 -489.911257294115</f>
        <v>-1351.4848763823588</v>
      </c>
      <c r="P739">
        <f>-651.203446138591 -197.970293977545 -213.115801763184</f>
        <v>-1062.28954187932</v>
      </c>
      <c r="Q739">
        <f>-481.495271959644 -111.128440066056 -345.803926873449</f>
        <v>-938.42763889914897</v>
      </c>
      <c r="R739" t="s">
        <v>14115</v>
      </c>
      <c r="S739" t="s">
        <v>14116</v>
      </c>
      <c r="T739" t="s">
        <v>14117</v>
      </c>
      <c r="U739" t="s">
        <v>14118</v>
      </c>
      <c r="V739">
        <f>-599.28357617075 -62.7067530969612 -93.1380120455647</f>
        <v>-755.12834131327588</v>
      </c>
      <c r="W739" t="s">
        <v>14119</v>
      </c>
      <c r="X739" t="s">
        <v>14120</v>
      </c>
      <c r="Y739" t="s">
        <v>14121</v>
      </c>
    </row>
    <row r="740" spans="1:25" x14ac:dyDescent="0.3">
      <c r="A740">
        <v>36950</v>
      </c>
      <c r="B740" t="s">
        <v>14122</v>
      </c>
      <c r="C740" t="s">
        <v>14123</v>
      </c>
      <c r="D740" t="s">
        <v>14124</v>
      </c>
      <c r="E740" t="s">
        <v>14125</v>
      </c>
      <c r="F740" t="s">
        <v>14126</v>
      </c>
      <c r="G740" t="s">
        <v>14127</v>
      </c>
      <c r="H740" t="s">
        <v>14128</v>
      </c>
      <c r="I740" t="s">
        <v>14129</v>
      </c>
      <c r="J740" t="s">
        <v>14130</v>
      </c>
      <c r="K740" t="s">
        <v>14131</v>
      </c>
      <c r="L740" t="s">
        <v>14132</v>
      </c>
      <c r="M740" t="s">
        <v>14133</v>
      </c>
      <c r="N740">
        <f>-670.252234470884 -17.1363966842639 -526.112343891198</f>
        <v>-1213.500975046346</v>
      </c>
      <c r="O740">
        <f>-694.802410027079 -166.844331860104 -489.744482964114</f>
        <v>-1351.391224851297</v>
      </c>
      <c r="P740">
        <f>-649.427632641579 -198.012094493298 -213.070901579093</f>
        <v>-1060.5106287139699</v>
      </c>
      <c r="Q740">
        <f>-480.776846248234 -112.099431775315 -347.697912550758</f>
        <v>-940.57419057430707</v>
      </c>
      <c r="R740" t="s">
        <v>14134</v>
      </c>
      <c r="S740" t="s">
        <v>14135</v>
      </c>
      <c r="T740" t="s">
        <v>14136</v>
      </c>
      <c r="U740" t="s">
        <v>14137</v>
      </c>
      <c r="V740">
        <f>-598.772110706284 -62.9728540806029 -93.1364976920313</f>
        <v>-754.88146247891825</v>
      </c>
      <c r="W740" t="s">
        <v>14138</v>
      </c>
      <c r="X740" t="s">
        <v>14139</v>
      </c>
      <c r="Y740" t="s">
        <v>14140</v>
      </c>
    </row>
    <row r="741" spans="1:25" x14ac:dyDescent="0.3">
      <c r="A741">
        <v>37000</v>
      </c>
      <c r="B741" t="s">
        <v>14141</v>
      </c>
      <c r="C741" t="s">
        <v>14142</v>
      </c>
      <c r="D741" t="s">
        <v>14143</v>
      </c>
      <c r="E741" t="s">
        <v>14144</v>
      </c>
      <c r="F741" t="s">
        <v>14145</v>
      </c>
      <c r="G741" t="s">
        <v>14146</v>
      </c>
      <c r="H741" t="s">
        <v>14147</v>
      </c>
      <c r="I741" t="s">
        <v>14148</v>
      </c>
      <c r="J741" t="s">
        <v>14149</v>
      </c>
      <c r="K741" t="s">
        <v>14150</v>
      </c>
      <c r="L741" t="s">
        <v>14151</v>
      </c>
      <c r="M741" t="s">
        <v>14152</v>
      </c>
      <c r="N741">
        <f>-669.636374831807 -18.6202779602295 -525.986453883929</f>
        <v>-1214.2431066759655</v>
      </c>
      <c r="O741">
        <f>-693.953717162213 -168.27863913411 -489.249055163501</f>
        <v>-1351.4814114598239</v>
      </c>
      <c r="P741">
        <f>-646.901473503278 -197.819891533725 -212.677216380465</f>
        <v>-1057.398581417468</v>
      </c>
      <c r="Q741">
        <f>-479.374415545127 -114.89393527622 -350.541157152626</f>
        <v>-944.80950797397304</v>
      </c>
      <c r="R741" t="s">
        <v>14153</v>
      </c>
      <c r="S741" t="s">
        <v>14154</v>
      </c>
      <c r="T741" t="s">
        <v>14155</v>
      </c>
      <c r="U741" t="s">
        <v>14156</v>
      </c>
      <c r="V741">
        <f>-597.785190985668 -63.8998869620477 -93.14798565185</f>
        <v>-754.83306359956578</v>
      </c>
      <c r="W741" t="s">
        <v>14157</v>
      </c>
      <c r="X741" t="s">
        <v>14158</v>
      </c>
      <c r="Y741" t="s">
        <v>14159</v>
      </c>
    </row>
    <row r="742" spans="1:25" x14ac:dyDescent="0.3">
      <c r="A742">
        <v>37050</v>
      </c>
      <c r="B742" t="s">
        <v>14160</v>
      </c>
      <c r="C742" t="s">
        <v>14161</v>
      </c>
      <c r="D742" t="s">
        <v>14162</v>
      </c>
      <c r="E742" t="s">
        <v>14163</v>
      </c>
      <c r="F742" t="s">
        <v>14164</v>
      </c>
      <c r="G742" t="s">
        <v>14165</v>
      </c>
      <c r="H742" t="s">
        <v>14166</v>
      </c>
      <c r="I742" t="s">
        <v>14167</v>
      </c>
      <c r="J742" t="s">
        <v>14168</v>
      </c>
      <c r="K742" t="s">
        <v>14169</v>
      </c>
      <c r="L742" t="s">
        <v>14170</v>
      </c>
      <c r="M742" t="s">
        <v>14171</v>
      </c>
      <c r="N742">
        <f>-669.386170163524 -19.4685369310851 -525.922195246809</f>
        <v>-1214.776902341418</v>
      </c>
      <c r="O742">
        <f>-693.624360989358 -169.098080179192 -489.002550423605</f>
        <v>-1351.724991592155</v>
      </c>
      <c r="P742">
        <f>-646.299984743754 -197.854084528801 -212.394389887449</f>
        <v>-1056.5484591600039</v>
      </c>
      <c r="Q742">
        <f>-478.865122776965 -116.711960161491 -351.427020002001</f>
        <v>-947.00410294045696</v>
      </c>
      <c r="R742" t="s">
        <v>14172</v>
      </c>
      <c r="S742" t="s">
        <v>14173</v>
      </c>
      <c r="T742" t="s">
        <v>14174</v>
      </c>
      <c r="U742" t="s">
        <v>14175</v>
      </c>
      <c r="V742">
        <f>-597.425434973965 -64.5929326143773 -93.1545728592441</f>
        <v>-755.17294044758648</v>
      </c>
      <c r="W742" t="s">
        <v>14176</v>
      </c>
      <c r="X742" t="s">
        <v>14177</v>
      </c>
      <c r="Y742" t="s">
        <v>14178</v>
      </c>
    </row>
    <row r="743" spans="1:25" x14ac:dyDescent="0.3">
      <c r="A743">
        <v>37100</v>
      </c>
      <c r="B743" t="s">
        <v>14179</v>
      </c>
      <c r="C743" t="s">
        <v>14180</v>
      </c>
      <c r="D743" t="s">
        <v>14181</v>
      </c>
      <c r="E743" t="s">
        <v>14182</v>
      </c>
      <c r="F743" t="s">
        <v>14183</v>
      </c>
      <c r="G743" t="s">
        <v>14184</v>
      </c>
      <c r="H743" t="s">
        <v>14185</v>
      </c>
      <c r="I743" t="s">
        <v>14186</v>
      </c>
      <c r="J743" t="s">
        <v>14187</v>
      </c>
      <c r="K743" t="s">
        <v>14188</v>
      </c>
      <c r="L743" t="s">
        <v>14189</v>
      </c>
      <c r="M743" t="s">
        <v>14190</v>
      </c>
      <c r="N743">
        <f>-668.751151831877 -20.7868381377359 -525.837915576368</f>
        <v>-1215.3759055459809</v>
      </c>
      <c r="O743">
        <f>-692.968439965585 -170.373001452906 -488.738254580354</f>
        <v>-1352.0796959988452</v>
      </c>
      <c r="P743">
        <f>-646.244710958215 -197.934442601822 -211.906490205073</f>
        <v>-1056.08564376511</v>
      </c>
      <c r="Q743">
        <f>-478.219717003832 -120.031694850369 -352.075348038522</f>
        <v>-950.32675989272298</v>
      </c>
      <c r="R743" t="s">
        <v>14191</v>
      </c>
      <c r="S743" t="s">
        <v>14192</v>
      </c>
      <c r="T743" t="s">
        <v>14193</v>
      </c>
      <c r="U743" t="s">
        <v>14194</v>
      </c>
      <c r="V743">
        <f>-596.785513214969 -65.727028418637 -93.1330585278747</f>
        <v>-755.64560016148073</v>
      </c>
      <c r="W743" t="s">
        <v>14195</v>
      </c>
      <c r="X743" t="s">
        <v>14196</v>
      </c>
      <c r="Y743" t="s">
        <v>14197</v>
      </c>
    </row>
    <row r="744" spans="1:25" x14ac:dyDescent="0.3">
      <c r="A744">
        <v>37150</v>
      </c>
      <c r="B744" t="s">
        <v>14198</v>
      </c>
      <c r="C744" t="s">
        <v>14199</v>
      </c>
      <c r="D744" t="s">
        <v>14200</v>
      </c>
      <c r="E744" t="s">
        <v>14201</v>
      </c>
      <c r="F744" t="s">
        <v>14202</v>
      </c>
      <c r="G744" t="s">
        <v>14203</v>
      </c>
      <c r="H744" t="s">
        <v>14204</v>
      </c>
      <c r="I744" t="s">
        <v>14205</v>
      </c>
      <c r="J744" t="s">
        <v>14206</v>
      </c>
      <c r="K744" t="s">
        <v>14207</v>
      </c>
      <c r="L744" t="s">
        <v>14208</v>
      </c>
      <c r="M744" t="s">
        <v>14209</v>
      </c>
      <c r="N744">
        <f>-668.427335952087 -21.3436073133912 -525.797273658201</f>
        <v>-1215.5682169236793</v>
      </c>
      <c r="O744">
        <f>-692.683008967305 -170.90866764701 -488.625066229346</f>
        <v>-1352.216742843661</v>
      </c>
      <c r="P744">
        <f>-646.786597379809 -198.220728339835 -211.630217290024</f>
        <v>-1056.637543009668</v>
      </c>
      <c r="Q744">
        <f>-478.257411691633 -121.58992626303 -351.894871789038</f>
        <v>-951.74220974370098</v>
      </c>
      <c r="R744" t="s">
        <v>14210</v>
      </c>
      <c r="S744" t="s">
        <v>14211</v>
      </c>
      <c r="T744" t="s">
        <v>14212</v>
      </c>
      <c r="U744" t="s">
        <v>14213</v>
      </c>
      <c r="V744">
        <f>-596.445934115276 -66.1176813861357 -93.1180989285573</f>
        <v>-755.68171442996902</v>
      </c>
      <c r="W744" t="s">
        <v>14214</v>
      </c>
      <c r="X744" t="s">
        <v>14215</v>
      </c>
      <c r="Y744" t="s">
        <v>14216</v>
      </c>
    </row>
    <row r="745" spans="1:25" x14ac:dyDescent="0.3">
      <c r="A745">
        <v>37200</v>
      </c>
      <c r="B745" t="s">
        <v>14217</v>
      </c>
      <c r="C745" t="s">
        <v>14218</v>
      </c>
      <c r="D745" t="s">
        <v>14219</v>
      </c>
      <c r="E745" t="s">
        <v>14220</v>
      </c>
      <c r="F745" t="s">
        <v>14221</v>
      </c>
      <c r="G745" t="s">
        <v>14222</v>
      </c>
      <c r="H745" t="s">
        <v>14223</v>
      </c>
      <c r="I745" t="s">
        <v>14224</v>
      </c>
      <c r="J745" t="s">
        <v>14225</v>
      </c>
      <c r="K745" t="s">
        <v>14226</v>
      </c>
      <c r="L745" t="s">
        <v>14227</v>
      </c>
      <c r="M745" t="s">
        <v>14228</v>
      </c>
      <c r="N745">
        <f>-668.064353398034 -22.0306000876164 -525.77449244204</f>
        <v>-1215.8694459276903</v>
      </c>
      <c r="O745">
        <f>-692.450756252162 -171.547621156644 -488.512996378367</f>
        <v>-1352.5113737871729</v>
      </c>
      <c r="P745">
        <f>-649.154751587532 -198.667361153706 -211.08095128089</f>
        <v>-1058.9030640221281</v>
      </c>
      <c r="Q745">
        <f>-479.08081182401 -123.943342932863 -350.507296533634</f>
        <v>-953.53145129050699</v>
      </c>
      <c r="R745" t="s">
        <v>14229</v>
      </c>
      <c r="S745" t="s">
        <v>14230</v>
      </c>
      <c r="T745" t="s">
        <v>14231</v>
      </c>
      <c r="U745" t="s">
        <v>14232</v>
      </c>
      <c r="V745">
        <f>-595.920159992768 -66.6962843950666 -93.0977263001369</f>
        <v>-755.71417068797155</v>
      </c>
      <c r="W745" t="s">
        <v>14233</v>
      </c>
      <c r="X745" t="s">
        <v>14234</v>
      </c>
      <c r="Y745" t="s">
        <v>14235</v>
      </c>
    </row>
    <row r="746" spans="1:25" x14ac:dyDescent="0.3">
      <c r="A746">
        <v>37250</v>
      </c>
      <c r="B746" t="s">
        <v>14236</v>
      </c>
      <c r="C746" t="s">
        <v>14237</v>
      </c>
      <c r="D746" t="s">
        <v>14238</v>
      </c>
      <c r="E746" t="s">
        <v>14239</v>
      </c>
      <c r="F746" t="s">
        <v>14240</v>
      </c>
      <c r="G746" t="s">
        <v>14241</v>
      </c>
      <c r="H746" t="s">
        <v>14242</v>
      </c>
      <c r="I746" t="s">
        <v>14243</v>
      </c>
      <c r="J746" t="s">
        <v>14244</v>
      </c>
      <c r="K746" t="s">
        <v>14245</v>
      </c>
      <c r="L746" t="s">
        <v>14246</v>
      </c>
      <c r="M746" t="s">
        <v>14247</v>
      </c>
      <c r="N746">
        <f>-667.993579768327 -22.3428940345868 -525.761277707584</f>
        <v>-1216.0977515104978</v>
      </c>
      <c r="O746">
        <f>-692.544945677694 -171.827785576549 -488.506775532221</f>
        <v>-1352.8795067864639</v>
      </c>
      <c r="P746">
        <f>-650.755255416981 -198.737842203967 -210.823416737678</f>
        <v>-1060.3165143586259</v>
      </c>
      <c r="Q746">
        <f>-479.788643677122 -124.59963961944 -349.468565779306</f>
        <v>-953.85684907586801</v>
      </c>
      <c r="R746" t="s">
        <v>14248</v>
      </c>
      <c r="S746" t="s">
        <v>14249</v>
      </c>
      <c r="T746" t="s">
        <v>14250</v>
      </c>
      <c r="U746" t="s">
        <v>14251</v>
      </c>
      <c r="V746">
        <f>-595.75947875491 -66.9374434078061 -93.0884733621962</f>
        <v>-755.78539552491225</v>
      </c>
      <c r="W746" t="s">
        <v>14252</v>
      </c>
      <c r="X746" t="s">
        <v>14253</v>
      </c>
      <c r="Y746" t="s">
        <v>14254</v>
      </c>
    </row>
    <row r="747" spans="1:25" x14ac:dyDescent="0.3">
      <c r="A747">
        <v>37300</v>
      </c>
      <c r="B747" t="s">
        <v>14255</v>
      </c>
      <c r="C747" t="s">
        <v>14256</v>
      </c>
      <c r="D747" t="s">
        <v>14257</v>
      </c>
      <c r="E747" t="s">
        <v>14258</v>
      </c>
      <c r="F747" t="s">
        <v>14259</v>
      </c>
      <c r="G747" t="s">
        <v>14260</v>
      </c>
      <c r="H747" t="s">
        <v>14261</v>
      </c>
      <c r="I747" t="s">
        <v>14262</v>
      </c>
      <c r="J747" t="s">
        <v>14263</v>
      </c>
      <c r="K747" t="s">
        <v>14264</v>
      </c>
      <c r="L747" t="s">
        <v>14265</v>
      </c>
      <c r="M747" t="s">
        <v>14266</v>
      </c>
      <c r="N747">
        <f>-668.166981443989 -23.0343747061522 -525.731251548079</f>
        <v>-1216.9326076982202</v>
      </c>
      <c r="O747">
        <f>-693.041737748227 -172.436306854495 -488.358733301361</f>
        <v>-1353.836777904083</v>
      </c>
      <c r="P747">
        <f>-654.068467562814 -198.51612071619 -210.186945536352</f>
        <v>-1062.771533815356</v>
      </c>
      <c r="Q747">
        <f>-481.181876636222 -125.435525621621 -347.000694253732</f>
        <v>-953.618096511575</v>
      </c>
      <c r="R747" t="s">
        <v>14267</v>
      </c>
      <c r="S747" t="s">
        <v>14268</v>
      </c>
      <c r="T747" t="s">
        <v>14269</v>
      </c>
      <c r="U747" t="s">
        <v>14270</v>
      </c>
      <c r="V747">
        <f>-595.643142290549 -67.4391570570251 -93.0859108432159</f>
        <v>-756.16821019078998</v>
      </c>
      <c r="W747" t="s">
        <v>14271</v>
      </c>
      <c r="X747" t="s">
        <v>14272</v>
      </c>
      <c r="Y747" t="s">
        <v>14273</v>
      </c>
    </row>
    <row r="748" spans="1:25" x14ac:dyDescent="0.3">
      <c r="A748">
        <v>37350</v>
      </c>
      <c r="B748" t="s">
        <v>14274</v>
      </c>
      <c r="C748" t="s">
        <v>14275</v>
      </c>
      <c r="D748" t="s">
        <v>14276</v>
      </c>
      <c r="E748" t="s">
        <v>14277</v>
      </c>
      <c r="F748" t="s">
        <v>14278</v>
      </c>
      <c r="G748" t="s">
        <v>14279</v>
      </c>
      <c r="H748" t="s">
        <v>14280</v>
      </c>
      <c r="I748" t="s">
        <v>14281</v>
      </c>
      <c r="J748" t="s">
        <v>14282</v>
      </c>
      <c r="K748" t="s">
        <v>14283</v>
      </c>
      <c r="L748" t="s">
        <v>14284</v>
      </c>
      <c r="M748" t="s">
        <v>14285</v>
      </c>
      <c r="N748">
        <f>-668.178948194404 -23.39136668537 -525.73897943862</f>
        <v>-1217.3092943183942</v>
      </c>
      <c r="O748">
        <f>-693.189823140855 -172.751688517423 -488.288067980761</f>
        <v>-1354.229579639039</v>
      </c>
      <c r="P748">
        <f>-655.362197198706 -198.29690931689 -209.908593228877</f>
        <v>-1063.567699744473</v>
      </c>
      <c r="Q748">
        <f>-481.598531420264 -125.716393123075 -345.874638850229</f>
        <v>-953.18956339356805</v>
      </c>
      <c r="R748" t="s">
        <v>14286</v>
      </c>
      <c r="S748" t="s">
        <v>14287</v>
      </c>
      <c r="T748" t="s">
        <v>14288</v>
      </c>
      <c r="U748" t="s">
        <v>14289</v>
      </c>
      <c r="V748">
        <f>-595.66182477064 -67.6199249283625 -93.0889090451776</f>
        <v>-756.3706587441801</v>
      </c>
      <c r="W748" t="s">
        <v>14290</v>
      </c>
      <c r="X748" t="s">
        <v>14291</v>
      </c>
      <c r="Y748" t="s">
        <v>14292</v>
      </c>
    </row>
    <row r="749" spans="1:25" x14ac:dyDescent="0.3">
      <c r="A749">
        <v>37400</v>
      </c>
      <c r="B749" t="s">
        <v>14293</v>
      </c>
      <c r="C749" t="s">
        <v>14294</v>
      </c>
      <c r="D749" t="s">
        <v>14295</v>
      </c>
      <c r="E749" t="s">
        <v>14296</v>
      </c>
      <c r="F749" t="s">
        <v>14297</v>
      </c>
      <c r="G749" t="s">
        <v>14298</v>
      </c>
      <c r="H749" t="s">
        <v>14299</v>
      </c>
      <c r="I749" t="s">
        <v>14300</v>
      </c>
      <c r="J749" t="s">
        <v>14301</v>
      </c>
      <c r="K749" t="s">
        <v>14302</v>
      </c>
      <c r="L749" t="s">
        <v>14303</v>
      </c>
      <c r="M749" t="s">
        <v>14304</v>
      </c>
      <c r="N749">
        <f>-668.200685241617 -24.17267188091 -525.771195683213</f>
        <v>-1218.14455280574</v>
      </c>
      <c r="O749">
        <f>-693.481161707479 -173.427448451625 -488.106954114272</f>
        <v>-1355.015564273376</v>
      </c>
      <c r="P749">
        <f>-656.885263089407 -198.169706797061 -209.490469176315</f>
        <v>-1064.5454390627829</v>
      </c>
      <c r="Q749">
        <f>-482.199331821753 -126.151586260412 -344.570871144599</f>
        <v>-952.92178922676396</v>
      </c>
      <c r="R749" t="s">
        <v>14305</v>
      </c>
      <c r="S749" t="s">
        <v>14306</v>
      </c>
      <c r="T749" t="s">
        <v>14307</v>
      </c>
      <c r="U749" t="s">
        <v>14308</v>
      </c>
      <c r="V749">
        <f>-595.936786282615 -67.9581036015036 -93.135557173408</f>
        <v>-757.03044705752654</v>
      </c>
      <c r="W749" t="s">
        <v>14309</v>
      </c>
      <c r="X749" t="s">
        <v>14310</v>
      </c>
      <c r="Y749" t="s">
        <v>14311</v>
      </c>
    </row>
    <row r="750" spans="1:25" x14ac:dyDescent="0.3">
      <c r="A750">
        <v>37450</v>
      </c>
      <c r="B750" t="s">
        <v>14312</v>
      </c>
      <c r="C750" t="s">
        <v>14313</v>
      </c>
      <c r="D750" t="s">
        <v>14314</v>
      </c>
      <c r="E750" t="s">
        <v>14315</v>
      </c>
      <c r="F750" t="s">
        <v>14316</v>
      </c>
      <c r="G750" t="s">
        <v>14317</v>
      </c>
      <c r="H750" t="s">
        <v>14318</v>
      </c>
      <c r="I750">
        <f>-669.425935406898 -0.181774851654154 -659.446798042277</f>
        <v>-1329.0545083008292</v>
      </c>
      <c r="J750" t="s">
        <v>14319</v>
      </c>
      <c r="K750" t="s">
        <v>14320</v>
      </c>
      <c r="L750" t="s">
        <v>14321</v>
      </c>
      <c r="M750" t="s">
        <v>14322</v>
      </c>
      <c r="N750">
        <f>-668.278459869534 -24.5771436559689 -525.78010788098</f>
        <v>-1218.6357114064831</v>
      </c>
      <c r="O750">
        <f>-693.625357114711 -173.788752634004 -487.979833403272</f>
        <v>-1355.3939431519871</v>
      </c>
      <c r="P750">
        <f>-657.107569166856 -198.419524585661 -209.343180822473</f>
        <v>-1064.8702745749899</v>
      </c>
      <c r="Q750">
        <f>-482.501880631356 -126.223187136498 -344.432460448269</f>
        <v>-953.15752821612307</v>
      </c>
      <c r="R750" t="s">
        <v>14323</v>
      </c>
      <c r="S750" t="s">
        <v>14324</v>
      </c>
      <c r="T750" t="s">
        <v>14325</v>
      </c>
      <c r="U750" t="s">
        <v>14326</v>
      </c>
      <c r="V750">
        <f>-596.135839745217 -68.097216200842 -93.170840369763</f>
        <v>-757.40389631582207</v>
      </c>
      <c r="W750" t="s">
        <v>14327</v>
      </c>
      <c r="X750" t="s">
        <v>14328</v>
      </c>
      <c r="Y750" t="s">
        <v>14329</v>
      </c>
    </row>
    <row r="751" spans="1:25" x14ac:dyDescent="0.3">
      <c r="A751">
        <v>37500</v>
      </c>
      <c r="B751" t="s">
        <v>14330</v>
      </c>
      <c r="C751" t="s">
        <v>14331</v>
      </c>
      <c r="D751" t="s">
        <v>14332</v>
      </c>
      <c r="E751" t="s">
        <v>14333</v>
      </c>
      <c r="F751" t="s">
        <v>14334</v>
      </c>
      <c r="G751" t="s">
        <v>14335</v>
      </c>
      <c r="H751" t="s">
        <v>14336</v>
      </c>
      <c r="I751">
        <f>-669.837823413997 -0.68716326065487 -659.487267646607</f>
        <v>-1330.0122543212588</v>
      </c>
      <c r="J751" t="s">
        <v>14337</v>
      </c>
      <c r="K751" t="s">
        <v>14338</v>
      </c>
      <c r="L751" t="s">
        <v>14339</v>
      </c>
      <c r="M751" t="s">
        <v>14340</v>
      </c>
      <c r="N751">
        <f>-668.756296032665 -24.8922822161962 -525.797870374123</f>
        <v>-1219.4464486229842</v>
      </c>
      <c r="O751">
        <f>-694.044973413387 -174.068572416587 -487.787652873119</f>
        <v>-1355.9011987030931</v>
      </c>
      <c r="P751">
        <f>-656.507847403214 -198.458661614313 -209.265436238486</f>
        <v>-1064.231945256013</v>
      </c>
      <c r="Q751">
        <f>-482.64680549769 -125.50296984466 -344.905845838236</f>
        <v>-953.05562118058606</v>
      </c>
      <c r="R751" t="s">
        <v>14341</v>
      </c>
      <c r="S751" t="s">
        <v>14342</v>
      </c>
      <c r="T751" t="s">
        <v>14343</v>
      </c>
      <c r="U751" t="s">
        <v>14344</v>
      </c>
      <c r="V751">
        <f>-596.519570044084 -68.0654384313036 -93.2278509083867</f>
        <v>-757.81285938377437</v>
      </c>
      <c r="W751" t="s">
        <v>14345</v>
      </c>
      <c r="X751" t="s">
        <v>14346</v>
      </c>
      <c r="Y751" t="s">
        <v>14347</v>
      </c>
    </row>
    <row r="752" spans="1:25" x14ac:dyDescent="0.3">
      <c r="A752">
        <v>37550</v>
      </c>
      <c r="B752" t="s">
        <v>14348</v>
      </c>
      <c r="C752" t="s">
        <v>14349</v>
      </c>
      <c r="D752" t="s">
        <v>14350</v>
      </c>
      <c r="E752" t="s">
        <v>14351</v>
      </c>
      <c r="F752" t="s">
        <v>14352</v>
      </c>
      <c r="G752" t="s">
        <v>14353</v>
      </c>
      <c r="H752" t="s">
        <v>14354</v>
      </c>
      <c r="I752">
        <f>-670.118757432401 -0.789300332911807 -659.494506710195</f>
        <v>-1330.4025644755079</v>
      </c>
      <c r="J752" t="s">
        <v>14355</v>
      </c>
      <c r="K752" t="s">
        <v>14356</v>
      </c>
      <c r="L752" t="s">
        <v>14357</v>
      </c>
      <c r="M752" t="s">
        <v>14358</v>
      </c>
      <c r="N752">
        <f>-669.021916853804 -24.947735747764 -525.801163833632</f>
        <v>-1219.7708164352</v>
      </c>
      <c r="O752">
        <f>-694.170021939493 -174.125882036035 -487.702466560286</f>
        <v>-1355.998370535814</v>
      </c>
      <c r="P752">
        <f>-655.812518710165 -198.529286804833 -209.293140237846</f>
        <v>-1063.634945752844</v>
      </c>
      <c r="Q752">
        <f>-482.434871646415 -125.112963633053 -345.303122191561</f>
        <v>-952.85095747102901</v>
      </c>
      <c r="R752" t="s">
        <v>14359</v>
      </c>
      <c r="S752" t="s">
        <v>14360</v>
      </c>
      <c r="T752" t="s">
        <v>14361</v>
      </c>
      <c r="U752" t="s">
        <v>14362</v>
      </c>
      <c r="V752">
        <f>-596.716486717828 -68.0141885315852 -93.2491011299485</f>
        <v>-757.97977637936174</v>
      </c>
      <c r="W752" t="s">
        <v>14363</v>
      </c>
      <c r="X752" t="s">
        <v>14364</v>
      </c>
      <c r="Y752" t="s">
        <v>14365</v>
      </c>
    </row>
    <row r="753" spans="1:25" x14ac:dyDescent="0.3">
      <c r="A753">
        <v>37600</v>
      </c>
      <c r="B753" t="s">
        <v>14366</v>
      </c>
      <c r="C753" t="s">
        <v>14367</v>
      </c>
      <c r="D753" t="s">
        <v>14368</v>
      </c>
      <c r="E753" t="s">
        <v>14369</v>
      </c>
      <c r="F753" t="s">
        <v>14370</v>
      </c>
      <c r="G753" t="s">
        <v>14371</v>
      </c>
      <c r="H753" t="s">
        <v>14372</v>
      </c>
      <c r="I753">
        <f>-670.844726064715 -0.514536170300289 -659.477557702835</f>
        <v>-1330.8368199378504</v>
      </c>
      <c r="J753" t="s">
        <v>14373</v>
      </c>
      <c r="K753" t="s">
        <v>14374</v>
      </c>
      <c r="L753" t="s">
        <v>14375</v>
      </c>
      <c r="M753" t="s">
        <v>14376</v>
      </c>
      <c r="N753">
        <f>-669.645657226074 -24.6997204505308 -525.799596414385</f>
        <v>-1220.1449740909898</v>
      </c>
      <c r="O753">
        <f>-694.334769594057 -173.948840323461 -487.689424637577</f>
        <v>-1355.973034555095</v>
      </c>
      <c r="P753">
        <f>-654.431414739835 -198.887708246718 -209.544878247744</f>
        <v>-1062.8640012342971</v>
      </c>
      <c r="Q753">
        <f>-482.212993262899 -123.674416134768 -346.045113880278</f>
        <v>-951.93252327794494</v>
      </c>
      <c r="R753" t="s">
        <v>14377</v>
      </c>
      <c r="S753" t="s">
        <v>14378</v>
      </c>
      <c r="T753" t="s">
        <v>14379</v>
      </c>
      <c r="U753" t="s">
        <v>14380</v>
      </c>
      <c r="V753">
        <f>-597.064119701337 -67.7590532104969 -93.2818527248196</f>
        <v>-758.10502563665341</v>
      </c>
      <c r="W753" t="s">
        <v>14381</v>
      </c>
      <c r="X753" t="s">
        <v>14382</v>
      </c>
      <c r="Y753" t="s">
        <v>14383</v>
      </c>
    </row>
    <row r="754" spans="1:25" x14ac:dyDescent="0.3">
      <c r="A754">
        <v>37650</v>
      </c>
      <c r="B754" t="s">
        <v>14384</v>
      </c>
      <c r="C754" t="s">
        <v>14385</v>
      </c>
      <c r="D754" t="s">
        <v>14386</v>
      </c>
      <c r="E754" t="s">
        <v>14387</v>
      </c>
      <c r="F754" t="s">
        <v>14388</v>
      </c>
      <c r="G754" t="s">
        <v>14389</v>
      </c>
      <c r="H754" t="s">
        <v>14390</v>
      </c>
      <c r="I754">
        <f>-671.155329972276 -0.192725710888453 -659.472239093709</f>
        <v>-1330.8202947768737</v>
      </c>
      <c r="J754" t="s">
        <v>14391</v>
      </c>
      <c r="K754" t="s">
        <v>14392</v>
      </c>
      <c r="L754" t="s">
        <v>14393</v>
      </c>
      <c r="M754" t="s">
        <v>14394</v>
      </c>
      <c r="N754">
        <f>-669.919444809624 -24.4341756933695 -525.810929507738</f>
        <v>-1220.1645500107315</v>
      </c>
      <c r="O754">
        <f>-694.383514729911 -173.743136060057 -487.790610164767</f>
        <v>-1355.917260954735</v>
      </c>
      <c r="P754">
        <f>-653.789761160226 -199.006457336779 -209.775284966778</f>
        <v>-1062.5715034637831</v>
      </c>
      <c r="Q754">
        <f>-482.138730681091 -122.645088431181 -346.352631812048</f>
        <v>-951.13645092432</v>
      </c>
      <c r="R754" t="s">
        <v>14395</v>
      </c>
      <c r="S754" t="s">
        <v>14396</v>
      </c>
      <c r="T754" t="s">
        <v>14397</v>
      </c>
      <c r="U754" t="s">
        <v>14398</v>
      </c>
      <c r="V754">
        <f>-597.161032988535 -67.577292795924 -93.2863245794488</f>
        <v>-758.02465036390777</v>
      </c>
      <c r="W754" t="s">
        <v>14399</v>
      </c>
      <c r="X754" t="s">
        <v>14400</v>
      </c>
      <c r="Y754" t="s">
        <v>14401</v>
      </c>
    </row>
    <row r="755" spans="1:25" x14ac:dyDescent="0.3">
      <c r="A755">
        <v>37700</v>
      </c>
      <c r="B755" t="s">
        <v>14402</v>
      </c>
      <c r="C755" t="s">
        <v>14403</v>
      </c>
      <c r="D755" t="s">
        <v>14404</v>
      </c>
      <c r="E755" t="s">
        <v>14405</v>
      </c>
      <c r="F755" t="s">
        <v>14406</v>
      </c>
      <c r="G755" t="s">
        <v>14407</v>
      </c>
      <c r="H755" t="s">
        <v>14408</v>
      </c>
      <c r="I755" t="s">
        <v>14409</v>
      </c>
      <c r="J755" t="s">
        <v>14410</v>
      </c>
      <c r="K755" t="s">
        <v>14411</v>
      </c>
      <c r="L755" t="s">
        <v>14412</v>
      </c>
      <c r="M755" t="s">
        <v>14413</v>
      </c>
      <c r="N755">
        <f>-670.440125606534 -23.8752859382701 -525.816642579401</f>
        <v>-1220.1320541242051</v>
      </c>
      <c r="O755">
        <f>-694.49523856288 -173.290760832517 -487.957318327715</f>
        <v>-1355.7433177231119</v>
      </c>
      <c r="P755">
        <f>-652.718966672576 -198.824354739332 -210.142026406851</f>
        <v>-1061.6853478187591</v>
      </c>
      <c r="Q755">
        <f>-481.945964029202 -120.794218101846 -346.876659381033</f>
        <v>-949.61684151208101</v>
      </c>
      <c r="R755" t="s">
        <v>14414</v>
      </c>
      <c r="S755" t="s">
        <v>14415</v>
      </c>
      <c r="T755" t="s">
        <v>14416</v>
      </c>
      <c r="U755" t="s">
        <v>14417</v>
      </c>
      <c r="V755">
        <f>-597.284128882655 -67.2097838784523 -93.2872073911277</f>
        <v>-757.78112015223496</v>
      </c>
      <c r="W755" t="s">
        <v>14418</v>
      </c>
      <c r="X755" t="s">
        <v>14419</v>
      </c>
      <c r="Y755" t="s">
        <v>14420</v>
      </c>
    </row>
    <row r="756" spans="1:25" x14ac:dyDescent="0.3">
      <c r="A756">
        <v>37750</v>
      </c>
      <c r="B756" t="s">
        <v>14421</v>
      </c>
      <c r="C756" t="s">
        <v>14422</v>
      </c>
      <c r="D756" t="s">
        <v>14423</v>
      </c>
      <c r="E756" t="s">
        <v>14424</v>
      </c>
      <c r="F756" t="s">
        <v>14425</v>
      </c>
      <c r="G756" t="s">
        <v>14426</v>
      </c>
      <c r="H756" t="s">
        <v>14427</v>
      </c>
      <c r="I756" t="s">
        <v>14428</v>
      </c>
      <c r="J756" t="s">
        <v>14429</v>
      </c>
      <c r="K756" t="s">
        <v>14430</v>
      </c>
      <c r="L756" t="s">
        <v>14431</v>
      </c>
      <c r="M756" t="s">
        <v>14432</v>
      </c>
      <c r="N756">
        <f>-670.834578251943 -23.5855639301303 -525.782930143659</f>
        <v>-1220.2030723257321</v>
      </c>
      <c r="O756">
        <f>-694.710491266512 -173.046571829898 -487.990946230757</f>
        <v>-1355.748009327167</v>
      </c>
      <c r="P756">
        <f>-652.416745797789 -198.709235851203 -210.265848826626</f>
        <v>-1061.391830475618</v>
      </c>
      <c r="Q756">
        <f>-481.975945745247 -120.020663238367 -347.037692243986</f>
        <v>-949.03430122760005</v>
      </c>
      <c r="R756" t="s">
        <v>14433</v>
      </c>
      <c r="S756" t="s">
        <v>14434</v>
      </c>
      <c r="T756" t="s">
        <v>14435</v>
      </c>
      <c r="U756" t="s">
        <v>14436</v>
      </c>
      <c r="V756">
        <f>-597.406740374171 -67.0125533836342 -93.2882265977868</f>
        <v>-757.70752035559201</v>
      </c>
      <c r="W756" t="s">
        <v>14437</v>
      </c>
      <c r="X756" t="s">
        <v>14438</v>
      </c>
      <c r="Y756" t="s">
        <v>14439</v>
      </c>
    </row>
    <row r="757" spans="1:25" x14ac:dyDescent="0.3">
      <c r="A757">
        <v>37800</v>
      </c>
      <c r="B757" t="s">
        <v>14440</v>
      </c>
      <c r="C757" t="s">
        <v>14441</v>
      </c>
      <c r="D757" t="s">
        <v>14442</v>
      </c>
      <c r="E757" t="s">
        <v>14443</v>
      </c>
      <c r="F757" t="s">
        <v>14444</v>
      </c>
      <c r="G757" t="s">
        <v>14445</v>
      </c>
      <c r="H757" t="s">
        <v>14446</v>
      </c>
      <c r="I757" t="s">
        <v>14447</v>
      </c>
      <c r="J757" t="s">
        <v>14448</v>
      </c>
      <c r="K757" t="s">
        <v>14449</v>
      </c>
      <c r="L757" t="s">
        <v>14450</v>
      </c>
      <c r="M757" t="s">
        <v>14451</v>
      </c>
      <c r="N757">
        <f>-671.621936947476 -22.9972218546804 -525.706490767216</f>
        <v>-1220.3256495693724</v>
      </c>
      <c r="O757">
        <f>-695.42870059643 -172.505351875761 -488.056891988146</f>
        <v>-1355.990944460337</v>
      </c>
      <c r="P757">
        <f>-651.619631853857 -198.475779649139 -210.595323910481</f>
        <v>-1060.6907354134769</v>
      </c>
      <c r="Q757">
        <f>-482.131176940022 -118.418447660684 -347.755840549364</f>
        <v>-948.30546515006995</v>
      </c>
      <c r="R757" t="s">
        <v>14452</v>
      </c>
      <c r="S757" t="s">
        <v>14453</v>
      </c>
      <c r="T757" t="s">
        <v>14454</v>
      </c>
      <c r="U757" t="s">
        <v>14455</v>
      </c>
      <c r="V757">
        <f>-597.799608304007 -66.7203350381153 -93.2975160638198</f>
        <v>-757.81745940594215</v>
      </c>
      <c r="W757" t="s">
        <v>14456</v>
      </c>
      <c r="X757" t="s">
        <v>14457</v>
      </c>
      <c r="Y757" t="s">
        <v>14458</v>
      </c>
    </row>
    <row r="758" spans="1:25" x14ac:dyDescent="0.3">
      <c r="A758">
        <v>37850</v>
      </c>
      <c r="B758" t="s">
        <v>14459</v>
      </c>
      <c r="C758" t="s">
        <v>14460</v>
      </c>
      <c r="D758" t="s">
        <v>14461</v>
      </c>
      <c r="E758" t="s">
        <v>14462</v>
      </c>
      <c r="F758" t="s">
        <v>14463</v>
      </c>
      <c r="G758" t="s">
        <v>14464</v>
      </c>
      <c r="H758" t="s">
        <v>14465</v>
      </c>
      <c r="I758" t="s">
        <v>14466</v>
      </c>
      <c r="J758" t="s">
        <v>14467</v>
      </c>
      <c r="K758" t="s">
        <v>14468</v>
      </c>
      <c r="L758" t="s">
        <v>14469</v>
      </c>
      <c r="M758" t="s">
        <v>14470</v>
      </c>
      <c r="N758">
        <f>-671.977502778651 -22.6899967323695 -525.681773111106</f>
        <v>-1220.3492726221266</v>
      </c>
      <c r="O758">
        <f>-695.888292389339 -172.202670141982 -488.089763434841</f>
        <v>-1356.1807259661621</v>
      </c>
      <c r="P758">
        <f>-650.939127073771 -198.426105331644 -210.834498664812</f>
        <v>-1060.199731070227</v>
      </c>
      <c r="Q758">
        <f>-482.250988359934 -117.634906539794 -348.550297802182</f>
        <v>-948.43619270190993</v>
      </c>
      <c r="R758" t="s">
        <v>14471</v>
      </c>
      <c r="S758" t="s">
        <v>14472</v>
      </c>
      <c r="T758" t="s">
        <v>14473</v>
      </c>
      <c r="U758" t="s">
        <v>14474</v>
      </c>
      <c r="V758">
        <f>-598.099045203164 -66.6472799984381 -93.2978778370426</f>
        <v>-758.0442030386447</v>
      </c>
      <c r="W758" t="s">
        <v>14475</v>
      </c>
      <c r="X758" t="s">
        <v>14476</v>
      </c>
      <c r="Y758" t="s">
        <v>14477</v>
      </c>
    </row>
    <row r="759" spans="1:25" x14ac:dyDescent="0.3">
      <c r="A759">
        <v>37900</v>
      </c>
      <c r="B759" t="s">
        <v>14478</v>
      </c>
      <c r="C759" t="s">
        <v>14479</v>
      </c>
      <c r="D759" t="s">
        <v>14480</v>
      </c>
      <c r="E759" t="s">
        <v>14481</v>
      </c>
      <c r="F759" t="s">
        <v>14482</v>
      </c>
      <c r="G759" t="s">
        <v>14483</v>
      </c>
      <c r="H759" t="s">
        <v>14484</v>
      </c>
      <c r="I759" t="s">
        <v>14485</v>
      </c>
      <c r="J759" t="s">
        <v>14486</v>
      </c>
      <c r="K759" t="s">
        <v>14487</v>
      </c>
      <c r="L759" t="s">
        <v>14488</v>
      </c>
      <c r="M759" t="s">
        <v>14489</v>
      </c>
      <c r="N759">
        <f>-672.411889967054 -22.4231769915561 -525.605419842711</f>
        <v>-1220.4404868013212</v>
      </c>
      <c r="O759">
        <f>-696.781044781452 -171.869234969972 -488.071717769696</f>
        <v>-1356.7219975211201</v>
      </c>
      <c r="P759">
        <f>-648.381104082844 -199.302667403265 -211.515222024873</f>
        <v>-1059.1989935109821</v>
      </c>
      <c r="Q759">
        <f>-482.151900272635 -116.93252094848 -351.27062185448</f>
        <v>-950.35504307559495</v>
      </c>
      <c r="R759" t="s">
        <v>14490</v>
      </c>
      <c r="S759" t="s">
        <v>14491</v>
      </c>
      <c r="T759" t="s">
        <v>14492</v>
      </c>
      <c r="U759" t="s">
        <v>14493</v>
      </c>
      <c r="V759">
        <f>-598.496258778219 -66.4707877637725 -93.2882456846487</f>
        <v>-758.25529222664022</v>
      </c>
      <c r="W759" t="s">
        <v>14494</v>
      </c>
      <c r="X759" t="s">
        <v>14495</v>
      </c>
      <c r="Y759" t="s">
        <v>14496</v>
      </c>
    </row>
    <row r="760" spans="1:25" x14ac:dyDescent="0.3">
      <c r="A760">
        <v>37950</v>
      </c>
      <c r="B760" t="s">
        <v>14497</v>
      </c>
      <c r="C760" t="s">
        <v>14498</v>
      </c>
      <c r="D760" t="s">
        <v>14499</v>
      </c>
      <c r="E760" t="s">
        <v>14500</v>
      </c>
      <c r="F760" t="s">
        <v>14501</v>
      </c>
      <c r="G760" t="s">
        <v>14502</v>
      </c>
      <c r="H760" t="s">
        <v>14503</v>
      </c>
      <c r="I760" t="s">
        <v>14504</v>
      </c>
      <c r="J760" t="s">
        <v>14505</v>
      </c>
      <c r="K760" t="s">
        <v>14506</v>
      </c>
      <c r="L760" t="s">
        <v>14507</v>
      </c>
      <c r="M760" t="s">
        <v>14508</v>
      </c>
      <c r="N760">
        <f>-672.682624545805 -22.3164453991631 -525.52892199869</f>
        <v>-1220.527991943658</v>
      </c>
      <c r="O760">
        <f>-697.228583043269 -171.729919016188 -487.965034647782</f>
        <v>-1356.923536707239</v>
      </c>
      <c r="P760">
        <f>-646.661304123746 -199.978845530231 -211.878923733707</f>
        <v>-1058.5190733876841</v>
      </c>
      <c r="Q760">
        <f>-481.906619077134 -117.013986586345 -353.021584237383</f>
        <v>-951.9421899008621</v>
      </c>
      <c r="R760" t="s">
        <v>14509</v>
      </c>
      <c r="S760" t="s">
        <v>14510</v>
      </c>
      <c r="T760" t="s">
        <v>14511</v>
      </c>
      <c r="U760" t="s">
        <v>14512</v>
      </c>
      <c r="V760">
        <f>-598.527147947353 -66.4109983080102 -93.2774463569715</f>
        <v>-758.21559261233472</v>
      </c>
      <c r="W760" t="s">
        <v>14513</v>
      </c>
      <c r="X760" t="s">
        <v>14514</v>
      </c>
      <c r="Y760" t="s">
        <v>14515</v>
      </c>
    </row>
    <row r="761" spans="1:25" x14ac:dyDescent="0.3">
      <c r="A761">
        <v>38000</v>
      </c>
      <c r="B761" t="s">
        <v>14516</v>
      </c>
      <c r="C761" t="s">
        <v>14517</v>
      </c>
      <c r="D761" t="s">
        <v>14518</v>
      </c>
      <c r="E761" t="s">
        <v>14519</v>
      </c>
      <c r="F761" t="s">
        <v>14520</v>
      </c>
      <c r="G761" t="s">
        <v>14521</v>
      </c>
      <c r="H761" t="s">
        <v>14522</v>
      </c>
      <c r="I761" t="s">
        <v>14523</v>
      </c>
      <c r="J761" t="s">
        <v>14524</v>
      </c>
      <c r="K761" t="s">
        <v>14525</v>
      </c>
      <c r="L761" t="s">
        <v>14526</v>
      </c>
      <c r="M761" t="s">
        <v>14527</v>
      </c>
      <c r="N761">
        <f>-673.645925923286 -22.0000089500998 -525.301632223447</f>
        <v>-1220.9475670968327</v>
      </c>
      <c r="O761">
        <f>-698.465795964507 -171.375198743595 -487.752444918451</f>
        <v>-1357.5934396265529</v>
      </c>
      <c r="P761">
        <f>-642.423287914012 -201.345345933967 -212.907688482097</f>
        <v>-1056.6763223300759</v>
      </c>
      <c r="Q761">
        <f>-481.227448457134 -116.938404056189 -357.268031594336</f>
        <v>-955.43388410765897</v>
      </c>
      <c r="R761" t="s">
        <v>14528</v>
      </c>
      <c r="S761" t="s">
        <v>14529</v>
      </c>
      <c r="T761" t="s">
        <v>14530</v>
      </c>
      <c r="U761" t="s">
        <v>14531</v>
      </c>
      <c r="V761">
        <f>-598.645804928117 -66.263820805402 -93.2450649235755</f>
        <v>-758.15469065709442</v>
      </c>
      <c r="W761" t="s">
        <v>14532</v>
      </c>
      <c r="X761" t="s">
        <v>14533</v>
      </c>
      <c r="Y761" t="s">
        <v>14534</v>
      </c>
    </row>
    <row r="762" spans="1:25" x14ac:dyDescent="0.3">
      <c r="A762">
        <v>38050</v>
      </c>
      <c r="B762" t="s">
        <v>14535</v>
      </c>
      <c r="C762" t="s">
        <v>14536</v>
      </c>
      <c r="D762" t="s">
        <v>14537</v>
      </c>
      <c r="E762" t="s">
        <v>14538</v>
      </c>
      <c r="F762" t="s">
        <v>14539</v>
      </c>
      <c r="G762" t="s">
        <v>14540</v>
      </c>
      <c r="H762" t="s">
        <v>14541</v>
      </c>
      <c r="I762" t="s">
        <v>14542</v>
      </c>
      <c r="J762" t="s">
        <v>14543</v>
      </c>
      <c r="K762" t="s">
        <v>14544</v>
      </c>
      <c r="L762" t="s">
        <v>14545</v>
      </c>
      <c r="M762" t="s">
        <v>14546</v>
      </c>
      <c r="N762">
        <f>-674.409132228704 -21.7539561947383 -525.140706624079</f>
        <v>-1221.3037950475214</v>
      </c>
      <c r="O762">
        <f>-699.25509757484 -171.131807425351 -487.625852867856</f>
        <v>-1358.0127578680469</v>
      </c>
      <c r="P762">
        <f>-640.014020860384 -201.889178013105 -213.54002052727</f>
        <v>-1055.4432194007591</v>
      </c>
      <c r="Q762">
        <f>-480.919439558075 -116.638030939757 -359.72376326046</f>
        <v>-957.28123375829205</v>
      </c>
      <c r="R762" t="s">
        <v>14547</v>
      </c>
      <c r="S762" t="s">
        <v>14548</v>
      </c>
      <c r="T762" t="s">
        <v>14549</v>
      </c>
      <c r="U762" t="s">
        <v>14550</v>
      </c>
      <c r="V762">
        <f>-598.701259373136 -66.2108895920067 -93.2150958973722</f>
        <v>-758.12724486251489</v>
      </c>
      <c r="W762" t="s">
        <v>14551</v>
      </c>
      <c r="X762" t="s">
        <v>14552</v>
      </c>
      <c r="Y762" t="s">
        <v>14553</v>
      </c>
    </row>
    <row r="763" spans="1:25" x14ac:dyDescent="0.3">
      <c r="A763">
        <v>38100</v>
      </c>
      <c r="B763" t="s">
        <v>14554</v>
      </c>
      <c r="C763" t="s">
        <v>14555</v>
      </c>
      <c r="D763" t="s">
        <v>14556</v>
      </c>
      <c r="E763" t="s">
        <v>14557</v>
      </c>
      <c r="F763" t="s">
        <v>14558</v>
      </c>
      <c r="G763" t="s">
        <v>14559</v>
      </c>
      <c r="H763" t="s">
        <v>14560</v>
      </c>
      <c r="I763" t="s">
        <v>14561</v>
      </c>
      <c r="J763" t="s">
        <v>14562</v>
      </c>
      <c r="K763" t="s">
        <v>14563</v>
      </c>
      <c r="L763" t="s">
        <v>14564</v>
      </c>
      <c r="M763" t="s">
        <v>14565</v>
      </c>
      <c r="N763">
        <f>-676.278147084208 -21.4786412615442 -524.716920174834</f>
        <v>-1222.4737085205861</v>
      </c>
      <c r="O763">
        <f>-700.986390529038 -170.877270725787 -487.227997585699</f>
        <v>-1359.0916588405239</v>
      </c>
      <c r="P763">
        <f>-634.738802083453 -203.429200440993 -214.959271168242</f>
        <v>-1053.127273692688</v>
      </c>
      <c r="Q763">
        <f>-480.331591920921 -116.365119414126 -365.048497174584</f>
        <v>-961.74520850963097</v>
      </c>
      <c r="R763" t="s">
        <v>14566</v>
      </c>
      <c r="S763" t="s">
        <v>14567</v>
      </c>
      <c r="T763" t="s">
        <v>14568</v>
      </c>
      <c r="U763" t="s">
        <v>14569</v>
      </c>
      <c r="V763">
        <f>-598.796461929399 -66.1348610954176 -93.1290759454603</f>
        <v>-758.06039897027688</v>
      </c>
      <c r="W763" t="s">
        <v>14570</v>
      </c>
      <c r="X763" t="s">
        <v>14571</v>
      </c>
      <c r="Y763" t="s">
        <v>14572</v>
      </c>
    </row>
    <row r="764" spans="1:25" x14ac:dyDescent="0.3">
      <c r="A764">
        <v>38150</v>
      </c>
      <c r="B764" t="s">
        <v>14573</v>
      </c>
      <c r="C764" t="s">
        <v>14574</v>
      </c>
      <c r="D764" t="s">
        <v>14575</v>
      </c>
      <c r="E764" t="s">
        <v>14576</v>
      </c>
      <c r="F764" t="s">
        <v>14577</v>
      </c>
      <c r="G764" t="s">
        <v>14578</v>
      </c>
      <c r="H764" t="s">
        <v>14579</v>
      </c>
      <c r="I764" t="s">
        <v>14580</v>
      </c>
      <c r="J764" t="s">
        <v>14581</v>
      </c>
      <c r="K764" t="s">
        <v>14582</v>
      </c>
      <c r="L764" t="s">
        <v>14583</v>
      </c>
      <c r="M764" t="s">
        <v>14584</v>
      </c>
      <c r="N764">
        <f>-677.156395771912 -21.4910625661382 -524.505711548807</f>
        <v>-1223.1531698868571</v>
      </c>
      <c r="O764">
        <f>-701.672484962568 -170.918117754935 -487.03148423307</f>
        <v>-1359.622086950573</v>
      </c>
      <c r="P764">
        <f>-631.9975939286 -204.161838354656 -215.703668687824</f>
        <v>-1051.86310097108</v>
      </c>
      <c r="Q764">
        <f>-479.943412208162 -116.536976027441 -367.854714645732</f>
        <v>-964.33510288133493</v>
      </c>
      <c r="R764" t="s">
        <v>14585</v>
      </c>
      <c r="S764" t="s">
        <v>14586</v>
      </c>
      <c r="T764" t="s">
        <v>14587</v>
      </c>
      <c r="U764" t="s">
        <v>14588</v>
      </c>
      <c r="V764">
        <f>-598.842575659974 -66.1040282907336 -93.0987105643345</f>
        <v>-758.04531451504215</v>
      </c>
      <c r="W764" t="s">
        <v>14589</v>
      </c>
      <c r="X764" t="s">
        <v>14590</v>
      </c>
      <c r="Y764" t="s">
        <v>14591</v>
      </c>
    </row>
    <row r="765" spans="1:25" x14ac:dyDescent="0.3">
      <c r="A765">
        <v>38200</v>
      </c>
      <c r="B765" t="s">
        <v>14592</v>
      </c>
      <c r="C765" t="s">
        <v>14593</v>
      </c>
      <c r="D765" t="s">
        <v>14594</v>
      </c>
      <c r="E765" t="s">
        <v>14595</v>
      </c>
      <c r="F765" t="s">
        <v>14596</v>
      </c>
      <c r="G765" t="s">
        <v>14597</v>
      </c>
      <c r="H765" t="s">
        <v>14598</v>
      </c>
      <c r="I765" t="s">
        <v>14599</v>
      </c>
      <c r="J765" t="s">
        <v>14600</v>
      </c>
      <c r="K765" t="s">
        <v>14601</v>
      </c>
      <c r="L765" t="s">
        <v>14602</v>
      </c>
      <c r="M765" t="s">
        <v>14603</v>
      </c>
      <c r="N765">
        <f>-678.815025556248 -21.6110842811015 -524.085734493749</f>
        <v>-1224.5118443310985</v>
      </c>
      <c r="O765">
        <f>-702.836969415661 -171.146817893726 -486.664730006447</f>
        <v>-1360.6485173158339</v>
      </c>
      <c r="P765">
        <f>-626.524859377538 -204.963463403029 -217.199529557964</f>
        <v>-1048.687852338531</v>
      </c>
      <c r="Q765">
        <f>-479.484443781614 -116.839497318224 -373.921597512388</f>
        <v>-970.24553861222603</v>
      </c>
      <c r="R765" t="s">
        <v>14604</v>
      </c>
      <c r="S765" t="s">
        <v>14605</v>
      </c>
      <c r="T765" t="s">
        <v>14606</v>
      </c>
      <c r="U765" t="s">
        <v>14607</v>
      </c>
      <c r="V765">
        <f>-598.766268204811 -65.9095494637622 -93.0400245859485</f>
        <v>-757.7158422545217</v>
      </c>
      <c r="W765" t="s">
        <v>14608</v>
      </c>
      <c r="X765" t="s">
        <v>14609</v>
      </c>
      <c r="Y765" t="s">
        <v>14610</v>
      </c>
    </row>
    <row r="766" spans="1:25" x14ac:dyDescent="0.3">
      <c r="A766">
        <v>38250</v>
      </c>
      <c r="B766" t="s">
        <v>14611</v>
      </c>
      <c r="C766" t="s">
        <v>14612</v>
      </c>
      <c r="D766" t="s">
        <v>14613</v>
      </c>
      <c r="E766" t="s">
        <v>14614</v>
      </c>
      <c r="F766" t="s">
        <v>14615</v>
      </c>
      <c r="G766" t="s">
        <v>14616</v>
      </c>
      <c r="H766" t="s">
        <v>14617</v>
      </c>
      <c r="I766" t="s">
        <v>14618</v>
      </c>
      <c r="J766" t="s">
        <v>14619</v>
      </c>
      <c r="K766" t="s">
        <v>14620</v>
      </c>
      <c r="L766" t="s">
        <v>14621</v>
      </c>
      <c r="M766" t="s">
        <v>14622</v>
      </c>
      <c r="N766">
        <f>-679.523225242908 -21.8365804366647 -523.886384659605</f>
        <v>-1225.2461903391777</v>
      </c>
      <c r="O766">
        <f>-703.337551134827 -171.395494796964 -486.472679871121</f>
        <v>-1361.205725802912</v>
      </c>
      <c r="P766">
        <f>-623.724107876067 -205.269182576388 -217.971580161243</f>
        <v>-1046.9648706136982</v>
      </c>
      <c r="Q766">
        <f>-479.28893893889 -117.267297644798 -377.165316228706</f>
        <v>-973.72155281239407</v>
      </c>
      <c r="R766" t="s">
        <v>14623</v>
      </c>
      <c r="S766" t="s">
        <v>14624</v>
      </c>
      <c r="T766" t="s">
        <v>14625</v>
      </c>
      <c r="U766" t="s">
        <v>14626</v>
      </c>
      <c r="V766">
        <f>-598.760506465435 -65.9359181586356 -93.0059823786991</f>
        <v>-757.70240700276963</v>
      </c>
      <c r="W766" t="s">
        <v>14627</v>
      </c>
      <c r="X766" t="s">
        <v>14628</v>
      </c>
      <c r="Y766" t="s">
        <v>14629</v>
      </c>
    </row>
    <row r="767" spans="1:25" x14ac:dyDescent="0.3">
      <c r="A767">
        <v>38300</v>
      </c>
      <c r="B767" t="s">
        <v>14630</v>
      </c>
      <c r="C767" t="s">
        <v>14631</v>
      </c>
      <c r="D767" t="s">
        <v>14632</v>
      </c>
      <c r="E767" t="s">
        <v>14633</v>
      </c>
      <c r="F767" t="s">
        <v>14634</v>
      </c>
      <c r="G767" t="s">
        <v>14635</v>
      </c>
      <c r="H767" t="s">
        <v>14636</v>
      </c>
      <c r="I767" t="s">
        <v>14637</v>
      </c>
      <c r="J767" t="s">
        <v>14638</v>
      </c>
      <c r="K767" t="s">
        <v>14639</v>
      </c>
      <c r="L767" t="s">
        <v>14640</v>
      </c>
      <c r="M767" t="s">
        <v>14641</v>
      </c>
      <c r="N767">
        <f>-680.676069627015 -22.7255837638247 -523.509538042157</f>
        <v>-1226.9111914329967</v>
      </c>
      <c r="O767">
        <f>-704.137267287203 -172.300159092785 -485.867704132943</f>
        <v>-1362.3051305129311</v>
      </c>
      <c r="P767">
        <f>-617.565595256575 -205.836748206728 -219.485999237329</f>
        <v>-1042.8883427006319</v>
      </c>
      <c r="Q767">
        <f>-478.870708083687 -118.177566309345 -383.88830208764</f>
        <v>-980.93657648067199</v>
      </c>
      <c r="R767" t="s">
        <v>14642</v>
      </c>
      <c r="S767" t="s">
        <v>14643</v>
      </c>
      <c r="T767" t="s">
        <v>14644</v>
      </c>
      <c r="U767" t="s">
        <v>14645</v>
      </c>
      <c r="V767">
        <f>-598.776808542055 -66.1076688556664 -92.9527751009599</f>
        <v>-757.83725249868132</v>
      </c>
      <c r="W767" t="s">
        <v>14646</v>
      </c>
      <c r="X767" t="s">
        <v>14647</v>
      </c>
      <c r="Y767" t="s">
        <v>14648</v>
      </c>
    </row>
    <row r="768" spans="1:25" x14ac:dyDescent="0.3">
      <c r="A768">
        <v>38350</v>
      </c>
      <c r="B768" t="s">
        <v>14649</v>
      </c>
      <c r="C768" t="s">
        <v>14650</v>
      </c>
      <c r="D768" t="s">
        <v>14651</v>
      </c>
      <c r="E768" t="s">
        <v>14652</v>
      </c>
      <c r="F768" t="s">
        <v>14653</v>
      </c>
      <c r="G768" t="s">
        <v>14654</v>
      </c>
      <c r="H768" t="s">
        <v>14655</v>
      </c>
      <c r="I768" t="s">
        <v>14656</v>
      </c>
      <c r="J768" t="s">
        <v>14657</v>
      </c>
      <c r="K768" t="s">
        <v>14658</v>
      </c>
      <c r="L768" t="s">
        <v>14659</v>
      </c>
      <c r="M768" t="s">
        <v>14660</v>
      </c>
      <c r="N768">
        <f>-681.122416166557 -23.1505843688042 -523.350388922912</f>
        <v>-1227.6233894582731</v>
      </c>
      <c r="O768">
        <f>-704.454423896234 -172.718612366162 -485.610474710101</f>
        <v>-1362.783510972497</v>
      </c>
      <c r="P768">
        <f>-614.164289477105 -205.927625311305 -220.42466561536</f>
        <v>-1040.5165804037699</v>
      </c>
      <c r="Q768">
        <f>-478.518222949444 -118.5281591569 -387.487729373234</f>
        <v>-984.53411147957809</v>
      </c>
      <c r="R768" t="s">
        <v>14661</v>
      </c>
      <c r="S768" t="s">
        <v>14662</v>
      </c>
      <c r="T768" t="s">
        <v>14663</v>
      </c>
      <c r="U768" t="s">
        <v>14664</v>
      </c>
      <c r="V768">
        <f>-598.807803417547 -66.2415770379657 -92.9321118844616</f>
        <v>-757.98149233997435</v>
      </c>
      <c r="W768" t="s">
        <v>14665</v>
      </c>
      <c r="X768" t="s">
        <v>14666</v>
      </c>
      <c r="Y768" t="s">
        <v>14667</v>
      </c>
    </row>
    <row r="769" spans="1:25" x14ac:dyDescent="0.3">
      <c r="A769">
        <v>38400</v>
      </c>
      <c r="B769" t="s">
        <v>14668</v>
      </c>
      <c r="C769" t="s">
        <v>14669</v>
      </c>
      <c r="D769" t="s">
        <v>14670</v>
      </c>
      <c r="E769" t="s">
        <v>14671</v>
      </c>
      <c r="F769" t="s">
        <v>14672</v>
      </c>
      <c r="G769" t="s">
        <v>14673</v>
      </c>
      <c r="H769" t="s">
        <v>14674</v>
      </c>
      <c r="I769">
        <f>-685.953509897245 -0.860931145223049 -656.762306488584</f>
        <v>-1343.5767475310522</v>
      </c>
      <c r="J769" t="s">
        <v>14675</v>
      </c>
      <c r="K769" t="s">
        <v>14676</v>
      </c>
      <c r="L769" t="s">
        <v>14677</v>
      </c>
      <c r="M769" t="s">
        <v>14678</v>
      </c>
      <c r="N769">
        <f>-681.888149430417 -23.8948099214786 -523.091524909172</f>
        <v>-1228.8744842610677</v>
      </c>
      <c r="O769">
        <f>-704.91946294143 -173.431064370343 -485.046444158137</f>
        <v>-1363.3969714699101</v>
      </c>
      <c r="P769">
        <f>-607.362046946424 -206.453248993208 -222.423713798764</f>
        <v>-1036.2390097383961</v>
      </c>
      <c r="Q769">
        <f>-477.863729290325 -119.051859044566 -394.294874386717</f>
        <v>-991.21046272160811</v>
      </c>
      <c r="R769" t="s">
        <v>14679</v>
      </c>
      <c r="S769" t="s">
        <v>14680</v>
      </c>
      <c r="T769" t="s">
        <v>14681</v>
      </c>
      <c r="U769" t="s">
        <v>14682</v>
      </c>
      <c r="V769">
        <f>-598.937734998707 -66.429799215246 -92.8885217478374</f>
        <v>-758.25605596179048</v>
      </c>
      <c r="W769" t="s">
        <v>14683</v>
      </c>
      <c r="X769" t="s">
        <v>14684</v>
      </c>
      <c r="Y769" t="s">
        <v>14685</v>
      </c>
    </row>
    <row r="770" spans="1:25" x14ac:dyDescent="0.3">
      <c r="A770">
        <v>38450</v>
      </c>
      <c r="B770" t="s">
        <v>14686</v>
      </c>
      <c r="C770" t="s">
        <v>14687</v>
      </c>
      <c r="D770" t="s">
        <v>14688</v>
      </c>
      <c r="E770" t="s">
        <v>14689</v>
      </c>
      <c r="F770" t="s">
        <v>14690</v>
      </c>
      <c r="G770" t="s">
        <v>14691</v>
      </c>
      <c r="H770" t="s">
        <v>14692</v>
      </c>
      <c r="I770">
        <f>-686.053742861356 -1.33155569347878 -656.729110124707</f>
        <v>-1344.1144086795416</v>
      </c>
      <c r="J770" t="s">
        <v>14693</v>
      </c>
      <c r="K770" t="s">
        <v>14694</v>
      </c>
      <c r="L770" t="s">
        <v>14695</v>
      </c>
      <c r="M770" t="s">
        <v>14696</v>
      </c>
      <c r="N770">
        <f>-681.996521768943 -24.2714795443717 -523.040177891088</f>
        <v>-1229.3081792044027</v>
      </c>
      <c r="O770">
        <f>-704.843404708545 -173.786817334568 -484.802286028088</f>
        <v>-1363.432508071201</v>
      </c>
      <c r="P770">
        <f>-603.742858312369 -206.443281682065 -223.477042450202</f>
        <v>-1033.6631824446358</v>
      </c>
      <c r="Q770">
        <f>-477.325220201587 -119.075773451858 -397.64364363645</f>
        <v>-994.04463728989504</v>
      </c>
      <c r="R770" t="s">
        <v>14697</v>
      </c>
      <c r="S770" t="s">
        <v>14698</v>
      </c>
      <c r="T770" t="s">
        <v>14699</v>
      </c>
      <c r="U770" t="s">
        <v>14700</v>
      </c>
      <c r="V770">
        <f>-599.03609957024 -66.6306922333126 -92.8755986109348</f>
        <v>-758.5423904144875</v>
      </c>
      <c r="W770" t="s">
        <v>14701</v>
      </c>
      <c r="X770" t="s">
        <v>14702</v>
      </c>
      <c r="Y770" t="s">
        <v>14703</v>
      </c>
    </row>
    <row r="771" spans="1:25" x14ac:dyDescent="0.3">
      <c r="A771">
        <v>38500</v>
      </c>
      <c r="B771" t="s">
        <v>14704</v>
      </c>
      <c r="C771" t="s">
        <v>14705</v>
      </c>
      <c r="D771" t="s">
        <v>14706</v>
      </c>
      <c r="E771" t="s">
        <v>14707</v>
      </c>
      <c r="F771" t="s">
        <v>14708</v>
      </c>
      <c r="G771" t="s">
        <v>14709</v>
      </c>
      <c r="H771" t="s">
        <v>14710</v>
      </c>
      <c r="I771">
        <f>-685.735599879243 -2.42978279455247 -656.758501530961</f>
        <v>-1344.9238842047564</v>
      </c>
      <c r="J771" t="s">
        <v>14711</v>
      </c>
      <c r="K771" t="s">
        <v>14712</v>
      </c>
      <c r="L771" t="s">
        <v>14713</v>
      </c>
      <c r="M771" t="s">
        <v>14714</v>
      </c>
      <c r="N771">
        <f>-681.791675137982 -25.1456735241281 -523.019030410964</f>
        <v>-1229.956379073074</v>
      </c>
      <c r="O771">
        <f>-704.38647083466 -174.606388669935 -484.458336901939</f>
        <v>-1363.4511964065341</v>
      </c>
      <c r="P771">
        <f>-596.905882419014 -206.843856013933 -225.63943690269</f>
        <v>-1029.389175335637</v>
      </c>
      <c r="Q771">
        <f>-476.38902177445 -118.665211969355 -403.540323127061</f>
        <v>-998.59455687086597</v>
      </c>
      <c r="R771" t="s">
        <v>14715</v>
      </c>
      <c r="S771" t="s">
        <v>14716</v>
      </c>
      <c r="T771" t="s">
        <v>14717</v>
      </c>
      <c r="U771" t="s">
        <v>14718</v>
      </c>
      <c r="V771">
        <f>-599.153394368378 -67.0412309400704 -92.8229297292387</f>
        <v>-759.01755503768709</v>
      </c>
      <c r="W771" t="s">
        <v>14719</v>
      </c>
      <c r="X771" t="s">
        <v>14720</v>
      </c>
      <c r="Y771" t="s">
        <v>14721</v>
      </c>
    </row>
    <row r="772" spans="1:25" x14ac:dyDescent="0.3">
      <c r="A772">
        <v>38550</v>
      </c>
      <c r="B772" t="s">
        <v>14722</v>
      </c>
      <c r="C772" t="s">
        <v>14723</v>
      </c>
      <c r="D772" t="s">
        <v>14724</v>
      </c>
      <c r="E772" t="s">
        <v>14725</v>
      </c>
      <c r="F772" t="s">
        <v>14726</v>
      </c>
      <c r="G772" t="s">
        <v>14727</v>
      </c>
      <c r="H772" t="s">
        <v>14728</v>
      </c>
      <c r="I772">
        <f>-685.640160073016 -3.12233511417685 -656.74505188602</f>
        <v>-1345.5075470732127</v>
      </c>
      <c r="J772" t="s">
        <v>14729</v>
      </c>
      <c r="K772" t="s">
        <v>14730</v>
      </c>
      <c r="L772" t="s">
        <v>14731</v>
      </c>
      <c r="M772" t="s">
        <v>14732</v>
      </c>
      <c r="N772">
        <f>-681.724771145783 -25.6762444012973 -522.976648695722</f>
        <v>-1230.3776642428024</v>
      </c>
      <c r="O772">
        <f>-704.162402518326 -175.117759828022 -484.25122852604</f>
        <v>-1363.5313908723879</v>
      </c>
      <c r="P772">
        <f>-593.748641080338 -206.94717405901 -226.619121266499</f>
        <v>-1027.314936405847</v>
      </c>
      <c r="Q772">
        <f>-476.209862642097 -118.071918165985 -406.158516258914</f>
        <v>-1000.440297066996</v>
      </c>
      <c r="R772" t="s">
        <v>14733</v>
      </c>
      <c r="S772" t="s">
        <v>14734</v>
      </c>
      <c r="T772" t="s">
        <v>14735</v>
      </c>
      <c r="U772" t="s">
        <v>14736</v>
      </c>
      <c r="V772">
        <f>-599.179383814662 -67.2918453930665 -92.794460748725</f>
        <v>-759.26568995645346</v>
      </c>
      <c r="W772" t="s">
        <v>14737</v>
      </c>
      <c r="X772" t="s">
        <v>14738</v>
      </c>
      <c r="Y772" t="s">
        <v>14739</v>
      </c>
    </row>
    <row r="773" spans="1:25" x14ac:dyDescent="0.3">
      <c r="A773">
        <v>38600</v>
      </c>
      <c r="B773" t="s">
        <v>14740</v>
      </c>
      <c r="C773" t="s">
        <v>14741</v>
      </c>
      <c r="D773" t="s">
        <v>14742</v>
      </c>
      <c r="E773" t="s">
        <v>14743</v>
      </c>
      <c r="F773" t="s">
        <v>14744</v>
      </c>
      <c r="G773" t="s">
        <v>14745</v>
      </c>
      <c r="H773" t="s">
        <v>14746</v>
      </c>
      <c r="I773">
        <f>-685.666706341147 -4.55631536815122 -656.661589202476</f>
        <v>-1346.8846109117742</v>
      </c>
      <c r="J773" t="s">
        <v>14747</v>
      </c>
      <c r="K773" t="s">
        <v>14748</v>
      </c>
      <c r="L773" t="s">
        <v>14749</v>
      </c>
      <c r="M773" t="s">
        <v>14750</v>
      </c>
      <c r="N773">
        <f>-681.721648714736 -26.8014581688064 -522.829306953644</f>
        <v>-1231.3524138371865</v>
      </c>
      <c r="O773">
        <f>-703.681374235514 -176.2112340981 -483.676499229971</f>
        <v>-1363.569107563585</v>
      </c>
      <c r="P773">
        <f>-588.04554840226 -206.454108751217 -228.152927130882</f>
        <v>-1022.6525842843591</v>
      </c>
      <c r="Q773">
        <f>-476.633787815726 -115.823035950978 -410.696091897604</f>
        <v>-1003.152915664308</v>
      </c>
      <c r="R773" t="s">
        <v>14751</v>
      </c>
      <c r="S773" t="s">
        <v>14752</v>
      </c>
      <c r="T773" t="s">
        <v>14753</v>
      </c>
      <c r="U773" t="s">
        <v>14754</v>
      </c>
      <c r="V773">
        <f>-599.240774542217 -67.6966050662252 -92.7237875720774</f>
        <v>-759.66116718051956</v>
      </c>
      <c r="W773" t="s">
        <v>14755</v>
      </c>
      <c r="X773" t="s">
        <v>14756</v>
      </c>
      <c r="Y773" t="s">
        <v>14757</v>
      </c>
    </row>
    <row r="774" spans="1:25" x14ac:dyDescent="0.3">
      <c r="A774">
        <v>38650</v>
      </c>
      <c r="B774" t="s">
        <v>14758</v>
      </c>
      <c r="C774" t="s">
        <v>14759</v>
      </c>
      <c r="D774" t="s">
        <v>14760</v>
      </c>
      <c r="E774" t="s">
        <v>14761</v>
      </c>
      <c r="F774" t="s">
        <v>14762</v>
      </c>
      <c r="G774" t="s">
        <v>14763</v>
      </c>
      <c r="H774" t="s">
        <v>14764</v>
      </c>
      <c r="I774">
        <f>-685.518917040491 -5.06663544232765 -656.65796072317</f>
        <v>-1347.2435132059886</v>
      </c>
      <c r="J774" t="s">
        <v>14765</v>
      </c>
      <c r="K774" t="s">
        <v>14766</v>
      </c>
      <c r="L774" t="s">
        <v>14767</v>
      </c>
      <c r="M774" t="s">
        <v>14768</v>
      </c>
      <c r="N774">
        <f>-681.592036788498 -27.2115907385592 -522.794011472216</f>
        <v>-1231.5976389992732</v>
      </c>
      <c r="O774">
        <f>-703.263285402919 -176.639412178607 -483.506669548149</f>
        <v>-1363.409367129675</v>
      </c>
      <c r="P774">
        <f>-585.297227484909 -205.725419024598 -228.915775512628</f>
        <v>-1019.938422022135</v>
      </c>
      <c r="Q774">
        <f>-477.008734514136 -114.176785044878 -412.874911336</f>
        <v>-1004.060430895014</v>
      </c>
      <c r="R774" t="s">
        <v>14769</v>
      </c>
      <c r="S774" t="s">
        <v>14770</v>
      </c>
      <c r="T774" t="s">
        <v>14771</v>
      </c>
      <c r="U774" t="s">
        <v>14772</v>
      </c>
      <c r="V774">
        <f>-599.253498720403 -67.6993662931186 -92.695051702414</f>
        <v>-759.64791671593559</v>
      </c>
      <c r="W774" t="s">
        <v>14773</v>
      </c>
      <c r="X774" t="s">
        <v>14774</v>
      </c>
      <c r="Y774" t="s">
        <v>14775</v>
      </c>
    </row>
    <row r="775" spans="1:25" x14ac:dyDescent="0.3">
      <c r="A775">
        <v>38700</v>
      </c>
      <c r="B775" t="s">
        <v>14776</v>
      </c>
      <c r="C775" t="s">
        <v>14777</v>
      </c>
      <c r="D775" t="s">
        <v>14778</v>
      </c>
      <c r="E775" t="s">
        <v>14779</v>
      </c>
      <c r="F775" t="s">
        <v>14780</v>
      </c>
      <c r="G775" t="s">
        <v>14781</v>
      </c>
      <c r="H775">
        <f>-686.907471162333 -0.413431266364569 -578.454152308632</f>
        <v>-1265.7750547373296</v>
      </c>
      <c r="I775">
        <f>-685.012465130785 -5.61453229050812 -656.617930276693</f>
        <v>-1347.244927697986</v>
      </c>
      <c r="J775" t="s">
        <v>14782</v>
      </c>
      <c r="K775" t="s">
        <v>14783</v>
      </c>
      <c r="L775" t="s">
        <v>14784</v>
      </c>
      <c r="M775" t="s">
        <v>14785</v>
      </c>
      <c r="N775">
        <f>-681.118164363077 -27.6140459899914 -522.714973755074</f>
        <v>-1231.4471841081422</v>
      </c>
      <c r="O775">
        <f>-702.193949499464 -177.070724679842 -483.262385513089</f>
        <v>-1362.5270596923949</v>
      </c>
      <c r="P775">
        <f>-579.632635066177 -203.938458660758 -230.605547326828</f>
        <v>-1014.176641053763</v>
      </c>
      <c r="Q775">
        <f>-477.674906241848 -110.331834532264 -417.128980248359</f>
        <v>-1005.135721022471</v>
      </c>
      <c r="R775" t="s">
        <v>14786</v>
      </c>
      <c r="S775" t="s">
        <v>14787</v>
      </c>
      <c r="T775" t="s">
        <v>14788</v>
      </c>
      <c r="U775" t="s">
        <v>14789</v>
      </c>
      <c r="V775">
        <f>-599.052278956595 -67.4724182957543 -92.620263591983</f>
        <v>-759.14496084433233</v>
      </c>
      <c r="W775" t="s">
        <v>14790</v>
      </c>
      <c r="X775" t="s">
        <v>14791</v>
      </c>
      <c r="Y775" t="s">
        <v>14792</v>
      </c>
    </row>
    <row r="776" spans="1:25" x14ac:dyDescent="0.3">
      <c r="A776">
        <v>38750</v>
      </c>
      <c r="B776" t="s">
        <v>14793</v>
      </c>
      <c r="C776" t="s">
        <v>14794</v>
      </c>
      <c r="D776" t="s">
        <v>14795</v>
      </c>
      <c r="E776" t="s">
        <v>14796</v>
      </c>
      <c r="F776" t="s">
        <v>14797</v>
      </c>
      <c r="G776" t="s">
        <v>14798</v>
      </c>
      <c r="H776">
        <f>-686.690072840024 -0.582206263562739 -578.445532640043</f>
        <v>-1265.7178117436297</v>
      </c>
      <c r="I776">
        <f>-684.768484143335 -5.8269378161533 -656.605753282419</f>
        <v>-1347.2011752419071</v>
      </c>
      <c r="J776" t="s">
        <v>14799</v>
      </c>
      <c r="K776" t="s">
        <v>14800</v>
      </c>
      <c r="L776" t="s">
        <v>14801</v>
      </c>
      <c r="M776" t="s">
        <v>14802</v>
      </c>
      <c r="N776">
        <f>-680.893538614236 -27.7390330368851 -522.685805163658</f>
        <v>-1231.3183768147792</v>
      </c>
      <c r="O776">
        <f>-701.664637399986 -177.20008537275 -483.084310234927</f>
        <v>-1361.9490330076628</v>
      </c>
      <c r="P776">
        <f>-576.548444590272 -202.762133924962 -231.546718377342</f>
        <v>-1010.857296892576</v>
      </c>
      <c r="Q776">
        <f>-477.942683749928 -108.279542616444 -419.425677328849</f>
        <v>-1005.647903695221</v>
      </c>
      <c r="R776" t="s">
        <v>14803</v>
      </c>
      <c r="S776" t="s">
        <v>14804</v>
      </c>
      <c r="T776" t="s">
        <v>14805</v>
      </c>
      <c r="U776" t="s">
        <v>14806</v>
      </c>
      <c r="V776">
        <f>-598.920298816484 -67.3092266809447 -92.5971531615413</f>
        <v>-758.82667865896997</v>
      </c>
      <c r="W776" t="s">
        <v>14807</v>
      </c>
      <c r="X776" t="s">
        <v>14808</v>
      </c>
      <c r="Y776" t="s">
        <v>14809</v>
      </c>
    </row>
    <row r="777" spans="1:25" x14ac:dyDescent="0.3">
      <c r="A777">
        <v>38800</v>
      </c>
      <c r="B777" t="s">
        <v>14810</v>
      </c>
      <c r="C777" t="s">
        <v>14811</v>
      </c>
      <c r="D777" t="s">
        <v>14812</v>
      </c>
      <c r="E777" t="s">
        <v>14813</v>
      </c>
      <c r="F777" t="s">
        <v>14814</v>
      </c>
      <c r="G777" t="s">
        <v>14815</v>
      </c>
      <c r="H777">
        <f>-686.554974666955 -1.2161968287744 -578.396289132048</f>
        <v>-1266.1674606277775</v>
      </c>
      <c r="I777">
        <f>-684.644465118592 -6.62371677009651 -656.545550835384</f>
        <v>-1347.8137327240725</v>
      </c>
      <c r="J777" t="s">
        <v>14816</v>
      </c>
      <c r="K777" t="s">
        <v>14817</v>
      </c>
      <c r="L777" t="s">
        <v>14818</v>
      </c>
      <c r="M777" t="s">
        <v>14819</v>
      </c>
      <c r="N777">
        <f>-680.691189495873 -28.2257149074553 -522.572009171708</f>
        <v>-1231.4889135750363</v>
      </c>
      <c r="O777">
        <f>-700.936162730787 -177.613947594473 -482.435607056476</f>
        <v>-1360.9857173817359</v>
      </c>
      <c r="P777">
        <f>-570.568753347801 -200.559146937517 -233.324367565273</f>
        <v>-1004.4522678505909</v>
      </c>
      <c r="Q777">
        <f>-479.104500371974 -104.614056902367 -424.052691192401</f>
        <v>-1007.771248466742</v>
      </c>
      <c r="R777" t="s">
        <v>14820</v>
      </c>
      <c r="S777" t="s">
        <v>14821</v>
      </c>
      <c r="T777" t="s">
        <v>14822</v>
      </c>
      <c r="U777" t="s">
        <v>14823</v>
      </c>
      <c r="V777">
        <f>-598.87173407938 -67.1270157762151 -92.5663995937974</f>
        <v>-758.56514944939249</v>
      </c>
      <c r="W777" t="s">
        <v>14824</v>
      </c>
      <c r="X777" t="s">
        <v>14825</v>
      </c>
      <c r="Y777" t="s">
        <v>14826</v>
      </c>
    </row>
    <row r="778" spans="1:25" x14ac:dyDescent="0.3">
      <c r="A778">
        <v>38850</v>
      </c>
      <c r="B778" t="s">
        <v>14827</v>
      </c>
      <c r="C778" t="s">
        <v>14828</v>
      </c>
      <c r="D778" t="s">
        <v>14829</v>
      </c>
      <c r="E778" t="s">
        <v>14830</v>
      </c>
      <c r="F778" t="s">
        <v>14831</v>
      </c>
      <c r="G778" t="s">
        <v>14832</v>
      </c>
      <c r="H778">
        <f>-686.305651372605 -1.52336685363275 -578.379663958785</f>
        <v>-1266.2086821850228</v>
      </c>
      <c r="I778">
        <f>-684.393750567319 -7.01628355675803 -656.52297975572</f>
        <v>-1347.933013879797</v>
      </c>
      <c r="J778" t="s">
        <v>14833</v>
      </c>
      <c r="K778" t="s">
        <v>14834</v>
      </c>
      <c r="L778" t="s">
        <v>14835</v>
      </c>
      <c r="M778" t="s">
        <v>14836</v>
      </c>
      <c r="N778">
        <f>-680.446799584551 -28.46377839513 -522.521466120701</f>
        <v>-1231.432044100382</v>
      </c>
      <c r="O778">
        <f>-700.471081231248 -177.832768754354 -482.203742286516</f>
        <v>-1360.507592272118</v>
      </c>
      <c r="P778">
        <f>-567.634041725394 -199.338794982571 -234.271409110832</f>
        <v>-1001.244245818797</v>
      </c>
      <c r="Q778">
        <f>-479.637999961463 -102.777387211071 -426.316023572509</f>
        <v>-1008.7314107450429</v>
      </c>
      <c r="R778" t="s">
        <v>14837</v>
      </c>
      <c r="S778" t="s">
        <v>14838</v>
      </c>
      <c r="T778" t="s">
        <v>14839</v>
      </c>
      <c r="U778" t="s">
        <v>14840</v>
      </c>
      <c r="V778">
        <f>-598.757045047675 -67.0164727630922 -92.5451262260611</f>
        <v>-758.31864403682835</v>
      </c>
      <c r="W778" t="s">
        <v>14841</v>
      </c>
      <c r="X778" t="s">
        <v>14842</v>
      </c>
      <c r="Y778" t="s">
        <v>14843</v>
      </c>
    </row>
    <row r="779" spans="1:25" x14ac:dyDescent="0.3">
      <c r="A779">
        <v>38900</v>
      </c>
      <c r="B779" t="s">
        <v>14844</v>
      </c>
      <c r="C779" t="s">
        <v>14845</v>
      </c>
      <c r="D779" t="s">
        <v>14846</v>
      </c>
      <c r="E779" t="s">
        <v>14847</v>
      </c>
      <c r="F779" t="s">
        <v>14848</v>
      </c>
      <c r="G779" t="s">
        <v>14849</v>
      </c>
      <c r="H779">
        <f>-685.858431617423 -1.97528506230492 -578.35261368485</f>
        <v>-1266.1863303645778</v>
      </c>
      <c r="I779">
        <f>-683.999939167737 -7.61144097206306 -656.487023222986</f>
        <v>-1348.098403362786</v>
      </c>
      <c r="J779" t="s">
        <v>14850</v>
      </c>
      <c r="K779" t="s">
        <v>14851</v>
      </c>
      <c r="L779" t="s">
        <v>14852</v>
      </c>
      <c r="M779" t="s">
        <v>14853</v>
      </c>
      <c r="N779">
        <f>-679.933880627536 -28.8298492428746 -522.460075835676</f>
        <v>-1231.2238057060868</v>
      </c>
      <c r="O779">
        <f>-699.454826408728 -178.196505012852 -481.865295840861</f>
        <v>-1359.516627262441</v>
      </c>
      <c r="P779">
        <f>-561.813932131289 -196.557152931432 -236.31198953968</f>
        <v>-994.68307460240101</v>
      </c>
      <c r="Q779">
        <f>-480.361093827635 -99.5020370081691 -430.976578551053</f>
        <v>-1010.8397093868571</v>
      </c>
      <c r="R779" t="s">
        <v>14854</v>
      </c>
      <c r="S779" t="s">
        <v>14855</v>
      </c>
      <c r="T779" t="s">
        <v>14856</v>
      </c>
      <c r="U779" t="s">
        <v>14857</v>
      </c>
      <c r="V779">
        <f>-598.385848503474 -66.9478831912502 -92.52067320487</f>
        <v>-757.85440489959421</v>
      </c>
      <c r="W779" t="s">
        <v>14858</v>
      </c>
      <c r="X779" t="s">
        <v>14859</v>
      </c>
      <c r="Y779" t="s">
        <v>14860</v>
      </c>
    </row>
    <row r="780" spans="1:25" x14ac:dyDescent="0.3">
      <c r="A780">
        <v>38950</v>
      </c>
      <c r="B780" t="s">
        <v>14861</v>
      </c>
      <c r="C780" t="s">
        <v>14862</v>
      </c>
      <c r="D780" t="s">
        <v>14863</v>
      </c>
      <c r="E780" t="s">
        <v>14864</v>
      </c>
      <c r="F780" t="s">
        <v>14865</v>
      </c>
      <c r="G780" t="s">
        <v>14866</v>
      </c>
      <c r="H780">
        <f>-685.527623344721 -2.10562366315207 -578.363801259509</f>
        <v>-1265.9970482673821</v>
      </c>
      <c r="I780">
        <f>-683.656647853802 -7.78558788164378 -656.494889543111</f>
        <v>-1347.9371252785568</v>
      </c>
      <c r="J780" t="s">
        <v>14867</v>
      </c>
      <c r="K780" t="s">
        <v>14868</v>
      </c>
      <c r="L780" t="s">
        <v>14869</v>
      </c>
      <c r="M780" t="s">
        <v>14870</v>
      </c>
      <c r="N780">
        <f>-679.574058821126 -28.9302834676673 -522.460056044009</f>
        <v>-1230.9643983328024</v>
      </c>
      <c r="O780">
        <f>-698.805922437777 -178.322545646642 -481.84066364402</f>
        <v>-1358.9691317284389</v>
      </c>
      <c r="P780">
        <f>-558.901119925762 -195.165044100316 -237.460636669262</f>
        <v>-991.52680069533994</v>
      </c>
      <c r="Q780">
        <f>-480.602039199981 -98.0690560511191 -433.394837734159</f>
        <v>-1012.065932985259</v>
      </c>
      <c r="R780" t="s">
        <v>14871</v>
      </c>
      <c r="S780" t="s">
        <v>14872</v>
      </c>
      <c r="T780" t="s">
        <v>14873</v>
      </c>
      <c r="U780" t="s">
        <v>14874</v>
      </c>
      <c r="V780">
        <f>-598.102785191041 -66.8222844646609 -92.5091329578767</f>
        <v>-757.43420261357858</v>
      </c>
      <c r="W780" t="s">
        <v>14875</v>
      </c>
      <c r="X780" t="s">
        <v>14876</v>
      </c>
      <c r="Y780" t="s">
        <v>14877</v>
      </c>
    </row>
    <row r="781" spans="1:25" x14ac:dyDescent="0.3">
      <c r="A781">
        <v>39000</v>
      </c>
      <c r="B781" t="s">
        <v>14878</v>
      </c>
      <c r="C781" t="s">
        <v>14879</v>
      </c>
      <c r="D781" t="s">
        <v>14880</v>
      </c>
      <c r="E781" t="s">
        <v>14881</v>
      </c>
      <c r="F781" t="s">
        <v>14882</v>
      </c>
      <c r="G781" t="s">
        <v>14883</v>
      </c>
      <c r="H781">
        <f>-684.966549396328 -1.93924215440052 -578.376472008668</f>
        <v>-1265.2822635593966</v>
      </c>
      <c r="I781">
        <f>-683.085889931072 -7.60172373915589 -656.508569826289</f>
        <v>-1347.1961834965168</v>
      </c>
      <c r="J781" t="s">
        <v>14884</v>
      </c>
      <c r="K781" t="s">
        <v>14885</v>
      </c>
      <c r="L781" t="s">
        <v>14886</v>
      </c>
      <c r="M781" t="s">
        <v>14887</v>
      </c>
      <c r="N781">
        <f>-678.898774385665 -28.8023574503147 -522.503391749131</f>
        <v>-1230.2045235851106</v>
      </c>
      <c r="O781">
        <f>-697.427683091529 -178.325379560443 -482.020098305374</f>
        <v>-1357.7731609573461</v>
      </c>
      <c r="P781">
        <f>-552.945842490908 -192.230584166103 -240.131206374391</f>
        <v>-985.30763303140202</v>
      </c>
      <c r="Q781">
        <f>-480.921217976048 -95.2138210587445 -438.496292573461</f>
        <v>-1014.6313316082535</v>
      </c>
      <c r="R781" t="s">
        <v>14888</v>
      </c>
      <c r="S781" t="s">
        <v>14889</v>
      </c>
      <c r="T781" t="s">
        <v>14890</v>
      </c>
      <c r="U781" t="s">
        <v>14891</v>
      </c>
      <c r="V781">
        <f>-597.359928964235 -66.5511087527666 -92.4553892033595</f>
        <v>-756.36642692036105</v>
      </c>
      <c r="W781" t="s">
        <v>14892</v>
      </c>
      <c r="X781" t="s">
        <v>14893</v>
      </c>
      <c r="Y781" t="s">
        <v>14894</v>
      </c>
    </row>
    <row r="782" spans="1:25" x14ac:dyDescent="0.3">
      <c r="A782">
        <v>39050</v>
      </c>
      <c r="B782" t="s">
        <v>14895</v>
      </c>
      <c r="C782" t="s">
        <v>14896</v>
      </c>
      <c r="D782" t="s">
        <v>14897</v>
      </c>
      <c r="E782" t="s">
        <v>14898</v>
      </c>
      <c r="F782" t="s">
        <v>14899</v>
      </c>
      <c r="G782" t="s">
        <v>14900</v>
      </c>
      <c r="H782">
        <f>-684.834441212983 -1.57284447254597 -578.360587112039</f>
        <v>-1264.7678727975681</v>
      </c>
      <c r="I782">
        <f>-682.950468343566 -7.18866135972871 -656.495894794931</f>
        <v>-1346.6350244982257</v>
      </c>
      <c r="J782" t="s">
        <v>14901</v>
      </c>
      <c r="K782" t="s">
        <v>14902</v>
      </c>
      <c r="L782" t="s">
        <v>14903</v>
      </c>
      <c r="M782" t="s">
        <v>14904</v>
      </c>
      <c r="N782">
        <f>-678.683530714931 -28.501245315096 -522.528038200265</f>
        <v>-1229.7128142302918</v>
      </c>
      <c r="O782">
        <f>-696.80200458993 -178.109810155654 -482.194329702366</f>
        <v>-1357.1061444479501</v>
      </c>
      <c r="P782">
        <f>-550.030946606086 -190.794111929444 -241.62018421865</f>
        <v>-982.44524275417996</v>
      </c>
      <c r="Q782">
        <f>-481.210203706408 -93.3972885020664 -440.934210201393</f>
        <v>-1015.5417024098674</v>
      </c>
      <c r="R782" t="s">
        <v>14905</v>
      </c>
      <c r="S782" t="s">
        <v>14906</v>
      </c>
      <c r="T782" t="s">
        <v>14907</v>
      </c>
      <c r="U782" t="s">
        <v>14908</v>
      </c>
      <c r="V782">
        <f>-596.984511445967 -66.388236380034 -92.4120036217375</f>
        <v>-755.78475144773847</v>
      </c>
      <c r="W782" t="s">
        <v>14909</v>
      </c>
      <c r="X782" t="s">
        <v>14910</v>
      </c>
      <c r="Y782" t="s">
        <v>14911</v>
      </c>
    </row>
    <row r="783" spans="1:25" x14ac:dyDescent="0.3">
      <c r="A783">
        <v>39100</v>
      </c>
      <c r="B783" t="s">
        <v>14912</v>
      </c>
      <c r="C783" t="s">
        <v>14913</v>
      </c>
      <c r="D783" t="s">
        <v>14914</v>
      </c>
      <c r="E783" t="s">
        <v>14915</v>
      </c>
      <c r="F783" t="s">
        <v>14916</v>
      </c>
      <c r="G783" t="s">
        <v>14917</v>
      </c>
      <c r="H783">
        <f>-684.79537268973 -0.835698015177059 -578.275604923956</f>
        <v>-1263.906675628863</v>
      </c>
      <c r="I783">
        <f>-682.93710917733 -6.30664700272587 -656.421736940768</f>
        <v>-1345.6654931208238</v>
      </c>
      <c r="J783" t="s">
        <v>14918</v>
      </c>
      <c r="K783" t="s">
        <v>14919</v>
      </c>
      <c r="L783" t="s">
        <v>14920</v>
      </c>
      <c r="M783" t="s">
        <v>14921</v>
      </c>
      <c r="N783">
        <f>-678.436430745519 -27.9079092756497 -522.535884481762</f>
        <v>-1228.8802245029306</v>
      </c>
      <c r="O783">
        <f>-695.613787126644 -177.747177909116 -482.646433267967</f>
        <v>-1356.0073983037269</v>
      </c>
      <c r="P783">
        <f>-544.524618376956 -188.647620794902 -244.671979497409</f>
        <v>-977.84421866926698</v>
      </c>
      <c r="Q783">
        <f>-481.842395262952 -90.1725146830295 -445.475747503453</f>
        <v>-1017.4906574494345</v>
      </c>
      <c r="R783" t="s">
        <v>14922</v>
      </c>
      <c r="S783" t="s">
        <v>14923</v>
      </c>
      <c r="T783" t="s">
        <v>14924</v>
      </c>
      <c r="U783" t="s">
        <v>14925</v>
      </c>
      <c r="V783">
        <f>-596.344780202107 -66.2087001101313 -92.3273110757751</f>
        <v>-754.88079138801345</v>
      </c>
      <c r="W783" t="s">
        <v>14926</v>
      </c>
      <c r="X783" t="s">
        <v>14927</v>
      </c>
      <c r="Y783" t="s">
        <v>14928</v>
      </c>
    </row>
    <row r="784" spans="1:25" x14ac:dyDescent="0.3">
      <c r="A784">
        <v>39150</v>
      </c>
      <c r="B784" t="s">
        <v>14929</v>
      </c>
      <c r="C784" t="s">
        <v>14930</v>
      </c>
      <c r="D784" t="s">
        <v>14931</v>
      </c>
      <c r="E784" t="s">
        <v>14932</v>
      </c>
      <c r="F784" t="s">
        <v>14933</v>
      </c>
      <c r="G784" t="s">
        <v>14934</v>
      </c>
      <c r="H784">
        <f>-684.778480551498 -0.456689667931869 -578.237430411237</f>
        <v>-1263.4726006306669</v>
      </c>
      <c r="I784">
        <f>-682.94300948288 -5.81601567778125 -656.391844386901</f>
        <v>-1345.1508695475623</v>
      </c>
      <c r="J784" t="s">
        <v>14935</v>
      </c>
      <c r="K784" t="s">
        <v>14936</v>
      </c>
      <c r="L784" t="s">
        <v>14937</v>
      </c>
      <c r="M784" t="s">
        <v>14938</v>
      </c>
      <c r="N784">
        <f>-678.31418852658 -27.6086167420294 -522.548684130129</f>
        <v>-1228.4714893987384</v>
      </c>
      <c r="O784">
        <f>-695.004652146591 -177.568154418062 -482.913518281674</f>
        <v>-1355.4863248463271</v>
      </c>
      <c r="P784">
        <f>-542.01966066719 -187.668876578149 -246.117864848864</f>
        <v>-975.80640209420301</v>
      </c>
      <c r="Q784">
        <f>-481.791162679704 -88.6332404882332 -447.396460259729</f>
        <v>-1017.8208634276662</v>
      </c>
      <c r="R784" t="s">
        <v>14939</v>
      </c>
      <c r="S784" t="s">
        <v>14940</v>
      </c>
      <c r="T784" t="s">
        <v>14941</v>
      </c>
      <c r="U784" t="s">
        <v>14942</v>
      </c>
      <c r="V784">
        <f>-596.020955451381 -66.1394499769774 -92.2902836787817</f>
        <v>-754.45068910714019</v>
      </c>
      <c r="W784" t="s">
        <v>14943</v>
      </c>
      <c r="X784" t="s">
        <v>14944</v>
      </c>
      <c r="Y784" t="s">
        <v>14945</v>
      </c>
    </row>
    <row r="785" spans="1:25" x14ac:dyDescent="0.3">
      <c r="A785">
        <v>39200</v>
      </c>
      <c r="B785" t="s">
        <v>14946</v>
      </c>
      <c r="C785" t="s">
        <v>14947</v>
      </c>
      <c r="D785" t="s">
        <v>14948</v>
      </c>
      <c r="E785" t="s">
        <v>14949</v>
      </c>
      <c r="F785" t="s">
        <v>14950</v>
      </c>
      <c r="G785" t="s">
        <v>14951</v>
      </c>
      <c r="H785" t="s">
        <v>14952</v>
      </c>
      <c r="I785">
        <f>-682.897233355854 -4.6271619249278 -656.348302496596</f>
        <v>-1343.8726977773779</v>
      </c>
      <c r="J785" t="s">
        <v>14953</v>
      </c>
      <c r="K785" t="s">
        <v>14954</v>
      </c>
      <c r="L785" t="s">
        <v>14955</v>
      </c>
      <c r="M785" t="s">
        <v>14956</v>
      </c>
      <c r="N785">
        <f>-678.019229517629 -26.8525046692382 -522.59638717149</f>
        <v>-1227.4681213583572</v>
      </c>
      <c r="O785">
        <f>-693.844857314775 -177.069830782136 -483.583102237042</f>
        <v>-1354.4977903339532</v>
      </c>
      <c r="P785">
        <f>-537.689018018702 -185.615025098816 -248.804736411876</f>
        <v>-972.10877952939393</v>
      </c>
      <c r="Q785">
        <f>-480.985816743277 -85.7023450022355 -450.672860796658</f>
        <v>-1017.3610225421705</v>
      </c>
      <c r="R785" t="s">
        <v>14957</v>
      </c>
      <c r="S785" t="s">
        <v>14958</v>
      </c>
      <c r="T785" t="s">
        <v>14959</v>
      </c>
      <c r="U785" t="s">
        <v>14960</v>
      </c>
      <c r="V785">
        <f>-595.37735493763 -65.98227728815 -92.2263177308594</f>
        <v>-753.58594995663941</v>
      </c>
      <c r="W785" t="s">
        <v>14961</v>
      </c>
      <c r="X785" t="s">
        <v>14962</v>
      </c>
      <c r="Y785" t="s">
        <v>14963</v>
      </c>
    </row>
    <row r="786" spans="1:25" x14ac:dyDescent="0.3">
      <c r="A786">
        <v>39250</v>
      </c>
      <c r="B786" t="s">
        <v>14964</v>
      </c>
      <c r="C786" t="s">
        <v>14965</v>
      </c>
      <c r="D786" t="s">
        <v>14966</v>
      </c>
      <c r="E786" t="s">
        <v>14967</v>
      </c>
      <c r="F786" t="s">
        <v>14968</v>
      </c>
      <c r="G786" t="s">
        <v>14969</v>
      </c>
      <c r="H786" t="s">
        <v>14970</v>
      </c>
      <c r="I786">
        <f>-683.004258924444 -4.00577056800239 -656.32014559593</f>
        <v>-1343.3301750883763</v>
      </c>
      <c r="J786" t="s">
        <v>14971</v>
      </c>
      <c r="K786" t="s">
        <v>14972</v>
      </c>
      <c r="L786" t="s">
        <v>14973</v>
      </c>
      <c r="M786" t="s">
        <v>14974</v>
      </c>
      <c r="N786">
        <f>-677.945334839364 -26.4543610295032 -522.615653124961</f>
        <v>-1227.0153489938282</v>
      </c>
      <c r="O786">
        <f>-693.287904034573 -176.816304317898 -483.966987862683</f>
        <v>-1354.071196215154</v>
      </c>
      <c r="P786">
        <f>-536.011283461797 -184.749128689834 -249.916196761096</f>
        <v>-970.67660891272703</v>
      </c>
      <c r="Q786">
        <f>-480.67441651628 -84.3755007105635 -451.934767966563</f>
        <v>-1016.9846851934064</v>
      </c>
      <c r="R786" t="s">
        <v>14975</v>
      </c>
      <c r="S786" t="s">
        <v>14976</v>
      </c>
      <c r="T786" t="s">
        <v>14977</v>
      </c>
      <c r="U786" t="s">
        <v>14978</v>
      </c>
      <c r="V786">
        <f>-595.140200795452 -65.9581289587134 -92.2075810562347</f>
        <v>-753.30591081040006</v>
      </c>
      <c r="W786" t="s">
        <v>14979</v>
      </c>
      <c r="X786" t="s">
        <v>14980</v>
      </c>
      <c r="Y786" t="s">
        <v>14981</v>
      </c>
    </row>
    <row r="787" spans="1:25" x14ac:dyDescent="0.3">
      <c r="A787">
        <v>39300</v>
      </c>
      <c r="B787" t="s">
        <v>14982</v>
      </c>
      <c r="C787" t="s">
        <v>14983</v>
      </c>
      <c r="D787" t="s">
        <v>14984</v>
      </c>
      <c r="E787" t="s">
        <v>14985</v>
      </c>
      <c r="F787" t="s">
        <v>14986</v>
      </c>
      <c r="G787" t="s">
        <v>14987</v>
      </c>
      <c r="H787" t="s">
        <v>14988</v>
      </c>
      <c r="I787">
        <f>-683.73598879629 -2.54029089381629 -656.244215014821</f>
        <v>-1342.5204947049274</v>
      </c>
      <c r="J787" t="s">
        <v>14989</v>
      </c>
      <c r="K787" t="s">
        <v>14990</v>
      </c>
      <c r="L787" t="s">
        <v>14991</v>
      </c>
      <c r="M787" t="s">
        <v>14992</v>
      </c>
      <c r="N787">
        <f>-678.211858400717 -25.550878078323 -522.662118142511</f>
        <v>-1226.4248546215508</v>
      </c>
      <c r="O787">
        <f>-692.656692250827 -176.204697851407 -484.813058263411</f>
        <v>-1353.6744483656448</v>
      </c>
      <c r="P787">
        <f>-533.552383963338 -183.024133869702 -251.965648634967</f>
        <v>-968.54216646800705</v>
      </c>
      <c r="Q787">
        <f>-480.959413387366 -81.1329779677949 -453.957398969616</f>
        <v>-1016.049790324777</v>
      </c>
      <c r="R787" t="s">
        <v>14993</v>
      </c>
      <c r="S787" t="s">
        <v>14994</v>
      </c>
      <c r="T787" t="s">
        <v>14995</v>
      </c>
      <c r="U787" t="s">
        <v>14996</v>
      </c>
      <c r="V787">
        <f>-594.921647298142 -66.0139320959802 -92.1996214742771</f>
        <v>-753.13520086839935</v>
      </c>
      <c r="W787" t="s">
        <v>14997</v>
      </c>
      <c r="X787" t="s">
        <v>14998</v>
      </c>
      <c r="Y787" t="s">
        <v>14999</v>
      </c>
    </row>
    <row r="788" spans="1:25" x14ac:dyDescent="0.3">
      <c r="A788">
        <v>39350</v>
      </c>
      <c r="B788" t="s">
        <v>15000</v>
      </c>
      <c r="C788" t="s">
        <v>15001</v>
      </c>
      <c r="D788" t="s">
        <v>15002</v>
      </c>
      <c r="E788" t="s">
        <v>15003</v>
      </c>
      <c r="F788" t="s">
        <v>15004</v>
      </c>
      <c r="G788" t="s">
        <v>15005</v>
      </c>
      <c r="H788" t="s">
        <v>15006</v>
      </c>
      <c r="I788">
        <f>-683.969614380455 -1.72493265125422 -656.242271961061</f>
        <v>-1341.9368189927702</v>
      </c>
      <c r="J788" t="s">
        <v>15007</v>
      </c>
      <c r="K788" t="s">
        <v>15008</v>
      </c>
      <c r="L788" t="s">
        <v>15009</v>
      </c>
      <c r="M788" t="s">
        <v>15010</v>
      </c>
      <c r="N788">
        <f>-678.245195007697 -25.0686216287891 -522.725141939495</f>
        <v>-1226.038958575981</v>
      </c>
      <c r="O788">
        <f>-692.346670040624 -175.864897366539 -485.294642173323</f>
        <v>-1353.506209580486</v>
      </c>
      <c r="P788">
        <f>-532.391220758485 -182.120572631696 -253.01513769746</f>
        <v>-967.52693108764106</v>
      </c>
      <c r="Q788">
        <f>-481.153906428823 -79.2079701169637 -454.837469874192</f>
        <v>-1015.1993464199786</v>
      </c>
      <c r="R788" t="s">
        <v>15011</v>
      </c>
      <c r="S788" t="s">
        <v>15012</v>
      </c>
      <c r="T788" t="s">
        <v>15013</v>
      </c>
      <c r="U788" t="s">
        <v>15014</v>
      </c>
      <c r="V788">
        <f>-594.878328533892 -66.08020252556 -92.1924308246804</f>
        <v>-753.15096188413247</v>
      </c>
      <c r="W788" t="s">
        <v>15015</v>
      </c>
      <c r="X788" t="s">
        <v>15016</v>
      </c>
      <c r="Y788" t="s">
        <v>15017</v>
      </c>
    </row>
    <row r="789" spans="1:25" x14ac:dyDescent="0.3">
      <c r="A789">
        <v>39400</v>
      </c>
      <c r="B789" t="s">
        <v>15018</v>
      </c>
      <c r="C789" t="s">
        <v>15019</v>
      </c>
      <c r="D789" t="s">
        <v>15020</v>
      </c>
      <c r="E789" t="s">
        <v>15021</v>
      </c>
      <c r="F789" t="s">
        <v>15022</v>
      </c>
      <c r="G789" t="s">
        <v>15023</v>
      </c>
      <c r="H789" t="s">
        <v>15024</v>
      </c>
      <c r="I789" t="s">
        <v>15025</v>
      </c>
      <c r="J789" t="s">
        <v>15026</v>
      </c>
      <c r="K789" t="s">
        <v>15027</v>
      </c>
      <c r="L789" t="s">
        <v>15028</v>
      </c>
      <c r="M789" t="s">
        <v>15029</v>
      </c>
      <c r="N789">
        <f>-678.280687341563 -23.9642003476915 -522.921183644001</f>
        <v>-1225.1660713332553</v>
      </c>
      <c r="O789">
        <f>-691.547986390485 -175.072425507402 -486.509948024042</f>
        <v>-1353.1303599219289</v>
      </c>
      <c r="P789">
        <f>-529.960618137284 -179.993678218649 -255.33060340325</f>
        <v>-965.28489975918296</v>
      </c>
      <c r="Q789">
        <f>-480.859814129019 -74.7496030308762 -456.480550355727</f>
        <v>-1012.0899675156222</v>
      </c>
      <c r="R789" t="s">
        <v>15030</v>
      </c>
      <c r="S789" t="s">
        <v>15031</v>
      </c>
      <c r="T789" t="s">
        <v>15032</v>
      </c>
      <c r="U789" t="s">
        <v>15033</v>
      </c>
      <c r="V789">
        <f>-594.90586085884 -66.1447209957216 -92.1940478982959</f>
        <v>-753.24462975285758</v>
      </c>
      <c r="W789" t="s">
        <v>15034</v>
      </c>
      <c r="X789" t="s">
        <v>15035</v>
      </c>
      <c r="Y789" t="s">
        <v>15036</v>
      </c>
    </row>
    <row r="790" spans="1:25" x14ac:dyDescent="0.3">
      <c r="A790">
        <v>39450</v>
      </c>
      <c r="B790" t="s">
        <v>15037</v>
      </c>
      <c r="C790" t="s">
        <v>15038</v>
      </c>
      <c r="D790" t="s">
        <v>15039</v>
      </c>
      <c r="E790" t="s">
        <v>15040</v>
      </c>
      <c r="F790" t="s">
        <v>15041</v>
      </c>
      <c r="G790" t="s">
        <v>15042</v>
      </c>
      <c r="H790" t="s">
        <v>15043</v>
      </c>
      <c r="I790" t="s">
        <v>15044</v>
      </c>
      <c r="J790" t="s">
        <v>15045</v>
      </c>
      <c r="K790" t="s">
        <v>15046</v>
      </c>
      <c r="L790" t="s">
        <v>15047</v>
      </c>
      <c r="M790" t="s">
        <v>15048</v>
      </c>
      <c r="N790">
        <f>-678.414185594931 -23.4109437854204 -522.956782770843</f>
        <v>-1224.7819121511943</v>
      </c>
      <c r="O790">
        <f>-691.132409109116 -174.69606987022 -487.055248362477</f>
        <v>-1352.883727341813</v>
      </c>
      <c r="P790">
        <f>-528.786441765965 -179.152666645659 -256.398569188187</f>
        <v>-964.33767759981106</v>
      </c>
      <c r="Q790">
        <f>-480.765764367037 -72.4058649323288 -457.01682593592</f>
        <v>-1010.1884552352858</v>
      </c>
      <c r="R790" t="s">
        <v>15049</v>
      </c>
      <c r="S790" t="s">
        <v>15050</v>
      </c>
      <c r="T790" t="s">
        <v>15051</v>
      </c>
      <c r="U790" t="s">
        <v>15052</v>
      </c>
      <c r="V790">
        <f>-594.941808064753 -66.11322860875 -92.1829919422239</f>
        <v>-753.23802861572688</v>
      </c>
      <c r="W790" t="s">
        <v>15053</v>
      </c>
      <c r="X790" t="s">
        <v>15054</v>
      </c>
      <c r="Y790" t="s">
        <v>15055</v>
      </c>
    </row>
    <row r="791" spans="1:25" x14ac:dyDescent="0.3">
      <c r="A791">
        <v>39500</v>
      </c>
      <c r="B791" t="s">
        <v>15056</v>
      </c>
      <c r="C791" t="s">
        <v>15057</v>
      </c>
      <c r="D791" t="s">
        <v>15058</v>
      </c>
      <c r="E791" t="s">
        <v>15059</v>
      </c>
      <c r="F791" t="s">
        <v>15060</v>
      </c>
      <c r="G791" t="s">
        <v>15061</v>
      </c>
      <c r="H791" t="s">
        <v>15062</v>
      </c>
      <c r="I791" t="s">
        <v>15063</v>
      </c>
      <c r="J791" t="s">
        <v>15064</v>
      </c>
      <c r="K791" t="s">
        <v>15065</v>
      </c>
      <c r="L791" t="s">
        <v>15066</v>
      </c>
      <c r="M791" t="s">
        <v>15067</v>
      </c>
      <c r="N791">
        <f>-678.732799811152 -21.9729822269182 -523.104278565148</f>
        <v>-1223.8100606032181</v>
      </c>
      <c r="O791">
        <f>-690.053585425888 -173.631717637682 -488.310561163211</f>
        <v>-1351.9958642267809</v>
      </c>
      <c r="P791">
        <f>-526.686014033985 -176.762034976195 -258.354366450105</f>
        <v>-961.80241546028492</v>
      </c>
      <c r="Q791">
        <f>-480.826261440507 -66.523722168464 -457.585209064268</f>
        <v>-1004.935192673239</v>
      </c>
      <c r="R791" t="s">
        <v>15068</v>
      </c>
      <c r="S791" t="s">
        <v>15069</v>
      </c>
      <c r="T791" t="s">
        <v>15070</v>
      </c>
      <c r="U791" t="s">
        <v>15071</v>
      </c>
      <c r="V791">
        <f>-594.829796044428 -65.9218278885887 -92.1736178030529</f>
        <v>-752.92524173606967</v>
      </c>
      <c r="W791" t="s">
        <v>15072</v>
      </c>
      <c r="X791" t="s">
        <v>15073</v>
      </c>
      <c r="Y791" t="s">
        <v>15074</v>
      </c>
    </row>
    <row r="792" spans="1:25" x14ac:dyDescent="0.3">
      <c r="A792">
        <v>39550</v>
      </c>
      <c r="B792" t="s">
        <v>15075</v>
      </c>
      <c r="C792" t="s">
        <v>15076</v>
      </c>
      <c r="D792" t="s">
        <v>15077</v>
      </c>
      <c r="E792" t="s">
        <v>15078</v>
      </c>
      <c r="F792" t="s">
        <v>15079</v>
      </c>
      <c r="G792" t="s">
        <v>15080</v>
      </c>
      <c r="H792" t="s">
        <v>15081</v>
      </c>
      <c r="I792" t="s">
        <v>15082</v>
      </c>
      <c r="J792" t="s">
        <v>15083</v>
      </c>
      <c r="K792" t="s">
        <v>15084</v>
      </c>
      <c r="L792" t="s">
        <v>15085</v>
      </c>
      <c r="M792" t="s">
        <v>15086</v>
      </c>
      <c r="N792">
        <f>-678.94433625905 -21.0909411295074 -523.190995134287</f>
        <v>-1223.2262725228445</v>
      </c>
      <c r="O792">
        <f>-689.51731261185 -172.947172108883 -489.061992721366</f>
        <v>-1351.5264774420989</v>
      </c>
      <c r="P792">
        <f>-525.796940093698 -175.081509625995 -259.345504903744</f>
        <v>-960.22395462343695</v>
      </c>
      <c r="Q792">
        <f>-481.159250057159 -62.9177297507761 -457.777553763955</f>
        <v>-1001.8545335718901</v>
      </c>
      <c r="R792" t="s">
        <v>15087</v>
      </c>
      <c r="S792" t="s">
        <v>15088</v>
      </c>
      <c r="T792" t="s">
        <v>15089</v>
      </c>
      <c r="U792" t="s">
        <v>15090</v>
      </c>
      <c r="V792">
        <f>-594.734797990095 -65.7708331322974 -92.1558817007497</f>
        <v>-752.66151282314206</v>
      </c>
      <c r="W792" t="s">
        <v>15091</v>
      </c>
      <c r="X792" t="s">
        <v>15092</v>
      </c>
      <c r="Y792" t="s">
        <v>15093</v>
      </c>
    </row>
    <row r="793" spans="1:25" x14ac:dyDescent="0.3">
      <c r="A793">
        <v>39600</v>
      </c>
      <c r="B793" t="s">
        <v>15094</v>
      </c>
      <c r="C793" t="s">
        <v>15095</v>
      </c>
      <c r="D793" t="s">
        <v>15096</v>
      </c>
      <c r="E793" t="s">
        <v>15097</v>
      </c>
      <c r="F793" t="s">
        <v>15098</v>
      </c>
      <c r="G793" t="s">
        <v>15099</v>
      </c>
      <c r="H793" t="s">
        <v>15100</v>
      </c>
      <c r="I793" t="s">
        <v>15101</v>
      </c>
      <c r="J793" t="s">
        <v>15102</v>
      </c>
      <c r="K793" t="s">
        <v>15103</v>
      </c>
      <c r="L793" t="s">
        <v>15104</v>
      </c>
      <c r="M793" t="s">
        <v>15105</v>
      </c>
      <c r="N793">
        <f>-679.066001539599 -19.3483186216406 -523.335704895767</f>
        <v>-1221.7500250570065</v>
      </c>
      <c r="O793">
        <f>-688.070905047799 -171.578535768314 -490.441432044853</f>
        <v>-1350.0908728609659</v>
      </c>
      <c r="P793">
        <f>-523.084627692597 -171.232589393444 -261.622805180911</f>
        <v>-955.94002226695193</v>
      </c>
      <c r="Q793">
        <f>-481.107802194066 -54.5268671502413 -458.005572642913</f>
        <v>-993.64024198722041</v>
      </c>
      <c r="R793" t="s">
        <v>15106</v>
      </c>
      <c r="S793" t="s">
        <v>15107</v>
      </c>
      <c r="T793" t="s">
        <v>15108</v>
      </c>
      <c r="U793" t="s">
        <v>15109</v>
      </c>
      <c r="V793">
        <f>-594.428008335757 -65.3650269962532 -92.0805961043351</f>
        <v>-751.87363143634525</v>
      </c>
      <c r="W793" t="s">
        <v>15110</v>
      </c>
      <c r="X793" t="s">
        <v>15111</v>
      </c>
      <c r="Y793" t="s">
        <v>15112</v>
      </c>
    </row>
    <row r="794" spans="1:25" x14ac:dyDescent="0.3">
      <c r="A794">
        <v>39650</v>
      </c>
      <c r="B794" t="s">
        <v>15113</v>
      </c>
      <c r="C794" t="s">
        <v>15114</v>
      </c>
      <c r="D794" t="s">
        <v>15115</v>
      </c>
      <c r="E794" t="s">
        <v>15116</v>
      </c>
      <c r="F794" t="s">
        <v>15117</v>
      </c>
      <c r="G794" t="s">
        <v>15118</v>
      </c>
      <c r="H794" t="s">
        <v>15119</v>
      </c>
      <c r="I794" t="s">
        <v>15120</v>
      </c>
      <c r="J794" t="s">
        <v>15121</v>
      </c>
      <c r="K794" t="s">
        <v>15122</v>
      </c>
      <c r="L794" t="s">
        <v>15123</v>
      </c>
      <c r="M794" t="s">
        <v>15124</v>
      </c>
      <c r="N794">
        <f>-679.010261022126 -18.481005106421 -523.431156889224</f>
        <v>-1220.9224230177711</v>
      </c>
      <c r="O794">
        <f>-687.160424944037 -170.8856517541 -491.154338082305</f>
        <v>-1349.2004147804419</v>
      </c>
      <c r="P794">
        <f>-521.304216204905 -169.494651700995 -262.969537723005</f>
        <v>-953.76840562890493</v>
      </c>
      <c r="Q794">
        <f>-481.13611003569 -50.153633816833 -458.143233049173</f>
        <v>-989.43297690169595</v>
      </c>
      <c r="R794" t="s">
        <v>15125</v>
      </c>
      <c r="S794" t="s">
        <v>15126</v>
      </c>
      <c r="T794" t="s">
        <v>15127</v>
      </c>
      <c r="U794" t="s">
        <v>15128</v>
      </c>
      <c r="V794">
        <f>-594.267786528451 -65.1903804259105 -92.0597295977162</f>
        <v>-751.51789655207767</v>
      </c>
      <c r="W794" t="s">
        <v>15129</v>
      </c>
      <c r="X794" t="s">
        <v>15130</v>
      </c>
      <c r="Y794" t="s">
        <v>15131</v>
      </c>
    </row>
    <row r="795" spans="1:25" x14ac:dyDescent="0.3">
      <c r="A795">
        <v>39700</v>
      </c>
      <c r="B795" t="s">
        <v>15132</v>
      </c>
      <c r="C795" t="s">
        <v>15133</v>
      </c>
      <c r="D795" t="s">
        <v>15134</v>
      </c>
      <c r="E795" t="s">
        <v>15135</v>
      </c>
      <c r="F795" t="s">
        <v>15136</v>
      </c>
      <c r="G795" t="s">
        <v>15137</v>
      </c>
      <c r="H795" t="s">
        <v>15138</v>
      </c>
      <c r="I795" t="s">
        <v>15139</v>
      </c>
      <c r="J795" t="s">
        <v>15140</v>
      </c>
      <c r="K795" t="s">
        <v>15141</v>
      </c>
      <c r="L795" t="s">
        <v>15142</v>
      </c>
      <c r="M795" t="s">
        <v>15143</v>
      </c>
      <c r="N795">
        <f>-678.805800616633 -16.8759313593559 -523.618115146124</f>
        <v>-1219.2998471221129</v>
      </c>
      <c r="O795">
        <f>-685.29906171929 -169.613008839964 -492.560839674859</f>
        <v>-1347.472910234113</v>
      </c>
      <c r="P795">
        <f>-517.244730183167 -166.244964952869 -266.010781572028</f>
        <v>-949.50047670806407</v>
      </c>
      <c r="Q795">
        <f>-481.384962444874 -41.5566210055647 -458.664402026267</f>
        <v>-981.60598547670577</v>
      </c>
      <c r="R795" t="s">
        <v>15144</v>
      </c>
      <c r="S795" t="s">
        <v>15145</v>
      </c>
      <c r="T795" t="s">
        <v>15146</v>
      </c>
      <c r="U795" t="s">
        <v>15147</v>
      </c>
      <c r="V795">
        <f>-593.824803610734 -64.8091703546895 -92.0379636753918</f>
        <v>-750.67193764081526</v>
      </c>
      <c r="W795" t="s">
        <v>15148</v>
      </c>
      <c r="X795" t="s">
        <v>15149</v>
      </c>
      <c r="Y795" t="s">
        <v>15150</v>
      </c>
    </row>
    <row r="796" spans="1:25" x14ac:dyDescent="0.3">
      <c r="A796">
        <v>39750</v>
      </c>
      <c r="B796" t="s">
        <v>15151</v>
      </c>
      <c r="C796" t="s">
        <v>15152</v>
      </c>
      <c r="D796" t="s">
        <v>15153</v>
      </c>
      <c r="E796" t="s">
        <v>15154</v>
      </c>
      <c r="F796" t="s">
        <v>15155</v>
      </c>
      <c r="G796" t="s">
        <v>15156</v>
      </c>
      <c r="H796" t="s">
        <v>15157</v>
      </c>
      <c r="I796" t="s">
        <v>15158</v>
      </c>
      <c r="J796" t="s">
        <v>15159</v>
      </c>
      <c r="K796" t="s">
        <v>15160</v>
      </c>
      <c r="L796" t="s">
        <v>15161</v>
      </c>
      <c r="M796" t="s">
        <v>15162</v>
      </c>
      <c r="N796">
        <f>-678.619462641447 -16.0898159906856 -523.684381211186</f>
        <v>-1218.3936598433183</v>
      </c>
      <c r="O796">
        <f>-684.257711512128 -168.983070344465 -493.17867052843</f>
        <v>-1346.4194523850231</v>
      </c>
      <c r="P796">
        <f>-515.027374926684 -164.65770233374 -267.52195233101</f>
        <v>-947.20702959143409</v>
      </c>
      <c r="Q796">
        <f>-481.298951823854 -37.6046552801088 -459.01203358284</f>
        <v>-977.91564068680282</v>
      </c>
      <c r="R796" t="s">
        <v>15163</v>
      </c>
      <c r="S796" t="s">
        <v>15164</v>
      </c>
      <c r="T796" t="s">
        <v>15165</v>
      </c>
      <c r="U796" t="s">
        <v>15166</v>
      </c>
      <c r="V796">
        <f>-593.492903323386 -64.6263902669348 -92.0220727857366</f>
        <v>-750.14136637605736</v>
      </c>
      <c r="W796" t="s">
        <v>15167</v>
      </c>
      <c r="X796" t="s">
        <v>15168</v>
      </c>
      <c r="Y796" t="s">
        <v>15169</v>
      </c>
    </row>
    <row r="797" spans="1:25" x14ac:dyDescent="0.3">
      <c r="A797">
        <v>39800</v>
      </c>
      <c r="B797" t="s">
        <v>15170</v>
      </c>
      <c r="C797" t="s">
        <v>15171</v>
      </c>
      <c r="D797" t="s">
        <v>15172</v>
      </c>
      <c r="E797" t="s">
        <v>15173</v>
      </c>
      <c r="F797" t="s">
        <v>15174</v>
      </c>
      <c r="G797" t="s">
        <v>15175</v>
      </c>
      <c r="H797" t="s">
        <v>15176</v>
      </c>
      <c r="I797" t="s">
        <v>15177</v>
      </c>
      <c r="J797" t="s">
        <v>15178</v>
      </c>
      <c r="K797" t="s">
        <v>15179</v>
      </c>
      <c r="L797" t="s">
        <v>15180</v>
      </c>
      <c r="M797" t="s">
        <v>15181</v>
      </c>
      <c r="N797">
        <f>-678.240864969878 -14.2047403556435 -523.79702237171</f>
        <v>-1216.2426276972315</v>
      </c>
      <c r="O797">
        <f>-682.163343974957 -167.392134601777 -494.506882425305</f>
        <v>-1344.0623610020389</v>
      </c>
      <c r="P797">
        <f>-510.968588580231 -161.437920349952 -270.374160524485</f>
        <v>-942.78066945466799</v>
      </c>
      <c r="Q797">
        <f>-480.887488196676 -30.3594204562839 -459.746989458567</f>
        <v>-970.99389811152685</v>
      </c>
      <c r="R797" t="s">
        <v>15182</v>
      </c>
      <c r="S797" t="s">
        <v>15183</v>
      </c>
      <c r="T797" t="s">
        <v>15184</v>
      </c>
      <c r="U797" t="s">
        <v>15185</v>
      </c>
      <c r="V797">
        <f>-592.761505979874 -64.2152519402468 -91.9846631718542</f>
        <v>-748.96142109197501</v>
      </c>
      <c r="W797" t="s">
        <v>15186</v>
      </c>
      <c r="X797" t="s">
        <v>15187</v>
      </c>
      <c r="Y797" t="s">
        <v>15188</v>
      </c>
    </row>
    <row r="798" spans="1:25" x14ac:dyDescent="0.3">
      <c r="A798">
        <v>39850</v>
      </c>
      <c r="B798" t="s">
        <v>15189</v>
      </c>
      <c r="C798" t="s">
        <v>15190</v>
      </c>
      <c r="D798" t="s">
        <v>15191</v>
      </c>
      <c r="E798" t="s">
        <v>15192</v>
      </c>
      <c r="F798" t="s">
        <v>15193</v>
      </c>
      <c r="G798" t="s">
        <v>15194</v>
      </c>
      <c r="H798" t="s">
        <v>15195</v>
      </c>
      <c r="I798" t="s">
        <v>15196</v>
      </c>
      <c r="J798" t="s">
        <v>15197</v>
      </c>
      <c r="K798" t="s">
        <v>15198</v>
      </c>
      <c r="L798" t="s">
        <v>15199</v>
      </c>
      <c r="M798" t="s">
        <v>15200</v>
      </c>
      <c r="N798">
        <f>-678.30744937747 -13.3243074451257 -523.824253012977</f>
        <v>-1215.4560098355728</v>
      </c>
      <c r="O798">
        <f>-681.492961228214 -166.638151284034 -495.140925732348</f>
        <v>-1343.2720382445959</v>
      </c>
      <c r="P798">
        <f>-509.547216994714 -159.96832822333 -271.604051488625</f>
        <v>-941.11959670666897</v>
      </c>
      <c r="Q798">
        <f>-480.938057692871 -27.0539263432811 -459.922439951493</f>
        <v>-967.91442398764502</v>
      </c>
      <c r="R798" t="s">
        <v>15201</v>
      </c>
      <c r="S798" t="s">
        <v>15202</v>
      </c>
      <c r="T798" t="s">
        <v>15203</v>
      </c>
      <c r="U798" t="s">
        <v>15204</v>
      </c>
      <c r="V798">
        <f>-592.416610286405 -64.1651191627909 -91.967087790948</f>
        <v>-748.54881724014388</v>
      </c>
      <c r="W798" t="s">
        <v>15205</v>
      </c>
      <c r="X798" t="s">
        <v>15206</v>
      </c>
      <c r="Y798" t="s">
        <v>15207</v>
      </c>
    </row>
    <row r="799" spans="1:25" x14ac:dyDescent="0.3">
      <c r="A799">
        <v>39900</v>
      </c>
      <c r="B799" t="s">
        <v>15208</v>
      </c>
      <c r="C799" t="s">
        <v>15209</v>
      </c>
      <c r="D799" t="s">
        <v>15210</v>
      </c>
      <c r="E799" t="s">
        <v>15211</v>
      </c>
      <c r="F799" t="s">
        <v>15212</v>
      </c>
      <c r="G799" t="s">
        <v>15213</v>
      </c>
      <c r="H799" t="s">
        <v>15214</v>
      </c>
      <c r="I799" t="s">
        <v>15215</v>
      </c>
      <c r="J799" t="s">
        <v>15216</v>
      </c>
      <c r="K799" t="s">
        <v>15217</v>
      </c>
      <c r="L799" t="s">
        <v>15218</v>
      </c>
      <c r="M799" t="s">
        <v>15219</v>
      </c>
      <c r="N799">
        <f>-678.293022462174 -11.6008637417508 -523.859988041729</f>
        <v>-1213.7538742456538</v>
      </c>
      <c r="O799">
        <f>-680.483774738223 -165.13094898428 -496.252256278575</f>
        <v>-1341.866980001078</v>
      </c>
      <c r="P799">
        <f>-507.306392515022 -157.310787466298 -273.70554749387</f>
        <v>-938.32272747519005</v>
      </c>
      <c r="Q799">
        <f>-481.071018779253 -20.6852438558312 -459.699393199656</f>
        <v>-961.45565583474013</v>
      </c>
      <c r="R799" t="s">
        <v>15220</v>
      </c>
      <c r="S799" t="s">
        <v>15221</v>
      </c>
      <c r="T799" t="s">
        <v>15222</v>
      </c>
      <c r="U799" t="s">
        <v>15223</v>
      </c>
      <c r="V799">
        <f>-591.819307040162 -64.0269924607117 -91.8951744516221</f>
        <v>-747.74147395249577</v>
      </c>
      <c r="W799" t="s">
        <v>15224</v>
      </c>
      <c r="X799" t="s">
        <v>15225</v>
      </c>
      <c r="Y799" t="s">
        <v>15226</v>
      </c>
    </row>
    <row r="800" spans="1:25" x14ac:dyDescent="0.3">
      <c r="A800">
        <v>39950</v>
      </c>
      <c r="B800" t="s">
        <v>15227</v>
      </c>
      <c r="C800" t="s">
        <v>15228</v>
      </c>
      <c r="D800" t="s">
        <v>15229</v>
      </c>
      <c r="E800" t="s">
        <v>15230</v>
      </c>
      <c r="F800" t="s">
        <v>15231</v>
      </c>
      <c r="G800" t="s">
        <v>15232</v>
      </c>
      <c r="H800" t="s">
        <v>15233</v>
      </c>
      <c r="I800" t="s">
        <v>15234</v>
      </c>
      <c r="J800" t="s">
        <v>15235</v>
      </c>
      <c r="K800" t="s">
        <v>15236</v>
      </c>
      <c r="L800" t="s">
        <v>15237</v>
      </c>
      <c r="M800" t="s">
        <v>15238</v>
      </c>
      <c r="N800">
        <f>-678.329464457193 -10.8112127901552 -523.869072564665</f>
        <v>-1213.0097498120131</v>
      </c>
      <c r="O800">
        <f>-680.03597898061 -164.440460304403 -496.799508945823</f>
        <v>-1341.2759482308361</v>
      </c>
      <c r="P800">
        <f>-506.453753983274 -156.672963618785 -274.566592900467</f>
        <v>-937.69331050252595</v>
      </c>
      <c r="Q800">
        <f>-481.247062635527 -18.2219806304877 -459.348833661446</f>
        <v>-958.8178769274607</v>
      </c>
      <c r="R800" t="s">
        <v>15239</v>
      </c>
      <c r="S800" t="s">
        <v>15240</v>
      </c>
      <c r="T800" t="s">
        <v>15241</v>
      </c>
      <c r="U800" t="s">
        <v>15242</v>
      </c>
      <c r="V800">
        <f>-591.632670622099 -63.9658362777186 -91.8670233247433</f>
        <v>-747.46553022456089</v>
      </c>
      <c r="W800" t="s">
        <v>15243</v>
      </c>
      <c r="X800" t="s">
        <v>15244</v>
      </c>
      <c r="Y800" t="s">
        <v>15245</v>
      </c>
    </row>
    <row r="801" spans="1:25" x14ac:dyDescent="0.3">
      <c r="A801">
        <v>40000</v>
      </c>
      <c r="B801" t="s">
        <v>15246</v>
      </c>
      <c r="C801" t="s">
        <v>15247</v>
      </c>
      <c r="D801" t="s">
        <v>15248</v>
      </c>
      <c r="E801" t="s">
        <v>15249</v>
      </c>
      <c r="F801" t="s">
        <v>15250</v>
      </c>
      <c r="G801" t="s">
        <v>15251</v>
      </c>
      <c r="H801" t="s">
        <v>15252</v>
      </c>
      <c r="I801" t="s">
        <v>15253</v>
      </c>
      <c r="J801" t="s">
        <v>15254</v>
      </c>
      <c r="K801" t="s">
        <v>15255</v>
      </c>
      <c r="L801" t="s">
        <v>15256</v>
      </c>
      <c r="M801" t="s">
        <v>15257</v>
      </c>
      <c r="N801">
        <f>-678.663053621018 -9.0881771861948 -523.914140970708</f>
        <v>-1211.6653717779209</v>
      </c>
      <c r="O801">
        <f>-679.750991621762 -162.898865893201 -497.848008883458</f>
        <v>-1340.4978663984209</v>
      </c>
      <c r="P801">
        <f>-505.999404956241 -156.143561816082 -275.71457226251</f>
        <v>-937.85753903483305</v>
      </c>
      <c r="Q801">
        <f>-482.617314972452 -14.0461416887786 -457.951016375647</f>
        <v>-954.6144730368776</v>
      </c>
      <c r="R801" t="s">
        <v>15258</v>
      </c>
      <c r="S801" t="s">
        <v>15259</v>
      </c>
      <c r="T801" t="s">
        <v>15260</v>
      </c>
      <c r="U801" t="s">
        <v>15261</v>
      </c>
      <c r="V801">
        <f>-591.661250867371 -63.8497910998333 -91.8154644124126</f>
        <v>-747.32650637961683</v>
      </c>
      <c r="W801" t="s">
        <v>15262</v>
      </c>
      <c r="X801" t="s">
        <v>15263</v>
      </c>
      <c r="Y801" t="s">
        <v>15264</v>
      </c>
    </row>
    <row r="802" spans="1:25" x14ac:dyDescent="0.3">
      <c r="A802">
        <v>40050</v>
      </c>
      <c r="B802" t="s">
        <v>15265</v>
      </c>
      <c r="C802" t="s">
        <v>15266</v>
      </c>
      <c r="D802" t="s">
        <v>15267</v>
      </c>
      <c r="E802" t="s">
        <v>15268</v>
      </c>
      <c r="F802" t="s">
        <v>15269</v>
      </c>
      <c r="G802" t="s">
        <v>15270</v>
      </c>
      <c r="H802" t="s">
        <v>15271</v>
      </c>
      <c r="I802" t="s">
        <v>15272</v>
      </c>
      <c r="J802" t="s">
        <v>15273</v>
      </c>
      <c r="K802" t="s">
        <v>15274</v>
      </c>
      <c r="L802" t="s">
        <v>15275</v>
      </c>
      <c r="M802" t="s">
        <v>15276</v>
      </c>
      <c r="N802">
        <f>-678.849189013991 -8.28687604189327 -523.942837655269</f>
        <v>-1211.0789027111532</v>
      </c>
      <c r="O802">
        <f>-679.785903212899 -162.176597112436 -498.336040433192</f>
        <v>-1340.298540758527</v>
      </c>
      <c r="P802">
        <f>-506.118338746389 -155.846357266426 -276.12416855545</f>
        <v>-938.08886456826508</v>
      </c>
      <c r="Q802">
        <f>-483.288212093819 -12.016481110478 -457.066994605772</f>
        <v>-952.37168781006903</v>
      </c>
      <c r="R802" t="s">
        <v>15277</v>
      </c>
      <c r="S802" t="s">
        <v>15278</v>
      </c>
      <c r="T802" t="s">
        <v>15279</v>
      </c>
      <c r="U802" t="s">
        <v>15280</v>
      </c>
      <c r="V802">
        <f>-591.859382527126 -63.7907838965568 -91.7813302155048</f>
        <v>-747.43149663918757</v>
      </c>
      <c r="W802" t="s">
        <v>15281</v>
      </c>
      <c r="X802" t="s">
        <v>15282</v>
      </c>
      <c r="Y802" t="s">
        <v>15283</v>
      </c>
    </row>
    <row r="803" spans="1:25" x14ac:dyDescent="0.3">
      <c r="A803">
        <v>40100</v>
      </c>
      <c r="B803" t="s">
        <v>15284</v>
      </c>
      <c r="C803" t="s">
        <v>15285</v>
      </c>
      <c r="D803" t="s">
        <v>15286</v>
      </c>
      <c r="E803" t="s">
        <v>15287</v>
      </c>
      <c r="F803" t="s">
        <v>15288</v>
      </c>
      <c r="G803" t="s">
        <v>15289</v>
      </c>
      <c r="H803" t="s">
        <v>15290</v>
      </c>
      <c r="I803" t="s">
        <v>15291</v>
      </c>
      <c r="J803" t="s">
        <v>15292</v>
      </c>
      <c r="K803" t="s">
        <v>15293</v>
      </c>
      <c r="L803" t="s">
        <v>15294</v>
      </c>
      <c r="M803" t="s">
        <v>15295</v>
      </c>
      <c r="N803">
        <f>-679.244420155326 -6.59195602378895 -524.100160426149</f>
        <v>-1209.9365366052639</v>
      </c>
      <c r="O803">
        <f>-680.048735983673 -160.611215915295 -499.276297895423</f>
        <v>-1339.9362497943912</v>
      </c>
      <c r="P803">
        <f>-506.813515880777 -154.874899500637 -276.711161963664</f>
        <v>-938.39957734507789</v>
      </c>
      <c r="Q803">
        <f>-484.354889204306 -7.56101113762816 -454.876061592325</f>
        <v>-946.79196193425923</v>
      </c>
      <c r="R803" t="s">
        <v>15296</v>
      </c>
      <c r="S803" t="s">
        <v>15297</v>
      </c>
      <c r="T803" t="s">
        <v>15298</v>
      </c>
      <c r="U803" t="s">
        <v>15299</v>
      </c>
      <c r="V803">
        <f>-592.675710345831 -63.4778382141114 -91.7553137844923</f>
        <v>-747.90886234443474</v>
      </c>
      <c r="W803" t="s">
        <v>15300</v>
      </c>
      <c r="X803" t="s">
        <v>15301</v>
      </c>
      <c r="Y803" t="s">
        <v>15302</v>
      </c>
    </row>
    <row r="804" spans="1:25" x14ac:dyDescent="0.3">
      <c r="A804">
        <v>40150</v>
      </c>
      <c r="B804" t="s">
        <v>15303</v>
      </c>
      <c r="C804" t="s">
        <v>15304</v>
      </c>
      <c r="D804" t="s">
        <v>15305</v>
      </c>
      <c r="E804" t="s">
        <v>15306</v>
      </c>
      <c r="F804" t="s">
        <v>15307</v>
      </c>
      <c r="G804" t="s">
        <v>15308</v>
      </c>
      <c r="H804" t="s">
        <v>15309</v>
      </c>
      <c r="I804" t="s">
        <v>15310</v>
      </c>
      <c r="J804" t="s">
        <v>15311</v>
      </c>
      <c r="K804" t="s">
        <v>15312</v>
      </c>
      <c r="L804" t="s">
        <v>15313</v>
      </c>
      <c r="M804" t="s">
        <v>15314</v>
      </c>
      <c r="N804">
        <f>-679.422597392801 -5.68278013519284 -524.236844445466</f>
        <v>-1209.3422219734598</v>
      </c>
      <c r="O804">
        <f>-680.136893293711 -159.771009429211 -499.864192584863</f>
        <v>-1339.7720953077851</v>
      </c>
      <c r="P804">
        <f>-507.217608204236 -154.2344549284 -277.04855264695</f>
        <v>-938.50061577958604</v>
      </c>
      <c r="Q804">
        <f>-484.81615848241 -5.16457755427155 -453.754059484838</f>
        <v>-943.73479552151957</v>
      </c>
      <c r="R804" t="s">
        <v>15315</v>
      </c>
      <c r="S804" t="s">
        <v>15316</v>
      </c>
      <c r="T804" t="s">
        <v>15317</v>
      </c>
      <c r="U804" t="s">
        <v>15318</v>
      </c>
      <c r="V804">
        <f>-593.290179989924 -63.2623930491231 -91.7657987674941</f>
        <v>-748.31837180654122</v>
      </c>
      <c r="W804" t="s">
        <v>15319</v>
      </c>
      <c r="X804" t="s">
        <v>15320</v>
      </c>
      <c r="Y804" t="s">
        <v>15321</v>
      </c>
    </row>
    <row r="805" spans="1:25" x14ac:dyDescent="0.3">
      <c r="A805">
        <v>40200</v>
      </c>
      <c r="B805" t="s">
        <v>15322</v>
      </c>
      <c r="C805" t="s">
        <v>15323</v>
      </c>
      <c r="D805" t="s">
        <v>15324</v>
      </c>
      <c r="E805" t="s">
        <v>15325</v>
      </c>
      <c r="F805" t="s">
        <v>15326</v>
      </c>
      <c r="G805" t="s">
        <v>15327</v>
      </c>
      <c r="H805" t="s">
        <v>15328</v>
      </c>
      <c r="I805" t="s">
        <v>15329</v>
      </c>
      <c r="J805" t="s">
        <v>15330</v>
      </c>
      <c r="K805" t="s">
        <v>15331</v>
      </c>
      <c r="L805" t="s">
        <v>15332</v>
      </c>
      <c r="M805" t="s">
        <v>15333</v>
      </c>
      <c r="N805">
        <f>-680.246727238419 -3.78921473804871 -524.466868630476</f>
        <v>-1208.5028106069437</v>
      </c>
      <c r="O805">
        <f>-680.740180442396 -158.020250577229 -501.017494015673</f>
        <v>-1339.777925035298</v>
      </c>
      <c r="P805">
        <f>-508.334439389769 -152.967034660976 -277.792615536325</f>
        <v>-939.09408958707002</v>
      </c>
      <c r="Q805">
        <f>-486.609499229353 -0.933824066437865 -452.041011564328</f>
        <v>-939.58433486011882</v>
      </c>
      <c r="R805" t="s">
        <v>15334</v>
      </c>
      <c r="S805" t="s">
        <v>15335</v>
      </c>
      <c r="T805" t="s">
        <v>15336</v>
      </c>
      <c r="U805" t="s">
        <v>15337</v>
      </c>
      <c r="V805">
        <f>-594.543590438131 -62.7789968001728 -91.7991691893827</f>
        <v>-749.12175642768648</v>
      </c>
      <c r="W805" t="s">
        <v>15338</v>
      </c>
      <c r="X805" t="s">
        <v>15339</v>
      </c>
      <c r="Y805" t="s">
        <v>15340</v>
      </c>
    </row>
    <row r="806" spans="1:25" x14ac:dyDescent="0.3">
      <c r="A806">
        <v>40250</v>
      </c>
      <c r="B806" t="s">
        <v>15341</v>
      </c>
      <c r="C806" t="s">
        <v>15342</v>
      </c>
      <c r="D806" t="s">
        <v>15343</v>
      </c>
      <c r="E806" t="s">
        <v>15344</v>
      </c>
      <c r="F806" t="s">
        <v>15345</v>
      </c>
      <c r="G806" t="s">
        <v>15346</v>
      </c>
      <c r="H806" t="s">
        <v>15347</v>
      </c>
      <c r="I806" t="s">
        <v>15348</v>
      </c>
      <c r="J806" t="s">
        <v>15349</v>
      </c>
      <c r="K806" t="s">
        <v>15350</v>
      </c>
      <c r="L806" t="s">
        <v>15351</v>
      </c>
      <c r="M806" t="s">
        <v>15352</v>
      </c>
      <c r="N806">
        <f>-680.678515275709 -2.85881762421309 -524.577737011261</f>
        <v>-1208.1150699111831</v>
      </c>
      <c r="O806">
        <f>-681.129588500058 -157.151421956043 -501.576867269711</f>
        <v>-1339.8578777258122</v>
      </c>
      <c r="P806">
        <f>-508.733913931616 -152.540215678642 -278.334859735633</f>
        <v>-939.60898934589102</v>
      </c>
      <c r="Q806" t="s">
        <v>15353</v>
      </c>
      <c r="R806" t="s">
        <v>15354</v>
      </c>
      <c r="S806" t="s">
        <v>15355</v>
      </c>
      <c r="T806" t="s">
        <v>15356</v>
      </c>
      <c r="U806" t="s">
        <v>15357</v>
      </c>
      <c r="V806">
        <f>-595.104472975314 -62.5269376385465 -91.8254938510793</f>
        <v>-749.45690446493984</v>
      </c>
      <c r="W806" t="s">
        <v>15358</v>
      </c>
      <c r="X806" t="s">
        <v>15359</v>
      </c>
      <c r="Y806" t="s">
        <v>15360</v>
      </c>
    </row>
    <row r="807" spans="1:25" x14ac:dyDescent="0.3">
      <c r="A807">
        <v>40300</v>
      </c>
      <c r="B807" t="s">
        <v>15361</v>
      </c>
      <c r="C807" t="s">
        <v>15362</v>
      </c>
      <c r="D807" t="s">
        <v>15363</v>
      </c>
      <c r="E807" t="s">
        <v>15364</v>
      </c>
      <c r="F807" t="s">
        <v>15365</v>
      </c>
      <c r="G807" t="s">
        <v>15366</v>
      </c>
      <c r="H807" t="s">
        <v>15367</v>
      </c>
      <c r="I807" t="s">
        <v>15368</v>
      </c>
      <c r="J807" t="s">
        <v>15369</v>
      </c>
      <c r="K807" t="s">
        <v>15370</v>
      </c>
      <c r="L807" t="s">
        <v>15371</v>
      </c>
      <c r="M807" t="s">
        <v>15372</v>
      </c>
      <c r="N807">
        <f>-681.709051007939 -0.858587156730891 -524.758678850929</f>
        <v>-1207.3263170155988</v>
      </c>
      <c r="O807">
        <f>-682.031667954288 -155.285167572496 -502.676363179605</f>
        <v>-1339.993198706389</v>
      </c>
      <c r="P807">
        <f>-509.211792695311 -151.367812673485 -279.749055571511</f>
        <v>-940.32866094030692</v>
      </c>
      <c r="Q807" t="s">
        <v>15373</v>
      </c>
      <c r="R807" t="s">
        <v>15374</v>
      </c>
      <c r="S807" t="s">
        <v>15375</v>
      </c>
      <c r="T807" t="s">
        <v>15376</v>
      </c>
      <c r="U807" t="s">
        <v>15377</v>
      </c>
      <c r="V807">
        <f>-596.1115230034 -61.9117745553904 -91.8825410078713</f>
        <v>-749.9058385666616</v>
      </c>
      <c r="W807" t="s">
        <v>15378</v>
      </c>
      <c r="X807" t="s">
        <v>15379</v>
      </c>
      <c r="Y807" t="s">
        <v>15380</v>
      </c>
    </row>
    <row r="808" spans="1:25" x14ac:dyDescent="0.3">
      <c r="A808">
        <v>40350</v>
      </c>
      <c r="B808" t="s">
        <v>15381</v>
      </c>
      <c r="C808" t="s">
        <v>15382</v>
      </c>
      <c r="D808" t="s">
        <v>15383</v>
      </c>
      <c r="E808" t="s">
        <v>15384</v>
      </c>
      <c r="F808" t="s">
        <v>15385</v>
      </c>
      <c r="G808" t="s">
        <v>15386</v>
      </c>
      <c r="H808" t="s">
        <v>15387</v>
      </c>
      <c r="I808" t="s">
        <v>15388</v>
      </c>
      <c r="J808" t="s">
        <v>15389</v>
      </c>
      <c r="K808" t="s">
        <v>15390</v>
      </c>
      <c r="L808" t="s">
        <v>15391</v>
      </c>
      <c r="M808" t="s">
        <v>15392</v>
      </c>
      <c r="N808" t="s">
        <v>15393</v>
      </c>
      <c r="O808">
        <f>-682.550759802608 -154.305164629776 -503.18968939151</f>
        <v>-1340.045613823894</v>
      </c>
      <c r="P808">
        <f>-509.320632488845 -150.716094350157 -280.575621926398</f>
        <v>-940.61234876539993</v>
      </c>
      <c r="Q808" t="s">
        <v>15394</v>
      </c>
      <c r="R808" t="s">
        <v>15395</v>
      </c>
      <c r="S808" t="s">
        <v>15396</v>
      </c>
      <c r="T808" t="s">
        <v>15397</v>
      </c>
      <c r="U808" t="s">
        <v>15398</v>
      </c>
      <c r="V808">
        <f>-596.600268234341 -61.5241961940869 -91.9039427063175</f>
        <v>-750.02840713474541</v>
      </c>
      <c r="W808" t="s">
        <v>15399</v>
      </c>
      <c r="X808" t="s">
        <v>15400</v>
      </c>
      <c r="Y808" t="s">
        <v>15401</v>
      </c>
    </row>
    <row r="809" spans="1:25" x14ac:dyDescent="0.3">
      <c r="A809">
        <v>40400</v>
      </c>
      <c r="B809" t="s">
        <v>15402</v>
      </c>
      <c r="C809" t="s">
        <v>15403</v>
      </c>
      <c r="D809" t="s">
        <v>15404</v>
      </c>
      <c r="E809" t="s">
        <v>15405</v>
      </c>
      <c r="F809" t="s">
        <v>15406</v>
      </c>
      <c r="G809" t="s">
        <v>15407</v>
      </c>
      <c r="H809" t="s">
        <v>15408</v>
      </c>
      <c r="I809" t="s">
        <v>15409</v>
      </c>
      <c r="J809" t="s">
        <v>15410</v>
      </c>
      <c r="K809" t="s">
        <v>15411</v>
      </c>
      <c r="L809" t="s">
        <v>15412</v>
      </c>
      <c r="M809" t="s">
        <v>15413</v>
      </c>
      <c r="N809" t="s">
        <v>15414</v>
      </c>
      <c r="O809">
        <f>-683.406192189342 -152.300625234838 -504.509229947326</f>
        <v>-1340.216047371506</v>
      </c>
      <c r="P809">
        <f>-509.16112159607 -149.556178800104 -282.676572575552</f>
        <v>-941.39387297172595</v>
      </c>
      <c r="Q809" t="s">
        <v>15415</v>
      </c>
      <c r="R809" t="s">
        <v>15416</v>
      </c>
      <c r="S809" t="s">
        <v>15417</v>
      </c>
      <c r="T809" t="s">
        <v>15418</v>
      </c>
      <c r="U809" t="s">
        <v>15419</v>
      </c>
      <c r="V809">
        <f>-597.306946637957 -61.0453162543865 -91.9839199893189</f>
        <v>-750.33618288166247</v>
      </c>
      <c r="W809" t="s">
        <v>15420</v>
      </c>
      <c r="X809" t="s">
        <v>15421</v>
      </c>
      <c r="Y809" t="s">
        <v>15422</v>
      </c>
    </row>
    <row r="810" spans="1:25" x14ac:dyDescent="0.3">
      <c r="A810">
        <v>40450</v>
      </c>
      <c r="B810" t="s">
        <v>15402</v>
      </c>
      <c r="C810" t="s">
        <v>15403</v>
      </c>
      <c r="D810" t="s">
        <v>15404</v>
      </c>
      <c r="E810" t="s">
        <v>15405</v>
      </c>
      <c r="F810" t="s">
        <v>15406</v>
      </c>
      <c r="G810" t="s">
        <v>15407</v>
      </c>
      <c r="H810" t="s">
        <v>15408</v>
      </c>
      <c r="I810" t="s">
        <v>15409</v>
      </c>
      <c r="J810" t="s">
        <v>15410</v>
      </c>
      <c r="K810" t="s">
        <v>15411</v>
      </c>
      <c r="L810" t="s">
        <v>15412</v>
      </c>
      <c r="M810" t="s">
        <v>15413</v>
      </c>
      <c r="N810" t="s">
        <v>15414</v>
      </c>
      <c r="O810">
        <f>-683.406192189342 -152.300625234838 -504.509229947326</f>
        <v>-1340.216047371506</v>
      </c>
      <c r="P810">
        <f>-509.16112159607 -149.556178800104 -282.676572575552</f>
        <v>-941.39387297172595</v>
      </c>
      <c r="Q810" t="s">
        <v>15415</v>
      </c>
      <c r="R810" t="s">
        <v>15416</v>
      </c>
      <c r="S810" t="s">
        <v>15417</v>
      </c>
      <c r="T810" t="s">
        <v>15418</v>
      </c>
      <c r="U810" t="s">
        <v>15419</v>
      </c>
      <c r="V810">
        <f>-597.306946637957 -61.0453162543865 -91.9839199893189</f>
        <v>-750.33618288166247</v>
      </c>
      <c r="W810" t="s">
        <v>15420</v>
      </c>
      <c r="X810" t="s">
        <v>15421</v>
      </c>
      <c r="Y810" t="s">
        <v>15422</v>
      </c>
    </row>
    <row r="811" spans="1:25" x14ac:dyDescent="0.3">
      <c r="A811">
        <v>40500</v>
      </c>
      <c r="B811" t="s">
        <v>15423</v>
      </c>
      <c r="C811" t="s">
        <v>15424</v>
      </c>
      <c r="D811" t="s">
        <v>15425</v>
      </c>
      <c r="E811" t="s">
        <v>15426</v>
      </c>
      <c r="F811" t="s">
        <v>15427</v>
      </c>
      <c r="G811" t="s">
        <v>15428</v>
      </c>
      <c r="H811" t="s">
        <v>15429</v>
      </c>
      <c r="I811" t="s">
        <v>15430</v>
      </c>
      <c r="J811" t="s">
        <v>15431</v>
      </c>
      <c r="K811" t="s">
        <v>15432</v>
      </c>
      <c r="L811" t="s">
        <v>15433</v>
      </c>
      <c r="M811" t="s">
        <v>15434</v>
      </c>
      <c r="N811" t="s">
        <v>15435</v>
      </c>
      <c r="O811">
        <f>-683.810640998087 -151.271147035406 -505.223748450132</f>
        <v>-1340.305536483625</v>
      </c>
      <c r="P811">
        <f>-509.027051528644 -148.992890981061 -283.809789307865</f>
        <v>-941.82973181757006</v>
      </c>
      <c r="Q811" t="s">
        <v>15436</v>
      </c>
      <c r="R811" t="s">
        <v>15437</v>
      </c>
      <c r="S811" t="s">
        <v>15438</v>
      </c>
      <c r="T811" t="s">
        <v>15439</v>
      </c>
      <c r="U811" t="s">
        <v>15440</v>
      </c>
      <c r="V811">
        <f>-597.556065939171 -60.9065130738595 -92.0323633453656</f>
        <v>-750.4949423583962</v>
      </c>
      <c r="W811" t="s">
        <v>15441</v>
      </c>
      <c r="X811" t="s">
        <v>15442</v>
      </c>
      <c r="Y811" t="s">
        <v>15443</v>
      </c>
    </row>
    <row r="812" spans="1:25" x14ac:dyDescent="0.3">
      <c r="A812">
        <v>40550</v>
      </c>
      <c r="B812" t="s">
        <v>15423</v>
      </c>
      <c r="C812" t="s">
        <v>15424</v>
      </c>
      <c r="D812" t="s">
        <v>15425</v>
      </c>
      <c r="E812" t="s">
        <v>15426</v>
      </c>
      <c r="F812" t="s">
        <v>15427</v>
      </c>
      <c r="G812" t="s">
        <v>15428</v>
      </c>
      <c r="H812" t="s">
        <v>15429</v>
      </c>
      <c r="I812" t="s">
        <v>15430</v>
      </c>
      <c r="J812" t="s">
        <v>15431</v>
      </c>
      <c r="K812" t="s">
        <v>15432</v>
      </c>
      <c r="L812" t="s">
        <v>15433</v>
      </c>
      <c r="M812" t="s">
        <v>15434</v>
      </c>
      <c r="N812" t="s">
        <v>15435</v>
      </c>
      <c r="O812">
        <f>-683.810640998087 -151.271147035406 -505.223748450132</f>
        <v>-1340.305536483625</v>
      </c>
      <c r="P812">
        <f>-509.027051528644 -148.992890981061 -283.809789307865</f>
        <v>-941.82973181757006</v>
      </c>
      <c r="Q812" t="s">
        <v>15436</v>
      </c>
      <c r="R812" t="s">
        <v>15437</v>
      </c>
      <c r="S812" t="s">
        <v>15438</v>
      </c>
      <c r="T812" t="s">
        <v>15439</v>
      </c>
      <c r="U812" t="s">
        <v>15440</v>
      </c>
      <c r="V812">
        <f>-597.556065939171 -60.9065130738595 -92.0323633453656</f>
        <v>-750.4949423583962</v>
      </c>
      <c r="W812" t="s">
        <v>15441</v>
      </c>
      <c r="X812" t="s">
        <v>15442</v>
      </c>
      <c r="Y812" t="s">
        <v>15443</v>
      </c>
    </row>
    <row r="813" spans="1:25" x14ac:dyDescent="0.3">
      <c r="A813">
        <v>40600</v>
      </c>
      <c r="B813" t="s">
        <v>15444</v>
      </c>
      <c r="C813" t="s">
        <v>15445</v>
      </c>
      <c r="D813" t="s">
        <v>15446</v>
      </c>
      <c r="E813" t="s">
        <v>15447</v>
      </c>
      <c r="F813" t="s">
        <v>15448</v>
      </c>
      <c r="G813" t="s">
        <v>15449</v>
      </c>
      <c r="H813" t="s">
        <v>15450</v>
      </c>
      <c r="I813" t="s">
        <v>15451</v>
      </c>
      <c r="J813" t="s">
        <v>15452</v>
      </c>
      <c r="K813" t="s">
        <v>15453</v>
      </c>
      <c r="L813" t="s">
        <v>15454</v>
      </c>
      <c r="M813" t="s">
        <v>15455</v>
      </c>
      <c r="N813" t="s">
        <v>15456</v>
      </c>
      <c r="O813">
        <f>-685.233473056314 -146.920252232393 -508.231165460353</f>
        <v>-1340.3848907490599</v>
      </c>
      <c r="P813">
        <f>-508.241744175888 -145.495630168864 -288.571110114143</f>
        <v>-942.30848445889501</v>
      </c>
      <c r="Q813" t="s">
        <v>15457</v>
      </c>
      <c r="R813" t="s">
        <v>15458</v>
      </c>
      <c r="S813" t="s">
        <v>15459</v>
      </c>
      <c r="T813" t="s">
        <v>15460</v>
      </c>
      <c r="U813" t="s">
        <v>15461</v>
      </c>
      <c r="V813">
        <f>-598.708745561665 -60.5004137308856 -92.2109905162716</f>
        <v>-751.4201498088222</v>
      </c>
      <c r="W813" t="s">
        <v>15462</v>
      </c>
      <c r="X813" t="s">
        <v>15463</v>
      </c>
      <c r="Y813" t="s">
        <v>15464</v>
      </c>
    </row>
    <row r="814" spans="1:25" x14ac:dyDescent="0.3">
      <c r="A814">
        <v>40650</v>
      </c>
      <c r="B814" t="s">
        <v>15465</v>
      </c>
      <c r="C814" t="s">
        <v>15466</v>
      </c>
      <c r="D814" t="s">
        <v>15467</v>
      </c>
      <c r="E814" t="s">
        <v>15468</v>
      </c>
      <c r="F814" t="s">
        <v>15469</v>
      </c>
      <c r="G814" t="s">
        <v>15470</v>
      </c>
      <c r="H814" t="s">
        <v>15471</v>
      </c>
      <c r="I814" t="s">
        <v>15472</v>
      </c>
      <c r="J814" t="s">
        <v>15473</v>
      </c>
      <c r="K814" t="s">
        <v>15474</v>
      </c>
      <c r="L814" t="s">
        <v>15475</v>
      </c>
      <c r="M814" t="s">
        <v>15476</v>
      </c>
      <c r="N814" t="s">
        <v>15477</v>
      </c>
      <c r="O814">
        <f>-685.788028803217 -145.195163483508 -509.302582016341</f>
        <v>-1340.2857743030659</v>
      </c>
      <c r="P814">
        <f>-508.125666637652 -143.368707297572 -290.187708971741</f>
        <v>-941.68208290696498</v>
      </c>
      <c r="Q814" t="s">
        <v>15478</v>
      </c>
      <c r="R814" t="s">
        <v>15479</v>
      </c>
      <c r="S814" t="s">
        <v>15480</v>
      </c>
      <c r="T814" t="s">
        <v>15481</v>
      </c>
      <c r="U814" t="s">
        <v>15482</v>
      </c>
      <c r="V814">
        <f>-599.241108410216 -60.0442776847076 -92.3339521132795</f>
        <v>-751.61933820820309</v>
      </c>
      <c r="W814" t="s">
        <v>15483</v>
      </c>
      <c r="X814" t="s">
        <v>15484</v>
      </c>
      <c r="Y814" t="s">
        <v>15485</v>
      </c>
    </row>
    <row r="815" spans="1:25" x14ac:dyDescent="0.3">
      <c r="A815">
        <v>40700</v>
      </c>
      <c r="B815" t="s">
        <v>15486</v>
      </c>
      <c r="C815" t="s">
        <v>15487</v>
      </c>
      <c r="D815" t="s">
        <v>15488</v>
      </c>
      <c r="E815" t="s">
        <v>15489</v>
      </c>
      <c r="F815" t="s">
        <v>15490</v>
      </c>
      <c r="G815" t="s">
        <v>15491</v>
      </c>
      <c r="H815" t="s">
        <v>15492</v>
      </c>
      <c r="I815" t="s">
        <v>15493</v>
      </c>
      <c r="J815" t="s">
        <v>15494</v>
      </c>
      <c r="K815" t="s">
        <v>15495</v>
      </c>
      <c r="L815" t="s">
        <v>15496</v>
      </c>
      <c r="M815" t="s">
        <v>15497</v>
      </c>
      <c r="N815" t="s">
        <v>15498</v>
      </c>
      <c r="O815">
        <f>-685.987677071281 -143.674747199827 -510.238084913321</f>
        <v>-1339.9005091844292</v>
      </c>
      <c r="P815">
        <f>-508.176280633341 -140.841159522293 -291.254904882729</f>
        <v>-940.27234503836303</v>
      </c>
      <c r="Q815" t="s">
        <v>15499</v>
      </c>
      <c r="R815" t="s">
        <v>15500</v>
      </c>
      <c r="S815" t="s">
        <v>15501</v>
      </c>
      <c r="T815" t="s">
        <v>15502</v>
      </c>
      <c r="U815" t="s">
        <v>15503</v>
      </c>
      <c r="V815">
        <f>-599.703517698942 -59.5490016332633 -92.4479732577811</f>
        <v>-751.70049258998642</v>
      </c>
      <c r="W815" t="s">
        <v>15504</v>
      </c>
      <c r="X815" t="s">
        <v>15505</v>
      </c>
      <c r="Y815" t="s">
        <v>15506</v>
      </c>
    </row>
    <row r="816" spans="1:25" x14ac:dyDescent="0.3">
      <c r="A816">
        <v>40750</v>
      </c>
      <c r="B816" t="s">
        <v>15507</v>
      </c>
      <c r="C816" t="s">
        <v>15508</v>
      </c>
      <c r="D816" t="s">
        <v>15509</v>
      </c>
      <c r="E816" t="s">
        <v>15510</v>
      </c>
      <c r="F816" t="s">
        <v>15511</v>
      </c>
      <c r="G816" t="s">
        <v>15512</v>
      </c>
      <c r="H816" t="s">
        <v>15513</v>
      </c>
      <c r="I816" t="s">
        <v>15514</v>
      </c>
      <c r="J816" t="s">
        <v>15515</v>
      </c>
      <c r="K816" t="s">
        <v>15516</v>
      </c>
      <c r="L816" t="s">
        <v>15517</v>
      </c>
      <c r="M816" t="s">
        <v>15518</v>
      </c>
      <c r="N816" t="s">
        <v>15519</v>
      </c>
      <c r="O816">
        <f>-686.215718815937 -142.944853242796 -510.596273374982</f>
        <v>-1339.7568454337149</v>
      </c>
      <c r="P816">
        <f>-508.5119456895 -139.66180973894 -291.531967949222</f>
        <v>-939.70572337766203</v>
      </c>
      <c r="Q816" t="s">
        <v>15520</v>
      </c>
      <c r="R816" t="s">
        <v>15521</v>
      </c>
      <c r="S816" t="s">
        <v>15522</v>
      </c>
      <c r="T816" t="s">
        <v>15523</v>
      </c>
      <c r="U816" t="s">
        <v>15524</v>
      </c>
      <c r="V816">
        <f>-599.997108619757 -59.3617304358816 -92.5089970792768</f>
        <v>-751.86783613491536</v>
      </c>
      <c r="W816" t="s">
        <v>15525</v>
      </c>
      <c r="X816" t="s">
        <v>15526</v>
      </c>
      <c r="Y816" t="s">
        <v>15527</v>
      </c>
    </row>
    <row r="817" spans="1:25" x14ac:dyDescent="0.3">
      <c r="A817">
        <v>40800</v>
      </c>
      <c r="B817" t="s">
        <v>15528</v>
      </c>
      <c r="C817" t="s">
        <v>15529</v>
      </c>
      <c r="D817" t="s">
        <v>15530</v>
      </c>
      <c r="E817" t="s">
        <v>15531</v>
      </c>
      <c r="F817" t="s">
        <v>15532</v>
      </c>
      <c r="G817" t="s">
        <v>15533</v>
      </c>
      <c r="H817" t="s">
        <v>15534</v>
      </c>
      <c r="I817" t="s">
        <v>15535</v>
      </c>
      <c r="J817" t="s">
        <v>15536</v>
      </c>
      <c r="K817" t="s">
        <v>15537</v>
      </c>
      <c r="L817" t="s">
        <v>15538</v>
      </c>
      <c r="M817" t="s">
        <v>15539</v>
      </c>
      <c r="N817" t="s">
        <v>15540</v>
      </c>
      <c r="O817">
        <f>-686.462355224085 -141.860826782253 -511.109074639123</f>
        <v>-1339.4322566454609</v>
      </c>
      <c r="P817">
        <f>-509.024884026367 -138.498254704096 -291.830186186496</f>
        <v>-939.35332491695897</v>
      </c>
      <c r="Q817" t="s">
        <v>15541</v>
      </c>
      <c r="R817" t="s">
        <v>15542</v>
      </c>
      <c r="S817" t="s">
        <v>15543</v>
      </c>
      <c r="T817" t="s">
        <v>15544</v>
      </c>
      <c r="U817" t="s">
        <v>15545</v>
      </c>
      <c r="V817">
        <f>-601.010149290255 -59.1751436741736 -92.6188455271052</f>
        <v>-752.80413849153376</v>
      </c>
      <c r="W817" t="s">
        <v>15546</v>
      </c>
      <c r="X817" t="s">
        <v>15547</v>
      </c>
      <c r="Y817" t="s">
        <v>15548</v>
      </c>
    </row>
    <row r="818" spans="1:25" x14ac:dyDescent="0.3">
      <c r="A818">
        <v>40850</v>
      </c>
      <c r="B818" t="s">
        <v>15549</v>
      </c>
      <c r="C818" t="s">
        <v>15550</v>
      </c>
      <c r="D818" t="s">
        <v>15551</v>
      </c>
      <c r="E818" t="s">
        <v>15552</v>
      </c>
      <c r="F818" t="s">
        <v>15553</v>
      </c>
      <c r="G818" t="s">
        <v>15554</v>
      </c>
      <c r="H818" t="s">
        <v>15555</v>
      </c>
      <c r="I818" t="s">
        <v>15556</v>
      </c>
      <c r="J818" t="s">
        <v>15557</v>
      </c>
      <c r="K818" t="s">
        <v>15558</v>
      </c>
      <c r="L818" t="s">
        <v>15559</v>
      </c>
      <c r="M818" t="s">
        <v>15560</v>
      </c>
      <c r="N818" t="s">
        <v>15561</v>
      </c>
      <c r="O818">
        <f>-686.753329787777 -141.399382037102 -511.202785469246</f>
        <v>-1339.3554972941251</v>
      </c>
      <c r="P818">
        <f>-509.479630157702 -138.326678755334 -291.787206400551</f>
        <v>-939.59351531358698</v>
      </c>
      <c r="Q818" t="s">
        <v>15562</v>
      </c>
      <c r="R818" t="s">
        <v>15563</v>
      </c>
      <c r="S818" t="s">
        <v>15564</v>
      </c>
      <c r="T818" t="s">
        <v>15565</v>
      </c>
      <c r="U818" t="s">
        <v>15566</v>
      </c>
      <c r="V818">
        <f>-601.579522733434 -59.161699180451 -92.650533414191</f>
        <v>-753.3917553280761</v>
      </c>
      <c r="W818" t="s">
        <v>15567</v>
      </c>
      <c r="X818" t="s">
        <v>15568</v>
      </c>
      <c r="Y818" t="s">
        <v>15569</v>
      </c>
    </row>
    <row r="819" spans="1:25" x14ac:dyDescent="0.3">
      <c r="A819">
        <v>40900</v>
      </c>
      <c r="B819" t="s">
        <v>15570</v>
      </c>
      <c r="C819" t="s">
        <v>15571</v>
      </c>
      <c r="D819" t="s">
        <v>15572</v>
      </c>
      <c r="E819" t="s">
        <v>15573</v>
      </c>
      <c r="F819" t="s">
        <v>15574</v>
      </c>
      <c r="G819" t="s">
        <v>15575</v>
      </c>
      <c r="H819" t="s">
        <v>15576</v>
      </c>
      <c r="I819" t="s">
        <v>15577</v>
      </c>
      <c r="J819" t="s">
        <v>15578</v>
      </c>
      <c r="K819" t="s">
        <v>15579</v>
      </c>
      <c r="L819" t="s">
        <v>15580</v>
      </c>
      <c r="M819" t="s">
        <v>15581</v>
      </c>
      <c r="N819" t="s">
        <v>15582</v>
      </c>
      <c r="O819">
        <f>-687.32156172498 -141.243632510808 -511.303659595973</f>
        <v>-1339.868853831761</v>
      </c>
      <c r="P819">
        <f>-510.824049640166 -139.3774526086 -291.249800217204</f>
        <v>-941.45130246597</v>
      </c>
      <c r="Q819" t="s">
        <v>15583</v>
      </c>
      <c r="R819" t="s">
        <v>15584</v>
      </c>
      <c r="S819" t="s">
        <v>15585</v>
      </c>
      <c r="T819" t="s">
        <v>15586</v>
      </c>
      <c r="U819" t="s">
        <v>15587</v>
      </c>
      <c r="V819">
        <f>-602.7736690996 -59.2384398997383 -92.6594103790187</f>
        <v>-754.67151937835706</v>
      </c>
      <c r="W819" t="s">
        <v>15588</v>
      </c>
      <c r="X819" t="s">
        <v>15589</v>
      </c>
      <c r="Y819" t="s">
        <v>15590</v>
      </c>
    </row>
    <row r="820" spans="1:25" x14ac:dyDescent="0.3">
      <c r="A820">
        <v>40950</v>
      </c>
      <c r="B820" t="s">
        <v>15591</v>
      </c>
      <c r="C820" t="s">
        <v>15592</v>
      </c>
      <c r="D820" t="s">
        <v>15593</v>
      </c>
      <c r="E820" t="s">
        <v>15594</v>
      </c>
      <c r="F820" t="s">
        <v>15595</v>
      </c>
      <c r="G820" t="s">
        <v>15596</v>
      </c>
      <c r="H820" t="s">
        <v>15597</v>
      </c>
      <c r="I820" t="s">
        <v>15598</v>
      </c>
      <c r="J820" t="s">
        <v>15599</v>
      </c>
      <c r="K820" t="s">
        <v>15600</v>
      </c>
      <c r="L820" t="s">
        <v>15601</v>
      </c>
      <c r="M820" t="s">
        <v>15602</v>
      </c>
      <c r="N820" t="s">
        <v>15603</v>
      </c>
      <c r="O820">
        <f>-687.788315481786 -141.386541865922 -511.163146345707</f>
        <v>-1340.338003693415</v>
      </c>
      <c r="P820">
        <f>-511.84801002896 -140.257178078599 -290.658490619714</f>
        <v>-942.76367872727292</v>
      </c>
      <c r="Q820" t="s">
        <v>15604</v>
      </c>
      <c r="R820" t="s">
        <v>15605</v>
      </c>
      <c r="S820" t="s">
        <v>15606</v>
      </c>
      <c r="T820" t="s">
        <v>15607</v>
      </c>
      <c r="U820" t="s">
        <v>15608</v>
      </c>
      <c r="V820">
        <f>-603.296960069123 -59.2373200950835 -92.6618012487592</f>
        <v>-755.19608141296567</v>
      </c>
      <c r="W820" t="s">
        <v>15609</v>
      </c>
      <c r="X820" t="s">
        <v>15610</v>
      </c>
      <c r="Y820" t="s">
        <v>15611</v>
      </c>
    </row>
    <row r="821" spans="1:25" x14ac:dyDescent="0.3">
      <c r="A821">
        <v>41000</v>
      </c>
      <c r="B821" t="s">
        <v>15612</v>
      </c>
      <c r="C821" t="s">
        <v>15613</v>
      </c>
      <c r="D821" t="s">
        <v>15614</v>
      </c>
      <c r="E821" t="s">
        <v>15615</v>
      </c>
      <c r="F821" t="s">
        <v>15616</v>
      </c>
      <c r="G821" t="s">
        <v>15617</v>
      </c>
      <c r="H821" t="s">
        <v>15618</v>
      </c>
      <c r="I821" t="s">
        <v>15619</v>
      </c>
      <c r="J821" t="s">
        <v>15620</v>
      </c>
      <c r="K821" t="s">
        <v>15621</v>
      </c>
      <c r="L821" t="s">
        <v>15622</v>
      </c>
      <c r="M821" t="s">
        <v>15623</v>
      </c>
      <c r="N821" t="s">
        <v>15624</v>
      </c>
      <c r="O821">
        <f>-688.434714474295 -142.142590691052 -510.729534680565</f>
        <v>-1341.306839845912</v>
      </c>
      <c r="P821">
        <f>-513.862230027414 -141.767152954292 -289.13785531921</f>
        <v>-944.76723830091601</v>
      </c>
      <c r="Q821" t="s">
        <v>15625</v>
      </c>
      <c r="R821" t="s">
        <v>15626</v>
      </c>
      <c r="S821" t="s">
        <v>15627</v>
      </c>
      <c r="T821" t="s">
        <v>15628</v>
      </c>
      <c r="U821" t="s">
        <v>15629</v>
      </c>
      <c r="V821">
        <f>-604.337021504846 -59.2871691319467 -92.6590025400556</f>
        <v>-756.28319317684827</v>
      </c>
      <c r="W821" t="s">
        <v>15630</v>
      </c>
      <c r="X821" t="s">
        <v>15631</v>
      </c>
      <c r="Y821" t="s">
        <v>15632</v>
      </c>
    </row>
    <row r="822" spans="1:25" x14ac:dyDescent="0.3">
      <c r="A822">
        <v>41050</v>
      </c>
      <c r="B822" t="s">
        <v>15633</v>
      </c>
      <c r="C822" t="s">
        <v>15634</v>
      </c>
      <c r="D822" t="s">
        <v>15635</v>
      </c>
      <c r="E822" t="s">
        <v>15636</v>
      </c>
      <c r="F822" t="s">
        <v>15637</v>
      </c>
      <c r="G822" t="s">
        <v>15638</v>
      </c>
      <c r="H822" t="s">
        <v>15639</v>
      </c>
      <c r="I822" t="s">
        <v>15640</v>
      </c>
      <c r="J822" t="s">
        <v>15641</v>
      </c>
      <c r="K822" t="s">
        <v>15642</v>
      </c>
      <c r="L822" t="s">
        <v>15643</v>
      </c>
      <c r="M822" t="s">
        <v>15644</v>
      </c>
      <c r="N822" t="s">
        <v>15645</v>
      </c>
      <c r="O822">
        <f>-688.668814238862 -142.522739877959 -510.559470107271</f>
        <v>-1341.7510242240919</v>
      </c>
      <c r="P822">
        <f>-514.884091686951 -141.970330904067 -288.349806769974</f>
        <v>-945.20422936099203</v>
      </c>
      <c r="Q822" t="s">
        <v>15646</v>
      </c>
      <c r="R822" t="s">
        <v>15647</v>
      </c>
      <c r="S822" t="s">
        <v>15648</v>
      </c>
      <c r="T822" t="s">
        <v>15649</v>
      </c>
      <c r="U822" t="s">
        <v>15650</v>
      </c>
      <c r="V822">
        <f>-604.829832868963 -59.2129388237322 -92.6733457276895</f>
        <v>-756.71611742038465</v>
      </c>
      <c r="W822" t="s">
        <v>15651</v>
      </c>
      <c r="X822" t="s">
        <v>15652</v>
      </c>
      <c r="Y822" t="s">
        <v>15653</v>
      </c>
    </row>
    <row r="823" spans="1:25" x14ac:dyDescent="0.3">
      <c r="A823">
        <v>41100</v>
      </c>
      <c r="B823" t="s">
        <v>15654</v>
      </c>
      <c r="C823" t="s">
        <v>15655</v>
      </c>
      <c r="D823" t="s">
        <v>15656</v>
      </c>
      <c r="E823" t="s">
        <v>15657</v>
      </c>
      <c r="F823" t="s">
        <v>15658</v>
      </c>
      <c r="G823" t="s">
        <v>15659</v>
      </c>
      <c r="H823" t="s">
        <v>15660</v>
      </c>
      <c r="I823" t="s">
        <v>15661</v>
      </c>
      <c r="J823" t="s">
        <v>15662</v>
      </c>
      <c r="K823" t="s">
        <v>15663</v>
      </c>
      <c r="L823" t="s">
        <v>15664</v>
      </c>
      <c r="M823" t="s">
        <v>15665</v>
      </c>
      <c r="N823" t="s">
        <v>15666</v>
      </c>
      <c r="O823">
        <f>-689.191584844207 -143.375635164152 -510.093114639463</f>
        <v>-1342.6603346478219</v>
      </c>
      <c r="P823">
        <f>-516.378308402122 -142.199702618213 -287.129441939146</f>
        <v>-945.70745295948097</v>
      </c>
      <c r="Q823" t="s">
        <v>15667</v>
      </c>
      <c r="R823" t="s">
        <v>15668</v>
      </c>
      <c r="S823" t="s">
        <v>15669</v>
      </c>
      <c r="T823" t="s">
        <v>15670</v>
      </c>
      <c r="U823" t="s">
        <v>15671</v>
      </c>
      <c r="V823">
        <f>-605.925181701169 -59.0742144912701 -92.7082235342064</f>
        <v>-757.70761972664548</v>
      </c>
      <c r="W823" t="s">
        <v>15672</v>
      </c>
      <c r="X823" t="s">
        <v>15673</v>
      </c>
      <c r="Y823" t="s">
        <v>15674</v>
      </c>
    </row>
    <row r="824" spans="1:25" x14ac:dyDescent="0.3">
      <c r="A824">
        <v>41150</v>
      </c>
      <c r="B824" t="s">
        <v>15675</v>
      </c>
      <c r="C824" t="s">
        <v>15676</v>
      </c>
      <c r="D824" t="s">
        <v>15677</v>
      </c>
      <c r="E824" t="s">
        <v>15678</v>
      </c>
      <c r="F824" t="s">
        <v>15679</v>
      </c>
      <c r="G824" t="s">
        <v>15680</v>
      </c>
      <c r="H824" t="s">
        <v>15681</v>
      </c>
      <c r="I824" t="s">
        <v>15682</v>
      </c>
      <c r="J824" t="s">
        <v>15683</v>
      </c>
      <c r="K824" t="s">
        <v>15684</v>
      </c>
      <c r="L824" t="s">
        <v>15685</v>
      </c>
      <c r="M824" t="s">
        <v>15686</v>
      </c>
      <c r="N824" t="s">
        <v>15687</v>
      </c>
      <c r="O824">
        <f>-689.624112695576 -143.626744731583 -509.950300653225</f>
        <v>-1343.2011580803839</v>
      </c>
      <c r="P824">
        <f>-517.075513832603 -141.952489364533 -286.785013361464</f>
        <v>-945.81301655859988</v>
      </c>
      <c r="Q824" t="s">
        <v>15688</v>
      </c>
      <c r="R824" t="s">
        <v>15689</v>
      </c>
      <c r="S824" t="s">
        <v>15690</v>
      </c>
      <c r="T824" t="s">
        <v>15691</v>
      </c>
      <c r="U824" t="s">
        <v>15692</v>
      </c>
      <c r="V824">
        <f>-606.471856540226 -58.907007406312 -92.7177005768964</f>
        <v>-758.09656452343438</v>
      </c>
      <c r="W824" t="s">
        <v>15693</v>
      </c>
      <c r="X824" t="s">
        <v>15694</v>
      </c>
      <c r="Y824" t="s">
        <v>15695</v>
      </c>
    </row>
    <row r="825" spans="1:25" x14ac:dyDescent="0.3">
      <c r="A825">
        <v>41200</v>
      </c>
      <c r="B825" t="s">
        <v>15696</v>
      </c>
      <c r="C825" t="s">
        <v>15697</v>
      </c>
      <c r="D825" t="s">
        <v>15698</v>
      </c>
      <c r="E825" t="s">
        <v>15699</v>
      </c>
      <c r="F825" t="s">
        <v>15700</v>
      </c>
      <c r="G825" t="s">
        <v>15701</v>
      </c>
      <c r="H825" t="s">
        <v>15702</v>
      </c>
      <c r="I825" t="s">
        <v>15703</v>
      </c>
      <c r="J825" t="s">
        <v>15704</v>
      </c>
      <c r="K825" t="s">
        <v>15705</v>
      </c>
      <c r="L825" t="s">
        <v>15706</v>
      </c>
      <c r="M825" t="s">
        <v>15707</v>
      </c>
      <c r="N825" t="s">
        <v>15708</v>
      </c>
      <c r="O825">
        <f>-690.42642042899 -144.063922295392 -509.708161935104</f>
        <v>-1344.1985046594859</v>
      </c>
      <c r="P825">
        <f>-517.851890927458 -140.740642779453 -286.581349054651</f>
        <v>-945.17388276156203</v>
      </c>
      <c r="Q825" t="s">
        <v>15709</v>
      </c>
      <c r="R825" t="s">
        <v>15710</v>
      </c>
      <c r="S825" t="s">
        <v>15711</v>
      </c>
      <c r="T825" t="s">
        <v>15712</v>
      </c>
      <c r="U825" t="s">
        <v>15713</v>
      </c>
      <c r="V825">
        <f>-607.481663357298 -58.8215104148253 -92.7041126708507</f>
        <v>-759.00728644297396</v>
      </c>
      <c r="W825" t="s">
        <v>15714</v>
      </c>
      <c r="X825" t="s">
        <v>15715</v>
      </c>
      <c r="Y825" t="s">
        <v>15716</v>
      </c>
    </row>
    <row r="826" spans="1:25" x14ac:dyDescent="0.3">
      <c r="A826">
        <v>41250</v>
      </c>
      <c r="B826" t="s">
        <v>15717</v>
      </c>
      <c r="C826" t="s">
        <v>15718</v>
      </c>
      <c r="D826" t="s">
        <v>15719</v>
      </c>
      <c r="E826" t="s">
        <v>15720</v>
      </c>
      <c r="F826" t="s">
        <v>15721</v>
      </c>
      <c r="G826" t="s">
        <v>15722</v>
      </c>
      <c r="H826" t="s">
        <v>15723</v>
      </c>
      <c r="I826" t="s">
        <v>15724</v>
      </c>
      <c r="J826" t="s">
        <v>15725</v>
      </c>
      <c r="K826" t="s">
        <v>15726</v>
      </c>
      <c r="L826" t="s">
        <v>15727</v>
      </c>
      <c r="M826" t="s">
        <v>15728</v>
      </c>
      <c r="N826" t="s">
        <v>15729</v>
      </c>
      <c r="O826">
        <f>-690.818134929775 -144.424789906176 -509.661961740876</f>
        <v>-1344.904886576827</v>
      </c>
      <c r="P826">
        <f>-518.240937894143 -140.781891261323 -286.54218941035</f>
        <v>-945.56501856581599</v>
      </c>
      <c r="Q826" t="s">
        <v>15730</v>
      </c>
      <c r="R826" t="s">
        <v>15731</v>
      </c>
      <c r="S826" t="s">
        <v>15732</v>
      </c>
      <c r="T826" t="s">
        <v>15733</v>
      </c>
      <c r="U826" t="s">
        <v>15734</v>
      </c>
      <c r="V826">
        <f>-607.996324145075 -58.9272189737901 -92.706152083124</f>
        <v>-759.62969520198919</v>
      </c>
      <c r="W826" t="s">
        <v>15735</v>
      </c>
      <c r="X826" t="s">
        <v>15736</v>
      </c>
      <c r="Y826" t="s">
        <v>15737</v>
      </c>
    </row>
    <row r="827" spans="1:25" x14ac:dyDescent="0.3">
      <c r="A827">
        <v>41300</v>
      </c>
      <c r="B827" t="s">
        <v>15738</v>
      </c>
      <c r="C827" t="s">
        <v>15739</v>
      </c>
      <c r="D827" t="s">
        <v>15740</v>
      </c>
      <c r="E827" t="s">
        <v>15741</v>
      </c>
      <c r="F827" t="s">
        <v>15742</v>
      </c>
      <c r="G827" t="s">
        <v>15743</v>
      </c>
      <c r="H827" t="s">
        <v>15744</v>
      </c>
      <c r="I827" t="s">
        <v>15745</v>
      </c>
      <c r="J827" t="s">
        <v>15746</v>
      </c>
      <c r="K827" t="s">
        <v>15747</v>
      </c>
      <c r="L827" t="s">
        <v>15748</v>
      </c>
      <c r="M827" t="s">
        <v>15749</v>
      </c>
      <c r="N827" t="s">
        <v>15750</v>
      </c>
      <c r="O827">
        <f>-691.213486453425 -145.972354768476 -509.349144390176</f>
        <v>-1346.534985612077</v>
      </c>
      <c r="P827">
        <f>-519.04974969886 -141.307038462457 -285.929177515678</f>
        <v>-946.28596567699492</v>
      </c>
      <c r="Q827" t="s">
        <v>15751</v>
      </c>
      <c r="R827" t="s">
        <v>15752</v>
      </c>
      <c r="S827" t="s">
        <v>15753</v>
      </c>
      <c r="T827" t="s">
        <v>15754</v>
      </c>
      <c r="U827" t="s">
        <v>15755</v>
      </c>
      <c r="V827">
        <f>-608.611806799119 -59.491217096539 -92.7355109893469</f>
        <v>-760.83853488500495</v>
      </c>
      <c r="W827" t="s">
        <v>15756</v>
      </c>
      <c r="X827" t="s">
        <v>15757</v>
      </c>
      <c r="Y827" t="s">
        <v>15758</v>
      </c>
    </row>
    <row r="828" spans="1:25" x14ac:dyDescent="0.3">
      <c r="A828">
        <v>41350</v>
      </c>
      <c r="B828" t="s">
        <v>15759</v>
      </c>
      <c r="C828" t="s">
        <v>15760</v>
      </c>
      <c r="D828" t="s">
        <v>15761</v>
      </c>
      <c r="E828" t="s">
        <v>15762</v>
      </c>
      <c r="F828" t="s">
        <v>15763</v>
      </c>
      <c r="G828" t="s">
        <v>15764</v>
      </c>
      <c r="H828" t="s">
        <v>15765</v>
      </c>
      <c r="I828" t="s">
        <v>15766</v>
      </c>
      <c r="J828" t="s">
        <v>15767</v>
      </c>
      <c r="K828" t="s">
        <v>15768</v>
      </c>
      <c r="L828" t="s">
        <v>15769</v>
      </c>
      <c r="M828" t="s">
        <v>15770</v>
      </c>
      <c r="N828" t="s">
        <v>15771</v>
      </c>
      <c r="O828">
        <f>-691.257674917217 -146.791582098898 -509.079939980844</f>
        <v>-1347.1291969969591</v>
      </c>
      <c r="P828">
        <f>-519.483682736906 -141.008235385913 -285.386277967262</f>
        <v>-945.87819609008102</v>
      </c>
      <c r="Q828" t="s">
        <v>15772</v>
      </c>
      <c r="R828" t="s">
        <v>15773</v>
      </c>
      <c r="S828" t="s">
        <v>15774</v>
      </c>
      <c r="T828" t="s">
        <v>15775</v>
      </c>
      <c r="U828" t="s">
        <v>15776</v>
      </c>
      <c r="V828">
        <f>-608.778121475091 -59.9380321230678 -92.7504978130848</f>
        <v>-761.46665141124367</v>
      </c>
      <c r="W828" t="s">
        <v>15777</v>
      </c>
      <c r="X828" t="s">
        <v>15778</v>
      </c>
      <c r="Y828" t="s">
        <v>15779</v>
      </c>
    </row>
    <row r="829" spans="1:25" x14ac:dyDescent="0.3">
      <c r="A829">
        <v>41400</v>
      </c>
      <c r="B829" t="s">
        <v>15780</v>
      </c>
      <c r="C829" t="s">
        <v>15781</v>
      </c>
      <c r="D829" t="s">
        <v>15782</v>
      </c>
      <c r="E829" t="s">
        <v>15783</v>
      </c>
      <c r="F829" t="s">
        <v>15784</v>
      </c>
      <c r="G829" t="s">
        <v>15785</v>
      </c>
      <c r="H829" t="s">
        <v>15786</v>
      </c>
      <c r="I829" t="s">
        <v>15787</v>
      </c>
      <c r="J829" t="s">
        <v>15788</v>
      </c>
      <c r="K829" t="s">
        <v>15789</v>
      </c>
      <c r="L829" t="s">
        <v>15790</v>
      </c>
      <c r="M829" t="s">
        <v>15791</v>
      </c>
      <c r="N829" t="s">
        <v>15792</v>
      </c>
      <c r="O829">
        <f>-691.135648835354 -147.745909140963 -509.169403515956</f>
        <v>-1348.050961492273</v>
      </c>
      <c r="P829">
        <f>-520.226533547813 -140.464962319595 -284.857978922312</f>
        <v>-945.54947478971997</v>
      </c>
      <c r="Q829" t="s">
        <v>15793</v>
      </c>
      <c r="R829" t="s">
        <v>15794</v>
      </c>
      <c r="S829" t="s">
        <v>15795</v>
      </c>
      <c r="T829" t="s">
        <v>15796</v>
      </c>
      <c r="U829" t="s">
        <v>15797</v>
      </c>
      <c r="V829">
        <f>-609.19830360409 -60.9920262837043 -92.7993997137819</f>
        <v>-762.98972960157619</v>
      </c>
      <c r="W829" t="s">
        <v>15798</v>
      </c>
      <c r="X829" t="s">
        <v>15799</v>
      </c>
      <c r="Y829" t="s">
        <v>15800</v>
      </c>
    </row>
    <row r="830" spans="1:25" x14ac:dyDescent="0.3">
      <c r="A830">
        <v>41450</v>
      </c>
      <c r="B830" t="s">
        <v>15801</v>
      </c>
      <c r="C830" t="s">
        <v>15802</v>
      </c>
      <c r="D830" t="s">
        <v>15803</v>
      </c>
      <c r="E830" t="s">
        <v>15804</v>
      </c>
      <c r="F830" t="s">
        <v>15805</v>
      </c>
      <c r="G830" t="s">
        <v>15806</v>
      </c>
      <c r="H830" t="s">
        <v>15807</v>
      </c>
      <c r="I830" t="s">
        <v>15808</v>
      </c>
      <c r="J830" t="s">
        <v>15809</v>
      </c>
      <c r="K830" t="s">
        <v>15810</v>
      </c>
      <c r="L830" t="s">
        <v>15811</v>
      </c>
      <c r="M830" t="s">
        <v>15812</v>
      </c>
      <c r="N830" t="s">
        <v>15813</v>
      </c>
      <c r="O830">
        <f>-691.241935251258 -148.07313428448 -509.49907547592</f>
        <v>-1348.8141450116582</v>
      </c>
      <c r="P830">
        <f>-520.535326306477 -140.852067968294 -285.03151815374</f>
        <v>-946.41891242851102</v>
      </c>
      <c r="Q830" t="s">
        <v>15814</v>
      </c>
      <c r="R830" t="s">
        <v>15815</v>
      </c>
      <c r="S830" t="s">
        <v>15816</v>
      </c>
      <c r="T830" t="s">
        <v>15817</v>
      </c>
      <c r="U830" t="s">
        <v>15818</v>
      </c>
      <c r="V830">
        <f>-609.421642515942 -61.49257292483 -92.8109600810658</f>
        <v>-763.72517552183785</v>
      </c>
      <c r="W830" t="s">
        <v>15819</v>
      </c>
      <c r="X830" t="s">
        <v>15820</v>
      </c>
      <c r="Y830" t="s">
        <v>15821</v>
      </c>
    </row>
    <row r="831" spans="1:25" x14ac:dyDescent="0.3">
      <c r="A831">
        <v>41500</v>
      </c>
      <c r="B831" t="s">
        <v>15822</v>
      </c>
      <c r="C831" t="s">
        <v>15823</v>
      </c>
      <c r="D831" t="s">
        <v>15824</v>
      </c>
      <c r="E831" t="s">
        <v>15825</v>
      </c>
      <c r="F831" t="s">
        <v>15826</v>
      </c>
      <c r="G831" t="s">
        <v>15827</v>
      </c>
      <c r="H831" t="s">
        <v>15828</v>
      </c>
      <c r="I831" t="s">
        <v>15829</v>
      </c>
      <c r="J831" t="s">
        <v>15830</v>
      </c>
      <c r="K831" t="s">
        <v>15831</v>
      </c>
      <c r="L831" t="s">
        <v>15832</v>
      </c>
      <c r="M831" t="s">
        <v>15833</v>
      </c>
      <c r="N831" t="s">
        <v>15834</v>
      </c>
      <c r="O831">
        <f>-691.790910958642 -148.556008283437 -510.294416063191</f>
        <v>-1350.6413353052701</v>
      </c>
      <c r="P831">
        <f>-520.683955715722 -141.886481357097 -286.114875806756</f>
        <v>-948.68531287957501</v>
      </c>
      <c r="Q831" t="s">
        <v>15835</v>
      </c>
      <c r="R831" t="s">
        <v>15836</v>
      </c>
      <c r="S831" t="s">
        <v>15837</v>
      </c>
      <c r="T831" t="s">
        <v>15838</v>
      </c>
      <c r="U831" t="s">
        <v>15839</v>
      </c>
      <c r="V831">
        <f>-609.899399594804 -62.4776383261162 -92.8199461778919</f>
        <v>-765.19698409881209</v>
      </c>
      <c r="W831" t="s">
        <v>15840</v>
      </c>
      <c r="X831" t="s">
        <v>15841</v>
      </c>
      <c r="Y831" t="s">
        <v>15842</v>
      </c>
    </row>
    <row r="832" spans="1:25" x14ac:dyDescent="0.3">
      <c r="A832">
        <v>41550</v>
      </c>
      <c r="B832" t="s">
        <v>15843</v>
      </c>
      <c r="C832" t="s">
        <v>15844</v>
      </c>
      <c r="D832" t="s">
        <v>15845</v>
      </c>
      <c r="E832" t="s">
        <v>15846</v>
      </c>
      <c r="F832" t="s">
        <v>15847</v>
      </c>
      <c r="G832" t="s">
        <v>15848</v>
      </c>
      <c r="H832" t="s">
        <v>15849</v>
      </c>
      <c r="I832" t="s">
        <v>15850</v>
      </c>
      <c r="J832" t="s">
        <v>15851</v>
      </c>
      <c r="K832" t="s">
        <v>15852</v>
      </c>
      <c r="L832" t="s">
        <v>15853</v>
      </c>
      <c r="M832" t="s">
        <v>15854</v>
      </c>
      <c r="N832" t="s">
        <v>15855</v>
      </c>
      <c r="O832">
        <f>-692.201895075978 -148.867845570321 -510.595245245882</f>
        <v>-1351.664985892181</v>
      </c>
      <c r="P832">
        <f>-520.764300219714 -142.308732690285 -286.665015427169</f>
        <v>-949.73804833716804</v>
      </c>
      <c r="Q832" t="s">
        <v>15856</v>
      </c>
      <c r="R832" t="s">
        <v>15857</v>
      </c>
      <c r="S832" t="s">
        <v>15858</v>
      </c>
      <c r="T832" t="s">
        <v>15859</v>
      </c>
      <c r="U832" t="s">
        <v>15860</v>
      </c>
      <c r="V832">
        <f>-610.207220733366 -62.9073255617898 -92.8399366727631</f>
        <v>-765.95448296791881</v>
      </c>
      <c r="W832" t="s">
        <v>15861</v>
      </c>
      <c r="X832" t="s">
        <v>15862</v>
      </c>
      <c r="Y832" t="s">
        <v>15863</v>
      </c>
    </row>
    <row r="833" spans="1:25" x14ac:dyDescent="0.3">
      <c r="A833">
        <v>41600</v>
      </c>
      <c r="B833" t="s">
        <v>15864</v>
      </c>
      <c r="C833" t="s">
        <v>15865</v>
      </c>
      <c r="D833" t="s">
        <v>15866</v>
      </c>
      <c r="E833" t="s">
        <v>15867</v>
      </c>
      <c r="F833" t="s">
        <v>15868</v>
      </c>
      <c r="G833" t="s">
        <v>15869</v>
      </c>
      <c r="H833" t="s">
        <v>15870</v>
      </c>
      <c r="I833" t="s">
        <v>15871</v>
      </c>
      <c r="J833" t="s">
        <v>15872</v>
      </c>
      <c r="K833" t="s">
        <v>15873</v>
      </c>
      <c r="L833" t="s">
        <v>15874</v>
      </c>
      <c r="M833" t="s">
        <v>15875</v>
      </c>
      <c r="N833" t="s">
        <v>15876</v>
      </c>
      <c r="O833">
        <f>-692.698894910643 -149.433061963991 -510.892503616832</f>
        <v>-1353.024460491466</v>
      </c>
      <c r="P833">
        <f>-520.732112324611 -142.509345850001 -287.379423594543</f>
        <v>-950.62088176915506</v>
      </c>
      <c r="Q833" t="s">
        <v>15877</v>
      </c>
      <c r="R833" t="s">
        <v>15878</v>
      </c>
      <c r="S833" t="s">
        <v>15879</v>
      </c>
      <c r="T833" t="s">
        <v>15880</v>
      </c>
      <c r="U833" t="s">
        <v>15881</v>
      </c>
      <c r="V833">
        <f>-610.589408813927 -63.5609511313637 -92.8923648280311</f>
        <v>-767.04272477332177</v>
      </c>
      <c r="W833" t="s">
        <v>15882</v>
      </c>
      <c r="X833" t="s">
        <v>15883</v>
      </c>
      <c r="Y833" t="s">
        <v>15884</v>
      </c>
    </row>
    <row r="834" spans="1:25" x14ac:dyDescent="0.3">
      <c r="A834">
        <v>41650</v>
      </c>
      <c r="B834" t="s">
        <v>15885</v>
      </c>
      <c r="C834" t="s">
        <v>15886</v>
      </c>
      <c r="D834" t="s">
        <v>15887</v>
      </c>
      <c r="E834" t="s">
        <v>15888</v>
      </c>
      <c r="F834" t="s">
        <v>15889</v>
      </c>
      <c r="G834" t="s">
        <v>15890</v>
      </c>
      <c r="H834" t="s">
        <v>15891</v>
      </c>
      <c r="I834" t="s">
        <v>15892</v>
      </c>
      <c r="J834" t="s">
        <v>15893</v>
      </c>
      <c r="K834" t="s">
        <v>15894</v>
      </c>
      <c r="L834" t="s">
        <v>15895</v>
      </c>
      <c r="M834" t="s">
        <v>15896</v>
      </c>
      <c r="N834" t="s">
        <v>15897</v>
      </c>
      <c r="O834">
        <f>-692.965363479206 -149.655859113614 -510.89608074891</f>
        <v>-1353.51730334173</v>
      </c>
      <c r="P834">
        <f>-520.843674167058 -142.349953432179 -287.514426648399</f>
        <v>-950.70805424763603</v>
      </c>
      <c r="Q834" t="s">
        <v>15898</v>
      </c>
      <c r="R834" t="s">
        <v>15899</v>
      </c>
      <c r="S834" t="s">
        <v>15900</v>
      </c>
      <c r="T834" t="s">
        <v>15901</v>
      </c>
      <c r="U834" t="s">
        <v>15902</v>
      </c>
      <c r="V834">
        <f>-610.828163310184 -63.8060368354945 -92.9025974847991</f>
        <v>-767.53679763047762</v>
      </c>
      <c r="W834" t="s">
        <v>15903</v>
      </c>
      <c r="X834" t="s">
        <v>15904</v>
      </c>
      <c r="Y834" t="s">
        <v>15905</v>
      </c>
    </row>
    <row r="835" spans="1:25" x14ac:dyDescent="0.3">
      <c r="A835">
        <v>41700</v>
      </c>
      <c r="B835" t="s">
        <v>15906</v>
      </c>
      <c r="C835" t="s">
        <v>15907</v>
      </c>
      <c r="D835" t="s">
        <v>15908</v>
      </c>
      <c r="E835" t="s">
        <v>15909</v>
      </c>
      <c r="F835" t="s">
        <v>15910</v>
      </c>
      <c r="G835" t="s">
        <v>15911</v>
      </c>
      <c r="H835" t="s">
        <v>15912</v>
      </c>
      <c r="I835" t="s">
        <v>15913</v>
      </c>
      <c r="J835" t="s">
        <v>15914</v>
      </c>
      <c r="K835" t="s">
        <v>15915</v>
      </c>
      <c r="L835" t="s">
        <v>15916</v>
      </c>
      <c r="M835" t="s">
        <v>15917</v>
      </c>
      <c r="N835" t="s">
        <v>15918</v>
      </c>
      <c r="O835">
        <f>-693.982503434731 -150.095506777838 -510.526148699676</f>
        <v>-1354.6041589122451</v>
      </c>
      <c r="P835">
        <f>-521.379252513683 -142.370897703646 -287.530511273056</f>
        <v>-951.280661490385</v>
      </c>
      <c r="Q835" t="s">
        <v>15919</v>
      </c>
      <c r="R835" t="s">
        <v>15920</v>
      </c>
      <c r="S835" t="s">
        <v>15921</v>
      </c>
      <c r="T835" t="s">
        <v>15922</v>
      </c>
      <c r="U835" t="s">
        <v>15923</v>
      </c>
      <c r="V835">
        <f>-611.203821543326 -64.0419973503185 -92.8891478004191</f>
        <v>-768.13496669406356</v>
      </c>
      <c r="W835" t="s">
        <v>15924</v>
      </c>
      <c r="X835" t="s">
        <v>15925</v>
      </c>
      <c r="Y835" t="s">
        <v>15926</v>
      </c>
    </row>
    <row r="836" spans="1:25" x14ac:dyDescent="0.3">
      <c r="A836">
        <v>41750</v>
      </c>
      <c r="B836" t="s">
        <v>15927</v>
      </c>
      <c r="C836" t="s">
        <v>15928</v>
      </c>
      <c r="D836" t="s">
        <v>15929</v>
      </c>
      <c r="E836" t="s">
        <v>15930</v>
      </c>
      <c r="F836" t="s">
        <v>15931</v>
      </c>
      <c r="G836" t="s">
        <v>15932</v>
      </c>
      <c r="H836" t="s">
        <v>15933</v>
      </c>
      <c r="I836" t="s">
        <v>15934</v>
      </c>
      <c r="J836" t="s">
        <v>15935</v>
      </c>
      <c r="K836" t="s">
        <v>15936</v>
      </c>
      <c r="L836" t="s">
        <v>15937</v>
      </c>
      <c r="M836" t="s">
        <v>15938</v>
      </c>
      <c r="N836" t="s">
        <v>15939</v>
      </c>
      <c r="O836">
        <f>-694.545622669816 -150.283731940459 -510.27242071059</f>
        <v>-1355.101775320865</v>
      </c>
      <c r="P836">
        <f>-521.727791340336 -142.513020490781 -287.444730947004</f>
        <v>-951.68554277812109</v>
      </c>
      <c r="Q836" t="s">
        <v>15940</v>
      </c>
      <c r="R836" t="s">
        <v>15941</v>
      </c>
      <c r="S836" t="s">
        <v>15942</v>
      </c>
      <c r="T836" t="s">
        <v>15943</v>
      </c>
      <c r="U836" t="s">
        <v>15944</v>
      </c>
      <c r="V836">
        <f>-611.327845789318 -64.0621484931803 -92.8766858297028</f>
        <v>-768.26668011220102</v>
      </c>
      <c r="W836" t="s">
        <v>15945</v>
      </c>
      <c r="X836" t="s">
        <v>15946</v>
      </c>
      <c r="Y836" t="s">
        <v>15947</v>
      </c>
    </row>
    <row r="837" spans="1:25" x14ac:dyDescent="0.3">
      <c r="A837">
        <v>41800</v>
      </c>
      <c r="B837" t="s">
        <v>15948</v>
      </c>
      <c r="C837" t="s">
        <v>15949</v>
      </c>
      <c r="D837" t="s">
        <v>15950</v>
      </c>
      <c r="E837" t="s">
        <v>15951</v>
      </c>
      <c r="F837" t="s">
        <v>15952</v>
      </c>
      <c r="G837" t="s">
        <v>15953</v>
      </c>
      <c r="H837" t="s">
        <v>15954</v>
      </c>
      <c r="I837" t="s">
        <v>15955</v>
      </c>
      <c r="J837" t="s">
        <v>15956</v>
      </c>
      <c r="K837" t="s">
        <v>15957</v>
      </c>
      <c r="L837" t="s">
        <v>15958</v>
      </c>
      <c r="M837" t="s">
        <v>15959</v>
      </c>
      <c r="N837" t="s">
        <v>15960</v>
      </c>
      <c r="O837">
        <f>-695.122966031078 -150.446647838063 -509.960777499773</f>
        <v>-1355.530391368914</v>
      </c>
      <c r="P837">
        <f>-522.061194354577 -142.676173482036 -287.322556124717</f>
        <v>-952.05992396133001</v>
      </c>
      <c r="Q837" t="s">
        <v>15961</v>
      </c>
      <c r="R837" t="s">
        <v>15962</v>
      </c>
      <c r="S837" t="s">
        <v>15963</v>
      </c>
      <c r="T837" t="s">
        <v>15964</v>
      </c>
      <c r="U837" t="s">
        <v>15965</v>
      </c>
      <c r="V837">
        <f>-611.460510668974 -63.9255197891123 -92.8637172974007</f>
        <v>-768.24974775548708</v>
      </c>
      <c r="W837" t="s">
        <v>15966</v>
      </c>
      <c r="X837" t="s">
        <v>15967</v>
      </c>
      <c r="Y837" t="s">
        <v>15968</v>
      </c>
    </row>
    <row r="838" spans="1:25" x14ac:dyDescent="0.3">
      <c r="A838">
        <v>41850</v>
      </c>
      <c r="B838" t="s">
        <v>15948</v>
      </c>
      <c r="C838" t="s">
        <v>15949</v>
      </c>
      <c r="D838" t="s">
        <v>15950</v>
      </c>
      <c r="E838" t="s">
        <v>15951</v>
      </c>
      <c r="F838" t="s">
        <v>15952</v>
      </c>
      <c r="G838" t="s">
        <v>15953</v>
      </c>
      <c r="H838" t="s">
        <v>15954</v>
      </c>
      <c r="I838" t="s">
        <v>15955</v>
      </c>
      <c r="J838" t="s">
        <v>15956</v>
      </c>
      <c r="K838" t="s">
        <v>15957</v>
      </c>
      <c r="L838" t="s">
        <v>15958</v>
      </c>
      <c r="M838" t="s">
        <v>15959</v>
      </c>
      <c r="N838" t="s">
        <v>15960</v>
      </c>
      <c r="O838">
        <f>-695.122966031078 -150.446647838063 -509.960777499773</f>
        <v>-1355.530391368914</v>
      </c>
      <c r="P838">
        <f>-522.061194354577 -142.676173482036 -287.322556124717</f>
        <v>-952.05992396133001</v>
      </c>
      <c r="Q838" t="s">
        <v>15961</v>
      </c>
      <c r="R838" t="s">
        <v>15962</v>
      </c>
      <c r="S838" t="s">
        <v>15963</v>
      </c>
      <c r="T838" t="s">
        <v>15964</v>
      </c>
      <c r="U838" t="s">
        <v>15965</v>
      </c>
      <c r="V838">
        <f>-611.460510668974 -63.9255197891123 -92.8637172974007</f>
        <v>-768.24974775548708</v>
      </c>
      <c r="W838" t="s">
        <v>15966</v>
      </c>
      <c r="X838" t="s">
        <v>15967</v>
      </c>
      <c r="Y838" t="s">
        <v>15968</v>
      </c>
    </row>
    <row r="839" spans="1:25" x14ac:dyDescent="0.3">
      <c r="A839">
        <v>41900</v>
      </c>
      <c r="B839" t="s">
        <v>15969</v>
      </c>
      <c r="C839" t="s">
        <v>15970</v>
      </c>
      <c r="D839" t="s">
        <v>15971</v>
      </c>
      <c r="E839" t="s">
        <v>15972</v>
      </c>
      <c r="F839" t="s">
        <v>15973</v>
      </c>
      <c r="G839" t="s">
        <v>15974</v>
      </c>
      <c r="H839" t="s">
        <v>15975</v>
      </c>
      <c r="I839" t="s">
        <v>15976</v>
      </c>
      <c r="J839" t="s">
        <v>15977</v>
      </c>
      <c r="K839" t="s">
        <v>15978</v>
      </c>
      <c r="L839" t="s">
        <v>15979</v>
      </c>
      <c r="M839" t="s">
        <v>15980</v>
      </c>
      <c r="N839" t="s">
        <v>15981</v>
      </c>
      <c r="O839">
        <f>-695.723974626337 -150.543075816386 -509.655428635932</f>
        <v>-1355.9224790786552</v>
      </c>
      <c r="P839">
        <f>-522.417147342645 -142.585860948076 -287.214455865192</f>
        <v>-952.21746415591304</v>
      </c>
      <c r="Q839" t="s">
        <v>15982</v>
      </c>
      <c r="R839" t="s">
        <v>15983</v>
      </c>
      <c r="S839" t="s">
        <v>15984</v>
      </c>
      <c r="T839" t="s">
        <v>15985</v>
      </c>
      <c r="U839" t="s">
        <v>15986</v>
      </c>
      <c r="V839">
        <f>-611.64493260875 -63.7666381106756 -92.851377297323</f>
        <v>-768.26294801674851</v>
      </c>
      <c r="W839" t="s">
        <v>15987</v>
      </c>
      <c r="X839" t="s">
        <v>15988</v>
      </c>
      <c r="Y839" t="s">
        <v>15989</v>
      </c>
    </row>
    <row r="840" spans="1:25" x14ac:dyDescent="0.3">
      <c r="A840">
        <v>41950</v>
      </c>
      <c r="B840" t="s">
        <v>15969</v>
      </c>
      <c r="C840" t="s">
        <v>15970</v>
      </c>
      <c r="D840" t="s">
        <v>15971</v>
      </c>
      <c r="E840" t="s">
        <v>15972</v>
      </c>
      <c r="F840" t="s">
        <v>15973</v>
      </c>
      <c r="G840" t="s">
        <v>15974</v>
      </c>
      <c r="H840" t="s">
        <v>15975</v>
      </c>
      <c r="I840" t="s">
        <v>15976</v>
      </c>
      <c r="J840" t="s">
        <v>15977</v>
      </c>
      <c r="K840" t="s">
        <v>15978</v>
      </c>
      <c r="L840" t="s">
        <v>15979</v>
      </c>
      <c r="M840" t="s">
        <v>15980</v>
      </c>
      <c r="N840" t="s">
        <v>15981</v>
      </c>
      <c r="O840">
        <f>-695.723974626337 -150.543075816386 -509.655428635932</f>
        <v>-1355.9224790786552</v>
      </c>
      <c r="P840">
        <f>-522.417147342645 -142.585860948076 -287.214455865192</f>
        <v>-952.21746415591304</v>
      </c>
      <c r="Q840" t="s">
        <v>15982</v>
      </c>
      <c r="R840" t="s">
        <v>15983</v>
      </c>
      <c r="S840" t="s">
        <v>15984</v>
      </c>
      <c r="T840" t="s">
        <v>15985</v>
      </c>
      <c r="U840" t="s">
        <v>15986</v>
      </c>
      <c r="V840">
        <f>-611.64493260875 -63.7666381106756 -92.851377297323</f>
        <v>-768.26294801674851</v>
      </c>
      <c r="W840" t="s">
        <v>15987</v>
      </c>
      <c r="X840" t="s">
        <v>15988</v>
      </c>
      <c r="Y840" t="s">
        <v>15989</v>
      </c>
    </row>
    <row r="841" spans="1:25" x14ac:dyDescent="0.3">
      <c r="A841">
        <v>42000</v>
      </c>
      <c r="B841" t="s">
        <v>15990</v>
      </c>
      <c r="C841" t="s">
        <v>15991</v>
      </c>
      <c r="D841" t="s">
        <v>15992</v>
      </c>
      <c r="E841" t="s">
        <v>15993</v>
      </c>
      <c r="F841" t="s">
        <v>15994</v>
      </c>
      <c r="G841" t="s">
        <v>15995</v>
      </c>
      <c r="H841" t="s">
        <v>15996</v>
      </c>
      <c r="I841" t="s">
        <v>15997</v>
      </c>
      <c r="J841" t="s">
        <v>15998</v>
      </c>
      <c r="K841" t="s">
        <v>15999</v>
      </c>
      <c r="L841" t="s">
        <v>16000</v>
      </c>
      <c r="M841" t="s">
        <v>16001</v>
      </c>
      <c r="N841" t="s">
        <v>16002</v>
      </c>
      <c r="O841">
        <f>-698.654637851835 -151.608834681087 -507.852513694239</f>
        <v>-1358.1159862271609</v>
      </c>
      <c r="P841">
        <f>-524.487766985646 -141.213580421227 -286.185081023008</f>
        <v>-951.88642842988099</v>
      </c>
      <c r="Q841" t="s">
        <v>16003</v>
      </c>
      <c r="R841" t="s">
        <v>16004</v>
      </c>
      <c r="S841" t="s">
        <v>16005</v>
      </c>
      <c r="T841" t="s">
        <v>16006</v>
      </c>
      <c r="U841" t="s">
        <v>16007</v>
      </c>
      <c r="V841">
        <f>-613.3854821485 -62.81179569407 -92.7399483918241</f>
        <v>-768.93722623439419</v>
      </c>
      <c r="W841" t="s">
        <v>16008</v>
      </c>
      <c r="X841" t="s">
        <v>16009</v>
      </c>
      <c r="Y841" t="s">
        <v>16010</v>
      </c>
    </row>
    <row r="842" spans="1:25" x14ac:dyDescent="0.3">
      <c r="A842">
        <v>42050</v>
      </c>
      <c r="B842" t="s">
        <v>16011</v>
      </c>
      <c r="C842" t="s">
        <v>16012</v>
      </c>
      <c r="D842" t="s">
        <v>16013</v>
      </c>
      <c r="E842" t="s">
        <v>16014</v>
      </c>
      <c r="F842" t="s">
        <v>16015</v>
      </c>
      <c r="G842" t="s">
        <v>16016</v>
      </c>
      <c r="H842" t="s">
        <v>16017</v>
      </c>
      <c r="I842" t="s">
        <v>16018</v>
      </c>
      <c r="J842" t="s">
        <v>16019</v>
      </c>
      <c r="K842" t="s">
        <v>16020</v>
      </c>
      <c r="L842" t="s">
        <v>16021</v>
      </c>
      <c r="M842" t="s">
        <v>16022</v>
      </c>
      <c r="N842" t="s">
        <v>16023</v>
      </c>
      <c r="O842">
        <f>-698.857605041753 -151.879811892188 -507.644171780252</f>
        <v>-1358.381588714193</v>
      </c>
      <c r="P842">
        <f>-525.13597698839 -141.354399694619 -285.633858629356</f>
        <v>-952.12423531236504</v>
      </c>
      <c r="Q842" t="s">
        <v>16024</v>
      </c>
      <c r="R842" t="s">
        <v>16025</v>
      </c>
      <c r="S842" t="s">
        <v>16026</v>
      </c>
      <c r="T842" t="s">
        <v>16027</v>
      </c>
      <c r="U842" t="s">
        <v>16028</v>
      </c>
      <c r="V842">
        <f>-613.689517527803 -62.7960714930748 -92.7177958417971</f>
        <v>-769.20338486267485</v>
      </c>
      <c r="W842" t="s">
        <v>16029</v>
      </c>
      <c r="X842" t="s">
        <v>16030</v>
      </c>
      <c r="Y842" t="s">
        <v>16031</v>
      </c>
    </row>
    <row r="843" spans="1:25" x14ac:dyDescent="0.3">
      <c r="A843">
        <v>42100</v>
      </c>
      <c r="B843" t="s">
        <v>16032</v>
      </c>
      <c r="C843" t="s">
        <v>16033</v>
      </c>
      <c r="D843" t="s">
        <v>16034</v>
      </c>
      <c r="E843" t="s">
        <v>16035</v>
      </c>
      <c r="F843" t="s">
        <v>16036</v>
      </c>
      <c r="G843" t="s">
        <v>16037</v>
      </c>
      <c r="H843" t="s">
        <v>16038</v>
      </c>
      <c r="I843" t="s">
        <v>16039</v>
      </c>
      <c r="J843" t="s">
        <v>16040</v>
      </c>
      <c r="K843" t="s">
        <v>16041</v>
      </c>
      <c r="L843" t="s">
        <v>16042</v>
      </c>
      <c r="M843" t="s">
        <v>16043</v>
      </c>
      <c r="N843" t="s">
        <v>16044</v>
      </c>
      <c r="O843">
        <f>-699.387427993432 -152.34290265033 -507.43193691665</f>
        <v>-1359.1622675604119</v>
      </c>
      <c r="P843">
        <f>-526.937284688177 -142.002768768959 -284.423813005769</f>
        <v>-953.36386646290498</v>
      </c>
      <c r="Q843" t="s">
        <v>16045</v>
      </c>
      <c r="R843" t="s">
        <v>16046</v>
      </c>
      <c r="S843" t="s">
        <v>16047</v>
      </c>
      <c r="T843" t="s">
        <v>16048</v>
      </c>
      <c r="U843" t="s">
        <v>16049</v>
      </c>
      <c r="V843">
        <f>-614.451404984256 -62.9956278090463 -92.7447045905768</f>
        <v>-770.19173738387906</v>
      </c>
      <c r="W843" t="s">
        <v>16050</v>
      </c>
      <c r="X843" t="s">
        <v>16051</v>
      </c>
      <c r="Y843" t="s">
        <v>16052</v>
      </c>
    </row>
    <row r="844" spans="1:25" x14ac:dyDescent="0.3">
      <c r="A844">
        <v>42150</v>
      </c>
      <c r="B844" t="s">
        <v>16053</v>
      </c>
      <c r="C844" t="s">
        <v>16054</v>
      </c>
      <c r="D844" t="s">
        <v>16055</v>
      </c>
      <c r="E844" t="s">
        <v>16056</v>
      </c>
      <c r="F844" t="s">
        <v>16057</v>
      </c>
      <c r="G844" t="s">
        <v>16058</v>
      </c>
      <c r="H844" t="s">
        <v>16059</v>
      </c>
      <c r="I844" t="s">
        <v>16060</v>
      </c>
      <c r="J844" t="s">
        <v>16061</v>
      </c>
      <c r="K844" t="s">
        <v>16062</v>
      </c>
      <c r="L844" t="s">
        <v>16063</v>
      </c>
      <c r="M844" t="s">
        <v>16064</v>
      </c>
      <c r="N844" t="s">
        <v>16065</v>
      </c>
      <c r="O844">
        <f>-699.572568101699 -152.560212406331 -507.46659149257</f>
        <v>-1359.5993720005999</v>
      </c>
      <c r="P844">
        <f>-527.874856601981 -142.585430510602 -283.862078639469</f>
        <v>-954.32236575205206</v>
      </c>
      <c r="Q844" t="s">
        <v>16066</v>
      </c>
      <c r="R844" t="s">
        <v>16067</v>
      </c>
      <c r="S844" t="s">
        <v>16068</v>
      </c>
      <c r="T844" t="s">
        <v>16069</v>
      </c>
      <c r="U844" t="s">
        <v>16070</v>
      </c>
      <c r="V844">
        <f>-614.921068489509 -63.2686804013413 -92.7792359845292</f>
        <v>-770.96898487537953</v>
      </c>
      <c r="W844" t="s">
        <v>16071</v>
      </c>
      <c r="X844" t="s">
        <v>16072</v>
      </c>
      <c r="Y844" t="s">
        <v>16073</v>
      </c>
    </row>
    <row r="845" spans="1:25" x14ac:dyDescent="0.3">
      <c r="A845">
        <v>42200</v>
      </c>
      <c r="B845" t="s">
        <v>16074</v>
      </c>
      <c r="C845" t="s">
        <v>16075</v>
      </c>
      <c r="D845" t="s">
        <v>16076</v>
      </c>
      <c r="E845" t="s">
        <v>16077</v>
      </c>
      <c r="F845" t="s">
        <v>16078</v>
      </c>
      <c r="G845" t="s">
        <v>16079</v>
      </c>
      <c r="H845" t="s">
        <v>16080</v>
      </c>
      <c r="I845" t="s">
        <v>16081</v>
      </c>
      <c r="J845" t="s">
        <v>16082</v>
      </c>
      <c r="K845" t="s">
        <v>16083</v>
      </c>
      <c r="L845" t="s">
        <v>16084</v>
      </c>
      <c r="M845" t="s">
        <v>16085</v>
      </c>
      <c r="N845" t="s">
        <v>16086</v>
      </c>
      <c r="O845">
        <f>-699.90258612365 -152.935256488359 -507.748180379283</f>
        <v>-1360.5860229912919</v>
      </c>
      <c r="P845">
        <f>-529.975285414722 -143.778517469232 -282.76060541338</f>
        <v>-956.51440829733406</v>
      </c>
      <c r="Q845" t="s">
        <v>16087</v>
      </c>
      <c r="R845" t="s">
        <v>16088</v>
      </c>
      <c r="S845" t="s">
        <v>16089</v>
      </c>
      <c r="T845" t="s">
        <v>16090</v>
      </c>
      <c r="U845" t="s">
        <v>16091</v>
      </c>
      <c r="V845">
        <f>-615.923040014433 -63.8708292610984 -92.863863019557</f>
        <v>-772.65773229508841</v>
      </c>
      <c r="W845" t="s">
        <v>16092</v>
      </c>
      <c r="X845" t="s">
        <v>16093</v>
      </c>
      <c r="Y845" t="s">
        <v>16094</v>
      </c>
    </row>
    <row r="846" spans="1:25" x14ac:dyDescent="0.3">
      <c r="A846">
        <v>42250</v>
      </c>
      <c r="B846" t="s">
        <v>16095</v>
      </c>
      <c r="C846" t="s">
        <v>16096</v>
      </c>
      <c r="D846" t="s">
        <v>16097</v>
      </c>
      <c r="E846" t="s">
        <v>16098</v>
      </c>
      <c r="F846" t="s">
        <v>16099</v>
      </c>
      <c r="G846" t="s">
        <v>16100</v>
      </c>
      <c r="H846" t="s">
        <v>16101</v>
      </c>
      <c r="I846" t="s">
        <v>16102</v>
      </c>
      <c r="J846" t="s">
        <v>16103</v>
      </c>
      <c r="K846" t="s">
        <v>16104</v>
      </c>
      <c r="L846" t="s">
        <v>16105</v>
      </c>
      <c r="M846" t="s">
        <v>16106</v>
      </c>
      <c r="N846" t="s">
        <v>16107</v>
      </c>
      <c r="O846">
        <f>-700.29845878 -153.117528176309 -507.856599815775</f>
        <v>-1361.2725867720842</v>
      </c>
      <c r="P846">
        <f>-531.155004022292 -144.298545832446 -282.265614099368</f>
        <v>-957.71916395410597</v>
      </c>
      <c r="Q846" t="s">
        <v>16108</v>
      </c>
      <c r="R846" t="s">
        <v>16109</v>
      </c>
      <c r="S846" t="s">
        <v>16110</v>
      </c>
      <c r="T846" t="s">
        <v>16111</v>
      </c>
      <c r="U846" t="s">
        <v>16112</v>
      </c>
      <c r="V846">
        <f>-616.457439597046 -64.1539194879899 -92.9087163554628</f>
        <v>-773.52007544049877</v>
      </c>
      <c r="W846" t="s">
        <v>16113</v>
      </c>
      <c r="X846" t="s">
        <v>16114</v>
      </c>
      <c r="Y846" t="s">
        <v>16115</v>
      </c>
    </row>
    <row r="847" spans="1:25" x14ac:dyDescent="0.3">
      <c r="A847">
        <v>42300</v>
      </c>
      <c r="B847" t="s">
        <v>16116</v>
      </c>
      <c r="C847" t="s">
        <v>16117</v>
      </c>
      <c r="D847" t="s">
        <v>16118</v>
      </c>
      <c r="E847" t="s">
        <v>16119</v>
      </c>
      <c r="F847" t="s">
        <v>16120</v>
      </c>
      <c r="G847" t="s">
        <v>16121</v>
      </c>
      <c r="H847" t="s">
        <v>16122</v>
      </c>
      <c r="I847" t="s">
        <v>16123</v>
      </c>
      <c r="J847" t="s">
        <v>16124</v>
      </c>
      <c r="K847" t="s">
        <v>16125</v>
      </c>
      <c r="L847" t="s">
        <v>16126</v>
      </c>
      <c r="M847" t="s">
        <v>16127</v>
      </c>
      <c r="N847" t="s">
        <v>16128</v>
      </c>
      <c r="O847">
        <f>-701.180148984261 -153.235532679082 -508.085844479373</f>
        <v>-1362.5015261427161</v>
      </c>
      <c r="P847">
        <f>-533.356706857709 -145.247205493997 -281.480330333495</f>
        <v>-960.08424268520093</v>
      </c>
      <c r="Q847" t="s">
        <v>16129</v>
      </c>
      <c r="R847" t="s">
        <v>16130</v>
      </c>
      <c r="S847" t="s">
        <v>16131</v>
      </c>
      <c r="T847" t="s">
        <v>16132</v>
      </c>
      <c r="U847" t="s">
        <v>16133</v>
      </c>
      <c r="V847">
        <f>-617.396916187636 -64.6694413860737 -92.9967866053977</f>
        <v>-775.06314417910733</v>
      </c>
      <c r="W847" t="s">
        <v>16134</v>
      </c>
      <c r="X847" t="s">
        <v>16135</v>
      </c>
      <c r="Y847" t="s">
        <v>16136</v>
      </c>
    </row>
    <row r="848" spans="1:25" x14ac:dyDescent="0.3">
      <c r="A848">
        <v>42350</v>
      </c>
      <c r="B848" t="s">
        <v>16137</v>
      </c>
      <c r="C848" t="s">
        <v>16138</v>
      </c>
      <c r="D848" t="s">
        <v>16139</v>
      </c>
      <c r="E848" t="s">
        <v>16140</v>
      </c>
      <c r="F848" t="s">
        <v>16141</v>
      </c>
      <c r="G848" t="s">
        <v>16142</v>
      </c>
      <c r="H848" t="s">
        <v>16143</v>
      </c>
      <c r="I848" t="s">
        <v>16144</v>
      </c>
      <c r="J848" t="s">
        <v>16145</v>
      </c>
      <c r="K848" t="s">
        <v>16146</v>
      </c>
      <c r="L848" t="s">
        <v>16147</v>
      </c>
      <c r="M848" t="s">
        <v>16148</v>
      </c>
      <c r="N848" t="s">
        <v>16149</v>
      </c>
      <c r="O848">
        <f>-701.630501503558 -153.112954293727 -508.224727273463</f>
        <v>-1362.968183070748</v>
      </c>
      <c r="P848">
        <f>-534.302529060031 -145.789752956739 -281.230726733803</f>
        <v>-961.32300875057308</v>
      </c>
      <c r="Q848" t="s">
        <v>16150</v>
      </c>
      <c r="R848" t="s">
        <v>16151</v>
      </c>
      <c r="S848" t="s">
        <v>16152</v>
      </c>
      <c r="T848" t="s">
        <v>16153</v>
      </c>
      <c r="U848" t="s">
        <v>16154</v>
      </c>
      <c r="V848">
        <f>-617.919713331579 -64.8746396884874 -93.0212822679265</f>
        <v>-775.8156352879929</v>
      </c>
      <c r="W848" t="s">
        <v>16155</v>
      </c>
      <c r="X848" t="s">
        <v>16156</v>
      </c>
      <c r="Y848" t="s">
        <v>16157</v>
      </c>
    </row>
    <row r="849" spans="1:25" x14ac:dyDescent="0.3">
      <c r="A849">
        <v>42400</v>
      </c>
      <c r="B849" t="s">
        <v>16158</v>
      </c>
      <c r="C849" t="s">
        <v>16159</v>
      </c>
      <c r="D849" t="s">
        <v>16160</v>
      </c>
      <c r="E849" t="s">
        <v>16161</v>
      </c>
      <c r="F849" t="s">
        <v>16162</v>
      </c>
      <c r="G849" t="s">
        <v>16163</v>
      </c>
      <c r="H849" t="s">
        <v>16164</v>
      </c>
      <c r="I849" t="s">
        <v>16165</v>
      </c>
      <c r="J849" t="s">
        <v>16166</v>
      </c>
      <c r="K849" t="s">
        <v>16167</v>
      </c>
      <c r="L849" t="s">
        <v>16168</v>
      </c>
      <c r="M849" t="s">
        <v>16169</v>
      </c>
      <c r="N849" t="s">
        <v>16170</v>
      </c>
      <c r="O849">
        <f>-702.175776491986 -152.860047479806 -508.614801489573</f>
        <v>-1363.6506254613651</v>
      </c>
      <c r="P849">
        <f>-535.93612447215 -146.965054711485 -280.780975482414</f>
        <v>-963.68215466604897</v>
      </c>
      <c r="Q849" t="s">
        <v>16171</v>
      </c>
      <c r="R849" t="s">
        <v>16172</v>
      </c>
      <c r="S849" t="s">
        <v>16173</v>
      </c>
      <c r="T849" t="s">
        <v>16174</v>
      </c>
      <c r="U849" t="s">
        <v>16175</v>
      </c>
      <c r="V849">
        <f>-618.813176240129 -65.1879148632913 -93.0917057689774</f>
        <v>-777.09279687239768</v>
      </c>
      <c r="W849" t="s">
        <v>16176</v>
      </c>
      <c r="X849" t="s">
        <v>16177</v>
      </c>
      <c r="Y849" t="s">
        <v>16178</v>
      </c>
    </row>
    <row r="850" spans="1:25" x14ac:dyDescent="0.3">
      <c r="A850">
        <v>42450</v>
      </c>
      <c r="B850" t="s">
        <v>16179</v>
      </c>
      <c r="C850" t="s">
        <v>16180</v>
      </c>
      <c r="D850" t="s">
        <v>16181</v>
      </c>
      <c r="E850" t="s">
        <v>16182</v>
      </c>
      <c r="F850" t="s">
        <v>16183</v>
      </c>
      <c r="G850" t="s">
        <v>16184</v>
      </c>
      <c r="H850" t="s">
        <v>16185</v>
      </c>
      <c r="I850" t="s">
        <v>16186</v>
      </c>
      <c r="J850" t="s">
        <v>16187</v>
      </c>
      <c r="K850" t="s">
        <v>16188</v>
      </c>
      <c r="L850" t="s">
        <v>16189</v>
      </c>
      <c r="M850" t="s">
        <v>16190</v>
      </c>
      <c r="N850" t="s">
        <v>16191</v>
      </c>
      <c r="O850">
        <f>-702.538122057136 -152.614074008281 -508.739367557328</f>
        <v>-1363.891563622745</v>
      </c>
      <c r="P850">
        <f>-536.726090134667 -147.542858214351 -280.57444428376</f>
        <v>-964.84339263277798</v>
      </c>
      <c r="Q850" t="s">
        <v>16192</v>
      </c>
      <c r="R850" t="s">
        <v>16193</v>
      </c>
      <c r="S850" t="s">
        <v>16194</v>
      </c>
      <c r="T850" t="s">
        <v>16195</v>
      </c>
      <c r="U850" t="s">
        <v>16196</v>
      </c>
      <c r="V850">
        <f>-619.166259897964 -65.2452170009144 -93.1322788047445</f>
        <v>-777.54375570362288</v>
      </c>
      <c r="W850" t="s">
        <v>16197</v>
      </c>
      <c r="X850" t="s">
        <v>16198</v>
      </c>
      <c r="Y850" t="s">
        <v>16199</v>
      </c>
    </row>
    <row r="851" spans="1:25" x14ac:dyDescent="0.3">
      <c r="A851">
        <v>42500</v>
      </c>
      <c r="B851" t="s">
        <v>16200</v>
      </c>
      <c r="C851" t="s">
        <v>16201</v>
      </c>
      <c r="D851" t="s">
        <v>16202</v>
      </c>
      <c r="E851" t="s">
        <v>16203</v>
      </c>
      <c r="F851" t="s">
        <v>16204</v>
      </c>
      <c r="G851" t="s">
        <v>16205</v>
      </c>
      <c r="H851" t="s">
        <v>16206</v>
      </c>
      <c r="I851" t="s">
        <v>16207</v>
      </c>
      <c r="J851" t="s">
        <v>16208</v>
      </c>
      <c r="K851" t="s">
        <v>16209</v>
      </c>
      <c r="L851" t="s">
        <v>16210</v>
      </c>
      <c r="M851" t="s">
        <v>16211</v>
      </c>
      <c r="N851" t="s">
        <v>16212</v>
      </c>
      <c r="O851">
        <f>-703.44478190701 -152.029161563894 -509.038292638908</f>
        <v>-1364.512236109812</v>
      </c>
      <c r="P851">
        <f>-538.654627389009 -148.518517613757 -280.104965548201</f>
        <v>-967.27811055096697</v>
      </c>
      <c r="Q851" t="s">
        <v>16213</v>
      </c>
      <c r="R851" t="s">
        <v>16214</v>
      </c>
      <c r="S851" t="s">
        <v>16215</v>
      </c>
      <c r="T851" t="s">
        <v>16216</v>
      </c>
      <c r="U851" t="s">
        <v>16217</v>
      </c>
      <c r="V851">
        <f>-619.621189044431 -65.2613327040608 -93.2335273082398</f>
        <v>-778.11604905673164</v>
      </c>
      <c r="W851" t="s">
        <v>16218</v>
      </c>
      <c r="X851" t="s">
        <v>16219</v>
      </c>
      <c r="Y851" t="s">
        <v>16220</v>
      </c>
    </row>
    <row r="852" spans="1:25" x14ac:dyDescent="0.3">
      <c r="A852">
        <v>42550</v>
      </c>
      <c r="B852" t="s">
        <v>16221</v>
      </c>
      <c r="C852" t="s">
        <v>16222</v>
      </c>
      <c r="D852" t="s">
        <v>16223</v>
      </c>
      <c r="E852" t="s">
        <v>16224</v>
      </c>
      <c r="F852" t="s">
        <v>16225</v>
      </c>
      <c r="G852" t="s">
        <v>16226</v>
      </c>
      <c r="H852" t="s">
        <v>16227</v>
      </c>
      <c r="I852" t="s">
        <v>16228</v>
      </c>
      <c r="J852" t="s">
        <v>16229</v>
      </c>
      <c r="K852" t="s">
        <v>16230</v>
      </c>
      <c r="L852" t="s">
        <v>16231</v>
      </c>
      <c r="M852" t="s">
        <v>16232</v>
      </c>
      <c r="N852" t="s">
        <v>16233</v>
      </c>
      <c r="O852">
        <f>-703.789760714424 -151.683299987651 -509.175189801204</f>
        <v>-1364.6482505032791</v>
      </c>
      <c r="P852">
        <f>-539.782921470579 -149.312627771118 -279.665559867188</f>
        <v>-968.76110910888497</v>
      </c>
      <c r="Q852" t="s">
        <v>16234</v>
      </c>
      <c r="R852" t="s">
        <v>16235</v>
      </c>
      <c r="S852" t="s">
        <v>16236</v>
      </c>
      <c r="T852" t="s">
        <v>16237</v>
      </c>
      <c r="U852" t="s">
        <v>16238</v>
      </c>
      <c r="V852">
        <f>-619.765897315031 -65.1819160280434 -93.2835583830587</f>
        <v>-778.23137172613303</v>
      </c>
      <c r="W852" t="s">
        <v>16239</v>
      </c>
      <c r="X852" t="s">
        <v>16240</v>
      </c>
      <c r="Y852" t="s">
        <v>16241</v>
      </c>
    </row>
    <row r="853" spans="1:25" x14ac:dyDescent="0.3">
      <c r="A853">
        <v>42600</v>
      </c>
      <c r="B853" t="s">
        <v>16242</v>
      </c>
      <c r="C853" t="s">
        <v>16243</v>
      </c>
      <c r="D853" t="s">
        <v>16244</v>
      </c>
      <c r="E853" t="s">
        <v>16245</v>
      </c>
      <c r="F853" t="s">
        <v>16246</v>
      </c>
      <c r="G853" t="s">
        <v>16247</v>
      </c>
      <c r="H853" t="s">
        <v>16248</v>
      </c>
      <c r="I853" t="s">
        <v>16249</v>
      </c>
      <c r="J853" t="s">
        <v>16250</v>
      </c>
      <c r="K853" t="s">
        <v>16251</v>
      </c>
      <c r="L853" t="s">
        <v>16252</v>
      </c>
      <c r="M853" t="s">
        <v>16253</v>
      </c>
      <c r="N853" t="s">
        <v>16254</v>
      </c>
      <c r="O853">
        <f>-704.603650266234 -151.048684460593 -509.484190202021</f>
        <v>-1365.1365249288481</v>
      </c>
      <c r="P853">
        <f>-543.055156975338 -150.680135425546 -278.225648036652</f>
        <v>-971.96094043753601</v>
      </c>
      <c r="Q853" t="s">
        <v>16255</v>
      </c>
      <c r="R853" t="s">
        <v>16256</v>
      </c>
      <c r="S853" t="s">
        <v>16257</v>
      </c>
      <c r="T853" t="s">
        <v>16258</v>
      </c>
      <c r="U853" t="s">
        <v>16259</v>
      </c>
      <c r="V853">
        <f>-620.000990427675 -64.9741716522615 -93.3617877974164</f>
        <v>-778.33694987735282</v>
      </c>
      <c r="W853" t="s">
        <v>16260</v>
      </c>
      <c r="X853" t="s">
        <v>16261</v>
      </c>
      <c r="Y853" t="s">
        <v>16262</v>
      </c>
    </row>
    <row r="854" spans="1:25" x14ac:dyDescent="0.3">
      <c r="A854">
        <v>42650</v>
      </c>
      <c r="B854" t="s">
        <v>16263</v>
      </c>
      <c r="C854" t="s">
        <v>16264</v>
      </c>
      <c r="D854" t="s">
        <v>16265</v>
      </c>
      <c r="E854" t="s">
        <v>16266</v>
      </c>
      <c r="F854" t="s">
        <v>16267</v>
      </c>
      <c r="G854" t="s">
        <v>16268</v>
      </c>
      <c r="H854" t="s">
        <v>16269</v>
      </c>
      <c r="I854" t="s">
        <v>16270</v>
      </c>
      <c r="J854" t="s">
        <v>16271</v>
      </c>
      <c r="K854" t="s">
        <v>16272</v>
      </c>
      <c r="L854" t="s">
        <v>16273</v>
      </c>
      <c r="M854" t="s">
        <v>16274</v>
      </c>
      <c r="N854" t="s">
        <v>16275</v>
      </c>
      <c r="O854">
        <f>-705.046984591522 -150.797119671279 -509.552791832936</f>
        <v>-1365.396896095737</v>
      </c>
      <c r="P854">
        <f>-545.141833199474 -151.525121876005 -277.155634594393</f>
        <v>-973.82258966987206</v>
      </c>
      <c r="Q854" t="s">
        <v>16276</v>
      </c>
      <c r="R854" t="s">
        <v>16277</v>
      </c>
      <c r="S854" t="s">
        <v>16278</v>
      </c>
      <c r="T854" t="s">
        <v>16279</v>
      </c>
      <c r="U854" t="s">
        <v>16280</v>
      </c>
      <c r="V854">
        <f>-619.984132390774 -64.8105192863018 -93.3831107929216</f>
        <v>-778.17776246999733</v>
      </c>
      <c r="W854" t="s">
        <v>16281</v>
      </c>
      <c r="X854" t="s">
        <v>16282</v>
      </c>
      <c r="Y854" t="s">
        <v>16283</v>
      </c>
    </row>
    <row r="855" spans="1:25" x14ac:dyDescent="0.3">
      <c r="A855">
        <v>42700</v>
      </c>
      <c r="B855" t="s">
        <v>16284</v>
      </c>
      <c r="C855" t="s">
        <v>16285</v>
      </c>
      <c r="D855" t="s">
        <v>16286</v>
      </c>
      <c r="E855" t="s">
        <v>16287</v>
      </c>
      <c r="F855" t="s">
        <v>16288</v>
      </c>
      <c r="G855" t="s">
        <v>16289</v>
      </c>
      <c r="H855" t="s">
        <v>16290</v>
      </c>
      <c r="I855" t="s">
        <v>16291</v>
      </c>
      <c r="J855" t="s">
        <v>16292</v>
      </c>
      <c r="K855" t="s">
        <v>16293</v>
      </c>
      <c r="L855" t="s">
        <v>16294</v>
      </c>
      <c r="M855" t="s">
        <v>16295</v>
      </c>
      <c r="N855" t="s">
        <v>16296</v>
      </c>
      <c r="O855">
        <f>-705.988131763098 -150.562645741245 -509.509990656275</f>
        <v>-1366.060768160618</v>
      </c>
      <c r="P855">
        <f>-550.691084003283 -154.99734083091 -274.049204757803</f>
        <v>-979.73762959199598</v>
      </c>
      <c r="Q855" t="s">
        <v>16297</v>
      </c>
      <c r="R855" t="s">
        <v>16298</v>
      </c>
      <c r="S855" t="s">
        <v>16299</v>
      </c>
      <c r="T855" t="s">
        <v>16300</v>
      </c>
      <c r="U855" t="s">
        <v>16301</v>
      </c>
      <c r="V855">
        <f>-619.841898813048 -64.7870019558848 -93.4189558238492</f>
        <v>-778.04785659278195</v>
      </c>
      <c r="W855" t="s">
        <v>16302</v>
      </c>
      <c r="X855" t="s">
        <v>16303</v>
      </c>
      <c r="Y855" t="s">
        <v>16304</v>
      </c>
    </row>
    <row r="856" spans="1:25" x14ac:dyDescent="0.3">
      <c r="A856">
        <v>42750</v>
      </c>
      <c r="B856" t="s">
        <v>16305</v>
      </c>
      <c r="C856" t="s">
        <v>16306</v>
      </c>
      <c r="D856" t="s">
        <v>16307</v>
      </c>
      <c r="E856" t="s">
        <v>16308</v>
      </c>
      <c r="F856" t="s">
        <v>16309</v>
      </c>
      <c r="G856" t="s">
        <v>16310</v>
      </c>
      <c r="H856" t="s">
        <v>16311</v>
      </c>
      <c r="I856" t="s">
        <v>16312</v>
      </c>
      <c r="J856" t="s">
        <v>16313</v>
      </c>
      <c r="K856" t="s">
        <v>16314</v>
      </c>
      <c r="L856" t="s">
        <v>16315</v>
      </c>
      <c r="M856" t="s">
        <v>16316</v>
      </c>
      <c r="N856" t="s">
        <v>16317</v>
      </c>
      <c r="O856">
        <f>-706.747627403779 -150.240144665111 -509.397001104586</f>
        <v>-1366.3847731734759</v>
      </c>
      <c r="P856">
        <f>-554.399283820529 -156.868308404517 -272.068974363071</f>
        <v>-983.33656658811697</v>
      </c>
      <c r="Q856" t="s">
        <v>16318</v>
      </c>
      <c r="R856" t="s">
        <v>16319</v>
      </c>
      <c r="S856" t="s">
        <v>16320</v>
      </c>
      <c r="T856" t="s">
        <v>16321</v>
      </c>
      <c r="U856" t="s">
        <v>16322</v>
      </c>
      <c r="V856">
        <f>-619.782924999233 -64.5017679914852 -93.4133790566232</f>
        <v>-777.69807204734138</v>
      </c>
      <c r="W856" t="s">
        <v>16323</v>
      </c>
      <c r="X856" t="s">
        <v>16324</v>
      </c>
      <c r="Y856" t="s">
        <v>16325</v>
      </c>
    </row>
    <row r="857" spans="1:25" x14ac:dyDescent="0.3">
      <c r="A857">
        <v>42800</v>
      </c>
      <c r="B857" t="s">
        <v>16326</v>
      </c>
      <c r="C857" t="s">
        <v>16327</v>
      </c>
      <c r="D857" t="s">
        <v>16328</v>
      </c>
      <c r="E857" t="s">
        <v>16329</v>
      </c>
      <c r="F857" t="s">
        <v>16330</v>
      </c>
      <c r="G857" t="s">
        <v>16331</v>
      </c>
      <c r="H857" t="s">
        <v>16332</v>
      </c>
      <c r="I857" t="s">
        <v>16333</v>
      </c>
      <c r="J857" t="s">
        <v>16334</v>
      </c>
      <c r="K857" t="s">
        <v>16335</v>
      </c>
      <c r="L857" t="s">
        <v>16336</v>
      </c>
      <c r="M857" t="s">
        <v>16337</v>
      </c>
      <c r="N857" t="s">
        <v>16338</v>
      </c>
      <c r="O857">
        <f>-708.9261030646 -149.341651309824 -508.820367336084</f>
        <v>-1367.0881217105079</v>
      </c>
      <c r="P857">
        <f>-564.179128979048 -161.655575348365 -267.003778363322</f>
        <v>-992.83848269073496</v>
      </c>
      <c r="Q857">
        <f>-500.010733275232 -0.806911780807695 -421.789659258937</f>
        <v>-922.60730431497666</v>
      </c>
      <c r="R857" t="s">
        <v>16339</v>
      </c>
      <c r="S857" t="s">
        <v>16340</v>
      </c>
      <c r="T857" t="s">
        <v>16341</v>
      </c>
      <c r="U857" t="s">
        <v>16342</v>
      </c>
      <c r="V857">
        <f>-619.764607428059 -63.8463764059579 -93.3837120126386</f>
        <v>-776.99469584665553</v>
      </c>
      <c r="W857" t="s">
        <v>16343</v>
      </c>
      <c r="X857" t="s">
        <v>16344</v>
      </c>
      <c r="Y857" t="s">
        <v>16345</v>
      </c>
    </row>
    <row r="858" spans="1:25" x14ac:dyDescent="0.3">
      <c r="A858">
        <v>42850</v>
      </c>
      <c r="B858" t="s">
        <v>16346</v>
      </c>
      <c r="C858" t="s">
        <v>16347</v>
      </c>
      <c r="D858" t="s">
        <v>16348</v>
      </c>
      <c r="E858" t="s">
        <v>16349</v>
      </c>
      <c r="F858" t="s">
        <v>16350</v>
      </c>
      <c r="G858" t="s">
        <v>16351</v>
      </c>
      <c r="H858" t="s">
        <v>16352</v>
      </c>
      <c r="I858" t="s">
        <v>16353</v>
      </c>
      <c r="J858" t="s">
        <v>16354</v>
      </c>
      <c r="K858" t="s">
        <v>16355</v>
      </c>
      <c r="L858" t="s">
        <v>16356</v>
      </c>
      <c r="M858" t="s">
        <v>16357</v>
      </c>
      <c r="N858" t="s">
        <v>16358</v>
      </c>
      <c r="O858">
        <f>-709.839661772724 -148.867103873272 -508.531231531108</f>
        <v>-1367.2379971771038</v>
      </c>
      <c r="P858">
        <f>-569.696672117754 -163.603466030728 -264.15156279366</f>
        <v>-997.451700942142</v>
      </c>
      <c r="Q858">
        <f>-497.805848413962 -7.75115233469182 -420.645321575766</f>
        <v>-926.20232232441981</v>
      </c>
      <c r="R858" t="s">
        <v>16359</v>
      </c>
      <c r="S858" t="s">
        <v>16360</v>
      </c>
      <c r="T858" t="s">
        <v>16361</v>
      </c>
      <c r="U858" t="s">
        <v>16362</v>
      </c>
      <c r="V858">
        <f>-619.769708249812 -63.4001279415156 -93.3673034691283</f>
        <v>-776.53713966045586</v>
      </c>
      <c r="W858" t="s">
        <v>16363</v>
      </c>
      <c r="X858" t="s">
        <v>16364</v>
      </c>
      <c r="Y858" t="s">
        <v>16365</v>
      </c>
    </row>
    <row r="859" spans="1:25" x14ac:dyDescent="0.3">
      <c r="A859">
        <v>42900</v>
      </c>
      <c r="B859" t="s">
        <v>16366</v>
      </c>
      <c r="C859" t="s">
        <v>16367</v>
      </c>
      <c r="D859" t="s">
        <v>16368</v>
      </c>
      <c r="E859" t="s">
        <v>16369</v>
      </c>
      <c r="F859" t="s">
        <v>16370</v>
      </c>
      <c r="G859" t="s">
        <v>16371</v>
      </c>
      <c r="H859" t="s">
        <v>16372</v>
      </c>
      <c r="I859" t="s">
        <v>16373</v>
      </c>
      <c r="J859" t="s">
        <v>16374</v>
      </c>
      <c r="K859" t="s">
        <v>16375</v>
      </c>
      <c r="L859" t="s">
        <v>16376</v>
      </c>
      <c r="M859" t="s">
        <v>16377</v>
      </c>
      <c r="N859" t="s">
        <v>16378</v>
      </c>
      <c r="O859">
        <f>-712.63007435592 -147.620121559333 -507.485986831538</f>
        <v>-1367.736182746791</v>
      </c>
      <c r="P859">
        <f>-582.302073072044 -165.697476003527 -257.953630604112</f>
        <v>-1005.953179679683</v>
      </c>
      <c r="Q859">
        <f>-494.645737004061 -22.1312262177489 -418.121128522036</f>
        <v>-934.89809174384584</v>
      </c>
      <c r="R859" t="s">
        <v>16379</v>
      </c>
      <c r="S859" t="s">
        <v>16380</v>
      </c>
      <c r="T859" t="s">
        <v>16381</v>
      </c>
      <c r="U859" t="s">
        <v>16382</v>
      </c>
      <c r="V859">
        <f>-620.25637819814 -62.6205652141175 -93.3264432738735</f>
        <v>-776.20338668613101</v>
      </c>
      <c r="W859" t="s">
        <v>16383</v>
      </c>
      <c r="X859" t="s">
        <v>16384</v>
      </c>
      <c r="Y859" t="s">
        <v>16385</v>
      </c>
    </row>
    <row r="860" spans="1:25" x14ac:dyDescent="0.3">
      <c r="A860">
        <v>42950</v>
      </c>
      <c r="B860" t="s">
        <v>16386</v>
      </c>
      <c r="C860" t="s">
        <v>16387</v>
      </c>
      <c r="D860" t="s">
        <v>16388</v>
      </c>
      <c r="E860" t="s">
        <v>16389</v>
      </c>
      <c r="F860" t="s">
        <v>16390</v>
      </c>
      <c r="G860" t="s">
        <v>16391</v>
      </c>
      <c r="H860" t="s">
        <v>16392</v>
      </c>
      <c r="I860" t="s">
        <v>16393</v>
      </c>
      <c r="J860" t="s">
        <v>16394</v>
      </c>
      <c r="K860" t="s">
        <v>16395</v>
      </c>
      <c r="L860" t="s">
        <v>16396</v>
      </c>
      <c r="M860" t="s">
        <v>16397</v>
      </c>
      <c r="N860" t="s">
        <v>16398</v>
      </c>
      <c r="O860">
        <f>-714.188745349425 -147.093021530273 -506.874171210522</f>
        <v>-1368.1559380902199</v>
      </c>
      <c r="P860">
        <f>-589.247715596862 -166.310271839535 -254.68567355372</f>
        <v>-1010.2436609901171</v>
      </c>
      <c r="Q860">
        <f>-493.629975676021 -29.8991947646925 -416.542967089376</f>
        <v>-940.07213753008955</v>
      </c>
      <c r="R860" t="s">
        <v>16399</v>
      </c>
      <c r="S860" t="s">
        <v>16400</v>
      </c>
      <c r="T860" t="s">
        <v>16401</v>
      </c>
      <c r="U860" t="s">
        <v>16402</v>
      </c>
      <c r="V860">
        <f>-620.64827825966 -62.216384507544 -93.315713021625</f>
        <v>-776.180375788829</v>
      </c>
      <c r="W860" t="s">
        <v>16403</v>
      </c>
      <c r="X860" t="s">
        <v>16404</v>
      </c>
      <c r="Y860" t="s">
        <v>16405</v>
      </c>
    </row>
    <row r="861" spans="1:25" x14ac:dyDescent="0.3">
      <c r="A861">
        <v>43000</v>
      </c>
      <c r="B861" t="s">
        <v>16406</v>
      </c>
      <c r="C861" t="s">
        <v>16407</v>
      </c>
      <c r="D861" t="s">
        <v>16408</v>
      </c>
      <c r="E861" t="s">
        <v>16409</v>
      </c>
      <c r="F861" t="s">
        <v>16410</v>
      </c>
      <c r="G861" t="s">
        <v>16411</v>
      </c>
      <c r="H861" t="s">
        <v>16412</v>
      </c>
      <c r="I861" t="s">
        <v>16413</v>
      </c>
      <c r="J861" t="s">
        <v>16414</v>
      </c>
      <c r="K861" t="s">
        <v>16415</v>
      </c>
      <c r="L861" t="s">
        <v>16416</v>
      </c>
      <c r="M861" t="s">
        <v>16417</v>
      </c>
      <c r="N861" t="s">
        <v>16418</v>
      </c>
      <c r="O861">
        <f>-717.667469699331 -146.028385150228 -505.882896008318</f>
        <v>-1369.5787508578771</v>
      </c>
      <c r="P861">
        <f>-603.743929244372 -167.092883274191 -248.674100624892</f>
        <v>-1019.510913143456</v>
      </c>
      <c r="Q861">
        <f>-492.131947757739 -45.7099820338422 -412.251277068287</f>
        <v>-950.09320685986813</v>
      </c>
      <c r="R861" t="s">
        <v>16419</v>
      </c>
      <c r="S861" t="s">
        <v>16420</v>
      </c>
      <c r="T861" t="s">
        <v>16421</v>
      </c>
      <c r="U861" t="s">
        <v>16422</v>
      </c>
      <c r="V861">
        <f>-621.69460687918 -61.5765460585858 -93.2856079878427</f>
        <v>-776.5567609256085</v>
      </c>
      <c r="W861" t="s">
        <v>16423</v>
      </c>
      <c r="X861" t="s">
        <v>16424</v>
      </c>
      <c r="Y861" t="s">
        <v>16425</v>
      </c>
    </row>
    <row r="862" spans="1:25" x14ac:dyDescent="0.3">
      <c r="A862">
        <v>43050</v>
      </c>
      <c r="B862" t="s">
        <v>16426</v>
      </c>
      <c r="C862" t="s">
        <v>16427</v>
      </c>
      <c r="D862" t="s">
        <v>16428</v>
      </c>
      <c r="E862" t="s">
        <v>16429</v>
      </c>
      <c r="F862" t="s">
        <v>16430</v>
      </c>
      <c r="G862" t="s">
        <v>16431</v>
      </c>
      <c r="H862" t="s">
        <v>16432</v>
      </c>
      <c r="I862" t="s">
        <v>16433</v>
      </c>
      <c r="J862" t="s">
        <v>16434</v>
      </c>
      <c r="K862" t="s">
        <v>16435</v>
      </c>
      <c r="L862" t="s">
        <v>16436</v>
      </c>
      <c r="M862" t="s">
        <v>16437</v>
      </c>
      <c r="N862" t="s">
        <v>16438</v>
      </c>
      <c r="O862">
        <f>-719.421783593087 -145.496140821212 -505.50176771514</f>
        <v>-1370.419692129439</v>
      </c>
      <c r="P862">
        <f>-610.882230220253 -167.193889449024 -246.027454203849</f>
        <v>-1024.1035738731259</v>
      </c>
      <c r="Q862">
        <f>-491.681767937638 -53.2166530252384 -409.578428409426</f>
        <v>-954.47684937230247</v>
      </c>
      <c r="R862" t="s">
        <v>16439</v>
      </c>
      <c r="S862" t="s">
        <v>16440</v>
      </c>
      <c r="T862" t="s">
        <v>16441</v>
      </c>
      <c r="U862" t="s">
        <v>16442</v>
      </c>
      <c r="V862">
        <f>-622.378326105101 -61.3050826975166 -93.2724372321775</f>
        <v>-776.95584603479506</v>
      </c>
      <c r="W862" t="s">
        <v>16443</v>
      </c>
      <c r="X862" t="s">
        <v>16444</v>
      </c>
      <c r="Y862" t="s">
        <v>16445</v>
      </c>
    </row>
    <row r="863" spans="1:25" x14ac:dyDescent="0.3">
      <c r="A863">
        <v>43100</v>
      </c>
      <c r="B863" t="s">
        <v>16446</v>
      </c>
      <c r="C863" t="s">
        <v>16447</v>
      </c>
      <c r="D863" t="s">
        <v>16448</v>
      </c>
      <c r="E863" t="s">
        <v>16449</v>
      </c>
      <c r="F863" t="s">
        <v>16450</v>
      </c>
      <c r="G863" t="s">
        <v>16451</v>
      </c>
      <c r="H863" t="s">
        <v>16452</v>
      </c>
      <c r="I863" t="s">
        <v>16453</v>
      </c>
      <c r="J863" t="s">
        <v>16454</v>
      </c>
      <c r="K863" t="s">
        <v>16455</v>
      </c>
      <c r="L863" t="s">
        <v>16456</v>
      </c>
      <c r="M863" t="s">
        <v>16457</v>
      </c>
      <c r="N863" t="s">
        <v>16458</v>
      </c>
      <c r="O863">
        <f>-722.93732279636 -144.301097450025 -505.006490239706</f>
        <v>-1372.2449104860909</v>
      </c>
      <c r="P863">
        <f>-625.223100909825 -167.042872131846 -241.35266149178</f>
        <v>-1033.6186345334511</v>
      </c>
      <c r="Q863">
        <f>-492.076513873699 -67.0350322235415 -403.275242741249</f>
        <v>-962.38678883848957</v>
      </c>
      <c r="R863" t="s">
        <v>16459</v>
      </c>
      <c r="S863" t="s">
        <v>16460</v>
      </c>
      <c r="T863" t="s">
        <v>16461</v>
      </c>
      <c r="U863" t="s">
        <v>16462</v>
      </c>
      <c r="V863">
        <f>-624.179060518328 -60.964057793032 -93.2659796567398</f>
        <v>-778.40909796809979</v>
      </c>
      <c r="W863" t="s">
        <v>16463</v>
      </c>
      <c r="X863" t="s">
        <v>16464</v>
      </c>
      <c r="Y863" t="s">
        <v>16465</v>
      </c>
    </row>
    <row r="864" spans="1:25" x14ac:dyDescent="0.3">
      <c r="A864">
        <v>43150</v>
      </c>
      <c r="B864" t="s">
        <v>16466</v>
      </c>
      <c r="C864" t="s">
        <v>16467</v>
      </c>
      <c r="D864" t="s">
        <v>16468</v>
      </c>
      <c r="E864" t="s">
        <v>16469</v>
      </c>
      <c r="F864" t="s">
        <v>16470</v>
      </c>
      <c r="G864" t="s">
        <v>16471</v>
      </c>
      <c r="H864" t="s">
        <v>16472</v>
      </c>
      <c r="I864" t="s">
        <v>16473</v>
      </c>
      <c r="J864" t="s">
        <v>16474</v>
      </c>
      <c r="K864" t="s">
        <v>16475</v>
      </c>
      <c r="L864" t="s">
        <v>16476</v>
      </c>
      <c r="M864" t="s">
        <v>16477</v>
      </c>
      <c r="N864" t="s">
        <v>16478</v>
      </c>
      <c r="O864">
        <f>-724.018204786503 -143.787961507234 -504.980148694441</f>
        <v>-1372.7863149881782</v>
      </c>
      <c r="P864">
        <f>-631.72418386397 -167.03068627759 -239.423811485434</f>
        <v>-1038.1786816269939</v>
      </c>
      <c r="Q864">
        <f>-492.255333901128 -73.4622181872148 -399.866716599704</f>
        <v>-965.58426868804679</v>
      </c>
      <c r="R864" t="s">
        <v>16479</v>
      </c>
      <c r="S864" t="s">
        <v>16480</v>
      </c>
      <c r="T864" t="s">
        <v>16481</v>
      </c>
      <c r="U864" t="s">
        <v>16482</v>
      </c>
      <c r="V864">
        <f>-625.183745584969 -60.7835745647499 -93.2825635733544</f>
        <v>-779.24988372307325</v>
      </c>
      <c r="W864" t="s">
        <v>16483</v>
      </c>
      <c r="X864" t="s">
        <v>16484</v>
      </c>
      <c r="Y864" t="s">
        <v>16485</v>
      </c>
    </row>
    <row r="865" spans="1:25" x14ac:dyDescent="0.3">
      <c r="A865">
        <v>43200</v>
      </c>
      <c r="B865" t="s">
        <v>16486</v>
      </c>
      <c r="C865" t="s">
        <v>16487</v>
      </c>
      <c r="D865" t="s">
        <v>16488</v>
      </c>
      <c r="E865" t="s">
        <v>16489</v>
      </c>
      <c r="F865" t="s">
        <v>16490</v>
      </c>
      <c r="G865" t="s">
        <v>16491</v>
      </c>
      <c r="H865" t="s">
        <v>16492</v>
      </c>
      <c r="I865" t="s">
        <v>16493</v>
      </c>
      <c r="J865" t="s">
        <v>16494</v>
      </c>
      <c r="K865" t="s">
        <v>16495</v>
      </c>
      <c r="L865" t="s">
        <v>16496</v>
      </c>
      <c r="M865" t="s">
        <v>16497</v>
      </c>
      <c r="N865" t="s">
        <v>16498</v>
      </c>
      <c r="O865">
        <f>-725.839539025715 -142.829899643182 -505.242415715868</f>
        <v>-1373.9118543847649</v>
      </c>
      <c r="P865">
        <f>-642.751756824652 -166.05145200106 -236.661281896283</f>
        <v>-1045.4644907219952</v>
      </c>
      <c r="Q865">
        <f>-493.055528663841 -83.2974258471747 -393.796151284773</f>
        <v>-970.14910579578873</v>
      </c>
      <c r="R865" t="s">
        <v>16499</v>
      </c>
      <c r="S865" t="s">
        <v>16500</v>
      </c>
      <c r="T865" t="s">
        <v>16501</v>
      </c>
      <c r="U865" t="s">
        <v>16502</v>
      </c>
      <c r="V865">
        <f>-627.160428871981 -60.3912963658872 -93.350138142937</f>
        <v>-780.90186338080525</v>
      </c>
      <c r="W865" t="s">
        <v>16503</v>
      </c>
      <c r="X865" t="s">
        <v>16504</v>
      </c>
      <c r="Y865" t="s">
        <v>16505</v>
      </c>
    </row>
    <row r="866" spans="1:25" x14ac:dyDescent="0.3">
      <c r="A866">
        <v>43250</v>
      </c>
      <c r="B866" t="s">
        <v>16506</v>
      </c>
      <c r="C866" t="s">
        <v>16507</v>
      </c>
      <c r="D866" t="s">
        <v>16508</v>
      </c>
      <c r="E866" t="s">
        <v>16509</v>
      </c>
      <c r="F866" t="s">
        <v>16510</v>
      </c>
      <c r="G866" t="s">
        <v>16511</v>
      </c>
      <c r="H866" t="s">
        <v>16512</v>
      </c>
      <c r="I866" t="s">
        <v>16513</v>
      </c>
      <c r="J866" t="s">
        <v>16514</v>
      </c>
      <c r="K866" t="s">
        <v>16515</v>
      </c>
      <c r="L866" t="s">
        <v>16516</v>
      </c>
      <c r="M866" t="s">
        <v>16517</v>
      </c>
      <c r="N866" t="s">
        <v>16518</v>
      </c>
      <c r="O866">
        <f>-726.883590541697 -142.362908697585 -505.293208747607</f>
        <v>-1374.539707986889</v>
      </c>
      <c r="P866">
        <f>-647.69036845481 -165.883778482783 -235.564231042111</f>
        <v>-1049.138377979704</v>
      </c>
      <c r="Q866">
        <f>-494.46958334887 -87.0159074948317 -391.293958208688</f>
        <v>-972.77944905238974</v>
      </c>
      <c r="R866" t="s">
        <v>16519</v>
      </c>
      <c r="S866" t="s">
        <v>16520</v>
      </c>
      <c r="T866" t="s">
        <v>16521</v>
      </c>
      <c r="U866" t="s">
        <v>16522</v>
      </c>
      <c r="V866">
        <f>-628.146397983733 -60.2511179004023 -93.3855745551966</f>
        <v>-781.78309043933189</v>
      </c>
      <c r="W866" t="s">
        <v>16523</v>
      </c>
      <c r="X866" t="s">
        <v>16524</v>
      </c>
      <c r="Y866" t="s">
        <v>16525</v>
      </c>
    </row>
    <row r="867" spans="1:25" x14ac:dyDescent="0.3">
      <c r="A867">
        <v>43300</v>
      </c>
      <c r="B867" t="s">
        <v>16526</v>
      </c>
      <c r="C867" t="s">
        <v>16527</v>
      </c>
      <c r="D867" t="s">
        <v>16528</v>
      </c>
      <c r="E867" t="s">
        <v>16529</v>
      </c>
      <c r="F867" t="s">
        <v>16530</v>
      </c>
      <c r="G867" t="s">
        <v>16531</v>
      </c>
      <c r="H867" t="s">
        <v>16532</v>
      </c>
      <c r="I867" t="s">
        <v>16533</v>
      </c>
      <c r="J867" t="s">
        <v>16534</v>
      </c>
      <c r="K867" t="s">
        <v>16535</v>
      </c>
      <c r="L867" t="s">
        <v>16536</v>
      </c>
      <c r="M867" t="s">
        <v>16537</v>
      </c>
      <c r="N867" t="s">
        <v>16538</v>
      </c>
      <c r="O867">
        <f>-728.433033117071 -141.439388328492 -505.842583964569</f>
        <v>-1375.7150054101319</v>
      </c>
      <c r="P867">
        <f>-655.841592260643 -165.323413817109 -234.294011486912</f>
        <v>-1055.459017564664</v>
      </c>
      <c r="Q867">
        <f>-497.356030924412 -92.6236129816646 -387.739716743121</f>
        <v>-977.7193606491976</v>
      </c>
      <c r="R867" t="s">
        <v>16539</v>
      </c>
      <c r="S867" t="s">
        <v>16540</v>
      </c>
      <c r="T867" t="s">
        <v>16541</v>
      </c>
      <c r="U867" t="s">
        <v>16542</v>
      </c>
      <c r="V867">
        <f>-629.774444271778 -59.7913384392746 -93.5050386510114</f>
        <v>-783.07082136206395</v>
      </c>
      <c r="W867" t="s">
        <v>16543</v>
      </c>
      <c r="X867" t="s">
        <v>16544</v>
      </c>
      <c r="Y867" t="s">
        <v>16545</v>
      </c>
    </row>
    <row r="868" spans="1:25" x14ac:dyDescent="0.3">
      <c r="A868">
        <v>43350</v>
      </c>
      <c r="B868" t="s">
        <v>16546</v>
      </c>
      <c r="C868" t="s">
        <v>16547</v>
      </c>
      <c r="D868" t="s">
        <v>16548</v>
      </c>
      <c r="E868" t="s">
        <v>16549</v>
      </c>
      <c r="F868" t="s">
        <v>16550</v>
      </c>
      <c r="G868" t="s">
        <v>16551</v>
      </c>
      <c r="H868" t="s">
        <v>16552</v>
      </c>
      <c r="I868" t="s">
        <v>16553</v>
      </c>
      <c r="J868" t="s">
        <v>16554</v>
      </c>
      <c r="K868" t="s">
        <v>16555</v>
      </c>
      <c r="L868" t="s">
        <v>16556</v>
      </c>
      <c r="M868" t="s">
        <v>16557</v>
      </c>
      <c r="N868" t="s">
        <v>16558</v>
      </c>
      <c r="O868">
        <f>-729.0746085567 -140.911384748745 -506.221102821644</f>
        <v>-1376.207096127089</v>
      </c>
      <c r="P868">
        <f>-659.567361345679 -165.282640150165 -233.90994936143</f>
        <v>-1058.7599508572739</v>
      </c>
      <c r="Q868">
        <f>-498.923000323004 -94.7560757680255 -386.120057720683</f>
        <v>-979.79913381171252</v>
      </c>
      <c r="R868" t="s">
        <v>16559</v>
      </c>
      <c r="S868" t="s">
        <v>16560</v>
      </c>
      <c r="T868" t="s">
        <v>16561</v>
      </c>
      <c r="U868" t="s">
        <v>16562</v>
      </c>
      <c r="V868">
        <f>-630.432530966577 -59.5663359797186 -93.5595620707935</f>
        <v>-783.55842901708911</v>
      </c>
      <c r="W868" t="s">
        <v>16563</v>
      </c>
      <c r="X868" t="s">
        <v>16564</v>
      </c>
      <c r="Y868" t="s">
        <v>16565</v>
      </c>
    </row>
    <row r="869" spans="1:25" x14ac:dyDescent="0.3">
      <c r="A869">
        <v>43400</v>
      </c>
      <c r="B869" t="s">
        <v>16566</v>
      </c>
      <c r="C869" t="s">
        <v>16567</v>
      </c>
      <c r="D869" t="s">
        <v>16568</v>
      </c>
      <c r="E869" t="s">
        <v>16569</v>
      </c>
      <c r="F869" t="s">
        <v>16570</v>
      </c>
      <c r="G869" t="s">
        <v>16571</v>
      </c>
      <c r="H869" t="s">
        <v>16572</v>
      </c>
      <c r="I869" t="s">
        <v>16573</v>
      </c>
      <c r="J869" t="s">
        <v>16574</v>
      </c>
      <c r="K869" t="s">
        <v>16575</v>
      </c>
      <c r="L869" t="s">
        <v>16576</v>
      </c>
      <c r="M869" t="s">
        <v>16577</v>
      </c>
      <c r="N869" t="s">
        <v>16578</v>
      </c>
      <c r="O869">
        <f>-730.176846017359 -139.816609549184 -506.909900556015</f>
        <v>-1376.9033561225581</v>
      </c>
      <c r="P869">
        <f>-667.011829497805 -165.306572581508 -233.159901414268</f>
        <v>-1065.4783034935811</v>
      </c>
      <c r="Q869">
        <f>-502.047728514665 -98.8716452185568 -382.564592993097</f>
        <v>-983.48396672631873</v>
      </c>
      <c r="R869" t="s">
        <v>16579</v>
      </c>
      <c r="S869" t="s">
        <v>16580</v>
      </c>
      <c r="T869" t="s">
        <v>16581</v>
      </c>
      <c r="U869" t="s">
        <v>16582</v>
      </c>
      <c r="V869">
        <f>-631.406541569709 -59.1159022503005 -93.6277320428519</f>
        <v>-784.15017586286137</v>
      </c>
      <c r="W869" t="s">
        <v>16583</v>
      </c>
      <c r="X869" t="s">
        <v>16584</v>
      </c>
      <c r="Y869" t="s">
        <v>16585</v>
      </c>
    </row>
    <row r="870" spans="1:25" x14ac:dyDescent="0.3">
      <c r="A870">
        <v>43450</v>
      </c>
      <c r="B870" t="s">
        <v>16586</v>
      </c>
      <c r="C870" t="s">
        <v>16587</v>
      </c>
      <c r="D870" t="s">
        <v>16588</v>
      </c>
      <c r="E870" t="s">
        <v>16589</v>
      </c>
      <c r="F870" t="s">
        <v>16590</v>
      </c>
      <c r="G870" t="s">
        <v>16591</v>
      </c>
      <c r="H870" t="s">
        <v>16592</v>
      </c>
      <c r="I870" t="s">
        <v>16593</v>
      </c>
      <c r="J870" t="s">
        <v>16594</v>
      </c>
      <c r="K870" t="s">
        <v>16595</v>
      </c>
      <c r="L870" t="s">
        <v>16596</v>
      </c>
      <c r="M870" t="s">
        <v>16597</v>
      </c>
      <c r="N870" t="s">
        <v>16598</v>
      </c>
      <c r="O870">
        <f>-730.528543081539 -139.377676227943 -507.232717696513</f>
        <v>-1377.1389370059951</v>
      </c>
      <c r="P870">
        <f>-670.834487608081 -165.114829214562 -232.727999872873</f>
        <v>-1068.6773166955159</v>
      </c>
      <c r="Q870">
        <f>-503.321831587445 -101.117374402046 -380.350415793111</f>
        <v>-984.78962178260201</v>
      </c>
      <c r="R870" t="s">
        <v>16599</v>
      </c>
      <c r="S870" t="s">
        <v>16600</v>
      </c>
      <c r="T870" t="s">
        <v>16601</v>
      </c>
      <c r="U870" t="s">
        <v>16602</v>
      </c>
      <c r="V870">
        <f>-631.593794767977 -58.8866095017579 -93.6470685661827</f>
        <v>-784.12747283591762</v>
      </c>
      <c r="W870" t="s">
        <v>16603</v>
      </c>
      <c r="X870" t="s">
        <v>16604</v>
      </c>
      <c r="Y870" t="s">
        <v>16605</v>
      </c>
    </row>
    <row r="871" spans="1:25" x14ac:dyDescent="0.3">
      <c r="A871">
        <v>43500</v>
      </c>
      <c r="B871" t="s">
        <v>16606</v>
      </c>
      <c r="C871" t="s">
        <v>16607</v>
      </c>
      <c r="D871" t="s">
        <v>16608</v>
      </c>
      <c r="E871" t="s">
        <v>16609</v>
      </c>
      <c r="F871" t="s">
        <v>16610</v>
      </c>
      <c r="G871" t="s">
        <v>16611</v>
      </c>
      <c r="H871" t="s">
        <v>16612</v>
      </c>
      <c r="I871" t="s">
        <v>16613</v>
      </c>
      <c r="J871" t="s">
        <v>16614</v>
      </c>
      <c r="K871" t="s">
        <v>16615</v>
      </c>
      <c r="L871" t="s">
        <v>16616</v>
      </c>
      <c r="M871" t="s">
        <v>16617</v>
      </c>
      <c r="N871" t="s">
        <v>16618</v>
      </c>
      <c r="O871">
        <f>-731.042186383161 -138.605061192971 -507.676171121408</f>
        <v>-1377.3234186975401</v>
      </c>
      <c r="P871">
        <f>-678.077034085207 -163.927760378937 -231.755791086244</f>
        <v>-1073.760585550388</v>
      </c>
      <c r="Q871">
        <f>-504.794368668062 -106.067926197694 -375.19177253513</f>
        <v>-986.05406740088597</v>
      </c>
      <c r="R871" t="s">
        <v>16619</v>
      </c>
      <c r="S871" t="s">
        <v>16620</v>
      </c>
      <c r="T871" t="s">
        <v>16621</v>
      </c>
      <c r="U871" t="s">
        <v>16622</v>
      </c>
      <c r="V871">
        <f>-631.45143442682 -58.535609696718 -93.6281114802456</f>
        <v>-783.61515560378359</v>
      </c>
      <c r="W871" t="s">
        <v>16623</v>
      </c>
      <c r="X871" t="s">
        <v>16624</v>
      </c>
      <c r="Y871" t="s">
        <v>16625</v>
      </c>
    </row>
    <row r="872" spans="1:25" x14ac:dyDescent="0.3">
      <c r="A872">
        <v>43550</v>
      </c>
      <c r="B872" t="s">
        <v>16626</v>
      </c>
      <c r="C872" t="s">
        <v>16627</v>
      </c>
      <c r="D872" t="s">
        <v>16628</v>
      </c>
      <c r="E872" t="s">
        <v>16629</v>
      </c>
      <c r="F872" t="s">
        <v>16630</v>
      </c>
      <c r="G872" t="s">
        <v>16631</v>
      </c>
      <c r="H872" t="s">
        <v>16632</v>
      </c>
      <c r="I872" t="s">
        <v>16633</v>
      </c>
      <c r="J872" t="s">
        <v>16634</v>
      </c>
      <c r="K872" t="s">
        <v>16635</v>
      </c>
      <c r="L872" t="s">
        <v>16636</v>
      </c>
      <c r="M872" t="s">
        <v>16637</v>
      </c>
      <c r="N872" t="s">
        <v>16638</v>
      </c>
      <c r="O872">
        <f>-731.283456729476 -138.213444044242 -507.752197826373</f>
        <v>-1377.249098600091</v>
      </c>
      <c r="P872">
        <f>-681.648714846951 -163.037289201862 -231.168155599814</f>
        <v>-1075.854159648627</v>
      </c>
      <c r="Q872">
        <f>-505.43414706546 -108.766775677672 -372.418479076517</f>
        <v>-986.61940181964894</v>
      </c>
      <c r="R872" t="s">
        <v>16639</v>
      </c>
      <c r="S872" t="s">
        <v>16640</v>
      </c>
      <c r="T872" t="s">
        <v>16641</v>
      </c>
      <c r="U872" t="s">
        <v>16642</v>
      </c>
      <c r="V872">
        <f>-631.212427431427 -58.3550269041843 -93.5993298070119</f>
        <v>-783.16678414262333</v>
      </c>
      <c r="W872" t="s">
        <v>16643</v>
      </c>
      <c r="X872" t="s">
        <v>16644</v>
      </c>
      <c r="Y872" t="s">
        <v>16645</v>
      </c>
    </row>
    <row r="873" spans="1:25" x14ac:dyDescent="0.3">
      <c r="A873">
        <v>43600</v>
      </c>
      <c r="B873" t="s">
        <v>16646</v>
      </c>
      <c r="C873" t="s">
        <v>16647</v>
      </c>
      <c r="D873" t="s">
        <v>16648</v>
      </c>
      <c r="E873" t="s">
        <v>16649</v>
      </c>
      <c r="F873" t="s">
        <v>16650</v>
      </c>
      <c r="G873" t="s">
        <v>16651</v>
      </c>
      <c r="H873" t="s">
        <v>16652</v>
      </c>
      <c r="I873" t="s">
        <v>16653</v>
      </c>
      <c r="J873" t="s">
        <v>16654</v>
      </c>
      <c r="K873" t="s">
        <v>16655</v>
      </c>
      <c r="L873" t="s">
        <v>16656</v>
      </c>
      <c r="M873" t="s">
        <v>16657</v>
      </c>
      <c r="N873" t="s">
        <v>16658</v>
      </c>
      <c r="O873">
        <f>-731.814473489497 -137.696392556807 -507.723050731948</f>
        <v>-1377.233916778252</v>
      </c>
      <c r="P873">
        <f>-688.68133683461 -161.80036789045 -229.987383184422</f>
        <v>-1080.4690879094819</v>
      </c>
      <c r="Q873">
        <f>-506.710200385226 -114.968497435289 -366.52237529952</f>
        <v>-988.20107312003506</v>
      </c>
      <c r="R873" t="s">
        <v>16659</v>
      </c>
      <c r="S873" t="s">
        <v>16660</v>
      </c>
      <c r="T873" t="s">
        <v>16661</v>
      </c>
      <c r="U873" t="s">
        <v>16662</v>
      </c>
      <c r="V873">
        <f>-630.727414557069 -58.0147433890952 -93.5079014227919</f>
        <v>-782.25005936895604</v>
      </c>
      <c r="W873" t="s">
        <v>16663</v>
      </c>
      <c r="X873" t="s">
        <v>16664</v>
      </c>
      <c r="Y873" t="s">
        <v>16665</v>
      </c>
    </row>
    <row r="874" spans="1:25" x14ac:dyDescent="0.3">
      <c r="A874">
        <v>43650</v>
      </c>
      <c r="B874" t="s">
        <v>16666</v>
      </c>
      <c r="C874" t="s">
        <v>16667</v>
      </c>
      <c r="D874" t="s">
        <v>16668</v>
      </c>
      <c r="E874" t="s">
        <v>16669</v>
      </c>
      <c r="F874" t="s">
        <v>16670</v>
      </c>
      <c r="G874" t="s">
        <v>16671</v>
      </c>
      <c r="H874" t="s">
        <v>16672</v>
      </c>
      <c r="I874" t="s">
        <v>16673</v>
      </c>
      <c r="J874" t="s">
        <v>16674</v>
      </c>
      <c r="K874" t="s">
        <v>16675</v>
      </c>
      <c r="L874" t="s">
        <v>16676</v>
      </c>
      <c r="M874" t="s">
        <v>16677</v>
      </c>
      <c r="N874" t="s">
        <v>16678</v>
      </c>
      <c r="O874">
        <f>-732.105107077779 -137.473068592349 -507.578816221243</f>
        <v>-1377.156991891371</v>
      </c>
      <c r="P874">
        <f>-691.86582575356 -161.251689739461 -229.381107892805</f>
        <v>-1082.498623385826</v>
      </c>
      <c r="Q874">
        <f>-507.174634707167 -118.07763686413 -363.447070687094</f>
        <v>-988.69934225839097</v>
      </c>
      <c r="R874" t="s">
        <v>16679</v>
      </c>
      <c r="S874" t="s">
        <v>16680</v>
      </c>
      <c r="T874" t="s">
        <v>16681</v>
      </c>
      <c r="U874" t="s">
        <v>16682</v>
      </c>
      <c r="V874">
        <f>-630.506068453145 -57.905293370073 -93.466319637294</f>
        <v>-781.87768146051189</v>
      </c>
      <c r="W874" t="s">
        <v>16683</v>
      </c>
      <c r="X874" t="s">
        <v>16684</v>
      </c>
      <c r="Y874" t="s">
        <v>16685</v>
      </c>
    </row>
    <row r="875" spans="1:25" x14ac:dyDescent="0.3">
      <c r="A875">
        <v>43700</v>
      </c>
      <c r="B875" t="s">
        <v>16686</v>
      </c>
      <c r="C875" t="s">
        <v>16687</v>
      </c>
      <c r="D875" t="s">
        <v>16688</v>
      </c>
      <c r="E875" t="s">
        <v>16689</v>
      </c>
      <c r="F875" t="s">
        <v>16690</v>
      </c>
      <c r="G875" t="s">
        <v>16691</v>
      </c>
      <c r="H875" t="s">
        <v>16692</v>
      </c>
      <c r="I875" t="s">
        <v>16693</v>
      </c>
      <c r="J875" t="s">
        <v>16694</v>
      </c>
      <c r="K875" t="s">
        <v>16695</v>
      </c>
      <c r="L875" t="s">
        <v>16696</v>
      </c>
      <c r="M875" t="s">
        <v>16697</v>
      </c>
      <c r="N875" t="s">
        <v>16698</v>
      </c>
      <c r="O875">
        <f>-732.392641725969 -136.949509617701 -507.152694409533</f>
        <v>-1376.494845753203</v>
      </c>
      <c r="P875">
        <f>-698.452012986097 -159.718893491782 -228.032311003308</f>
        <v>-1086.203217481187</v>
      </c>
      <c r="Q875">
        <f>-508.791968168647 -123.36486017405 -357.090236111359</f>
        <v>-989.24706445405593</v>
      </c>
      <c r="R875" t="s">
        <v>16699</v>
      </c>
      <c r="S875" t="s">
        <v>16700</v>
      </c>
      <c r="T875" t="s">
        <v>16701</v>
      </c>
      <c r="U875" t="s">
        <v>16702</v>
      </c>
      <c r="V875">
        <f>-630.542032979687 -57.3606153658779 -93.3236173010936</f>
        <v>-781.22626564665848</v>
      </c>
      <c r="W875" t="s">
        <v>16703</v>
      </c>
      <c r="X875" t="s">
        <v>16704</v>
      </c>
      <c r="Y875" t="s">
        <v>16705</v>
      </c>
    </row>
    <row r="876" spans="1:25" x14ac:dyDescent="0.3">
      <c r="A876">
        <v>43750</v>
      </c>
      <c r="B876" t="s">
        <v>16706</v>
      </c>
      <c r="C876" t="s">
        <v>16707</v>
      </c>
      <c r="D876" t="s">
        <v>16708</v>
      </c>
      <c r="E876" t="s">
        <v>16709</v>
      </c>
      <c r="F876" t="s">
        <v>16710</v>
      </c>
      <c r="G876" t="s">
        <v>16711</v>
      </c>
      <c r="H876" t="s">
        <v>16712</v>
      </c>
      <c r="I876" t="s">
        <v>16713</v>
      </c>
      <c r="J876" t="s">
        <v>16714</v>
      </c>
      <c r="K876" t="s">
        <v>16715</v>
      </c>
      <c r="L876" t="s">
        <v>16716</v>
      </c>
      <c r="M876" t="s">
        <v>16717</v>
      </c>
      <c r="N876" t="s">
        <v>16718</v>
      </c>
      <c r="O876">
        <f>-732.341574983146 -136.593339211339 -506.986744119633</f>
        <v>-1375.9216583141178</v>
      </c>
      <c r="P876">
        <f>-701.515141669028 -158.705331686097 -227.452377116227</f>
        <v>-1087.6728504713519</v>
      </c>
      <c r="Q876">
        <f>-509.579725645653 -125.545782281667 -353.982064039069</f>
        <v>-989.10757196638895</v>
      </c>
      <c r="R876" t="s">
        <v>16719</v>
      </c>
      <c r="S876" t="s">
        <v>16720</v>
      </c>
      <c r="T876" t="s">
        <v>16721</v>
      </c>
      <c r="U876" t="s">
        <v>16722</v>
      </c>
      <c r="V876">
        <f>-630.631588951917 -57.0718503857609 -93.3048727785256</f>
        <v>-781.00831211620346</v>
      </c>
      <c r="W876" t="s">
        <v>16723</v>
      </c>
      <c r="X876" t="s">
        <v>16724</v>
      </c>
      <c r="Y876" t="s">
        <v>16725</v>
      </c>
    </row>
    <row r="877" spans="1:25" x14ac:dyDescent="0.3">
      <c r="A877">
        <v>43800</v>
      </c>
      <c r="B877" t="s">
        <v>16726</v>
      </c>
      <c r="C877" t="s">
        <v>16727</v>
      </c>
      <c r="D877" t="s">
        <v>16728</v>
      </c>
      <c r="E877" t="s">
        <v>16729</v>
      </c>
      <c r="F877" t="s">
        <v>16730</v>
      </c>
      <c r="G877" t="s">
        <v>16731</v>
      </c>
      <c r="H877" t="s">
        <v>16732</v>
      </c>
      <c r="I877" t="s">
        <v>16733</v>
      </c>
      <c r="J877" t="s">
        <v>16734</v>
      </c>
      <c r="K877" t="s">
        <v>16735</v>
      </c>
      <c r="L877" t="s">
        <v>16736</v>
      </c>
      <c r="M877" t="s">
        <v>16737</v>
      </c>
      <c r="N877" t="s">
        <v>16738</v>
      </c>
      <c r="O877">
        <f>-732.089552210098 -135.765937667353 -506.6334442698</f>
        <v>-1374.488934147251</v>
      </c>
      <c r="P877">
        <f>-707.769937712375 -157.566388053954 -226.43372363795</f>
        <v>-1091.770049404279</v>
      </c>
      <c r="Q877">
        <f>-511.463020504838 -129.240236927656 -347.304525726071</f>
        <v>-988.00778315856508</v>
      </c>
      <c r="R877" t="s">
        <v>16739</v>
      </c>
      <c r="S877" t="s">
        <v>16740</v>
      </c>
      <c r="T877" t="s">
        <v>16741</v>
      </c>
      <c r="U877" t="s">
        <v>16742</v>
      </c>
      <c r="V877">
        <f>-630.81416175355 -56.3143490270138 -93.3104488191523</f>
        <v>-780.4389595997161</v>
      </c>
      <c r="W877" t="s">
        <v>16743</v>
      </c>
      <c r="X877" t="s">
        <v>16744</v>
      </c>
      <c r="Y877" t="s">
        <v>16745</v>
      </c>
    </row>
    <row r="878" spans="1:25" x14ac:dyDescent="0.3">
      <c r="A878">
        <v>43850</v>
      </c>
      <c r="B878" t="s">
        <v>16746</v>
      </c>
      <c r="C878" t="s">
        <v>16747</v>
      </c>
      <c r="D878" t="s">
        <v>16748</v>
      </c>
      <c r="E878" t="s">
        <v>16749</v>
      </c>
      <c r="F878" t="s">
        <v>16750</v>
      </c>
      <c r="G878" t="s">
        <v>16751</v>
      </c>
      <c r="H878" t="s">
        <v>16752</v>
      </c>
      <c r="I878" t="s">
        <v>16753</v>
      </c>
      <c r="J878" t="s">
        <v>16754</v>
      </c>
      <c r="K878" t="s">
        <v>16755</v>
      </c>
      <c r="L878" t="s">
        <v>16756</v>
      </c>
      <c r="M878" t="s">
        <v>16757</v>
      </c>
      <c r="N878" t="s">
        <v>16758</v>
      </c>
      <c r="O878">
        <f>-731.8979754298 -135.380780350885 -506.576843187081</f>
        <v>-1373.8555989677661</v>
      </c>
      <c r="P878">
        <f>-710.997637046385 -157.04096394065 -226.090503899911</f>
        <v>-1094.1291048869459</v>
      </c>
      <c r="Q878">
        <f>-512.383205566207 -130.927539668054 -343.644553478762</f>
        <v>-986.95529871302301</v>
      </c>
      <c r="R878" t="s">
        <v>16759</v>
      </c>
      <c r="S878" t="s">
        <v>16760</v>
      </c>
      <c r="T878" t="s">
        <v>16761</v>
      </c>
      <c r="U878" t="s">
        <v>16762</v>
      </c>
      <c r="V878">
        <f>-630.857309540903 -55.9943432043281 -93.3179138974023</f>
        <v>-780.1695666426333</v>
      </c>
      <c r="W878" t="s">
        <v>16763</v>
      </c>
      <c r="X878" t="s">
        <v>16764</v>
      </c>
      <c r="Y878" t="s">
        <v>16765</v>
      </c>
    </row>
    <row r="879" spans="1:25" x14ac:dyDescent="0.3">
      <c r="A879">
        <v>43900</v>
      </c>
      <c r="B879" t="s">
        <v>16766</v>
      </c>
      <c r="C879" t="s">
        <v>16767</v>
      </c>
      <c r="D879" t="s">
        <v>16768</v>
      </c>
      <c r="E879" t="s">
        <v>16769</v>
      </c>
      <c r="F879" t="s">
        <v>16770</v>
      </c>
      <c r="G879" t="s">
        <v>16771</v>
      </c>
      <c r="H879" t="s">
        <v>16772</v>
      </c>
      <c r="I879" t="s">
        <v>16773</v>
      </c>
      <c r="J879" t="s">
        <v>16774</v>
      </c>
      <c r="K879" t="s">
        <v>16775</v>
      </c>
      <c r="L879" t="s">
        <v>16776</v>
      </c>
      <c r="M879" t="s">
        <v>16777</v>
      </c>
      <c r="N879" t="s">
        <v>16778</v>
      </c>
      <c r="O879">
        <f>-730.775507811752 -134.733985690337 -506.544372961002</f>
        <v>-1372.053866463091</v>
      </c>
      <c r="P879">
        <f>-717.030513850628 -156.010604884639 -225.587182560431</f>
        <v>-1098.6283012956981</v>
      </c>
      <c r="Q879">
        <f>-513.722272676947 -134.298005305724 -335.781781840127</f>
        <v>-983.80205982279801</v>
      </c>
      <c r="R879" t="s">
        <v>16779</v>
      </c>
      <c r="S879" t="s">
        <v>16780</v>
      </c>
      <c r="T879" t="s">
        <v>16781</v>
      </c>
      <c r="U879" t="s">
        <v>16782</v>
      </c>
      <c r="V879">
        <f>-630.621963739103 -55.4912076302348 -93.2948014380104</f>
        <v>-779.40797280734819</v>
      </c>
      <c r="W879" t="s">
        <v>16783</v>
      </c>
      <c r="X879" t="s">
        <v>16784</v>
      </c>
      <c r="Y879" t="s">
        <v>16785</v>
      </c>
    </row>
    <row r="880" spans="1:25" x14ac:dyDescent="0.3">
      <c r="A880">
        <v>43950</v>
      </c>
      <c r="B880" t="s">
        <v>16786</v>
      </c>
      <c r="C880" t="s">
        <v>16787</v>
      </c>
      <c r="D880" t="s">
        <v>16788</v>
      </c>
      <c r="E880" t="s">
        <v>16789</v>
      </c>
      <c r="F880" t="s">
        <v>16790</v>
      </c>
      <c r="G880" t="s">
        <v>16791</v>
      </c>
      <c r="H880" t="s">
        <v>16792</v>
      </c>
      <c r="I880" t="s">
        <v>16793</v>
      </c>
      <c r="J880" t="s">
        <v>16794</v>
      </c>
      <c r="K880" t="s">
        <v>16795</v>
      </c>
      <c r="L880" t="s">
        <v>16796</v>
      </c>
      <c r="M880" t="s">
        <v>16797</v>
      </c>
      <c r="N880" t="s">
        <v>16798</v>
      </c>
      <c r="O880">
        <f>-730.003958594756 -134.604592857611 -506.725018754493</f>
        <v>-1371.33357020686</v>
      </c>
      <c r="P880">
        <f>-720.011397308472 -155.566941832557 -225.585734131775</f>
        <v>-1101.1640732728042</v>
      </c>
      <c r="Q880">
        <f>-514.410447733966 -136.137181447378 -331.883679432085</f>
        <v>-982.43130861342888</v>
      </c>
      <c r="R880" t="s">
        <v>16799</v>
      </c>
      <c r="S880" t="s">
        <v>16800</v>
      </c>
      <c r="T880" t="s">
        <v>16801</v>
      </c>
      <c r="U880" t="s">
        <v>16802</v>
      </c>
      <c r="V880">
        <f>-630.353374597101 -55.2833694739581 -93.274927490186</f>
        <v>-778.91167156124516</v>
      </c>
      <c r="W880" t="s">
        <v>16803</v>
      </c>
      <c r="X880" t="s">
        <v>16804</v>
      </c>
      <c r="Y880" t="s">
        <v>16805</v>
      </c>
    </row>
    <row r="881" spans="1:25" x14ac:dyDescent="0.3">
      <c r="A881">
        <v>44000</v>
      </c>
      <c r="B881" t="s">
        <v>16806</v>
      </c>
      <c r="C881" t="s">
        <v>16807</v>
      </c>
      <c r="D881" t="s">
        <v>16808</v>
      </c>
      <c r="E881" t="s">
        <v>16809</v>
      </c>
      <c r="F881" t="s">
        <v>16810</v>
      </c>
      <c r="G881" t="s">
        <v>16811</v>
      </c>
      <c r="H881" t="s">
        <v>16812</v>
      </c>
      <c r="I881" t="s">
        <v>16813</v>
      </c>
      <c r="J881" t="s">
        <v>16814</v>
      </c>
      <c r="K881" t="s">
        <v>16815</v>
      </c>
      <c r="L881" t="s">
        <v>16816</v>
      </c>
      <c r="M881" t="s">
        <v>16817</v>
      </c>
      <c r="N881" t="s">
        <v>16818</v>
      </c>
      <c r="O881">
        <f>-728.340848853902 -134.377859432338 -507.040971085603</f>
        <v>-1369.759679371843</v>
      </c>
      <c r="P881">
        <f>-725.071493239228 -154.78910373989 -225.702573831158</f>
        <v>-1105.563170810276</v>
      </c>
      <c r="Q881">
        <f>-515.305964062481 -139.590445139279 -324.272149808941</f>
        <v>-979.16855901070107</v>
      </c>
      <c r="R881" t="s">
        <v>16819</v>
      </c>
      <c r="S881" t="s">
        <v>16820</v>
      </c>
      <c r="T881" t="s">
        <v>16821</v>
      </c>
      <c r="U881" t="s">
        <v>16822</v>
      </c>
      <c r="V881">
        <f>-629.432764568793 -55.0399934784762 -93.2411947088591</f>
        <v>-777.71395275612826</v>
      </c>
      <c r="W881" t="s">
        <v>16823</v>
      </c>
      <c r="X881" t="s">
        <v>16824</v>
      </c>
      <c r="Y881" t="s">
        <v>16825</v>
      </c>
    </row>
    <row r="882" spans="1:25" x14ac:dyDescent="0.3">
      <c r="A882">
        <v>44050</v>
      </c>
      <c r="B882" t="s">
        <v>16826</v>
      </c>
      <c r="C882" t="s">
        <v>16827</v>
      </c>
      <c r="D882" t="s">
        <v>16828</v>
      </c>
      <c r="E882" t="s">
        <v>16829</v>
      </c>
      <c r="F882" t="s">
        <v>16830</v>
      </c>
      <c r="G882" t="s">
        <v>16831</v>
      </c>
      <c r="H882" t="s">
        <v>16832</v>
      </c>
      <c r="I882" t="s">
        <v>16833</v>
      </c>
      <c r="J882" t="s">
        <v>16834</v>
      </c>
      <c r="K882" t="s">
        <v>16835</v>
      </c>
      <c r="L882" t="s">
        <v>16836</v>
      </c>
      <c r="M882" t="s">
        <v>16837</v>
      </c>
      <c r="N882" t="s">
        <v>16838</v>
      </c>
      <c r="O882">
        <f>-727.53088889897 -134.340712253971 -507.197370524239</f>
        <v>-1369.0689716771799</v>
      </c>
      <c r="P882">
        <f>-727.167916988772 -154.653898196763 -225.833119538375</f>
        <v>-1107.6549347239102</v>
      </c>
      <c r="Q882">
        <f>-515.549111561761 -141.461312720607 -320.659211013187</f>
        <v>-977.66963529555505</v>
      </c>
      <c r="R882" t="s">
        <v>16839</v>
      </c>
      <c r="S882" t="s">
        <v>16840</v>
      </c>
      <c r="T882" t="s">
        <v>16841</v>
      </c>
      <c r="U882" t="s">
        <v>16842</v>
      </c>
      <c r="V882">
        <f>-628.853388154106 -55.1078395575548 -93.2462822658225</f>
        <v>-777.20750997748337</v>
      </c>
      <c r="W882" t="s">
        <v>16843</v>
      </c>
      <c r="X882" t="s">
        <v>16844</v>
      </c>
      <c r="Y882" t="s">
        <v>16845</v>
      </c>
    </row>
    <row r="883" spans="1:25" x14ac:dyDescent="0.3">
      <c r="A883">
        <v>44100</v>
      </c>
      <c r="B883" t="s">
        <v>16846</v>
      </c>
      <c r="C883" t="s">
        <v>16847</v>
      </c>
      <c r="D883" t="s">
        <v>16848</v>
      </c>
      <c r="E883" t="s">
        <v>16849</v>
      </c>
      <c r="F883" t="s">
        <v>16850</v>
      </c>
      <c r="G883" t="s">
        <v>16851</v>
      </c>
      <c r="H883" t="s">
        <v>16852</v>
      </c>
      <c r="I883" t="s">
        <v>16853</v>
      </c>
      <c r="J883" t="s">
        <v>16854</v>
      </c>
      <c r="K883" t="s">
        <v>16855</v>
      </c>
      <c r="L883" t="s">
        <v>16856</v>
      </c>
      <c r="M883" t="s">
        <v>16857</v>
      </c>
      <c r="N883" t="s">
        <v>16858</v>
      </c>
      <c r="O883">
        <f>-725.620880083241 -134.508058967897 -507.464068197725</f>
        <v>-1367.5930072488629</v>
      </c>
      <c r="P883">
        <f>-730.469284553897 -155.291029504524 -226.175659786517</f>
        <v>-1111.935973844938</v>
      </c>
      <c r="Q883">
        <f>-515.726557051614 -145.246507052907 -314.114327741747</f>
        <v>-975.08739184626802</v>
      </c>
      <c r="R883" t="s">
        <v>16859</v>
      </c>
      <c r="S883" t="s">
        <v>16860</v>
      </c>
      <c r="T883" t="s">
        <v>16861</v>
      </c>
      <c r="U883" t="s">
        <v>16862</v>
      </c>
      <c r="V883">
        <f>-627.52365075592 -55.4568044391146 -93.2990725936563</f>
        <v>-776.27952778869098</v>
      </c>
      <c r="W883" t="s">
        <v>16863</v>
      </c>
      <c r="X883" t="s">
        <v>16864</v>
      </c>
      <c r="Y883" t="s">
        <v>16865</v>
      </c>
    </row>
    <row r="884" spans="1:25" x14ac:dyDescent="0.3">
      <c r="A884">
        <v>44150</v>
      </c>
      <c r="B884" t="s">
        <v>16866</v>
      </c>
      <c r="C884" t="s">
        <v>16867</v>
      </c>
      <c r="D884" t="s">
        <v>16868</v>
      </c>
      <c r="E884" t="s">
        <v>16869</v>
      </c>
      <c r="F884" t="s">
        <v>16870</v>
      </c>
      <c r="G884" t="s">
        <v>16871</v>
      </c>
      <c r="H884" t="s">
        <v>16872</v>
      </c>
      <c r="I884" t="s">
        <v>16873</v>
      </c>
      <c r="J884" t="s">
        <v>16874</v>
      </c>
      <c r="K884" t="s">
        <v>16875</v>
      </c>
      <c r="L884" t="s">
        <v>16876</v>
      </c>
      <c r="M884" t="s">
        <v>16877</v>
      </c>
      <c r="N884" t="s">
        <v>16878</v>
      </c>
      <c r="O884">
        <f>-724.63821089607 -134.467458476294 -507.502084226892</f>
        <v>-1366.6077535992561</v>
      </c>
      <c r="P884">
        <f>-731.878963275635 -155.889710721419 -226.313141540406</f>
        <v>-1114.08181553746</v>
      </c>
      <c r="Q884">
        <f>-515.840863363211 -146.722853837478 -311.118974842965</f>
        <v>-973.68269204365401</v>
      </c>
      <c r="R884" t="s">
        <v>16879</v>
      </c>
      <c r="S884" t="s">
        <v>16880</v>
      </c>
      <c r="T884" t="s">
        <v>16881</v>
      </c>
      <c r="U884" t="s">
        <v>16882</v>
      </c>
      <c r="V884">
        <f>-626.810130706799 -55.4651214541118 -93.3031530995065</f>
        <v>-775.5784052604173</v>
      </c>
      <c r="W884" t="s">
        <v>16883</v>
      </c>
      <c r="X884" t="s">
        <v>16884</v>
      </c>
      <c r="Y884" t="s">
        <v>16885</v>
      </c>
    </row>
    <row r="885" spans="1:25" x14ac:dyDescent="0.3">
      <c r="A885">
        <v>44200</v>
      </c>
      <c r="B885" t="s">
        <v>16886</v>
      </c>
      <c r="C885" t="s">
        <v>16887</v>
      </c>
      <c r="D885" t="s">
        <v>16888</v>
      </c>
      <c r="E885" t="s">
        <v>16889</v>
      </c>
      <c r="F885" t="s">
        <v>16890</v>
      </c>
      <c r="G885" t="s">
        <v>16891</v>
      </c>
      <c r="H885" t="s">
        <v>16892</v>
      </c>
      <c r="I885" t="s">
        <v>16893</v>
      </c>
      <c r="J885" t="s">
        <v>16894</v>
      </c>
      <c r="K885" t="s">
        <v>16895</v>
      </c>
      <c r="L885" t="s">
        <v>16896</v>
      </c>
      <c r="M885" t="s">
        <v>16897</v>
      </c>
      <c r="N885" t="s">
        <v>16898</v>
      </c>
      <c r="O885">
        <f>-722.932698152445 -134.521219889886 -507.713215263021</f>
        <v>-1365.1671333053521</v>
      </c>
      <c r="P885">
        <f>-734.37899348767 -157.993020642165 -226.82774051378</f>
        <v>-1119.1997546436151</v>
      </c>
      <c r="Q885">
        <f>-515.967591420449 -149.380021131791 -305.382184098939</f>
        <v>-970.72979665117896</v>
      </c>
      <c r="R885" t="s">
        <v>16899</v>
      </c>
      <c r="S885" t="s">
        <v>16900</v>
      </c>
      <c r="T885" t="s">
        <v>16901</v>
      </c>
      <c r="U885" t="s">
        <v>16902</v>
      </c>
      <c r="V885">
        <f>-625.538451697098 -55.9180226500459 -93.3292015284073</f>
        <v>-774.78567587555131</v>
      </c>
      <c r="W885" t="s">
        <v>16903</v>
      </c>
      <c r="X885" t="s">
        <v>16904</v>
      </c>
      <c r="Y885" t="s">
        <v>16905</v>
      </c>
    </row>
    <row r="886" spans="1:25" x14ac:dyDescent="0.3">
      <c r="A886">
        <v>44250</v>
      </c>
      <c r="B886" t="s">
        <v>16906</v>
      </c>
      <c r="C886" t="s">
        <v>16907</v>
      </c>
      <c r="D886" t="s">
        <v>16908</v>
      </c>
      <c r="E886" t="s">
        <v>16909</v>
      </c>
      <c r="F886" t="s">
        <v>16910</v>
      </c>
      <c r="G886" t="s">
        <v>16911</v>
      </c>
      <c r="H886" t="s">
        <v>16912</v>
      </c>
      <c r="I886" t="s">
        <v>16913</v>
      </c>
      <c r="J886" t="s">
        <v>16914</v>
      </c>
      <c r="K886" t="s">
        <v>16915</v>
      </c>
      <c r="L886" t="s">
        <v>16916</v>
      </c>
      <c r="M886" t="s">
        <v>16917</v>
      </c>
      <c r="N886" t="s">
        <v>16918</v>
      </c>
      <c r="O886">
        <f>-722.146688242557 -134.706889992068 -507.830105091319</f>
        <v>-1364.683683325944</v>
      </c>
      <c r="P886">
        <f>-735.661157817185 -159.321961655791 -227.134389335847</f>
        <v>-1122.117508808823</v>
      </c>
      <c r="Q886">
        <f>-516.150911301299 -150.870161519722 -302.582016440248</f>
        <v>-969.60308926126891</v>
      </c>
      <c r="R886" t="s">
        <v>16919</v>
      </c>
      <c r="S886" t="s">
        <v>16920</v>
      </c>
      <c r="T886" t="s">
        <v>16921</v>
      </c>
      <c r="U886" t="s">
        <v>16922</v>
      </c>
      <c r="V886">
        <f>-624.885063312768 -56.258772402608 -93.3400486497612</f>
        <v>-774.48388436513721</v>
      </c>
      <c r="W886" t="s">
        <v>16923</v>
      </c>
      <c r="X886" t="s">
        <v>16924</v>
      </c>
      <c r="Y886" t="s">
        <v>16925</v>
      </c>
    </row>
    <row r="887" spans="1:25" x14ac:dyDescent="0.3">
      <c r="A887">
        <v>44300</v>
      </c>
      <c r="B887" t="s">
        <v>16926</v>
      </c>
      <c r="C887" t="s">
        <v>16927</v>
      </c>
      <c r="D887" t="s">
        <v>16928</v>
      </c>
      <c r="E887" t="s">
        <v>16929</v>
      </c>
      <c r="F887" t="s">
        <v>16930</v>
      </c>
      <c r="G887" t="s">
        <v>16931</v>
      </c>
      <c r="H887" t="s">
        <v>16932</v>
      </c>
      <c r="I887" t="s">
        <v>16933</v>
      </c>
      <c r="J887" t="s">
        <v>16934</v>
      </c>
      <c r="K887" t="s">
        <v>16935</v>
      </c>
      <c r="L887" t="s">
        <v>16936</v>
      </c>
      <c r="M887" t="s">
        <v>16937</v>
      </c>
      <c r="N887" t="s">
        <v>16938</v>
      </c>
      <c r="O887">
        <f>-720.514913939512 -134.955112850289 -507.971233356394</f>
        <v>-1363.441260146195</v>
      </c>
      <c r="P887">
        <f>-737.627999683158 -160.753422184682 -227.578333853899</f>
        <v>-1125.9597557217389</v>
      </c>
      <c r="Q887">
        <f>-516.200272388802 -153.404633944312 -297.322910159138</f>
        <v>-966.92781649225196</v>
      </c>
      <c r="R887" t="s">
        <v>16939</v>
      </c>
      <c r="S887" t="s">
        <v>16940</v>
      </c>
      <c r="T887" t="s">
        <v>16941</v>
      </c>
      <c r="U887" t="s">
        <v>16942</v>
      </c>
      <c r="V887">
        <f>-623.319093384515 -56.5134565864728 -93.3132254319576</f>
        <v>-773.14577540294533</v>
      </c>
      <c r="W887" t="s">
        <v>16943</v>
      </c>
      <c r="X887" t="s">
        <v>16944</v>
      </c>
      <c r="Y887" t="s">
        <v>16945</v>
      </c>
    </row>
    <row r="888" spans="1:25" x14ac:dyDescent="0.3">
      <c r="A888">
        <v>44350</v>
      </c>
      <c r="B888" t="s">
        <v>16946</v>
      </c>
      <c r="C888" t="s">
        <v>16947</v>
      </c>
      <c r="D888" t="s">
        <v>16948</v>
      </c>
      <c r="E888" t="s">
        <v>16949</v>
      </c>
      <c r="F888" t="s">
        <v>16950</v>
      </c>
      <c r="G888" t="s">
        <v>16951</v>
      </c>
      <c r="H888" t="s">
        <v>16952</v>
      </c>
      <c r="I888" t="s">
        <v>16953</v>
      </c>
      <c r="J888" t="s">
        <v>16954</v>
      </c>
      <c r="K888" t="s">
        <v>16955</v>
      </c>
      <c r="L888" t="s">
        <v>16956</v>
      </c>
      <c r="M888" t="s">
        <v>16957</v>
      </c>
      <c r="N888" t="s">
        <v>16958</v>
      </c>
      <c r="O888">
        <f>-719.813493371999 -135.009706491348 -508.031919593535</f>
        <v>-1362.855119456882</v>
      </c>
      <c r="P888">
        <f>-738.242787168302 -160.888899506458 -227.729851768073</f>
        <v>-1126.8615384428331</v>
      </c>
      <c r="Q888">
        <f>-515.984732372569 -154.662059139372 -294.894609025762</f>
        <v>-965.54140053770311</v>
      </c>
      <c r="R888" t="s">
        <v>16959</v>
      </c>
      <c r="S888" t="s">
        <v>16960</v>
      </c>
      <c r="T888" t="s">
        <v>16961</v>
      </c>
      <c r="U888" t="s">
        <v>16962</v>
      </c>
      <c r="V888">
        <f>-622.54468587422 -56.5448632849955 -93.3108669605563</f>
        <v>-772.40041611977176</v>
      </c>
      <c r="W888" t="s">
        <v>16963</v>
      </c>
      <c r="X888" t="s">
        <v>16964</v>
      </c>
      <c r="Y888" t="s">
        <v>16965</v>
      </c>
    </row>
    <row r="889" spans="1:25" x14ac:dyDescent="0.3">
      <c r="A889">
        <v>44400</v>
      </c>
      <c r="B889" t="s">
        <v>16966</v>
      </c>
      <c r="C889" t="s">
        <v>16967</v>
      </c>
      <c r="D889" t="s">
        <v>16968</v>
      </c>
      <c r="E889" t="s">
        <v>16969</v>
      </c>
      <c r="F889" t="s">
        <v>16970</v>
      </c>
      <c r="G889" t="s">
        <v>16971</v>
      </c>
      <c r="H889" t="s">
        <v>16972</v>
      </c>
      <c r="I889" t="s">
        <v>16973</v>
      </c>
      <c r="J889" t="s">
        <v>16974</v>
      </c>
      <c r="K889" t="s">
        <v>16975</v>
      </c>
      <c r="L889" t="s">
        <v>16976</v>
      </c>
      <c r="M889" t="s">
        <v>16977</v>
      </c>
      <c r="N889" t="s">
        <v>16978</v>
      </c>
      <c r="O889">
        <f>-719.186457102814 -135.144620293539 -508.136918330302</f>
        <v>-1362.4679957266549</v>
      </c>
      <c r="P889">
        <f>-738.756922845747 -160.302939557628 -227.846539609751</f>
        <v>-1126.9064020131261</v>
      </c>
      <c r="Q889">
        <f>-515.02144870954 -157.36703976416 -290.155204853466</f>
        <v>-962.54369332716601</v>
      </c>
      <c r="R889" t="s">
        <v>16979</v>
      </c>
      <c r="S889" t="s">
        <v>16980</v>
      </c>
      <c r="T889" t="s">
        <v>16981</v>
      </c>
      <c r="U889" t="s">
        <v>16982</v>
      </c>
      <c r="V889">
        <f>-621.406985229807 -56.8009612471828 -93.3184667182047</f>
        <v>-771.52641319519455</v>
      </c>
      <c r="W889" t="s">
        <v>16983</v>
      </c>
      <c r="X889" t="s">
        <v>16984</v>
      </c>
      <c r="Y889" t="s">
        <v>16985</v>
      </c>
    </row>
    <row r="890" spans="1:25" x14ac:dyDescent="0.3">
      <c r="A890">
        <v>44450</v>
      </c>
      <c r="B890" t="s">
        <v>16986</v>
      </c>
      <c r="C890" t="s">
        <v>16987</v>
      </c>
      <c r="D890" t="s">
        <v>16988</v>
      </c>
      <c r="E890" t="s">
        <v>16989</v>
      </c>
      <c r="F890" t="s">
        <v>16990</v>
      </c>
      <c r="G890" t="s">
        <v>16991</v>
      </c>
      <c r="H890" t="s">
        <v>16992</v>
      </c>
      <c r="I890" t="s">
        <v>16993</v>
      </c>
      <c r="J890" t="s">
        <v>16994</v>
      </c>
      <c r="K890" t="s">
        <v>16995</v>
      </c>
      <c r="L890" t="s">
        <v>16996</v>
      </c>
      <c r="M890" t="s">
        <v>16997</v>
      </c>
      <c r="N890" t="s">
        <v>16998</v>
      </c>
      <c r="O890">
        <f>-719.04900637501 -135.238148642533 -508.122210422625</f>
        <v>-1362.4093654401681</v>
      </c>
      <c r="P890">
        <f>-738.887636699788 -159.871959249283 -227.804231765808</f>
        <v>-1126.5638277148789</v>
      </c>
      <c r="Q890">
        <f>-514.460508008318 -158.817844276979 -287.636262770747</f>
        <v>-960.91461505604411</v>
      </c>
      <c r="R890" t="s">
        <v>16999</v>
      </c>
      <c r="S890" t="s">
        <v>17000</v>
      </c>
      <c r="T890" t="s">
        <v>17001</v>
      </c>
      <c r="U890" t="s">
        <v>17002</v>
      </c>
      <c r="V890">
        <f>-621.009305809454 -56.9646984895242 -93.3125429752174</f>
        <v>-771.28654727419553</v>
      </c>
      <c r="W890" t="s">
        <v>17003</v>
      </c>
      <c r="X890" t="s">
        <v>17004</v>
      </c>
      <c r="Y890" t="s">
        <v>17005</v>
      </c>
    </row>
    <row r="891" spans="1:25" x14ac:dyDescent="0.3">
      <c r="A891">
        <v>44500</v>
      </c>
      <c r="B891" t="s">
        <v>17006</v>
      </c>
      <c r="C891" t="s">
        <v>17007</v>
      </c>
      <c r="D891" t="s">
        <v>17008</v>
      </c>
      <c r="E891" t="s">
        <v>17009</v>
      </c>
      <c r="F891" t="s">
        <v>17010</v>
      </c>
      <c r="G891" t="s">
        <v>17011</v>
      </c>
      <c r="H891" t="s">
        <v>17012</v>
      </c>
      <c r="I891" t="s">
        <v>17013</v>
      </c>
      <c r="J891" t="s">
        <v>17014</v>
      </c>
      <c r="K891" t="s">
        <v>17015</v>
      </c>
      <c r="L891" t="s">
        <v>17016</v>
      </c>
      <c r="M891" t="s">
        <v>17017</v>
      </c>
      <c r="N891" t="s">
        <v>17018</v>
      </c>
      <c r="O891">
        <f>-718.756811242946 -135.594121528826 -507.962206869219</f>
        <v>-1362.313139640991</v>
      </c>
      <c r="P891">
        <f>-739.841851270966 -159.726458062501 -227.691602323542</f>
        <v>-1127.2599116570091</v>
      </c>
      <c r="Q891">
        <f>-514.278630123902 -162.223303800407 -283.04061309456</f>
        <v>-959.54254701886907</v>
      </c>
      <c r="R891" t="s">
        <v>17019</v>
      </c>
      <c r="S891" t="s">
        <v>17020</v>
      </c>
      <c r="T891" t="s">
        <v>17021</v>
      </c>
      <c r="U891" t="s">
        <v>17022</v>
      </c>
      <c r="V891">
        <f>-620.585153957037 -57.0732845234497 -93.2793838573359</f>
        <v>-770.93782233782269</v>
      </c>
      <c r="W891" t="s">
        <v>17023</v>
      </c>
      <c r="X891" t="s">
        <v>17024</v>
      </c>
      <c r="Y891" t="s">
        <v>17025</v>
      </c>
    </row>
    <row r="892" spans="1:25" x14ac:dyDescent="0.3">
      <c r="A892">
        <v>44550</v>
      </c>
      <c r="B892" t="s">
        <v>17026</v>
      </c>
      <c r="C892" t="s">
        <v>17027</v>
      </c>
      <c r="D892" t="s">
        <v>17028</v>
      </c>
      <c r="E892" t="s">
        <v>17029</v>
      </c>
      <c r="F892" t="s">
        <v>17030</v>
      </c>
      <c r="G892" t="s">
        <v>17031</v>
      </c>
      <c r="H892" t="s">
        <v>17032</v>
      </c>
      <c r="I892" t="s">
        <v>17033</v>
      </c>
      <c r="J892" t="s">
        <v>17034</v>
      </c>
      <c r="K892" t="s">
        <v>17035</v>
      </c>
      <c r="L892" t="s">
        <v>17036</v>
      </c>
      <c r="M892" t="s">
        <v>17037</v>
      </c>
      <c r="N892" t="s">
        <v>17038</v>
      </c>
      <c r="O892">
        <f>-718.8636128208 -135.864893395463 -507.814655377593</f>
        <v>-1362.543161593856</v>
      </c>
      <c r="P892">
        <f>-741.671685873612 -159.736747645938 -227.656613474351</f>
        <v>-1129.065046993901</v>
      </c>
      <c r="Q892">
        <f>-515.123082340596 -165.028477662705 -278.610203647049</f>
        <v>-958.76176365035008</v>
      </c>
      <c r="R892" t="s">
        <v>17039</v>
      </c>
      <c r="S892" t="s">
        <v>17040</v>
      </c>
      <c r="T892" t="s">
        <v>17041</v>
      </c>
      <c r="U892" t="s">
        <v>17042</v>
      </c>
      <c r="V892">
        <f>-620.506776141473 -57.0035591527767 -93.2678800812284</f>
        <v>-770.77821537547811</v>
      </c>
      <c r="W892" t="s">
        <v>17043</v>
      </c>
      <c r="X892" t="s">
        <v>17044</v>
      </c>
      <c r="Y892" t="s">
        <v>17045</v>
      </c>
    </row>
    <row r="893" spans="1:25" x14ac:dyDescent="0.3">
      <c r="A893">
        <v>44600</v>
      </c>
      <c r="B893" t="s">
        <v>17046</v>
      </c>
      <c r="C893" t="s">
        <v>17047</v>
      </c>
      <c r="D893" t="s">
        <v>17048</v>
      </c>
      <c r="E893" t="s">
        <v>17049</v>
      </c>
      <c r="F893" t="s">
        <v>17050</v>
      </c>
      <c r="G893" t="s">
        <v>17051</v>
      </c>
      <c r="H893" t="s">
        <v>17052</v>
      </c>
      <c r="I893" t="s">
        <v>17053</v>
      </c>
      <c r="J893" t="s">
        <v>17054</v>
      </c>
      <c r="K893" t="s">
        <v>17055</v>
      </c>
      <c r="L893" t="s">
        <v>17056</v>
      </c>
      <c r="M893" t="s">
        <v>17057</v>
      </c>
      <c r="N893" t="s">
        <v>17058</v>
      </c>
      <c r="O893">
        <f>-719.077500058924 -136.076166899325 -507.600669425481</f>
        <v>-1362.7543363837299</v>
      </c>
      <c r="P893">
        <f>-742.87673233806 -159.629240818595 -227.498248376267</f>
        <v>-1130.004221532922</v>
      </c>
      <c r="Q893">
        <f>-515.896773077736 -166.143153183614 -276.347044115753</f>
        <v>-958.38697037710313</v>
      </c>
      <c r="R893" t="s">
        <v>17059</v>
      </c>
      <c r="S893" t="s">
        <v>17060</v>
      </c>
      <c r="T893" t="s">
        <v>17061</v>
      </c>
      <c r="U893" t="s">
        <v>17062</v>
      </c>
      <c r="V893">
        <f>-620.564175552513 -56.9430558653519 -93.2637470780741</f>
        <v>-770.77097849593895</v>
      </c>
      <c r="W893" t="s">
        <v>17063</v>
      </c>
      <c r="X893" t="s">
        <v>17064</v>
      </c>
      <c r="Y893" t="s">
        <v>17065</v>
      </c>
    </row>
    <row r="894" spans="1:25" x14ac:dyDescent="0.3">
      <c r="A894">
        <v>44650</v>
      </c>
      <c r="B894" t="s">
        <v>17066</v>
      </c>
      <c r="C894" t="s">
        <v>17067</v>
      </c>
      <c r="D894" t="s">
        <v>17068</v>
      </c>
      <c r="E894" t="s">
        <v>17069</v>
      </c>
      <c r="F894" t="s">
        <v>17070</v>
      </c>
      <c r="G894" t="s">
        <v>17071</v>
      </c>
      <c r="H894" t="s">
        <v>17072</v>
      </c>
      <c r="I894" t="s">
        <v>17073</v>
      </c>
      <c r="J894" t="s">
        <v>17074</v>
      </c>
      <c r="K894" t="s">
        <v>17075</v>
      </c>
      <c r="L894" t="s">
        <v>17076</v>
      </c>
      <c r="M894" t="s">
        <v>17077</v>
      </c>
      <c r="N894" t="s">
        <v>17078</v>
      </c>
      <c r="O894">
        <f>-719.340849215472 -136.374114851175 -507.2628573389</f>
        <v>-1362.977821405547</v>
      </c>
      <c r="P894">
        <f>-744.170335345127 -159.396961931471 -227.20555776064</f>
        <v>-1130.7728550372381</v>
      </c>
      <c r="Q894">
        <f>-516.815325630623 -167.138945621123 -274.091499444645</f>
        <v>-958.04577069639095</v>
      </c>
      <c r="R894" t="s">
        <v>17079</v>
      </c>
      <c r="S894" t="s">
        <v>17080</v>
      </c>
      <c r="T894" t="s">
        <v>17081</v>
      </c>
      <c r="U894" t="s">
        <v>17082</v>
      </c>
      <c r="V894">
        <f>-620.68361819833 -56.8914853684353 -93.2592440505806</f>
        <v>-770.83434761734588</v>
      </c>
      <c r="W894" t="s">
        <v>17083</v>
      </c>
      <c r="X894" t="s">
        <v>17084</v>
      </c>
      <c r="Y894" t="s">
        <v>17085</v>
      </c>
    </row>
    <row r="895" spans="1:25" x14ac:dyDescent="0.3">
      <c r="A895">
        <v>44700</v>
      </c>
      <c r="B895" t="s">
        <v>17086</v>
      </c>
      <c r="C895" t="s">
        <v>17087</v>
      </c>
      <c r="D895" t="s">
        <v>17088</v>
      </c>
      <c r="E895" t="s">
        <v>17089</v>
      </c>
      <c r="F895" t="s">
        <v>17090</v>
      </c>
      <c r="G895" t="s">
        <v>17091</v>
      </c>
      <c r="H895" t="s">
        <v>17092</v>
      </c>
      <c r="I895" t="s">
        <v>17093</v>
      </c>
      <c r="J895" t="s">
        <v>17094</v>
      </c>
      <c r="K895" t="s">
        <v>17095</v>
      </c>
      <c r="L895" t="s">
        <v>17096</v>
      </c>
      <c r="M895" t="s">
        <v>17097</v>
      </c>
      <c r="N895" t="s">
        <v>17098</v>
      </c>
      <c r="O895">
        <f>-719.74566113425 -137.046320113969 -506.494938900437</f>
        <v>-1363.286920148656</v>
      </c>
      <c r="P895">
        <f>-746.444587977108 -158.477762849567 -226.483375186277</f>
        <v>-1131.4057260129521</v>
      </c>
      <c r="Q895">
        <f>-518.515825203737 -168.571798553578 -270.016438518319</f>
        <v>-957.10406227563396</v>
      </c>
      <c r="R895" t="s">
        <v>17099</v>
      </c>
      <c r="S895" t="s">
        <v>17100</v>
      </c>
      <c r="T895" t="s">
        <v>17101</v>
      </c>
      <c r="U895" t="s">
        <v>17102</v>
      </c>
      <c r="V895">
        <f>-620.908896154856 -56.5902880813303 -93.2692327502867</f>
        <v>-770.76841698647308</v>
      </c>
      <c r="W895" t="s">
        <v>17103</v>
      </c>
      <c r="X895" t="s">
        <v>17104</v>
      </c>
      <c r="Y895" t="s">
        <v>17105</v>
      </c>
    </row>
    <row r="896" spans="1:25" x14ac:dyDescent="0.3">
      <c r="A896">
        <v>44750</v>
      </c>
      <c r="B896" t="s">
        <v>17106</v>
      </c>
      <c r="C896" t="s">
        <v>17107</v>
      </c>
      <c r="D896" t="s">
        <v>17108</v>
      </c>
      <c r="E896" t="s">
        <v>17109</v>
      </c>
      <c r="F896" t="s">
        <v>17110</v>
      </c>
      <c r="G896" t="s">
        <v>17111</v>
      </c>
      <c r="H896" t="s">
        <v>17112</v>
      </c>
      <c r="I896" t="s">
        <v>17113</v>
      </c>
      <c r="J896" t="s">
        <v>17114</v>
      </c>
      <c r="K896" t="s">
        <v>17115</v>
      </c>
      <c r="L896" t="s">
        <v>17116</v>
      </c>
      <c r="M896" t="s">
        <v>17117</v>
      </c>
      <c r="N896" t="s">
        <v>17118</v>
      </c>
      <c r="O896">
        <f>-720.03277283783 -137.547243909788 -505.981020868063</f>
        <v>-1363.561037615681</v>
      </c>
      <c r="P896">
        <f>-747.3665425965 -158.045737899114 -225.960885918887</f>
        <v>-1131.3731664145009</v>
      </c>
      <c r="Q896">
        <f>-519.240127690327 -169.118851029215 -268.201260786635</f>
        <v>-956.56023950617691</v>
      </c>
      <c r="R896" t="s">
        <v>17119</v>
      </c>
      <c r="S896" t="s">
        <v>17120</v>
      </c>
      <c r="T896" t="s">
        <v>17121</v>
      </c>
      <c r="U896" t="s">
        <v>17122</v>
      </c>
      <c r="V896">
        <f>-620.924780686104 -56.4939509754797 -93.2739618544273</f>
        <v>-770.69269351601099</v>
      </c>
      <c r="W896" t="s">
        <v>17123</v>
      </c>
      <c r="X896" t="s">
        <v>17124</v>
      </c>
      <c r="Y896" t="s">
        <v>17125</v>
      </c>
    </row>
    <row r="897" spans="1:25" x14ac:dyDescent="0.3">
      <c r="A897">
        <v>44800</v>
      </c>
      <c r="B897" t="s">
        <v>17126</v>
      </c>
      <c r="C897" t="s">
        <v>17127</v>
      </c>
      <c r="D897" t="s">
        <v>17128</v>
      </c>
      <c r="E897" t="s">
        <v>17129</v>
      </c>
      <c r="F897" t="s">
        <v>17130</v>
      </c>
      <c r="G897" t="s">
        <v>17131</v>
      </c>
      <c r="H897" t="s">
        <v>17132</v>
      </c>
      <c r="I897" t="s">
        <v>17133</v>
      </c>
      <c r="J897" t="s">
        <v>17134</v>
      </c>
      <c r="K897" t="s">
        <v>17135</v>
      </c>
      <c r="L897" t="s">
        <v>17136</v>
      </c>
      <c r="M897" t="s">
        <v>17137</v>
      </c>
      <c r="N897" t="s">
        <v>17138</v>
      </c>
      <c r="O897">
        <f>-720.988554309507 -138.946601430868 -504.739056792592</f>
        <v>-1364.674212532967</v>
      </c>
      <c r="P897">
        <f>-749.105065336895 -157.709709092815 -224.674799850461</f>
        <v>-1131.4895742801709</v>
      </c>
      <c r="Q897">
        <f>-520.70292606654 -170.375612544989 -264.931027143406</f>
        <v>-956.00956575493501</v>
      </c>
      <c r="R897" t="s">
        <v>17139</v>
      </c>
      <c r="S897" t="s">
        <v>17140</v>
      </c>
      <c r="T897" t="s">
        <v>17141</v>
      </c>
      <c r="U897" t="s">
        <v>17142</v>
      </c>
      <c r="V897">
        <f>-620.85273330337 -56.6137488406157 -93.3172956933114</f>
        <v>-770.78377783729707</v>
      </c>
      <c r="W897" t="s">
        <v>17143</v>
      </c>
      <c r="X897" t="s">
        <v>17144</v>
      </c>
      <c r="Y897" t="s">
        <v>17145</v>
      </c>
    </row>
    <row r="898" spans="1:25" x14ac:dyDescent="0.3">
      <c r="A898">
        <v>44850</v>
      </c>
      <c r="B898" t="s">
        <v>17146</v>
      </c>
      <c r="C898" t="s">
        <v>17147</v>
      </c>
      <c r="D898" t="s">
        <v>17148</v>
      </c>
      <c r="E898" t="s">
        <v>17149</v>
      </c>
      <c r="F898" t="s">
        <v>17150</v>
      </c>
      <c r="G898" t="s">
        <v>17151</v>
      </c>
      <c r="H898" t="s">
        <v>17152</v>
      </c>
      <c r="I898" t="s">
        <v>17153</v>
      </c>
      <c r="J898" t="s">
        <v>17154</v>
      </c>
      <c r="K898" t="s">
        <v>17155</v>
      </c>
      <c r="L898" t="s">
        <v>17156</v>
      </c>
      <c r="M898" t="s">
        <v>17157</v>
      </c>
      <c r="N898" t="s">
        <v>17158</v>
      </c>
      <c r="O898">
        <f>-721.552688337021 -139.582792186909 -504.133716445013</f>
        <v>-1365.2691969689431</v>
      </c>
      <c r="P898">
        <f>-749.771169568405 -157.416284552451 -224.018824929008</f>
        <v>-1131.206279049864</v>
      </c>
      <c r="Q898">
        <f>-521.307315087271 -170.862965216402 -263.667280126153</f>
        <v>-955.837560429826</v>
      </c>
      <c r="R898" t="s">
        <v>17159</v>
      </c>
      <c r="S898" t="s">
        <v>17160</v>
      </c>
      <c r="T898" t="s">
        <v>17161</v>
      </c>
      <c r="U898" t="s">
        <v>17162</v>
      </c>
      <c r="V898">
        <f>-620.898550846577 -56.6149556307978 -93.3452941854622</f>
        <v>-770.85880066283698</v>
      </c>
      <c r="W898" t="s">
        <v>17163</v>
      </c>
      <c r="X898" t="s">
        <v>17164</v>
      </c>
      <c r="Y898" t="s">
        <v>17165</v>
      </c>
    </row>
    <row r="899" spans="1:25" x14ac:dyDescent="0.3">
      <c r="A899">
        <v>44900</v>
      </c>
      <c r="B899" t="s">
        <v>17166</v>
      </c>
      <c r="C899" t="s">
        <v>17167</v>
      </c>
      <c r="D899" t="s">
        <v>17168</v>
      </c>
      <c r="E899" t="s">
        <v>17169</v>
      </c>
      <c r="F899" t="s">
        <v>17170</v>
      </c>
      <c r="G899" t="s">
        <v>17171</v>
      </c>
      <c r="H899" t="s">
        <v>17172</v>
      </c>
      <c r="I899" t="s">
        <v>17173</v>
      </c>
      <c r="J899" t="s">
        <v>17174</v>
      </c>
      <c r="K899" t="s">
        <v>17175</v>
      </c>
      <c r="L899" t="s">
        <v>17176</v>
      </c>
      <c r="M899" t="s">
        <v>17177</v>
      </c>
      <c r="N899" t="s">
        <v>17178</v>
      </c>
      <c r="O899">
        <f>-722.510374031247 -140.903462549509 -502.937591975571</f>
        <v>-1366.3514285563269</v>
      </c>
      <c r="P899">
        <f>-750.844868555325 -157.006210193079 -222.729675398434</f>
        <v>-1130.580754146838</v>
      </c>
      <c r="Q899">
        <f>-522.39430054332 -171.517152266485 -262.078121750572</f>
        <v>-955.98957456037704</v>
      </c>
      <c r="R899" t="s">
        <v>17179</v>
      </c>
      <c r="S899" t="s">
        <v>17180</v>
      </c>
      <c r="T899" t="s">
        <v>17181</v>
      </c>
      <c r="U899" t="s">
        <v>17182</v>
      </c>
      <c r="V899">
        <f>-620.959454178634 -56.717153909113 -93.3696892120378</f>
        <v>-771.04629729978478</v>
      </c>
      <c r="W899" t="s">
        <v>17183</v>
      </c>
      <c r="X899" t="s">
        <v>17184</v>
      </c>
      <c r="Y899" t="s">
        <v>17185</v>
      </c>
    </row>
    <row r="900" spans="1:25" x14ac:dyDescent="0.3">
      <c r="A900">
        <v>44950</v>
      </c>
      <c r="B900" t="s">
        <v>17186</v>
      </c>
      <c r="C900" t="s">
        <v>17187</v>
      </c>
      <c r="D900" t="s">
        <v>17188</v>
      </c>
      <c r="E900" t="s">
        <v>17189</v>
      </c>
      <c r="F900" t="s">
        <v>17190</v>
      </c>
      <c r="G900" t="s">
        <v>17191</v>
      </c>
      <c r="H900" t="s">
        <v>17192</v>
      </c>
      <c r="I900" t="s">
        <v>17193</v>
      </c>
      <c r="J900" t="s">
        <v>17194</v>
      </c>
      <c r="K900" t="s">
        <v>17195</v>
      </c>
      <c r="L900" t="s">
        <v>17196</v>
      </c>
      <c r="M900" t="s">
        <v>17197</v>
      </c>
      <c r="N900" t="s">
        <v>17198</v>
      </c>
      <c r="O900">
        <f>-722.888499715602 -141.451630953939 -502.467235358423</f>
        <v>-1366.807366027964</v>
      </c>
      <c r="P900">
        <f>-751.109552497139 -156.807166632313 -222.206015852509</f>
        <v>-1130.122734981961</v>
      </c>
      <c r="Q900">
        <f>-522.715364694419 -171.622023191675 -261.767931351515</f>
        <v>-956.10531923760902</v>
      </c>
      <c r="R900" t="s">
        <v>17199</v>
      </c>
      <c r="S900" t="s">
        <v>17200</v>
      </c>
      <c r="T900" t="s">
        <v>17201</v>
      </c>
      <c r="U900" t="s">
        <v>17202</v>
      </c>
      <c r="V900">
        <f>-620.933631224409 -56.7029089230982 -93.3781479699393</f>
        <v>-771.01468811744655</v>
      </c>
      <c r="W900" t="s">
        <v>17203</v>
      </c>
      <c r="X900" t="s">
        <v>17204</v>
      </c>
      <c r="Y900" t="s">
        <v>17205</v>
      </c>
    </row>
    <row r="901" spans="1:25" x14ac:dyDescent="0.3">
      <c r="A901">
        <v>45000</v>
      </c>
      <c r="B901" t="s">
        <v>17206</v>
      </c>
      <c r="C901" t="s">
        <v>17207</v>
      </c>
      <c r="D901" t="s">
        <v>17208</v>
      </c>
      <c r="E901" t="s">
        <v>17209</v>
      </c>
      <c r="F901" t="s">
        <v>17210</v>
      </c>
      <c r="G901" t="s">
        <v>17211</v>
      </c>
      <c r="H901" t="s">
        <v>17212</v>
      </c>
      <c r="I901" t="s">
        <v>17213</v>
      </c>
      <c r="J901" t="s">
        <v>17214</v>
      </c>
      <c r="K901" t="s">
        <v>17215</v>
      </c>
      <c r="L901" t="s">
        <v>17216</v>
      </c>
      <c r="M901" t="s">
        <v>17217</v>
      </c>
      <c r="N901" t="s">
        <v>17218</v>
      </c>
      <c r="O901">
        <f>-723.440157280457 -142.467588816602 -501.65769234366</f>
        <v>-1367.5654384407189</v>
      </c>
      <c r="P901">
        <f>-751.326147641268 -156.950255231342 -221.3165940217</f>
        <v>-1129.5929968943101</v>
      </c>
      <c r="Q901">
        <f>-523.074592736862 -171.813343610773 -261.675200524094</f>
        <v>-956.56313687172906</v>
      </c>
      <c r="R901" t="s">
        <v>17219</v>
      </c>
      <c r="S901" t="s">
        <v>17220</v>
      </c>
      <c r="T901" t="s">
        <v>17221</v>
      </c>
      <c r="U901" t="s">
        <v>17222</v>
      </c>
      <c r="V901">
        <f>-620.846758407916 -56.6283926938181 -93.3691961559171</f>
        <v>-770.84434725765118</v>
      </c>
      <c r="W901" t="s">
        <v>17223</v>
      </c>
      <c r="X901" t="s">
        <v>17224</v>
      </c>
      <c r="Y901" t="s">
        <v>17225</v>
      </c>
    </row>
    <row r="902" spans="1:25" x14ac:dyDescent="0.3">
      <c r="A902">
        <v>45050</v>
      </c>
      <c r="B902" t="s">
        <v>17226</v>
      </c>
      <c r="C902" t="s">
        <v>17227</v>
      </c>
      <c r="D902" t="s">
        <v>17228</v>
      </c>
      <c r="E902" t="s">
        <v>17229</v>
      </c>
      <c r="F902" t="s">
        <v>17230</v>
      </c>
      <c r="G902" t="s">
        <v>17231</v>
      </c>
      <c r="H902" t="s">
        <v>17232</v>
      </c>
      <c r="I902" t="s">
        <v>17233</v>
      </c>
      <c r="J902" t="s">
        <v>17234</v>
      </c>
      <c r="K902" t="s">
        <v>17235</v>
      </c>
      <c r="L902" t="s">
        <v>17236</v>
      </c>
      <c r="M902" t="s">
        <v>17237</v>
      </c>
      <c r="N902" t="s">
        <v>17238</v>
      </c>
      <c r="O902">
        <f>-723.72916618351 -142.858626434391 -501.339925538121</f>
        <v>-1367.9277181560219</v>
      </c>
      <c r="P902">
        <f>-751.321298442777 -157.27022308943 -220.96598983055</f>
        <v>-1129.5575113627569</v>
      </c>
      <c r="Q902">
        <f>-523.145395066256 -171.834080922268 -261.85817999567</f>
        <v>-956.83765598419404</v>
      </c>
      <c r="R902" t="s">
        <v>17239</v>
      </c>
      <c r="S902" t="s">
        <v>17240</v>
      </c>
      <c r="T902" t="s">
        <v>17241</v>
      </c>
      <c r="U902" t="s">
        <v>17242</v>
      </c>
      <c r="V902">
        <f>-620.753461575641 -56.6085573414146 -93.3657928052933</f>
        <v>-770.72781172234886</v>
      </c>
      <c r="W902" t="s">
        <v>17243</v>
      </c>
      <c r="X902" t="s">
        <v>17244</v>
      </c>
      <c r="Y902" t="s">
        <v>17245</v>
      </c>
    </row>
    <row r="903" spans="1:25" x14ac:dyDescent="0.3">
      <c r="A903">
        <v>45100</v>
      </c>
      <c r="B903" t="s">
        <v>17246</v>
      </c>
      <c r="C903" t="s">
        <v>17247</v>
      </c>
      <c r="D903" t="s">
        <v>17248</v>
      </c>
      <c r="E903" t="s">
        <v>17249</v>
      </c>
      <c r="F903" t="s">
        <v>17250</v>
      </c>
      <c r="G903" t="s">
        <v>17251</v>
      </c>
      <c r="H903" t="s">
        <v>17252</v>
      </c>
      <c r="I903" t="s">
        <v>17253</v>
      </c>
      <c r="J903" t="s">
        <v>17254</v>
      </c>
      <c r="K903" t="s">
        <v>17255</v>
      </c>
      <c r="L903" t="s">
        <v>17256</v>
      </c>
      <c r="M903" t="s">
        <v>17257</v>
      </c>
      <c r="N903" t="s">
        <v>17258</v>
      </c>
      <c r="O903">
        <f>-724.059793615691 -143.563943941355 -500.869591532299</f>
        <v>-1368.493329089345</v>
      </c>
      <c r="P903">
        <f>-751.170508412504 -158.139677087601 -220.457154723192</f>
        <v>-1129.767340223297</v>
      </c>
      <c r="Q903">
        <f>-523.202649660902 -171.857011528626 -262.777720798069</f>
        <v>-957.83738198759704</v>
      </c>
      <c r="R903" t="s">
        <v>17259</v>
      </c>
      <c r="S903" t="s">
        <v>17260</v>
      </c>
      <c r="T903" t="s">
        <v>17261</v>
      </c>
      <c r="U903" t="s">
        <v>17262</v>
      </c>
      <c r="V903">
        <f>-620.55837579028 -56.5911751173071 -93.3492696890039</f>
        <v>-770.49882059659103</v>
      </c>
      <c r="W903" t="s">
        <v>17263</v>
      </c>
      <c r="X903" t="s">
        <v>17264</v>
      </c>
      <c r="Y903" t="s">
        <v>17265</v>
      </c>
    </row>
    <row r="904" spans="1:25" x14ac:dyDescent="0.3">
      <c r="A904">
        <v>45150</v>
      </c>
      <c r="B904" t="s">
        <v>17266</v>
      </c>
      <c r="C904" t="s">
        <v>17267</v>
      </c>
      <c r="D904" t="s">
        <v>17268</v>
      </c>
      <c r="E904" t="s">
        <v>17269</v>
      </c>
      <c r="F904" t="s">
        <v>17270</v>
      </c>
      <c r="G904" t="s">
        <v>17271</v>
      </c>
      <c r="H904" t="s">
        <v>17272</v>
      </c>
      <c r="I904" t="s">
        <v>17273</v>
      </c>
      <c r="J904" t="s">
        <v>17274</v>
      </c>
      <c r="K904" t="s">
        <v>17275</v>
      </c>
      <c r="L904" t="s">
        <v>17276</v>
      </c>
      <c r="M904" t="s">
        <v>17277</v>
      </c>
      <c r="N904" t="s">
        <v>17278</v>
      </c>
      <c r="O904">
        <f>-724.069657215177 -143.860386866822 -500.714659570469</f>
        <v>-1368.644703652468</v>
      </c>
      <c r="P904">
        <f>-750.811667743686 -158.50585697161 -220.270518182293</f>
        <v>-1129.588042897589</v>
      </c>
      <c r="Q904">
        <f>-523.013219552364 -171.807908486691 -263.623090513431</f>
        <v>-958.44421855248606</v>
      </c>
      <c r="R904" t="s">
        <v>17279</v>
      </c>
      <c r="S904" t="s">
        <v>17280</v>
      </c>
      <c r="T904" t="s">
        <v>17281</v>
      </c>
      <c r="U904" t="s">
        <v>17282</v>
      </c>
      <c r="V904">
        <f>-620.462407540237 -56.5641996182935 -93.3412467447033</f>
        <v>-770.36785390323382</v>
      </c>
      <c r="W904" t="s">
        <v>17283</v>
      </c>
      <c r="X904" t="s">
        <v>17284</v>
      </c>
      <c r="Y904" t="s">
        <v>17285</v>
      </c>
    </row>
    <row r="905" spans="1:25" x14ac:dyDescent="0.3">
      <c r="A905">
        <v>45200</v>
      </c>
      <c r="B905" t="s">
        <v>17286</v>
      </c>
      <c r="C905" t="s">
        <v>17287</v>
      </c>
      <c r="D905" t="s">
        <v>17288</v>
      </c>
      <c r="E905" t="s">
        <v>17289</v>
      </c>
      <c r="F905" t="s">
        <v>17290</v>
      </c>
      <c r="G905" t="s">
        <v>17291</v>
      </c>
      <c r="H905" t="s">
        <v>17292</v>
      </c>
      <c r="I905" t="s">
        <v>17293</v>
      </c>
      <c r="J905" t="s">
        <v>17294</v>
      </c>
      <c r="K905" t="s">
        <v>17295</v>
      </c>
      <c r="L905" t="s">
        <v>17296</v>
      </c>
      <c r="M905" t="s">
        <v>17297</v>
      </c>
      <c r="N905" t="s">
        <v>17298</v>
      </c>
      <c r="O905">
        <f>-724.076198933424 -144.182693014554 -500.502520247364</f>
        <v>-1368.761412195342</v>
      </c>
      <c r="P905">
        <f>-749.432481141403 -159.00888104547 -219.939031707488</f>
        <v>-1128.3803938943611</v>
      </c>
      <c r="Q905">
        <f>-522.215241006255 -171.024791174858 -266.591809535098</f>
        <v>-959.8318417162111</v>
      </c>
      <c r="R905" t="s">
        <v>17299</v>
      </c>
      <c r="S905" t="s">
        <v>17300</v>
      </c>
      <c r="T905" t="s">
        <v>17301</v>
      </c>
      <c r="U905" t="s">
        <v>17302</v>
      </c>
      <c r="V905">
        <f>-620.213894193478 -56.5594645761744 -93.3193174481231</f>
        <v>-770.09267621777553</v>
      </c>
      <c r="W905" t="s">
        <v>17303</v>
      </c>
      <c r="X905" t="s">
        <v>17304</v>
      </c>
      <c r="Y905" t="s">
        <v>17305</v>
      </c>
    </row>
    <row r="906" spans="1:25" x14ac:dyDescent="0.3">
      <c r="A906">
        <v>45250</v>
      </c>
      <c r="B906" t="s">
        <v>17306</v>
      </c>
      <c r="C906" t="s">
        <v>17307</v>
      </c>
      <c r="D906" t="s">
        <v>17308</v>
      </c>
      <c r="E906" t="s">
        <v>17309</v>
      </c>
      <c r="F906" t="s">
        <v>17310</v>
      </c>
      <c r="G906" t="s">
        <v>17311</v>
      </c>
      <c r="H906" t="s">
        <v>17312</v>
      </c>
      <c r="I906" t="s">
        <v>17313</v>
      </c>
      <c r="J906" t="s">
        <v>17314</v>
      </c>
      <c r="K906" t="s">
        <v>17315</v>
      </c>
      <c r="L906" t="s">
        <v>17316</v>
      </c>
      <c r="M906" t="s">
        <v>17317</v>
      </c>
      <c r="N906" t="s">
        <v>17318</v>
      </c>
      <c r="O906">
        <f>-723.964824694553 -144.328542355146 -500.397164732699</f>
        <v>-1368.690531782398</v>
      </c>
      <c r="P906">
        <f>-748.563228021089 -159.601981113624 -219.790348663537</f>
        <v>-1127.9555577982501</v>
      </c>
      <c r="Q906">
        <f>-521.692853359498 -170.300611509106 -268.410242804114</f>
        <v>-960.40370767271804</v>
      </c>
      <c r="R906" t="s">
        <v>17319</v>
      </c>
      <c r="S906" t="s">
        <v>17320</v>
      </c>
      <c r="T906" t="s">
        <v>17321</v>
      </c>
      <c r="U906" t="s">
        <v>17322</v>
      </c>
      <c r="V906">
        <f>-620.068385498961 -56.6644075215065 -93.3118211386756</f>
        <v>-770.04461415914307</v>
      </c>
      <c r="W906" t="s">
        <v>17323</v>
      </c>
      <c r="X906" t="s">
        <v>17324</v>
      </c>
      <c r="Y906" t="s">
        <v>17325</v>
      </c>
    </row>
    <row r="907" spans="1:25" x14ac:dyDescent="0.3">
      <c r="A907">
        <v>45300</v>
      </c>
      <c r="B907" t="s">
        <v>17326</v>
      </c>
      <c r="C907" t="s">
        <v>17327</v>
      </c>
      <c r="D907" t="s">
        <v>17328</v>
      </c>
      <c r="E907" t="s">
        <v>17329</v>
      </c>
      <c r="F907" t="s">
        <v>17330</v>
      </c>
      <c r="G907" t="s">
        <v>17331</v>
      </c>
      <c r="H907" t="s">
        <v>17332</v>
      </c>
      <c r="I907" t="s">
        <v>17333</v>
      </c>
      <c r="J907" t="s">
        <v>17334</v>
      </c>
      <c r="K907" t="s">
        <v>17335</v>
      </c>
      <c r="L907" t="s">
        <v>17336</v>
      </c>
      <c r="M907" t="s">
        <v>17337</v>
      </c>
      <c r="N907" t="s">
        <v>17338</v>
      </c>
      <c r="O907">
        <f>-723.373700205807 -144.515804483291 -500.433530677819</f>
        <v>-1368.3230353669169</v>
      </c>
      <c r="P907">
        <f>-746.777352124128 -160.418807851227 -219.759380173676</f>
        <v>-1126.9555401490311</v>
      </c>
      <c r="Q907">
        <f>-520.618554491749 -168.589712780505 -272.046852721626</f>
        <v>-961.25511999388004</v>
      </c>
      <c r="R907" t="s">
        <v>17339</v>
      </c>
      <c r="S907" t="s">
        <v>17340</v>
      </c>
      <c r="T907" t="s">
        <v>17341</v>
      </c>
      <c r="U907" t="s">
        <v>17342</v>
      </c>
      <c r="V907">
        <f>-619.645952684874 -56.8870699219474 -93.325605919923</f>
        <v>-769.85862852674438</v>
      </c>
      <c r="W907" t="s">
        <v>17343</v>
      </c>
      <c r="X907" t="s">
        <v>17344</v>
      </c>
      <c r="Y907" t="s">
        <v>17345</v>
      </c>
    </row>
    <row r="908" spans="1:25" x14ac:dyDescent="0.3">
      <c r="A908">
        <v>45350</v>
      </c>
      <c r="B908" t="s">
        <v>17346</v>
      </c>
      <c r="C908" t="s">
        <v>17347</v>
      </c>
      <c r="D908" t="s">
        <v>17348</v>
      </c>
      <c r="E908" t="s">
        <v>17349</v>
      </c>
      <c r="F908" t="s">
        <v>17350</v>
      </c>
      <c r="G908" t="s">
        <v>17351</v>
      </c>
      <c r="H908" t="s">
        <v>17352</v>
      </c>
      <c r="I908" t="s">
        <v>17353</v>
      </c>
      <c r="J908" t="s">
        <v>17354</v>
      </c>
      <c r="K908" t="s">
        <v>17355</v>
      </c>
      <c r="L908" t="s">
        <v>17356</v>
      </c>
      <c r="M908" t="s">
        <v>17357</v>
      </c>
      <c r="N908" t="s">
        <v>17358</v>
      </c>
      <c r="O908">
        <f>-722.857514174579 -144.502404634801 -500.561124572629</f>
        <v>-1367.921043382009</v>
      </c>
      <c r="P908">
        <f>-745.661852800603 -160.959713880435 -219.869580955682</f>
        <v>-1126.4911476367201</v>
      </c>
      <c r="Q908">
        <f>-519.885929650317 -167.802356399293 -273.970819778787</f>
        <v>-961.65910582839706</v>
      </c>
      <c r="R908" t="s">
        <v>17359</v>
      </c>
      <c r="S908" t="s">
        <v>17360</v>
      </c>
      <c r="T908" t="s">
        <v>17361</v>
      </c>
      <c r="U908" t="s">
        <v>17362</v>
      </c>
      <c r="V908">
        <f>-619.3580066068 -57.084175396699 -93.3207146538234</f>
        <v>-769.76289665732247</v>
      </c>
      <c r="W908" t="s">
        <v>17363</v>
      </c>
      <c r="X908" t="s">
        <v>17364</v>
      </c>
      <c r="Y908" t="s">
        <v>17365</v>
      </c>
    </row>
    <row r="909" spans="1:25" x14ac:dyDescent="0.3">
      <c r="A909">
        <v>45400</v>
      </c>
      <c r="B909" t="s">
        <v>17366</v>
      </c>
      <c r="C909" t="s">
        <v>17367</v>
      </c>
      <c r="D909" t="s">
        <v>17368</v>
      </c>
      <c r="E909" t="s">
        <v>17369</v>
      </c>
      <c r="F909" t="s">
        <v>17370</v>
      </c>
      <c r="G909" t="s">
        <v>17371</v>
      </c>
      <c r="H909" t="s">
        <v>17372</v>
      </c>
      <c r="I909" t="s">
        <v>17373</v>
      </c>
      <c r="J909" t="s">
        <v>17374</v>
      </c>
      <c r="K909" t="s">
        <v>17375</v>
      </c>
      <c r="L909" t="s">
        <v>17376</v>
      </c>
      <c r="M909" t="s">
        <v>17377</v>
      </c>
      <c r="N909" t="s">
        <v>17378</v>
      </c>
      <c r="O909">
        <f>-721.874657395303 -144.707837544685 -500.927795133141</f>
        <v>-1367.510290073129</v>
      </c>
      <c r="P909">
        <f>-743.92796273704 -162.68348210622 -220.269413783753</f>
        <v>-1126.8808586270131</v>
      </c>
      <c r="Q909">
        <f>-518.922804118754 -166.65884287463 -277.761969334501</f>
        <v>-963.343616327885</v>
      </c>
      <c r="R909" t="s">
        <v>17379</v>
      </c>
      <c r="S909" t="s">
        <v>17380</v>
      </c>
      <c r="T909" t="s">
        <v>17381</v>
      </c>
      <c r="U909" t="s">
        <v>17382</v>
      </c>
      <c r="V909">
        <f>-618.513761960541 -57.7655435909974 -93.3630877031751</f>
        <v>-769.64239325471351</v>
      </c>
      <c r="W909" t="s">
        <v>17383</v>
      </c>
      <c r="X909" t="s">
        <v>17384</v>
      </c>
      <c r="Y909" t="s">
        <v>17385</v>
      </c>
    </row>
    <row r="910" spans="1:25" x14ac:dyDescent="0.3">
      <c r="A910">
        <v>45450</v>
      </c>
      <c r="B910" t="s">
        <v>17386</v>
      </c>
      <c r="C910" t="s">
        <v>17387</v>
      </c>
      <c r="D910" t="s">
        <v>17388</v>
      </c>
      <c r="E910" t="s">
        <v>17389</v>
      </c>
      <c r="F910" t="s">
        <v>17390</v>
      </c>
      <c r="G910" t="s">
        <v>17391</v>
      </c>
      <c r="H910" t="s">
        <v>17392</v>
      </c>
      <c r="I910" t="s">
        <v>17393</v>
      </c>
      <c r="J910" t="s">
        <v>17394</v>
      </c>
      <c r="K910" t="s">
        <v>17395</v>
      </c>
      <c r="L910" t="s">
        <v>17396</v>
      </c>
      <c r="M910" t="s">
        <v>17397</v>
      </c>
      <c r="N910" t="s">
        <v>17398</v>
      </c>
      <c r="O910">
        <f>-721.301200481446 -144.865660595749 -501.208991263554</f>
        <v>-1367.3758523407491</v>
      </c>
      <c r="P910">
        <f>-743.131419218516 -163.656388892126 -220.586524316869</f>
        <v>-1127.374332427511</v>
      </c>
      <c r="Q910">
        <f>-518.514573660414 -166.107656974402 -279.661016211736</f>
        <v>-964.28324684655217</v>
      </c>
      <c r="R910" t="s">
        <v>17399</v>
      </c>
      <c r="S910" t="s">
        <v>17400</v>
      </c>
      <c r="T910" t="s">
        <v>17401</v>
      </c>
      <c r="U910" t="s">
        <v>17402</v>
      </c>
      <c r="V910">
        <f>-618.105731579694 -58.237459248762 -93.383113427722</f>
        <v>-769.72630425617797</v>
      </c>
      <c r="W910" t="s">
        <v>17403</v>
      </c>
      <c r="X910" t="s">
        <v>17404</v>
      </c>
      <c r="Y910" t="s">
        <v>17405</v>
      </c>
    </row>
    <row r="911" spans="1:25" x14ac:dyDescent="0.3">
      <c r="A911">
        <v>45500</v>
      </c>
      <c r="B911" t="s">
        <v>17406</v>
      </c>
      <c r="C911" t="s">
        <v>17407</v>
      </c>
      <c r="D911" t="s">
        <v>17408</v>
      </c>
      <c r="E911" t="s">
        <v>17409</v>
      </c>
      <c r="F911" t="s">
        <v>17410</v>
      </c>
      <c r="G911" t="s">
        <v>17411</v>
      </c>
      <c r="H911" t="s">
        <v>17412</v>
      </c>
      <c r="I911" t="s">
        <v>17413</v>
      </c>
      <c r="J911" t="s">
        <v>17414</v>
      </c>
      <c r="K911" t="s">
        <v>17415</v>
      </c>
      <c r="L911" t="s">
        <v>17416</v>
      </c>
      <c r="M911" t="s">
        <v>17417</v>
      </c>
      <c r="N911" t="s">
        <v>17418</v>
      </c>
      <c r="O911">
        <f>-719.806452712332 -144.937261392836 -501.949797068719</f>
        <v>-1366.6935111738871</v>
      </c>
      <c r="P911">
        <f>-741.223564314615 -165.458529306175 -221.416812733058</f>
        <v>-1128.0989063538482</v>
      </c>
      <c r="Q911">
        <f>-517.249417131317 -164.729803894281 -282.927666414738</f>
        <v>-964.90688744033605</v>
      </c>
      <c r="R911" t="s">
        <v>17419</v>
      </c>
      <c r="S911" t="s">
        <v>17420</v>
      </c>
      <c r="T911" t="s">
        <v>17421</v>
      </c>
      <c r="U911" t="s">
        <v>17422</v>
      </c>
      <c r="V911">
        <f>-617.124983043293 -58.9810583917881 -93.3719839181878</f>
        <v>-769.47802535326889</v>
      </c>
      <c r="W911" t="s">
        <v>17423</v>
      </c>
      <c r="X911" t="s">
        <v>17424</v>
      </c>
      <c r="Y911" t="s">
        <v>17425</v>
      </c>
    </row>
    <row r="912" spans="1:25" x14ac:dyDescent="0.3">
      <c r="A912">
        <v>45550</v>
      </c>
      <c r="B912" t="s">
        <v>17426</v>
      </c>
      <c r="C912" t="s">
        <v>17427</v>
      </c>
      <c r="D912" t="s">
        <v>17428</v>
      </c>
      <c r="E912" t="s">
        <v>17429</v>
      </c>
      <c r="F912" t="s">
        <v>17430</v>
      </c>
      <c r="G912" t="s">
        <v>17431</v>
      </c>
      <c r="H912" t="s">
        <v>17432</v>
      </c>
      <c r="I912" t="s">
        <v>17433</v>
      </c>
      <c r="J912" t="s">
        <v>17434</v>
      </c>
      <c r="K912" t="s">
        <v>17435</v>
      </c>
      <c r="L912" t="s">
        <v>17436</v>
      </c>
      <c r="M912" t="s">
        <v>17437</v>
      </c>
      <c r="N912" t="s">
        <v>17438</v>
      </c>
      <c r="O912">
        <f>-719.078106688467 -144.924514195417 -502.248144636176</f>
        <v>-1366.25076552006</v>
      </c>
      <c r="P912">
        <f>-740.248646348605 -166.443847685001 -221.771253674814</f>
        <v>-1128.46374770842</v>
      </c>
      <c r="Q912">
        <f>-516.576958000592 -163.988817076765 -284.329129224124</f>
        <v>-964.89490430148101</v>
      </c>
      <c r="R912" t="s">
        <v>17439</v>
      </c>
      <c r="S912" t="s">
        <v>17440</v>
      </c>
      <c r="T912" t="s">
        <v>17441</v>
      </c>
      <c r="U912" t="s">
        <v>17442</v>
      </c>
      <c r="V912">
        <f>-616.622497473921 -59.1877206185216 -93.352302192895</f>
        <v>-769.16252028533756</v>
      </c>
      <c r="W912" t="s">
        <v>17443</v>
      </c>
      <c r="X912" t="s">
        <v>17444</v>
      </c>
      <c r="Y912" t="s">
        <v>17445</v>
      </c>
    </row>
    <row r="913" spans="1:25" x14ac:dyDescent="0.3">
      <c r="A913">
        <v>45600</v>
      </c>
      <c r="B913" t="s">
        <v>17446</v>
      </c>
      <c r="C913" t="s">
        <v>17447</v>
      </c>
      <c r="D913" t="s">
        <v>17448</v>
      </c>
      <c r="E913" t="s">
        <v>17449</v>
      </c>
      <c r="F913" t="s">
        <v>17450</v>
      </c>
      <c r="G913" t="s">
        <v>17451</v>
      </c>
      <c r="H913" t="s">
        <v>17452</v>
      </c>
      <c r="I913" t="s">
        <v>17453</v>
      </c>
      <c r="J913" t="s">
        <v>17454</v>
      </c>
      <c r="K913" t="s">
        <v>17455</v>
      </c>
      <c r="L913" t="s">
        <v>17456</v>
      </c>
      <c r="M913" t="s">
        <v>17457</v>
      </c>
      <c r="N913" t="s">
        <v>17458</v>
      </c>
      <c r="O913">
        <f>-717.743895655611 -144.764301515057 -502.796686824058</f>
        <v>-1365.304883994726</v>
      </c>
      <c r="P913">
        <f>-738.239359930696 -168.086656501652 -222.413730503106</f>
        <v>-1128.7397469354539</v>
      </c>
      <c r="Q913">
        <f>-515.050619776788 -162.268087423107 -286.456342742031</f>
        <v>-963.775049941926</v>
      </c>
      <c r="R913" t="s">
        <v>17459</v>
      </c>
      <c r="S913" t="s">
        <v>17460</v>
      </c>
      <c r="T913" t="s">
        <v>17461</v>
      </c>
      <c r="U913" t="s">
        <v>17462</v>
      </c>
      <c r="V913">
        <f>-615.772978470957 -59.487055896373 -93.3094343185683</f>
        <v>-768.5694686858983</v>
      </c>
      <c r="W913" t="s">
        <v>17463</v>
      </c>
      <c r="X913" t="s">
        <v>17464</v>
      </c>
      <c r="Y913" t="s">
        <v>17465</v>
      </c>
    </row>
    <row r="914" spans="1:25" x14ac:dyDescent="0.3">
      <c r="A914">
        <v>45650</v>
      </c>
      <c r="B914" t="s">
        <v>17466</v>
      </c>
      <c r="C914" t="s">
        <v>17467</v>
      </c>
      <c r="D914" t="s">
        <v>17468</v>
      </c>
      <c r="E914" t="s">
        <v>17469</v>
      </c>
      <c r="F914" t="s">
        <v>17470</v>
      </c>
      <c r="G914" t="s">
        <v>17471</v>
      </c>
      <c r="H914" t="s">
        <v>17472</v>
      </c>
      <c r="I914" t="s">
        <v>17473</v>
      </c>
      <c r="J914" t="s">
        <v>17474</v>
      </c>
      <c r="K914" t="s">
        <v>17475</v>
      </c>
      <c r="L914" t="s">
        <v>17476</v>
      </c>
      <c r="M914" t="s">
        <v>17477</v>
      </c>
      <c r="N914" t="s">
        <v>17478</v>
      </c>
      <c r="O914">
        <f>-717.214434208204 -144.602510789022 -503.063499505146</f>
        <v>-1364.880444502372</v>
      </c>
      <c r="P914">
        <f>-737.193901468054 -168.598369156759 -222.700092325941</f>
        <v>-1128.4923629507539</v>
      </c>
      <c r="Q914">
        <f>-514.178304579365 -161.317408076774 -287.194979352683</f>
        <v>-962.690692008822</v>
      </c>
      <c r="R914" t="s">
        <v>17479</v>
      </c>
      <c r="S914" t="s">
        <v>17480</v>
      </c>
      <c r="T914" t="s">
        <v>17481</v>
      </c>
      <c r="U914" t="s">
        <v>17482</v>
      </c>
      <c r="V914">
        <f>-615.4256348624 -59.5790253424641 -93.2963561299786</f>
        <v>-768.30101633484264</v>
      </c>
      <c r="W914" t="s">
        <v>17483</v>
      </c>
      <c r="X914" t="s">
        <v>17484</v>
      </c>
      <c r="Y914" t="s">
        <v>17485</v>
      </c>
    </row>
    <row r="915" spans="1:25" x14ac:dyDescent="0.3">
      <c r="A915">
        <v>45700</v>
      </c>
      <c r="B915" t="s">
        <v>17486</v>
      </c>
      <c r="C915" t="s">
        <v>17487</v>
      </c>
      <c r="D915" t="s">
        <v>17488</v>
      </c>
      <c r="E915" t="s">
        <v>17489</v>
      </c>
      <c r="F915" t="s">
        <v>17490</v>
      </c>
      <c r="G915" t="s">
        <v>17491</v>
      </c>
      <c r="H915" t="s">
        <v>17492</v>
      </c>
      <c r="I915" t="s">
        <v>17493</v>
      </c>
      <c r="J915" t="s">
        <v>17494</v>
      </c>
      <c r="K915" t="s">
        <v>17495</v>
      </c>
      <c r="L915" t="s">
        <v>17496</v>
      </c>
      <c r="M915" t="s">
        <v>17497</v>
      </c>
      <c r="N915" t="s">
        <v>17498</v>
      </c>
      <c r="O915">
        <f>-716.265234158158 -144.256071165552 -503.486085115463</f>
        <v>-1364.0073904391732</v>
      </c>
      <c r="P915">
        <f>-735.415121954277 -169.080551907086 -223.136935150807</f>
        <v>-1127.63260901217</v>
      </c>
      <c r="Q915">
        <f>-512.536317313143 -159.694177389198 -287.832021819331</f>
        <v>-960.06251652167191</v>
      </c>
      <c r="R915" t="s">
        <v>17499</v>
      </c>
      <c r="S915" t="s">
        <v>17500</v>
      </c>
      <c r="T915" t="s">
        <v>17501</v>
      </c>
      <c r="U915" t="s">
        <v>17502</v>
      </c>
      <c r="V915">
        <f>-614.879277136787 -59.6341035378682 -93.2839849867186</f>
        <v>-767.79736566137376</v>
      </c>
      <c r="W915" t="s">
        <v>17503</v>
      </c>
      <c r="X915" t="s">
        <v>17504</v>
      </c>
      <c r="Y915" t="s">
        <v>17505</v>
      </c>
    </row>
    <row r="916" spans="1:25" x14ac:dyDescent="0.3">
      <c r="A916">
        <v>45750</v>
      </c>
      <c r="B916" t="s">
        <v>17506</v>
      </c>
      <c r="C916" t="s">
        <v>17507</v>
      </c>
      <c r="D916" t="s">
        <v>17508</v>
      </c>
      <c r="E916" t="s">
        <v>17509</v>
      </c>
      <c r="F916" t="s">
        <v>17510</v>
      </c>
      <c r="G916" t="s">
        <v>17511</v>
      </c>
      <c r="H916" t="s">
        <v>17512</v>
      </c>
      <c r="I916" t="s">
        <v>17513</v>
      </c>
      <c r="J916" t="s">
        <v>17514</v>
      </c>
      <c r="K916" t="s">
        <v>17515</v>
      </c>
      <c r="L916" t="s">
        <v>17516</v>
      </c>
      <c r="M916" t="s">
        <v>17517</v>
      </c>
      <c r="N916" t="s">
        <v>17518</v>
      </c>
      <c r="O916">
        <f>-715.790091872809 -144.157613667928 -503.727949762699</f>
        <v>-1363.6756553034359</v>
      </c>
      <c r="P916">
        <f>-734.781679186085 -169.191564392423 -223.3866706356</f>
        <v>-1127.3599142141079</v>
      </c>
      <c r="Q916">
        <f>-511.845359998552 -159.148890631783 -287.784561326675</f>
        <v>-958.77881195701002</v>
      </c>
      <c r="R916" t="s">
        <v>17519</v>
      </c>
      <c r="S916" t="s">
        <v>17520</v>
      </c>
      <c r="T916" t="s">
        <v>17521</v>
      </c>
      <c r="U916" t="s">
        <v>17522</v>
      </c>
      <c r="V916">
        <f>-614.71243658499 -59.7623150180543 -93.2812478224282</f>
        <v>-767.75599942547251</v>
      </c>
      <c r="W916" t="s">
        <v>17523</v>
      </c>
      <c r="X916" t="s">
        <v>17524</v>
      </c>
      <c r="Y916" t="s">
        <v>17525</v>
      </c>
    </row>
    <row r="917" spans="1:25" x14ac:dyDescent="0.3">
      <c r="A917">
        <v>45800</v>
      </c>
      <c r="B917" t="s">
        <v>17526</v>
      </c>
      <c r="C917" t="s">
        <v>17527</v>
      </c>
      <c r="D917" t="s">
        <v>17528</v>
      </c>
      <c r="E917" t="s">
        <v>17529</v>
      </c>
      <c r="F917" t="s">
        <v>17530</v>
      </c>
      <c r="G917" t="s">
        <v>17531</v>
      </c>
      <c r="H917" t="s">
        <v>17532</v>
      </c>
      <c r="I917" t="s">
        <v>17533</v>
      </c>
      <c r="J917" t="s">
        <v>17534</v>
      </c>
      <c r="K917" t="s">
        <v>17535</v>
      </c>
      <c r="L917" t="s">
        <v>17536</v>
      </c>
      <c r="M917" t="s">
        <v>17537</v>
      </c>
      <c r="N917" t="s">
        <v>17538</v>
      </c>
      <c r="O917">
        <f>-714.683805460945 -144.221758551264 -504.11851032568</f>
        <v>-1363.024074337889</v>
      </c>
      <c r="P917">
        <f>-734.245449641263 -169.632150787885 -223.850265680626</f>
        <v>-1127.7278661097741</v>
      </c>
      <c r="Q917">
        <f>-510.991604180608 -158.8185973413 -287.011296143742</f>
        <v>-956.8214976656501</v>
      </c>
      <c r="R917" t="s">
        <v>17539</v>
      </c>
      <c r="S917" t="s">
        <v>17540</v>
      </c>
      <c r="T917" t="s">
        <v>17541</v>
      </c>
      <c r="U917" t="s">
        <v>17542</v>
      </c>
      <c r="V917">
        <f>-614.623612512018 -59.8798486947708 -93.2781834080797</f>
        <v>-767.78164461486847</v>
      </c>
      <c r="W917" t="s">
        <v>17543</v>
      </c>
      <c r="X917" t="s">
        <v>17544</v>
      </c>
      <c r="Y917" t="s">
        <v>17545</v>
      </c>
    </row>
    <row r="918" spans="1:25" x14ac:dyDescent="0.3">
      <c r="A918">
        <v>45850</v>
      </c>
      <c r="B918" t="s">
        <v>17546</v>
      </c>
      <c r="C918" t="s">
        <v>17547</v>
      </c>
      <c r="D918" t="s">
        <v>17548</v>
      </c>
      <c r="E918" t="s">
        <v>17549</v>
      </c>
      <c r="F918" t="s">
        <v>17550</v>
      </c>
      <c r="G918" t="s">
        <v>17551</v>
      </c>
      <c r="H918" t="s">
        <v>17552</v>
      </c>
      <c r="I918" t="s">
        <v>17553</v>
      </c>
      <c r="J918" t="s">
        <v>17554</v>
      </c>
      <c r="K918" t="s">
        <v>17555</v>
      </c>
      <c r="L918" t="s">
        <v>17556</v>
      </c>
      <c r="M918" t="s">
        <v>17557</v>
      </c>
      <c r="N918" t="s">
        <v>17558</v>
      </c>
      <c r="O918">
        <f>-714.026292954421 -144.213624588103 -504.300763878669</f>
        <v>-1362.5406814211931</v>
      </c>
      <c r="P918">
        <f>-734.206773694319 -169.691617693653 -224.082676141176</f>
        <v>-1127.981067529148</v>
      </c>
      <c r="Q918">
        <f>-510.750380695595 -158.803746774126 -286.510592192328</f>
        <v>-956.06471966204901</v>
      </c>
      <c r="R918" t="s">
        <v>17559</v>
      </c>
      <c r="S918" t="s">
        <v>17560</v>
      </c>
      <c r="T918" t="s">
        <v>17561</v>
      </c>
      <c r="U918" t="s">
        <v>17562</v>
      </c>
      <c r="V918">
        <f>-614.653641034834 -59.8795014775103 -93.2849622076023</f>
        <v>-767.81810471994663</v>
      </c>
      <c r="W918" t="s">
        <v>17563</v>
      </c>
      <c r="X918" t="s">
        <v>17564</v>
      </c>
      <c r="Y918" t="s">
        <v>17565</v>
      </c>
    </row>
    <row r="919" spans="1:25" x14ac:dyDescent="0.3">
      <c r="A919">
        <v>45900</v>
      </c>
      <c r="B919" t="s">
        <v>17566</v>
      </c>
      <c r="C919" t="s">
        <v>17567</v>
      </c>
      <c r="D919" t="s">
        <v>17568</v>
      </c>
      <c r="E919" t="s">
        <v>17569</v>
      </c>
      <c r="F919" t="s">
        <v>17570</v>
      </c>
      <c r="G919" t="s">
        <v>17571</v>
      </c>
      <c r="H919" t="s">
        <v>17572</v>
      </c>
      <c r="I919" t="s">
        <v>17573</v>
      </c>
      <c r="J919" t="s">
        <v>17574</v>
      </c>
      <c r="K919" t="s">
        <v>17575</v>
      </c>
      <c r="L919" t="s">
        <v>17576</v>
      </c>
      <c r="M919" t="s">
        <v>17577</v>
      </c>
      <c r="N919" t="s">
        <v>17578</v>
      </c>
      <c r="O919">
        <f>-713.085709019537 -144.129185489103 -504.57076810622</f>
        <v>-1361.78566261486</v>
      </c>
      <c r="P919">
        <f>-734.418557201418 -169.826940496003 -224.458064834903</f>
        <v>-1128.703562532324</v>
      </c>
      <c r="Q919">
        <f>-510.716318355461 -158.579214551513 -285.934337432332</f>
        <v>-955.22987033930599</v>
      </c>
      <c r="R919" t="s">
        <v>17579</v>
      </c>
      <c r="S919" t="s">
        <v>17580</v>
      </c>
      <c r="T919" t="s">
        <v>17581</v>
      </c>
      <c r="U919" t="s">
        <v>17582</v>
      </c>
      <c r="V919">
        <f>-614.970154526654 -59.7212855776563 -93.3176569893989</f>
        <v>-768.00909709370922</v>
      </c>
      <c r="W919" t="s">
        <v>17583</v>
      </c>
      <c r="X919" t="s">
        <v>17584</v>
      </c>
      <c r="Y919" t="s">
        <v>17585</v>
      </c>
    </row>
    <row r="920" spans="1:25" x14ac:dyDescent="0.3">
      <c r="A920">
        <v>45950</v>
      </c>
      <c r="B920" t="s">
        <v>17586</v>
      </c>
      <c r="C920" t="s">
        <v>17587</v>
      </c>
      <c r="D920" t="s">
        <v>17588</v>
      </c>
      <c r="E920" t="s">
        <v>17589</v>
      </c>
      <c r="F920" t="s">
        <v>17590</v>
      </c>
      <c r="G920" t="s">
        <v>17591</v>
      </c>
      <c r="H920" t="s">
        <v>17592</v>
      </c>
      <c r="I920" t="s">
        <v>17593</v>
      </c>
      <c r="J920" t="s">
        <v>17594</v>
      </c>
      <c r="K920" t="s">
        <v>17595</v>
      </c>
      <c r="L920" t="s">
        <v>17596</v>
      </c>
      <c r="M920" t="s">
        <v>17597</v>
      </c>
      <c r="N920" t="s">
        <v>17598</v>
      </c>
      <c r="O920">
        <f>-712.854484166843 -144.052454685304 -504.602713452216</f>
        <v>-1361.509652304363</v>
      </c>
      <c r="P920">
        <f>-734.522817444758 -169.897088976156 -224.52931683123</f>
        <v>-1128.9492232521441</v>
      </c>
      <c r="Q920">
        <f>-510.812545139079 -158.288511103858 -285.909114807668</f>
        <v>-955.01017105060509</v>
      </c>
      <c r="R920" t="s">
        <v>17599</v>
      </c>
      <c r="S920" t="s">
        <v>17600</v>
      </c>
      <c r="T920" t="s">
        <v>17601</v>
      </c>
      <c r="U920" t="s">
        <v>17602</v>
      </c>
      <c r="V920">
        <f>-615.164285030886 -59.5478281099315 -93.3311137997194</f>
        <v>-768.04322694053701</v>
      </c>
      <c r="W920" t="s">
        <v>17603</v>
      </c>
      <c r="X920" t="s">
        <v>17604</v>
      </c>
      <c r="Y920" t="s">
        <v>17605</v>
      </c>
    </row>
    <row r="921" spans="1:25" x14ac:dyDescent="0.3">
      <c r="A921">
        <v>46000</v>
      </c>
      <c r="B921" t="s">
        <v>17606</v>
      </c>
      <c r="C921" t="s">
        <v>17607</v>
      </c>
      <c r="D921" t="s">
        <v>17608</v>
      </c>
      <c r="E921" t="s">
        <v>17609</v>
      </c>
      <c r="F921" t="s">
        <v>17610</v>
      </c>
      <c r="G921" t="s">
        <v>17611</v>
      </c>
      <c r="H921" t="s">
        <v>17612</v>
      </c>
      <c r="I921" t="s">
        <v>17613</v>
      </c>
      <c r="J921" t="s">
        <v>17614</v>
      </c>
      <c r="K921" t="s">
        <v>17615</v>
      </c>
      <c r="L921" t="s">
        <v>17616</v>
      </c>
      <c r="M921" t="s">
        <v>17617</v>
      </c>
      <c r="N921" t="s">
        <v>17618</v>
      </c>
      <c r="O921">
        <f>-712.702767559639 -143.678257632287 -504.485316311163</f>
        <v>-1360.866341503089</v>
      </c>
      <c r="P921">
        <f>-734.659984251636 -169.521201045825 -224.434122491933</f>
        <v>-1128.6153077893941</v>
      </c>
      <c r="Q921">
        <f>-511.133667336849 -157.064728208453 -286.315938783639</f>
        <v>-954.514334328941</v>
      </c>
      <c r="R921" t="s">
        <v>17619</v>
      </c>
      <c r="S921" t="s">
        <v>17620</v>
      </c>
      <c r="T921" t="s">
        <v>17621</v>
      </c>
      <c r="U921" t="s">
        <v>17622</v>
      </c>
      <c r="V921">
        <f>-615.767095192577 -59.0185920281465 -93.3263910114259</f>
        <v>-768.11207823214943</v>
      </c>
      <c r="W921" t="s">
        <v>17623</v>
      </c>
      <c r="X921" t="s">
        <v>17624</v>
      </c>
      <c r="Y921" t="s">
        <v>17625</v>
      </c>
    </row>
    <row r="922" spans="1:25" x14ac:dyDescent="0.3">
      <c r="A922">
        <v>46050</v>
      </c>
      <c r="B922" t="s">
        <v>17626</v>
      </c>
      <c r="C922" t="s">
        <v>17627</v>
      </c>
      <c r="D922" t="s">
        <v>17628</v>
      </c>
      <c r="E922" t="s">
        <v>17629</v>
      </c>
      <c r="F922" t="s">
        <v>17630</v>
      </c>
      <c r="G922" t="s">
        <v>17631</v>
      </c>
      <c r="H922" t="s">
        <v>17632</v>
      </c>
      <c r="I922" t="s">
        <v>17633</v>
      </c>
      <c r="J922" t="s">
        <v>17634</v>
      </c>
      <c r="K922" t="s">
        <v>17635</v>
      </c>
      <c r="L922" t="s">
        <v>17636</v>
      </c>
      <c r="M922" t="s">
        <v>17637</v>
      </c>
      <c r="N922" t="s">
        <v>17638</v>
      </c>
      <c r="O922">
        <f>-712.659853795653 -143.50846105937 -504.346664984499</f>
        <v>-1360.5149798395221</v>
      </c>
      <c r="P922">
        <f>-734.585052339636 -169.278141204188 -224.286282541913</f>
        <v>-1128.1494760857372</v>
      </c>
      <c r="Q922">
        <f>-511.238471240581 -156.359667034734 -286.719857576475</f>
        <v>-954.3179958517901</v>
      </c>
      <c r="R922" t="s">
        <v>17639</v>
      </c>
      <c r="S922" t="s">
        <v>17640</v>
      </c>
      <c r="T922" t="s">
        <v>17641</v>
      </c>
      <c r="U922" t="s">
        <v>17642</v>
      </c>
      <c r="V922">
        <f>-616.068305365735 -58.6521267591395 -93.3194973266387</f>
        <v>-768.03992945151322</v>
      </c>
      <c r="W922" t="s">
        <v>17643</v>
      </c>
      <c r="X922" t="s">
        <v>17644</v>
      </c>
      <c r="Y922" t="s">
        <v>17645</v>
      </c>
    </row>
    <row r="923" spans="1:25" x14ac:dyDescent="0.3">
      <c r="A923">
        <v>46100</v>
      </c>
      <c r="B923" t="s">
        <v>17646</v>
      </c>
      <c r="C923" t="s">
        <v>17647</v>
      </c>
      <c r="D923" t="s">
        <v>17648</v>
      </c>
      <c r="E923" t="s">
        <v>17649</v>
      </c>
      <c r="F923" t="s">
        <v>17650</v>
      </c>
      <c r="G923" t="s">
        <v>17651</v>
      </c>
      <c r="H923" t="s">
        <v>17652</v>
      </c>
      <c r="I923" t="s">
        <v>17653</v>
      </c>
      <c r="J923" t="s">
        <v>17654</v>
      </c>
      <c r="K923" t="s">
        <v>17655</v>
      </c>
      <c r="L923" t="s">
        <v>17656</v>
      </c>
      <c r="M923" t="s">
        <v>17657</v>
      </c>
      <c r="N923" t="s">
        <v>17658</v>
      </c>
      <c r="O923">
        <f>-712.64221957924 -143.469648852682 -503.926214936317</f>
        <v>-1360.0380833682389</v>
      </c>
      <c r="P923">
        <f>-734.319321907096 -169.113692381504 -223.834927432617</f>
        <v>-1127.2679417212169</v>
      </c>
      <c r="Q923">
        <f>-511.530879873951 -154.948725619141 -287.969316947593</f>
        <v>-954.44892244068501</v>
      </c>
      <c r="R923" t="s">
        <v>17659</v>
      </c>
      <c r="S923" t="s">
        <v>17660</v>
      </c>
      <c r="T923" t="s">
        <v>17661</v>
      </c>
      <c r="U923" t="s">
        <v>17662</v>
      </c>
      <c r="V923">
        <f>-616.673897647081 -57.8931837002187 -93.2913280434059</f>
        <v>-767.85840939070567</v>
      </c>
      <c r="W923" t="s">
        <v>17663</v>
      </c>
      <c r="X923" t="s">
        <v>17664</v>
      </c>
      <c r="Y923" t="s">
        <v>17665</v>
      </c>
    </row>
    <row r="924" spans="1:25" x14ac:dyDescent="0.3">
      <c r="A924">
        <v>46150</v>
      </c>
      <c r="B924" t="s">
        <v>17666</v>
      </c>
      <c r="C924" t="s">
        <v>17667</v>
      </c>
      <c r="D924" t="s">
        <v>17668</v>
      </c>
      <c r="E924" t="s">
        <v>17669</v>
      </c>
      <c r="F924" t="s">
        <v>17670</v>
      </c>
      <c r="G924" t="s">
        <v>17671</v>
      </c>
      <c r="H924" t="s">
        <v>17672</v>
      </c>
      <c r="I924" t="s">
        <v>17673</v>
      </c>
      <c r="J924" t="s">
        <v>17674</v>
      </c>
      <c r="K924" t="s">
        <v>17675</v>
      </c>
      <c r="L924" t="s">
        <v>17676</v>
      </c>
      <c r="M924" t="s">
        <v>17677</v>
      </c>
      <c r="N924" t="s">
        <v>17678</v>
      </c>
      <c r="O924">
        <f>-712.620988267616 -143.551021181368 -503.624771225459</f>
        <v>-1359.796780674443</v>
      </c>
      <c r="P924">
        <f>-734.121390662101 -169.07826618973 -223.509276089466</f>
        <v>-1126.708932941297</v>
      </c>
      <c r="Q924">
        <f>-511.744195072132 -154.083225437793 -288.870271530313</f>
        <v>-954.69769204023805</v>
      </c>
      <c r="R924" t="s">
        <v>17679</v>
      </c>
      <c r="S924" t="s">
        <v>17680</v>
      </c>
      <c r="T924" t="s">
        <v>17681</v>
      </c>
      <c r="U924" t="s">
        <v>17682</v>
      </c>
      <c r="V924">
        <f>-616.938498658478 -57.5188794786714 -93.268371943248</f>
        <v>-767.72575008039735</v>
      </c>
      <c r="W924" t="s">
        <v>17683</v>
      </c>
      <c r="X924" t="s">
        <v>17684</v>
      </c>
      <c r="Y924" t="s">
        <v>17685</v>
      </c>
    </row>
    <row r="925" spans="1:25" x14ac:dyDescent="0.3">
      <c r="A925">
        <v>46200</v>
      </c>
      <c r="B925" t="s">
        <v>17686</v>
      </c>
      <c r="C925" t="s">
        <v>17687</v>
      </c>
      <c r="D925" t="s">
        <v>17688</v>
      </c>
      <c r="E925" t="s">
        <v>17689</v>
      </c>
      <c r="F925" t="s">
        <v>17690</v>
      </c>
      <c r="G925" t="s">
        <v>17691</v>
      </c>
      <c r="H925" t="s">
        <v>17692</v>
      </c>
      <c r="I925" t="s">
        <v>17693</v>
      </c>
      <c r="J925" t="s">
        <v>17694</v>
      </c>
      <c r="K925" t="s">
        <v>17695</v>
      </c>
      <c r="L925" t="s">
        <v>17696</v>
      </c>
      <c r="M925" t="s">
        <v>17697</v>
      </c>
      <c r="N925" t="s">
        <v>17698</v>
      </c>
      <c r="O925">
        <f>-712.722487475717 -143.662398139247 -502.989517028301</f>
        <v>-1359.3744026432651</v>
      </c>
      <c r="P925">
        <f>-733.568688644081 -168.55594846537 -222.767566515384</f>
        <v>-1124.892203624835</v>
      </c>
      <c r="Q925">
        <f>-512.207393967339 -151.534843626788 -291.016958498705</f>
        <v>-954.75919609283198</v>
      </c>
      <c r="R925" t="s">
        <v>17699</v>
      </c>
      <c r="S925" t="s">
        <v>17700</v>
      </c>
      <c r="T925" t="s">
        <v>17701</v>
      </c>
      <c r="U925" t="s">
        <v>17702</v>
      </c>
      <c r="V925">
        <f>-617.371209194159 -56.7988762967548 -93.2153585843438</f>
        <v>-767.38544407525751</v>
      </c>
      <c r="W925" t="s">
        <v>17703</v>
      </c>
      <c r="X925" t="s">
        <v>17704</v>
      </c>
      <c r="Y925" t="s">
        <v>17705</v>
      </c>
    </row>
    <row r="926" spans="1:25" x14ac:dyDescent="0.3">
      <c r="A926">
        <v>46250</v>
      </c>
      <c r="B926" t="s">
        <v>17706</v>
      </c>
      <c r="C926" t="s">
        <v>17707</v>
      </c>
      <c r="D926" t="s">
        <v>17708</v>
      </c>
      <c r="E926" t="s">
        <v>17709</v>
      </c>
      <c r="F926" t="s">
        <v>17710</v>
      </c>
      <c r="G926" t="s">
        <v>17711</v>
      </c>
      <c r="H926" t="s">
        <v>17712</v>
      </c>
      <c r="I926" t="s">
        <v>17713</v>
      </c>
      <c r="J926" t="s">
        <v>17714</v>
      </c>
      <c r="K926" t="s">
        <v>17715</v>
      </c>
      <c r="L926" t="s">
        <v>17716</v>
      </c>
      <c r="M926" t="s">
        <v>17717</v>
      </c>
      <c r="N926" t="s">
        <v>17718</v>
      </c>
      <c r="O926">
        <f>-712.850783159337 -143.645348703312 -502.686472977663</f>
        <v>-1359.182604840312</v>
      </c>
      <c r="P926">
        <f>-733.046980506484 -168.152766102829 -222.382910906063</f>
        <v>-1123.582657515376</v>
      </c>
      <c r="Q926">
        <f>-512.154139780777 -150.046226548458 -291.85984487037</f>
        <v>-954.06021119960496</v>
      </c>
      <c r="R926" t="s">
        <v>17719</v>
      </c>
      <c r="S926" t="s">
        <v>17720</v>
      </c>
      <c r="T926" t="s">
        <v>17721</v>
      </c>
      <c r="U926" t="s">
        <v>17722</v>
      </c>
      <c r="V926">
        <f>-617.546773948193 -56.4712133753283 -93.1996288044618</f>
        <v>-767.21761612798309</v>
      </c>
      <c r="W926" t="s">
        <v>17723</v>
      </c>
      <c r="X926" t="s">
        <v>17724</v>
      </c>
      <c r="Y926" t="s">
        <v>17725</v>
      </c>
    </row>
    <row r="927" spans="1:25" x14ac:dyDescent="0.3">
      <c r="A927">
        <v>46300</v>
      </c>
      <c r="B927" t="s">
        <v>17726</v>
      </c>
      <c r="C927" t="s">
        <v>17727</v>
      </c>
      <c r="D927" t="s">
        <v>17728</v>
      </c>
      <c r="E927" t="s">
        <v>17729</v>
      </c>
      <c r="F927" t="s">
        <v>17730</v>
      </c>
      <c r="G927" t="s">
        <v>17731</v>
      </c>
      <c r="H927" t="s">
        <v>17732</v>
      </c>
      <c r="I927" t="s">
        <v>17733</v>
      </c>
      <c r="J927" t="s">
        <v>17734</v>
      </c>
      <c r="K927" t="s">
        <v>17735</v>
      </c>
      <c r="L927" t="s">
        <v>17736</v>
      </c>
      <c r="M927" t="s">
        <v>17737</v>
      </c>
      <c r="N927" t="s">
        <v>17738</v>
      </c>
      <c r="O927">
        <f>-712.64978154029 -143.667309817716 -502.216087289702</f>
        <v>-1358.5331786477079</v>
      </c>
      <c r="P927">
        <f>-731.570831923552 -167.734476757813 -221.785413026727</f>
        <v>-1121.0907217080919</v>
      </c>
      <c r="Q927">
        <f>-511.392554008323 -147.172334574557 -292.829476804475</f>
        <v>-951.39436538735504</v>
      </c>
      <c r="R927" t="s">
        <v>17739</v>
      </c>
      <c r="S927" t="s">
        <v>17740</v>
      </c>
      <c r="T927" t="s">
        <v>17741</v>
      </c>
      <c r="U927" t="s">
        <v>17742</v>
      </c>
      <c r="V927">
        <f>-617.741246184851 -55.92013944779 -93.1707316752718</f>
        <v>-766.83211730791277</v>
      </c>
      <c r="W927" t="s">
        <v>17743</v>
      </c>
      <c r="X927" t="s">
        <v>17744</v>
      </c>
      <c r="Y927" t="s">
        <v>17745</v>
      </c>
    </row>
    <row r="928" spans="1:25" x14ac:dyDescent="0.3">
      <c r="A928">
        <v>46350</v>
      </c>
      <c r="B928" t="s">
        <v>17746</v>
      </c>
      <c r="C928" t="s">
        <v>17747</v>
      </c>
      <c r="D928" t="s">
        <v>17748</v>
      </c>
      <c r="E928" t="s">
        <v>17749</v>
      </c>
      <c r="F928" t="s">
        <v>17750</v>
      </c>
      <c r="G928" t="s">
        <v>17751</v>
      </c>
      <c r="H928" t="s">
        <v>17752</v>
      </c>
      <c r="I928" t="s">
        <v>17753</v>
      </c>
      <c r="J928" t="s">
        <v>17754</v>
      </c>
      <c r="K928" t="s">
        <v>17755</v>
      </c>
      <c r="L928" t="s">
        <v>17756</v>
      </c>
      <c r="M928" t="s">
        <v>17757</v>
      </c>
      <c r="N928" t="s">
        <v>17758</v>
      </c>
      <c r="O928">
        <f>-712.434420281713 -143.615750234748 -502.000180077519</f>
        <v>-1358.0503505939801</v>
      </c>
      <c r="P928">
        <f>-730.918356831432 -167.818793550965 -221.552016953624</f>
        <v>-1120.2891673360209</v>
      </c>
      <c r="Q928">
        <f>-511.030495438419 -145.891606194929 -293.085622105157</f>
        <v>-950.00772373850498</v>
      </c>
      <c r="R928" t="s">
        <v>17759</v>
      </c>
      <c r="S928" t="s">
        <v>17760</v>
      </c>
      <c r="T928" t="s">
        <v>17761</v>
      </c>
      <c r="U928" t="s">
        <v>17762</v>
      </c>
      <c r="V928">
        <f>-617.626287156184 -55.6859225903831 -93.1648271902259</f>
        <v>-766.47703693679307</v>
      </c>
      <c r="W928" t="s">
        <v>17763</v>
      </c>
      <c r="X928" t="s">
        <v>17764</v>
      </c>
      <c r="Y928" t="s">
        <v>17765</v>
      </c>
    </row>
    <row r="929" spans="1:25" x14ac:dyDescent="0.3">
      <c r="A929">
        <v>46400</v>
      </c>
      <c r="B929" t="s">
        <v>17766</v>
      </c>
      <c r="C929" t="s">
        <v>17767</v>
      </c>
      <c r="D929" t="s">
        <v>17768</v>
      </c>
      <c r="E929" t="s">
        <v>17769</v>
      </c>
      <c r="F929" t="s">
        <v>17770</v>
      </c>
      <c r="G929" t="s">
        <v>17771</v>
      </c>
      <c r="H929" t="s">
        <v>17772</v>
      </c>
      <c r="I929" t="s">
        <v>17773</v>
      </c>
      <c r="J929" t="s">
        <v>17774</v>
      </c>
      <c r="K929" t="s">
        <v>17775</v>
      </c>
      <c r="L929" t="s">
        <v>17776</v>
      </c>
      <c r="M929" t="s">
        <v>17777</v>
      </c>
      <c r="N929" t="s">
        <v>17778</v>
      </c>
      <c r="O929">
        <f>-711.706115155132 -143.526264156977 -501.629136294049</f>
        <v>-1356.861515606158</v>
      </c>
      <c r="P929">
        <f>-729.364327813324 -167.768608451957 -221.131281549316</f>
        <v>-1118.264217814597</v>
      </c>
      <c r="Q929">
        <f>-509.850854000098 -144.277759246472 -293.315300276685</f>
        <v>-947.44391352325499</v>
      </c>
      <c r="R929" t="s">
        <v>17779</v>
      </c>
      <c r="S929" t="s">
        <v>17780</v>
      </c>
      <c r="T929" t="s">
        <v>17781</v>
      </c>
      <c r="U929" t="s">
        <v>17782</v>
      </c>
      <c r="V929">
        <f>-616.909259129985 -55.2640279591449 -93.1817930399517</f>
        <v>-765.35508012908156</v>
      </c>
      <c r="W929" t="s">
        <v>17783</v>
      </c>
      <c r="X929" t="s">
        <v>17784</v>
      </c>
      <c r="Y929" t="s">
        <v>17785</v>
      </c>
    </row>
    <row r="930" spans="1:25" x14ac:dyDescent="0.3">
      <c r="A930">
        <v>46450</v>
      </c>
      <c r="B930" t="s">
        <v>17786</v>
      </c>
      <c r="C930" t="s">
        <v>17787</v>
      </c>
      <c r="D930" t="s">
        <v>17788</v>
      </c>
      <c r="E930" t="s">
        <v>17789</v>
      </c>
      <c r="F930" t="s">
        <v>17790</v>
      </c>
      <c r="G930" t="s">
        <v>17791</v>
      </c>
      <c r="H930" t="s">
        <v>17792</v>
      </c>
      <c r="I930" t="s">
        <v>17793</v>
      </c>
      <c r="J930" t="s">
        <v>17794</v>
      </c>
      <c r="K930" t="s">
        <v>17795</v>
      </c>
      <c r="L930" t="s">
        <v>17796</v>
      </c>
      <c r="M930" t="s">
        <v>17797</v>
      </c>
      <c r="N930" t="s">
        <v>17798</v>
      </c>
      <c r="O930">
        <f>-711.174753372597 -143.561470128433 -501.487275342305</f>
        <v>-1356.2234988433352</v>
      </c>
      <c r="P930">
        <f>-728.423898289052 -167.562771232753 -220.94301010224</f>
        <v>-1116.9296796240451</v>
      </c>
      <c r="Q930">
        <f>-508.964262932 -143.814304045809 -293.206700197507</f>
        <v>-945.98526717531604</v>
      </c>
      <c r="R930" t="s">
        <v>17799</v>
      </c>
      <c r="S930" t="s">
        <v>17800</v>
      </c>
      <c r="T930" t="s">
        <v>17801</v>
      </c>
      <c r="U930" t="s">
        <v>17802</v>
      </c>
      <c r="V930">
        <f>-616.289686676793 -55.1863314765642 -93.1830411175433</f>
        <v>-764.65905927090057</v>
      </c>
      <c r="W930" t="s">
        <v>17803</v>
      </c>
      <c r="X930" t="s">
        <v>17804</v>
      </c>
      <c r="Y930" t="s">
        <v>17805</v>
      </c>
    </row>
    <row r="931" spans="1:25" x14ac:dyDescent="0.3">
      <c r="A931">
        <v>46500</v>
      </c>
      <c r="B931" t="s">
        <v>17806</v>
      </c>
      <c r="C931" t="s">
        <v>17807</v>
      </c>
      <c r="D931" t="s">
        <v>17808</v>
      </c>
      <c r="E931" t="s">
        <v>17809</v>
      </c>
      <c r="F931" t="s">
        <v>17810</v>
      </c>
      <c r="G931" t="s">
        <v>17811</v>
      </c>
      <c r="H931" t="s">
        <v>17812</v>
      </c>
      <c r="I931" t="s">
        <v>17813</v>
      </c>
      <c r="J931" t="s">
        <v>17814</v>
      </c>
      <c r="K931" t="s">
        <v>17815</v>
      </c>
      <c r="L931" t="s">
        <v>17816</v>
      </c>
      <c r="M931" t="s">
        <v>17817</v>
      </c>
      <c r="N931" t="s">
        <v>17818</v>
      </c>
      <c r="O931">
        <f>-710.492608620935 -143.538363813191 -501.11703010282</f>
        <v>-1355.148002536946</v>
      </c>
      <c r="P931">
        <f>-727.028573583349 -167.552021556187 -220.531039115277</f>
        <v>-1115.111634254813</v>
      </c>
      <c r="Q931">
        <f>-507.542434565563 -142.884543678036 -292.40524025574</f>
        <v>-942.83221849933898</v>
      </c>
      <c r="R931" t="s">
        <v>17819</v>
      </c>
      <c r="S931" t="s">
        <v>17820</v>
      </c>
      <c r="T931" t="s">
        <v>17821</v>
      </c>
      <c r="U931" t="s">
        <v>17822</v>
      </c>
      <c r="V931">
        <f>-615.025573034523 -55.1982912182459 -93.1244104242537</f>
        <v>-763.34827467702257</v>
      </c>
      <c r="W931" t="s">
        <v>17823</v>
      </c>
      <c r="X931" t="s">
        <v>17824</v>
      </c>
      <c r="Y931" t="s">
        <v>17825</v>
      </c>
    </row>
    <row r="932" spans="1:25" x14ac:dyDescent="0.3">
      <c r="A932">
        <v>46550</v>
      </c>
      <c r="B932" t="s">
        <v>17826</v>
      </c>
      <c r="C932" t="s">
        <v>17827</v>
      </c>
      <c r="D932" t="s">
        <v>17828</v>
      </c>
      <c r="E932" t="s">
        <v>17829</v>
      </c>
      <c r="F932" t="s">
        <v>17830</v>
      </c>
      <c r="G932" t="s">
        <v>17831</v>
      </c>
      <c r="H932" t="s">
        <v>17832</v>
      </c>
      <c r="I932" t="s">
        <v>17833</v>
      </c>
      <c r="J932" t="s">
        <v>17834</v>
      </c>
      <c r="K932" t="s">
        <v>17835</v>
      </c>
      <c r="L932" t="s">
        <v>17836</v>
      </c>
      <c r="M932" t="s">
        <v>17837</v>
      </c>
      <c r="N932" t="s">
        <v>17838</v>
      </c>
      <c r="O932">
        <f>-709.811568199769 -143.42580032121 -501.055116106539</f>
        <v>-1354.292484627518</v>
      </c>
      <c r="P932">
        <f>-726.051448801963 -167.420976069371 -220.450232204775</f>
        <v>-1113.9226570761091</v>
      </c>
      <c r="Q932">
        <f>-506.639422540312 -142.097006910012 -292.322353054652</f>
        <v>-941.05878250497608</v>
      </c>
      <c r="R932" t="s">
        <v>17839</v>
      </c>
      <c r="S932" t="s">
        <v>17840</v>
      </c>
      <c r="T932" t="s">
        <v>17841</v>
      </c>
      <c r="U932" t="s">
        <v>17842</v>
      </c>
      <c r="V932">
        <f>-614.287369178125 -55.0629301911742 -93.0607740575766</f>
        <v>-762.41107342687587</v>
      </c>
      <c r="W932" t="s">
        <v>17843</v>
      </c>
      <c r="X932" t="s">
        <v>17844</v>
      </c>
      <c r="Y932" t="s">
        <v>17845</v>
      </c>
    </row>
    <row r="933" spans="1:25" x14ac:dyDescent="0.3">
      <c r="A933">
        <v>46600</v>
      </c>
      <c r="B933" t="s">
        <v>17846</v>
      </c>
      <c r="C933" t="s">
        <v>17847</v>
      </c>
      <c r="D933" t="s">
        <v>17848</v>
      </c>
      <c r="E933" t="s">
        <v>17849</v>
      </c>
      <c r="F933" t="s">
        <v>17850</v>
      </c>
      <c r="G933" t="s">
        <v>17851</v>
      </c>
      <c r="H933" t="s">
        <v>17852</v>
      </c>
      <c r="I933" t="s">
        <v>17853</v>
      </c>
      <c r="J933" t="s">
        <v>17854</v>
      </c>
      <c r="K933" t="s">
        <v>17855</v>
      </c>
      <c r="L933" t="s">
        <v>17856</v>
      </c>
      <c r="M933" t="s">
        <v>17857</v>
      </c>
      <c r="N933" t="s">
        <v>17858</v>
      </c>
      <c r="O933">
        <f>-708.273420811191 -142.92712381876 -500.920048574031</f>
        <v>-1352.120593203982</v>
      </c>
      <c r="P933">
        <f>-723.55120704939 -166.9245240313 -220.261368800385</f>
        <v>-1110.737099881075</v>
      </c>
      <c r="Q933">
        <f>-504.375476824575 -140.263079526875 -292.370356639343</f>
        <v>-937.00891299079308</v>
      </c>
      <c r="R933" t="s">
        <v>17859</v>
      </c>
      <c r="S933" t="s">
        <v>17860</v>
      </c>
      <c r="T933" t="s">
        <v>17861</v>
      </c>
      <c r="U933" t="s">
        <v>17862</v>
      </c>
      <c r="V933">
        <f>-612.581069623335 -54.5545407113868 -92.8858180872412</f>
        <v>-760.02142842196304</v>
      </c>
      <c r="W933" t="s">
        <v>17863</v>
      </c>
      <c r="X933" t="s">
        <v>17864</v>
      </c>
      <c r="Y933" t="s">
        <v>17865</v>
      </c>
    </row>
    <row r="934" spans="1:25" x14ac:dyDescent="0.3">
      <c r="A934">
        <v>46650</v>
      </c>
      <c r="B934" t="s">
        <v>17866</v>
      </c>
      <c r="C934" t="s">
        <v>17867</v>
      </c>
      <c r="D934" t="s">
        <v>17868</v>
      </c>
      <c r="E934" t="s">
        <v>17869</v>
      </c>
      <c r="F934" t="s">
        <v>17870</v>
      </c>
      <c r="G934" t="s">
        <v>17871</v>
      </c>
      <c r="H934" t="s">
        <v>17872</v>
      </c>
      <c r="I934" t="s">
        <v>17873</v>
      </c>
      <c r="J934" t="s">
        <v>17874</v>
      </c>
      <c r="K934" t="s">
        <v>17875</v>
      </c>
      <c r="L934" t="s">
        <v>17876</v>
      </c>
      <c r="M934" t="s">
        <v>17877</v>
      </c>
      <c r="N934" t="s">
        <v>17878</v>
      </c>
      <c r="O934">
        <f>-707.420490750077 -142.758351750453 -500.870400249319</f>
        <v>-1351.0492427498489</v>
      </c>
      <c r="P934">
        <f>-721.914458533082 -166.713444934063 -220.166588784742</f>
        <v>-1108.794492251887</v>
      </c>
      <c r="Q934">
        <f>-502.849860017704 -139.341289560902 -292.346835114227</f>
        <v>-934.53798469283299</v>
      </c>
      <c r="R934" t="s">
        <v>17879</v>
      </c>
      <c r="S934" t="s">
        <v>17880</v>
      </c>
      <c r="T934" t="s">
        <v>17881</v>
      </c>
      <c r="U934" t="s">
        <v>17882</v>
      </c>
      <c r="V934">
        <f>-611.872314463505 -54.3820386263794 -92.7949351879896</f>
        <v>-759.04928827787398</v>
      </c>
      <c r="W934" t="s">
        <v>17883</v>
      </c>
      <c r="X934" t="s">
        <v>17884</v>
      </c>
      <c r="Y934" t="s">
        <v>17885</v>
      </c>
    </row>
    <row r="935" spans="1:25" x14ac:dyDescent="0.3">
      <c r="A935">
        <v>46700</v>
      </c>
      <c r="B935" t="s">
        <v>17886</v>
      </c>
      <c r="C935" t="s">
        <v>17887</v>
      </c>
      <c r="D935" t="s">
        <v>17888</v>
      </c>
      <c r="E935" t="s">
        <v>17889</v>
      </c>
      <c r="F935" t="s">
        <v>17890</v>
      </c>
      <c r="G935" t="s">
        <v>17891</v>
      </c>
      <c r="H935" t="s">
        <v>17892</v>
      </c>
      <c r="I935" t="s">
        <v>17893</v>
      </c>
      <c r="J935" t="s">
        <v>17894</v>
      </c>
      <c r="K935" t="s">
        <v>17895</v>
      </c>
      <c r="L935" t="s">
        <v>17896</v>
      </c>
      <c r="M935" t="s">
        <v>17897</v>
      </c>
      <c r="N935" t="s">
        <v>17898</v>
      </c>
      <c r="O935">
        <f>-705.757740171325 -142.602625565107 -500.887217646255</f>
        <v>-1349.247583382687</v>
      </c>
      <c r="P935">
        <f>-718.791389184589 -167.040390272487 -220.15337354425</f>
        <v>-1105.9851530013259</v>
      </c>
      <c r="Q935">
        <f>-500.031646822792 -137.570444882981 -292.432092994256</f>
        <v>-930.03418470002907</v>
      </c>
      <c r="R935" t="s">
        <v>17899</v>
      </c>
      <c r="S935" t="s">
        <v>17900</v>
      </c>
      <c r="T935" t="s">
        <v>17901</v>
      </c>
      <c r="U935" t="s">
        <v>17902</v>
      </c>
      <c r="V935">
        <f>-611.024125570597 -54.3155425899336 -92.6614350315164</f>
        <v>-758.00110319204691</v>
      </c>
      <c r="W935" t="s">
        <v>17903</v>
      </c>
      <c r="X935" t="s">
        <v>17904</v>
      </c>
      <c r="Y935" t="s">
        <v>17905</v>
      </c>
    </row>
    <row r="936" spans="1:25" x14ac:dyDescent="0.3">
      <c r="A936">
        <v>46750</v>
      </c>
      <c r="B936" t="s">
        <v>17906</v>
      </c>
      <c r="C936" t="s">
        <v>17907</v>
      </c>
      <c r="D936" t="s">
        <v>17908</v>
      </c>
      <c r="E936" t="s">
        <v>17909</v>
      </c>
      <c r="F936" t="s">
        <v>17910</v>
      </c>
      <c r="G936" t="s">
        <v>17911</v>
      </c>
      <c r="H936" t="s">
        <v>17912</v>
      </c>
      <c r="I936" t="s">
        <v>17913</v>
      </c>
      <c r="J936" t="s">
        <v>17914</v>
      </c>
      <c r="K936" t="s">
        <v>17915</v>
      </c>
      <c r="L936" t="s">
        <v>17916</v>
      </c>
      <c r="M936" t="s">
        <v>17917</v>
      </c>
      <c r="N936" t="s">
        <v>17918</v>
      </c>
      <c r="O936">
        <f>-704.901325543555 -142.707015464137 -501.090657557644</f>
        <v>-1348.6989985653358</v>
      </c>
      <c r="P936">
        <f>-717.560460060157 -167.596580968055 -220.379396900984</f>
        <v>-1105.5364379291959</v>
      </c>
      <c r="Q936">
        <f>-498.942842710715 -136.650688261622 -292.471087911117</f>
        <v>-928.06461888345405</v>
      </c>
      <c r="R936" t="s">
        <v>17919</v>
      </c>
      <c r="S936" t="s">
        <v>17920</v>
      </c>
      <c r="T936" t="s">
        <v>17921</v>
      </c>
      <c r="U936" t="s">
        <v>17922</v>
      </c>
      <c r="V936">
        <f>-610.818623398533 -54.494633208559 -92.6439006266668</f>
        <v>-757.95715723375872</v>
      </c>
      <c r="W936" t="s">
        <v>17923</v>
      </c>
      <c r="X936" t="s">
        <v>17924</v>
      </c>
      <c r="Y936" t="s">
        <v>17925</v>
      </c>
    </row>
    <row r="937" spans="1:25" x14ac:dyDescent="0.3">
      <c r="A937">
        <v>46800</v>
      </c>
      <c r="B937" t="s">
        <v>17926</v>
      </c>
      <c r="C937" t="s">
        <v>17927</v>
      </c>
      <c r="D937" t="s">
        <v>17928</v>
      </c>
      <c r="E937" t="s">
        <v>17929</v>
      </c>
      <c r="F937" t="s">
        <v>17930</v>
      </c>
      <c r="G937" t="s">
        <v>17931</v>
      </c>
      <c r="H937" t="s">
        <v>17932</v>
      </c>
      <c r="I937" t="s">
        <v>17933</v>
      </c>
      <c r="J937" t="s">
        <v>17934</v>
      </c>
      <c r="K937" t="s">
        <v>17935</v>
      </c>
      <c r="L937" t="s">
        <v>17936</v>
      </c>
      <c r="M937" t="s">
        <v>17937</v>
      </c>
      <c r="N937" t="s">
        <v>17938</v>
      </c>
      <c r="O937">
        <f>-703.059558852932 -143.096744287216 -501.586328930508</f>
        <v>-1347.7426320706559</v>
      </c>
      <c r="P937">
        <f>-715.7228267954 -168.633379531304 -220.933291405847</f>
        <v>-1105.2894977325511</v>
      </c>
      <c r="Q937">
        <f>-497.180889559761 -135.053527382084 -292.069358394655</f>
        <v>-924.30377533649994</v>
      </c>
      <c r="R937" t="s">
        <v>17939</v>
      </c>
      <c r="S937" t="s">
        <v>17940</v>
      </c>
      <c r="T937" t="s">
        <v>17941</v>
      </c>
      <c r="U937" t="s">
        <v>17942</v>
      </c>
      <c r="V937">
        <f>-610.675191916332 -54.8696726882561 -92.6944330058849</f>
        <v>-758.23929761047293</v>
      </c>
      <c r="W937" t="s">
        <v>17943</v>
      </c>
      <c r="X937" t="s">
        <v>17944</v>
      </c>
      <c r="Y937" t="s">
        <v>17945</v>
      </c>
    </row>
    <row r="938" spans="1:25" x14ac:dyDescent="0.3">
      <c r="A938">
        <v>46850</v>
      </c>
      <c r="B938" t="s">
        <v>17946</v>
      </c>
      <c r="C938" t="s">
        <v>17947</v>
      </c>
      <c r="D938" t="s">
        <v>17948</v>
      </c>
      <c r="E938" t="s">
        <v>17949</v>
      </c>
      <c r="F938" t="s">
        <v>17950</v>
      </c>
      <c r="G938" t="s">
        <v>17951</v>
      </c>
      <c r="H938" t="s">
        <v>17952</v>
      </c>
      <c r="I938" t="s">
        <v>17953</v>
      </c>
      <c r="J938" t="s">
        <v>17954</v>
      </c>
      <c r="K938" t="s">
        <v>17955</v>
      </c>
      <c r="L938" t="s">
        <v>17956</v>
      </c>
      <c r="M938" t="s">
        <v>17957</v>
      </c>
      <c r="N938" t="s">
        <v>17958</v>
      </c>
      <c r="O938">
        <f>-702.023723529485 -143.380937006459 -501.819994891063</f>
        <v>-1347.2246554270071</v>
      </c>
      <c r="P938">
        <f>-714.93702846794 -169.055514977004 -221.19101859114</f>
        <v>-1105.1835620360839</v>
      </c>
      <c r="Q938">
        <f>-496.393720337655 -134.463703794543 -291.836110962211</f>
        <v>-922.69353509440907</v>
      </c>
      <c r="R938" t="s">
        <v>17959</v>
      </c>
      <c r="S938" t="s">
        <v>17960</v>
      </c>
      <c r="T938" t="s">
        <v>17961</v>
      </c>
      <c r="U938" t="s">
        <v>17962</v>
      </c>
      <c r="V938">
        <f>-610.548615651409 -55.0077789381833 -92.7430128868963</f>
        <v>-758.29940747648857</v>
      </c>
      <c r="W938" t="s">
        <v>17963</v>
      </c>
      <c r="X938" t="s">
        <v>17964</v>
      </c>
      <c r="Y938" t="s">
        <v>17965</v>
      </c>
    </row>
    <row r="939" spans="1:25" x14ac:dyDescent="0.3">
      <c r="A939">
        <v>46900</v>
      </c>
      <c r="B939" t="s">
        <v>17966</v>
      </c>
      <c r="C939" t="s">
        <v>17967</v>
      </c>
      <c r="D939" t="s">
        <v>17968</v>
      </c>
      <c r="E939" t="s">
        <v>17969</v>
      </c>
      <c r="F939" t="s">
        <v>17970</v>
      </c>
      <c r="G939" t="s">
        <v>17971</v>
      </c>
      <c r="H939" t="s">
        <v>17972</v>
      </c>
      <c r="I939" t="s">
        <v>17973</v>
      </c>
      <c r="J939" t="s">
        <v>17974</v>
      </c>
      <c r="K939" t="s">
        <v>17975</v>
      </c>
      <c r="L939" t="s">
        <v>17976</v>
      </c>
      <c r="M939" t="s">
        <v>17977</v>
      </c>
      <c r="N939" t="s">
        <v>17978</v>
      </c>
      <c r="O939">
        <f>-699.885393223887 -144.069387043558 -502.131066227702</f>
        <v>-1346.0858464951471</v>
      </c>
      <c r="P939">
        <f>-713.514527726176 -169.605569619989 -221.523219011624</f>
        <v>-1104.643316357789</v>
      </c>
      <c r="Q939">
        <f>-494.773153242372 -134.137148059285 -291.113007605768</f>
        <v>-920.02330890742496</v>
      </c>
      <c r="R939" t="s">
        <v>17979</v>
      </c>
      <c r="S939" t="s">
        <v>17980</v>
      </c>
      <c r="T939" t="s">
        <v>17981</v>
      </c>
      <c r="U939" t="s">
        <v>17982</v>
      </c>
      <c r="V939">
        <f>-610.16402673266 -55.3140110876477 -92.8299205922987</f>
        <v>-758.30795841260635</v>
      </c>
      <c r="W939" t="s">
        <v>17983</v>
      </c>
      <c r="X939" t="s">
        <v>17984</v>
      </c>
      <c r="Y939" t="s">
        <v>17985</v>
      </c>
    </row>
    <row r="940" spans="1:25" x14ac:dyDescent="0.3">
      <c r="A940">
        <v>46950</v>
      </c>
      <c r="B940" t="s">
        <v>17986</v>
      </c>
      <c r="C940" t="s">
        <v>17987</v>
      </c>
      <c r="D940" t="s">
        <v>17988</v>
      </c>
      <c r="E940" t="s">
        <v>17989</v>
      </c>
      <c r="F940" t="s">
        <v>17990</v>
      </c>
      <c r="G940" t="s">
        <v>17991</v>
      </c>
      <c r="H940" t="s">
        <v>17992</v>
      </c>
      <c r="I940" t="s">
        <v>17993</v>
      </c>
      <c r="J940" t="s">
        <v>17994</v>
      </c>
      <c r="K940" t="s">
        <v>17995</v>
      </c>
      <c r="L940" t="s">
        <v>17996</v>
      </c>
      <c r="M940" t="s">
        <v>17997</v>
      </c>
      <c r="N940" t="s">
        <v>17998</v>
      </c>
      <c r="O940">
        <f>-699.090173859745 -144.472825328236 -502.177350373227</f>
        <v>-1345.7403495612079</v>
      </c>
      <c r="P940">
        <f>-713.168756323173 -169.965538995223 -221.587848416653</f>
        <v>-1104.722143735049</v>
      </c>
      <c r="Q940">
        <f>-494.310604154413 -134.290723192054 -290.703285205167</f>
        <v>-919.30461255163391</v>
      </c>
      <c r="R940" t="s">
        <v>17999</v>
      </c>
      <c r="S940" t="s">
        <v>18000</v>
      </c>
      <c r="T940" t="s">
        <v>18001</v>
      </c>
      <c r="U940" t="s">
        <v>18002</v>
      </c>
      <c r="V940">
        <f>-609.967732150556 -55.5654164789266 -92.8644864323537</f>
        <v>-758.39763506183635</v>
      </c>
      <c r="W940" t="s">
        <v>18003</v>
      </c>
      <c r="X940" t="s">
        <v>18004</v>
      </c>
      <c r="Y940" t="s">
        <v>18005</v>
      </c>
    </row>
    <row r="941" spans="1:25" x14ac:dyDescent="0.3">
      <c r="A941">
        <v>47000</v>
      </c>
      <c r="B941" t="s">
        <v>18006</v>
      </c>
      <c r="C941" t="s">
        <v>18007</v>
      </c>
      <c r="D941" t="s">
        <v>18008</v>
      </c>
      <c r="E941" t="s">
        <v>18009</v>
      </c>
      <c r="F941" t="s">
        <v>18010</v>
      </c>
      <c r="G941" t="s">
        <v>18011</v>
      </c>
      <c r="H941" t="s">
        <v>18012</v>
      </c>
      <c r="I941" t="s">
        <v>18013</v>
      </c>
      <c r="J941" t="s">
        <v>18014</v>
      </c>
      <c r="K941" t="s">
        <v>18015</v>
      </c>
      <c r="L941" t="s">
        <v>18016</v>
      </c>
      <c r="M941" t="s">
        <v>18017</v>
      </c>
      <c r="N941" t="s">
        <v>18018</v>
      </c>
      <c r="O941">
        <f>-697.778589363382 -145.204987987524 -502.205306680068</f>
        <v>-1345.1888840309739</v>
      </c>
      <c r="P941">
        <f>-713.107317544392 -170.72853054265 -221.684142143216</f>
        <v>-1105.5199902302579</v>
      </c>
      <c r="Q941">
        <f>-494.106858994768 -134.813968895823 -290.222346276076</f>
        <v>-919.143174166667</v>
      </c>
      <c r="R941" t="s">
        <v>18019</v>
      </c>
      <c r="S941" t="s">
        <v>18020</v>
      </c>
      <c r="T941" t="s">
        <v>18021</v>
      </c>
      <c r="U941" t="s">
        <v>18022</v>
      </c>
      <c r="V941">
        <f>-609.498748133475 -55.9688103401793 -92.8943627635044</f>
        <v>-758.36192123715875</v>
      </c>
      <c r="W941" t="s">
        <v>18023</v>
      </c>
      <c r="X941" t="s">
        <v>18024</v>
      </c>
      <c r="Y941" t="s">
        <v>18025</v>
      </c>
    </row>
    <row r="942" spans="1:25" x14ac:dyDescent="0.3">
      <c r="A942">
        <v>47050</v>
      </c>
      <c r="B942" t="s">
        <v>18026</v>
      </c>
      <c r="C942" t="s">
        <v>18027</v>
      </c>
      <c r="D942" t="s">
        <v>18028</v>
      </c>
      <c r="E942" t="s">
        <v>18029</v>
      </c>
      <c r="F942" t="s">
        <v>18030</v>
      </c>
      <c r="G942" t="s">
        <v>18031</v>
      </c>
      <c r="H942" t="s">
        <v>18032</v>
      </c>
      <c r="I942" t="s">
        <v>18033</v>
      </c>
      <c r="J942" t="s">
        <v>18034</v>
      </c>
      <c r="K942" t="s">
        <v>18035</v>
      </c>
      <c r="L942" t="s">
        <v>18036</v>
      </c>
      <c r="M942" t="s">
        <v>18037</v>
      </c>
      <c r="N942" t="s">
        <v>18038</v>
      </c>
      <c r="O942">
        <f>-697.302262480434 -145.541301579018 -502.213984927423</f>
        <v>-1345.0575489868752</v>
      </c>
      <c r="P942">
        <f>-713.302872399314 -171.042420763926 -221.728170994673</f>
        <v>-1106.0734641579129</v>
      </c>
      <c r="Q942">
        <f>-494.219510233881 -135.072942649998 -289.971757502597</f>
        <v>-919.26421038647595</v>
      </c>
      <c r="R942" t="s">
        <v>18039</v>
      </c>
      <c r="S942" t="s">
        <v>18040</v>
      </c>
      <c r="T942" t="s">
        <v>18041</v>
      </c>
      <c r="U942" t="s">
        <v>18042</v>
      </c>
      <c r="V942">
        <f>-609.313672781478 -56.2335121976994 -92.9010877625155</f>
        <v>-758.4482727416929</v>
      </c>
      <c r="W942" t="s">
        <v>18043</v>
      </c>
      <c r="X942" t="s">
        <v>18044</v>
      </c>
      <c r="Y942" t="s">
        <v>18045</v>
      </c>
    </row>
    <row r="943" spans="1:25" x14ac:dyDescent="0.3">
      <c r="A943">
        <v>47100</v>
      </c>
      <c r="B943" t="s">
        <v>18046</v>
      </c>
      <c r="C943" t="s">
        <v>18047</v>
      </c>
      <c r="D943" t="s">
        <v>18048</v>
      </c>
      <c r="E943" t="s">
        <v>18049</v>
      </c>
      <c r="F943" t="s">
        <v>18050</v>
      </c>
      <c r="G943" t="s">
        <v>18051</v>
      </c>
      <c r="H943" t="s">
        <v>18052</v>
      </c>
      <c r="I943" t="s">
        <v>18053</v>
      </c>
      <c r="J943" t="s">
        <v>18054</v>
      </c>
      <c r="K943" t="s">
        <v>18055</v>
      </c>
      <c r="L943" t="s">
        <v>18056</v>
      </c>
      <c r="M943" t="s">
        <v>18057</v>
      </c>
      <c r="N943" t="s">
        <v>18058</v>
      </c>
      <c r="O943">
        <f>-696.606460559358 -146.406977592083 -502.095961200313</f>
        <v>-1345.1093993517538</v>
      </c>
      <c r="P943">
        <f>-713.883600635948 -171.934414978948 -221.688424807357</f>
        <v>-1107.506440422253</v>
      </c>
      <c r="Q943">
        <f>-494.379198876467 -136.223009017624 -288.703583499654</f>
        <v>-919.30579139374493</v>
      </c>
      <c r="R943" t="s">
        <v>18059</v>
      </c>
      <c r="S943" t="s">
        <v>18060</v>
      </c>
      <c r="T943" t="s">
        <v>18061</v>
      </c>
      <c r="U943" t="s">
        <v>18062</v>
      </c>
      <c r="V943">
        <f>-609.100108755531 -56.8761025122767 -92.9242026393159</f>
        <v>-758.90041390712361</v>
      </c>
      <c r="W943" t="s">
        <v>18063</v>
      </c>
      <c r="X943" t="s">
        <v>18064</v>
      </c>
      <c r="Y943" t="s">
        <v>18065</v>
      </c>
    </row>
    <row r="944" spans="1:25" x14ac:dyDescent="0.3">
      <c r="A944">
        <v>47150</v>
      </c>
      <c r="B944" t="s">
        <v>18066</v>
      </c>
      <c r="C944" t="s">
        <v>18067</v>
      </c>
      <c r="D944" t="s">
        <v>18068</v>
      </c>
      <c r="E944" t="s">
        <v>18069</v>
      </c>
      <c r="F944" t="s">
        <v>18070</v>
      </c>
      <c r="G944" t="s">
        <v>18071</v>
      </c>
      <c r="H944" t="s">
        <v>18072</v>
      </c>
      <c r="I944" t="s">
        <v>18073</v>
      </c>
      <c r="J944" t="s">
        <v>18074</v>
      </c>
      <c r="K944" t="s">
        <v>18075</v>
      </c>
      <c r="L944" t="s">
        <v>18076</v>
      </c>
      <c r="M944" t="s">
        <v>18077</v>
      </c>
      <c r="N944" t="s">
        <v>18078</v>
      </c>
      <c r="O944">
        <f>-696.481133196301 -146.791953795879 -501.933695179235</f>
        <v>-1345.2067821714149</v>
      </c>
      <c r="P944">
        <f>-714.244062500866 -172.291120647989 -221.553859470339</f>
        <v>-1108.0890426191941</v>
      </c>
      <c r="Q944">
        <f>-494.489488319582 -136.942614334087 -287.938690208434</f>
        <v>-919.37079286210314</v>
      </c>
      <c r="R944" t="s">
        <v>18079</v>
      </c>
      <c r="S944" t="s">
        <v>18080</v>
      </c>
      <c r="T944" t="s">
        <v>18081</v>
      </c>
      <c r="U944" t="s">
        <v>18082</v>
      </c>
      <c r="V944">
        <f>-609.077756194605 -57.1324397517071 -92.9358312981159</f>
        <v>-759.14602724442796</v>
      </c>
      <c r="W944" t="s">
        <v>18083</v>
      </c>
      <c r="X944" t="s">
        <v>18084</v>
      </c>
      <c r="Y944" t="s">
        <v>18085</v>
      </c>
    </row>
    <row r="945" spans="1:25" x14ac:dyDescent="0.3">
      <c r="A945">
        <v>47200</v>
      </c>
      <c r="B945" t="s">
        <v>18086</v>
      </c>
      <c r="C945" t="s">
        <v>18087</v>
      </c>
      <c r="D945" t="s">
        <v>18088</v>
      </c>
      <c r="E945" t="s">
        <v>18089</v>
      </c>
      <c r="F945" t="s">
        <v>18090</v>
      </c>
      <c r="G945" t="s">
        <v>18091</v>
      </c>
      <c r="H945" t="s">
        <v>18092</v>
      </c>
      <c r="I945" t="s">
        <v>18093</v>
      </c>
      <c r="J945" t="s">
        <v>18094</v>
      </c>
      <c r="K945" t="s">
        <v>18095</v>
      </c>
      <c r="L945" t="s">
        <v>18096</v>
      </c>
      <c r="M945" t="s">
        <v>18097</v>
      </c>
      <c r="N945" t="s">
        <v>18098</v>
      </c>
      <c r="O945">
        <f>-696.455521168861 -147.140202573491 -501.792055874933</f>
        <v>-1345.3877796172851</v>
      </c>
      <c r="P945">
        <f>-714.653661613349 -172.620489285386 -221.438282223438</f>
        <v>-1108.7124331221728</v>
      </c>
      <c r="Q945">
        <f>-494.718756946529 -137.238799996333 -287.205511959478</f>
        <v>-919.16306890234</v>
      </c>
      <c r="R945" t="s">
        <v>18099</v>
      </c>
      <c r="S945" t="s">
        <v>18100</v>
      </c>
      <c r="T945" t="s">
        <v>18101</v>
      </c>
      <c r="U945" t="s">
        <v>18102</v>
      </c>
      <c r="V945">
        <f>-609.110296489856 -57.3444469152876 -92.9587199941609</f>
        <v>-759.41346339930442</v>
      </c>
      <c r="W945" t="s">
        <v>18103</v>
      </c>
      <c r="X945" t="s">
        <v>18104</v>
      </c>
      <c r="Y945" t="s">
        <v>18105</v>
      </c>
    </row>
    <row r="946" spans="1:25" x14ac:dyDescent="0.3">
      <c r="A946">
        <v>47250</v>
      </c>
      <c r="B946" t="s">
        <v>18106</v>
      </c>
      <c r="C946" t="s">
        <v>18107</v>
      </c>
      <c r="D946" t="s">
        <v>18108</v>
      </c>
      <c r="E946" t="s">
        <v>18109</v>
      </c>
      <c r="F946" t="s">
        <v>18110</v>
      </c>
      <c r="G946" t="s">
        <v>18111</v>
      </c>
      <c r="H946" t="s">
        <v>18112</v>
      </c>
      <c r="I946" t="s">
        <v>18113</v>
      </c>
      <c r="J946" t="s">
        <v>18114</v>
      </c>
      <c r="K946" t="s">
        <v>18115</v>
      </c>
      <c r="L946" t="s">
        <v>18116</v>
      </c>
      <c r="M946" t="s">
        <v>18117</v>
      </c>
      <c r="N946" t="s">
        <v>18118</v>
      </c>
      <c r="O946">
        <f>-696.609192810483 -147.651204938116 -501.509078397515</f>
        <v>-1345.7694761461139</v>
      </c>
      <c r="P946">
        <f>-715.520297617735 -172.684389241488 -221.162321919809</f>
        <v>-1109.3670087790319</v>
      </c>
      <c r="Q946">
        <f>-495.558652184977 -136.52665581392 -286.415865872228</f>
        <v>-918.50117387112493</v>
      </c>
      <c r="R946" t="s">
        <v>18119</v>
      </c>
      <c r="S946" t="s">
        <v>18120</v>
      </c>
      <c r="T946" t="s">
        <v>18121</v>
      </c>
      <c r="U946" t="s">
        <v>18122</v>
      </c>
      <c r="V946">
        <f>-609.184599352032 -57.4802279438211 -92.9895854825542</f>
        <v>-759.65441277840728</v>
      </c>
      <c r="W946" t="s">
        <v>18123</v>
      </c>
      <c r="X946" t="s">
        <v>18124</v>
      </c>
      <c r="Y946" t="s">
        <v>18125</v>
      </c>
    </row>
    <row r="947" spans="1:25" x14ac:dyDescent="0.3">
      <c r="A947">
        <v>47300</v>
      </c>
      <c r="B947" t="s">
        <v>18126</v>
      </c>
      <c r="C947" t="s">
        <v>18127</v>
      </c>
      <c r="D947" t="s">
        <v>18128</v>
      </c>
      <c r="E947" t="s">
        <v>18129</v>
      </c>
      <c r="F947" t="s">
        <v>18130</v>
      </c>
      <c r="G947" t="s">
        <v>18131</v>
      </c>
      <c r="H947" t="s">
        <v>18132</v>
      </c>
      <c r="I947" t="s">
        <v>18133</v>
      </c>
      <c r="J947" t="s">
        <v>18134</v>
      </c>
      <c r="K947" t="s">
        <v>18135</v>
      </c>
      <c r="L947" t="s">
        <v>18136</v>
      </c>
      <c r="M947" t="s">
        <v>18137</v>
      </c>
      <c r="N947" t="s">
        <v>18138</v>
      </c>
      <c r="O947">
        <f>-696.846499924857 -147.809557946342 -501.334297430285</f>
        <v>-1345.990355301484</v>
      </c>
      <c r="P947">
        <f>-715.862434450783 -172.584973771308 -220.971721284487</f>
        <v>-1109.419129506578</v>
      </c>
      <c r="Q947">
        <f>-496.036810594479 -135.743735782098 -286.30134326812</f>
        <v>-918.08188964469696</v>
      </c>
      <c r="R947" t="s">
        <v>18139</v>
      </c>
      <c r="S947" t="s">
        <v>18140</v>
      </c>
      <c r="T947" t="s">
        <v>18141</v>
      </c>
      <c r="U947" t="s">
        <v>18142</v>
      </c>
      <c r="V947">
        <f>-609.229996216113 -57.4813434433572 -92.9930424899366</f>
        <v>-759.7043821494068</v>
      </c>
      <c r="W947" t="s">
        <v>18143</v>
      </c>
      <c r="X947" t="s">
        <v>18144</v>
      </c>
      <c r="Y947" t="s">
        <v>18145</v>
      </c>
    </row>
    <row r="948" spans="1:25" x14ac:dyDescent="0.3">
      <c r="A948">
        <v>47350</v>
      </c>
      <c r="B948" t="s">
        <v>18146</v>
      </c>
      <c r="C948" t="s">
        <v>18147</v>
      </c>
      <c r="D948" t="s">
        <v>18148</v>
      </c>
      <c r="E948" t="s">
        <v>18149</v>
      </c>
      <c r="F948" t="s">
        <v>18150</v>
      </c>
      <c r="G948" t="s">
        <v>18151</v>
      </c>
      <c r="H948" t="s">
        <v>18152</v>
      </c>
      <c r="I948" t="s">
        <v>18153</v>
      </c>
      <c r="J948" t="s">
        <v>18154</v>
      </c>
      <c r="K948" t="s">
        <v>18155</v>
      </c>
      <c r="L948" t="s">
        <v>18156</v>
      </c>
      <c r="M948" t="s">
        <v>18157</v>
      </c>
      <c r="N948" t="s">
        <v>18158</v>
      </c>
      <c r="O948">
        <f>-697.428219225121 -148.208763117797 -500.918743681593</f>
        <v>-1346.5557260245109</v>
      </c>
      <c r="P948">
        <f>-716.582226208928 -172.593147715852 -220.531321036141</f>
        <v>-1109.7066949609209</v>
      </c>
      <c r="Q948">
        <f>-496.531680771084 -136.0704906777 -285.280053662814</f>
        <v>-917.88222511159802</v>
      </c>
      <c r="R948" t="s">
        <v>18159</v>
      </c>
      <c r="S948" t="s">
        <v>18160</v>
      </c>
      <c r="T948" t="s">
        <v>18161</v>
      </c>
      <c r="U948" t="s">
        <v>18162</v>
      </c>
      <c r="V948">
        <f>-609.44867666894 -57.5132972206957 -93.0062472560546</f>
        <v>-759.96822114569034</v>
      </c>
      <c r="W948" t="s">
        <v>18163</v>
      </c>
      <c r="X948" t="s">
        <v>18164</v>
      </c>
      <c r="Y948" t="s">
        <v>18165</v>
      </c>
    </row>
    <row r="949" spans="1:25" x14ac:dyDescent="0.3">
      <c r="A949">
        <v>47400</v>
      </c>
      <c r="B949" t="s">
        <v>18166</v>
      </c>
      <c r="C949" t="s">
        <v>18167</v>
      </c>
      <c r="D949" t="s">
        <v>18168</v>
      </c>
      <c r="E949" t="s">
        <v>18169</v>
      </c>
      <c r="F949" t="s">
        <v>18170</v>
      </c>
      <c r="G949" t="s">
        <v>18171</v>
      </c>
      <c r="H949" t="s">
        <v>18172</v>
      </c>
      <c r="I949" t="s">
        <v>18173</v>
      </c>
      <c r="J949" t="s">
        <v>18174</v>
      </c>
      <c r="K949" t="s">
        <v>18175</v>
      </c>
      <c r="L949" t="s">
        <v>18176</v>
      </c>
      <c r="M949" t="s">
        <v>18177</v>
      </c>
      <c r="N949" t="s">
        <v>18178</v>
      </c>
      <c r="O949">
        <f>-697.868855661765 -148.383396383386 -500.538404788445</f>
        <v>-1346.7906568335959</v>
      </c>
      <c r="P949">
        <f>-717.746893851595 -172.538278726927 -220.181501811212</f>
        <v>-1110.466674389734</v>
      </c>
      <c r="Q949">
        <f>-497.325128684839 -137.015970428249 -284.220275370571</f>
        <v>-918.56137448365905</v>
      </c>
      <c r="R949" t="s">
        <v>18179</v>
      </c>
      <c r="S949" t="s">
        <v>18180</v>
      </c>
      <c r="T949" t="s">
        <v>18181</v>
      </c>
      <c r="U949" t="s">
        <v>18182</v>
      </c>
      <c r="V949">
        <f>-609.632220653023 -57.314148609737 -93.0040234348876</f>
        <v>-759.95039269764754</v>
      </c>
      <c r="W949" t="s">
        <v>18183</v>
      </c>
      <c r="X949" t="s">
        <v>18184</v>
      </c>
      <c r="Y949" t="s">
        <v>18185</v>
      </c>
    </row>
    <row r="950" spans="1:25" x14ac:dyDescent="0.3">
      <c r="A950">
        <v>47450</v>
      </c>
      <c r="B950" t="s">
        <v>18186</v>
      </c>
      <c r="C950" t="s">
        <v>18187</v>
      </c>
      <c r="D950" t="s">
        <v>18188</v>
      </c>
      <c r="E950" t="s">
        <v>18189</v>
      </c>
      <c r="F950" t="s">
        <v>18190</v>
      </c>
      <c r="G950" t="s">
        <v>18191</v>
      </c>
      <c r="H950" t="s">
        <v>18192</v>
      </c>
      <c r="I950" t="s">
        <v>18193</v>
      </c>
      <c r="J950" t="s">
        <v>18194</v>
      </c>
      <c r="K950" t="s">
        <v>18195</v>
      </c>
      <c r="L950" t="s">
        <v>18196</v>
      </c>
      <c r="M950" t="s">
        <v>18197</v>
      </c>
      <c r="N950" t="s">
        <v>18198</v>
      </c>
      <c r="O950">
        <f>-698.086756542721 -148.354922347993 -500.396353543995</f>
        <v>-1346.838032434709</v>
      </c>
      <c r="P950">
        <f>-718.356219518374 -172.309750283642 -220.050205969625</f>
        <v>-1110.716175771641</v>
      </c>
      <c r="Q950">
        <f>-497.784798053382 -137.242620416846 -283.823706381109</f>
        <v>-918.85112485133698</v>
      </c>
      <c r="R950" t="s">
        <v>18199</v>
      </c>
      <c r="S950" t="s">
        <v>18200</v>
      </c>
      <c r="T950" t="s">
        <v>18201</v>
      </c>
      <c r="U950" t="s">
        <v>18202</v>
      </c>
      <c r="V950">
        <f>-609.738644594149 -57.1629660761548 -92.998069631538</f>
        <v>-759.89968030184184</v>
      </c>
      <c r="W950" t="s">
        <v>18203</v>
      </c>
      <c r="X950" t="s">
        <v>18204</v>
      </c>
      <c r="Y950" t="s">
        <v>18205</v>
      </c>
    </row>
    <row r="951" spans="1:25" x14ac:dyDescent="0.3">
      <c r="A951">
        <v>47500</v>
      </c>
      <c r="B951" t="s">
        <v>18206</v>
      </c>
      <c r="C951" t="s">
        <v>18207</v>
      </c>
      <c r="D951" t="s">
        <v>18208</v>
      </c>
      <c r="E951" t="s">
        <v>18209</v>
      </c>
      <c r="F951" t="s">
        <v>18210</v>
      </c>
      <c r="G951" t="s">
        <v>18211</v>
      </c>
      <c r="H951" t="s">
        <v>18212</v>
      </c>
      <c r="I951" t="s">
        <v>18213</v>
      </c>
      <c r="J951" t="s">
        <v>18214</v>
      </c>
      <c r="K951" t="s">
        <v>18215</v>
      </c>
      <c r="L951" t="s">
        <v>18216</v>
      </c>
      <c r="M951" t="s">
        <v>18217</v>
      </c>
      <c r="N951" t="s">
        <v>18218</v>
      </c>
      <c r="O951">
        <f>-698.626373659035 -148.278087925268 -500.131956835816</f>
        <v>-1347.0364184201189</v>
      </c>
      <c r="P951">
        <f>-719.558683015133 -172.382292188253 -219.847460320096</f>
        <v>-1111.7884355234821</v>
      </c>
      <c r="Q951">
        <f>-498.899594221036 -137.47203406779 -283.403689446366</f>
        <v>-919.77531773519206</v>
      </c>
      <c r="R951" t="s">
        <v>18219</v>
      </c>
      <c r="S951" t="s">
        <v>18220</v>
      </c>
      <c r="T951" t="s">
        <v>18221</v>
      </c>
      <c r="U951" t="s">
        <v>18222</v>
      </c>
      <c r="V951">
        <f>-609.967347516044 -56.8211555396042 -92.9824168019627</f>
        <v>-759.77091985761092</v>
      </c>
      <c r="W951" t="s">
        <v>18223</v>
      </c>
      <c r="X951" t="s">
        <v>18224</v>
      </c>
      <c r="Y951" t="s">
        <v>18225</v>
      </c>
    </row>
    <row r="952" spans="1:25" x14ac:dyDescent="0.3">
      <c r="A952">
        <v>47550</v>
      </c>
      <c r="B952" t="s">
        <v>18226</v>
      </c>
      <c r="C952" t="s">
        <v>18227</v>
      </c>
      <c r="D952" t="s">
        <v>18228</v>
      </c>
      <c r="E952" t="s">
        <v>18229</v>
      </c>
      <c r="F952" t="s">
        <v>18230</v>
      </c>
      <c r="G952" t="s">
        <v>18231</v>
      </c>
      <c r="H952" t="s">
        <v>18232</v>
      </c>
      <c r="I952" t="s">
        <v>18233</v>
      </c>
      <c r="J952" t="s">
        <v>18234</v>
      </c>
      <c r="K952" t="s">
        <v>18235</v>
      </c>
      <c r="L952" t="s">
        <v>18236</v>
      </c>
      <c r="M952" t="s">
        <v>18237</v>
      </c>
      <c r="N952" t="s">
        <v>18238</v>
      </c>
      <c r="O952">
        <f>-699.047348759285 -148.143492396197 -500.0198554215</f>
        <v>-1347.2106965769819</v>
      </c>
      <c r="P952">
        <f>-719.98580210269 -172.283446285234 -219.738914376469</f>
        <v>-1112.0081627643929</v>
      </c>
      <c r="Q952">
        <f>-499.269951383067 -137.529701409843 -283.183465209706</f>
        <v>-919.98311800261604</v>
      </c>
      <c r="R952" t="s">
        <v>18239</v>
      </c>
      <c r="S952" t="s">
        <v>18240</v>
      </c>
      <c r="T952" t="s">
        <v>18241</v>
      </c>
      <c r="U952" t="s">
        <v>18242</v>
      </c>
      <c r="V952">
        <f>-610.07326495801 -56.6365900500909 -92.9752796593996</f>
        <v>-759.68513466750051</v>
      </c>
      <c r="W952" t="s">
        <v>18243</v>
      </c>
      <c r="X952" t="s">
        <v>18244</v>
      </c>
      <c r="Y952" t="s">
        <v>18245</v>
      </c>
    </row>
    <row r="953" spans="1:25" x14ac:dyDescent="0.3">
      <c r="A953">
        <v>47600</v>
      </c>
      <c r="B953" t="s">
        <v>18246</v>
      </c>
      <c r="C953" t="s">
        <v>18247</v>
      </c>
      <c r="D953" t="s">
        <v>18248</v>
      </c>
      <c r="E953" t="s">
        <v>18249</v>
      </c>
      <c r="F953" t="s">
        <v>18250</v>
      </c>
      <c r="G953" t="s">
        <v>18251</v>
      </c>
      <c r="H953" t="s">
        <v>18252</v>
      </c>
      <c r="I953" t="s">
        <v>18253</v>
      </c>
      <c r="J953" t="s">
        <v>18254</v>
      </c>
      <c r="K953" t="s">
        <v>18255</v>
      </c>
      <c r="L953" t="s">
        <v>18256</v>
      </c>
      <c r="M953" t="s">
        <v>18257</v>
      </c>
      <c r="N953" t="s">
        <v>18258</v>
      </c>
      <c r="O953">
        <f>-699.812428765919 -147.842022713833 -499.77517911315</f>
        <v>-1347.429630592902</v>
      </c>
      <c r="P953">
        <f>-720.510307321707 -171.818173788215 -219.46229137451</f>
        <v>-1111.790772484432</v>
      </c>
      <c r="Q953">
        <f>-499.672527958386 -137.234167547477 -282.574626249967</f>
        <v>-919.48132175583009</v>
      </c>
      <c r="R953" t="s">
        <v>18259</v>
      </c>
      <c r="S953" t="s">
        <v>18260</v>
      </c>
      <c r="T953" t="s">
        <v>18261</v>
      </c>
      <c r="U953" t="s">
        <v>18262</v>
      </c>
      <c r="V953">
        <f>-610.332932265859 -56.2312989394816 -92.9605221923213</f>
        <v>-759.52475339766181</v>
      </c>
      <c r="W953" t="s">
        <v>18263</v>
      </c>
      <c r="X953" t="s">
        <v>18264</v>
      </c>
      <c r="Y953" t="s">
        <v>18265</v>
      </c>
    </row>
    <row r="954" spans="1:25" x14ac:dyDescent="0.3">
      <c r="A954">
        <v>47650</v>
      </c>
      <c r="B954" t="s">
        <v>18266</v>
      </c>
      <c r="C954" t="s">
        <v>18267</v>
      </c>
      <c r="D954" t="s">
        <v>18268</v>
      </c>
      <c r="E954" t="s">
        <v>18269</v>
      </c>
      <c r="F954" t="s">
        <v>18270</v>
      </c>
      <c r="G954" t="s">
        <v>18271</v>
      </c>
      <c r="H954" t="s">
        <v>18272</v>
      </c>
      <c r="I954" t="s">
        <v>18273</v>
      </c>
      <c r="J954" t="s">
        <v>18274</v>
      </c>
      <c r="K954" t="s">
        <v>18275</v>
      </c>
      <c r="L954" t="s">
        <v>18276</v>
      </c>
      <c r="M954" t="s">
        <v>18277</v>
      </c>
      <c r="N954" t="s">
        <v>18278</v>
      </c>
      <c r="O954">
        <f>-700.189506417191 -147.6248156736 -499.712812791711</f>
        <v>-1347.527134882502</v>
      </c>
      <c r="P954">
        <f>-720.665018140641 -171.49365287053 -219.374515789985</f>
        <v>-1111.533186801156</v>
      </c>
      <c r="Q954">
        <f>-499.686419227276 -137.331320712609 -282.22294192285</f>
        <v>-919.24068186273507</v>
      </c>
      <c r="R954" t="s">
        <v>18279</v>
      </c>
      <c r="S954" t="s">
        <v>18280</v>
      </c>
      <c r="T954" t="s">
        <v>18281</v>
      </c>
      <c r="U954" t="s">
        <v>18282</v>
      </c>
      <c r="V954">
        <f>-610.440995460009 -55.983212135447 -92.9539444085385</f>
        <v>-759.37815200399461</v>
      </c>
      <c r="W954" t="s">
        <v>18283</v>
      </c>
      <c r="X954" t="s">
        <v>18284</v>
      </c>
      <c r="Y954" t="s">
        <v>18285</v>
      </c>
    </row>
    <row r="955" spans="1:25" x14ac:dyDescent="0.3">
      <c r="A955">
        <v>47700</v>
      </c>
      <c r="B955" t="s">
        <v>18286</v>
      </c>
      <c r="C955" t="s">
        <v>18287</v>
      </c>
      <c r="D955" t="s">
        <v>18288</v>
      </c>
      <c r="E955" t="s">
        <v>18289</v>
      </c>
      <c r="F955" t="s">
        <v>18290</v>
      </c>
      <c r="G955" t="s">
        <v>18291</v>
      </c>
      <c r="H955" t="s">
        <v>18292</v>
      </c>
      <c r="I955" t="s">
        <v>18293</v>
      </c>
      <c r="J955" t="s">
        <v>18294</v>
      </c>
      <c r="K955" t="s">
        <v>18295</v>
      </c>
      <c r="L955" t="s">
        <v>18296</v>
      </c>
      <c r="M955" t="s">
        <v>18297</v>
      </c>
      <c r="N955" t="s">
        <v>18298</v>
      </c>
      <c r="O955">
        <f>-700.8450963116 -147.286253671268 -499.596637358492</f>
        <v>-1347.7279873413599</v>
      </c>
      <c r="P955">
        <f>-721.270005958091 -171.24758997962 -219.262493295453</f>
        <v>-1111.7800892331641</v>
      </c>
      <c r="Q955">
        <f>-499.981627893231 -137.750120056105 -281.374747614474</f>
        <v>-919.10649556381009</v>
      </c>
      <c r="R955" t="s">
        <v>18299</v>
      </c>
      <c r="S955" t="s">
        <v>18300</v>
      </c>
      <c r="T955" t="s">
        <v>18301</v>
      </c>
      <c r="U955" t="s">
        <v>18302</v>
      </c>
      <c r="V955">
        <f>-610.608656279949 -55.7417751700609 -92.9411509111558</f>
        <v>-759.29158236116564</v>
      </c>
      <c r="W955" t="s">
        <v>18303</v>
      </c>
      <c r="X955" t="s">
        <v>18304</v>
      </c>
      <c r="Y955" t="s">
        <v>18305</v>
      </c>
    </row>
    <row r="956" spans="1:25" x14ac:dyDescent="0.3">
      <c r="A956">
        <v>47750</v>
      </c>
      <c r="B956" t="s">
        <v>18306</v>
      </c>
      <c r="C956" t="s">
        <v>18307</v>
      </c>
      <c r="D956" t="s">
        <v>18308</v>
      </c>
      <c r="E956" t="s">
        <v>18309</v>
      </c>
      <c r="F956" t="s">
        <v>18310</v>
      </c>
      <c r="G956" t="s">
        <v>18311</v>
      </c>
      <c r="H956" t="s">
        <v>18312</v>
      </c>
      <c r="I956" t="s">
        <v>18313</v>
      </c>
      <c r="J956" t="s">
        <v>18314</v>
      </c>
      <c r="K956" t="s">
        <v>18315</v>
      </c>
      <c r="L956" t="s">
        <v>18316</v>
      </c>
      <c r="M956" t="s">
        <v>18317</v>
      </c>
      <c r="N956" t="s">
        <v>18318</v>
      </c>
      <c r="O956">
        <f>-701.050007276981 -147.091740637724 -499.638088789821</f>
        <v>-1347.7798367045259</v>
      </c>
      <c r="P956">
        <f>-721.693542343847 -171.266993325153 -219.338367350858</f>
        <v>-1112.2989030198578</v>
      </c>
      <c r="Q956">
        <f>-500.213903013116 -138.00901293837 -280.895045346879</f>
        <v>-919.117961298365</v>
      </c>
      <c r="R956" t="s">
        <v>18319</v>
      </c>
      <c r="S956" t="s">
        <v>18320</v>
      </c>
      <c r="T956" t="s">
        <v>18321</v>
      </c>
      <c r="U956" t="s">
        <v>18322</v>
      </c>
      <c r="V956">
        <f>-610.694718934072 -55.660941375407 -92.9471424166131</f>
        <v>-759.30280272609207</v>
      </c>
      <c r="W956" t="s">
        <v>18323</v>
      </c>
      <c r="X956" t="s">
        <v>18324</v>
      </c>
      <c r="Y956" t="s">
        <v>18325</v>
      </c>
    </row>
    <row r="957" spans="1:25" x14ac:dyDescent="0.3">
      <c r="A957">
        <v>47800</v>
      </c>
      <c r="B957" t="s">
        <v>18326</v>
      </c>
      <c r="C957" t="s">
        <v>18327</v>
      </c>
      <c r="D957" t="s">
        <v>18328</v>
      </c>
      <c r="E957" t="s">
        <v>18329</v>
      </c>
      <c r="F957" t="s">
        <v>18330</v>
      </c>
      <c r="G957" t="s">
        <v>18331</v>
      </c>
      <c r="H957" t="s">
        <v>18332</v>
      </c>
      <c r="I957" t="s">
        <v>18333</v>
      </c>
      <c r="J957" t="s">
        <v>18334</v>
      </c>
      <c r="K957" t="s">
        <v>18335</v>
      </c>
      <c r="L957" t="s">
        <v>18336</v>
      </c>
      <c r="M957" t="s">
        <v>18337</v>
      </c>
      <c r="N957" t="s">
        <v>18338</v>
      </c>
      <c r="O957">
        <f>-701.327411692459 -146.73642978233 -499.845510570908</f>
        <v>-1347.909352045697</v>
      </c>
      <c r="P957">
        <f>-722.168897308119 -171.104719568783 -219.577045374809</f>
        <v>-1112.8506622517109</v>
      </c>
      <c r="Q957">
        <f>-500.490500329624 -137.848196457 -280.414632433825</f>
        <v>-918.75332922044902</v>
      </c>
      <c r="R957" t="s">
        <v>18339</v>
      </c>
      <c r="S957" t="s">
        <v>18340</v>
      </c>
      <c r="T957" t="s">
        <v>18341</v>
      </c>
      <c r="U957" t="s">
        <v>18342</v>
      </c>
      <c r="V957">
        <f>-610.91450579512 -55.5226832020442 -92.941738075608</f>
        <v>-759.37892707277217</v>
      </c>
      <c r="W957" t="s">
        <v>18343</v>
      </c>
      <c r="X957" t="s">
        <v>18344</v>
      </c>
      <c r="Y957" t="s">
        <v>18345</v>
      </c>
    </row>
    <row r="958" spans="1:25" x14ac:dyDescent="0.3">
      <c r="A958">
        <v>47850</v>
      </c>
      <c r="B958" t="s">
        <v>18346</v>
      </c>
      <c r="C958" t="s">
        <v>18347</v>
      </c>
      <c r="D958" t="s">
        <v>18348</v>
      </c>
      <c r="E958" t="s">
        <v>18349</v>
      </c>
      <c r="F958" t="s">
        <v>18350</v>
      </c>
      <c r="G958" t="s">
        <v>18351</v>
      </c>
      <c r="H958" t="s">
        <v>18352</v>
      </c>
      <c r="I958" t="s">
        <v>18353</v>
      </c>
      <c r="J958" t="s">
        <v>18354</v>
      </c>
      <c r="K958" t="s">
        <v>18355</v>
      </c>
      <c r="L958" t="s">
        <v>18356</v>
      </c>
      <c r="M958" t="s">
        <v>18357</v>
      </c>
      <c r="N958" t="s">
        <v>18358</v>
      </c>
      <c r="O958">
        <f>-701.428859312252 -146.702479376289 -499.935163500153</f>
        <v>-1348.0665021886941</v>
      </c>
      <c r="P958">
        <f>-722.162745135356 -171.231089611629 -219.672775570799</f>
        <v>-1113.0666103177841</v>
      </c>
      <c r="Q958">
        <f>-500.556903493138 -137.894590468246 -280.730683293249</f>
        <v>-919.18217725463296</v>
      </c>
      <c r="R958" t="s">
        <v>18359</v>
      </c>
      <c r="S958" t="s">
        <v>18360</v>
      </c>
      <c r="T958" t="s">
        <v>18361</v>
      </c>
      <c r="U958" t="s">
        <v>18362</v>
      </c>
      <c r="V958">
        <f>-610.980316130404 -55.5116106826115 -92.9400142569514</f>
        <v>-759.43194106996691</v>
      </c>
      <c r="W958" t="s">
        <v>18363</v>
      </c>
      <c r="X958" t="s">
        <v>18364</v>
      </c>
      <c r="Y958" t="s">
        <v>18365</v>
      </c>
    </row>
    <row r="959" spans="1:25" x14ac:dyDescent="0.3">
      <c r="A959">
        <v>47900</v>
      </c>
      <c r="B959" t="s">
        <v>18366</v>
      </c>
      <c r="C959" t="s">
        <v>18367</v>
      </c>
      <c r="D959" t="s">
        <v>18368</v>
      </c>
      <c r="E959" t="s">
        <v>18369</v>
      </c>
      <c r="F959" t="s">
        <v>18370</v>
      </c>
      <c r="G959" t="s">
        <v>18371</v>
      </c>
      <c r="H959" t="s">
        <v>18372</v>
      </c>
      <c r="I959" t="s">
        <v>18373</v>
      </c>
      <c r="J959" t="s">
        <v>18374</v>
      </c>
      <c r="K959" t="s">
        <v>18375</v>
      </c>
      <c r="L959" t="s">
        <v>18376</v>
      </c>
      <c r="M959" t="s">
        <v>18377</v>
      </c>
      <c r="N959" t="s">
        <v>18378</v>
      </c>
      <c r="O959">
        <f>-701.832135480387 -146.740835597016 -500.072984301541</f>
        <v>-1348.6459553789441</v>
      </c>
      <c r="P959">
        <f>-721.875902501063 -172.030159868106 -219.827991698245</f>
        <v>-1113.734054067414</v>
      </c>
      <c r="Q959">
        <f>-500.707600013791 -138.117395073623 -282.141922759331</f>
        <v>-920.96691784674499</v>
      </c>
      <c r="R959" t="s">
        <v>18379</v>
      </c>
      <c r="S959" t="s">
        <v>18380</v>
      </c>
      <c r="T959" t="s">
        <v>18381</v>
      </c>
      <c r="U959" t="s">
        <v>18382</v>
      </c>
      <c r="V959">
        <f>-611.141604012327 -55.6946215391124 -92.946771760072</f>
        <v>-759.78299731151139</v>
      </c>
      <c r="W959" t="s">
        <v>18383</v>
      </c>
      <c r="X959" t="s">
        <v>18384</v>
      </c>
      <c r="Y959" t="s">
        <v>18385</v>
      </c>
    </row>
    <row r="960" spans="1:25" x14ac:dyDescent="0.3">
      <c r="A960">
        <v>47950</v>
      </c>
      <c r="B960" t="s">
        <v>18386</v>
      </c>
      <c r="C960" t="s">
        <v>18387</v>
      </c>
      <c r="D960" t="s">
        <v>18388</v>
      </c>
      <c r="E960" t="s">
        <v>18389</v>
      </c>
      <c r="F960" t="s">
        <v>18390</v>
      </c>
      <c r="G960" t="s">
        <v>18391</v>
      </c>
      <c r="H960" t="s">
        <v>18392</v>
      </c>
      <c r="I960" t="s">
        <v>18393</v>
      </c>
      <c r="J960" t="s">
        <v>18394</v>
      </c>
      <c r="K960" t="s">
        <v>18395</v>
      </c>
      <c r="L960" t="s">
        <v>18396</v>
      </c>
      <c r="M960" t="s">
        <v>18397</v>
      </c>
      <c r="N960" t="s">
        <v>18398</v>
      </c>
      <c r="O960">
        <f>-702.121728924719 -146.734610968107 -500.187031022313</f>
        <v>-1349.0433709151391</v>
      </c>
      <c r="P960">
        <f>-721.67965628308 -172.491271451106 -219.950171957365</f>
        <v>-1114.1210996915511</v>
      </c>
      <c r="Q960">
        <f>-500.906928546877 -138.174408820547 -283.434917419011</f>
        <v>-922.51625478643496</v>
      </c>
      <c r="R960" t="s">
        <v>18399</v>
      </c>
      <c r="S960" t="s">
        <v>18400</v>
      </c>
      <c r="T960" t="s">
        <v>18401</v>
      </c>
      <c r="U960" t="s">
        <v>18402</v>
      </c>
      <c r="V960">
        <f>-611.193493364315 -55.7392700603086 -92.9498555254711</f>
        <v>-759.88261895009475</v>
      </c>
      <c r="W960" t="s">
        <v>18403</v>
      </c>
      <c r="X960" t="s">
        <v>18404</v>
      </c>
      <c r="Y960" t="s">
        <v>18405</v>
      </c>
    </row>
    <row r="961" spans="1:25" x14ac:dyDescent="0.3">
      <c r="A961">
        <v>48000</v>
      </c>
      <c r="B961" t="s">
        <v>18406</v>
      </c>
      <c r="C961" t="s">
        <v>18407</v>
      </c>
      <c r="D961" t="s">
        <v>18408</v>
      </c>
      <c r="E961" t="s">
        <v>18409</v>
      </c>
      <c r="F961" t="s">
        <v>18410</v>
      </c>
      <c r="G961" t="s">
        <v>18411</v>
      </c>
      <c r="H961" t="s">
        <v>18412</v>
      </c>
      <c r="I961" t="s">
        <v>18413</v>
      </c>
      <c r="J961" t="s">
        <v>18414</v>
      </c>
      <c r="K961" t="s">
        <v>18415</v>
      </c>
      <c r="L961" t="s">
        <v>18416</v>
      </c>
      <c r="M961" t="s">
        <v>18417</v>
      </c>
      <c r="N961" t="s">
        <v>18418</v>
      </c>
      <c r="O961">
        <f>-702.86886618757 -146.592609172483 -500.469354944867</f>
        <v>-1349.9308303049199</v>
      </c>
      <c r="P961">
        <f>-721.416385034071 -173.512834389758 -220.273363237814</f>
        <v>-1115.2025826616432</v>
      </c>
      <c r="Q961">
        <f>-501.201726980702 -138.705801097513 -285.407839748605</f>
        <v>-925.31536782681997</v>
      </c>
      <c r="R961" t="s">
        <v>18419</v>
      </c>
      <c r="S961" t="s">
        <v>18420</v>
      </c>
      <c r="T961" t="s">
        <v>18421</v>
      </c>
      <c r="U961" t="s">
        <v>18422</v>
      </c>
      <c r="V961">
        <f>-611.212204876295 -55.9745641316499 -92.9757745682467</f>
        <v>-760.16254357619164</v>
      </c>
      <c r="W961" t="s">
        <v>18423</v>
      </c>
      <c r="X961" t="s">
        <v>18424</v>
      </c>
      <c r="Y961" t="s">
        <v>18425</v>
      </c>
    </row>
    <row r="962" spans="1:25" x14ac:dyDescent="0.3">
      <c r="A962">
        <v>48050</v>
      </c>
      <c r="B962" t="s">
        <v>18426</v>
      </c>
      <c r="C962" t="s">
        <v>18427</v>
      </c>
      <c r="D962" t="s">
        <v>18428</v>
      </c>
      <c r="E962" t="s">
        <v>18429</v>
      </c>
      <c r="F962" t="s">
        <v>18430</v>
      </c>
      <c r="G962" t="s">
        <v>18431</v>
      </c>
      <c r="H962" t="s">
        <v>18432</v>
      </c>
      <c r="I962" t="s">
        <v>18433</v>
      </c>
      <c r="J962" t="s">
        <v>18434</v>
      </c>
      <c r="K962" t="s">
        <v>18435</v>
      </c>
      <c r="L962" t="s">
        <v>18436</v>
      </c>
      <c r="M962" t="s">
        <v>18437</v>
      </c>
      <c r="N962" t="s">
        <v>18438</v>
      </c>
      <c r="O962">
        <f>-703.175349768616 -146.572932135451 -500.585216965064</f>
        <v>-1350.3334988691308</v>
      </c>
      <c r="P962">
        <f>-721.093696583824 -173.770755638836 -220.375109823177</f>
        <v>-1115.2395620458369</v>
      </c>
      <c r="Q962">
        <f>-501.290960572546 -138.17479671243 -286.467343030261</f>
        <v>-925.93310031523697</v>
      </c>
      <c r="R962" t="s">
        <v>18439</v>
      </c>
      <c r="S962" t="s">
        <v>18440</v>
      </c>
      <c r="T962" t="s">
        <v>18441</v>
      </c>
      <c r="U962" t="s">
        <v>18442</v>
      </c>
      <c r="V962">
        <f>-611.186020089199 -56.1491226943472 -92.9908164345376</f>
        <v>-760.32595921808377</v>
      </c>
      <c r="W962" t="s">
        <v>18443</v>
      </c>
      <c r="X962" t="s">
        <v>18444</v>
      </c>
      <c r="Y962" t="s">
        <v>18445</v>
      </c>
    </row>
    <row r="963" spans="1:25" x14ac:dyDescent="0.3">
      <c r="A963">
        <v>48100</v>
      </c>
      <c r="B963" t="s">
        <v>18446</v>
      </c>
      <c r="C963" t="s">
        <v>18447</v>
      </c>
      <c r="D963" t="s">
        <v>18448</v>
      </c>
      <c r="E963" t="s">
        <v>18449</v>
      </c>
      <c r="F963" t="s">
        <v>18450</v>
      </c>
      <c r="G963" t="s">
        <v>18451</v>
      </c>
      <c r="H963" t="s">
        <v>18452</v>
      </c>
      <c r="I963" t="s">
        <v>18453</v>
      </c>
      <c r="J963" t="s">
        <v>18454</v>
      </c>
      <c r="K963" t="s">
        <v>18455</v>
      </c>
      <c r="L963" t="s">
        <v>18456</v>
      </c>
      <c r="M963" t="s">
        <v>18457</v>
      </c>
      <c r="N963" t="s">
        <v>18458</v>
      </c>
      <c r="O963">
        <f>-703.844625647674 -146.507487386538 -500.749388182142</f>
        <v>-1351.1015012163539</v>
      </c>
      <c r="P963">
        <f>-720.026751101386 -174.049014891998 -220.466933561651</f>
        <v>-1114.5426995550351</v>
      </c>
      <c r="Q963">
        <f>-501.221185731126 -136.592590010261 -288.80211318756</f>
        <v>-926.61588892894702</v>
      </c>
      <c r="R963" t="s">
        <v>18459</v>
      </c>
      <c r="S963" t="s">
        <v>18460</v>
      </c>
      <c r="T963" t="s">
        <v>18461</v>
      </c>
      <c r="U963" t="s">
        <v>18462</v>
      </c>
      <c r="V963">
        <f>-610.948835319387 -56.4588426867292 -92.9857397049769</f>
        <v>-760.39341771109309</v>
      </c>
      <c r="W963" t="s">
        <v>18463</v>
      </c>
      <c r="X963" t="s">
        <v>18464</v>
      </c>
      <c r="Y963" t="s">
        <v>18465</v>
      </c>
    </row>
    <row r="964" spans="1:25" x14ac:dyDescent="0.3">
      <c r="A964">
        <v>48150</v>
      </c>
      <c r="B964" t="s">
        <v>18466</v>
      </c>
      <c r="C964" t="s">
        <v>18467</v>
      </c>
      <c r="D964" t="s">
        <v>18468</v>
      </c>
      <c r="E964" t="s">
        <v>18469</v>
      </c>
      <c r="F964" t="s">
        <v>18470</v>
      </c>
      <c r="G964" t="s">
        <v>18471</v>
      </c>
      <c r="H964" t="s">
        <v>18472</v>
      </c>
      <c r="I964" t="s">
        <v>18473</v>
      </c>
      <c r="J964" t="s">
        <v>18474</v>
      </c>
      <c r="K964" t="s">
        <v>18475</v>
      </c>
      <c r="L964" t="s">
        <v>18476</v>
      </c>
      <c r="M964" t="s">
        <v>18477</v>
      </c>
      <c r="N964" t="s">
        <v>18478</v>
      </c>
      <c r="O964">
        <f>-704.297843979646 -146.522236765535 -500.756405966025</f>
        <v>-1351.5764867112061</v>
      </c>
      <c r="P964">
        <f>-719.380730589806 -173.910456447036 -220.397710513349</f>
        <v>-1113.6888975501911</v>
      </c>
      <c r="Q964">
        <f>-501.213958495274 -135.586550041646 -290.276604830062</f>
        <v>-927.07711336698208</v>
      </c>
      <c r="R964" t="s">
        <v>18479</v>
      </c>
      <c r="S964" t="s">
        <v>18480</v>
      </c>
      <c r="T964" t="s">
        <v>18481</v>
      </c>
      <c r="U964" t="s">
        <v>18482</v>
      </c>
      <c r="V964">
        <f>-610.703220112308 -56.5574637085194 -92.9834229616915</f>
        <v>-760.244106782519</v>
      </c>
      <c r="W964" t="s">
        <v>18483</v>
      </c>
      <c r="X964" t="s">
        <v>18484</v>
      </c>
      <c r="Y964" t="s">
        <v>18485</v>
      </c>
    </row>
    <row r="965" spans="1:25" x14ac:dyDescent="0.3">
      <c r="A965">
        <v>48200</v>
      </c>
      <c r="B965" t="s">
        <v>18486</v>
      </c>
      <c r="C965" t="s">
        <v>18487</v>
      </c>
      <c r="D965" t="s">
        <v>18488</v>
      </c>
      <c r="E965" t="s">
        <v>18489</v>
      </c>
      <c r="F965" t="s">
        <v>18490</v>
      </c>
      <c r="G965" t="s">
        <v>18491</v>
      </c>
      <c r="H965" t="s">
        <v>18492</v>
      </c>
      <c r="I965" t="s">
        <v>18493</v>
      </c>
      <c r="J965" t="s">
        <v>18494</v>
      </c>
      <c r="K965" t="s">
        <v>18495</v>
      </c>
      <c r="L965" t="s">
        <v>18496</v>
      </c>
      <c r="M965" t="s">
        <v>18497</v>
      </c>
      <c r="N965" t="s">
        <v>18498</v>
      </c>
      <c r="O965">
        <f>-705.287045336549 -146.663989025954 -500.544027820617</f>
        <v>-1352.4950621831199</v>
      </c>
      <c r="P965">
        <f>-718.20070535365 -174.663965730439 -220.137577131419</f>
        <v>-1113.0022482155082</v>
      </c>
      <c r="Q965">
        <f>-501.461651584856 -134.302750650205 -293.238113609905</f>
        <v>-929.00251584496596</v>
      </c>
      <c r="R965" t="s">
        <v>18499</v>
      </c>
      <c r="S965" t="s">
        <v>18500</v>
      </c>
      <c r="T965" t="s">
        <v>18501</v>
      </c>
      <c r="U965" t="s">
        <v>18502</v>
      </c>
      <c r="V965">
        <f>-610.361014459229 -56.8210929712905 -92.9443485803919</f>
        <v>-760.12645601091128</v>
      </c>
      <c r="W965" t="s">
        <v>18503</v>
      </c>
      <c r="X965" t="s">
        <v>18504</v>
      </c>
      <c r="Y965" t="s">
        <v>18505</v>
      </c>
    </row>
    <row r="966" spans="1:25" x14ac:dyDescent="0.3">
      <c r="A966">
        <v>48250</v>
      </c>
      <c r="B966" t="s">
        <v>18506</v>
      </c>
      <c r="C966" t="s">
        <v>18507</v>
      </c>
      <c r="D966" t="s">
        <v>18508</v>
      </c>
      <c r="E966" t="s">
        <v>18509</v>
      </c>
      <c r="F966" t="s">
        <v>18510</v>
      </c>
      <c r="G966" t="s">
        <v>18511</v>
      </c>
      <c r="H966" t="s">
        <v>18512</v>
      </c>
      <c r="I966" t="s">
        <v>18513</v>
      </c>
      <c r="J966" t="s">
        <v>18514</v>
      </c>
      <c r="K966" t="s">
        <v>18515</v>
      </c>
      <c r="L966" t="s">
        <v>18516</v>
      </c>
      <c r="M966" t="s">
        <v>18517</v>
      </c>
      <c r="N966" t="s">
        <v>18518</v>
      </c>
      <c r="O966">
        <f>-705.658509331734 -146.875281493049 -500.433643058181</f>
        <v>-1352.9674338829641</v>
      </c>
      <c r="P966">
        <f>-717.82131736041 -175.327955886882 -220.039078757611</f>
        <v>-1113.188352004903</v>
      </c>
      <c r="Q966">
        <f>-501.844006106959 -133.783777357589 -294.714348327287</f>
        <v>-930.34213179183496</v>
      </c>
      <c r="R966" t="s">
        <v>18519</v>
      </c>
      <c r="S966" t="s">
        <v>18520</v>
      </c>
      <c r="T966" t="s">
        <v>18521</v>
      </c>
      <c r="U966" t="s">
        <v>18522</v>
      </c>
      <c r="V966">
        <f>-610.232683743703 -56.9661603421894 -92.914440616485</f>
        <v>-760.11328470237731</v>
      </c>
      <c r="W966" t="s">
        <v>18523</v>
      </c>
      <c r="X966" t="s">
        <v>18524</v>
      </c>
      <c r="Y966" t="s">
        <v>18525</v>
      </c>
    </row>
    <row r="967" spans="1:25" x14ac:dyDescent="0.3">
      <c r="A967">
        <v>48300</v>
      </c>
      <c r="B967" t="s">
        <v>18526</v>
      </c>
      <c r="C967" t="s">
        <v>18527</v>
      </c>
      <c r="D967" t="s">
        <v>18528</v>
      </c>
      <c r="E967" t="s">
        <v>18529</v>
      </c>
      <c r="F967" t="s">
        <v>18530</v>
      </c>
      <c r="G967" t="s">
        <v>18531</v>
      </c>
      <c r="H967" t="s">
        <v>18532</v>
      </c>
      <c r="I967" t="s">
        <v>18533</v>
      </c>
      <c r="J967" t="s">
        <v>18534</v>
      </c>
      <c r="K967" t="s">
        <v>18535</v>
      </c>
      <c r="L967" t="s">
        <v>18536</v>
      </c>
      <c r="M967" t="s">
        <v>18537</v>
      </c>
      <c r="N967" t="s">
        <v>18538</v>
      </c>
      <c r="O967">
        <f>-706.322370539501 -147.230729312115 -500.270057548292</f>
        <v>-1353.823157399908</v>
      </c>
      <c r="P967">
        <f>-717.298738186051 -176.131414464622 -219.872535846128</f>
        <v>-1113.302688496801</v>
      </c>
      <c r="Q967">
        <f>-502.58228667715 -132.486168252455 -296.946857915189</f>
        <v>-932.01531284479393</v>
      </c>
      <c r="R967" t="s">
        <v>18539</v>
      </c>
      <c r="S967" t="s">
        <v>18540</v>
      </c>
      <c r="T967" t="s">
        <v>18541</v>
      </c>
      <c r="U967" t="s">
        <v>18542</v>
      </c>
      <c r="V967">
        <f>-609.999445394035 -57.1260812895653 -92.8389633131108</f>
        <v>-759.964489996711</v>
      </c>
      <c r="W967" t="s">
        <v>18543</v>
      </c>
      <c r="X967" t="s">
        <v>18544</v>
      </c>
      <c r="Y967" t="s">
        <v>18545</v>
      </c>
    </row>
    <row r="968" spans="1:25" x14ac:dyDescent="0.3">
      <c r="A968">
        <v>48350</v>
      </c>
      <c r="B968" t="s">
        <v>18546</v>
      </c>
      <c r="C968" t="s">
        <v>18547</v>
      </c>
      <c r="D968" t="s">
        <v>18548</v>
      </c>
      <c r="E968" t="s">
        <v>18549</v>
      </c>
      <c r="F968" t="s">
        <v>18550</v>
      </c>
      <c r="G968" t="s">
        <v>18551</v>
      </c>
      <c r="H968" t="s">
        <v>18552</v>
      </c>
      <c r="I968" t="s">
        <v>18553</v>
      </c>
      <c r="J968" t="s">
        <v>18554</v>
      </c>
      <c r="K968" t="s">
        <v>18555</v>
      </c>
      <c r="L968" t="s">
        <v>18556</v>
      </c>
      <c r="M968" t="s">
        <v>18557</v>
      </c>
      <c r="N968" t="s">
        <v>18558</v>
      </c>
      <c r="O968">
        <f>-706.570094689409 -147.397246343317 -500.096179456133</f>
        <v>-1354.063520488859</v>
      </c>
      <c r="P968">
        <f>-717.029163407401 -176.412968668076 -219.690588547811</f>
        <v>-1113.1327206232882</v>
      </c>
      <c r="Q968">
        <f>-503.024640454509 -131.112411475323 -297.783428994345</f>
        <v>-931.9204809241769</v>
      </c>
      <c r="R968" t="s">
        <v>18559</v>
      </c>
      <c r="S968" t="s">
        <v>18560</v>
      </c>
      <c r="T968" t="s">
        <v>18561</v>
      </c>
      <c r="U968" t="s">
        <v>18562</v>
      </c>
      <c r="V968">
        <f>-609.865609534761 -57.0802433318545 -92.8131139551057</f>
        <v>-759.75896682172117</v>
      </c>
      <c r="W968" t="s">
        <v>18563</v>
      </c>
      <c r="X968" t="s">
        <v>18564</v>
      </c>
      <c r="Y968" t="s">
        <v>18565</v>
      </c>
    </row>
    <row r="969" spans="1:25" x14ac:dyDescent="0.3">
      <c r="A969">
        <v>48400</v>
      </c>
      <c r="B969" t="s">
        <v>18566</v>
      </c>
      <c r="C969" t="s">
        <v>18567</v>
      </c>
      <c r="D969" t="s">
        <v>18568</v>
      </c>
      <c r="E969" t="s">
        <v>18569</v>
      </c>
      <c r="F969" t="s">
        <v>18570</v>
      </c>
      <c r="G969" t="s">
        <v>18571</v>
      </c>
      <c r="H969" t="s">
        <v>18572</v>
      </c>
      <c r="I969" t="s">
        <v>18573</v>
      </c>
      <c r="J969" t="s">
        <v>18574</v>
      </c>
      <c r="K969" t="s">
        <v>18575</v>
      </c>
      <c r="L969" t="s">
        <v>18576</v>
      </c>
      <c r="M969" t="s">
        <v>18577</v>
      </c>
      <c r="N969" t="s">
        <v>18578</v>
      </c>
      <c r="O969">
        <f>-706.728399826093 -147.699589904212 -499.784534075763</f>
        <v>-1354.212523806068</v>
      </c>
      <c r="P969">
        <f>-716.059421120035 -176.6902345812 -219.336499857778</f>
        <v>-1112.0861555590132</v>
      </c>
      <c r="Q969">
        <f>-503.587715498702 -127.838823070366 -299.447907886135</f>
        <v>-930.87444645520304</v>
      </c>
      <c r="R969" t="s">
        <v>18579</v>
      </c>
      <c r="S969" t="s">
        <v>18580</v>
      </c>
      <c r="T969" t="s">
        <v>18581</v>
      </c>
      <c r="U969" t="s">
        <v>18582</v>
      </c>
      <c r="V969">
        <f>-609.474445224582 -56.8619962473424 -92.7648493699194</f>
        <v>-759.10129084184382</v>
      </c>
      <c r="W969" t="s">
        <v>18583</v>
      </c>
      <c r="X969" t="s">
        <v>18584</v>
      </c>
      <c r="Y969" t="s">
        <v>18585</v>
      </c>
    </row>
    <row r="970" spans="1:25" x14ac:dyDescent="0.3">
      <c r="A970">
        <v>48450</v>
      </c>
      <c r="B970" t="s">
        <v>18586</v>
      </c>
      <c r="C970" t="s">
        <v>18587</v>
      </c>
      <c r="D970" t="s">
        <v>18588</v>
      </c>
      <c r="E970" t="s">
        <v>18589</v>
      </c>
      <c r="F970" t="s">
        <v>18590</v>
      </c>
      <c r="G970" t="s">
        <v>18591</v>
      </c>
      <c r="H970" t="s">
        <v>18592</v>
      </c>
      <c r="I970" t="s">
        <v>18593</v>
      </c>
      <c r="J970" t="s">
        <v>18594</v>
      </c>
      <c r="K970" t="s">
        <v>18595</v>
      </c>
      <c r="L970" t="s">
        <v>18596</v>
      </c>
      <c r="M970" t="s">
        <v>18597</v>
      </c>
      <c r="N970" t="s">
        <v>18598</v>
      </c>
      <c r="O970">
        <f>-706.882056867354 -147.88027445135 -499.597102604684</f>
        <v>-1354.359433923388</v>
      </c>
      <c r="P970">
        <f>-715.79071562231 -176.983754700292 -219.147143563024</f>
        <v>-1111.9216138856261</v>
      </c>
      <c r="Q970">
        <f>-503.984351822172 -126.228760034482 -299.834887668895</f>
        <v>-930.04799952554902</v>
      </c>
      <c r="R970" t="s">
        <v>18599</v>
      </c>
      <c r="S970" t="s">
        <v>18600</v>
      </c>
      <c r="T970" t="s">
        <v>18601</v>
      </c>
      <c r="U970" t="s">
        <v>18602</v>
      </c>
      <c r="V970">
        <f>-609.326792419558 -56.7921292205701 -92.7400694127995</f>
        <v>-758.85899105292765</v>
      </c>
      <c r="W970" t="s">
        <v>18603</v>
      </c>
      <c r="X970" t="s">
        <v>18604</v>
      </c>
      <c r="Y970" t="s">
        <v>18605</v>
      </c>
    </row>
    <row r="971" spans="1:25" x14ac:dyDescent="0.3">
      <c r="A971">
        <v>48500</v>
      </c>
      <c r="B971" t="s">
        <v>18606</v>
      </c>
      <c r="C971" t="s">
        <v>18607</v>
      </c>
      <c r="D971" t="s">
        <v>18608</v>
      </c>
      <c r="E971" t="s">
        <v>18609</v>
      </c>
      <c r="F971" t="s">
        <v>18610</v>
      </c>
      <c r="G971" t="s">
        <v>18611</v>
      </c>
      <c r="H971" t="s">
        <v>18612</v>
      </c>
      <c r="I971" t="s">
        <v>18613</v>
      </c>
      <c r="J971" t="s">
        <v>18614</v>
      </c>
      <c r="K971" t="s">
        <v>18615</v>
      </c>
      <c r="L971" t="s">
        <v>18616</v>
      </c>
      <c r="M971" t="s">
        <v>18617</v>
      </c>
      <c r="N971" t="s">
        <v>18618</v>
      </c>
      <c r="O971">
        <f>-706.985859734267 -148.214351825775 -499.21547754179</f>
        <v>-1354.415689101832</v>
      </c>
      <c r="P971">
        <f>-715.611982693734 -177.551103367111 -218.7809370008</f>
        <v>-1111.9440230616451</v>
      </c>
      <c r="Q971">
        <f>-504.786271601236 -123.58900803321 -299.954514141912</f>
        <v>-928.32979377635809</v>
      </c>
      <c r="R971" t="s">
        <v>18619</v>
      </c>
      <c r="S971" t="s">
        <v>18620</v>
      </c>
      <c r="T971" t="s">
        <v>18621</v>
      </c>
      <c r="U971" t="s">
        <v>18622</v>
      </c>
      <c r="V971">
        <f>-609.145606533889 -56.5883769309048 -92.6820367315931</f>
        <v>-758.41602019638697</v>
      </c>
      <c r="W971" t="s">
        <v>18623</v>
      </c>
      <c r="X971" t="s">
        <v>18624</v>
      </c>
      <c r="Y971" t="s">
        <v>18625</v>
      </c>
    </row>
    <row r="972" spans="1:25" x14ac:dyDescent="0.3">
      <c r="A972">
        <v>48550</v>
      </c>
      <c r="B972" t="s">
        <v>18626</v>
      </c>
      <c r="C972" t="s">
        <v>18627</v>
      </c>
      <c r="D972" t="s">
        <v>18628</v>
      </c>
      <c r="E972" t="s">
        <v>18629</v>
      </c>
      <c r="F972" t="s">
        <v>18630</v>
      </c>
      <c r="G972" t="s">
        <v>18631</v>
      </c>
      <c r="H972" t="s">
        <v>18632</v>
      </c>
      <c r="I972" t="s">
        <v>18633</v>
      </c>
      <c r="J972" t="s">
        <v>18634</v>
      </c>
      <c r="K972" t="s">
        <v>18635</v>
      </c>
      <c r="L972" t="s">
        <v>18636</v>
      </c>
      <c r="M972" t="s">
        <v>18637</v>
      </c>
      <c r="N972" t="s">
        <v>18638</v>
      </c>
      <c r="O972">
        <f>-706.883039570876 -148.404691244339 -499.099817801015</f>
        <v>-1354.3875486162301</v>
      </c>
      <c r="P972">
        <f>-715.208481386054 -177.792332803027 -218.661468082641</f>
        <v>-1111.662282271722</v>
      </c>
      <c r="Q972">
        <f>-504.89279065519 -122.303682517251 -300.128420579845</f>
        <v>-927.32489375228602</v>
      </c>
      <c r="R972" t="s">
        <v>18639</v>
      </c>
      <c r="S972" t="s">
        <v>18640</v>
      </c>
      <c r="T972" t="s">
        <v>18641</v>
      </c>
      <c r="U972" t="s">
        <v>18642</v>
      </c>
      <c r="V972">
        <f>-609.049104718239 -56.4866326952792 -92.6652890308965</f>
        <v>-758.20102644441477</v>
      </c>
      <c r="W972" t="s">
        <v>18643</v>
      </c>
      <c r="X972" t="s">
        <v>18644</v>
      </c>
      <c r="Y972" t="s">
        <v>18645</v>
      </c>
    </row>
    <row r="973" spans="1:25" x14ac:dyDescent="0.3">
      <c r="A973">
        <v>48600</v>
      </c>
      <c r="B973" t="s">
        <v>18646</v>
      </c>
      <c r="C973" t="s">
        <v>18647</v>
      </c>
      <c r="D973" t="s">
        <v>18648</v>
      </c>
      <c r="E973" t="s">
        <v>18649</v>
      </c>
      <c r="F973" t="s">
        <v>18650</v>
      </c>
      <c r="G973" t="s">
        <v>18651</v>
      </c>
      <c r="H973" t="s">
        <v>18652</v>
      </c>
      <c r="I973" t="s">
        <v>18653</v>
      </c>
      <c r="J973" t="s">
        <v>18654</v>
      </c>
      <c r="K973" t="s">
        <v>18655</v>
      </c>
      <c r="L973" t="s">
        <v>18656</v>
      </c>
      <c r="M973" t="s">
        <v>18657</v>
      </c>
      <c r="N973" t="s">
        <v>18658</v>
      </c>
      <c r="O973">
        <f>-706.596737789856 -148.884509742894 -498.713115635123</f>
        <v>-1354.194363167873</v>
      </c>
      <c r="P973">
        <f>-713.460610891913 -178.648505285394 -218.274863161809</f>
        <v>-1110.383979339116</v>
      </c>
      <c r="Q973">
        <f>-504.517359249309 -120.157085994073 -301.160395205512</f>
        <v>-925.83484044889406</v>
      </c>
      <c r="R973" t="s">
        <v>18659</v>
      </c>
      <c r="S973" t="s">
        <v>18660</v>
      </c>
      <c r="T973" t="s">
        <v>18661</v>
      </c>
      <c r="U973" t="s">
        <v>18662</v>
      </c>
      <c r="V973">
        <f>-608.747194295889 -56.1904520788919 -92.6089660782061</f>
        <v>-757.54661245298701</v>
      </c>
      <c r="W973" t="s">
        <v>18663</v>
      </c>
      <c r="X973" t="s">
        <v>18664</v>
      </c>
      <c r="Y973" t="s">
        <v>18665</v>
      </c>
    </row>
    <row r="974" spans="1:25" x14ac:dyDescent="0.3">
      <c r="A974">
        <v>48650</v>
      </c>
      <c r="B974" t="s">
        <v>18666</v>
      </c>
      <c r="C974" t="s">
        <v>18667</v>
      </c>
      <c r="D974" t="s">
        <v>18668</v>
      </c>
      <c r="E974" t="s">
        <v>18669</v>
      </c>
      <c r="F974" t="s">
        <v>18670</v>
      </c>
      <c r="G974" t="s">
        <v>18671</v>
      </c>
      <c r="H974" t="s">
        <v>18672</v>
      </c>
      <c r="I974" t="s">
        <v>18673</v>
      </c>
      <c r="J974" t="s">
        <v>18674</v>
      </c>
      <c r="K974" t="s">
        <v>18675</v>
      </c>
      <c r="L974" t="s">
        <v>18676</v>
      </c>
      <c r="M974" t="s">
        <v>18677</v>
      </c>
      <c r="N974" t="s">
        <v>18678</v>
      </c>
      <c r="O974">
        <f>-706.524461038035 -149.18307644693 -498.390803660173</f>
        <v>-1354.098341145138</v>
      </c>
      <c r="P974">
        <f>-712.086510522493 -179.604758112729 -217.994324857951</f>
        <v>-1109.685593493173</v>
      </c>
      <c r="Q974">
        <f>-504.211467209937 -119.133316135158 -302.135282879946</f>
        <v>-925.48006622504101</v>
      </c>
      <c r="R974" t="s">
        <v>18679</v>
      </c>
      <c r="S974" t="s">
        <v>18680</v>
      </c>
      <c r="T974" t="s">
        <v>18681</v>
      </c>
      <c r="U974" t="s">
        <v>18682</v>
      </c>
      <c r="V974">
        <f>-608.621844313132 -56.1495474160533 -92.5919244475424</f>
        <v>-757.36331617672772</v>
      </c>
      <c r="W974" t="s">
        <v>18683</v>
      </c>
      <c r="X974" t="s">
        <v>18684</v>
      </c>
      <c r="Y974" t="s">
        <v>18685</v>
      </c>
    </row>
    <row r="975" spans="1:25" x14ac:dyDescent="0.3">
      <c r="A975">
        <v>48700</v>
      </c>
      <c r="B975" t="s">
        <v>18686</v>
      </c>
      <c r="C975" t="s">
        <v>18687</v>
      </c>
      <c r="D975" t="s">
        <v>18688</v>
      </c>
      <c r="E975" t="s">
        <v>18689</v>
      </c>
      <c r="F975" t="s">
        <v>18690</v>
      </c>
      <c r="G975" t="s">
        <v>18691</v>
      </c>
      <c r="H975" t="s">
        <v>18692</v>
      </c>
      <c r="I975" t="s">
        <v>18693</v>
      </c>
      <c r="J975" t="s">
        <v>18694</v>
      </c>
      <c r="K975" t="s">
        <v>18695</v>
      </c>
      <c r="L975" t="s">
        <v>18696</v>
      </c>
      <c r="M975" t="s">
        <v>18697</v>
      </c>
      <c r="N975" t="s">
        <v>18698</v>
      </c>
      <c r="O975">
        <f>-706.526131961949 -149.819218444488 -497.684281191152</f>
        <v>-1354.0296315975891</v>
      </c>
      <c r="P975">
        <f>-708.42996915349 -181.571240127095 -217.386573929165</f>
        <v>-1107.3877832097501</v>
      </c>
      <c r="Q975">
        <f>-503.576269390877 -116.242794160839 -305.225634834632</f>
        <v>-925.04469838634805</v>
      </c>
      <c r="R975" t="s">
        <v>18699</v>
      </c>
      <c r="S975" t="s">
        <v>18700</v>
      </c>
      <c r="T975" t="s">
        <v>18701</v>
      </c>
      <c r="U975" t="s">
        <v>18702</v>
      </c>
      <c r="V975">
        <f>-608.406790881515 -56.1894003092198 -92.5871032024857</f>
        <v>-757.18329439322042</v>
      </c>
      <c r="W975" t="s">
        <v>18703</v>
      </c>
      <c r="X975" t="s">
        <v>18704</v>
      </c>
      <c r="Y975" t="s">
        <v>18705</v>
      </c>
    </row>
    <row r="976" spans="1:25" x14ac:dyDescent="0.3">
      <c r="A976">
        <v>48750</v>
      </c>
      <c r="B976" t="s">
        <v>18706</v>
      </c>
      <c r="C976" t="s">
        <v>18707</v>
      </c>
      <c r="D976" t="s">
        <v>18708</v>
      </c>
      <c r="E976" t="s">
        <v>18709</v>
      </c>
      <c r="F976" t="s">
        <v>18710</v>
      </c>
      <c r="G976" t="s">
        <v>18711</v>
      </c>
      <c r="H976" t="s">
        <v>18712</v>
      </c>
      <c r="I976" t="s">
        <v>18713</v>
      </c>
      <c r="J976" t="s">
        <v>18714</v>
      </c>
      <c r="K976" t="s">
        <v>18715</v>
      </c>
      <c r="L976" t="s">
        <v>18716</v>
      </c>
      <c r="M976" t="s">
        <v>18717</v>
      </c>
      <c r="N976" t="s">
        <v>18718</v>
      </c>
      <c r="O976">
        <f>-706.596065763636 -150.244049158606 -497.252018557627</f>
        <v>-1354.0921334798691</v>
      </c>
      <c r="P976">
        <f>-706.064078324775 -182.568985732742 -217.013953898525</f>
        <v>-1105.647017956042</v>
      </c>
      <c r="Q976">
        <f>-503.421895151636 -114.198499209824 -307.623880704742</f>
        <v>-925.24427506620214</v>
      </c>
      <c r="R976" t="s">
        <v>18719</v>
      </c>
      <c r="S976" t="s">
        <v>18720</v>
      </c>
      <c r="T976" t="s">
        <v>18721</v>
      </c>
      <c r="U976" t="s">
        <v>18722</v>
      </c>
      <c r="V976">
        <f>-608.368671734995 -56.2855395471147 -92.585782756203</f>
        <v>-757.23999403831272</v>
      </c>
      <c r="W976" t="s">
        <v>18723</v>
      </c>
      <c r="X976" t="s">
        <v>18724</v>
      </c>
      <c r="Y976" t="s">
        <v>18725</v>
      </c>
    </row>
    <row r="977" spans="1:25" x14ac:dyDescent="0.3">
      <c r="A977">
        <v>48800</v>
      </c>
      <c r="B977" t="s">
        <v>18726</v>
      </c>
      <c r="C977" t="s">
        <v>18727</v>
      </c>
      <c r="D977" t="s">
        <v>18728</v>
      </c>
      <c r="E977" t="s">
        <v>18729</v>
      </c>
      <c r="F977" t="s">
        <v>18730</v>
      </c>
      <c r="G977" t="s">
        <v>18731</v>
      </c>
      <c r="H977" t="s">
        <v>18732</v>
      </c>
      <c r="I977" t="s">
        <v>18733</v>
      </c>
      <c r="J977" t="s">
        <v>18734</v>
      </c>
      <c r="K977" t="s">
        <v>18735</v>
      </c>
      <c r="L977" t="s">
        <v>18736</v>
      </c>
      <c r="M977" t="s">
        <v>18737</v>
      </c>
      <c r="N977" t="s">
        <v>18738</v>
      </c>
      <c r="O977">
        <f>-706.698758817631 -150.978883072466 -496.388052200684</f>
        <v>-1354.0656940907811</v>
      </c>
      <c r="P977">
        <f>-699.166591023475 -185.252533015731 -216.482517701814</f>
        <v>-1100.9016417410201</v>
      </c>
      <c r="Q977">
        <f>-502.793106855436 -109.405622224439 -314.631392853179</f>
        <v>-926.83012193305399</v>
      </c>
      <c r="R977" t="s">
        <v>18739</v>
      </c>
      <c r="S977" t="s">
        <v>18740</v>
      </c>
      <c r="T977" t="s">
        <v>18741</v>
      </c>
      <c r="U977" t="s">
        <v>18742</v>
      </c>
      <c r="V977">
        <f>-607.950638417661 -56.2252243452349 -92.5630086946111</f>
        <v>-756.738871457507</v>
      </c>
      <c r="W977" t="s">
        <v>18743</v>
      </c>
      <c r="X977" t="s">
        <v>18744</v>
      </c>
      <c r="Y977" t="s">
        <v>18745</v>
      </c>
    </row>
    <row r="978" spans="1:25" x14ac:dyDescent="0.3">
      <c r="A978">
        <v>48850</v>
      </c>
      <c r="B978" t="s">
        <v>18746</v>
      </c>
      <c r="C978" t="s">
        <v>18747</v>
      </c>
      <c r="D978" t="s">
        <v>18748</v>
      </c>
      <c r="E978" t="s">
        <v>18749</v>
      </c>
      <c r="F978" t="s">
        <v>18750</v>
      </c>
      <c r="G978" t="s">
        <v>18751</v>
      </c>
      <c r="H978" t="s">
        <v>18752</v>
      </c>
      <c r="I978" t="s">
        <v>18753</v>
      </c>
      <c r="J978" t="s">
        <v>18754</v>
      </c>
      <c r="K978" t="s">
        <v>18755</v>
      </c>
      <c r="L978" t="s">
        <v>18756</v>
      </c>
      <c r="M978" t="s">
        <v>18757</v>
      </c>
      <c r="N978" t="s">
        <v>18758</v>
      </c>
      <c r="O978">
        <f>-706.732462055436 -151.463612323156 -495.876664268787</f>
        <v>-1354.0727386473791</v>
      </c>
      <c r="P978">
        <f>-694.576243356287 -187.197753257772 -216.316489120976</f>
        <v>-1098.0904857350349</v>
      </c>
      <c r="Q978">
        <f>-502.434446541078 -106.868621530705 -319.162539068178</f>
        <v>-928.46560713996087</v>
      </c>
      <c r="R978" t="s">
        <v>18759</v>
      </c>
      <c r="S978" t="s">
        <v>18760</v>
      </c>
      <c r="T978" t="s">
        <v>18761</v>
      </c>
      <c r="U978" t="s">
        <v>18762</v>
      </c>
      <c r="V978">
        <f>-607.652589812549 -56.1868285612948 -92.5297033635112</f>
        <v>-756.36912173735493</v>
      </c>
      <c r="W978" t="s">
        <v>18763</v>
      </c>
      <c r="X978" t="s">
        <v>18764</v>
      </c>
      <c r="Y978" t="s">
        <v>18765</v>
      </c>
    </row>
    <row r="979" spans="1:25" x14ac:dyDescent="0.3">
      <c r="A979">
        <v>48900</v>
      </c>
      <c r="B979" t="s">
        <v>18766</v>
      </c>
      <c r="C979" t="s">
        <v>18767</v>
      </c>
      <c r="D979" t="s">
        <v>18768</v>
      </c>
      <c r="E979" t="s">
        <v>18769</v>
      </c>
      <c r="F979" t="s">
        <v>18770</v>
      </c>
      <c r="G979" t="s">
        <v>18771</v>
      </c>
      <c r="H979" t="s">
        <v>18772</v>
      </c>
      <c r="I979" t="s">
        <v>18773</v>
      </c>
      <c r="J979" t="s">
        <v>18774</v>
      </c>
      <c r="K979" t="s">
        <v>18775</v>
      </c>
      <c r="L979" t="s">
        <v>18776</v>
      </c>
      <c r="M979" t="s">
        <v>18777</v>
      </c>
      <c r="N979">
        <f>-686.974501325175 -0.769101427864143 -524.946229158205</f>
        <v>-1212.6898319112443</v>
      </c>
      <c r="O979">
        <f>-707.141625533357 -152.491732455571 -494.786021711906</f>
        <v>-1354.419379700834</v>
      </c>
      <c r="P979">
        <f>-682.648107510378 -191.623956320666 -216.492423443907</f>
        <v>-1090.7644872749511</v>
      </c>
      <c r="Q979">
        <f>-501.912035195234 -101.087784546542 -330.887340536393</f>
        <v>-933.88716027816906</v>
      </c>
      <c r="R979" t="s">
        <v>18778</v>
      </c>
      <c r="S979" t="s">
        <v>18779</v>
      </c>
      <c r="T979" t="s">
        <v>18780</v>
      </c>
      <c r="U979" t="s">
        <v>18781</v>
      </c>
      <c r="V979">
        <f>-607.380875552087 -56.148390741261 -92.4769073351973</f>
        <v>-756.0061736285453</v>
      </c>
      <c r="W979" t="s">
        <v>18782</v>
      </c>
      <c r="X979" t="s">
        <v>18783</v>
      </c>
      <c r="Y979" t="s">
        <v>18784</v>
      </c>
    </row>
    <row r="980" spans="1:25" x14ac:dyDescent="0.3">
      <c r="A980">
        <v>48950</v>
      </c>
      <c r="B980" t="s">
        <v>18785</v>
      </c>
      <c r="C980" t="s">
        <v>18786</v>
      </c>
      <c r="D980" t="s">
        <v>18787</v>
      </c>
      <c r="E980" t="s">
        <v>18788</v>
      </c>
      <c r="F980" t="s">
        <v>18789</v>
      </c>
      <c r="G980" t="s">
        <v>18790</v>
      </c>
      <c r="H980" t="s">
        <v>18791</v>
      </c>
      <c r="I980" t="s">
        <v>18792</v>
      </c>
      <c r="J980" t="s">
        <v>18793</v>
      </c>
      <c r="K980" t="s">
        <v>18794</v>
      </c>
      <c r="L980" t="s">
        <v>18795</v>
      </c>
      <c r="M980" t="s">
        <v>18796</v>
      </c>
      <c r="N980">
        <f>-687.324266429118 -1.3964442647939 -524.780383604837</f>
        <v>-1213.5010942987487</v>
      </c>
      <c r="O980">
        <f>-707.51877382371 -153.027092190711 -494.162185856095</f>
        <v>-1354.7080518705161</v>
      </c>
      <c r="P980">
        <f>-675.001538419891 -193.617042033228 -216.901193960533</f>
        <v>-1085.5197744136519</v>
      </c>
      <c r="Q980">
        <f>-501.229378473449 -97.9373968881753 -337.71991747761</f>
        <v>-936.88669283923434</v>
      </c>
      <c r="R980" t="s">
        <v>18797</v>
      </c>
      <c r="S980" t="s">
        <v>18798</v>
      </c>
      <c r="T980" t="s">
        <v>18799</v>
      </c>
      <c r="U980" t="s">
        <v>18800</v>
      </c>
      <c r="V980">
        <f>-607.40108196946 -56.1500757514082 -92.4550838881798</f>
        <v>-756.00624160904806</v>
      </c>
      <c r="W980" t="s">
        <v>18801</v>
      </c>
      <c r="X980" t="s">
        <v>18802</v>
      </c>
      <c r="Y980" t="s">
        <v>18803</v>
      </c>
    </row>
    <row r="981" spans="1:25" x14ac:dyDescent="0.3">
      <c r="A981">
        <v>49000</v>
      </c>
      <c r="B981" t="s">
        <v>18804</v>
      </c>
      <c r="C981" t="s">
        <v>18805</v>
      </c>
      <c r="D981" t="s">
        <v>18806</v>
      </c>
      <c r="E981" t="s">
        <v>18807</v>
      </c>
      <c r="F981" t="s">
        <v>18808</v>
      </c>
      <c r="G981" t="s">
        <v>18809</v>
      </c>
      <c r="H981" t="s">
        <v>18810</v>
      </c>
      <c r="I981" t="s">
        <v>18811</v>
      </c>
      <c r="J981" t="s">
        <v>18812</v>
      </c>
      <c r="K981" t="s">
        <v>18813</v>
      </c>
      <c r="L981" t="s">
        <v>18814</v>
      </c>
      <c r="M981" t="s">
        <v>18815</v>
      </c>
      <c r="N981">
        <f>-688.276130393854 -2.7323720936829 -524.417976502362</f>
        <v>-1215.4264789898989</v>
      </c>
      <c r="O981">
        <f>-708.466765193673 -154.17645126999 -492.956042658665</f>
        <v>-1355.599259122328</v>
      </c>
      <c r="P981">
        <f>-657.766028527534 -196.272632242173 -218.664337953242</f>
        <v>-1072.7029987229489</v>
      </c>
      <c r="Q981">
        <f>-500.000810566232 -90.6362873678563 -352.45388310788</f>
        <v>-943.09098104196823</v>
      </c>
      <c r="R981" t="s">
        <v>18816</v>
      </c>
      <c r="S981" t="s">
        <v>18817</v>
      </c>
      <c r="T981" t="s">
        <v>18818</v>
      </c>
      <c r="U981" t="s">
        <v>18819</v>
      </c>
      <c r="V981">
        <f>-607.471105339041 -56.0785795314227 -92.4213324750598</f>
        <v>-755.97101734552348</v>
      </c>
      <c r="W981" t="s">
        <v>18820</v>
      </c>
      <c r="X981" t="s">
        <v>18821</v>
      </c>
      <c r="Y981" t="s">
        <v>18822</v>
      </c>
    </row>
    <row r="982" spans="1:25" x14ac:dyDescent="0.3">
      <c r="A982">
        <v>49050</v>
      </c>
      <c r="B982" t="s">
        <v>18823</v>
      </c>
      <c r="C982" t="s">
        <v>18824</v>
      </c>
      <c r="D982" t="s">
        <v>18825</v>
      </c>
      <c r="E982" t="s">
        <v>18826</v>
      </c>
      <c r="F982" t="s">
        <v>18827</v>
      </c>
      <c r="G982" t="s">
        <v>18828</v>
      </c>
      <c r="H982" t="s">
        <v>18829</v>
      </c>
      <c r="I982" t="s">
        <v>18830</v>
      </c>
      <c r="J982" t="s">
        <v>18831</v>
      </c>
      <c r="K982" t="s">
        <v>18832</v>
      </c>
      <c r="L982" t="s">
        <v>18833</v>
      </c>
      <c r="M982" t="s">
        <v>18834</v>
      </c>
      <c r="N982">
        <f>-688.630023344536 -3.43907120886433 -524.254814515245</f>
        <v>-1216.3239090686452</v>
      </c>
      <c r="O982">
        <f>-708.732098046045 -154.817882799174 -492.37213371111</f>
        <v>-1355.922114556329</v>
      </c>
      <c r="P982">
        <f>-648.030106049949 -196.938563964145 -220.122730405848</f>
        <v>-1065.0914004199421</v>
      </c>
      <c r="Q982">
        <f>-499.163735352578 -86.8222976234163 -360.343052401473</f>
        <v>-946.32908537746721</v>
      </c>
      <c r="R982" t="s">
        <v>18835</v>
      </c>
      <c r="S982" t="s">
        <v>18836</v>
      </c>
      <c r="T982" t="s">
        <v>18837</v>
      </c>
      <c r="U982" t="s">
        <v>18838</v>
      </c>
      <c r="V982">
        <f>-607.525242433915 -55.9523474838534 -92.4035843138552</f>
        <v>-755.8811742316235</v>
      </c>
      <c r="W982" t="s">
        <v>18839</v>
      </c>
      <c r="X982" t="s">
        <v>18840</v>
      </c>
      <c r="Y982" t="s">
        <v>18841</v>
      </c>
    </row>
    <row r="983" spans="1:25" x14ac:dyDescent="0.3">
      <c r="A983">
        <v>49100</v>
      </c>
      <c r="B983" t="s">
        <v>18842</v>
      </c>
      <c r="C983" t="s">
        <v>18843</v>
      </c>
      <c r="D983" t="s">
        <v>18844</v>
      </c>
      <c r="E983" t="s">
        <v>18845</v>
      </c>
      <c r="F983" t="s">
        <v>18846</v>
      </c>
      <c r="G983" t="s">
        <v>18847</v>
      </c>
      <c r="H983" t="s">
        <v>18848</v>
      </c>
      <c r="I983" t="s">
        <v>18849</v>
      </c>
      <c r="J983" t="s">
        <v>18850</v>
      </c>
      <c r="K983" t="s">
        <v>18851</v>
      </c>
      <c r="L983" t="s">
        <v>18852</v>
      </c>
      <c r="M983" t="s">
        <v>18853</v>
      </c>
      <c r="N983">
        <f>-689.327053728525 -5.10306107954011 -524.005221153148</f>
        <v>-1218.4353359612132</v>
      </c>
      <c r="O983">
        <f>-709.093780154783 -156.338722321743 -491.27124408517</f>
        <v>-1356.7037465616959</v>
      </c>
      <c r="P983">
        <f>-626.604207205449 -197.234627022751 -224.622469294496</f>
        <v>-1048.4613035226962</v>
      </c>
      <c r="Q983">
        <f>-497.473370188449 -78.8155429676679 -377.104255058609</f>
        <v>-953.39316821472585</v>
      </c>
      <c r="R983" t="s">
        <v>18854</v>
      </c>
      <c r="S983" t="s">
        <v>18855</v>
      </c>
      <c r="T983" t="s">
        <v>18856</v>
      </c>
      <c r="U983" t="s">
        <v>18857</v>
      </c>
      <c r="V983">
        <f>-607.651646662798 -55.8730768070684 -92.3682969677709</f>
        <v>-755.89302043763735</v>
      </c>
      <c r="W983" t="s">
        <v>18858</v>
      </c>
      <c r="X983" t="s">
        <v>18859</v>
      </c>
      <c r="Y983" t="s">
        <v>18860</v>
      </c>
    </row>
    <row r="984" spans="1:25" x14ac:dyDescent="0.3">
      <c r="A984">
        <v>49150</v>
      </c>
      <c r="B984" t="s">
        <v>18861</v>
      </c>
      <c r="C984" t="s">
        <v>18862</v>
      </c>
      <c r="D984" t="s">
        <v>18863</v>
      </c>
      <c r="E984" t="s">
        <v>18864</v>
      </c>
      <c r="F984" t="s">
        <v>18865</v>
      </c>
      <c r="G984" t="s">
        <v>18866</v>
      </c>
      <c r="H984" t="s">
        <v>18867</v>
      </c>
      <c r="I984" t="s">
        <v>18868</v>
      </c>
      <c r="J984" t="s">
        <v>18869</v>
      </c>
      <c r="K984" t="s">
        <v>18870</v>
      </c>
      <c r="L984" t="s">
        <v>18871</v>
      </c>
      <c r="M984" t="s">
        <v>18872</v>
      </c>
      <c r="N984">
        <f>-689.71169493866 -6.06939623720973 -523.860793225303</f>
        <v>-1219.6418844011728</v>
      </c>
      <c r="O984">
        <f>-709.147919670189 -157.27076280034 -490.789152893819</f>
        <v>-1357.2078353643481</v>
      </c>
      <c r="P984">
        <f>-615.53749461358 -196.639991225702 -227.60524973041</f>
        <v>-1039.782735569692</v>
      </c>
      <c r="Q984">
        <f>-496.857066258832 -74.7966051622134 -385.774994149866</f>
        <v>-957.42866557091133</v>
      </c>
      <c r="R984" t="s">
        <v>18873</v>
      </c>
      <c r="S984" t="s">
        <v>18874</v>
      </c>
      <c r="T984" t="s">
        <v>18875</v>
      </c>
      <c r="U984" t="s">
        <v>18876</v>
      </c>
      <c r="V984">
        <f>-607.742645724699 -55.9241186201643 -92.3523861629228</f>
        <v>-756.01915050778609</v>
      </c>
      <c r="W984" t="s">
        <v>18877</v>
      </c>
      <c r="X984" t="s">
        <v>18878</v>
      </c>
      <c r="Y984" t="s">
        <v>18879</v>
      </c>
    </row>
    <row r="985" spans="1:25" x14ac:dyDescent="0.3">
      <c r="A985">
        <v>49200</v>
      </c>
      <c r="B985" t="s">
        <v>18880</v>
      </c>
      <c r="C985" t="s">
        <v>18881</v>
      </c>
      <c r="D985" t="s">
        <v>18882</v>
      </c>
      <c r="E985" t="s">
        <v>18883</v>
      </c>
      <c r="F985" t="s">
        <v>18884</v>
      </c>
      <c r="G985" t="s">
        <v>18885</v>
      </c>
      <c r="H985" t="s">
        <v>18886</v>
      </c>
      <c r="I985" t="s">
        <v>18887</v>
      </c>
      <c r="J985" t="s">
        <v>18888</v>
      </c>
      <c r="K985" t="s">
        <v>18889</v>
      </c>
      <c r="L985" t="s">
        <v>18890</v>
      </c>
      <c r="M985" t="s">
        <v>18891</v>
      </c>
      <c r="N985">
        <f>-690.407219581615 -7.83202317184168 -523.637190558147</f>
        <v>-1221.8764333116037</v>
      </c>
      <c r="O985">
        <f>-708.667441022965 -159.087754334314 -490.074682762372</f>
        <v>-1357.8298781196511</v>
      </c>
      <c r="P985">
        <f>-593.112456034171 -193.002770979537 -234.975955826648</f>
        <v>-1021.0911828403561</v>
      </c>
      <c r="Q985">
        <f>-495.252453465868 -66.0402108599058 -403.060385290584</f>
        <v>-964.35304961635779</v>
      </c>
      <c r="R985" t="s">
        <v>18892</v>
      </c>
      <c r="S985" t="s">
        <v>18893</v>
      </c>
      <c r="T985" t="s">
        <v>18894</v>
      </c>
      <c r="U985" t="s">
        <v>18895</v>
      </c>
      <c r="V985">
        <f>-607.827495694109 -56.1220227926929 -92.332921716796</f>
        <v>-756.28244020359784</v>
      </c>
      <c r="W985" t="s">
        <v>18896</v>
      </c>
      <c r="X985" t="s">
        <v>18897</v>
      </c>
      <c r="Y985" t="s">
        <v>18898</v>
      </c>
    </row>
    <row r="986" spans="1:25" x14ac:dyDescent="0.3">
      <c r="A986">
        <v>49250</v>
      </c>
      <c r="B986" t="s">
        <v>18899</v>
      </c>
      <c r="C986" t="s">
        <v>18900</v>
      </c>
      <c r="D986" t="s">
        <v>18901</v>
      </c>
      <c r="E986" t="s">
        <v>18902</v>
      </c>
      <c r="F986" t="s">
        <v>18903</v>
      </c>
      <c r="G986" t="s">
        <v>18904</v>
      </c>
      <c r="H986" t="s">
        <v>18905</v>
      </c>
      <c r="I986" t="s">
        <v>18906</v>
      </c>
      <c r="J986" t="s">
        <v>18907</v>
      </c>
      <c r="K986" t="s">
        <v>18908</v>
      </c>
      <c r="L986" t="s">
        <v>18909</v>
      </c>
      <c r="M986" t="s">
        <v>18910</v>
      </c>
      <c r="N986">
        <f>-690.64491840375 -8.55204483908028 -523.585527231075</f>
        <v>-1222.7824904739055</v>
      </c>
      <c r="O986">
        <f>-708.064931939645 -159.872520661379 -489.911877843646</f>
        <v>-1357.8493304446699</v>
      </c>
      <c r="P986">
        <f>-582.424830145959 -190.109830501114 -239.155231222217</f>
        <v>-1011.68989186929</v>
      </c>
      <c r="Q986">
        <f>-494.962650193233 -61.1238751414221 -411.380577777354</f>
        <v>-967.46710311200911</v>
      </c>
      <c r="R986" t="s">
        <v>18911</v>
      </c>
      <c r="S986" t="s">
        <v>18912</v>
      </c>
      <c r="T986" t="s">
        <v>18913</v>
      </c>
      <c r="U986" t="s">
        <v>18914</v>
      </c>
      <c r="V986">
        <f>-607.916910921776 -56.3381271891676 -92.326293369114</f>
        <v>-756.58133148005754</v>
      </c>
      <c r="W986" t="s">
        <v>18915</v>
      </c>
      <c r="X986" t="s">
        <v>18916</v>
      </c>
      <c r="Y986" t="s">
        <v>18917</v>
      </c>
    </row>
    <row r="987" spans="1:25" x14ac:dyDescent="0.3">
      <c r="A987">
        <v>49300</v>
      </c>
      <c r="B987" t="s">
        <v>18918</v>
      </c>
      <c r="C987" t="s">
        <v>18919</v>
      </c>
      <c r="D987" t="s">
        <v>18920</v>
      </c>
      <c r="E987" t="s">
        <v>18921</v>
      </c>
      <c r="F987" t="s">
        <v>18922</v>
      </c>
      <c r="G987" t="s">
        <v>18923</v>
      </c>
      <c r="H987" t="s">
        <v>18924</v>
      </c>
      <c r="I987" t="s">
        <v>18925</v>
      </c>
      <c r="J987" t="s">
        <v>18926</v>
      </c>
      <c r="K987" t="s">
        <v>18927</v>
      </c>
      <c r="L987" t="s">
        <v>18928</v>
      </c>
      <c r="M987" t="s">
        <v>18929</v>
      </c>
      <c r="N987">
        <f>-690.878274257451 -10.0049601444464 -523.541904332668</f>
        <v>-1224.4251387345653</v>
      </c>
      <c r="O987">
        <f>-705.9914718919 -161.617509940777 -490.025180370114</f>
        <v>-1357.634162202791</v>
      </c>
      <c r="P987">
        <f>-562.3692392527 -184.106788023208 -248.270325427234</f>
        <v>-994.74635270314207</v>
      </c>
      <c r="Q987">
        <f>-495.334286500866 -51.4583656047439 -426.761831588791</f>
        <v>-973.55448369440091</v>
      </c>
      <c r="R987" t="s">
        <v>18930</v>
      </c>
      <c r="S987" t="s">
        <v>18931</v>
      </c>
      <c r="T987" t="s">
        <v>18932</v>
      </c>
      <c r="U987" t="s">
        <v>18933</v>
      </c>
      <c r="V987">
        <f>-607.957743974911 -56.846396915568 -92.3370780796893</f>
        <v>-757.14121897016821</v>
      </c>
      <c r="W987" t="s">
        <v>18934</v>
      </c>
      <c r="X987" t="s">
        <v>18935</v>
      </c>
      <c r="Y987" t="s">
        <v>18936</v>
      </c>
    </row>
    <row r="988" spans="1:25" x14ac:dyDescent="0.3">
      <c r="A988">
        <v>49350</v>
      </c>
      <c r="B988" t="s">
        <v>18937</v>
      </c>
      <c r="C988" t="s">
        <v>18938</v>
      </c>
      <c r="D988" t="s">
        <v>18939</v>
      </c>
      <c r="E988" t="s">
        <v>18940</v>
      </c>
      <c r="F988" t="s">
        <v>18941</v>
      </c>
      <c r="G988" t="s">
        <v>18942</v>
      </c>
      <c r="H988" t="s">
        <v>18943</v>
      </c>
      <c r="I988" t="s">
        <v>18944</v>
      </c>
      <c r="J988" t="s">
        <v>18945</v>
      </c>
      <c r="K988" t="s">
        <v>18946</v>
      </c>
      <c r="L988" t="s">
        <v>18947</v>
      </c>
      <c r="M988" t="s">
        <v>18948</v>
      </c>
      <c r="N988">
        <f>-690.927997002331 -10.6135852359057 -523.536794045029</f>
        <v>-1225.0783762832657</v>
      </c>
      <c r="O988">
        <f>-704.695366954321 -162.38056509535 -490.197848113806</f>
        <v>-1357.2737801634771</v>
      </c>
      <c r="P988">
        <f>-553.105383556108 -181.188287769628 -253.036794210867</f>
        <v>-987.33046553660301</v>
      </c>
      <c r="Q988">
        <f>-495.607897044468 -46.2858350730617 -433.158655404804</f>
        <v>-975.05238752233367</v>
      </c>
      <c r="R988" t="s">
        <v>18949</v>
      </c>
      <c r="S988" t="s">
        <v>18950</v>
      </c>
      <c r="T988" t="s">
        <v>18951</v>
      </c>
      <c r="U988" t="s">
        <v>18952</v>
      </c>
      <c r="V988">
        <f>-607.838342838809 -57.1821713277682 -92.3558400434821</f>
        <v>-757.37635421005928</v>
      </c>
      <c r="W988" t="s">
        <v>18953</v>
      </c>
      <c r="X988" t="s">
        <v>18954</v>
      </c>
      <c r="Y988" t="s">
        <v>18955</v>
      </c>
    </row>
    <row r="989" spans="1:25" x14ac:dyDescent="0.3">
      <c r="A989">
        <v>49400</v>
      </c>
      <c r="B989" t="s">
        <v>18956</v>
      </c>
      <c r="C989" t="s">
        <v>18957</v>
      </c>
      <c r="D989" t="s">
        <v>18958</v>
      </c>
      <c r="E989" t="s">
        <v>18959</v>
      </c>
      <c r="F989" t="s">
        <v>18960</v>
      </c>
      <c r="G989" t="s">
        <v>18961</v>
      </c>
      <c r="H989" t="s">
        <v>18962</v>
      </c>
      <c r="I989" t="s">
        <v>18963</v>
      </c>
      <c r="J989" t="s">
        <v>18964</v>
      </c>
      <c r="K989" t="s">
        <v>18965</v>
      </c>
      <c r="L989" t="s">
        <v>18966</v>
      </c>
      <c r="M989" t="s">
        <v>18967</v>
      </c>
      <c r="N989">
        <f>-691.211287904607 -11.2808830980407 -523.549702917461</f>
        <v>-1226.0418739201086</v>
      </c>
      <c r="O989">
        <f>-702.040148201158 -163.445643848863 -490.809555083473</f>
        <v>-1356.295347133494</v>
      </c>
      <c r="P989">
        <f>-536.608346712229 -173.596546776108 -262.538190990556</f>
        <v>-972.74308447889302</v>
      </c>
      <c r="Q989">
        <f>-496.270403738134 -33.9359125750948 -443.690804023845</f>
        <v>-973.89712033707383</v>
      </c>
      <c r="R989" t="s">
        <v>18968</v>
      </c>
      <c r="S989" t="s">
        <v>18969</v>
      </c>
      <c r="T989" t="s">
        <v>18970</v>
      </c>
      <c r="U989" t="s">
        <v>18971</v>
      </c>
      <c r="V989">
        <f>-607.564072858911 -57.7907468982737 -92.3944911710083</f>
        <v>-757.74931092819304</v>
      </c>
      <c r="W989" t="s">
        <v>18972</v>
      </c>
      <c r="X989" t="s">
        <v>18973</v>
      </c>
      <c r="Y989" t="s">
        <v>18974</v>
      </c>
    </row>
    <row r="990" spans="1:25" x14ac:dyDescent="0.3">
      <c r="A990">
        <v>49450</v>
      </c>
      <c r="B990" t="s">
        <v>18975</v>
      </c>
      <c r="C990" t="s">
        <v>18976</v>
      </c>
      <c r="D990" t="s">
        <v>18977</v>
      </c>
      <c r="E990" t="s">
        <v>18978</v>
      </c>
      <c r="F990" t="s">
        <v>18979</v>
      </c>
      <c r="G990" t="s">
        <v>18980</v>
      </c>
      <c r="H990" t="s">
        <v>18981</v>
      </c>
      <c r="I990" t="s">
        <v>18982</v>
      </c>
      <c r="J990" t="s">
        <v>18983</v>
      </c>
      <c r="K990" t="s">
        <v>18984</v>
      </c>
      <c r="L990" t="s">
        <v>18985</v>
      </c>
      <c r="M990" t="s">
        <v>18986</v>
      </c>
      <c r="N990">
        <f>-691.607571154203 -11.422642619498 -523.536427114565</f>
        <v>-1226.566640888266</v>
      </c>
      <c r="O990">
        <f>-700.768979372523 -163.752333344208 -491.195068751404</f>
        <v>-1355.7163814681351</v>
      </c>
      <c r="P990">
        <f>-529.646131340829 -169.190747693104 -266.994310257542</f>
        <v>-965.83118929147497</v>
      </c>
      <c r="Q990">
        <f>-496.830444628734 -27.4931306560081 -448.083842725658</f>
        <v>-972.40741801040008</v>
      </c>
      <c r="R990" t="s">
        <v>18987</v>
      </c>
      <c r="S990" t="s">
        <v>18988</v>
      </c>
      <c r="T990" t="s">
        <v>18989</v>
      </c>
      <c r="U990" t="s">
        <v>18990</v>
      </c>
      <c r="V990">
        <f>-607.50296007971 -58.1517702011038 -92.4144487205965</f>
        <v>-758.06917900141025</v>
      </c>
      <c r="W990" t="s">
        <v>18991</v>
      </c>
      <c r="X990" t="s">
        <v>18992</v>
      </c>
      <c r="Y990" t="s">
        <v>18993</v>
      </c>
    </row>
    <row r="991" spans="1:25" x14ac:dyDescent="0.3">
      <c r="A991">
        <v>49500</v>
      </c>
      <c r="B991" t="s">
        <v>18994</v>
      </c>
      <c r="C991" t="s">
        <v>18995</v>
      </c>
      <c r="D991" t="s">
        <v>18996</v>
      </c>
      <c r="E991" t="s">
        <v>18997</v>
      </c>
      <c r="F991" t="s">
        <v>18998</v>
      </c>
      <c r="G991" t="s">
        <v>18999</v>
      </c>
      <c r="H991" t="s">
        <v>19000</v>
      </c>
      <c r="I991" t="s">
        <v>19001</v>
      </c>
      <c r="J991" t="s">
        <v>19002</v>
      </c>
      <c r="K991" t="s">
        <v>19003</v>
      </c>
      <c r="L991" t="s">
        <v>19004</v>
      </c>
      <c r="M991" t="s">
        <v>19005</v>
      </c>
      <c r="N991">
        <f>-692.407585738128 -11.6916585620013 -523.456209596972</f>
        <v>-1227.5554538971014</v>
      </c>
      <c r="O991">
        <f>-698.133264721522 -164.378280432825 -491.941683516197</f>
        <v>-1354.4532286705439</v>
      </c>
      <c r="P991">
        <f>-517.786072519311 -160.503129425962 -275.058103344115</f>
        <v>-953.34730528938803</v>
      </c>
      <c r="Q991">
        <f>-497.736612327676 -14.9543089560573 -454.952762961528</f>
        <v>-967.64368424526128</v>
      </c>
      <c r="R991" t="s">
        <v>19006</v>
      </c>
      <c r="S991" t="s">
        <v>19007</v>
      </c>
      <c r="T991" t="s">
        <v>19008</v>
      </c>
      <c r="U991" t="s">
        <v>19009</v>
      </c>
      <c r="V991">
        <f>-607.203999727772 -58.7349383679964 -92.4321015084056</f>
        <v>-758.37103960417403</v>
      </c>
      <c r="W991" t="s">
        <v>19010</v>
      </c>
      <c r="X991" t="s">
        <v>19011</v>
      </c>
      <c r="Y991" t="s">
        <v>19012</v>
      </c>
    </row>
    <row r="992" spans="1:25" x14ac:dyDescent="0.3">
      <c r="A992">
        <v>49550</v>
      </c>
      <c r="B992" t="s">
        <v>19013</v>
      </c>
      <c r="C992" t="s">
        <v>19014</v>
      </c>
      <c r="D992" t="s">
        <v>19015</v>
      </c>
      <c r="E992" t="s">
        <v>19016</v>
      </c>
      <c r="F992" t="s">
        <v>19017</v>
      </c>
      <c r="G992" t="s">
        <v>19018</v>
      </c>
      <c r="H992" t="s">
        <v>19019</v>
      </c>
      <c r="I992" t="s">
        <v>19020</v>
      </c>
      <c r="J992" t="s">
        <v>19021</v>
      </c>
      <c r="K992" t="s">
        <v>19022</v>
      </c>
      <c r="L992" t="s">
        <v>19023</v>
      </c>
      <c r="M992" t="s">
        <v>19024</v>
      </c>
      <c r="N992">
        <f>-692.727251228424 -11.7092347330019 -523.418341670448</f>
        <v>-1227.8548276318738</v>
      </c>
      <c r="O992">
        <f>-696.791964550929 -164.531904724297 -492.332773500363</f>
        <v>-1353.656642775589</v>
      </c>
      <c r="P992">
        <f>-512.869001210531 -156.178136298275 -278.601280815755</f>
        <v>-947.64841832456102</v>
      </c>
      <c r="Q992">
        <f>-497.642401587999 -9.04105631306697 -457.674889655497</f>
        <v>-964.35834755656299</v>
      </c>
      <c r="R992" t="s">
        <v>19025</v>
      </c>
      <c r="S992" t="s">
        <v>19026</v>
      </c>
      <c r="T992" t="s">
        <v>19027</v>
      </c>
      <c r="U992" t="s">
        <v>19028</v>
      </c>
      <c r="V992">
        <f>-606.884753583312 -58.8940896800787 -92.4361337244674</f>
        <v>-758.21497698785799</v>
      </c>
      <c r="W992" t="s">
        <v>19029</v>
      </c>
      <c r="X992" t="s">
        <v>19030</v>
      </c>
      <c r="Y992" t="s">
        <v>19031</v>
      </c>
    </row>
    <row r="993" spans="1:25" x14ac:dyDescent="0.3">
      <c r="A993">
        <v>49600</v>
      </c>
      <c r="B993" t="s">
        <v>19032</v>
      </c>
      <c r="C993" t="s">
        <v>19033</v>
      </c>
      <c r="D993" t="s">
        <v>19034</v>
      </c>
      <c r="E993" t="s">
        <v>19035</v>
      </c>
      <c r="F993" t="s">
        <v>19036</v>
      </c>
      <c r="G993" t="s">
        <v>19037</v>
      </c>
      <c r="H993" t="s">
        <v>19038</v>
      </c>
      <c r="I993" t="s">
        <v>19039</v>
      </c>
      <c r="J993" t="s">
        <v>19040</v>
      </c>
      <c r="K993" t="s">
        <v>19041</v>
      </c>
      <c r="L993" t="s">
        <v>19042</v>
      </c>
      <c r="M993" t="s">
        <v>19043</v>
      </c>
      <c r="N993">
        <f>-693.200442410053 -11.9081947155919 -523.25607526996</f>
        <v>-1228.3647123956048</v>
      </c>
      <c r="O993">
        <f>-693.901324803432 -164.967514053759 -493.063496884798</f>
        <v>-1351.9323357419889</v>
      </c>
      <c r="P993">
        <f>-504.317019729165 -148.731784290969 -284.802289791651</f>
        <v>-937.85109381178495</v>
      </c>
      <c r="Q993" t="s">
        <v>19044</v>
      </c>
      <c r="R993" t="s">
        <v>19045</v>
      </c>
      <c r="S993" t="s">
        <v>19046</v>
      </c>
      <c r="T993" t="s">
        <v>19047</v>
      </c>
      <c r="U993" t="s">
        <v>19048</v>
      </c>
      <c r="V993">
        <f>-605.970194580922 -59.0816424490126 -92.3730980476837</f>
        <v>-757.42493507761833</v>
      </c>
      <c r="W993" t="s">
        <v>19049</v>
      </c>
      <c r="X993" t="s">
        <v>19050</v>
      </c>
      <c r="Y993" t="s">
        <v>19051</v>
      </c>
    </row>
    <row r="994" spans="1:25" x14ac:dyDescent="0.3">
      <c r="A994">
        <v>49650</v>
      </c>
      <c r="B994" t="s">
        <v>19052</v>
      </c>
      <c r="C994" t="s">
        <v>19053</v>
      </c>
      <c r="D994" t="s">
        <v>19054</v>
      </c>
      <c r="E994" t="s">
        <v>19055</v>
      </c>
      <c r="F994" t="s">
        <v>19056</v>
      </c>
      <c r="G994" t="s">
        <v>19057</v>
      </c>
      <c r="H994" t="s">
        <v>19058</v>
      </c>
      <c r="I994" t="s">
        <v>19059</v>
      </c>
      <c r="J994" t="s">
        <v>19060</v>
      </c>
      <c r="K994" t="s">
        <v>19061</v>
      </c>
      <c r="L994" t="s">
        <v>19062</v>
      </c>
      <c r="M994" t="s">
        <v>19063</v>
      </c>
      <c r="N994">
        <f>-693.440555816469 -11.8550349460588 -523.149283034135</f>
        <v>-1228.4448737966627</v>
      </c>
      <c r="O994">
        <f>-692.404553095887 -165.010155619746 -493.451854639606</f>
        <v>-1350.8665633552389</v>
      </c>
      <c r="P994">
        <f>-500.427906245092 -145.355878161747 -287.691600681625</f>
        <v>-933.47538508846401</v>
      </c>
      <c r="Q994" t="s">
        <v>19064</v>
      </c>
      <c r="R994" t="s">
        <v>19065</v>
      </c>
      <c r="S994" t="s">
        <v>19066</v>
      </c>
      <c r="T994" t="s">
        <v>19067</v>
      </c>
      <c r="U994" t="s">
        <v>19068</v>
      </c>
      <c r="V994">
        <f>-605.479542487809 -59.0705550730233 -92.3111566520656</f>
        <v>-756.86125421289796</v>
      </c>
      <c r="W994" t="s">
        <v>19069</v>
      </c>
      <c r="X994" t="s">
        <v>19070</v>
      </c>
      <c r="Y994" t="s">
        <v>19071</v>
      </c>
    </row>
    <row r="995" spans="1:25" x14ac:dyDescent="0.3">
      <c r="A995">
        <v>49700</v>
      </c>
      <c r="B995" t="s">
        <v>19072</v>
      </c>
      <c r="C995" t="s">
        <v>19073</v>
      </c>
      <c r="D995" t="s">
        <v>19074</v>
      </c>
      <c r="E995" t="s">
        <v>19075</v>
      </c>
      <c r="F995" t="s">
        <v>19076</v>
      </c>
      <c r="G995" t="s">
        <v>19077</v>
      </c>
      <c r="H995" t="s">
        <v>19078</v>
      </c>
      <c r="I995" t="s">
        <v>19079</v>
      </c>
      <c r="J995" t="s">
        <v>19080</v>
      </c>
      <c r="K995" t="s">
        <v>19081</v>
      </c>
      <c r="L995" t="s">
        <v>19082</v>
      </c>
      <c r="M995" t="s">
        <v>19083</v>
      </c>
      <c r="N995">
        <f>-694.078261380715 -11.6086421549142 -522.876678941651</f>
        <v>-1228.5635824772803</v>
      </c>
      <c r="O995">
        <f>-689.800834726381 -164.872297849553 -494.037613044018</f>
        <v>-1348.7107456199519</v>
      </c>
      <c r="P995">
        <f>-493.814098410194 -138.628793861121 -292.843438994417</f>
        <v>-925.28633126573209</v>
      </c>
      <c r="Q995" t="s">
        <v>19084</v>
      </c>
      <c r="R995" t="s">
        <v>19085</v>
      </c>
      <c r="S995" t="s">
        <v>19086</v>
      </c>
      <c r="T995" t="s">
        <v>19087</v>
      </c>
      <c r="U995" t="s">
        <v>19088</v>
      </c>
      <c r="V995">
        <f>-604.443570876057 -58.8585970638983 -92.1286334556686</f>
        <v>-755.43080139562392</v>
      </c>
      <c r="W995" t="s">
        <v>19089</v>
      </c>
      <c r="X995" t="s">
        <v>19090</v>
      </c>
      <c r="Y995" t="s">
        <v>19091</v>
      </c>
    </row>
    <row r="996" spans="1:25" x14ac:dyDescent="0.3">
      <c r="A996">
        <v>49750</v>
      </c>
      <c r="B996" t="s">
        <v>19092</v>
      </c>
      <c r="C996" t="s">
        <v>19093</v>
      </c>
      <c r="D996" t="s">
        <v>19094</v>
      </c>
      <c r="E996" t="s">
        <v>19095</v>
      </c>
      <c r="F996" t="s">
        <v>19096</v>
      </c>
      <c r="G996" t="s">
        <v>19097</v>
      </c>
      <c r="H996" t="s">
        <v>19098</v>
      </c>
      <c r="I996" t="s">
        <v>19099</v>
      </c>
      <c r="J996" t="s">
        <v>19100</v>
      </c>
      <c r="K996" t="s">
        <v>19101</v>
      </c>
      <c r="L996" t="s">
        <v>19102</v>
      </c>
      <c r="M996" t="s">
        <v>19103</v>
      </c>
      <c r="N996">
        <f>-694.201921904587 -11.4710573190041 -522.733986541453</f>
        <v>-1228.4069657650441</v>
      </c>
      <c r="O996">
        <f>-688.423606293554 -164.756358343006 -494.267073830021</f>
        <v>-1347.447038466581</v>
      </c>
      <c r="P996">
        <f>-490.604290735089 -135.594773888928 -295.280486055707</f>
        <v>-921.47955067972396</v>
      </c>
      <c r="Q996" t="s">
        <v>19104</v>
      </c>
      <c r="R996" t="s">
        <v>19105</v>
      </c>
      <c r="S996" t="s">
        <v>19106</v>
      </c>
      <c r="T996" t="s">
        <v>19107</v>
      </c>
      <c r="U996" t="s">
        <v>19108</v>
      </c>
      <c r="V996">
        <f>-603.882160882018 -58.674510866022 -92.0173066472282</f>
        <v>-754.57397839526823</v>
      </c>
      <c r="W996" t="s">
        <v>19109</v>
      </c>
      <c r="X996" t="s">
        <v>19110</v>
      </c>
      <c r="Y996" t="s">
        <v>19111</v>
      </c>
    </row>
    <row r="997" spans="1:25" x14ac:dyDescent="0.3">
      <c r="A997">
        <v>49800</v>
      </c>
      <c r="B997" t="s">
        <v>19112</v>
      </c>
      <c r="C997" t="s">
        <v>19113</v>
      </c>
      <c r="D997" t="s">
        <v>19114</v>
      </c>
      <c r="E997" t="s">
        <v>19115</v>
      </c>
      <c r="F997" t="s">
        <v>19116</v>
      </c>
      <c r="G997" t="s">
        <v>19117</v>
      </c>
      <c r="H997" t="s">
        <v>19118</v>
      </c>
      <c r="I997" t="s">
        <v>19119</v>
      </c>
      <c r="J997" t="s">
        <v>19120</v>
      </c>
      <c r="K997" t="s">
        <v>19121</v>
      </c>
      <c r="L997" t="s">
        <v>19122</v>
      </c>
      <c r="M997" t="s">
        <v>19123</v>
      </c>
      <c r="N997">
        <f>-694.129777067752 -10.9279250588638 -522.487321387648</f>
        <v>-1227.5450235142639</v>
      </c>
      <c r="O997">
        <f>-685.520734256659 -164.245170527875 -494.934222880894</f>
        <v>-1344.700127665428</v>
      </c>
      <c r="P997">
        <f>-484.73702810559 -130.083035026854 -299.748557810073</f>
        <v>-914.5686209425171</v>
      </c>
      <c r="Q997" t="s">
        <v>19124</v>
      </c>
      <c r="R997" t="s">
        <v>19125</v>
      </c>
      <c r="S997" t="s">
        <v>19126</v>
      </c>
      <c r="T997" t="s">
        <v>19127</v>
      </c>
      <c r="U997" t="s">
        <v>19128</v>
      </c>
      <c r="V997">
        <f>-602.604217470386 -58.174156671733 -91.8114864139616</f>
        <v>-752.58986055608057</v>
      </c>
      <c r="W997" t="s">
        <v>19129</v>
      </c>
      <c r="X997" t="s">
        <v>19130</v>
      </c>
      <c r="Y997" t="s">
        <v>19131</v>
      </c>
    </row>
    <row r="998" spans="1:25" x14ac:dyDescent="0.3">
      <c r="A998">
        <v>49850</v>
      </c>
      <c r="B998" t="s">
        <v>19132</v>
      </c>
      <c r="C998" t="s">
        <v>19133</v>
      </c>
      <c r="D998" t="s">
        <v>19134</v>
      </c>
      <c r="E998" t="s">
        <v>19135</v>
      </c>
      <c r="F998" t="s">
        <v>19136</v>
      </c>
      <c r="G998" t="s">
        <v>19137</v>
      </c>
      <c r="H998" t="s">
        <v>19138</v>
      </c>
      <c r="I998" t="s">
        <v>19139</v>
      </c>
      <c r="J998" t="s">
        <v>19140</v>
      </c>
      <c r="K998" t="s">
        <v>19141</v>
      </c>
      <c r="L998" t="s">
        <v>19142</v>
      </c>
      <c r="M998" t="s">
        <v>19143</v>
      </c>
      <c r="N998">
        <f>-694.089065297975 -10.6417508076138 -522.397129907066</f>
        <v>-1227.1279460126548</v>
      </c>
      <c r="O998">
        <f>-684.152914830117 -163.950900734432 -495.293554922178</f>
        <v>-1343.3973704867269</v>
      </c>
      <c r="P998">
        <f>-482.346566260103 -127.741094963604 -301.5369935007</f>
        <v>-911.62465472440704</v>
      </c>
      <c r="Q998" t="s">
        <v>19144</v>
      </c>
      <c r="R998" t="s">
        <v>19145</v>
      </c>
      <c r="S998" t="s">
        <v>19146</v>
      </c>
      <c r="T998" t="s">
        <v>19147</v>
      </c>
      <c r="U998" t="s">
        <v>19148</v>
      </c>
      <c r="V998">
        <f>-601.938785269161 -57.968590596513 -91.7673031577785</f>
        <v>-751.67467902345254</v>
      </c>
      <c r="W998" t="s">
        <v>19149</v>
      </c>
      <c r="X998" t="s">
        <v>19150</v>
      </c>
      <c r="Y998" t="s">
        <v>19151</v>
      </c>
    </row>
    <row r="999" spans="1:25" x14ac:dyDescent="0.3">
      <c r="A999">
        <v>49900</v>
      </c>
      <c r="B999" t="s">
        <v>19152</v>
      </c>
      <c r="C999" t="s">
        <v>19153</v>
      </c>
      <c r="D999" t="s">
        <v>19154</v>
      </c>
      <c r="E999" t="s">
        <v>19155</v>
      </c>
      <c r="F999" t="s">
        <v>19156</v>
      </c>
      <c r="G999" t="s">
        <v>19157</v>
      </c>
      <c r="H999" t="s">
        <v>19158</v>
      </c>
      <c r="I999" t="s">
        <v>19159</v>
      </c>
      <c r="J999" t="s">
        <v>19160</v>
      </c>
      <c r="K999" t="s">
        <v>19161</v>
      </c>
      <c r="L999" t="s">
        <v>19162</v>
      </c>
      <c r="M999" t="s">
        <v>19163</v>
      </c>
      <c r="N999">
        <f>-693.915243598047 -9.61193279154804 -522.343305710134</f>
        <v>-1225.8704820997291</v>
      </c>
      <c r="O999">
        <f>-681.267924561304 -162.89724316659 -496.230391181128</f>
        <v>-1340.3955589090219</v>
      </c>
      <c r="P999">
        <f>-478.499606490078 -121.904568496853 -304.4407932059</f>
        <v>-904.84496819283095</v>
      </c>
      <c r="Q999" t="s">
        <v>19164</v>
      </c>
      <c r="R999" t="s">
        <v>19165</v>
      </c>
      <c r="S999" t="s">
        <v>19166</v>
      </c>
      <c r="T999" t="s">
        <v>19167</v>
      </c>
      <c r="U999" t="s">
        <v>19168</v>
      </c>
      <c r="V999">
        <f>-600.635771512436 -57.4809851693938 -91.7412874791182</f>
        <v>-749.858044160948</v>
      </c>
      <c r="W999" t="s">
        <v>19169</v>
      </c>
      <c r="X999" t="s">
        <v>19170</v>
      </c>
      <c r="Y999" t="s">
        <v>19171</v>
      </c>
    </row>
    <row r="1000" spans="1:25" x14ac:dyDescent="0.3">
      <c r="A1000">
        <v>49950</v>
      </c>
      <c r="B1000" t="s">
        <v>19172</v>
      </c>
      <c r="C1000" t="s">
        <v>19173</v>
      </c>
      <c r="D1000" t="s">
        <v>19174</v>
      </c>
      <c r="E1000" t="s">
        <v>19175</v>
      </c>
      <c r="F1000" t="s">
        <v>19176</v>
      </c>
      <c r="G1000" t="s">
        <v>19177</v>
      </c>
      <c r="H1000" t="s">
        <v>19178</v>
      </c>
      <c r="I1000" t="s">
        <v>19179</v>
      </c>
      <c r="J1000" t="s">
        <v>19180</v>
      </c>
      <c r="K1000" t="s">
        <v>19181</v>
      </c>
      <c r="L1000" t="s">
        <v>19182</v>
      </c>
      <c r="M1000" t="s">
        <v>19183</v>
      </c>
      <c r="N1000">
        <f>-693.662236290679 -9.041448890433 -522.38330072584</f>
        <v>-1225.0869859069519</v>
      </c>
      <c r="O1000">
        <f>-679.769407671494 -162.310434684519 -496.7508591875</f>
        <v>-1338.830701543513</v>
      </c>
      <c r="P1000">
        <f>-477.030358961759 -119.282994269475 -305.376577245303</f>
        <v>-901.68993047653703</v>
      </c>
      <c r="Q1000" t="s">
        <v>19184</v>
      </c>
      <c r="R1000" t="s">
        <v>19185</v>
      </c>
      <c r="S1000" t="s">
        <v>19186</v>
      </c>
      <c r="T1000" t="s">
        <v>19187</v>
      </c>
      <c r="U1000" t="s">
        <v>19188</v>
      </c>
      <c r="V1000">
        <f>-600.004367535411 -57.2989270904909 -91.7427476001047</f>
        <v>-749.04604222600665</v>
      </c>
      <c r="W1000" t="s">
        <v>19189</v>
      </c>
      <c r="X1000" t="s">
        <v>19190</v>
      </c>
      <c r="Y1000" t="s">
        <v>19191</v>
      </c>
    </row>
    <row r="1001" spans="1:25" x14ac:dyDescent="0.3">
      <c r="A1001">
        <v>50000</v>
      </c>
      <c r="B1001" t="s">
        <v>19192</v>
      </c>
      <c r="C1001" t="s">
        <v>19193</v>
      </c>
      <c r="D1001" t="s">
        <v>19194</v>
      </c>
      <c r="E1001" t="s">
        <v>19195</v>
      </c>
      <c r="F1001" t="s">
        <v>19196</v>
      </c>
      <c r="G1001" t="s">
        <v>19197</v>
      </c>
      <c r="H1001" t="s">
        <v>19198</v>
      </c>
      <c r="I1001" t="s">
        <v>19199</v>
      </c>
      <c r="J1001" t="s">
        <v>19200</v>
      </c>
      <c r="K1001" t="s">
        <v>19201</v>
      </c>
      <c r="L1001" t="s">
        <v>19202</v>
      </c>
      <c r="M1001" t="s">
        <v>19203</v>
      </c>
      <c r="N1001">
        <f>-693.083923490635 -8.1918544134744 -522.480085672359</f>
        <v>-1223.7558635764685</v>
      </c>
      <c r="O1001">
        <f>-676.987705062649 -161.383379902029 -497.737198999621</f>
        <v>-1336.1082839642991</v>
      </c>
      <c r="P1001">
        <f>-474.917392109614 -114.936219976797 -306.455044131521</f>
        <v>-896.30865621793191</v>
      </c>
      <c r="Q1001" t="s">
        <v>19204</v>
      </c>
      <c r="R1001" t="s">
        <v>19205</v>
      </c>
      <c r="S1001" t="s">
        <v>19206</v>
      </c>
      <c r="T1001" t="s">
        <v>19207</v>
      </c>
      <c r="U1001" t="s">
        <v>19208</v>
      </c>
      <c r="V1001">
        <f>-598.895554660892 -56.764929314754 -91.7851203833047</f>
        <v>-747.44560435895073</v>
      </c>
      <c r="W1001" t="s">
        <v>19209</v>
      </c>
      <c r="X1001" t="s">
        <v>19210</v>
      </c>
      <c r="Y1001" t="s">
        <v>19211</v>
      </c>
    </row>
    <row r="1002" spans="1:25" x14ac:dyDescent="0.3">
      <c r="A1002">
        <v>50050</v>
      </c>
      <c r="B1002" t="s">
        <v>19212</v>
      </c>
      <c r="C1002" t="s">
        <v>19213</v>
      </c>
      <c r="D1002" t="s">
        <v>19214</v>
      </c>
      <c r="E1002" t="s">
        <v>19215</v>
      </c>
      <c r="F1002" t="s">
        <v>19216</v>
      </c>
      <c r="G1002" t="s">
        <v>19217</v>
      </c>
      <c r="H1002" t="s">
        <v>19218</v>
      </c>
      <c r="I1002" t="s">
        <v>19219</v>
      </c>
      <c r="J1002" t="s">
        <v>19220</v>
      </c>
      <c r="K1002" t="s">
        <v>19221</v>
      </c>
      <c r="L1002" t="s">
        <v>19222</v>
      </c>
      <c r="M1002" t="s">
        <v>19223</v>
      </c>
      <c r="N1002">
        <f>-692.966315931191 -7.81300383541929 -522.489167409401</f>
        <v>-1223.2684871760114</v>
      </c>
      <c r="O1002">
        <f>-675.947734501904 -160.96078417054 -498.085153379401</f>
        <v>-1334.9936720518451</v>
      </c>
      <c r="P1002">
        <f>-474.226732392381 -113.16464857462 -306.766787775887</f>
        <v>-894.15816874288794</v>
      </c>
      <c r="Q1002" t="s">
        <v>19224</v>
      </c>
      <c r="R1002" t="s">
        <v>19225</v>
      </c>
      <c r="S1002" t="s">
        <v>19226</v>
      </c>
      <c r="T1002" t="s">
        <v>19227</v>
      </c>
      <c r="U1002" t="s">
        <v>19228</v>
      </c>
      <c r="V1002">
        <f>-598.442202833212 -56.5034117502989 -91.8069792964153</f>
        <v>-746.75259387992628</v>
      </c>
      <c r="W1002" t="s">
        <v>19229</v>
      </c>
      <c r="X1002" t="s">
        <v>19230</v>
      </c>
      <c r="Y1002" t="s">
        <v>19231</v>
      </c>
    </row>
    <row r="1003" spans="1:25" x14ac:dyDescent="0.3">
      <c r="A1003">
        <v>50100</v>
      </c>
      <c r="B1003" t="s">
        <v>19232</v>
      </c>
      <c r="C1003" t="s">
        <v>19233</v>
      </c>
      <c r="D1003" t="s">
        <v>19234</v>
      </c>
      <c r="E1003" t="s">
        <v>19235</v>
      </c>
      <c r="F1003" t="s">
        <v>19236</v>
      </c>
      <c r="G1003" t="s">
        <v>19237</v>
      </c>
      <c r="H1003" t="s">
        <v>19238</v>
      </c>
      <c r="I1003" t="s">
        <v>19239</v>
      </c>
      <c r="J1003" t="s">
        <v>19240</v>
      </c>
      <c r="K1003" t="s">
        <v>19241</v>
      </c>
      <c r="L1003" t="s">
        <v>19242</v>
      </c>
      <c r="M1003" t="s">
        <v>19243</v>
      </c>
      <c r="N1003">
        <f>-692.916499197979 -6.75829642703366 -522.563206884814</f>
        <v>-1222.2380025098266</v>
      </c>
      <c r="O1003">
        <f>-674.573111117359 -159.863353979797 -498.808270046728</f>
        <v>-1333.2447351438841</v>
      </c>
      <c r="P1003">
        <f>-473.291896102744 -109.830137187082 -307.59867035732</f>
        <v>-890.72070364714591</v>
      </c>
      <c r="Q1003" t="s">
        <v>19244</v>
      </c>
      <c r="R1003" t="s">
        <v>19245</v>
      </c>
      <c r="S1003" t="s">
        <v>19246</v>
      </c>
      <c r="T1003" t="s">
        <v>19247</v>
      </c>
      <c r="U1003" t="s">
        <v>19248</v>
      </c>
      <c r="V1003">
        <f>-597.716906194653 -55.7316192805849 -91.8612440598374</f>
        <v>-745.30976953507536</v>
      </c>
      <c r="W1003" t="s">
        <v>19249</v>
      </c>
      <c r="X1003" t="s">
        <v>19250</v>
      </c>
      <c r="Y1003" t="s">
        <v>19251</v>
      </c>
    </row>
    <row r="1004" spans="1:25" x14ac:dyDescent="0.3">
      <c r="A1004">
        <v>50150</v>
      </c>
      <c r="B1004" t="s">
        <v>19252</v>
      </c>
      <c r="C1004" t="s">
        <v>19253</v>
      </c>
      <c r="D1004" t="s">
        <v>19254</v>
      </c>
      <c r="E1004" t="s">
        <v>19255</v>
      </c>
      <c r="F1004" t="s">
        <v>19256</v>
      </c>
      <c r="G1004" t="s">
        <v>19257</v>
      </c>
      <c r="H1004" t="s">
        <v>19258</v>
      </c>
      <c r="I1004" t="s">
        <v>19259</v>
      </c>
      <c r="J1004" t="s">
        <v>19260</v>
      </c>
      <c r="K1004" t="s">
        <v>19261</v>
      </c>
      <c r="L1004" t="s">
        <v>19262</v>
      </c>
      <c r="M1004" t="s">
        <v>19263</v>
      </c>
      <c r="N1004">
        <f>-693.031782183456 -6.14672035188187 -522.62017082928</f>
        <v>-1221.798673364618</v>
      </c>
      <c r="O1004">
        <f>-674.211629228636 -159.228771610095 -499.131826716934</f>
        <v>-1332.572227555665</v>
      </c>
      <c r="P1004">
        <f>-473.031615281286 -107.979084790122 -308.137890505028</f>
        <v>-889.14859057643594</v>
      </c>
      <c r="Q1004" t="s">
        <v>19264</v>
      </c>
      <c r="R1004" t="s">
        <v>19265</v>
      </c>
      <c r="S1004" t="s">
        <v>19266</v>
      </c>
      <c r="T1004" t="s">
        <v>19267</v>
      </c>
      <c r="U1004" t="s">
        <v>19268</v>
      </c>
      <c r="V1004">
        <f>-597.637509326617 -55.3337528615421 -91.9150895021235</f>
        <v>-744.88635169028248</v>
      </c>
      <c r="W1004" t="s">
        <v>19269</v>
      </c>
      <c r="X1004" t="s">
        <v>19270</v>
      </c>
      <c r="Y1004" t="s">
        <v>19271</v>
      </c>
    </row>
    <row r="1005" spans="1:25" x14ac:dyDescent="0.3">
      <c r="A1005">
        <v>50200</v>
      </c>
      <c r="B1005" t="s">
        <v>19272</v>
      </c>
      <c r="C1005" t="s">
        <v>19273</v>
      </c>
      <c r="D1005" t="s">
        <v>19274</v>
      </c>
      <c r="E1005" t="s">
        <v>19275</v>
      </c>
      <c r="F1005" t="s">
        <v>19276</v>
      </c>
      <c r="G1005" t="s">
        <v>19277</v>
      </c>
      <c r="H1005" t="s">
        <v>19278</v>
      </c>
      <c r="I1005" t="s">
        <v>19279</v>
      </c>
      <c r="J1005" t="s">
        <v>19280</v>
      </c>
      <c r="K1005" t="s">
        <v>19281</v>
      </c>
      <c r="L1005" t="s">
        <v>19282</v>
      </c>
      <c r="M1005" t="s">
        <v>19283</v>
      </c>
      <c r="N1005">
        <f>-693.431424746197 -4.79981408968115 -522.836532032963</f>
        <v>-1221.0677708688411</v>
      </c>
      <c r="O1005">
        <f>-674.095207972425 -157.885069993383 -499.77899237266</f>
        <v>-1331.759270338468</v>
      </c>
      <c r="P1005">
        <f>-472.778174526358 -104.271791529759 -309.580020493748</f>
        <v>-886.62998654986495</v>
      </c>
      <c r="Q1005" t="s">
        <v>19284</v>
      </c>
      <c r="R1005" t="s">
        <v>19285</v>
      </c>
      <c r="S1005" t="s">
        <v>19286</v>
      </c>
      <c r="T1005" t="s">
        <v>19287</v>
      </c>
      <c r="U1005" t="s">
        <v>19288</v>
      </c>
      <c r="V1005">
        <f>-598.234884021257 -54.7123606472794 -92.0707255248609</f>
        <v>-745.01797019339733</v>
      </c>
      <c r="W1005" t="s">
        <v>19289</v>
      </c>
      <c r="X1005" t="s">
        <v>19290</v>
      </c>
      <c r="Y1005" t="s">
        <v>19291</v>
      </c>
    </row>
    <row r="1006" spans="1:25" x14ac:dyDescent="0.3">
      <c r="A1006">
        <v>50250</v>
      </c>
      <c r="B1006" t="s">
        <v>19292</v>
      </c>
      <c r="C1006" t="s">
        <v>19293</v>
      </c>
      <c r="D1006" t="s">
        <v>19294</v>
      </c>
      <c r="E1006" t="s">
        <v>19295</v>
      </c>
      <c r="F1006" t="s">
        <v>19296</v>
      </c>
      <c r="G1006" t="s">
        <v>19297</v>
      </c>
      <c r="H1006" t="s">
        <v>19298</v>
      </c>
      <c r="I1006" t="s">
        <v>19299</v>
      </c>
      <c r="J1006" t="s">
        <v>19300</v>
      </c>
      <c r="K1006" t="s">
        <v>19301</v>
      </c>
      <c r="L1006" t="s">
        <v>19302</v>
      </c>
      <c r="M1006" t="s">
        <v>19303</v>
      </c>
      <c r="N1006">
        <f>-693.722142702296 -4.16881417930222 -522.970312305818</f>
        <v>-1220.8612691874162</v>
      </c>
      <c r="O1006">
        <f>-674.263549153609 -157.263173006412 -500.117936758408</f>
        <v>-1331.6446589184291</v>
      </c>
      <c r="P1006">
        <f>-472.907006928282 -102.341046874223 -310.334724299566</f>
        <v>-885.58277810207096</v>
      </c>
      <c r="Q1006" t="s">
        <v>19304</v>
      </c>
      <c r="R1006" t="s">
        <v>19305</v>
      </c>
      <c r="S1006" t="s">
        <v>19306</v>
      </c>
      <c r="T1006" t="s">
        <v>19307</v>
      </c>
      <c r="U1006" t="s">
        <v>19308</v>
      </c>
      <c r="V1006">
        <f>-598.849666675349 -54.5045742018569 -92.1577423720929</f>
        <v>-745.51198324929885</v>
      </c>
      <c r="W1006" t="s">
        <v>19309</v>
      </c>
      <c r="X1006" t="s">
        <v>19310</v>
      </c>
      <c r="Y1006" t="s">
        <v>19311</v>
      </c>
    </row>
    <row r="1007" spans="1:25" x14ac:dyDescent="0.3">
      <c r="A1007">
        <v>50300</v>
      </c>
      <c r="B1007" t="s">
        <v>19312</v>
      </c>
      <c r="C1007" t="s">
        <v>19313</v>
      </c>
      <c r="D1007" t="s">
        <v>19314</v>
      </c>
      <c r="E1007" t="s">
        <v>19315</v>
      </c>
      <c r="F1007" t="s">
        <v>19316</v>
      </c>
      <c r="G1007" t="s">
        <v>19317</v>
      </c>
      <c r="H1007" t="s">
        <v>19318</v>
      </c>
      <c r="I1007" t="s">
        <v>19319</v>
      </c>
      <c r="J1007" t="s">
        <v>19320</v>
      </c>
      <c r="K1007" t="s">
        <v>19321</v>
      </c>
      <c r="L1007" t="s">
        <v>19322</v>
      </c>
      <c r="M1007" t="s">
        <v>19323</v>
      </c>
      <c r="N1007">
        <f>-694.587257855832 -3.13772925155808 -523.18872343549</f>
        <v>-1220.9137105428802</v>
      </c>
      <c r="O1007">
        <f>-674.966902762293 -156.246711530893 -500.585883383239</f>
        <v>-1331.7994976764248</v>
      </c>
      <c r="P1007">
        <f>-473.546241306448 -98.8856150209583 -311.593873573555</f>
        <v>-884.02572990096132</v>
      </c>
      <c r="Q1007" t="s">
        <v>19324</v>
      </c>
      <c r="R1007" t="s">
        <v>19325</v>
      </c>
      <c r="S1007" t="s">
        <v>19326</v>
      </c>
      <c r="T1007" t="s">
        <v>19327</v>
      </c>
      <c r="U1007" t="s">
        <v>19328</v>
      </c>
      <c r="V1007">
        <f>-600.324672262302 -54.313950011747 -92.3066508863509</f>
        <v>-746.94527316039989</v>
      </c>
      <c r="W1007" t="s">
        <v>19329</v>
      </c>
      <c r="X1007" t="s">
        <v>19330</v>
      </c>
      <c r="Y1007" t="s">
        <v>19331</v>
      </c>
    </row>
    <row r="1008" spans="1:25" x14ac:dyDescent="0.3">
      <c r="A1008">
        <v>50350</v>
      </c>
      <c r="B1008" t="s">
        <v>19332</v>
      </c>
      <c r="C1008" t="s">
        <v>19333</v>
      </c>
      <c r="D1008" t="s">
        <v>19334</v>
      </c>
      <c r="E1008" t="s">
        <v>19335</v>
      </c>
      <c r="F1008" t="s">
        <v>19336</v>
      </c>
      <c r="G1008" t="s">
        <v>19337</v>
      </c>
      <c r="H1008" t="s">
        <v>19338</v>
      </c>
      <c r="I1008" t="s">
        <v>19339</v>
      </c>
      <c r="J1008" t="s">
        <v>19340</v>
      </c>
      <c r="K1008" t="s">
        <v>19341</v>
      </c>
      <c r="L1008" t="s">
        <v>19342</v>
      </c>
      <c r="M1008" t="s">
        <v>19343</v>
      </c>
      <c r="N1008">
        <f>-694.986303627884 -2.64204597026855 -523.295377378661</f>
        <v>-1220.9237269768137</v>
      </c>
      <c r="O1008">
        <f>-675.320543354193 -155.763859126595 -500.852279629036</f>
        <v>-1331.936682109824</v>
      </c>
      <c r="P1008">
        <f>-473.939362577401 -97.5968382847236 -312.064646561897</f>
        <v>-883.60084742402159</v>
      </c>
      <c r="Q1008" t="s">
        <v>19344</v>
      </c>
      <c r="R1008" t="s">
        <v>19345</v>
      </c>
      <c r="S1008" t="s">
        <v>19346</v>
      </c>
      <c r="T1008" t="s">
        <v>19347</v>
      </c>
      <c r="U1008" t="s">
        <v>19348</v>
      </c>
      <c r="V1008">
        <f>-601.080669937335 -54.2324300331479 -92.3706836959883</f>
        <v>-747.68378366647119</v>
      </c>
      <c r="W1008" t="s">
        <v>19349</v>
      </c>
      <c r="X1008" t="s">
        <v>19350</v>
      </c>
      <c r="Y1008" t="s">
        <v>19351</v>
      </c>
    </row>
    <row r="1009" spans="1:25" x14ac:dyDescent="0.3">
      <c r="A1009">
        <v>50400</v>
      </c>
      <c r="B1009" t="s">
        <v>19352</v>
      </c>
      <c r="C1009" t="s">
        <v>19353</v>
      </c>
      <c r="D1009" t="s">
        <v>19354</v>
      </c>
      <c r="E1009" t="s">
        <v>19355</v>
      </c>
      <c r="F1009" t="s">
        <v>19356</v>
      </c>
      <c r="G1009" t="s">
        <v>19357</v>
      </c>
      <c r="H1009" t="s">
        <v>19358</v>
      </c>
      <c r="I1009" t="s">
        <v>19359</v>
      </c>
      <c r="J1009" t="s">
        <v>19360</v>
      </c>
      <c r="K1009" t="s">
        <v>19361</v>
      </c>
      <c r="L1009" t="s">
        <v>19362</v>
      </c>
      <c r="M1009" t="s">
        <v>19363</v>
      </c>
      <c r="N1009">
        <f>-695.979272494389 -1.84905554610395 -523.462211339205</f>
        <v>-1221.290539379698</v>
      </c>
      <c r="O1009">
        <f>-676.17610343414 -154.99761404336 -501.303912202351</f>
        <v>-1332.4776296798511</v>
      </c>
      <c r="P1009">
        <f>-474.953394399436 -95.4680933855225 -312.77211558884</f>
        <v>-883.1936033737984</v>
      </c>
      <c r="Q1009" t="s">
        <v>19364</v>
      </c>
      <c r="R1009" t="s">
        <v>19365</v>
      </c>
      <c r="S1009" t="s">
        <v>19366</v>
      </c>
      <c r="T1009" t="s">
        <v>19367</v>
      </c>
      <c r="U1009" t="s">
        <v>19368</v>
      </c>
      <c r="V1009">
        <f>-602.390094714977 -54.0807795653477 -92.4844122499188</f>
        <v>-748.95528653024348</v>
      </c>
      <c r="W1009" t="s">
        <v>19369</v>
      </c>
      <c r="X1009" t="s">
        <v>19370</v>
      </c>
      <c r="Y1009" t="s">
        <v>19371</v>
      </c>
    </row>
    <row r="1010" spans="1:25" x14ac:dyDescent="0.3">
      <c r="A1010">
        <v>50450</v>
      </c>
      <c r="B1010" t="s">
        <v>19372</v>
      </c>
      <c r="C1010" t="s">
        <v>19373</v>
      </c>
      <c r="D1010" t="s">
        <v>19374</v>
      </c>
      <c r="E1010" t="s">
        <v>19375</v>
      </c>
      <c r="F1010" t="s">
        <v>19376</v>
      </c>
      <c r="G1010" t="s">
        <v>19377</v>
      </c>
      <c r="H1010" t="s">
        <v>19378</v>
      </c>
      <c r="I1010" t="s">
        <v>19379</v>
      </c>
      <c r="J1010" t="s">
        <v>19380</v>
      </c>
      <c r="K1010" t="s">
        <v>19381</v>
      </c>
      <c r="L1010" t="s">
        <v>19382</v>
      </c>
      <c r="M1010" t="s">
        <v>19383</v>
      </c>
      <c r="N1010">
        <f>-696.522793702193 -1.51245694379054 -523.535863656536</f>
        <v>-1221.5711143025196</v>
      </c>
      <c r="O1010">
        <f>-676.660839659141 -154.680029249797 -501.53933394299</f>
        <v>-1332.8802028519281</v>
      </c>
      <c r="P1010">
        <f>-475.678962386094 -94.5271500002741 -312.948483984266</f>
        <v>-883.15459637063407</v>
      </c>
      <c r="Q1010" t="s">
        <v>19384</v>
      </c>
      <c r="R1010" t="s">
        <v>19385</v>
      </c>
      <c r="S1010" t="s">
        <v>19386</v>
      </c>
      <c r="T1010" t="s">
        <v>19387</v>
      </c>
      <c r="U1010" t="s">
        <v>19388</v>
      </c>
      <c r="V1010">
        <f>-603.021959675007 -53.9936480278186 -92.5349589243443</f>
        <v>-749.55056662716993</v>
      </c>
      <c r="W1010" t="s">
        <v>19389</v>
      </c>
      <c r="X1010" t="s">
        <v>19390</v>
      </c>
      <c r="Y1010" t="s">
        <v>19391</v>
      </c>
    </row>
    <row r="1011" spans="1:25" x14ac:dyDescent="0.3">
      <c r="A1011">
        <v>50500</v>
      </c>
      <c r="B1011" t="s">
        <v>19392</v>
      </c>
      <c r="C1011" t="s">
        <v>19393</v>
      </c>
      <c r="D1011" t="s">
        <v>19394</v>
      </c>
      <c r="E1011" t="s">
        <v>19395</v>
      </c>
      <c r="F1011" t="s">
        <v>19396</v>
      </c>
      <c r="G1011" t="s">
        <v>19397</v>
      </c>
      <c r="H1011" t="s">
        <v>19398</v>
      </c>
      <c r="I1011" t="s">
        <v>19399</v>
      </c>
      <c r="J1011" t="s">
        <v>19400</v>
      </c>
      <c r="K1011" t="s">
        <v>19401</v>
      </c>
      <c r="L1011" t="s">
        <v>19402</v>
      </c>
      <c r="M1011" t="s">
        <v>19403</v>
      </c>
      <c r="N1011">
        <f>-697.465416273332 -1.06513138225523 -523.683555921584</f>
        <v>-1222.2141035771713</v>
      </c>
      <c r="O1011">
        <f>-677.507323728568 -154.242934183667 -501.857890507747</f>
        <v>-1333.6081484199822</v>
      </c>
      <c r="P1011">
        <f>-477.175251433145 -92.6424629715232 -313.04313094157</f>
        <v>-882.86084534623819</v>
      </c>
      <c r="Q1011" t="s">
        <v>19404</v>
      </c>
      <c r="R1011" t="s">
        <v>19405</v>
      </c>
      <c r="S1011" t="s">
        <v>19406</v>
      </c>
      <c r="T1011" t="s">
        <v>19407</v>
      </c>
      <c r="U1011" t="s">
        <v>19408</v>
      </c>
      <c r="V1011">
        <f>-604.220957451235 -53.8418251257444 -92.6259147881603</f>
        <v>-750.68869736513977</v>
      </c>
      <c r="W1011" t="s">
        <v>19409</v>
      </c>
      <c r="X1011" t="s">
        <v>19410</v>
      </c>
      <c r="Y1011" t="s">
        <v>19411</v>
      </c>
    </row>
    <row r="1012" spans="1:25" x14ac:dyDescent="0.3">
      <c r="A1012">
        <v>50550</v>
      </c>
      <c r="B1012" t="s">
        <v>19412</v>
      </c>
      <c r="C1012" t="s">
        <v>19413</v>
      </c>
      <c r="D1012" t="s">
        <v>19414</v>
      </c>
      <c r="E1012" t="s">
        <v>19415</v>
      </c>
      <c r="F1012" t="s">
        <v>19416</v>
      </c>
      <c r="G1012" t="s">
        <v>19417</v>
      </c>
      <c r="H1012" t="s">
        <v>19418</v>
      </c>
      <c r="I1012" t="s">
        <v>19419</v>
      </c>
      <c r="J1012" t="s">
        <v>19420</v>
      </c>
      <c r="K1012" t="s">
        <v>19421</v>
      </c>
      <c r="L1012" t="s">
        <v>19422</v>
      </c>
      <c r="M1012" t="s">
        <v>19423</v>
      </c>
      <c r="N1012">
        <f>-698.002127622517 -0.839403073745643 -523.742032763347</f>
        <v>-1222.5835634596096</v>
      </c>
      <c r="O1012">
        <f>-677.995789776768 -154.023537827171 -501.982165872548</f>
        <v>-1334.001493476487</v>
      </c>
      <c r="P1012">
        <f>-477.91385476273 -91.6983495968195 -313.139947845262</f>
        <v>-882.75215220481152</v>
      </c>
      <c r="Q1012" t="s">
        <v>19424</v>
      </c>
      <c r="R1012" t="s">
        <v>19425</v>
      </c>
      <c r="S1012" t="s">
        <v>19426</v>
      </c>
      <c r="T1012" t="s">
        <v>19427</v>
      </c>
      <c r="U1012" t="s">
        <v>19428</v>
      </c>
      <c r="V1012">
        <f>-604.813806682334 -53.7678989732963 -92.6738980520629</f>
        <v>-751.25560370769313</v>
      </c>
      <c r="W1012" t="s">
        <v>19429</v>
      </c>
      <c r="X1012" t="s">
        <v>19430</v>
      </c>
      <c r="Y1012" t="s">
        <v>19431</v>
      </c>
    </row>
    <row r="1013" spans="1:25" x14ac:dyDescent="0.3">
      <c r="A1013">
        <v>50600</v>
      </c>
      <c r="B1013" t="s">
        <v>19432</v>
      </c>
      <c r="C1013" t="s">
        <v>19433</v>
      </c>
      <c r="D1013" t="s">
        <v>19434</v>
      </c>
      <c r="E1013" t="s">
        <v>19435</v>
      </c>
      <c r="F1013" t="s">
        <v>19436</v>
      </c>
      <c r="G1013" t="s">
        <v>19437</v>
      </c>
      <c r="H1013" t="s">
        <v>19438</v>
      </c>
      <c r="I1013" t="s">
        <v>19439</v>
      </c>
      <c r="J1013" t="s">
        <v>19440</v>
      </c>
      <c r="K1013" t="s">
        <v>19441</v>
      </c>
      <c r="L1013" t="s">
        <v>19442</v>
      </c>
      <c r="M1013" t="s">
        <v>19443</v>
      </c>
      <c r="N1013">
        <f>-698.887105850441 -0.544685657588843 -523.852459045947</f>
        <v>-1223.2842505539768</v>
      </c>
      <c r="O1013">
        <f>-678.730302842215 -153.718647787222 -502.142083334126</f>
        <v>-1334.5910339635629</v>
      </c>
      <c r="P1013">
        <f>-478.81493257204 -89.8034486632564 -313.655296872761</f>
        <v>-882.27367810805742</v>
      </c>
      <c r="Q1013" t="s">
        <v>19444</v>
      </c>
      <c r="R1013" t="s">
        <v>19445</v>
      </c>
      <c r="S1013" t="s">
        <v>19446</v>
      </c>
      <c r="T1013" t="s">
        <v>19447</v>
      </c>
      <c r="U1013" t="s">
        <v>19448</v>
      </c>
      <c r="V1013">
        <f>-605.832768245167 -53.6248812718914 -92.7612164707447</f>
        <v>-752.21886598780304</v>
      </c>
      <c r="W1013" t="s">
        <v>19449</v>
      </c>
      <c r="X1013" t="s">
        <v>19450</v>
      </c>
      <c r="Y1013" t="s">
        <v>19451</v>
      </c>
    </row>
    <row r="1014" spans="1:25" x14ac:dyDescent="0.3">
      <c r="A1014">
        <v>50650</v>
      </c>
      <c r="B1014" t="s">
        <v>19452</v>
      </c>
      <c r="C1014" t="s">
        <v>19453</v>
      </c>
      <c r="D1014" t="s">
        <v>19454</v>
      </c>
      <c r="E1014" t="s">
        <v>19455</v>
      </c>
      <c r="F1014" t="s">
        <v>19456</v>
      </c>
      <c r="G1014" t="s">
        <v>19457</v>
      </c>
      <c r="H1014" t="s">
        <v>19458</v>
      </c>
      <c r="I1014" t="s">
        <v>19459</v>
      </c>
      <c r="J1014" t="s">
        <v>19460</v>
      </c>
      <c r="K1014" t="s">
        <v>19461</v>
      </c>
      <c r="L1014" t="s">
        <v>19462</v>
      </c>
      <c r="M1014" t="s">
        <v>19463</v>
      </c>
      <c r="N1014">
        <f>-699.269103284815 -0.374797467775352 -523.925730736769</f>
        <v>-1223.5696314893594</v>
      </c>
      <c r="O1014">
        <f>-678.993816964443 -153.534154273242 -502.262248535759</f>
        <v>-1334.7902197734441</v>
      </c>
      <c r="P1014">
        <f>-479.212133639944 -88.5647936423184 -313.994214243546</f>
        <v>-881.77114152580839</v>
      </c>
      <c r="Q1014" t="s">
        <v>19464</v>
      </c>
      <c r="R1014" t="s">
        <v>19465</v>
      </c>
      <c r="S1014" t="s">
        <v>19466</v>
      </c>
      <c r="T1014" t="s">
        <v>19467</v>
      </c>
      <c r="U1014" t="s">
        <v>19468</v>
      </c>
      <c r="V1014">
        <f>-606.315184442727 -53.6351965909928 -92.7932857503141</f>
        <v>-752.74366678403385</v>
      </c>
      <c r="W1014" t="s">
        <v>19469</v>
      </c>
      <c r="X1014" t="s">
        <v>19470</v>
      </c>
      <c r="Y1014" t="s">
        <v>19471</v>
      </c>
    </row>
    <row r="1015" spans="1:25" x14ac:dyDescent="0.3">
      <c r="A1015">
        <v>50700</v>
      </c>
      <c r="B1015" t="s">
        <v>19472</v>
      </c>
      <c r="C1015" t="s">
        <v>19473</v>
      </c>
      <c r="D1015" t="s">
        <v>19474</v>
      </c>
      <c r="E1015" t="s">
        <v>19475</v>
      </c>
      <c r="F1015" t="s">
        <v>19476</v>
      </c>
      <c r="G1015" t="s">
        <v>19477</v>
      </c>
      <c r="H1015" t="s">
        <v>19478</v>
      </c>
      <c r="I1015" t="s">
        <v>19479</v>
      </c>
      <c r="J1015" t="s">
        <v>19480</v>
      </c>
      <c r="K1015" t="s">
        <v>19481</v>
      </c>
      <c r="L1015" t="s">
        <v>19482</v>
      </c>
      <c r="M1015" t="s">
        <v>19483</v>
      </c>
      <c r="N1015">
        <f>-699.750649510686 -0.0402296751344693 -524.151048775514</f>
        <v>-1223.9419279613344</v>
      </c>
      <c r="O1015">
        <f>-678.989653030163 -153.170982067695 -502.813988576354</f>
        <v>-1334.9746236742121</v>
      </c>
      <c r="P1015">
        <f>-480.0008368795 -85.8375565718645 -314.536985787714</f>
        <v>-880.37537923907848</v>
      </c>
      <c r="Q1015" t="s">
        <v>19484</v>
      </c>
      <c r="R1015" t="s">
        <v>19485</v>
      </c>
      <c r="S1015" t="s">
        <v>19486</v>
      </c>
      <c r="T1015" t="s">
        <v>19487</v>
      </c>
      <c r="U1015" t="s">
        <v>19488</v>
      </c>
      <c r="V1015">
        <f>-607.272833929557 -53.7768697214676 -92.8643116048719</f>
        <v>-753.91401525589652</v>
      </c>
      <c r="W1015" t="s">
        <v>19489</v>
      </c>
      <c r="X1015" t="s">
        <v>19490</v>
      </c>
      <c r="Y1015" t="s">
        <v>19491</v>
      </c>
    </row>
    <row r="1016" spans="1:25" x14ac:dyDescent="0.3">
      <c r="A1016">
        <v>50750</v>
      </c>
      <c r="B1016" t="s">
        <v>19492</v>
      </c>
      <c r="C1016" t="s">
        <v>19493</v>
      </c>
      <c r="D1016" t="s">
        <v>19494</v>
      </c>
      <c r="E1016" t="s">
        <v>19495</v>
      </c>
      <c r="F1016" t="s">
        <v>19496</v>
      </c>
      <c r="G1016" t="s">
        <v>19497</v>
      </c>
      <c r="H1016" t="s">
        <v>19498</v>
      </c>
      <c r="I1016" t="s">
        <v>19499</v>
      </c>
      <c r="J1016" t="s">
        <v>19500</v>
      </c>
      <c r="K1016" t="s">
        <v>19501</v>
      </c>
      <c r="L1016" t="s">
        <v>19502</v>
      </c>
      <c r="M1016" t="s">
        <v>19503</v>
      </c>
      <c r="N1016" t="s">
        <v>19504</v>
      </c>
      <c r="O1016">
        <f>-679.000400460619 -153.073552694323 -503.05167895595</f>
        <v>-1335.125632110892</v>
      </c>
      <c r="P1016">
        <f>-480.616417900967 -84.3491099034381 -314.63904947472</f>
        <v>-879.60457727912512</v>
      </c>
      <c r="Q1016" t="s">
        <v>19505</v>
      </c>
      <c r="R1016" t="s">
        <v>19506</v>
      </c>
      <c r="S1016" t="s">
        <v>19507</v>
      </c>
      <c r="T1016" t="s">
        <v>19508</v>
      </c>
      <c r="U1016" t="s">
        <v>19509</v>
      </c>
      <c r="V1016">
        <f>-607.661506840845 -53.8810243994883 -92.9062849060373</f>
        <v>-754.44881614637063</v>
      </c>
      <c r="W1016" t="s">
        <v>19510</v>
      </c>
      <c r="X1016" t="s">
        <v>19511</v>
      </c>
      <c r="Y1016" t="s">
        <v>19512</v>
      </c>
    </row>
    <row r="1017" spans="1:25" x14ac:dyDescent="0.3">
      <c r="A1017">
        <v>50800</v>
      </c>
      <c r="B1017" t="s">
        <v>19513</v>
      </c>
      <c r="C1017" t="s">
        <v>19514</v>
      </c>
      <c r="D1017" t="s">
        <v>19515</v>
      </c>
      <c r="E1017" t="s">
        <v>19516</v>
      </c>
      <c r="F1017" t="s">
        <v>19517</v>
      </c>
      <c r="G1017" t="s">
        <v>19518</v>
      </c>
      <c r="H1017" t="s">
        <v>19519</v>
      </c>
      <c r="I1017" t="s">
        <v>19520</v>
      </c>
      <c r="J1017" t="s">
        <v>19521</v>
      </c>
      <c r="K1017" t="s">
        <v>19522</v>
      </c>
      <c r="L1017" t="s">
        <v>19523</v>
      </c>
      <c r="M1017" t="s">
        <v>19524</v>
      </c>
      <c r="N1017" t="s">
        <v>19525</v>
      </c>
      <c r="O1017">
        <f>-679.057318032717 -152.956664813301 -503.623740523915</f>
        <v>-1335.6377233699332</v>
      </c>
      <c r="P1017">
        <f>-482.167886754855 -82.0472475660436 -314.454460215162</f>
        <v>-878.66959453606046</v>
      </c>
      <c r="Q1017" t="s">
        <v>19526</v>
      </c>
      <c r="R1017" t="s">
        <v>19527</v>
      </c>
      <c r="S1017" t="s">
        <v>19528</v>
      </c>
      <c r="T1017" t="s">
        <v>19529</v>
      </c>
      <c r="U1017" t="s">
        <v>19530</v>
      </c>
      <c r="V1017">
        <f>-608.433884002459 -54.3232700059787 -92.995873801965</f>
        <v>-755.75302781040261</v>
      </c>
      <c r="W1017" t="s">
        <v>19531</v>
      </c>
      <c r="X1017" t="s">
        <v>19532</v>
      </c>
      <c r="Y1017" t="s">
        <v>19533</v>
      </c>
    </row>
    <row r="1018" spans="1:25" x14ac:dyDescent="0.3">
      <c r="A1018">
        <v>50850</v>
      </c>
      <c r="B1018" t="s">
        <v>19534</v>
      </c>
      <c r="C1018" t="s">
        <v>19535</v>
      </c>
      <c r="D1018" t="s">
        <v>19536</v>
      </c>
      <c r="E1018" t="s">
        <v>19537</v>
      </c>
      <c r="F1018" t="s">
        <v>19538</v>
      </c>
      <c r="G1018" t="s">
        <v>19539</v>
      </c>
      <c r="H1018" t="s">
        <v>19540</v>
      </c>
      <c r="I1018" t="s">
        <v>19541</v>
      </c>
      <c r="J1018" t="s">
        <v>19542</v>
      </c>
      <c r="K1018" t="s">
        <v>19543</v>
      </c>
      <c r="L1018" t="s">
        <v>19544</v>
      </c>
      <c r="M1018" t="s">
        <v>19545</v>
      </c>
      <c r="N1018" t="s">
        <v>19546</v>
      </c>
      <c r="O1018">
        <f>-679.080629751554 -152.717459657294 -503.955966623695</f>
        <v>-1335.7540560325431</v>
      </c>
      <c r="P1018">
        <f>-483.025841225288 -80.9309307128344 -314.251477996927</f>
        <v>-878.20824993504948</v>
      </c>
      <c r="Q1018" t="s">
        <v>19547</v>
      </c>
      <c r="R1018" t="s">
        <v>19548</v>
      </c>
      <c r="S1018" t="s">
        <v>19549</v>
      </c>
      <c r="T1018" t="s">
        <v>19550</v>
      </c>
      <c r="U1018" t="s">
        <v>19551</v>
      </c>
      <c r="V1018">
        <f>-608.771263171497 -54.5358016766509 -93.0496394621304</f>
        <v>-756.35670431027825</v>
      </c>
      <c r="W1018" t="s">
        <v>19552</v>
      </c>
      <c r="X1018" t="s">
        <v>19553</v>
      </c>
      <c r="Y1018" t="s">
        <v>19554</v>
      </c>
    </row>
    <row r="1019" spans="1:25" x14ac:dyDescent="0.3">
      <c r="A1019">
        <v>50900</v>
      </c>
      <c r="B1019" t="s">
        <v>19555</v>
      </c>
      <c r="C1019" t="s">
        <v>19556</v>
      </c>
      <c r="D1019" t="s">
        <v>19557</v>
      </c>
      <c r="E1019" t="s">
        <v>19558</v>
      </c>
      <c r="F1019" t="s">
        <v>19559</v>
      </c>
      <c r="G1019" t="s">
        <v>19560</v>
      </c>
      <c r="H1019" t="s">
        <v>19561</v>
      </c>
      <c r="I1019" t="s">
        <v>19562</v>
      </c>
      <c r="J1019" t="s">
        <v>19563</v>
      </c>
      <c r="K1019" t="s">
        <v>19564</v>
      </c>
      <c r="L1019" t="s">
        <v>19565</v>
      </c>
      <c r="M1019" t="s">
        <v>19566</v>
      </c>
      <c r="N1019" t="s">
        <v>19567</v>
      </c>
      <c r="O1019">
        <f>-678.884481395518 -152.233998044991 -504.671177684449</f>
        <v>-1335.789657124958</v>
      </c>
      <c r="P1019">
        <f>-484.479797458785 -79.0330751957204 -313.812527801022</f>
        <v>-877.32540045552742</v>
      </c>
      <c r="Q1019" t="s">
        <v>19568</v>
      </c>
      <c r="R1019" t="s">
        <v>19569</v>
      </c>
      <c r="S1019" t="s">
        <v>19570</v>
      </c>
      <c r="T1019" t="s">
        <v>19571</v>
      </c>
      <c r="U1019" t="s">
        <v>19572</v>
      </c>
      <c r="V1019">
        <f>-609.275450130757 -54.8928180076075 -93.1257552663651</f>
        <v>-757.29402340472961</v>
      </c>
      <c r="W1019" t="s">
        <v>19573</v>
      </c>
      <c r="X1019" t="s">
        <v>19574</v>
      </c>
      <c r="Y1019" t="s">
        <v>19575</v>
      </c>
    </row>
    <row r="1020" spans="1:25" x14ac:dyDescent="0.3">
      <c r="A1020">
        <v>50950</v>
      </c>
      <c r="B1020" t="s">
        <v>19576</v>
      </c>
      <c r="C1020" t="s">
        <v>19577</v>
      </c>
      <c r="D1020" t="s">
        <v>19578</v>
      </c>
      <c r="E1020" t="s">
        <v>19579</v>
      </c>
      <c r="F1020" t="s">
        <v>19580</v>
      </c>
      <c r="G1020" t="s">
        <v>19581</v>
      </c>
      <c r="H1020" t="s">
        <v>19582</v>
      </c>
      <c r="I1020" t="s">
        <v>19583</v>
      </c>
      <c r="J1020" t="s">
        <v>19584</v>
      </c>
      <c r="K1020" t="s">
        <v>19585</v>
      </c>
      <c r="L1020" t="s">
        <v>19586</v>
      </c>
      <c r="M1020" t="s">
        <v>19587</v>
      </c>
      <c r="N1020" t="s">
        <v>19588</v>
      </c>
      <c r="O1020">
        <f>-678.860957802247 -151.905993146297 -505.081005543621</f>
        <v>-1335.8479564921649</v>
      </c>
      <c r="P1020">
        <f>-485.148126520112 -78.0744122968676 -313.762361346883</f>
        <v>-876.98490016386268</v>
      </c>
      <c r="Q1020" t="s">
        <v>19589</v>
      </c>
      <c r="R1020" t="s">
        <v>19590</v>
      </c>
      <c r="S1020" t="s">
        <v>19591</v>
      </c>
      <c r="T1020" t="s">
        <v>19592</v>
      </c>
      <c r="U1020" t="s">
        <v>19593</v>
      </c>
      <c r="V1020">
        <f>-609.49902643148 -55.0263720919904 -93.1689921318891</f>
        <v>-757.6943906553596</v>
      </c>
      <c r="W1020" t="s">
        <v>19594</v>
      </c>
      <c r="X1020" t="s">
        <v>19595</v>
      </c>
      <c r="Y1020" t="s">
        <v>19596</v>
      </c>
    </row>
    <row r="1021" spans="1:25" x14ac:dyDescent="0.3">
      <c r="A1021">
        <v>51000</v>
      </c>
      <c r="B1021" t="s">
        <v>19597</v>
      </c>
      <c r="C1021" t="s">
        <v>19598</v>
      </c>
      <c r="D1021" t="s">
        <v>19599</v>
      </c>
      <c r="E1021" t="s">
        <v>19600</v>
      </c>
      <c r="F1021" t="s">
        <v>19601</v>
      </c>
      <c r="G1021" t="s">
        <v>19602</v>
      </c>
      <c r="H1021" t="s">
        <v>19603</v>
      </c>
      <c r="I1021" t="s">
        <v>19604</v>
      </c>
      <c r="J1021" t="s">
        <v>19605</v>
      </c>
      <c r="K1021" t="s">
        <v>19606</v>
      </c>
      <c r="L1021" t="s">
        <v>19607</v>
      </c>
      <c r="M1021" t="s">
        <v>19608</v>
      </c>
      <c r="N1021" t="s">
        <v>19609</v>
      </c>
      <c r="O1021">
        <f>-678.613185737039 -151.014184678442 -505.890583575384</f>
        <v>-1335.517953990865</v>
      </c>
      <c r="P1021">
        <f>-486.134294622114 -76.0709902616202 -313.760437864698</f>
        <v>-875.9657227484322</v>
      </c>
      <c r="Q1021" t="s">
        <v>19610</v>
      </c>
      <c r="R1021" t="s">
        <v>19611</v>
      </c>
      <c r="S1021" t="s">
        <v>19612</v>
      </c>
      <c r="T1021" t="s">
        <v>19613</v>
      </c>
      <c r="U1021" t="s">
        <v>19614</v>
      </c>
      <c r="V1021">
        <f>-609.912158603421 -55.2362738061017 -93.2075903381111</f>
        <v>-758.3560227476338</v>
      </c>
      <c r="W1021" t="s">
        <v>19615</v>
      </c>
      <c r="X1021" t="s">
        <v>19616</v>
      </c>
      <c r="Y1021" t="s">
        <v>19617</v>
      </c>
    </row>
    <row r="1022" spans="1:25" x14ac:dyDescent="0.3">
      <c r="A1022">
        <v>51050</v>
      </c>
      <c r="B1022" t="s">
        <v>19618</v>
      </c>
      <c r="C1022" t="s">
        <v>19619</v>
      </c>
      <c r="D1022" t="s">
        <v>19620</v>
      </c>
      <c r="E1022" t="s">
        <v>19621</v>
      </c>
      <c r="F1022" t="s">
        <v>19622</v>
      </c>
      <c r="G1022" t="s">
        <v>19623</v>
      </c>
      <c r="H1022" t="s">
        <v>19624</v>
      </c>
      <c r="I1022" t="s">
        <v>19625</v>
      </c>
      <c r="J1022" t="s">
        <v>19626</v>
      </c>
      <c r="K1022" t="s">
        <v>19627</v>
      </c>
      <c r="L1022" t="s">
        <v>19628</v>
      </c>
      <c r="M1022" t="s">
        <v>19629</v>
      </c>
      <c r="N1022" t="s">
        <v>19630</v>
      </c>
      <c r="O1022">
        <f>-678.412877406562 -150.693677981723 -506.239083865071</f>
        <v>-1335.345639253356</v>
      </c>
      <c r="P1022">
        <f>-486.578027004548 -75.5856964728296 -313.530133797608</f>
        <v>-875.6938572749857</v>
      </c>
      <c r="Q1022" t="s">
        <v>19631</v>
      </c>
      <c r="R1022" t="s">
        <v>19632</v>
      </c>
      <c r="S1022" t="s">
        <v>19633</v>
      </c>
      <c r="T1022" t="s">
        <v>19634</v>
      </c>
      <c r="U1022" t="s">
        <v>19635</v>
      </c>
      <c r="V1022">
        <f>-610.19409399004 -55.4015939636733 -93.2349391286733</f>
        <v>-758.83062708238663</v>
      </c>
      <c r="W1022" t="s">
        <v>19636</v>
      </c>
      <c r="X1022" t="s">
        <v>19637</v>
      </c>
      <c r="Y1022" t="s">
        <v>19638</v>
      </c>
    </row>
    <row r="1023" spans="1:25" x14ac:dyDescent="0.3">
      <c r="A1023">
        <v>51100</v>
      </c>
      <c r="B1023" t="s">
        <v>19639</v>
      </c>
      <c r="C1023" t="s">
        <v>19640</v>
      </c>
      <c r="D1023" t="s">
        <v>19641</v>
      </c>
      <c r="E1023" t="s">
        <v>19642</v>
      </c>
      <c r="F1023" t="s">
        <v>19643</v>
      </c>
      <c r="G1023" t="s">
        <v>19644</v>
      </c>
      <c r="H1023" t="s">
        <v>19645</v>
      </c>
      <c r="I1023" t="s">
        <v>19646</v>
      </c>
      <c r="J1023" t="s">
        <v>19647</v>
      </c>
      <c r="K1023" t="s">
        <v>19648</v>
      </c>
      <c r="L1023" t="s">
        <v>19649</v>
      </c>
      <c r="M1023" t="s">
        <v>19650</v>
      </c>
      <c r="N1023" t="s">
        <v>19651</v>
      </c>
      <c r="O1023">
        <f>-678.257202330195 -150.362351051301 -506.600217356157</f>
        <v>-1335.2197707376529</v>
      </c>
      <c r="P1023">
        <f>-487.539706726382 -76.0952519033535 -312.461434653356</f>
        <v>-876.0963932830914</v>
      </c>
      <c r="Q1023" t="s">
        <v>19652</v>
      </c>
      <c r="R1023" t="s">
        <v>19653</v>
      </c>
      <c r="S1023" t="s">
        <v>19654</v>
      </c>
      <c r="T1023" t="s">
        <v>19655</v>
      </c>
      <c r="U1023" t="s">
        <v>19656</v>
      </c>
      <c r="V1023">
        <f>-610.735293213169 -55.5136556345449 -93.3007132336035</f>
        <v>-759.54966208131736</v>
      </c>
      <c r="W1023" t="s">
        <v>19657</v>
      </c>
      <c r="X1023" t="s">
        <v>19658</v>
      </c>
      <c r="Y1023" t="s">
        <v>19659</v>
      </c>
    </row>
    <row r="1024" spans="1:25" x14ac:dyDescent="0.3">
      <c r="A1024">
        <v>51150</v>
      </c>
      <c r="B1024" t="s">
        <v>19660</v>
      </c>
      <c r="C1024" t="s">
        <v>19661</v>
      </c>
      <c r="D1024" t="s">
        <v>19662</v>
      </c>
      <c r="E1024" t="s">
        <v>19663</v>
      </c>
      <c r="F1024" t="s">
        <v>19664</v>
      </c>
      <c r="G1024" t="s">
        <v>19665</v>
      </c>
      <c r="H1024" t="s">
        <v>19666</v>
      </c>
      <c r="I1024" t="s">
        <v>19667</v>
      </c>
      <c r="J1024" t="s">
        <v>19668</v>
      </c>
      <c r="K1024" t="s">
        <v>19669</v>
      </c>
      <c r="L1024" t="s">
        <v>19670</v>
      </c>
      <c r="M1024" t="s">
        <v>19671</v>
      </c>
      <c r="N1024" t="s">
        <v>19672</v>
      </c>
      <c r="O1024">
        <f>-678.267287931959 -150.312231677517 -506.683805109282</f>
        <v>-1335.263324718758</v>
      </c>
      <c r="P1024">
        <f>-488.105722338264 -76.6269951853092 -311.779649323066</f>
        <v>-876.51236684663922</v>
      </c>
      <c r="Q1024" t="s">
        <v>19673</v>
      </c>
      <c r="R1024" t="s">
        <v>19674</v>
      </c>
      <c r="S1024" t="s">
        <v>19675</v>
      </c>
      <c r="T1024" t="s">
        <v>19676</v>
      </c>
      <c r="U1024" t="s">
        <v>19677</v>
      </c>
      <c r="V1024">
        <f>-610.868945575603 -55.4928383395966 -93.3270965747238</f>
        <v>-759.68888048992335</v>
      </c>
      <c r="W1024" t="s">
        <v>19678</v>
      </c>
      <c r="X1024" t="s">
        <v>19679</v>
      </c>
      <c r="Y1024" t="s">
        <v>19680</v>
      </c>
    </row>
    <row r="1025" spans="1:25" x14ac:dyDescent="0.3">
      <c r="A1025">
        <v>51200</v>
      </c>
      <c r="B1025" t="s">
        <v>19681</v>
      </c>
      <c r="C1025" t="s">
        <v>19682</v>
      </c>
      <c r="D1025" t="s">
        <v>19683</v>
      </c>
      <c r="E1025" t="s">
        <v>19684</v>
      </c>
      <c r="F1025" t="s">
        <v>19685</v>
      </c>
      <c r="G1025" t="s">
        <v>19686</v>
      </c>
      <c r="H1025" t="s">
        <v>19687</v>
      </c>
      <c r="I1025" t="s">
        <v>19688</v>
      </c>
      <c r="J1025" t="s">
        <v>19689</v>
      </c>
      <c r="K1025" t="s">
        <v>19690</v>
      </c>
      <c r="L1025" t="s">
        <v>19691</v>
      </c>
      <c r="M1025" t="s">
        <v>19692</v>
      </c>
      <c r="N1025" t="s">
        <v>19693</v>
      </c>
      <c r="O1025">
        <f>-678.473443651643 -150.111205789581 -506.88567371947</f>
        <v>-1335.4703231606941</v>
      </c>
      <c r="P1025">
        <f>-489.425395881956 -77.0892789873328 -310.653166151991</f>
        <v>-877.16784102127986</v>
      </c>
      <c r="Q1025" t="s">
        <v>19694</v>
      </c>
      <c r="R1025" t="s">
        <v>19695</v>
      </c>
      <c r="S1025" t="s">
        <v>19696</v>
      </c>
      <c r="T1025" t="s">
        <v>19697</v>
      </c>
      <c r="U1025" t="s">
        <v>19698</v>
      </c>
      <c r="V1025">
        <f>-611.06596734176 -55.3332139001668 -93.3637567167161</f>
        <v>-759.76293795864296</v>
      </c>
      <c r="W1025" t="s">
        <v>19699</v>
      </c>
      <c r="X1025" t="s">
        <v>19700</v>
      </c>
      <c r="Y1025" t="s">
        <v>19701</v>
      </c>
    </row>
    <row r="1026" spans="1:25" x14ac:dyDescent="0.3">
      <c r="A1026">
        <v>51250</v>
      </c>
      <c r="B1026" t="s">
        <v>19702</v>
      </c>
      <c r="C1026" t="s">
        <v>19703</v>
      </c>
      <c r="D1026" t="s">
        <v>19704</v>
      </c>
      <c r="E1026" t="s">
        <v>19705</v>
      </c>
      <c r="F1026" t="s">
        <v>19706</v>
      </c>
      <c r="G1026" t="s">
        <v>19707</v>
      </c>
      <c r="H1026" t="s">
        <v>19708</v>
      </c>
      <c r="I1026" t="s">
        <v>19709</v>
      </c>
      <c r="J1026" t="s">
        <v>19710</v>
      </c>
      <c r="K1026" t="s">
        <v>19711</v>
      </c>
      <c r="L1026" t="s">
        <v>19712</v>
      </c>
      <c r="M1026" t="s">
        <v>19713</v>
      </c>
      <c r="N1026" t="s">
        <v>19714</v>
      </c>
      <c r="O1026">
        <f>-678.777092498584 -150.085838272813 -506.908916028671</f>
        <v>-1335.771846800068</v>
      </c>
      <c r="P1026">
        <f>-489.983363168144 -77.1451307790342 -310.401505717922</f>
        <v>-877.52999966510015</v>
      </c>
      <c r="Q1026" t="s">
        <v>19715</v>
      </c>
      <c r="R1026" t="s">
        <v>19716</v>
      </c>
      <c r="S1026" t="s">
        <v>19717</v>
      </c>
      <c r="T1026" t="s">
        <v>19718</v>
      </c>
      <c r="U1026" t="s">
        <v>19719</v>
      </c>
      <c r="V1026">
        <f>-611.200614144348 -55.2380621146051 -93.3738982575356</f>
        <v>-759.81257451648878</v>
      </c>
      <c r="W1026" t="s">
        <v>19720</v>
      </c>
      <c r="X1026" t="s">
        <v>19721</v>
      </c>
      <c r="Y1026" t="s">
        <v>19722</v>
      </c>
    </row>
    <row r="1027" spans="1:25" x14ac:dyDescent="0.3">
      <c r="A1027">
        <v>51300</v>
      </c>
      <c r="B1027" t="s">
        <v>19723</v>
      </c>
      <c r="C1027" t="s">
        <v>19724</v>
      </c>
      <c r="D1027" t="s">
        <v>19725</v>
      </c>
      <c r="E1027" t="s">
        <v>19726</v>
      </c>
      <c r="F1027" t="s">
        <v>19727</v>
      </c>
      <c r="G1027" t="s">
        <v>19728</v>
      </c>
      <c r="H1027" t="s">
        <v>19729</v>
      </c>
      <c r="I1027" t="s">
        <v>19730</v>
      </c>
      <c r="J1027" t="s">
        <v>19731</v>
      </c>
      <c r="K1027" t="s">
        <v>19732</v>
      </c>
      <c r="L1027" t="s">
        <v>19733</v>
      </c>
      <c r="M1027" t="s">
        <v>19734</v>
      </c>
      <c r="N1027" t="s">
        <v>19735</v>
      </c>
      <c r="O1027">
        <f>-679.79165651628 -150.017678788675 -506.804263499271</f>
        <v>-1336.6135988042261</v>
      </c>
      <c r="P1027">
        <f>-491.017934584053 -77.1988496705649 -310.232454724539</f>
        <v>-878.44923897915692</v>
      </c>
      <c r="Q1027" t="s">
        <v>19736</v>
      </c>
      <c r="R1027" t="s">
        <v>19737</v>
      </c>
      <c r="S1027" t="s">
        <v>19738</v>
      </c>
      <c r="T1027" t="s">
        <v>19739</v>
      </c>
      <c r="U1027" t="s">
        <v>19740</v>
      </c>
      <c r="V1027">
        <f>-611.565385634405 -54.8795365467379 -93.4096135143043</f>
        <v>-759.85453569544711</v>
      </c>
      <c r="W1027" t="s">
        <v>19741</v>
      </c>
      <c r="X1027" t="s">
        <v>19742</v>
      </c>
      <c r="Y1027" t="s">
        <v>19743</v>
      </c>
    </row>
    <row r="1028" spans="1:25" x14ac:dyDescent="0.3">
      <c r="A1028">
        <v>51350</v>
      </c>
      <c r="B1028" t="s">
        <v>19744</v>
      </c>
      <c r="C1028" t="s">
        <v>19745</v>
      </c>
      <c r="D1028" t="s">
        <v>19746</v>
      </c>
      <c r="E1028" t="s">
        <v>19747</v>
      </c>
      <c r="F1028" t="s">
        <v>19748</v>
      </c>
      <c r="G1028" t="s">
        <v>19749</v>
      </c>
      <c r="H1028" t="s">
        <v>19750</v>
      </c>
      <c r="I1028" t="s">
        <v>19751</v>
      </c>
      <c r="J1028" t="s">
        <v>19752</v>
      </c>
      <c r="K1028" t="s">
        <v>19753</v>
      </c>
      <c r="L1028" t="s">
        <v>19754</v>
      </c>
      <c r="M1028" t="s">
        <v>19755</v>
      </c>
      <c r="N1028" t="s">
        <v>19756</v>
      </c>
      <c r="O1028">
        <f>-680.488393910229 -149.839245213295 -506.797347109515</f>
        <v>-1337.124986233039</v>
      </c>
      <c r="P1028">
        <f>-491.615092942654 -77.2721009820609 -310.228127479711</f>
        <v>-879.11532140442591</v>
      </c>
      <c r="Q1028" t="s">
        <v>19757</v>
      </c>
      <c r="R1028" t="s">
        <v>19758</v>
      </c>
      <c r="S1028" t="s">
        <v>19759</v>
      </c>
      <c r="T1028" t="s">
        <v>19760</v>
      </c>
      <c r="U1028" t="s">
        <v>19761</v>
      </c>
      <c r="V1028">
        <f>-611.776035396113 -54.671521742629 -93.4410529896744</f>
        <v>-759.88861012841642</v>
      </c>
      <c r="W1028" t="s">
        <v>19762</v>
      </c>
      <c r="X1028" t="s">
        <v>19763</v>
      </c>
      <c r="Y1028" t="s">
        <v>19764</v>
      </c>
    </row>
    <row r="1029" spans="1:25" x14ac:dyDescent="0.3">
      <c r="A1029">
        <v>51400</v>
      </c>
      <c r="B1029" t="s">
        <v>19765</v>
      </c>
      <c r="C1029" t="s">
        <v>19766</v>
      </c>
      <c r="D1029" t="s">
        <v>19767</v>
      </c>
      <c r="E1029" t="s">
        <v>19768</v>
      </c>
      <c r="F1029" t="s">
        <v>19769</v>
      </c>
      <c r="G1029" t="s">
        <v>19770</v>
      </c>
      <c r="H1029" t="s">
        <v>19771</v>
      </c>
      <c r="I1029" t="s">
        <v>19772</v>
      </c>
      <c r="J1029" t="s">
        <v>19773</v>
      </c>
      <c r="K1029" t="s">
        <v>19774</v>
      </c>
      <c r="L1029" t="s">
        <v>19775</v>
      </c>
      <c r="M1029" t="s">
        <v>19776</v>
      </c>
      <c r="N1029" t="s">
        <v>19777</v>
      </c>
      <c r="O1029">
        <f>-681.877346780868 -149.317150550923 -506.889971534956</f>
        <v>-1338.0844688667471</v>
      </c>
      <c r="P1029">
        <f>-492.615173054613 -78.1234153626988 -310.192681813685</f>
        <v>-880.9312702309968</v>
      </c>
      <c r="Q1029" t="s">
        <v>19778</v>
      </c>
      <c r="R1029" t="s">
        <v>19779</v>
      </c>
      <c r="S1029" t="s">
        <v>19780</v>
      </c>
      <c r="T1029" t="s">
        <v>19781</v>
      </c>
      <c r="U1029" t="s">
        <v>19782</v>
      </c>
      <c r="V1029">
        <f>-612.378559032411 -54.5375686770287 -93.5148441893205</f>
        <v>-760.43097189876016</v>
      </c>
      <c r="W1029" t="s">
        <v>19783</v>
      </c>
      <c r="X1029" t="s">
        <v>19784</v>
      </c>
      <c r="Y1029" t="s">
        <v>19785</v>
      </c>
    </row>
    <row r="1030" spans="1:25" x14ac:dyDescent="0.3">
      <c r="A1030">
        <v>51450</v>
      </c>
      <c r="B1030" t="s">
        <v>19786</v>
      </c>
      <c r="C1030" t="s">
        <v>19787</v>
      </c>
      <c r="D1030" t="s">
        <v>19788</v>
      </c>
      <c r="E1030" t="s">
        <v>19789</v>
      </c>
      <c r="F1030" t="s">
        <v>19790</v>
      </c>
      <c r="G1030" t="s">
        <v>19791</v>
      </c>
      <c r="H1030" t="s">
        <v>19792</v>
      </c>
      <c r="I1030" t="s">
        <v>19793</v>
      </c>
      <c r="J1030" t="s">
        <v>19794</v>
      </c>
      <c r="K1030" t="s">
        <v>19795</v>
      </c>
      <c r="L1030" t="s">
        <v>19796</v>
      </c>
      <c r="M1030" t="s">
        <v>19797</v>
      </c>
      <c r="N1030" t="s">
        <v>19798</v>
      </c>
      <c r="O1030">
        <f>-682.540768672196 -148.938599388365 -507.019960604243</f>
        <v>-1338.4993286648041</v>
      </c>
      <c r="P1030">
        <f>-493.085430879217 -78.8153589439542 -310.123925435304</f>
        <v>-882.02471525847523</v>
      </c>
      <c r="Q1030" t="s">
        <v>19799</v>
      </c>
      <c r="R1030" t="s">
        <v>19800</v>
      </c>
      <c r="S1030" t="s">
        <v>19801</v>
      </c>
      <c r="T1030" t="s">
        <v>19802</v>
      </c>
      <c r="U1030" t="s">
        <v>19803</v>
      </c>
      <c r="V1030">
        <f>-612.763933431609 -54.5350355388732 -93.5405380633269</f>
        <v>-760.83950703380913</v>
      </c>
      <c r="W1030" t="s">
        <v>19804</v>
      </c>
      <c r="X1030" t="s">
        <v>19805</v>
      </c>
      <c r="Y1030" t="s">
        <v>19806</v>
      </c>
    </row>
    <row r="1031" spans="1:25" x14ac:dyDescent="0.3">
      <c r="A1031">
        <v>51500</v>
      </c>
      <c r="B1031" t="s">
        <v>19807</v>
      </c>
      <c r="C1031" t="s">
        <v>19808</v>
      </c>
      <c r="D1031" t="s">
        <v>19809</v>
      </c>
      <c r="E1031" t="s">
        <v>19810</v>
      </c>
      <c r="F1031" t="s">
        <v>19811</v>
      </c>
      <c r="G1031" t="s">
        <v>19812</v>
      </c>
      <c r="H1031" t="s">
        <v>19813</v>
      </c>
      <c r="I1031" t="s">
        <v>19814</v>
      </c>
      <c r="J1031" t="s">
        <v>19815</v>
      </c>
      <c r="K1031" t="s">
        <v>19816</v>
      </c>
      <c r="L1031" t="s">
        <v>19817</v>
      </c>
      <c r="M1031" t="s">
        <v>19818</v>
      </c>
      <c r="N1031" t="s">
        <v>19819</v>
      </c>
      <c r="O1031">
        <f>-684.06510993882 -148.210788707767 -507.109821676374</f>
        <v>-1339.3857203229609</v>
      </c>
      <c r="P1031">
        <f>-494.031160889585 -80.7856777748189 -309.829451154254</f>
        <v>-884.64628981865792</v>
      </c>
      <c r="Q1031" t="s">
        <v>19820</v>
      </c>
      <c r="R1031" t="s">
        <v>19821</v>
      </c>
      <c r="S1031" t="s">
        <v>19822</v>
      </c>
      <c r="T1031" t="s">
        <v>19823</v>
      </c>
      <c r="U1031" t="s">
        <v>19824</v>
      </c>
      <c r="V1031">
        <f>-613.41742948512 -54.8143964273997 -93.5841310814865</f>
        <v>-761.81595699400623</v>
      </c>
      <c r="W1031" t="s">
        <v>19825</v>
      </c>
      <c r="X1031" t="s">
        <v>19826</v>
      </c>
      <c r="Y1031" t="s">
        <v>19827</v>
      </c>
    </row>
    <row r="1032" spans="1:25" x14ac:dyDescent="0.3">
      <c r="A1032">
        <v>51550</v>
      </c>
      <c r="B1032" t="s">
        <v>19828</v>
      </c>
      <c r="C1032" t="s">
        <v>19829</v>
      </c>
      <c r="D1032" t="s">
        <v>19830</v>
      </c>
      <c r="E1032" t="s">
        <v>19831</v>
      </c>
      <c r="F1032" t="s">
        <v>19832</v>
      </c>
      <c r="G1032" t="s">
        <v>19833</v>
      </c>
      <c r="H1032" t="s">
        <v>19834</v>
      </c>
      <c r="I1032" t="s">
        <v>19835</v>
      </c>
      <c r="J1032" t="s">
        <v>19836</v>
      </c>
      <c r="K1032" t="s">
        <v>19837</v>
      </c>
      <c r="L1032" t="s">
        <v>19838</v>
      </c>
      <c r="M1032" t="s">
        <v>19839</v>
      </c>
      <c r="N1032" t="s">
        <v>19840</v>
      </c>
      <c r="O1032">
        <f>-684.919906711748 -148.049605685547 -507.076068198075</f>
        <v>-1340.04558059537</v>
      </c>
      <c r="P1032">
        <f>-494.749117248268 -81.9055488364247 -309.49417607504</f>
        <v>-886.14884215973279</v>
      </c>
      <c r="Q1032" t="s">
        <v>19841</v>
      </c>
      <c r="R1032" t="s">
        <v>19842</v>
      </c>
      <c r="S1032" t="s">
        <v>19843</v>
      </c>
      <c r="T1032" t="s">
        <v>19844</v>
      </c>
      <c r="U1032" t="s">
        <v>19845</v>
      </c>
      <c r="V1032">
        <f>-613.840919611589 -55.000739455774 -93.5823783298206</f>
        <v>-762.42403739718361</v>
      </c>
      <c r="W1032" t="s">
        <v>19846</v>
      </c>
      <c r="X1032" t="s">
        <v>19847</v>
      </c>
      <c r="Y1032" t="s">
        <v>19848</v>
      </c>
    </row>
    <row r="1033" spans="1:25" x14ac:dyDescent="0.3">
      <c r="A1033">
        <v>51600</v>
      </c>
      <c r="B1033" t="s">
        <v>19849</v>
      </c>
      <c r="C1033" t="s">
        <v>19850</v>
      </c>
      <c r="D1033" t="s">
        <v>19851</v>
      </c>
      <c r="E1033" t="s">
        <v>19852</v>
      </c>
      <c r="F1033" t="s">
        <v>19853</v>
      </c>
      <c r="G1033" t="s">
        <v>19854</v>
      </c>
      <c r="H1033" t="s">
        <v>19855</v>
      </c>
      <c r="I1033" t="s">
        <v>19856</v>
      </c>
      <c r="J1033" t="s">
        <v>19857</v>
      </c>
      <c r="K1033" t="s">
        <v>19858</v>
      </c>
      <c r="L1033" t="s">
        <v>19859</v>
      </c>
      <c r="M1033" t="s">
        <v>19860</v>
      </c>
      <c r="N1033" t="s">
        <v>19861</v>
      </c>
      <c r="O1033">
        <f>-686.773183240811 -147.651469218642 -507.022862230878</f>
        <v>-1341.447514690331</v>
      </c>
      <c r="P1033">
        <f>-496.809177958217 -83.3822157073632 -308.625077315888</f>
        <v>-888.81647098146823</v>
      </c>
      <c r="Q1033" t="s">
        <v>19862</v>
      </c>
      <c r="R1033" t="s">
        <v>19863</v>
      </c>
      <c r="S1033" t="s">
        <v>19864</v>
      </c>
      <c r="T1033" t="s">
        <v>19865</v>
      </c>
      <c r="U1033" t="s">
        <v>19866</v>
      </c>
      <c r="V1033">
        <f>-614.729351327921 -55.379704715368 -93.5508188995565</f>
        <v>-763.65987494284548</v>
      </c>
      <c r="W1033" t="s">
        <v>19867</v>
      </c>
      <c r="X1033" t="s">
        <v>19868</v>
      </c>
      <c r="Y1033" t="s">
        <v>19869</v>
      </c>
    </row>
    <row r="1034" spans="1:25" x14ac:dyDescent="0.3">
      <c r="A1034">
        <v>51650</v>
      </c>
      <c r="B1034" t="s">
        <v>19870</v>
      </c>
      <c r="C1034" t="s">
        <v>19871</v>
      </c>
      <c r="D1034" t="s">
        <v>19872</v>
      </c>
      <c r="E1034" t="s">
        <v>19873</v>
      </c>
      <c r="F1034" t="s">
        <v>19874</v>
      </c>
      <c r="G1034" t="s">
        <v>19875</v>
      </c>
      <c r="H1034" t="s">
        <v>19876</v>
      </c>
      <c r="I1034" t="s">
        <v>19877</v>
      </c>
      <c r="J1034" t="s">
        <v>19878</v>
      </c>
      <c r="K1034" t="s">
        <v>19879</v>
      </c>
      <c r="L1034" t="s">
        <v>19880</v>
      </c>
      <c r="M1034" t="s">
        <v>19881</v>
      </c>
      <c r="N1034" t="s">
        <v>19882</v>
      </c>
      <c r="O1034">
        <f>-687.721894109029 -147.494136507148 -507.083844637448</f>
        <v>-1342.299875253625</v>
      </c>
      <c r="P1034">
        <f>-497.795077605527 -83.960612289736 -308.41351793735</f>
        <v>-890.16920783261298</v>
      </c>
      <c r="Q1034" t="s">
        <v>19883</v>
      </c>
      <c r="R1034" t="s">
        <v>19884</v>
      </c>
      <c r="S1034" t="s">
        <v>19885</v>
      </c>
      <c r="T1034" t="s">
        <v>19886</v>
      </c>
      <c r="U1034" t="s">
        <v>19887</v>
      </c>
      <c r="V1034">
        <f>-615.238310617259 -55.5849945102996 -93.5190427091525</f>
        <v>-764.34234783671104</v>
      </c>
      <c r="W1034" t="s">
        <v>19888</v>
      </c>
      <c r="X1034" t="s">
        <v>19889</v>
      </c>
      <c r="Y1034" t="s">
        <v>19890</v>
      </c>
    </row>
    <row r="1035" spans="1:25" x14ac:dyDescent="0.3">
      <c r="A1035">
        <v>51700</v>
      </c>
      <c r="B1035" t="s">
        <v>19891</v>
      </c>
      <c r="C1035" t="s">
        <v>19892</v>
      </c>
      <c r="D1035" t="s">
        <v>19893</v>
      </c>
      <c r="E1035" t="s">
        <v>19894</v>
      </c>
      <c r="F1035" t="s">
        <v>19895</v>
      </c>
      <c r="G1035" t="s">
        <v>19896</v>
      </c>
      <c r="H1035" t="s">
        <v>19897</v>
      </c>
      <c r="I1035" t="s">
        <v>19898</v>
      </c>
      <c r="J1035" t="s">
        <v>19899</v>
      </c>
      <c r="K1035" t="s">
        <v>19900</v>
      </c>
      <c r="L1035" t="s">
        <v>19901</v>
      </c>
      <c r="M1035" t="s">
        <v>19902</v>
      </c>
      <c r="N1035" t="s">
        <v>19903</v>
      </c>
      <c r="O1035">
        <f>-689.404270676292 -147.46422886923 -507.403450305462</f>
        <v>-1344.2719498509839</v>
      </c>
      <c r="P1035">
        <f>-499.598134134492 -85.2905876034893 -308.188412834826</f>
        <v>-893.07713457280738</v>
      </c>
      <c r="Q1035" t="s">
        <v>19904</v>
      </c>
      <c r="R1035" t="s">
        <v>19905</v>
      </c>
      <c r="S1035" t="s">
        <v>19906</v>
      </c>
      <c r="T1035" t="s">
        <v>19907</v>
      </c>
      <c r="U1035" t="s">
        <v>19908</v>
      </c>
      <c r="V1035">
        <f>-616.327043311701 -56.1941965421531 -93.4951457514662</f>
        <v>-766.01638560532035</v>
      </c>
      <c r="W1035" t="s">
        <v>19909</v>
      </c>
      <c r="X1035" t="s">
        <v>19910</v>
      </c>
      <c r="Y1035" t="s">
        <v>19911</v>
      </c>
    </row>
    <row r="1036" spans="1:25" x14ac:dyDescent="0.3">
      <c r="A1036">
        <v>51750</v>
      </c>
      <c r="B1036" t="s">
        <v>19912</v>
      </c>
      <c r="C1036" t="s">
        <v>19913</v>
      </c>
      <c r="D1036" t="s">
        <v>19914</v>
      </c>
      <c r="E1036" t="s">
        <v>19915</v>
      </c>
      <c r="F1036" t="s">
        <v>19916</v>
      </c>
      <c r="G1036" t="s">
        <v>19917</v>
      </c>
      <c r="H1036" t="s">
        <v>19918</v>
      </c>
      <c r="I1036" t="s">
        <v>19919</v>
      </c>
      <c r="J1036" t="s">
        <v>19920</v>
      </c>
      <c r="K1036" t="s">
        <v>19921</v>
      </c>
      <c r="L1036" t="s">
        <v>19922</v>
      </c>
      <c r="M1036" t="s">
        <v>19923</v>
      </c>
      <c r="N1036" t="s">
        <v>19924</v>
      </c>
      <c r="O1036">
        <f>-690.20406030071 -147.418818325568 -507.58493112186</f>
        <v>-1345.2078097481381</v>
      </c>
      <c r="P1036">
        <f>-500.488062174341 -86.0110256306893 -308.046749201197</f>
        <v>-894.5458370062272</v>
      </c>
      <c r="Q1036" t="s">
        <v>19925</v>
      </c>
      <c r="R1036" t="s">
        <v>19926</v>
      </c>
      <c r="S1036" t="s">
        <v>19927</v>
      </c>
      <c r="T1036" t="s">
        <v>19928</v>
      </c>
      <c r="U1036" t="s">
        <v>19929</v>
      </c>
      <c r="V1036">
        <f>-616.902043038152 -56.425449013502 -93.4959828556257</f>
        <v>-766.82347490727966</v>
      </c>
      <c r="W1036" t="s">
        <v>19930</v>
      </c>
      <c r="X1036" t="s">
        <v>19931</v>
      </c>
      <c r="Y1036" t="s">
        <v>19932</v>
      </c>
    </row>
    <row r="1037" spans="1:25" x14ac:dyDescent="0.3">
      <c r="A1037">
        <v>51800</v>
      </c>
      <c r="B1037" t="s">
        <v>19933</v>
      </c>
      <c r="C1037" t="s">
        <v>19934</v>
      </c>
      <c r="D1037" t="s">
        <v>19935</v>
      </c>
      <c r="E1037" t="s">
        <v>19936</v>
      </c>
      <c r="F1037" t="s">
        <v>19937</v>
      </c>
      <c r="G1037" t="s">
        <v>19938</v>
      </c>
      <c r="H1037" t="s">
        <v>19939</v>
      </c>
      <c r="I1037" t="s">
        <v>19940</v>
      </c>
      <c r="J1037" t="s">
        <v>19941</v>
      </c>
      <c r="K1037" t="s">
        <v>19942</v>
      </c>
      <c r="L1037" t="s">
        <v>19943</v>
      </c>
      <c r="M1037" t="s">
        <v>19944</v>
      </c>
      <c r="N1037" t="s">
        <v>19945</v>
      </c>
      <c r="O1037">
        <f>-691.52306313043 -147.333906158239 -508.070081387526</f>
        <v>-1346.927050676195</v>
      </c>
      <c r="P1037">
        <f>-502.285510331442 -87.1043128759011 -307.720220908098</f>
        <v>-897.11004411544116</v>
      </c>
      <c r="Q1037" t="s">
        <v>19946</v>
      </c>
      <c r="R1037" t="s">
        <v>19947</v>
      </c>
      <c r="S1037" t="s">
        <v>19948</v>
      </c>
      <c r="T1037" t="s">
        <v>19949</v>
      </c>
      <c r="U1037" t="s">
        <v>19950</v>
      </c>
      <c r="V1037">
        <f>-618.011886061624 -56.9339641504635 -93.557317062017</f>
        <v>-768.50316727410438</v>
      </c>
      <c r="W1037" t="s">
        <v>19951</v>
      </c>
      <c r="X1037" t="s">
        <v>19952</v>
      </c>
      <c r="Y1037" t="s">
        <v>19953</v>
      </c>
    </row>
    <row r="1038" spans="1:25" x14ac:dyDescent="0.3">
      <c r="A1038">
        <v>51850</v>
      </c>
      <c r="B1038" t="s">
        <v>19954</v>
      </c>
      <c r="C1038" t="s">
        <v>19955</v>
      </c>
      <c r="D1038" t="s">
        <v>19956</v>
      </c>
      <c r="E1038" t="s">
        <v>19957</v>
      </c>
      <c r="F1038" t="s">
        <v>19958</v>
      </c>
      <c r="G1038" t="s">
        <v>19959</v>
      </c>
      <c r="H1038" t="s">
        <v>19960</v>
      </c>
      <c r="I1038" t="s">
        <v>19961</v>
      </c>
      <c r="J1038" t="s">
        <v>19962</v>
      </c>
      <c r="K1038" t="s">
        <v>19963</v>
      </c>
      <c r="L1038" t="s">
        <v>19964</v>
      </c>
      <c r="M1038" t="s">
        <v>19965</v>
      </c>
      <c r="N1038" t="s">
        <v>19966</v>
      </c>
      <c r="O1038">
        <f>-692.186063870463 -147.177952672945 -508.324896188111</f>
        <v>-1347.6889127315189</v>
      </c>
      <c r="P1038">
        <f>-503.203491202435 -87.4153918910527 -307.594656902499</f>
        <v>-898.21353999598682</v>
      </c>
      <c r="Q1038" t="s">
        <v>19967</v>
      </c>
      <c r="R1038" t="s">
        <v>19968</v>
      </c>
      <c r="S1038" t="s">
        <v>19969</v>
      </c>
      <c r="T1038" t="s">
        <v>19970</v>
      </c>
      <c r="U1038" t="s">
        <v>19971</v>
      </c>
      <c r="V1038">
        <f>-618.510453986756 -57.0623948119442 -93.6038991345837</f>
        <v>-769.17674793328388</v>
      </c>
      <c r="W1038" t="s">
        <v>19972</v>
      </c>
      <c r="X1038" t="s">
        <v>19973</v>
      </c>
      <c r="Y1038" t="s">
        <v>19974</v>
      </c>
    </row>
    <row r="1039" spans="1:25" x14ac:dyDescent="0.3">
      <c r="A1039">
        <v>51900</v>
      </c>
      <c r="B1039" t="s">
        <v>19975</v>
      </c>
      <c r="C1039" t="s">
        <v>19976</v>
      </c>
      <c r="D1039" t="s">
        <v>19977</v>
      </c>
      <c r="E1039" t="s">
        <v>19978</v>
      </c>
      <c r="F1039" t="s">
        <v>19979</v>
      </c>
      <c r="G1039" t="s">
        <v>19980</v>
      </c>
      <c r="H1039" t="s">
        <v>19981</v>
      </c>
      <c r="I1039" t="s">
        <v>19982</v>
      </c>
      <c r="J1039" t="s">
        <v>19983</v>
      </c>
      <c r="K1039" t="s">
        <v>19984</v>
      </c>
      <c r="L1039" t="s">
        <v>19985</v>
      </c>
      <c r="M1039" t="s">
        <v>19986</v>
      </c>
      <c r="N1039" t="s">
        <v>19987</v>
      </c>
      <c r="O1039">
        <f>-693.571265817488 -146.72117633089 -508.810824440383</f>
        <v>-1349.103266588761</v>
      </c>
      <c r="P1039">
        <f>-504.98264281954 -87.6958012109283 -307.492776795204</f>
        <v>-900.17122082567232</v>
      </c>
      <c r="Q1039" t="s">
        <v>19988</v>
      </c>
      <c r="R1039" t="s">
        <v>19989</v>
      </c>
      <c r="S1039" t="s">
        <v>19990</v>
      </c>
      <c r="T1039" t="s">
        <v>19991</v>
      </c>
      <c r="U1039" t="s">
        <v>19992</v>
      </c>
      <c r="V1039">
        <f>-619.463301322432 -57.3533811326602 -93.6983886694935</f>
        <v>-770.51507112458569</v>
      </c>
      <c r="W1039" t="s">
        <v>19993</v>
      </c>
      <c r="X1039" t="s">
        <v>19994</v>
      </c>
      <c r="Y1039" t="s">
        <v>19995</v>
      </c>
    </row>
    <row r="1040" spans="1:25" x14ac:dyDescent="0.3">
      <c r="A1040">
        <v>51950</v>
      </c>
      <c r="B1040" t="s">
        <v>19996</v>
      </c>
      <c r="C1040" t="s">
        <v>19997</v>
      </c>
      <c r="D1040" t="s">
        <v>19998</v>
      </c>
      <c r="E1040" t="s">
        <v>19999</v>
      </c>
      <c r="F1040" t="s">
        <v>20000</v>
      </c>
      <c r="G1040" t="s">
        <v>20001</v>
      </c>
      <c r="H1040" t="s">
        <v>20002</v>
      </c>
      <c r="I1040" t="s">
        <v>20003</v>
      </c>
      <c r="J1040" t="s">
        <v>20004</v>
      </c>
      <c r="K1040" t="s">
        <v>20005</v>
      </c>
      <c r="L1040" t="s">
        <v>20006</v>
      </c>
      <c r="M1040" t="s">
        <v>20007</v>
      </c>
      <c r="N1040" t="s">
        <v>20008</v>
      </c>
      <c r="O1040">
        <f>-694.357808992346 -146.463569186899 -508.981209488744</f>
        <v>-1349.802587667989</v>
      </c>
      <c r="P1040">
        <f>-505.797972486731 -87.8035272838401 -307.52959004987</f>
        <v>-901.13108982044105</v>
      </c>
      <c r="Q1040" t="s">
        <v>20009</v>
      </c>
      <c r="R1040" t="s">
        <v>20010</v>
      </c>
      <c r="S1040" t="s">
        <v>20011</v>
      </c>
      <c r="T1040" t="s">
        <v>20012</v>
      </c>
      <c r="U1040" t="s">
        <v>20013</v>
      </c>
      <c r="V1040">
        <f>-619.957176929087 -57.4661640043 -93.7422178090605</f>
        <v>-771.16555874244762</v>
      </c>
      <c r="W1040" t="s">
        <v>20014</v>
      </c>
      <c r="X1040" t="s">
        <v>20015</v>
      </c>
      <c r="Y1040" t="s">
        <v>20016</v>
      </c>
    </row>
    <row r="1041" spans="1:25" x14ac:dyDescent="0.3">
      <c r="A1041">
        <v>52000</v>
      </c>
      <c r="B1041" t="s">
        <v>20017</v>
      </c>
      <c r="C1041" t="s">
        <v>20018</v>
      </c>
      <c r="D1041" t="s">
        <v>20019</v>
      </c>
      <c r="E1041" t="s">
        <v>20020</v>
      </c>
      <c r="F1041" t="s">
        <v>20021</v>
      </c>
      <c r="G1041" t="s">
        <v>20022</v>
      </c>
      <c r="H1041" t="s">
        <v>20023</v>
      </c>
      <c r="I1041" t="s">
        <v>20024</v>
      </c>
      <c r="J1041" t="s">
        <v>20025</v>
      </c>
      <c r="K1041" t="s">
        <v>20026</v>
      </c>
      <c r="L1041" t="s">
        <v>20027</v>
      </c>
      <c r="M1041" t="s">
        <v>20028</v>
      </c>
      <c r="N1041" t="s">
        <v>20029</v>
      </c>
      <c r="O1041">
        <f>-696.295129412579 -145.776106641559 -509.235017000372</f>
        <v>-1351.3062530545099</v>
      </c>
      <c r="P1041">
        <f>-507.256779348349 -87.8974973252421 -308.006099212865</f>
        <v>-903.16037588645611</v>
      </c>
      <c r="Q1041" t="s">
        <v>20030</v>
      </c>
      <c r="R1041" t="s">
        <v>20031</v>
      </c>
      <c r="S1041" t="s">
        <v>20032</v>
      </c>
      <c r="T1041" t="s">
        <v>20033</v>
      </c>
      <c r="U1041" t="s">
        <v>20034</v>
      </c>
      <c r="V1041">
        <f>-621.032487793979 -57.7063701371883 -93.7926149518031</f>
        <v>-772.53147288297043</v>
      </c>
      <c r="W1041" t="s">
        <v>20035</v>
      </c>
      <c r="X1041" t="s">
        <v>20036</v>
      </c>
      <c r="Y1041" t="s">
        <v>20037</v>
      </c>
    </row>
    <row r="1042" spans="1:25" x14ac:dyDescent="0.3">
      <c r="A1042">
        <v>52050</v>
      </c>
      <c r="B1042" t="s">
        <v>20038</v>
      </c>
      <c r="C1042" t="s">
        <v>20039</v>
      </c>
      <c r="D1042" t="s">
        <v>20040</v>
      </c>
      <c r="E1042" t="s">
        <v>20041</v>
      </c>
      <c r="F1042" t="s">
        <v>20042</v>
      </c>
      <c r="G1042" t="s">
        <v>20043</v>
      </c>
      <c r="H1042" t="s">
        <v>20044</v>
      </c>
      <c r="I1042" t="s">
        <v>20045</v>
      </c>
      <c r="J1042" t="s">
        <v>20046</v>
      </c>
      <c r="K1042" t="s">
        <v>20047</v>
      </c>
      <c r="L1042" t="s">
        <v>20048</v>
      </c>
      <c r="M1042" t="s">
        <v>20049</v>
      </c>
      <c r="N1042" t="s">
        <v>20050</v>
      </c>
      <c r="O1042">
        <f>-697.245795586259 -145.393914436011 -509.434475681931</f>
        <v>-1352.074185704201</v>
      </c>
      <c r="P1042">
        <f>-507.760497989771 -87.9440303928689 -308.503088732538</f>
        <v>-904.20761711517787</v>
      </c>
      <c r="Q1042" t="s">
        <v>20051</v>
      </c>
      <c r="R1042" t="s">
        <v>20052</v>
      </c>
      <c r="S1042" t="s">
        <v>20053</v>
      </c>
      <c r="T1042" t="s">
        <v>20054</v>
      </c>
      <c r="U1042" t="s">
        <v>20055</v>
      </c>
      <c r="V1042">
        <f>-621.457629180295 -57.7601894103109 -93.8207362813721</f>
        <v>-773.03855487197802</v>
      </c>
      <c r="W1042" t="s">
        <v>20056</v>
      </c>
      <c r="X1042" t="s">
        <v>20057</v>
      </c>
      <c r="Y1042" t="s">
        <v>20058</v>
      </c>
    </row>
    <row r="1043" spans="1:25" x14ac:dyDescent="0.3">
      <c r="A1043">
        <v>52100</v>
      </c>
      <c r="B1043" t="s">
        <v>20059</v>
      </c>
      <c r="C1043" t="s">
        <v>20060</v>
      </c>
      <c r="D1043" t="s">
        <v>20061</v>
      </c>
      <c r="E1043" t="s">
        <v>20062</v>
      </c>
      <c r="F1043" t="s">
        <v>20063</v>
      </c>
      <c r="G1043" t="s">
        <v>20064</v>
      </c>
      <c r="H1043" t="s">
        <v>20065</v>
      </c>
      <c r="I1043" t="s">
        <v>20066</v>
      </c>
      <c r="J1043" t="s">
        <v>20067</v>
      </c>
      <c r="K1043" t="s">
        <v>20068</v>
      </c>
      <c r="L1043" t="s">
        <v>20069</v>
      </c>
      <c r="M1043" t="s">
        <v>20070</v>
      </c>
      <c r="N1043" t="s">
        <v>20071</v>
      </c>
      <c r="O1043">
        <f>-698.65559096179 -144.252390974958 -510.015067613626</f>
        <v>-1352.9230495503739</v>
      </c>
      <c r="P1043">
        <f>-508.402879176844 -87.6028657855481 -309.582370113967</f>
        <v>-905.58811507635914</v>
      </c>
      <c r="Q1043" t="s">
        <v>20072</v>
      </c>
      <c r="R1043" t="s">
        <v>20073</v>
      </c>
      <c r="S1043" t="s">
        <v>20074</v>
      </c>
      <c r="T1043" t="s">
        <v>20075</v>
      </c>
      <c r="U1043" t="s">
        <v>20076</v>
      </c>
      <c r="V1043">
        <f>-621.625151886789 -57.9084684992954 -93.8300787018559</f>
        <v>-773.36369908794029</v>
      </c>
      <c r="W1043" t="s">
        <v>20077</v>
      </c>
      <c r="X1043" t="s">
        <v>20078</v>
      </c>
      <c r="Y1043" t="s">
        <v>20079</v>
      </c>
    </row>
    <row r="1044" spans="1:25" x14ac:dyDescent="0.3">
      <c r="A1044">
        <v>52150</v>
      </c>
      <c r="B1044" t="s">
        <v>20080</v>
      </c>
      <c r="C1044" t="s">
        <v>20081</v>
      </c>
      <c r="D1044" t="s">
        <v>20082</v>
      </c>
      <c r="E1044" t="s">
        <v>20083</v>
      </c>
      <c r="F1044" t="s">
        <v>20084</v>
      </c>
      <c r="G1044" t="s">
        <v>20085</v>
      </c>
      <c r="H1044" t="s">
        <v>20086</v>
      </c>
      <c r="I1044" t="s">
        <v>20087</v>
      </c>
      <c r="J1044" t="s">
        <v>20088</v>
      </c>
      <c r="K1044" t="s">
        <v>20089</v>
      </c>
      <c r="L1044" t="s">
        <v>20090</v>
      </c>
      <c r="M1044" t="s">
        <v>20091</v>
      </c>
      <c r="N1044" t="s">
        <v>20092</v>
      </c>
      <c r="O1044">
        <f>-699.187577246147 -143.437814010862 -510.388772487257</f>
        <v>-1353.0141637442659</v>
      </c>
      <c r="P1044">
        <f>-508.594348790149 -87.3408026518141 -310.124072851322</f>
        <v>-906.05922429328518</v>
      </c>
      <c r="Q1044" t="s">
        <v>20093</v>
      </c>
      <c r="R1044" t="s">
        <v>20094</v>
      </c>
      <c r="S1044" t="s">
        <v>20095</v>
      </c>
      <c r="T1044" t="s">
        <v>20096</v>
      </c>
      <c r="U1044" t="s">
        <v>20097</v>
      </c>
      <c r="V1044">
        <f>-621.575589287369 -57.8087877596506 -93.7801788057312</f>
        <v>-773.16455585275082</v>
      </c>
      <c r="W1044" t="s">
        <v>20098</v>
      </c>
      <c r="X1044" t="s">
        <v>20099</v>
      </c>
      <c r="Y1044" t="s">
        <v>20100</v>
      </c>
    </row>
    <row r="1045" spans="1:25" x14ac:dyDescent="0.3">
      <c r="A1045">
        <v>52200</v>
      </c>
      <c r="B1045" t="s">
        <v>20101</v>
      </c>
      <c r="C1045" t="s">
        <v>20102</v>
      </c>
      <c r="D1045" t="s">
        <v>20103</v>
      </c>
      <c r="E1045" t="s">
        <v>20104</v>
      </c>
      <c r="F1045" t="s">
        <v>20105</v>
      </c>
      <c r="G1045" t="s">
        <v>20106</v>
      </c>
      <c r="H1045" t="s">
        <v>20107</v>
      </c>
      <c r="I1045" t="s">
        <v>20108</v>
      </c>
      <c r="J1045" t="s">
        <v>20109</v>
      </c>
      <c r="K1045" t="s">
        <v>20110</v>
      </c>
      <c r="L1045" t="s">
        <v>20111</v>
      </c>
      <c r="M1045" t="s">
        <v>20112</v>
      </c>
      <c r="N1045" t="s">
        <v>20113</v>
      </c>
      <c r="O1045">
        <f>-699.706115101574 -141.484039854053 -511.473872457638</f>
        <v>-1352.6640274132651</v>
      </c>
      <c r="P1045">
        <f>-508.294160147631 -86.867570910634 -311.581132528339</f>
        <v>-906.74286358660402</v>
      </c>
      <c r="Q1045" t="s">
        <v>20114</v>
      </c>
      <c r="R1045" t="s">
        <v>20115</v>
      </c>
      <c r="S1045" t="s">
        <v>20116</v>
      </c>
      <c r="T1045" t="s">
        <v>20117</v>
      </c>
      <c r="U1045" t="s">
        <v>20118</v>
      </c>
      <c r="V1045">
        <f>-621.619334269081 -57.6551738652054 -93.7620571386482</f>
        <v>-773.03656527293458</v>
      </c>
      <c r="W1045" t="s">
        <v>20119</v>
      </c>
      <c r="X1045" t="s">
        <v>20120</v>
      </c>
      <c r="Y1045" t="s">
        <v>20121</v>
      </c>
    </row>
    <row r="1046" spans="1:25" x14ac:dyDescent="0.3">
      <c r="A1046">
        <v>52250</v>
      </c>
      <c r="B1046" t="s">
        <v>20122</v>
      </c>
      <c r="C1046" t="s">
        <v>20123</v>
      </c>
      <c r="D1046" t="s">
        <v>20124</v>
      </c>
      <c r="E1046" t="s">
        <v>20125</v>
      </c>
      <c r="F1046" t="s">
        <v>20126</v>
      </c>
      <c r="G1046" t="s">
        <v>20127</v>
      </c>
      <c r="H1046" t="s">
        <v>20128</v>
      </c>
      <c r="I1046" t="s">
        <v>20129</v>
      </c>
      <c r="J1046" t="s">
        <v>20130</v>
      </c>
      <c r="K1046" t="s">
        <v>20131</v>
      </c>
      <c r="L1046" t="s">
        <v>20132</v>
      </c>
      <c r="M1046" t="s">
        <v>20133</v>
      </c>
      <c r="N1046" t="s">
        <v>20134</v>
      </c>
      <c r="O1046">
        <f>-699.968054374368 -140.358187077104 -512.177396138854</f>
        <v>-1352.503637590326</v>
      </c>
      <c r="P1046">
        <f>-508.129830007579 -86.5294435981441 -312.479720654626</f>
        <v>-907.13899426034914</v>
      </c>
      <c r="Q1046" t="s">
        <v>20135</v>
      </c>
      <c r="R1046" t="s">
        <v>20136</v>
      </c>
      <c r="S1046" t="s">
        <v>20137</v>
      </c>
      <c r="T1046" t="s">
        <v>20138</v>
      </c>
      <c r="U1046" t="s">
        <v>20139</v>
      </c>
      <c r="V1046">
        <f>-621.931326672161 -57.3675685044971 -93.7780919610819</f>
        <v>-773.07698713774005</v>
      </c>
      <c r="W1046" t="s">
        <v>20140</v>
      </c>
      <c r="X1046" t="s">
        <v>20141</v>
      </c>
      <c r="Y1046" t="s">
        <v>20142</v>
      </c>
    </row>
    <row r="1047" spans="1:25" x14ac:dyDescent="0.3">
      <c r="A1047">
        <v>52300</v>
      </c>
      <c r="B1047" t="s">
        <v>20143</v>
      </c>
      <c r="C1047" t="s">
        <v>20144</v>
      </c>
      <c r="D1047" t="s">
        <v>20145</v>
      </c>
      <c r="E1047" t="s">
        <v>20146</v>
      </c>
      <c r="F1047" t="s">
        <v>20147</v>
      </c>
      <c r="G1047" t="s">
        <v>20148</v>
      </c>
      <c r="H1047" t="s">
        <v>20149</v>
      </c>
      <c r="I1047" t="s">
        <v>20150</v>
      </c>
      <c r="J1047" t="s">
        <v>20151</v>
      </c>
      <c r="K1047" t="s">
        <v>20152</v>
      </c>
      <c r="L1047" t="s">
        <v>20153</v>
      </c>
      <c r="M1047" t="s">
        <v>20154</v>
      </c>
      <c r="N1047" t="s">
        <v>20155</v>
      </c>
      <c r="O1047">
        <f>-700.575896497966 -137.591239824649 -513.619134929534</f>
        <v>-1351.7862712521492</v>
      </c>
      <c r="P1047">
        <f>-507.820861040708 -84.5726750347453 -314.588730040928</f>
        <v>-906.98226611638131</v>
      </c>
      <c r="Q1047" t="s">
        <v>20156</v>
      </c>
      <c r="R1047" t="s">
        <v>20157</v>
      </c>
      <c r="S1047" t="s">
        <v>20158</v>
      </c>
      <c r="T1047" t="s">
        <v>20159</v>
      </c>
      <c r="U1047" t="s">
        <v>20160</v>
      </c>
      <c r="V1047">
        <f>-622.815724022689 -56.5905670758534 -93.9009230630918</f>
        <v>-773.30721416163419</v>
      </c>
      <c r="W1047" t="s">
        <v>20161</v>
      </c>
      <c r="X1047" t="s">
        <v>20162</v>
      </c>
      <c r="Y1047" t="s">
        <v>20163</v>
      </c>
    </row>
    <row r="1048" spans="1:25" x14ac:dyDescent="0.3">
      <c r="A1048">
        <v>52350</v>
      </c>
      <c r="B1048" t="s">
        <v>20164</v>
      </c>
      <c r="C1048" t="s">
        <v>20165</v>
      </c>
      <c r="D1048" t="s">
        <v>20166</v>
      </c>
      <c r="E1048" t="s">
        <v>20167</v>
      </c>
      <c r="F1048" t="s">
        <v>20168</v>
      </c>
      <c r="G1048" t="s">
        <v>20169</v>
      </c>
      <c r="H1048" t="s">
        <v>20170</v>
      </c>
      <c r="I1048" t="s">
        <v>20171</v>
      </c>
      <c r="J1048" t="s">
        <v>20172</v>
      </c>
      <c r="K1048" t="s">
        <v>20173</v>
      </c>
      <c r="L1048" t="s">
        <v>20174</v>
      </c>
      <c r="M1048" t="s">
        <v>20175</v>
      </c>
      <c r="N1048" t="s">
        <v>20176</v>
      </c>
      <c r="O1048">
        <f>-700.79528768506 -135.907243406991 -514.448955718049</f>
        <v>-1351.1514868100999</v>
      </c>
      <c r="P1048">
        <f>-507.432543967421 -83.432635056389 -315.864281577957</f>
        <v>-906.72946060176696</v>
      </c>
      <c r="Q1048" t="s">
        <v>20177</v>
      </c>
      <c r="R1048" t="s">
        <v>20178</v>
      </c>
      <c r="S1048" t="s">
        <v>20179</v>
      </c>
      <c r="T1048" t="s">
        <v>20180</v>
      </c>
      <c r="U1048" t="s">
        <v>20181</v>
      </c>
      <c r="V1048">
        <f>-623.262207994216 -56.1764405535073 -93.9722224069518</f>
        <v>-773.41087095467515</v>
      </c>
      <c r="W1048" t="s">
        <v>20182</v>
      </c>
      <c r="X1048" t="s">
        <v>20183</v>
      </c>
      <c r="Y1048" t="s">
        <v>20184</v>
      </c>
    </row>
    <row r="1049" spans="1:25" x14ac:dyDescent="0.3">
      <c r="A1049">
        <v>52400</v>
      </c>
      <c r="B1049" t="s">
        <v>20185</v>
      </c>
      <c r="C1049" t="s">
        <v>20186</v>
      </c>
      <c r="D1049" t="s">
        <v>20187</v>
      </c>
      <c r="E1049" t="s">
        <v>20188</v>
      </c>
      <c r="F1049" t="s">
        <v>20189</v>
      </c>
      <c r="G1049" t="s">
        <v>20190</v>
      </c>
      <c r="H1049" t="s">
        <v>20191</v>
      </c>
      <c r="I1049" t="s">
        <v>20192</v>
      </c>
      <c r="J1049" t="s">
        <v>20193</v>
      </c>
      <c r="K1049" t="s">
        <v>20194</v>
      </c>
      <c r="L1049" t="s">
        <v>20195</v>
      </c>
      <c r="M1049" t="s">
        <v>20196</v>
      </c>
      <c r="N1049" t="s">
        <v>20197</v>
      </c>
      <c r="O1049">
        <f>-701.112241156258 -132.926277504727 -516.225831639112</f>
        <v>-1350.2643503000972</v>
      </c>
      <c r="P1049">
        <f>-506.631252433139 -82.8293546589557 -318.11983106384</f>
        <v>-907.58043815593476</v>
      </c>
      <c r="Q1049" t="s">
        <v>20198</v>
      </c>
      <c r="R1049" t="s">
        <v>20199</v>
      </c>
      <c r="S1049" t="s">
        <v>20200</v>
      </c>
      <c r="T1049" t="s">
        <v>20201</v>
      </c>
      <c r="U1049" t="s">
        <v>20202</v>
      </c>
      <c r="V1049">
        <f>-624.140852153827 -55.7443898502643 -94.0785252129771</f>
        <v>-773.96376721706838</v>
      </c>
      <c r="W1049" t="s">
        <v>20203</v>
      </c>
      <c r="X1049" t="s">
        <v>20204</v>
      </c>
      <c r="Y1049" t="s">
        <v>20205</v>
      </c>
    </row>
    <row r="1050" spans="1:25" x14ac:dyDescent="0.3">
      <c r="A1050">
        <v>52450</v>
      </c>
      <c r="B1050" t="s">
        <v>20206</v>
      </c>
      <c r="C1050" t="s">
        <v>20207</v>
      </c>
      <c r="D1050" t="s">
        <v>20208</v>
      </c>
      <c r="E1050" t="s">
        <v>20209</v>
      </c>
      <c r="F1050" t="s">
        <v>20210</v>
      </c>
      <c r="G1050" t="s">
        <v>20211</v>
      </c>
      <c r="H1050" t="s">
        <v>20212</v>
      </c>
      <c r="I1050" t="s">
        <v>20213</v>
      </c>
      <c r="J1050" t="s">
        <v>20214</v>
      </c>
      <c r="K1050" t="s">
        <v>20215</v>
      </c>
      <c r="L1050" t="s">
        <v>20216</v>
      </c>
      <c r="M1050" t="s">
        <v>20217</v>
      </c>
      <c r="N1050" t="s">
        <v>20218</v>
      </c>
      <c r="O1050">
        <f>-701.031990945942 -131.549767313508 -517.123005694341</f>
        <v>-1349.7047639537909</v>
      </c>
      <c r="P1050">
        <f>-506.181963367673 -83.018104363395 -318.989856087743</f>
        <v>-908.18992381881094</v>
      </c>
      <c r="Q1050" t="s">
        <v>20219</v>
      </c>
      <c r="R1050" t="s">
        <v>20220</v>
      </c>
      <c r="S1050" t="s">
        <v>20221</v>
      </c>
      <c r="T1050" t="s">
        <v>20222</v>
      </c>
      <c r="U1050" t="s">
        <v>20223</v>
      </c>
      <c r="V1050">
        <f>-624.388107135938 -55.4078141431039 -94.1438966206275</f>
        <v>-773.93981789966938</v>
      </c>
      <c r="W1050" t="s">
        <v>20224</v>
      </c>
      <c r="X1050" t="s">
        <v>20225</v>
      </c>
      <c r="Y1050" t="s">
        <v>20226</v>
      </c>
    </row>
    <row r="1051" spans="1:25" x14ac:dyDescent="0.3">
      <c r="A1051">
        <v>52500</v>
      </c>
      <c r="B1051" t="s">
        <v>20227</v>
      </c>
      <c r="C1051" t="s">
        <v>20228</v>
      </c>
      <c r="D1051" t="s">
        <v>20229</v>
      </c>
      <c r="E1051" t="s">
        <v>20230</v>
      </c>
      <c r="F1051" t="s">
        <v>20231</v>
      </c>
      <c r="G1051" t="s">
        <v>20232</v>
      </c>
      <c r="H1051" t="s">
        <v>20233</v>
      </c>
      <c r="I1051" t="s">
        <v>20234</v>
      </c>
      <c r="J1051" t="s">
        <v>20235</v>
      </c>
      <c r="K1051" t="s">
        <v>20236</v>
      </c>
      <c r="L1051" t="s">
        <v>20237</v>
      </c>
      <c r="M1051" t="s">
        <v>20238</v>
      </c>
      <c r="N1051" t="s">
        <v>20239</v>
      </c>
      <c r="O1051">
        <f>-700.285199641682 -128.456459940793 -519.149823408717</f>
        <v>-1347.8914829911919</v>
      </c>
      <c r="P1051">
        <f>-505.412834712724 -82.8748412960697 -320.339296507844</f>
        <v>-908.62697251663769</v>
      </c>
      <c r="Q1051" t="s">
        <v>20240</v>
      </c>
      <c r="R1051" t="s">
        <v>20241</v>
      </c>
      <c r="S1051" t="s">
        <v>20242</v>
      </c>
      <c r="T1051" t="s">
        <v>20243</v>
      </c>
      <c r="U1051" t="s">
        <v>20244</v>
      </c>
      <c r="V1051">
        <f>-624.654882440275 -54.8055755926698 -94.3047523263779</f>
        <v>-773.76521035932262</v>
      </c>
      <c r="W1051" t="s">
        <v>20245</v>
      </c>
      <c r="X1051" t="s">
        <v>20246</v>
      </c>
      <c r="Y1051" t="s">
        <v>20247</v>
      </c>
    </row>
    <row r="1052" spans="1:25" x14ac:dyDescent="0.3">
      <c r="A1052">
        <v>52550</v>
      </c>
      <c r="B1052" t="s">
        <v>20248</v>
      </c>
      <c r="C1052" t="s">
        <v>20249</v>
      </c>
      <c r="D1052" t="s">
        <v>20250</v>
      </c>
      <c r="E1052" t="s">
        <v>20251</v>
      </c>
      <c r="F1052" t="s">
        <v>20252</v>
      </c>
      <c r="G1052" t="s">
        <v>20253</v>
      </c>
      <c r="H1052" t="s">
        <v>20254</v>
      </c>
      <c r="I1052" t="s">
        <v>20255</v>
      </c>
      <c r="J1052" t="s">
        <v>20256</v>
      </c>
      <c r="K1052" t="s">
        <v>20257</v>
      </c>
      <c r="L1052" t="s">
        <v>20258</v>
      </c>
      <c r="M1052" t="s">
        <v>20259</v>
      </c>
      <c r="N1052" t="s">
        <v>20260</v>
      </c>
      <c r="O1052">
        <f>-699.556002325137 -126.6461563464 -520.351138766682</f>
        <v>-1346.553297438219</v>
      </c>
      <c r="P1052">
        <f>-504.956331258296 -82.5373865055205 -320.942013672776</f>
        <v>-908.4357314365925</v>
      </c>
      <c r="Q1052" t="s">
        <v>20261</v>
      </c>
      <c r="R1052" t="s">
        <v>20262</v>
      </c>
      <c r="S1052" t="s">
        <v>20263</v>
      </c>
      <c r="T1052" t="s">
        <v>20264</v>
      </c>
      <c r="U1052" t="s">
        <v>20265</v>
      </c>
      <c r="V1052">
        <f>-624.754862054728 -54.5303419590107 -94.3975366403961</f>
        <v>-773.68274065413482</v>
      </c>
      <c r="W1052" t="s">
        <v>20266</v>
      </c>
      <c r="X1052" t="s">
        <v>20267</v>
      </c>
      <c r="Y1052" t="s">
        <v>20268</v>
      </c>
    </row>
    <row r="1053" spans="1:25" x14ac:dyDescent="0.3">
      <c r="A1053">
        <v>52600</v>
      </c>
      <c r="B1053" t="s">
        <v>20269</v>
      </c>
      <c r="C1053" t="s">
        <v>20270</v>
      </c>
      <c r="D1053" t="s">
        <v>20271</v>
      </c>
      <c r="E1053" t="s">
        <v>20272</v>
      </c>
      <c r="F1053" t="s">
        <v>20273</v>
      </c>
      <c r="G1053" t="s">
        <v>20274</v>
      </c>
      <c r="H1053" t="s">
        <v>20275</v>
      </c>
      <c r="I1053" t="s">
        <v>20276</v>
      </c>
      <c r="J1053" t="s">
        <v>20277</v>
      </c>
      <c r="K1053" t="s">
        <v>20278</v>
      </c>
      <c r="L1053" t="s">
        <v>20279</v>
      </c>
      <c r="M1053" t="s">
        <v>20280</v>
      </c>
      <c r="N1053" t="s">
        <v>20281</v>
      </c>
      <c r="O1053">
        <f>-697.660212730631 -121.985603876904 -522.893529423861</f>
        <v>-1342.5393460313958</v>
      </c>
      <c r="P1053">
        <f>-503.791910020478 -80.3339503539939 -322.24755181889</f>
        <v>-906.3734121933619</v>
      </c>
      <c r="Q1053" t="s">
        <v>20282</v>
      </c>
      <c r="R1053" t="s">
        <v>20283</v>
      </c>
      <c r="S1053" t="s">
        <v>20284</v>
      </c>
      <c r="T1053" t="s">
        <v>20285</v>
      </c>
      <c r="U1053" t="s">
        <v>20286</v>
      </c>
      <c r="V1053">
        <f>-624.718841529823 -53.4680478396542 -94.5610213116895</f>
        <v>-772.74791068116667</v>
      </c>
      <c r="W1053" t="s">
        <v>20287</v>
      </c>
      <c r="X1053" t="s">
        <v>20288</v>
      </c>
      <c r="Y1053" t="s">
        <v>20289</v>
      </c>
    </row>
    <row r="1054" spans="1:25" x14ac:dyDescent="0.3">
      <c r="A1054">
        <v>52650</v>
      </c>
      <c r="B1054" t="s">
        <v>20290</v>
      </c>
      <c r="C1054" t="s">
        <v>20291</v>
      </c>
      <c r="D1054" t="s">
        <v>20292</v>
      </c>
      <c r="E1054" t="s">
        <v>20293</v>
      </c>
      <c r="F1054" t="s">
        <v>20294</v>
      </c>
      <c r="G1054" t="s">
        <v>20295</v>
      </c>
      <c r="H1054" t="s">
        <v>20296</v>
      </c>
      <c r="I1054" t="s">
        <v>20297</v>
      </c>
      <c r="J1054" t="s">
        <v>20298</v>
      </c>
      <c r="K1054" t="s">
        <v>20299</v>
      </c>
      <c r="L1054" t="s">
        <v>20300</v>
      </c>
      <c r="M1054" t="s">
        <v>20301</v>
      </c>
      <c r="N1054" t="s">
        <v>20302</v>
      </c>
      <c r="O1054">
        <f>-696.32913469376 -119.188659253969 -524.236363003191</f>
        <v>-1339.7541569509199</v>
      </c>
      <c r="P1054">
        <f>-502.928540889762 -78.8093800751674 -322.880148239308</f>
        <v>-904.61806920423749</v>
      </c>
      <c r="Q1054" t="s">
        <v>20303</v>
      </c>
      <c r="R1054" t="s">
        <v>20304</v>
      </c>
      <c r="S1054" t="s">
        <v>20305</v>
      </c>
      <c r="T1054" t="s">
        <v>20306</v>
      </c>
      <c r="U1054" t="s">
        <v>20307</v>
      </c>
      <c r="V1054">
        <f>-624.599782112909 -52.9089491490961 -94.640470769398</f>
        <v>-772.14920203140309</v>
      </c>
      <c r="W1054" t="s">
        <v>20308</v>
      </c>
      <c r="X1054" t="s">
        <v>20309</v>
      </c>
      <c r="Y1054" t="s">
        <v>20310</v>
      </c>
    </row>
    <row r="1055" spans="1:25" x14ac:dyDescent="0.3">
      <c r="A1055">
        <v>52700</v>
      </c>
      <c r="B1055" t="s">
        <v>20311</v>
      </c>
      <c r="C1055" t="s">
        <v>20312</v>
      </c>
      <c r="D1055" t="s">
        <v>20313</v>
      </c>
      <c r="E1055" t="s">
        <v>20314</v>
      </c>
      <c r="F1055" t="s">
        <v>20315</v>
      </c>
      <c r="G1055" t="s">
        <v>20316</v>
      </c>
      <c r="H1055" t="s">
        <v>20317</v>
      </c>
      <c r="I1055" t="s">
        <v>20318</v>
      </c>
      <c r="J1055" t="s">
        <v>20319</v>
      </c>
      <c r="K1055" t="s">
        <v>20320</v>
      </c>
      <c r="L1055" t="s">
        <v>20321</v>
      </c>
      <c r="M1055" t="s">
        <v>20322</v>
      </c>
      <c r="N1055" t="s">
        <v>20323</v>
      </c>
      <c r="O1055">
        <f>-693.132105381195 -113.582407901736 -526.961059454399</f>
        <v>-1333.67557273733</v>
      </c>
      <c r="P1055">
        <f>-501.032232056042 -75.5524904912713 -323.909531966915</f>
        <v>-900.49425451422826</v>
      </c>
      <c r="Q1055" t="s">
        <v>20324</v>
      </c>
      <c r="R1055" t="s">
        <v>20325</v>
      </c>
      <c r="S1055" t="s">
        <v>20326</v>
      </c>
      <c r="T1055" t="s">
        <v>20327</v>
      </c>
      <c r="U1055" t="s">
        <v>20328</v>
      </c>
      <c r="V1055">
        <f>-623.997880768508 -51.7421670589995 -94.8235915148886</f>
        <v>-770.56363934239607</v>
      </c>
      <c r="W1055" t="s">
        <v>20329</v>
      </c>
      <c r="X1055" t="s">
        <v>20330</v>
      </c>
      <c r="Y1055" t="s">
        <v>20331</v>
      </c>
    </row>
    <row r="1056" spans="1:25" x14ac:dyDescent="0.3">
      <c r="A1056">
        <v>52750</v>
      </c>
      <c r="B1056" t="s">
        <v>20332</v>
      </c>
      <c r="C1056" t="s">
        <v>20333</v>
      </c>
      <c r="D1056" t="s">
        <v>20334</v>
      </c>
      <c r="E1056" t="s">
        <v>20335</v>
      </c>
      <c r="F1056" t="s">
        <v>20336</v>
      </c>
      <c r="G1056" t="s">
        <v>20337</v>
      </c>
      <c r="H1056" t="s">
        <v>20338</v>
      </c>
      <c r="I1056" t="s">
        <v>20339</v>
      </c>
      <c r="J1056" t="s">
        <v>20340</v>
      </c>
      <c r="K1056" t="s">
        <v>20341</v>
      </c>
      <c r="L1056" t="s">
        <v>20342</v>
      </c>
      <c r="M1056" t="s">
        <v>20343</v>
      </c>
      <c r="N1056" t="s">
        <v>20344</v>
      </c>
      <c r="O1056">
        <f>-691.404700879856 -110.932109366449 -528.272009208138</f>
        <v>-1330.6088194544432</v>
      </c>
      <c r="P1056">
        <f>-500.126413213728 -74.0957292301314 -324.227217652363</f>
        <v>-898.44936009622234</v>
      </c>
      <c r="Q1056" t="s">
        <v>20345</v>
      </c>
      <c r="R1056" t="s">
        <v>20346</v>
      </c>
      <c r="S1056" t="s">
        <v>20347</v>
      </c>
      <c r="T1056" t="s">
        <v>20348</v>
      </c>
      <c r="U1056" t="s">
        <v>20349</v>
      </c>
      <c r="V1056">
        <f>-623.701204267975 -51.3443658013209 -94.907081354337</f>
        <v>-769.95265142363291</v>
      </c>
      <c r="W1056" t="s">
        <v>20350</v>
      </c>
      <c r="X1056" t="s">
        <v>20351</v>
      </c>
      <c r="Y1056" t="s">
        <v>20352</v>
      </c>
    </row>
    <row r="1057" spans="1:25" x14ac:dyDescent="0.3">
      <c r="A1057">
        <v>52800</v>
      </c>
      <c r="B1057" t="s">
        <v>20353</v>
      </c>
      <c r="C1057" t="s">
        <v>20354</v>
      </c>
      <c r="D1057" t="s">
        <v>20355</v>
      </c>
      <c r="E1057" t="s">
        <v>20356</v>
      </c>
      <c r="F1057" t="s">
        <v>20357</v>
      </c>
      <c r="G1057" t="s">
        <v>20358</v>
      </c>
      <c r="H1057" t="s">
        <v>20359</v>
      </c>
      <c r="I1057" t="s">
        <v>20360</v>
      </c>
      <c r="J1057" t="s">
        <v>20361</v>
      </c>
      <c r="K1057" t="s">
        <v>20362</v>
      </c>
      <c r="L1057" t="s">
        <v>20363</v>
      </c>
      <c r="M1057" t="s">
        <v>20364</v>
      </c>
      <c r="N1057" t="s">
        <v>20365</v>
      </c>
      <c r="O1057">
        <f>-688.162146598605 -106.421408869957 -530.525956915529</f>
        <v>-1325.109512384091</v>
      </c>
      <c r="P1057">
        <f>-498.865025443283 -71.7728811606808 -324.262388227946</f>
        <v>-894.90029483190983</v>
      </c>
      <c r="Q1057" t="s">
        <v>20366</v>
      </c>
      <c r="R1057" t="s">
        <v>20367</v>
      </c>
      <c r="S1057" t="s">
        <v>20368</v>
      </c>
      <c r="T1057" t="s">
        <v>20369</v>
      </c>
      <c r="U1057" t="s">
        <v>20370</v>
      </c>
      <c r="V1057">
        <f>-623.348870793342 -50.4638095417963 -95.0201846512299</f>
        <v>-768.83286498636824</v>
      </c>
      <c r="W1057" t="s">
        <v>20371</v>
      </c>
      <c r="X1057" t="s">
        <v>20372</v>
      </c>
      <c r="Y1057" t="s">
        <v>20373</v>
      </c>
    </row>
    <row r="1058" spans="1:25" x14ac:dyDescent="0.3">
      <c r="A1058">
        <v>52850</v>
      </c>
      <c r="B1058" t="s">
        <v>20374</v>
      </c>
      <c r="C1058" t="s">
        <v>20375</v>
      </c>
      <c r="D1058" t="s">
        <v>20376</v>
      </c>
      <c r="E1058" t="s">
        <v>20377</v>
      </c>
      <c r="F1058" t="s">
        <v>20378</v>
      </c>
      <c r="G1058" t="s">
        <v>20379</v>
      </c>
      <c r="H1058" t="s">
        <v>20380</v>
      </c>
      <c r="I1058" t="s">
        <v>20381</v>
      </c>
      <c r="J1058" t="s">
        <v>20382</v>
      </c>
      <c r="K1058" t="s">
        <v>20383</v>
      </c>
      <c r="L1058" t="s">
        <v>20384</v>
      </c>
      <c r="M1058" t="s">
        <v>20385</v>
      </c>
      <c r="N1058" t="s">
        <v>20386</v>
      </c>
      <c r="O1058">
        <f>-686.330905856626 -104.292073890943 -531.563417067575</f>
        <v>-1322.186396815144</v>
      </c>
      <c r="P1058">
        <f>-498.379725392691 -70.7124674003765 -323.897025600542</f>
        <v>-892.98921839360946</v>
      </c>
      <c r="Q1058" t="s">
        <v>20387</v>
      </c>
      <c r="R1058" t="s">
        <v>20388</v>
      </c>
      <c r="S1058" t="s">
        <v>20389</v>
      </c>
      <c r="T1058" t="s">
        <v>20390</v>
      </c>
      <c r="U1058" t="s">
        <v>20391</v>
      </c>
      <c r="V1058">
        <f>-622.957641169477 -49.8088159872455 -95.0972513104089</f>
        <v>-767.86370846713135</v>
      </c>
      <c r="W1058" t="s">
        <v>20392</v>
      </c>
      <c r="X1058" t="s">
        <v>20393</v>
      </c>
      <c r="Y1058" t="s">
        <v>20394</v>
      </c>
    </row>
    <row r="1059" spans="1:25" x14ac:dyDescent="0.3">
      <c r="A1059">
        <v>52900</v>
      </c>
      <c r="B1059" t="s">
        <v>20395</v>
      </c>
      <c r="C1059" t="s">
        <v>20396</v>
      </c>
      <c r="D1059" t="s">
        <v>20397</v>
      </c>
      <c r="E1059" t="s">
        <v>20398</v>
      </c>
      <c r="F1059" t="s">
        <v>20399</v>
      </c>
      <c r="G1059" t="s">
        <v>20400</v>
      </c>
      <c r="H1059" t="s">
        <v>20401</v>
      </c>
      <c r="I1059" t="s">
        <v>20402</v>
      </c>
      <c r="J1059" t="s">
        <v>20403</v>
      </c>
      <c r="K1059" t="s">
        <v>20404</v>
      </c>
      <c r="L1059" t="s">
        <v>20405</v>
      </c>
      <c r="M1059" t="s">
        <v>20406</v>
      </c>
      <c r="N1059" t="s">
        <v>20407</v>
      </c>
      <c r="O1059">
        <f>-682.561018791637 -100.270882433349 -533.399994653505</f>
        <v>-1316.2318958784911</v>
      </c>
      <c r="P1059">
        <f>-497.442007641117 -68.8842745770919 -322.866238889129</f>
        <v>-889.19252110733794</v>
      </c>
      <c r="Q1059" t="s">
        <v>20408</v>
      </c>
      <c r="R1059" t="s">
        <v>20409</v>
      </c>
      <c r="S1059" t="s">
        <v>20410</v>
      </c>
      <c r="T1059" t="s">
        <v>20411</v>
      </c>
      <c r="U1059" t="s">
        <v>20412</v>
      </c>
      <c r="V1059">
        <f>-622.299113722785 -48.3067515368903 -95.2139891979509</f>
        <v>-765.81985445762621</v>
      </c>
      <c r="W1059" t="s">
        <v>20413</v>
      </c>
      <c r="X1059" t="s">
        <v>20414</v>
      </c>
      <c r="Y1059" t="s">
        <v>20415</v>
      </c>
    </row>
    <row r="1060" spans="1:25" x14ac:dyDescent="0.3">
      <c r="A1060">
        <v>52950</v>
      </c>
      <c r="B1060" t="s">
        <v>20416</v>
      </c>
      <c r="C1060" t="s">
        <v>20417</v>
      </c>
      <c r="D1060" t="s">
        <v>20418</v>
      </c>
      <c r="E1060" t="s">
        <v>20419</v>
      </c>
      <c r="F1060" t="s">
        <v>20420</v>
      </c>
      <c r="G1060" t="s">
        <v>20421</v>
      </c>
      <c r="H1060" t="s">
        <v>20422</v>
      </c>
      <c r="I1060" t="s">
        <v>20423</v>
      </c>
      <c r="J1060" t="s">
        <v>20424</v>
      </c>
      <c r="K1060" t="s">
        <v>20425</v>
      </c>
      <c r="L1060" t="s">
        <v>20426</v>
      </c>
      <c r="M1060" t="s">
        <v>20427</v>
      </c>
      <c r="N1060" t="s">
        <v>20428</v>
      </c>
      <c r="O1060">
        <f>-680.804410278577 -98.276597282693 -534.127319020682</f>
        <v>-1313.208326581952</v>
      </c>
      <c r="P1060">
        <f>-496.962951278898 -67.7341339618322 -322.353665327129</f>
        <v>-887.05075056785927</v>
      </c>
      <c r="Q1060" t="s">
        <v>20429</v>
      </c>
      <c r="R1060" t="s">
        <v>20430</v>
      </c>
      <c r="S1060" t="s">
        <v>20431</v>
      </c>
      <c r="T1060" t="s">
        <v>20432</v>
      </c>
      <c r="U1060" t="s">
        <v>20433</v>
      </c>
      <c r="V1060">
        <f>-622.174472777489 -47.7023544843173 -95.3277284339148</f>
        <v>-765.20455569572107</v>
      </c>
      <c r="W1060" t="s">
        <v>20434</v>
      </c>
      <c r="X1060" t="s">
        <v>20435</v>
      </c>
      <c r="Y1060" t="s">
        <v>20436</v>
      </c>
    </row>
    <row r="1061" spans="1:25" x14ac:dyDescent="0.3">
      <c r="A1061">
        <v>53000</v>
      </c>
      <c r="B1061" t="s">
        <v>20437</v>
      </c>
      <c r="C1061" t="s">
        <v>20438</v>
      </c>
      <c r="D1061" t="s">
        <v>20439</v>
      </c>
      <c r="E1061" t="s">
        <v>20440</v>
      </c>
      <c r="F1061" t="s">
        <v>20441</v>
      </c>
      <c r="G1061" t="s">
        <v>20442</v>
      </c>
      <c r="H1061" t="s">
        <v>20443</v>
      </c>
      <c r="I1061" t="s">
        <v>20444</v>
      </c>
      <c r="J1061" t="s">
        <v>20445</v>
      </c>
      <c r="K1061" t="s">
        <v>20446</v>
      </c>
      <c r="L1061" t="s">
        <v>20447</v>
      </c>
      <c r="M1061" t="s">
        <v>20448</v>
      </c>
      <c r="N1061" t="s">
        <v>20449</v>
      </c>
      <c r="O1061">
        <f>-677.163389648874 -95.3091422813047 -535.172969767873</f>
        <v>-1307.6455016980517</v>
      </c>
      <c r="P1061">
        <f>-495.410253229744 -66.5008869039191 -321.363565612743</f>
        <v>-883.2747057464062</v>
      </c>
      <c r="Q1061" t="s">
        <v>20450</v>
      </c>
      <c r="R1061" t="s">
        <v>20451</v>
      </c>
      <c r="S1061" t="s">
        <v>20452</v>
      </c>
      <c r="T1061" t="s">
        <v>20453</v>
      </c>
      <c r="U1061" t="s">
        <v>20454</v>
      </c>
      <c r="V1061">
        <f>-622.209386933299 -47.1786386792412 -95.5671002753801</f>
        <v>-764.9551258879203</v>
      </c>
      <c r="W1061" t="s">
        <v>20455</v>
      </c>
      <c r="X1061" t="s">
        <v>20456</v>
      </c>
      <c r="Y1061" t="s">
        <v>20457</v>
      </c>
    </row>
    <row r="1062" spans="1:25" x14ac:dyDescent="0.3">
      <c r="A1062">
        <v>53050</v>
      </c>
      <c r="B1062" t="s">
        <v>20458</v>
      </c>
      <c r="C1062" t="s">
        <v>20459</v>
      </c>
      <c r="D1062" t="s">
        <v>20460</v>
      </c>
      <c r="E1062" t="s">
        <v>20461</v>
      </c>
      <c r="F1062" t="s">
        <v>20462</v>
      </c>
      <c r="G1062" t="s">
        <v>20463</v>
      </c>
      <c r="H1062" t="s">
        <v>20464</v>
      </c>
      <c r="I1062" t="s">
        <v>20465</v>
      </c>
      <c r="J1062" t="s">
        <v>20466</v>
      </c>
      <c r="K1062" t="s">
        <v>20467</v>
      </c>
      <c r="L1062" t="s">
        <v>20468</v>
      </c>
      <c r="M1062" t="s">
        <v>20469</v>
      </c>
      <c r="N1062" t="s">
        <v>20470</v>
      </c>
      <c r="O1062">
        <f>-675.319231388916 -94.8437710180704 -535.289211929121</f>
        <v>-1305.4522143361073</v>
      </c>
      <c r="P1062">
        <f>-494.382944308454 -66.990642288838 -320.661994601052</f>
        <v>-882.03558119834406</v>
      </c>
      <c r="Q1062" t="s">
        <v>20471</v>
      </c>
      <c r="R1062" t="s">
        <v>20472</v>
      </c>
      <c r="S1062" t="s">
        <v>20473</v>
      </c>
      <c r="T1062" t="s">
        <v>20474</v>
      </c>
      <c r="U1062" t="s">
        <v>20475</v>
      </c>
      <c r="V1062">
        <f>-622.193737074213 -47.0798906589714 -95.6561954942217</f>
        <v>-764.92982322740613</v>
      </c>
      <c r="W1062" t="s">
        <v>20476</v>
      </c>
      <c r="X1062" t="s">
        <v>20477</v>
      </c>
      <c r="Y1062" t="s">
        <v>20478</v>
      </c>
    </row>
    <row r="1063" spans="1:25" x14ac:dyDescent="0.3">
      <c r="A1063">
        <v>53100</v>
      </c>
      <c r="B1063" t="s">
        <v>20479</v>
      </c>
      <c r="C1063" t="s">
        <v>20480</v>
      </c>
      <c r="D1063" t="s">
        <v>20481</v>
      </c>
      <c r="E1063" t="s">
        <v>20482</v>
      </c>
      <c r="F1063" t="s">
        <v>20483</v>
      </c>
      <c r="G1063" t="s">
        <v>20484</v>
      </c>
      <c r="H1063" t="s">
        <v>20485</v>
      </c>
      <c r="I1063" t="s">
        <v>20486</v>
      </c>
      <c r="J1063" t="s">
        <v>20487</v>
      </c>
      <c r="K1063" t="s">
        <v>20488</v>
      </c>
      <c r="L1063" t="s">
        <v>20489</v>
      </c>
      <c r="M1063" t="s">
        <v>20490</v>
      </c>
      <c r="N1063" t="s">
        <v>20491</v>
      </c>
      <c r="O1063">
        <f>-672.508027832355 -94.4681281306814 -534.616974642769</f>
        <v>-1301.5931306058055</v>
      </c>
      <c r="P1063">
        <f>-493.556151916797 -67.7045194640189 -318.194768288325</f>
        <v>-879.4554396691409</v>
      </c>
      <c r="Q1063" t="s">
        <v>20492</v>
      </c>
      <c r="R1063" t="s">
        <v>20493</v>
      </c>
      <c r="S1063" t="s">
        <v>20494</v>
      </c>
      <c r="T1063" t="s">
        <v>20495</v>
      </c>
      <c r="U1063" t="s">
        <v>20496</v>
      </c>
      <c r="V1063">
        <f>-621.79051459814 -45.8690287285244 -95.7372934218229</f>
        <v>-763.39683674848732</v>
      </c>
      <c r="W1063" t="s">
        <v>20497</v>
      </c>
      <c r="X1063" t="s">
        <v>20498</v>
      </c>
      <c r="Y1063" t="s">
        <v>20499</v>
      </c>
    </row>
    <row r="1064" spans="1:25" x14ac:dyDescent="0.3">
      <c r="A1064">
        <v>53150</v>
      </c>
      <c r="B1064" t="s">
        <v>20500</v>
      </c>
      <c r="C1064" t="s">
        <v>20501</v>
      </c>
      <c r="D1064" t="s">
        <v>20502</v>
      </c>
      <c r="E1064" t="s">
        <v>20503</v>
      </c>
      <c r="F1064" t="s">
        <v>20504</v>
      </c>
      <c r="G1064" t="s">
        <v>20505</v>
      </c>
      <c r="H1064" t="s">
        <v>20506</v>
      </c>
      <c r="I1064" t="s">
        <v>20507</v>
      </c>
      <c r="J1064" t="s">
        <v>20508</v>
      </c>
      <c r="K1064" t="s">
        <v>20509</v>
      </c>
      <c r="L1064" t="s">
        <v>20510</v>
      </c>
      <c r="M1064" t="s">
        <v>20511</v>
      </c>
      <c r="N1064" t="s">
        <v>20512</v>
      </c>
      <c r="O1064">
        <f>-671.308451990274 -94.5738060177137 -534.002641764289</f>
        <v>-1299.8848997722766</v>
      </c>
      <c r="P1064">
        <f>-493.476742632512 -68.0126312144514 -316.634410842636</f>
        <v>-878.12378468959946</v>
      </c>
      <c r="Q1064" t="s">
        <v>20513</v>
      </c>
      <c r="R1064" t="s">
        <v>20514</v>
      </c>
      <c r="S1064" t="s">
        <v>20515</v>
      </c>
      <c r="T1064" t="s">
        <v>20516</v>
      </c>
      <c r="U1064" t="s">
        <v>20517</v>
      </c>
      <c r="V1064">
        <f>-621.275547502569 -44.9344945633286 -95.7598356046913</f>
        <v>-761.96987767058886</v>
      </c>
      <c r="W1064" t="s">
        <v>20518</v>
      </c>
      <c r="X1064" t="s">
        <v>20519</v>
      </c>
      <c r="Y1064" t="s">
        <v>20520</v>
      </c>
    </row>
    <row r="1065" spans="1:25" x14ac:dyDescent="0.3">
      <c r="A1065">
        <v>53200</v>
      </c>
      <c r="B1065" t="s">
        <v>20521</v>
      </c>
      <c r="C1065" t="s">
        <v>20522</v>
      </c>
      <c r="D1065" t="s">
        <v>20523</v>
      </c>
      <c r="E1065" t="s">
        <v>20524</v>
      </c>
      <c r="F1065" t="s">
        <v>20525</v>
      </c>
      <c r="G1065" t="s">
        <v>20526</v>
      </c>
      <c r="H1065" t="s">
        <v>20527</v>
      </c>
      <c r="I1065" t="s">
        <v>20528</v>
      </c>
      <c r="J1065" t="s">
        <v>20529</v>
      </c>
      <c r="K1065" t="s">
        <v>20530</v>
      </c>
      <c r="L1065" t="s">
        <v>20531</v>
      </c>
      <c r="M1065" t="s">
        <v>20532</v>
      </c>
      <c r="N1065" t="s">
        <v>20533</v>
      </c>
      <c r="O1065">
        <f>-669.855834555651 -94.8870598467856 -532.54023635942</f>
        <v>-1297.2831307618567</v>
      </c>
      <c r="P1065">
        <f>-493.952311965209 -68.1992291732724 -313.624075950883</f>
        <v>-875.77561708936446</v>
      </c>
      <c r="Q1065" t="s">
        <v>20534</v>
      </c>
      <c r="R1065" t="s">
        <v>20535</v>
      </c>
      <c r="S1065" t="s">
        <v>20536</v>
      </c>
      <c r="T1065" t="s">
        <v>20537</v>
      </c>
      <c r="U1065" t="s">
        <v>20538</v>
      </c>
      <c r="V1065">
        <f>-620.127076762097 -42.9209479187041 -95.6574799841583</f>
        <v>-758.70550466495934</v>
      </c>
      <c r="W1065" t="s">
        <v>20539</v>
      </c>
      <c r="X1065" t="s">
        <v>20540</v>
      </c>
      <c r="Y1065" t="s">
        <v>20541</v>
      </c>
    </row>
    <row r="1066" spans="1:25" x14ac:dyDescent="0.3">
      <c r="A1066">
        <v>53250</v>
      </c>
      <c r="B1066" t="s">
        <v>20542</v>
      </c>
      <c r="C1066" t="s">
        <v>20543</v>
      </c>
      <c r="D1066" t="s">
        <v>20544</v>
      </c>
      <c r="E1066" t="s">
        <v>20545</v>
      </c>
      <c r="F1066" t="s">
        <v>20546</v>
      </c>
      <c r="G1066" t="s">
        <v>20547</v>
      </c>
      <c r="H1066" t="s">
        <v>20548</v>
      </c>
      <c r="I1066" t="s">
        <v>20549</v>
      </c>
      <c r="J1066" t="s">
        <v>20550</v>
      </c>
      <c r="K1066" t="s">
        <v>20551</v>
      </c>
      <c r="L1066" t="s">
        <v>20552</v>
      </c>
      <c r="M1066" t="s">
        <v>20553</v>
      </c>
      <c r="N1066" t="s">
        <v>20554</v>
      </c>
      <c r="O1066">
        <f>-669.116056877215 -95.2470111317205 -531.717181170952</f>
        <v>-1296.0802491798875</v>
      </c>
      <c r="P1066">
        <f>-493.778717098883 -68.3535566502419 -312.372306896291</f>
        <v>-874.5045806454159</v>
      </c>
      <c r="Q1066" t="s">
        <v>20555</v>
      </c>
      <c r="R1066" t="s">
        <v>20556</v>
      </c>
      <c r="S1066" t="s">
        <v>20557</v>
      </c>
      <c r="T1066" t="s">
        <v>20558</v>
      </c>
      <c r="U1066" t="s">
        <v>20559</v>
      </c>
      <c r="V1066">
        <f>-619.349035090796 -41.8272688329357 -95.5653593213234</f>
        <v>-756.74166324505507</v>
      </c>
      <c r="W1066" t="s">
        <v>20560</v>
      </c>
      <c r="X1066" t="s">
        <v>20561</v>
      </c>
      <c r="Y1066" t="s">
        <v>20562</v>
      </c>
    </row>
    <row r="1067" spans="1:25" x14ac:dyDescent="0.3">
      <c r="A1067">
        <v>53300</v>
      </c>
      <c r="B1067" t="s">
        <v>20563</v>
      </c>
      <c r="C1067" t="s">
        <v>20564</v>
      </c>
      <c r="D1067" t="s">
        <v>20565</v>
      </c>
      <c r="E1067" t="s">
        <v>20566</v>
      </c>
      <c r="F1067" t="s">
        <v>20567</v>
      </c>
      <c r="G1067" t="s">
        <v>20568</v>
      </c>
      <c r="H1067" t="s">
        <v>20569</v>
      </c>
      <c r="I1067" t="s">
        <v>20570</v>
      </c>
      <c r="J1067" t="s">
        <v>20571</v>
      </c>
      <c r="K1067" t="s">
        <v>20572</v>
      </c>
      <c r="L1067" t="s">
        <v>20573</v>
      </c>
      <c r="M1067" t="s">
        <v>20574</v>
      </c>
      <c r="N1067" t="s">
        <v>20575</v>
      </c>
      <c r="O1067">
        <f>-667.399223366442 -96.2564307683203 -530.180180093882</f>
        <v>-1293.8358342286442</v>
      </c>
      <c r="P1067">
        <f>-492.703464399165 -69.0061661414913 -310.367939275454</f>
        <v>-872.07756981611033</v>
      </c>
      <c r="Q1067" t="s">
        <v>20576</v>
      </c>
      <c r="R1067" t="s">
        <v>20577</v>
      </c>
      <c r="S1067" t="s">
        <v>20578</v>
      </c>
      <c r="T1067" t="s">
        <v>20579</v>
      </c>
      <c r="U1067" t="s">
        <v>20580</v>
      </c>
      <c r="V1067">
        <f>-617.382816051888 -39.6063465349825 -95.4293796214806</f>
        <v>-752.41854220835114</v>
      </c>
      <c r="W1067" t="s">
        <v>20581</v>
      </c>
      <c r="X1067" t="s">
        <v>20582</v>
      </c>
      <c r="Y1067" t="s">
        <v>20583</v>
      </c>
    </row>
    <row r="1068" spans="1:25" x14ac:dyDescent="0.3">
      <c r="A1068">
        <v>53350</v>
      </c>
      <c r="B1068" t="s">
        <v>20584</v>
      </c>
      <c r="C1068" t="s">
        <v>20585</v>
      </c>
      <c r="D1068" t="s">
        <v>20586</v>
      </c>
      <c r="E1068" t="s">
        <v>20587</v>
      </c>
      <c r="F1068" t="s">
        <v>20588</v>
      </c>
      <c r="G1068" t="s">
        <v>20589</v>
      </c>
      <c r="H1068" t="s">
        <v>20590</v>
      </c>
      <c r="I1068" t="s">
        <v>20591</v>
      </c>
      <c r="J1068" t="s">
        <v>20592</v>
      </c>
      <c r="K1068" t="s">
        <v>20593</v>
      </c>
      <c r="L1068" t="s">
        <v>20594</v>
      </c>
      <c r="M1068" t="s">
        <v>20595</v>
      </c>
      <c r="N1068" t="s">
        <v>20596</v>
      </c>
      <c r="O1068">
        <f>-666.246971574131 -96.9072413590206 -529.530847994314</f>
        <v>-1292.6850609274657</v>
      </c>
      <c r="P1068">
        <f>-491.900121237487 -69.0928864353034 -309.512233799474</f>
        <v>-870.50524147226429</v>
      </c>
      <c r="Q1068" t="s">
        <v>20597</v>
      </c>
      <c r="R1068" t="s">
        <v>20598</v>
      </c>
      <c r="S1068" t="s">
        <v>20599</v>
      </c>
      <c r="T1068" t="s">
        <v>20600</v>
      </c>
      <c r="U1068" t="s">
        <v>20601</v>
      </c>
      <c r="V1068">
        <f>-616.278867245629 -38.5699126638306 -95.3754733272158</f>
        <v>-750.22425323667539</v>
      </c>
      <c r="W1068" t="s">
        <v>20602</v>
      </c>
      <c r="X1068" t="s">
        <v>20603</v>
      </c>
      <c r="Y1068" t="s">
        <v>20604</v>
      </c>
    </row>
    <row r="1069" spans="1:25" x14ac:dyDescent="0.3">
      <c r="A1069">
        <v>53400</v>
      </c>
      <c r="B1069" t="s">
        <v>20605</v>
      </c>
      <c r="C1069" t="s">
        <v>20606</v>
      </c>
      <c r="D1069" t="s">
        <v>20607</v>
      </c>
      <c r="E1069" t="s">
        <v>20608</v>
      </c>
      <c r="F1069" t="s">
        <v>20609</v>
      </c>
      <c r="G1069" t="s">
        <v>20610</v>
      </c>
      <c r="H1069" t="s">
        <v>20611</v>
      </c>
      <c r="I1069" t="s">
        <v>20612</v>
      </c>
      <c r="J1069" t="s">
        <v>20613</v>
      </c>
      <c r="K1069" t="s">
        <v>20614</v>
      </c>
      <c r="L1069" t="s">
        <v>20615</v>
      </c>
      <c r="M1069" t="s">
        <v>20616</v>
      </c>
      <c r="N1069" t="s">
        <v>20617</v>
      </c>
      <c r="O1069">
        <f>-663.860588801567 -98.6254140484675 -528.41694469779</f>
        <v>-1290.9029475478246</v>
      </c>
      <c r="P1069">
        <f>-490.244419612648 -69.6013303788843 -307.977384768976</f>
        <v>-867.82313476050831</v>
      </c>
      <c r="Q1069" t="s">
        <v>20618</v>
      </c>
      <c r="R1069" t="s">
        <v>20619</v>
      </c>
      <c r="S1069" t="s">
        <v>20620</v>
      </c>
      <c r="T1069" t="s">
        <v>20621</v>
      </c>
      <c r="U1069" t="s">
        <v>20622</v>
      </c>
      <c r="V1069">
        <f>-614.254567352963 -36.8434022241113 -95.2796087982713</f>
        <v>-746.37757837534559</v>
      </c>
      <c r="W1069" t="s">
        <v>20623</v>
      </c>
      <c r="X1069" t="s">
        <v>20624</v>
      </c>
      <c r="Y1069" t="s">
        <v>20625</v>
      </c>
    </row>
    <row r="1070" spans="1:25" x14ac:dyDescent="0.3">
      <c r="A1070">
        <v>53450</v>
      </c>
      <c r="B1070" t="s">
        <v>20626</v>
      </c>
      <c r="C1070" t="s">
        <v>20627</v>
      </c>
      <c r="D1070" t="s">
        <v>20628</v>
      </c>
      <c r="E1070" t="s">
        <v>20629</v>
      </c>
      <c r="F1070" t="s">
        <v>20630</v>
      </c>
      <c r="G1070" t="s">
        <v>20631</v>
      </c>
      <c r="H1070" t="s">
        <v>20632</v>
      </c>
      <c r="I1070" t="s">
        <v>20633</v>
      </c>
      <c r="J1070" t="s">
        <v>20634</v>
      </c>
      <c r="K1070" t="s">
        <v>20635</v>
      </c>
      <c r="L1070" t="s">
        <v>20636</v>
      </c>
      <c r="M1070" t="s">
        <v>20637</v>
      </c>
      <c r="N1070" t="s">
        <v>20638</v>
      </c>
      <c r="O1070">
        <f>-662.63767270205 -99.4790519385222 -527.921766568281</f>
        <v>-1290.0384912088532</v>
      </c>
      <c r="P1070">
        <f>-489.364545980288 -69.8454648594493 -307.293396969707</f>
        <v>-866.5034078094443</v>
      </c>
      <c r="Q1070" t="s">
        <v>20639</v>
      </c>
      <c r="R1070" t="s">
        <v>20640</v>
      </c>
      <c r="S1070" t="s">
        <v>20641</v>
      </c>
      <c r="T1070" t="s">
        <v>20642</v>
      </c>
      <c r="U1070" t="s">
        <v>20643</v>
      </c>
      <c r="V1070">
        <f>-613.206809369939 -36.1820635841316 -95.2210577570579</f>
        <v>-744.60993071112853</v>
      </c>
      <c r="W1070" t="s">
        <v>20644</v>
      </c>
      <c r="X1070" t="s">
        <v>20645</v>
      </c>
      <c r="Y1070" t="s">
        <v>20646</v>
      </c>
    </row>
    <row r="1071" spans="1:25" x14ac:dyDescent="0.3">
      <c r="A1071">
        <v>53500</v>
      </c>
      <c r="B1071" t="s">
        <v>20647</v>
      </c>
      <c r="C1071" t="s">
        <v>20648</v>
      </c>
      <c r="D1071" t="s">
        <v>20649</v>
      </c>
      <c r="E1071" t="s">
        <v>20650</v>
      </c>
      <c r="F1071" t="s">
        <v>20651</v>
      </c>
      <c r="G1071" t="s">
        <v>20652</v>
      </c>
      <c r="H1071" t="s">
        <v>20653</v>
      </c>
      <c r="I1071" t="s">
        <v>20654</v>
      </c>
      <c r="J1071" t="s">
        <v>20655</v>
      </c>
      <c r="K1071" t="s">
        <v>20656</v>
      </c>
      <c r="L1071" t="s">
        <v>20657</v>
      </c>
      <c r="M1071" t="s">
        <v>20658</v>
      </c>
      <c r="N1071" t="s">
        <v>20659</v>
      </c>
      <c r="O1071">
        <f>-660.419230035233 -101.419333226648 -527.05461947532</f>
        <v>-1288.8931827372012</v>
      </c>
      <c r="P1071">
        <f>-488.402072326468 -70.8844049657198 -305.56803690062</f>
        <v>-864.85451419280776</v>
      </c>
      <c r="Q1071" t="s">
        <v>20660</v>
      </c>
      <c r="R1071" t="s">
        <v>20661</v>
      </c>
      <c r="S1071" t="s">
        <v>20662</v>
      </c>
      <c r="T1071" t="s">
        <v>20663</v>
      </c>
      <c r="U1071" t="s">
        <v>20664</v>
      </c>
      <c r="V1071">
        <f>-611.153796865257 -35.6179100558379 -95.0489483588065</f>
        <v>-741.82065527990142</v>
      </c>
      <c r="W1071" t="s">
        <v>20665</v>
      </c>
      <c r="X1071" t="s">
        <v>20666</v>
      </c>
      <c r="Y1071" t="s">
        <v>20667</v>
      </c>
    </row>
    <row r="1072" spans="1:25" x14ac:dyDescent="0.3">
      <c r="A1072">
        <v>53550</v>
      </c>
      <c r="B1072" t="s">
        <v>20668</v>
      </c>
      <c r="C1072" t="s">
        <v>20669</v>
      </c>
      <c r="D1072" t="s">
        <v>20670</v>
      </c>
      <c r="E1072" t="s">
        <v>20671</v>
      </c>
      <c r="F1072" t="s">
        <v>20672</v>
      </c>
      <c r="G1072" t="s">
        <v>20673</v>
      </c>
      <c r="H1072" t="s">
        <v>20674</v>
      </c>
      <c r="I1072" t="s">
        <v>20675</v>
      </c>
      <c r="J1072" t="s">
        <v>20676</v>
      </c>
      <c r="K1072" t="s">
        <v>20677</v>
      </c>
      <c r="L1072" t="s">
        <v>20678</v>
      </c>
      <c r="M1072" t="s">
        <v>20679</v>
      </c>
      <c r="N1072" t="s">
        <v>20680</v>
      </c>
      <c r="O1072">
        <f>-659.643008655623 -102.376105837544 -526.679990594944</f>
        <v>-1288.6991050881111</v>
      </c>
      <c r="P1072">
        <f>-488.502611379557 -71.4770277082887 -304.565642991433</f>
        <v>-864.54528207927865</v>
      </c>
      <c r="Q1072" t="s">
        <v>20681</v>
      </c>
      <c r="R1072" t="s">
        <v>20682</v>
      </c>
      <c r="S1072" t="s">
        <v>20683</v>
      </c>
      <c r="T1072" t="s">
        <v>20684</v>
      </c>
      <c r="U1072" t="s">
        <v>20685</v>
      </c>
      <c r="V1072">
        <f>-610.175267601252 -35.5844141561979 -94.9600055188097</f>
        <v>-740.71968727625961</v>
      </c>
      <c r="W1072" t="s">
        <v>20686</v>
      </c>
      <c r="X1072" t="s">
        <v>20687</v>
      </c>
      <c r="Y1072" t="s">
        <v>20688</v>
      </c>
    </row>
    <row r="1073" spans="1:25" x14ac:dyDescent="0.3">
      <c r="A1073">
        <v>53600</v>
      </c>
      <c r="B1073" t="s">
        <v>20689</v>
      </c>
      <c r="C1073" t="s">
        <v>20690</v>
      </c>
      <c r="D1073" t="s">
        <v>20691</v>
      </c>
      <c r="E1073" t="s">
        <v>20692</v>
      </c>
      <c r="F1073" t="s">
        <v>20693</v>
      </c>
      <c r="G1073" t="s">
        <v>20694</v>
      </c>
      <c r="H1073" t="s">
        <v>20695</v>
      </c>
      <c r="I1073" t="s">
        <v>20696</v>
      </c>
      <c r="J1073" t="s">
        <v>20697</v>
      </c>
      <c r="K1073" t="s">
        <v>20698</v>
      </c>
      <c r="L1073" t="s">
        <v>20699</v>
      </c>
      <c r="M1073" t="s">
        <v>20700</v>
      </c>
      <c r="N1073" t="s">
        <v>20701</v>
      </c>
      <c r="O1073">
        <f>-658.255071701699 -104.360365613056 -526.152470149718</f>
        <v>-1288.767907464473</v>
      </c>
      <c r="P1073">
        <f>-488.726052560333 -73.2121928664785 -302.840372505948</f>
        <v>-864.77861793275952</v>
      </c>
      <c r="Q1073" t="s">
        <v>20702</v>
      </c>
      <c r="R1073" t="s">
        <v>20703</v>
      </c>
      <c r="S1073" t="s">
        <v>20704</v>
      </c>
      <c r="T1073" t="s">
        <v>20705</v>
      </c>
      <c r="U1073" t="s">
        <v>20706</v>
      </c>
      <c r="V1073">
        <f>-608.440690582852 -36.2538546793626 -94.7803764443286</f>
        <v>-739.47492170654311</v>
      </c>
      <c r="W1073" t="s">
        <v>20707</v>
      </c>
      <c r="X1073" t="s">
        <v>20708</v>
      </c>
      <c r="Y1073" t="s">
        <v>20709</v>
      </c>
    </row>
    <row r="1074" spans="1:25" x14ac:dyDescent="0.3">
      <c r="A1074">
        <v>53650</v>
      </c>
      <c r="B1074" t="s">
        <v>20710</v>
      </c>
      <c r="C1074" t="s">
        <v>20711</v>
      </c>
      <c r="D1074" t="s">
        <v>20712</v>
      </c>
      <c r="E1074" t="s">
        <v>20713</v>
      </c>
      <c r="F1074" t="s">
        <v>20714</v>
      </c>
      <c r="G1074" t="s">
        <v>20715</v>
      </c>
      <c r="H1074" t="s">
        <v>20716</v>
      </c>
      <c r="I1074" t="s">
        <v>20717</v>
      </c>
      <c r="J1074" t="s">
        <v>20718</v>
      </c>
      <c r="K1074" t="s">
        <v>20719</v>
      </c>
      <c r="L1074" t="s">
        <v>20720</v>
      </c>
      <c r="M1074" t="s">
        <v>20721</v>
      </c>
      <c r="N1074" t="s">
        <v>20722</v>
      </c>
      <c r="O1074">
        <f>-657.540410203716 -105.599662675618 -525.969414632607</f>
        <v>-1289.1094875119411</v>
      </c>
      <c r="P1074">
        <f>-488.653931798585 -74.5505481807384 -302.157162084882</f>
        <v>-865.3616420642054</v>
      </c>
      <c r="Q1074" t="s">
        <v>20723</v>
      </c>
      <c r="R1074" t="s">
        <v>20724</v>
      </c>
      <c r="S1074" t="s">
        <v>20725</v>
      </c>
      <c r="T1074" t="s">
        <v>20726</v>
      </c>
      <c r="U1074" t="s">
        <v>20727</v>
      </c>
      <c r="V1074">
        <f>-607.77765579647 -36.8196160441075 -94.7458089133339</f>
        <v>-739.34308075391141</v>
      </c>
      <c r="W1074" t="s">
        <v>20728</v>
      </c>
      <c r="X1074" t="s">
        <v>20729</v>
      </c>
      <c r="Y1074" t="s">
        <v>20730</v>
      </c>
    </row>
    <row r="1075" spans="1:25" x14ac:dyDescent="0.3">
      <c r="A1075">
        <v>53700</v>
      </c>
      <c r="B1075" t="s">
        <v>20731</v>
      </c>
      <c r="C1075" t="s">
        <v>20732</v>
      </c>
      <c r="D1075" t="s">
        <v>20733</v>
      </c>
      <c r="E1075" t="s">
        <v>20734</v>
      </c>
      <c r="F1075" t="s">
        <v>20735</v>
      </c>
      <c r="G1075" t="s">
        <v>20736</v>
      </c>
      <c r="H1075" t="s">
        <v>20737</v>
      </c>
      <c r="I1075" t="s">
        <v>20738</v>
      </c>
      <c r="J1075" t="s">
        <v>20739</v>
      </c>
      <c r="K1075" t="s">
        <v>20740</v>
      </c>
      <c r="L1075" t="s">
        <v>20741</v>
      </c>
      <c r="M1075" t="s">
        <v>20742</v>
      </c>
      <c r="N1075" t="s">
        <v>20743</v>
      </c>
      <c r="O1075">
        <f>-656.400248029929 -108.214821538133 -525.469028590224</f>
        <v>-1290.084098158286</v>
      </c>
      <c r="P1075">
        <f>-488.07375616781 -76.8618881428195 -301.277715594314</f>
        <v>-866.21335990494345</v>
      </c>
      <c r="Q1075" t="s">
        <v>20744</v>
      </c>
      <c r="R1075" t="s">
        <v>20745</v>
      </c>
      <c r="S1075" t="s">
        <v>20746</v>
      </c>
      <c r="T1075" t="s">
        <v>20747</v>
      </c>
      <c r="U1075" t="s">
        <v>20748</v>
      </c>
      <c r="V1075">
        <f>-606.781680970185 -38.1277776605054 -94.6947326498699</f>
        <v>-739.60419128056037</v>
      </c>
      <c r="W1075" t="s">
        <v>20749</v>
      </c>
      <c r="X1075" t="s">
        <v>20750</v>
      </c>
      <c r="Y1075" t="s">
        <v>20751</v>
      </c>
    </row>
    <row r="1076" spans="1:25" x14ac:dyDescent="0.3">
      <c r="A1076">
        <v>53750</v>
      </c>
      <c r="B1076" t="s">
        <v>20752</v>
      </c>
      <c r="C1076" t="s">
        <v>20753</v>
      </c>
      <c r="D1076" t="s">
        <v>20754</v>
      </c>
      <c r="E1076" t="s">
        <v>20755</v>
      </c>
      <c r="F1076" t="s">
        <v>20756</v>
      </c>
      <c r="G1076" t="s">
        <v>20757</v>
      </c>
      <c r="H1076" t="s">
        <v>20758</v>
      </c>
      <c r="I1076" t="s">
        <v>20759</v>
      </c>
      <c r="J1076" t="s">
        <v>20760</v>
      </c>
      <c r="K1076" t="s">
        <v>20761</v>
      </c>
      <c r="L1076" t="s">
        <v>20762</v>
      </c>
      <c r="M1076" t="s">
        <v>20763</v>
      </c>
      <c r="N1076" t="s">
        <v>20764</v>
      </c>
      <c r="O1076">
        <f>-655.968236295556 -109.495505554586 -525.102199903354</f>
        <v>-1290.565941753496</v>
      </c>
      <c r="P1076">
        <f>-487.729575963858 -77.5031998902193 -300.935277915657</f>
        <v>-866.16805376973434</v>
      </c>
      <c r="Q1076" t="s">
        <v>20765</v>
      </c>
      <c r="R1076" t="s">
        <v>20766</v>
      </c>
      <c r="S1076" t="s">
        <v>20767</v>
      </c>
      <c r="T1076" t="s">
        <v>20768</v>
      </c>
      <c r="U1076" t="s">
        <v>20769</v>
      </c>
      <c r="V1076">
        <f>-606.402085223034 -38.8424127990168 -94.6520637810202</f>
        <v>-739.89656180307088</v>
      </c>
      <c r="W1076" t="s">
        <v>20770</v>
      </c>
      <c r="X1076" t="s">
        <v>20771</v>
      </c>
      <c r="Y1076" t="s">
        <v>20772</v>
      </c>
    </row>
    <row r="1077" spans="1:25" x14ac:dyDescent="0.3">
      <c r="A1077">
        <v>53800</v>
      </c>
      <c r="B1077" t="s">
        <v>20773</v>
      </c>
      <c r="C1077" t="s">
        <v>20774</v>
      </c>
      <c r="D1077" t="s">
        <v>20775</v>
      </c>
      <c r="E1077" t="s">
        <v>20776</v>
      </c>
      <c r="F1077" t="s">
        <v>20777</v>
      </c>
      <c r="G1077" t="s">
        <v>20778</v>
      </c>
      <c r="H1077" t="s">
        <v>20779</v>
      </c>
      <c r="I1077" t="s">
        <v>20780</v>
      </c>
      <c r="J1077" t="s">
        <v>20781</v>
      </c>
      <c r="K1077" t="s">
        <v>20782</v>
      </c>
      <c r="L1077" t="s">
        <v>20783</v>
      </c>
      <c r="M1077" t="s">
        <v>20784</v>
      </c>
      <c r="N1077" t="s">
        <v>20785</v>
      </c>
      <c r="O1077">
        <f>-654.586802962233 -111.429531402961 -524.661205337705</f>
        <v>-1290.6775397028991</v>
      </c>
      <c r="P1077">
        <f>-486.591860564905 -78.4285830957415 -300.457730353285</f>
        <v>-865.47817401393149</v>
      </c>
      <c r="Q1077" t="s">
        <v>20786</v>
      </c>
      <c r="R1077" t="s">
        <v>20787</v>
      </c>
      <c r="S1077" t="s">
        <v>20788</v>
      </c>
      <c r="T1077" t="s">
        <v>20789</v>
      </c>
      <c r="U1077" t="s">
        <v>20790</v>
      </c>
      <c r="V1077">
        <f>-605.77260268804 -40.2119870448912 -94.5254693905065</f>
        <v>-740.51005912343771</v>
      </c>
      <c r="W1077" t="s">
        <v>20791</v>
      </c>
      <c r="X1077" t="s">
        <v>20792</v>
      </c>
      <c r="Y1077" t="s">
        <v>20793</v>
      </c>
    </row>
    <row r="1078" spans="1:25" x14ac:dyDescent="0.3">
      <c r="A1078">
        <v>53850</v>
      </c>
      <c r="B1078" t="s">
        <v>20794</v>
      </c>
      <c r="C1078" t="s">
        <v>20795</v>
      </c>
      <c r="D1078" t="s">
        <v>20796</v>
      </c>
      <c r="E1078" t="s">
        <v>20797</v>
      </c>
      <c r="F1078" t="s">
        <v>20798</v>
      </c>
      <c r="G1078" t="s">
        <v>20799</v>
      </c>
      <c r="H1078" t="s">
        <v>20800</v>
      </c>
      <c r="I1078" t="s">
        <v>20801</v>
      </c>
      <c r="J1078" t="s">
        <v>20802</v>
      </c>
      <c r="K1078" t="s">
        <v>20803</v>
      </c>
      <c r="L1078" t="s">
        <v>20804</v>
      </c>
      <c r="M1078" t="s">
        <v>20805</v>
      </c>
      <c r="N1078" t="s">
        <v>20806</v>
      </c>
      <c r="O1078">
        <f>-653.634157852095 -112.381614991534 -524.515469680545</f>
        <v>-1290.5312425241741</v>
      </c>
      <c r="P1078">
        <f>-485.822339910511 -78.8112289771186 -300.259261792771</f>
        <v>-864.89283068040061</v>
      </c>
      <c r="Q1078" t="s">
        <v>20807</v>
      </c>
      <c r="R1078" t="s">
        <v>20808</v>
      </c>
      <c r="S1078" t="s">
        <v>20809</v>
      </c>
      <c r="T1078" t="s">
        <v>20810</v>
      </c>
      <c r="U1078" t="s">
        <v>20811</v>
      </c>
      <c r="V1078">
        <f>-605.394990229657 -40.9351752313598 -94.463584342236</f>
        <v>-740.79374980325281</v>
      </c>
      <c r="W1078" t="s">
        <v>20812</v>
      </c>
      <c r="X1078" t="s">
        <v>20813</v>
      </c>
      <c r="Y1078" t="s">
        <v>20814</v>
      </c>
    </row>
    <row r="1079" spans="1:25" x14ac:dyDescent="0.3">
      <c r="A1079">
        <v>53900</v>
      </c>
      <c r="B1079" t="s">
        <v>20815</v>
      </c>
      <c r="C1079" t="s">
        <v>20816</v>
      </c>
      <c r="D1079" t="s">
        <v>20817</v>
      </c>
      <c r="E1079" t="s">
        <v>20818</v>
      </c>
      <c r="F1079" t="s">
        <v>20819</v>
      </c>
      <c r="G1079" t="s">
        <v>20820</v>
      </c>
      <c r="H1079" t="s">
        <v>20821</v>
      </c>
      <c r="I1079" t="s">
        <v>20822</v>
      </c>
      <c r="J1079" t="s">
        <v>20823</v>
      </c>
      <c r="K1079" t="s">
        <v>20824</v>
      </c>
      <c r="L1079" t="s">
        <v>20825</v>
      </c>
      <c r="M1079" t="s">
        <v>20826</v>
      </c>
      <c r="N1079" t="s">
        <v>20827</v>
      </c>
      <c r="O1079">
        <f>-652.325285246417 -114.237812148651 -524.147637053273</f>
        <v>-1290.7107344483411</v>
      </c>
      <c r="P1079">
        <f>-484.269881757629 -79.9532392874492 -300.182142095369</f>
        <v>-864.40526314044723</v>
      </c>
      <c r="Q1079" t="s">
        <v>20828</v>
      </c>
      <c r="R1079" t="s">
        <v>20829</v>
      </c>
      <c r="S1079" t="s">
        <v>20830</v>
      </c>
      <c r="T1079" t="s">
        <v>20831</v>
      </c>
      <c r="U1079" t="s">
        <v>20832</v>
      </c>
      <c r="V1079">
        <f>-604.462256946275 -42.3742016406775 -94.3764971840689</f>
        <v>-741.21295577102137</v>
      </c>
      <c r="W1079" t="s">
        <v>20833</v>
      </c>
      <c r="X1079" t="s">
        <v>20834</v>
      </c>
      <c r="Y1079" t="s">
        <v>20835</v>
      </c>
    </row>
    <row r="1080" spans="1:25" x14ac:dyDescent="0.3">
      <c r="A1080">
        <v>53950</v>
      </c>
      <c r="B1080" t="s">
        <v>20836</v>
      </c>
      <c r="C1080" t="s">
        <v>20837</v>
      </c>
      <c r="D1080" t="s">
        <v>20838</v>
      </c>
      <c r="E1080" t="s">
        <v>20839</v>
      </c>
      <c r="F1080" t="s">
        <v>20840</v>
      </c>
      <c r="G1080" t="s">
        <v>20841</v>
      </c>
      <c r="H1080" t="s">
        <v>20842</v>
      </c>
      <c r="I1080" t="s">
        <v>20843</v>
      </c>
      <c r="J1080" t="s">
        <v>20844</v>
      </c>
      <c r="K1080" t="s">
        <v>20845</v>
      </c>
      <c r="L1080" t="s">
        <v>20846</v>
      </c>
      <c r="M1080" t="s">
        <v>20847</v>
      </c>
      <c r="N1080" t="s">
        <v>20848</v>
      </c>
      <c r="O1080">
        <f>-651.632409454526 -114.939542162351 -524.137245167286</f>
        <v>-1290.7091967841629</v>
      </c>
      <c r="P1080">
        <f>-483.406605060586 -80.3456102074201 -300.347268793653</f>
        <v>-864.09948406165904</v>
      </c>
      <c r="Q1080" t="s">
        <v>20849</v>
      </c>
      <c r="R1080" t="s">
        <v>20850</v>
      </c>
      <c r="S1080" t="s">
        <v>20851</v>
      </c>
      <c r="T1080" t="s">
        <v>20852</v>
      </c>
      <c r="U1080" t="s">
        <v>20853</v>
      </c>
      <c r="V1080">
        <f>-603.990995716845 -43.0126303360742 -94.3308277451312</f>
        <v>-741.33445379805028</v>
      </c>
      <c r="W1080" t="s">
        <v>20854</v>
      </c>
      <c r="X1080" t="s">
        <v>20855</v>
      </c>
      <c r="Y1080" t="s">
        <v>20856</v>
      </c>
    </row>
    <row r="1081" spans="1:25" x14ac:dyDescent="0.3">
      <c r="A1081">
        <v>54000</v>
      </c>
      <c r="B1081" t="s">
        <v>20857</v>
      </c>
      <c r="C1081" t="s">
        <v>20858</v>
      </c>
      <c r="D1081" t="s">
        <v>20859</v>
      </c>
      <c r="E1081" t="s">
        <v>20860</v>
      </c>
      <c r="F1081" t="s">
        <v>20861</v>
      </c>
      <c r="G1081" t="s">
        <v>20862</v>
      </c>
      <c r="H1081" t="s">
        <v>20863</v>
      </c>
      <c r="I1081" t="s">
        <v>20864</v>
      </c>
      <c r="J1081" t="s">
        <v>20865</v>
      </c>
      <c r="K1081" t="s">
        <v>20866</v>
      </c>
      <c r="L1081" t="s">
        <v>20867</v>
      </c>
      <c r="M1081" t="s">
        <v>20868</v>
      </c>
      <c r="N1081" t="s">
        <v>20869</v>
      </c>
      <c r="O1081">
        <f>-650.196931473258 -115.824006884551 -524.131968409208</f>
        <v>-1290.1529067670169</v>
      </c>
      <c r="P1081">
        <f>-481.903437058011 -80.9421451673602 -300.437768372464</f>
        <v>-863.28335059783512</v>
      </c>
      <c r="Q1081" t="s">
        <v>20870</v>
      </c>
      <c r="R1081" t="s">
        <v>20871</v>
      </c>
      <c r="S1081" t="s">
        <v>20872</v>
      </c>
      <c r="T1081" t="s">
        <v>20873</v>
      </c>
      <c r="U1081" t="s">
        <v>20874</v>
      </c>
      <c r="V1081">
        <f>-603.024294253855 -43.8568323155071 -94.2373947962262</f>
        <v>-741.11852136558832</v>
      </c>
      <c r="W1081" t="s">
        <v>20875</v>
      </c>
      <c r="X1081" t="s">
        <v>20876</v>
      </c>
      <c r="Y1081" t="s">
        <v>20877</v>
      </c>
    </row>
    <row r="1082" spans="1:25" x14ac:dyDescent="0.3">
      <c r="A1082">
        <v>54050</v>
      </c>
      <c r="B1082" t="s">
        <v>20878</v>
      </c>
      <c r="C1082" t="s">
        <v>20879</v>
      </c>
      <c r="D1082" t="s">
        <v>20880</v>
      </c>
      <c r="E1082" t="s">
        <v>20881</v>
      </c>
      <c r="F1082" t="s">
        <v>20882</v>
      </c>
      <c r="G1082" t="s">
        <v>20883</v>
      </c>
      <c r="H1082" t="s">
        <v>20884</v>
      </c>
      <c r="I1082" t="s">
        <v>20885</v>
      </c>
      <c r="J1082" t="s">
        <v>20886</v>
      </c>
      <c r="K1082" t="s">
        <v>20887</v>
      </c>
      <c r="L1082" t="s">
        <v>20888</v>
      </c>
      <c r="M1082" t="s">
        <v>20889</v>
      </c>
      <c r="N1082" t="s">
        <v>20890</v>
      </c>
      <c r="O1082">
        <f>-649.557329365328 -116.073040695658 -524.116104582266</f>
        <v>-1289.746474643252</v>
      </c>
      <c r="P1082">
        <f>-481.54086976828 -81.1077561904385 -300.226712717837</f>
        <v>-862.87533867655554</v>
      </c>
      <c r="Q1082" t="s">
        <v>20891</v>
      </c>
      <c r="R1082" t="s">
        <v>20892</v>
      </c>
      <c r="S1082" t="s">
        <v>20893</v>
      </c>
      <c r="T1082" t="s">
        <v>20894</v>
      </c>
      <c r="U1082" t="s">
        <v>20895</v>
      </c>
      <c r="V1082">
        <f>-602.612297114414 -44.1370554581406 -94.2042027156854</f>
        <v>-740.95355528823995</v>
      </c>
      <c r="W1082" t="s">
        <v>20896</v>
      </c>
      <c r="X1082" t="s">
        <v>20897</v>
      </c>
      <c r="Y1082" t="s">
        <v>20898</v>
      </c>
    </row>
    <row r="1083" spans="1:25" x14ac:dyDescent="0.3">
      <c r="A1083">
        <v>54100</v>
      </c>
      <c r="B1083" t="s">
        <v>20899</v>
      </c>
      <c r="C1083" t="s">
        <v>20900</v>
      </c>
      <c r="D1083" t="s">
        <v>20901</v>
      </c>
      <c r="E1083" t="s">
        <v>20902</v>
      </c>
      <c r="F1083" t="s">
        <v>20903</v>
      </c>
      <c r="G1083" t="s">
        <v>20904</v>
      </c>
      <c r="H1083" t="s">
        <v>20905</v>
      </c>
      <c r="I1083" t="s">
        <v>20906</v>
      </c>
      <c r="J1083" t="s">
        <v>20907</v>
      </c>
      <c r="K1083" t="s">
        <v>20908</v>
      </c>
      <c r="L1083" t="s">
        <v>20909</v>
      </c>
      <c r="M1083" t="s">
        <v>20910</v>
      </c>
      <c r="N1083" t="s">
        <v>20911</v>
      </c>
      <c r="O1083">
        <f>-648.133457792256 -116.219866766638 -524.284577174826</f>
        <v>-1288.6379017337199</v>
      </c>
      <c r="P1083">
        <f>-480.569917098581 -81.443574865255 -300.026651353685</f>
        <v>-862.04014331752103</v>
      </c>
      <c r="Q1083" t="s">
        <v>20912</v>
      </c>
      <c r="R1083" t="s">
        <v>20913</v>
      </c>
      <c r="S1083" t="s">
        <v>20914</v>
      </c>
      <c r="T1083" t="s">
        <v>20915</v>
      </c>
      <c r="U1083" t="s">
        <v>20916</v>
      </c>
      <c r="V1083">
        <f>-601.895893105385 -44.5730384522558 -94.1631220942681</f>
        <v>-740.6320536519089</v>
      </c>
      <c r="W1083" t="s">
        <v>20917</v>
      </c>
      <c r="X1083" t="s">
        <v>20918</v>
      </c>
      <c r="Y1083" t="s">
        <v>20919</v>
      </c>
    </row>
    <row r="1084" spans="1:25" x14ac:dyDescent="0.3">
      <c r="A1084">
        <v>54150</v>
      </c>
      <c r="B1084" t="s">
        <v>20920</v>
      </c>
      <c r="C1084" t="s">
        <v>20921</v>
      </c>
      <c r="D1084" t="s">
        <v>20922</v>
      </c>
      <c r="E1084" t="s">
        <v>20923</v>
      </c>
      <c r="F1084" t="s">
        <v>20924</v>
      </c>
      <c r="G1084" t="s">
        <v>20925</v>
      </c>
      <c r="H1084" t="s">
        <v>20926</v>
      </c>
      <c r="I1084" t="s">
        <v>20927</v>
      </c>
      <c r="J1084" t="s">
        <v>20928</v>
      </c>
      <c r="K1084" t="s">
        <v>20929</v>
      </c>
      <c r="L1084" t="s">
        <v>20930</v>
      </c>
      <c r="M1084" t="s">
        <v>20931</v>
      </c>
      <c r="N1084" t="s">
        <v>20932</v>
      </c>
      <c r="O1084">
        <f>-647.603892596342 -116.149796605454 -524.349754728508</f>
        <v>-1288.1034439303039</v>
      </c>
      <c r="P1084">
        <f>-480.197425898806 -81.4512822375948 -299.962382653875</f>
        <v>-861.61109079027574</v>
      </c>
      <c r="Q1084" t="s">
        <v>20933</v>
      </c>
      <c r="R1084" t="s">
        <v>20934</v>
      </c>
      <c r="S1084" t="s">
        <v>20935</v>
      </c>
      <c r="T1084" t="s">
        <v>20936</v>
      </c>
      <c r="U1084" t="s">
        <v>20937</v>
      </c>
      <c r="V1084">
        <f>-601.580218611721 -44.7287493802764 -94.1460983360273</f>
        <v>-740.45506632802471</v>
      </c>
      <c r="W1084" t="s">
        <v>20938</v>
      </c>
      <c r="X1084" t="s">
        <v>20939</v>
      </c>
      <c r="Y1084" t="s">
        <v>20940</v>
      </c>
    </row>
    <row r="1085" spans="1:25" x14ac:dyDescent="0.3">
      <c r="A1085">
        <v>54200</v>
      </c>
      <c r="B1085" t="s">
        <v>20941</v>
      </c>
      <c r="C1085" t="s">
        <v>20942</v>
      </c>
      <c r="D1085" t="s">
        <v>20943</v>
      </c>
      <c r="E1085" t="s">
        <v>20944</v>
      </c>
      <c r="F1085" t="s">
        <v>20945</v>
      </c>
      <c r="G1085" t="s">
        <v>20946</v>
      </c>
      <c r="H1085" t="s">
        <v>20947</v>
      </c>
      <c r="I1085" t="s">
        <v>20948</v>
      </c>
      <c r="J1085" t="s">
        <v>20949</v>
      </c>
      <c r="K1085" t="s">
        <v>20950</v>
      </c>
      <c r="L1085" t="s">
        <v>20951</v>
      </c>
      <c r="M1085" t="s">
        <v>20952</v>
      </c>
      <c r="N1085" t="s">
        <v>20953</v>
      </c>
      <c r="O1085">
        <f>-646.787596511391 -115.79203847176 -524.277415301673</f>
        <v>-1286.857050284824</v>
      </c>
      <c r="P1085">
        <f>-479.867363302204 -80.717818149544 -299.586546430497</f>
        <v>-860.17172788224502</v>
      </c>
      <c r="Q1085" t="s">
        <v>20954</v>
      </c>
      <c r="R1085" t="s">
        <v>20955</v>
      </c>
      <c r="S1085" t="s">
        <v>20956</v>
      </c>
      <c r="T1085" t="s">
        <v>20957</v>
      </c>
      <c r="U1085" t="s">
        <v>20958</v>
      </c>
      <c r="V1085">
        <f>-601.033296246778 -44.6110356452148 -94.1036322490829</f>
        <v>-739.74796414107573</v>
      </c>
      <c r="W1085" t="s">
        <v>20959</v>
      </c>
      <c r="X1085" t="s">
        <v>20960</v>
      </c>
      <c r="Y1085" t="s">
        <v>20961</v>
      </c>
    </row>
    <row r="1086" spans="1:25" x14ac:dyDescent="0.3">
      <c r="A1086">
        <v>54250</v>
      </c>
      <c r="B1086" t="s">
        <v>20962</v>
      </c>
      <c r="C1086" t="s">
        <v>20963</v>
      </c>
      <c r="D1086" t="s">
        <v>20964</v>
      </c>
      <c r="E1086" t="s">
        <v>20965</v>
      </c>
      <c r="F1086" t="s">
        <v>20966</v>
      </c>
      <c r="G1086" t="s">
        <v>20967</v>
      </c>
      <c r="H1086" t="s">
        <v>20968</v>
      </c>
      <c r="I1086" t="s">
        <v>20969</v>
      </c>
      <c r="J1086" t="s">
        <v>20970</v>
      </c>
      <c r="K1086" t="s">
        <v>20971</v>
      </c>
      <c r="L1086" t="s">
        <v>20972</v>
      </c>
      <c r="M1086" t="s">
        <v>20973</v>
      </c>
      <c r="N1086" t="s">
        <v>20974</v>
      </c>
      <c r="O1086">
        <f>-646.540148866329 -115.359292757984 -524.231259092659</f>
        <v>-1286.1307007169721</v>
      </c>
      <c r="P1086">
        <f>-479.830383130116 -80.2065135241551 -299.396400328556</f>
        <v>-859.43329698282719</v>
      </c>
      <c r="Q1086" t="s">
        <v>20975</v>
      </c>
      <c r="R1086" t="s">
        <v>20976</v>
      </c>
      <c r="S1086" t="s">
        <v>20977</v>
      </c>
      <c r="T1086" t="s">
        <v>20978</v>
      </c>
      <c r="U1086" t="s">
        <v>20979</v>
      </c>
      <c r="V1086">
        <f>-600.83985933039 -44.2499882145285 -94.0727765378172</f>
        <v>-739.16262408273565</v>
      </c>
      <c r="W1086" t="s">
        <v>20980</v>
      </c>
      <c r="X1086" t="s">
        <v>20981</v>
      </c>
      <c r="Y1086" t="s">
        <v>20982</v>
      </c>
    </row>
    <row r="1087" spans="1:25" x14ac:dyDescent="0.3">
      <c r="A1087">
        <v>54300</v>
      </c>
      <c r="B1087" t="s">
        <v>20983</v>
      </c>
      <c r="C1087" t="s">
        <v>20984</v>
      </c>
      <c r="D1087" t="s">
        <v>20985</v>
      </c>
      <c r="E1087" t="s">
        <v>20986</v>
      </c>
      <c r="F1087" t="s">
        <v>20987</v>
      </c>
      <c r="G1087" t="s">
        <v>20988</v>
      </c>
      <c r="H1087" t="s">
        <v>20989</v>
      </c>
      <c r="I1087" t="s">
        <v>20990</v>
      </c>
      <c r="J1087" t="s">
        <v>20991</v>
      </c>
      <c r="K1087" t="s">
        <v>20992</v>
      </c>
      <c r="L1087" t="s">
        <v>20993</v>
      </c>
      <c r="M1087" t="s">
        <v>20994</v>
      </c>
      <c r="N1087" t="s">
        <v>20995</v>
      </c>
      <c r="O1087">
        <f>-646.310320151074 -114.265415409858 -524.203803625895</f>
        <v>-1284.7795391868272</v>
      </c>
      <c r="P1087">
        <f>-479.938536373385 -79.0064568206644 -299.135280218013</f>
        <v>-858.08027341206241</v>
      </c>
      <c r="Q1087" t="s">
        <v>20996</v>
      </c>
      <c r="R1087" t="s">
        <v>20997</v>
      </c>
      <c r="S1087" t="s">
        <v>20998</v>
      </c>
      <c r="T1087" t="s">
        <v>20999</v>
      </c>
      <c r="U1087" t="s">
        <v>21000</v>
      </c>
      <c r="V1087">
        <f>-600.514846365979 -43.2891754897903 -94.0357463320963</f>
        <v>-737.83976818786562</v>
      </c>
      <c r="W1087" t="s">
        <v>21001</v>
      </c>
      <c r="X1087" t="s">
        <v>21002</v>
      </c>
      <c r="Y1087" t="s">
        <v>21003</v>
      </c>
    </row>
    <row r="1088" spans="1:25" x14ac:dyDescent="0.3">
      <c r="A1088">
        <v>54350</v>
      </c>
      <c r="B1088" t="s">
        <v>21004</v>
      </c>
      <c r="C1088" t="s">
        <v>21005</v>
      </c>
      <c r="D1088" t="s">
        <v>21006</v>
      </c>
      <c r="E1088" t="s">
        <v>21007</v>
      </c>
      <c r="F1088" t="s">
        <v>21008</v>
      </c>
      <c r="G1088" t="s">
        <v>21009</v>
      </c>
      <c r="H1088" t="s">
        <v>21010</v>
      </c>
      <c r="I1088" t="s">
        <v>21011</v>
      </c>
      <c r="J1088" t="s">
        <v>21012</v>
      </c>
      <c r="K1088" t="s">
        <v>21013</v>
      </c>
      <c r="L1088" t="s">
        <v>21014</v>
      </c>
      <c r="M1088" t="s">
        <v>21015</v>
      </c>
      <c r="N1088" t="s">
        <v>21016</v>
      </c>
      <c r="O1088">
        <f>-646.237556479198 -113.714799425023 -524.114101216855</f>
        <v>-1284.0664571210759</v>
      </c>
      <c r="P1088">
        <f>-480.05140132869 -78.2674499470197 -298.938126000545</f>
        <v>-857.2569772762547</v>
      </c>
      <c r="Q1088" t="s">
        <v>21017</v>
      </c>
      <c r="R1088" t="s">
        <v>21018</v>
      </c>
      <c r="S1088" t="s">
        <v>21019</v>
      </c>
      <c r="T1088" t="s">
        <v>21020</v>
      </c>
      <c r="U1088" t="s">
        <v>21021</v>
      </c>
      <c r="V1088">
        <f>-600.425271538214 -42.8232261297246 -94.0227603891872</f>
        <v>-737.27125805712581</v>
      </c>
      <c r="W1088" t="s">
        <v>21022</v>
      </c>
      <c r="X1088" t="s">
        <v>21023</v>
      </c>
      <c r="Y1088" t="s">
        <v>21024</v>
      </c>
    </row>
    <row r="1089" spans="1:25" x14ac:dyDescent="0.3">
      <c r="A1089">
        <v>54400</v>
      </c>
      <c r="B1089" t="s">
        <v>21025</v>
      </c>
      <c r="C1089" t="s">
        <v>21026</v>
      </c>
      <c r="D1089" t="s">
        <v>21027</v>
      </c>
      <c r="E1089" t="s">
        <v>21028</v>
      </c>
      <c r="F1089" t="s">
        <v>21029</v>
      </c>
      <c r="G1089" t="s">
        <v>21030</v>
      </c>
      <c r="H1089" t="s">
        <v>21031</v>
      </c>
      <c r="I1089" t="s">
        <v>21032</v>
      </c>
      <c r="J1089" t="s">
        <v>21033</v>
      </c>
      <c r="K1089" t="s">
        <v>21034</v>
      </c>
      <c r="L1089" t="s">
        <v>21035</v>
      </c>
      <c r="M1089" t="s">
        <v>21036</v>
      </c>
      <c r="N1089" t="s">
        <v>21037</v>
      </c>
      <c r="O1089">
        <f>-646.213352243657 -112.559117612381 -523.855911809821</f>
        <v>-1282.628381665859</v>
      </c>
      <c r="P1089">
        <f>-480.432135244941 -76.475049220616 -298.482664199591</f>
        <v>-855.38984866514795</v>
      </c>
      <c r="Q1089" t="s">
        <v>21038</v>
      </c>
      <c r="R1089" t="s">
        <v>21039</v>
      </c>
      <c r="S1089" t="s">
        <v>21040</v>
      </c>
      <c r="T1089" t="s">
        <v>21041</v>
      </c>
      <c r="U1089" t="s">
        <v>21042</v>
      </c>
      <c r="V1089">
        <f>-600.325673174926 -41.6679901546665 -93.9802784970785</f>
        <v>-735.97394182667108</v>
      </c>
      <c r="W1089" t="s">
        <v>21043</v>
      </c>
      <c r="X1089" t="s">
        <v>21044</v>
      </c>
      <c r="Y1089" t="s">
        <v>21045</v>
      </c>
    </row>
    <row r="1090" spans="1:25" x14ac:dyDescent="0.3">
      <c r="A1090">
        <v>54450</v>
      </c>
      <c r="B1090" t="s">
        <v>21046</v>
      </c>
      <c r="C1090" t="s">
        <v>21047</v>
      </c>
      <c r="D1090" t="s">
        <v>21048</v>
      </c>
      <c r="E1090" t="s">
        <v>21049</v>
      </c>
      <c r="F1090" t="s">
        <v>21050</v>
      </c>
      <c r="G1090" t="s">
        <v>21051</v>
      </c>
      <c r="H1090" t="s">
        <v>21052</v>
      </c>
      <c r="I1090" t="s">
        <v>21053</v>
      </c>
      <c r="J1090" t="s">
        <v>21054</v>
      </c>
      <c r="K1090" t="s">
        <v>21055</v>
      </c>
      <c r="L1090" t="s">
        <v>21056</v>
      </c>
      <c r="M1090" t="s">
        <v>21057</v>
      </c>
      <c r="N1090" t="s">
        <v>21058</v>
      </c>
      <c r="O1090">
        <f>-646.209419335515 -111.897730669448 -523.746470736659</f>
        <v>-1281.8536207416221</v>
      </c>
      <c r="P1090">
        <f>-480.479924582394 -75.7103010655378 -298.35182430838</f>
        <v>-854.54204995631176</v>
      </c>
      <c r="Q1090" t="s">
        <v>21059</v>
      </c>
      <c r="R1090" t="s">
        <v>21060</v>
      </c>
      <c r="S1090" t="s">
        <v>21061</v>
      </c>
      <c r="T1090" t="s">
        <v>21062</v>
      </c>
      <c r="U1090" t="s">
        <v>21063</v>
      </c>
      <c r="V1090">
        <f>-600.315675407178 -40.9622719309864 -93.9508773263964</f>
        <v>-735.22882466456076</v>
      </c>
      <c r="W1090" t="s">
        <v>21064</v>
      </c>
      <c r="X1090" t="s">
        <v>21065</v>
      </c>
      <c r="Y1090" t="s">
        <v>21066</v>
      </c>
    </row>
    <row r="1091" spans="1:25" x14ac:dyDescent="0.3">
      <c r="A1091">
        <v>54500</v>
      </c>
      <c r="B1091" t="s">
        <v>21067</v>
      </c>
      <c r="C1091" t="s">
        <v>21068</v>
      </c>
      <c r="D1091" t="s">
        <v>21069</v>
      </c>
      <c r="E1091" t="s">
        <v>21070</v>
      </c>
      <c r="F1091" t="s">
        <v>21071</v>
      </c>
      <c r="G1091" t="s">
        <v>21072</v>
      </c>
      <c r="H1091" t="s">
        <v>21073</v>
      </c>
      <c r="I1091" t="s">
        <v>21074</v>
      </c>
      <c r="J1091" t="s">
        <v>21075</v>
      </c>
      <c r="K1091" t="s">
        <v>21076</v>
      </c>
      <c r="L1091" t="s">
        <v>21077</v>
      </c>
      <c r="M1091" t="s">
        <v>21078</v>
      </c>
      <c r="N1091" t="s">
        <v>21079</v>
      </c>
      <c r="O1091">
        <f>-646.480142367065 -110.340253804438 -523.521750905664</f>
        <v>-1280.3421470771671</v>
      </c>
      <c r="P1091">
        <f>-480.786939766134 -73.8884879244415 -298.142919131931</f>
        <v>-852.81834682250656</v>
      </c>
      <c r="Q1091" t="s">
        <v>21080</v>
      </c>
      <c r="R1091" t="s">
        <v>21081</v>
      </c>
      <c r="S1091" t="s">
        <v>21082</v>
      </c>
      <c r="T1091" t="s">
        <v>21083</v>
      </c>
      <c r="U1091" t="s">
        <v>21084</v>
      </c>
      <c r="V1091">
        <f>-600.270716629135 -39.331103261957 -93.8907972694068</f>
        <v>-733.49261716049875</v>
      </c>
      <c r="W1091" t="s">
        <v>21085</v>
      </c>
      <c r="X1091" t="s">
        <v>21086</v>
      </c>
      <c r="Y1091" t="s">
        <v>21087</v>
      </c>
    </row>
    <row r="1092" spans="1:25" x14ac:dyDescent="0.3">
      <c r="A1092">
        <v>54550</v>
      </c>
      <c r="B1092" t="s">
        <v>21088</v>
      </c>
      <c r="C1092" t="s">
        <v>21089</v>
      </c>
      <c r="D1092" t="s">
        <v>21090</v>
      </c>
      <c r="E1092" t="s">
        <v>21091</v>
      </c>
      <c r="F1092" t="s">
        <v>21092</v>
      </c>
      <c r="G1092" t="s">
        <v>21093</v>
      </c>
      <c r="H1092" t="s">
        <v>21094</v>
      </c>
      <c r="I1092" t="s">
        <v>21095</v>
      </c>
      <c r="J1092" t="s">
        <v>21096</v>
      </c>
      <c r="K1092" t="s">
        <v>21097</v>
      </c>
      <c r="L1092" t="s">
        <v>21098</v>
      </c>
      <c r="M1092" t="s">
        <v>21099</v>
      </c>
      <c r="N1092" t="s">
        <v>21100</v>
      </c>
      <c r="O1092">
        <f>-646.671246737563 -109.549601211562 -523.429909927984</f>
        <v>-1279.6507578771091</v>
      </c>
      <c r="P1092">
        <f>-481.027671589263 -72.8777614845319 -298.050318014306</f>
        <v>-851.9557510881009</v>
      </c>
      <c r="Q1092" t="s">
        <v>21101</v>
      </c>
      <c r="R1092" t="s">
        <v>21102</v>
      </c>
      <c r="S1092" t="s">
        <v>21103</v>
      </c>
      <c r="T1092" t="s">
        <v>21104</v>
      </c>
      <c r="U1092" t="s">
        <v>21105</v>
      </c>
      <c r="V1092">
        <f>-600.312826799101 -38.6411414928416 -93.8667659003247</f>
        <v>-732.82073419226731</v>
      </c>
      <c r="W1092" t="s">
        <v>21106</v>
      </c>
      <c r="X1092" t="s">
        <v>21107</v>
      </c>
      <c r="Y1092" t="s">
        <v>21108</v>
      </c>
    </row>
    <row r="1093" spans="1:25" x14ac:dyDescent="0.3">
      <c r="A1093">
        <v>54600</v>
      </c>
      <c r="B1093" t="s">
        <v>21109</v>
      </c>
      <c r="C1093" t="s">
        <v>21110</v>
      </c>
      <c r="D1093" t="s">
        <v>21111</v>
      </c>
      <c r="E1093" t="s">
        <v>21112</v>
      </c>
      <c r="F1093" t="s">
        <v>21113</v>
      </c>
      <c r="G1093" t="s">
        <v>21114</v>
      </c>
      <c r="H1093" t="s">
        <v>21115</v>
      </c>
      <c r="I1093" t="s">
        <v>21116</v>
      </c>
      <c r="J1093" t="s">
        <v>21117</v>
      </c>
      <c r="K1093" t="s">
        <v>21118</v>
      </c>
      <c r="L1093" t="s">
        <v>21119</v>
      </c>
      <c r="M1093" t="s">
        <v>21120</v>
      </c>
      <c r="N1093" t="s">
        <v>21121</v>
      </c>
      <c r="O1093">
        <f>-647.017419556957 -107.896384925267 -523.366536578136</f>
        <v>-1278.2803410603599</v>
      </c>
      <c r="P1093">
        <f>-481.664344098901 -71.0029240583901 -297.809928712183</f>
        <v>-850.47719686947414</v>
      </c>
      <c r="Q1093" t="s">
        <v>21122</v>
      </c>
      <c r="R1093" t="s">
        <v>21123</v>
      </c>
      <c r="S1093" t="s">
        <v>21124</v>
      </c>
      <c r="T1093" t="s">
        <v>21125</v>
      </c>
      <c r="U1093" t="s">
        <v>21126</v>
      </c>
      <c r="V1093">
        <f>-600.525344243301 -37.099866773041 -93.8047802447237</f>
        <v>-731.42999126106565</v>
      </c>
      <c r="W1093" t="s">
        <v>21127</v>
      </c>
      <c r="X1093" t="s">
        <v>21128</v>
      </c>
      <c r="Y1093" t="s">
        <v>21129</v>
      </c>
    </row>
    <row r="1094" spans="1:25" x14ac:dyDescent="0.3">
      <c r="A1094">
        <v>54650</v>
      </c>
      <c r="B1094" t="s">
        <v>21130</v>
      </c>
      <c r="C1094" t="s">
        <v>21131</v>
      </c>
      <c r="D1094" t="s">
        <v>21132</v>
      </c>
      <c r="E1094" t="s">
        <v>21133</v>
      </c>
      <c r="F1094" t="s">
        <v>21134</v>
      </c>
      <c r="G1094" t="s">
        <v>21135</v>
      </c>
      <c r="H1094" t="s">
        <v>21136</v>
      </c>
      <c r="I1094" t="s">
        <v>21137</v>
      </c>
      <c r="J1094" t="s">
        <v>21138</v>
      </c>
      <c r="K1094" t="s">
        <v>21139</v>
      </c>
      <c r="L1094" t="s">
        <v>21140</v>
      </c>
      <c r="M1094" t="s">
        <v>21141</v>
      </c>
      <c r="N1094" t="s">
        <v>21142</v>
      </c>
      <c r="O1094">
        <f>-647.080339418209 -106.924603989904 -523.416407346849</f>
        <v>-1277.4213507549621</v>
      </c>
      <c r="P1094">
        <f>-481.753658555309 -70.1025007533922 -297.828666981192</f>
        <v>-849.68482628989318</v>
      </c>
      <c r="Q1094" t="s">
        <v>21143</v>
      </c>
      <c r="R1094" t="s">
        <v>21144</v>
      </c>
      <c r="S1094" t="s">
        <v>21145</v>
      </c>
      <c r="T1094" t="s">
        <v>21146</v>
      </c>
      <c r="U1094" t="s">
        <v>21147</v>
      </c>
      <c r="V1094">
        <f>-600.651651810113 -36.2949179347891 -93.7774982783664</f>
        <v>-730.72406802326839</v>
      </c>
      <c r="W1094" t="s">
        <v>21148</v>
      </c>
      <c r="X1094" t="s">
        <v>21149</v>
      </c>
      <c r="Y1094" t="s">
        <v>21150</v>
      </c>
    </row>
    <row r="1095" spans="1:25" x14ac:dyDescent="0.3">
      <c r="A1095">
        <v>54700</v>
      </c>
      <c r="B1095" t="s">
        <v>21151</v>
      </c>
      <c r="C1095" t="s">
        <v>21152</v>
      </c>
      <c r="D1095" t="s">
        <v>21153</v>
      </c>
      <c r="E1095" t="s">
        <v>21154</v>
      </c>
      <c r="F1095" t="s">
        <v>21155</v>
      </c>
      <c r="G1095" t="s">
        <v>21156</v>
      </c>
      <c r="H1095" t="s">
        <v>21157</v>
      </c>
      <c r="I1095" t="s">
        <v>21158</v>
      </c>
      <c r="J1095" t="s">
        <v>21159</v>
      </c>
      <c r="K1095" t="s">
        <v>21160</v>
      </c>
      <c r="L1095" t="s">
        <v>21161</v>
      </c>
      <c r="M1095" t="s">
        <v>21162</v>
      </c>
      <c r="N1095" t="s">
        <v>21163</v>
      </c>
      <c r="O1095">
        <f>-647.560808345206 -105.224538807415 -523.570388578481</f>
        <v>-1276.355735731102</v>
      </c>
      <c r="P1095">
        <f>-482.29563820753 -68.7400563078327 -297.882820200603</f>
        <v>-848.91851471596578</v>
      </c>
      <c r="Q1095" t="s">
        <v>21164</v>
      </c>
      <c r="R1095" t="s">
        <v>21165</v>
      </c>
      <c r="S1095" t="s">
        <v>21166</v>
      </c>
      <c r="T1095" t="s">
        <v>21167</v>
      </c>
      <c r="U1095" t="s">
        <v>21168</v>
      </c>
      <c r="V1095">
        <f>-600.899420794915 -34.9151427963257 -93.7628150934229</f>
        <v>-729.57737868466359</v>
      </c>
      <c r="W1095" t="s">
        <v>21169</v>
      </c>
      <c r="X1095" t="s">
        <v>21170</v>
      </c>
      <c r="Y1095" t="s">
        <v>21171</v>
      </c>
    </row>
    <row r="1096" spans="1:25" x14ac:dyDescent="0.3">
      <c r="A1096">
        <v>54750</v>
      </c>
      <c r="B1096" t="s">
        <v>21172</v>
      </c>
      <c r="C1096" t="s">
        <v>21173</v>
      </c>
      <c r="D1096" t="s">
        <v>21174</v>
      </c>
      <c r="E1096" t="s">
        <v>21175</v>
      </c>
      <c r="F1096" t="s">
        <v>21176</v>
      </c>
      <c r="G1096" t="s">
        <v>21177</v>
      </c>
      <c r="H1096" t="s">
        <v>21178</v>
      </c>
      <c r="I1096" t="s">
        <v>21179</v>
      </c>
      <c r="J1096" t="s">
        <v>21180</v>
      </c>
      <c r="K1096" t="s">
        <v>21181</v>
      </c>
      <c r="L1096" t="s">
        <v>21182</v>
      </c>
      <c r="M1096" t="s">
        <v>21183</v>
      </c>
      <c r="N1096" t="s">
        <v>21184</v>
      </c>
      <c r="O1096">
        <f>-647.689069265104 -104.507577226367 -523.702536067409</f>
        <v>-1275.8991825588801</v>
      </c>
      <c r="P1096">
        <f>-482.389386373182 -68.2993946279996 -297.995744270966</f>
        <v>-848.68452527214754</v>
      </c>
      <c r="Q1096" t="s">
        <v>21185</v>
      </c>
      <c r="R1096" t="s">
        <v>21186</v>
      </c>
      <c r="S1096" t="s">
        <v>21187</v>
      </c>
      <c r="T1096" t="s">
        <v>21188</v>
      </c>
      <c r="U1096" t="s">
        <v>21189</v>
      </c>
      <c r="V1096">
        <f>-601.018391698742 -34.4148433940406 -93.8028217400463</f>
        <v>-729.23605683282892</v>
      </c>
      <c r="W1096" t="s">
        <v>21190</v>
      </c>
      <c r="X1096" t="s">
        <v>21191</v>
      </c>
      <c r="Y1096" t="s">
        <v>21192</v>
      </c>
    </row>
    <row r="1097" spans="1:25" x14ac:dyDescent="0.3">
      <c r="A1097">
        <v>54800</v>
      </c>
      <c r="B1097" t="s">
        <v>21193</v>
      </c>
      <c r="C1097" t="s">
        <v>21194</v>
      </c>
      <c r="D1097" t="s">
        <v>21195</v>
      </c>
      <c r="E1097" t="s">
        <v>21196</v>
      </c>
      <c r="F1097" t="s">
        <v>21197</v>
      </c>
      <c r="G1097" t="s">
        <v>21198</v>
      </c>
      <c r="H1097" t="s">
        <v>21199</v>
      </c>
      <c r="I1097" t="s">
        <v>21200</v>
      </c>
      <c r="J1097" t="s">
        <v>21201</v>
      </c>
      <c r="K1097" t="s">
        <v>21202</v>
      </c>
      <c r="L1097" t="s">
        <v>21203</v>
      </c>
      <c r="M1097" t="s">
        <v>21204</v>
      </c>
      <c r="N1097" t="s">
        <v>21205</v>
      </c>
      <c r="O1097">
        <f>-648.052605058824 -103.224840321077 -523.919814227138</f>
        <v>-1275.1972596070391</v>
      </c>
      <c r="P1097">
        <f>-482.974135832633 -67.2955595033532 -298.006537468912</f>
        <v>-848.2762328048982</v>
      </c>
      <c r="Q1097" t="s">
        <v>21206</v>
      </c>
      <c r="R1097" t="s">
        <v>21207</v>
      </c>
      <c r="S1097" t="s">
        <v>21208</v>
      </c>
      <c r="T1097" t="s">
        <v>21209</v>
      </c>
      <c r="U1097" t="s">
        <v>21210</v>
      </c>
      <c r="V1097">
        <f>-601.463163645228 -33.5708513176303 -93.8975649847218</f>
        <v>-728.93157994758008</v>
      </c>
      <c r="W1097" t="s">
        <v>21211</v>
      </c>
      <c r="X1097" t="s">
        <v>21212</v>
      </c>
      <c r="Y1097" t="s">
        <v>21213</v>
      </c>
    </row>
    <row r="1098" spans="1:25" x14ac:dyDescent="0.3">
      <c r="A1098">
        <v>54850</v>
      </c>
      <c r="B1098" t="s">
        <v>21214</v>
      </c>
      <c r="C1098" t="s">
        <v>21215</v>
      </c>
      <c r="D1098" t="s">
        <v>21216</v>
      </c>
      <c r="E1098" t="s">
        <v>21217</v>
      </c>
      <c r="F1098" t="s">
        <v>21218</v>
      </c>
      <c r="G1098" t="s">
        <v>21219</v>
      </c>
      <c r="H1098" t="s">
        <v>21220</v>
      </c>
      <c r="I1098" t="s">
        <v>21221</v>
      </c>
      <c r="J1098" t="s">
        <v>21222</v>
      </c>
      <c r="K1098" t="s">
        <v>21223</v>
      </c>
      <c r="L1098" t="s">
        <v>21224</v>
      </c>
      <c r="M1098" t="s">
        <v>21225</v>
      </c>
      <c r="N1098" t="s">
        <v>21226</v>
      </c>
      <c r="O1098">
        <f>-648.284155000211 -102.652427664989 -523.994851689705</f>
        <v>-1274.9314343549049</v>
      </c>
      <c r="P1098">
        <f>-483.384191238138 -66.8738443382679 -297.927484882657</f>
        <v>-848.1855204590629</v>
      </c>
      <c r="Q1098" t="s">
        <v>21227</v>
      </c>
      <c r="R1098" t="s">
        <v>21228</v>
      </c>
      <c r="S1098" t="s">
        <v>21229</v>
      </c>
      <c r="T1098" t="s">
        <v>21230</v>
      </c>
      <c r="U1098" t="s">
        <v>21231</v>
      </c>
      <c r="V1098">
        <f>-601.750209203022 -33.1569436225586 -93.9443125040609</f>
        <v>-728.85146532964154</v>
      </c>
      <c r="W1098" t="s">
        <v>21232</v>
      </c>
      <c r="X1098" t="s">
        <v>21233</v>
      </c>
      <c r="Y1098" t="s">
        <v>21234</v>
      </c>
    </row>
    <row r="1099" spans="1:25" x14ac:dyDescent="0.3">
      <c r="A1099">
        <v>54900</v>
      </c>
      <c r="B1099" t="s">
        <v>21235</v>
      </c>
      <c r="C1099" t="s">
        <v>21236</v>
      </c>
      <c r="D1099" t="s">
        <v>21237</v>
      </c>
      <c r="E1099" t="s">
        <v>21238</v>
      </c>
      <c r="F1099" t="s">
        <v>21239</v>
      </c>
      <c r="G1099" t="s">
        <v>21240</v>
      </c>
      <c r="H1099" t="s">
        <v>21241</v>
      </c>
      <c r="I1099" t="s">
        <v>21242</v>
      </c>
      <c r="J1099" t="s">
        <v>21243</v>
      </c>
      <c r="K1099" t="s">
        <v>21244</v>
      </c>
      <c r="L1099" t="s">
        <v>21245</v>
      </c>
      <c r="M1099" t="s">
        <v>21246</v>
      </c>
      <c r="N1099" t="s">
        <v>21247</v>
      </c>
      <c r="O1099">
        <f>-648.862698852157 -101.531421913997 -524.220217706449</f>
        <v>-1274.6143384726029</v>
      </c>
      <c r="P1099">
        <f>-484.05872487452 -66.2256925916217 -298.008441341008</f>
        <v>-848.29285880714974</v>
      </c>
      <c r="Q1099" t="s">
        <v>21248</v>
      </c>
      <c r="R1099" t="s">
        <v>21249</v>
      </c>
      <c r="S1099" t="s">
        <v>21250</v>
      </c>
      <c r="T1099" t="s">
        <v>21251</v>
      </c>
      <c r="U1099" t="s">
        <v>21252</v>
      </c>
      <c r="V1099">
        <f>-602.221320487748 -32.4393559753908 -94.0597912608062</f>
        <v>-728.72046772394492</v>
      </c>
      <c r="W1099" t="s">
        <v>21253</v>
      </c>
      <c r="X1099" t="s">
        <v>21254</v>
      </c>
      <c r="Y1099" t="s">
        <v>21255</v>
      </c>
    </row>
    <row r="1100" spans="1:25" x14ac:dyDescent="0.3">
      <c r="A1100">
        <v>54950</v>
      </c>
      <c r="B1100" t="s">
        <v>21256</v>
      </c>
      <c r="C1100" t="s">
        <v>21257</v>
      </c>
      <c r="D1100" t="s">
        <v>21258</v>
      </c>
      <c r="E1100" t="s">
        <v>21259</v>
      </c>
      <c r="F1100" t="s">
        <v>21260</v>
      </c>
      <c r="G1100" t="s">
        <v>21261</v>
      </c>
      <c r="H1100" t="s">
        <v>21262</v>
      </c>
      <c r="I1100" t="s">
        <v>21263</v>
      </c>
      <c r="J1100" t="s">
        <v>21264</v>
      </c>
      <c r="K1100" t="s">
        <v>21265</v>
      </c>
      <c r="L1100" t="s">
        <v>21266</v>
      </c>
      <c r="M1100" t="s">
        <v>21267</v>
      </c>
      <c r="N1100" t="s">
        <v>21268</v>
      </c>
      <c r="O1100">
        <f>-649.170456031999 -101.054621900594 -524.35171530677</f>
        <v>-1274.576793239363</v>
      </c>
      <c r="P1100">
        <f>-484.411815049944 -66.0256396730908 -298.063910525201</f>
        <v>-848.50136524823574</v>
      </c>
      <c r="Q1100" t="s">
        <v>21269</v>
      </c>
      <c r="R1100" t="s">
        <v>21270</v>
      </c>
      <c r="S1100" t="s">
        <v>21271</v>
      </c>
      <c r="T1100" t="s">
        <v>21272</v>
      </c>
      <c r="U1100" t="s">
        <v>21273</v>
      </c>
      <c r="V1100">
        <f>-602.437658047133 -32.150372314391 -94.1181779375294</f>
        <v>-728.7062082990534</v>
      </c>
      <c r="W1100" t="s">
        <v>21274</v>
      </c>
      <c r="X1100" t="s">
        <v>21275</v>
      </c>
      <c r="Y1100" t="s">
        <v>21276</v>
      </c>
    </row>
    <row r="1101" spans="1:25" x14ac:dyDescent="0.3">
      <c r="A1101">
        <v>55000</v>
      </c>
      <c r="B1101" t="s">
        <v>21277</v>
      </c>
      <c r="C1101" t="s">
        <v>21278</v>
      </c>
      <c r="D1101" t="s">
        <v>21279</v>
      </c>
      <c r="E1101" t="s">
        <v>21280</v>
      </c>
      <c r="F1101" t="s">
        <v>21281</v>
      </c>
      <c r="G1101" t="s">
        <v>21282</v>
      </c>
      <c r="H1101" t="s">
        <v>21283</v>
      </c>
      <c r="I1101" t="s">
        <v>21284</v>
      </c>
      <c r="J1101" t="s">
        <v>21285</v>
      </c>
      <c r="K1101" t="s">
        <v>21286</v>
      </c>
      <c r="L1101" t="s">
        <v>21287</v>
      </c>
      <c r="M1101" t="s">
        <v>21288</v>
      </c>
      <c r="N1101" t="s">
        <v>21289</v>
      </c>
      <c r="O1101">
        <f>-649.454680272018 -100.159330598027 -524.641479798091</f>
        <v>-1274.255490668136</v>
      </c>
      <c r="P1101">
        <f>-484.794442147898 -65.4898885762277 -298.226731299308</f>
        <v>-848.51106202343362</v>
      </c>
      <c r="Q1101" t="s">
        <v>21290</v>
      </c>
      <c r="R1101" t="s">
        <v>21291</v>
      </c>
      <c r="S1101" t="s">
        <v>21292</v>
      </c>
      <c r="T1101" t="s">
        <v>21293</v>
      </c>
      <c r="U1101" t="s">
        <v>21294</v>
      </c>
      <c r="V1101">
        <f>-602.605361620924 -31.6605205873145 -94.227702671104</f>
        <v>-728.49358487934251</v>
      </c>
      <c r="W1101" t="s">
        <v>21295</v>
      </c>
      <c r="X1101" t="s">
        <v>21296</v>
      </c>
      <c r="Y1101" t="s">
        <v>21297</v>
      </c>
    </row>
    <row r="1102" spans="1:25" x14ac:dyDescent="0.3">
      <c r="A1102">
        <v>55050</v>
      </c>
      <c r="B1102" t="s">
        <v>21298</v>
      </c>
      <c r="C1102" t="s">
        <v>21299</v>
      </c>
      <c r="D1102" t="s">
        <v>21300</v>
      </c>
      <c r="E1102" t="s">
        <v>21301</v>
      </c>
      <c r="F1102" t="s">
        <v>21302</v>
      </c>
      <c r="G1102" t="s">
        <v>21303</v>
      </c>
      <c r="H1102" t="s">
        <v>21304</v>
      </c>
      <c r="I1102" t="s">
        <v>21305</v>
      </c>
      <c r="J1102" t="s">
        <v>21306</v>
      </c>
      <c r="K1102" t="s">
        <v>21307</v>
      </c>
      <c r="L1102" t="s">
        <v>21308</v>
      </c>
      <c r="M1102" t="s">
        <v>21309</v>
      </c>
      <c r="N1102" t="s">
        <v>21310</v>
      </c>
      <c r="O1102">
        <f>-649.609163867392 -99.7217312691162 -524.738889116994</f>
        <v>-1274.0697842535021</v>
      </c>
      <c r="P1102">
        <f>-484.899403330621 -65.0090385672947 -298.366757956301</f>
        <v>-848.27519985421668</v>
      </c>
      <c r="Q1102" t="s">
        <v>21311</v>
      </c>
      <c r="R1102" t="s">
        <v>21312</v>
      </c>
      <c r="S1102" t="s">
        <v>21313</v>
      </c>
      <c r="T1102" t="s">
        <v>21314</v>
      </c>
      <c r="U1102" t="s">
        <v>21315</v>
      </c>
      <c r="V1102">
        <f>-602.653922770261 -31.3821823009009 -94.2709211972015</f>
        <v>-728.30702626836342</v>
      </c>
      <c r="W1102" t="s">
        <v>21316</v>
      </c>
      <c r="X1102" t="s">
        <v>21317</v>
      </c>
      <c r="Y1102" t="s">
        <v>21318</v>
      </c>
    </row>
    <row r="1103" spans="1:25" x14ac:dyDescent="0.3">
      <c r="A1103">
        <v>55100</v>
      </c>
      <c r="B1103" t="s">
        <v>21319</v>
      </c>
      <c r="C1103" t="s">
        <v>21320</v>
      </c>
      <c r="D1103" t="s">
        <v>21321</v>
      </c>
      <c r="E1103" t="s">
        <v>21322</v>
      </c>
      <c r="F1103" t="s">
        <v>21323</v>
      </c>
      <c r="G1103" t="s">
        <v>21324</v>
      </c>
      <c r="H1103" t="s">
        <v>21325</v>
      </c>
      <c r="I1103" t="s">
        <v>21326</v>
      </c>
      <c r="J1103" t="s">
        <v>21327</v>
      </c>
      <c r="K1103" t="s">
        <v>21328</v>
      </c>
      <c r="L1103" t="s">
        <v>21329</v>
      </c>
      <c r="M1103" t="s">
        <v>21330</v>
      </c>
      <c r="N1103" t="s">
        <v>21331</v>
      </c>
      <c r="O1103">
        <f>-650.094009812414 -98.7578298934659 -524.973834942688</f>
        <v>-1273.8256746485679</v>
      </c>
      <c r="P1103">
        <f>-485.214061161013 -63.7626891873572 -298.769227102263</f>
        <v>-847.74597745063318</v>
      </c>
      <c r="Q1103" t="s">
        <v>21332</v>
      </c>
      <c r="R1103" t="s">
        <v>21333</v>
      </c>
      <c r="S1103" t="s">
        <v>21334</v>
      </c>
      <c r="T1103" t="s">
        <v>21335</v>
      </c>
      <c r="U1103" t="s">
        <v>21336</v>
      </c>
      <c r="V1103">
        <f>-602.586559497254 -30.8275856630767 -94.3215134129755</f>
        <v>-727.73565857330618</v>
      </c>
      <c r="W1103" t="s">
        <v>21337</v>
      </c>
      <c r="X1103" t="s">
        <v>21338</v>
      </c>
      <c r="Y1103" t="s">
        <v>21339</v>
      </c>
    </row>
    <row r="1104" spans="1:25" x14ac:dyDescent="0.3">
      <c r="A1104">
        <v>55150</v>
      </c>
      <c r="B1104" t="s">
        <v>21340</v>
      </c>
      <c r="C1104" t="s">
        <v>21341</v>
      </c>
      <c r="D1104" t="s">
        <v>21342</v>
      </c>
      <c r="E1104" t="s">
        <v>21343</v>
      </c>
      <c r="F1104" t="s">
        <v>21344</v>
      </c>
      <c r="G1104" t="s">
        <v>21345</v>
      </c>
      <c r="H1104" t="s">
        <v>21346</v>
      </c>
      <c r="I1104" t="s">
        <v>21347</v>
      </c>
      <c r="J1104" t="s">
        <v>21348</v>
      </c>
      <c r="K1104" t="s">
        <v>21349</v>
      </c>
      <c r="L1104" t="s">
        <v>21350</v>
      </c>
      <c r="M1104" t="s">
        <v>21351</v>
      </c>
      <c r="N1104" t="s">
        <v>21352</v>
      </c>
      <c r="O1104">
        <f>-650.217138289358 -98.3061635109973 -525.114835794747</f>
        <v>-1273.6381375951023</v>
      </c>
      <c r="P1104">
        <f>-485.251840653372 -63.229289165303 -298.985093180609</f>
        <v>-847.46622299928413</v>
      </c>
      <c r="Q1104" t="s">
        <v>21353</v>
      </c>
      <c r="R1104" t="s">
        <v>21354</v>
      </c>
      <c r="S1104" t="s">
        <v>21355</v>
      </c>
      <c r="T1104" t="s">
        <v>21356</v>
      </c>
      <c r="U1104" t="s">
        <v>21357</v>
      </c>
      <c r="V1104">
        <f>-602.503883833634 -30.483569430485 -94.3470346054135</f>
        <v>-727.33448786953238</v>
      </c>
      <c r="W1104" t="s">
        <v>21358</v>
      </c>
      <c r="X1104" t="s">
        <v>21359</v>
      </c>
      <c r="Y1104" t="s">
        <v>21360</v>
      </c>
    </row>
    <row r="1105" spans="1:25" x14ac:dyDescent="0.3">
      <c r="A1105">
        <v>55200</v>
      </c>
      <c r="B1105" t="s">
        <v>21361</v>
      </c>
      <c r="C1105" t="s">
        <v>21362</v>
      </c>
      <c r="D1105" t="s">
        <v>21363</v>
      </c>
      <c r="E1105" t="s">
        <v>21364</v>
      </c>
      <c r="F1105" t="s">
        <v>21365</v>
      </c>
      <c r="G1105" t="s">
        <v>21366</v>
      </c>
      <c r="H1105" t="s">
        <v>21367</v>
      </c>
      <c r="I1105" t="s">
        <v>21368</v>
      </c>
      <c r="J1105" t="s">
        <v>21369</v>
      </c>
      <c r="K1105" t="s">
        <v>21370</v>
      </c>
      <c r="L1105" t="s">
        <v>21371</v>
      </c>
      <c r="M1105" t="s">
        <v>21372</v>
      </c>
      <c r="N1105" t="s">
        <v>21373</v>
      </c>
      <c r="O1105">
        <f>-650.477026240088 -97.6988482419642 -525.320346765707</f>
        <v>-1273.4962212477592</v>
      </c>
      <c r="P1105">
        <f>-485.46102022634 -62.542506667796 -299.240011751663</f>
        <v>-847.24353864579905</v>
      </c>
      <c r="Q1105" t="s">
        <v>21374</v>
      </c>
      <c r="R1105" t="s">
        <v>21375</v>
      </c>
      <c r="S1105" t="s">
        <v>21376</v>
      </c>
      <c r="T1105" t="s">
        <v>21377</v>
      </c>
      <c r="U1105" t="s">
        <v>21378</v>
      </c>
      <c r="V1105">
        <f>-602.458244799306 -29.953804090351 -94.3878310357592</f>
        <v>-726.79987992541623</v>
      </c>
      <c r="W1105" t="s">
        <v>21379</v>
      </c>
      <c r="X1105" t="s">
        <v>21380</v>
      </c>
      <c r="Y1105" t="s">
        <v>21381</v>
      </c>
    </row>
    <row r="1106" spans="1:25" x14ac:dyDescent="0.3">
      <c r="A1106">
        <v>55250</v>
      </c>
      <c r="B1106" t="s">
        <v>21382</v>
      </c>
      <c r="C1106" t="s">
        <v>21383</v>
      </c>
      <c r="D1106" t="s">
        <v>21384</v>
      </c>
      <c r="E1106" t="s">
        <v>21385</v>
      </c>
      <c r="F1106" t="s">
        <v>21386</v>
      </c>
      <c r="G1106" t="s">
        <v>21387</v>
      </c>
      <c r="H1106" t="s">
        <v>21388</v>
      </c>
      <c r="I1106" t="s">
        <v>21389</v>
      </c>
      <c r="J1106" t="s">
        <v>21390</v>
      </c>
      <c r="K1106" t="s">
        <v>21391</v>
      </c>
      <c r="L1106" t="s">
        <v>21392</v>
      </c>
      <c r="M1106" t="s">
        <v>21393</v>
      </c>
      <c r="N1106" t="s">
        <v>21394</v>
      </c>
      <c r="O1106">
        <f>-650.466964375662 -97.480244294027 -525.412172673681</f>
        <v>-1273.3593813433699</v>
      </c>
      <c r="P1106">
        <f>-485.518394305724 -62.2246440972904 -299.298060221522</f>
        <v>-847.04109862453629</v>
      </c>
      <c r="Q1106" t="s">
        <v>21395</v>
      </c>
      <c r="R1106" t="s">
        <v>21396</v>
      </c>
      <c r="S1106" t="s">
        <v>21397</v>
      </c>
      <c r="T1106" t="s">
        <v>21398</v>
      </c>
      <c r="U1106" t="s">
        <v>21399</v>
      </c>
      <c r="V1106">
        <f>-602.428218889162 -29.8220770621158 -94.4282004951738</f>
        <v>-726.67849644645162</v>
      </c>
      <c r="W1106" t="s">
        <v>21400</v>
      </c>
      <c r="X1106" t="s">
        <v>21401</v>
      </c>
      <c r="Y1106" t="s">
        <v>21402</v>
      </c>
    </row>
    <row r="1107" spans="1:25" x14ac:dyDescent="0.3">
      <c r="A1107">
        <v>55300</v>
      </c>
      <c r="B1107" t="s">
        <v>21403</v>
      </c>
      <c r="C1107" t="s">
        <v>21404</v>
      </c>
      <c r="D1107" t="s">
        <v>21405</v>
      </c>
      <c r="E1107" t="s">
        <v>21406</v>
      </c>
      <c r="F1107" t="s">
        <v>21407</v>
      </c>
      <c r="G1107" t="s">
        <v>21408</v>
      </c>
      <c r="H1107" t="s">
        <v>21409</v>
      </c>
      <c r="I1107" t="s">
        <v>21410</v>
      </c>
      <c r="J1107" t="s">
        <v>21411</v>
      </c>
      <c r="K1107" t="s">
        <v>21412</v>
      </c>
      <c r="L1107" t="s">
        <v>21413</v>
      </c>
      <c r="M1107" t="s">
        <v>21414</v>
      </c>
      <c r="N1107" t="s">
        <v>21415</v>
      </c>
      <c r="O1107">
        <f>-650.35827805896 -97.2073509919742 -525.504615927831</f>
        <v>-1273.070244978765</v>
      </c>
      <c r="P1107">
        <f>-485.433156690257 -61.8922234126433 -299.38270681467</f>
        <v>-846.70808691757031</v>
      </c>
      <c r="Q1107" t="s">
        <v>21416</v>
      </c>
      <c r="R1107" t="s">
        <v>21417</v>
      </c>
      <c r="S1107" t="s">
        <v>21418</v>
      </c>
      <c r="T1107" t="s">
        <v>21419</v>
      </c>
      <c r="U1107" t="s">
        <v>21420</v>
      </c>
      <c r="V1107">
        <f>-602.356473755784 -29.4828769111327 -94.4652570207847</f>
        <v>-726.30460768770149</v>
      </c>
      <c r="W1107" t="s">
        <v>21421</v>
      </c>
      <c r="X1107" t="s">
        <v>21422</v>
      </c>
      <c r="Y1107" t="s">
        <v>21423</v>
      </c>
    </row>
    <row r="1108" spans="1:25" x14ac:dyDescent="0.3">
      <c r="A1108">
        <v>55350</v>
      </c>
      <c r="B1108" t="s">
        <v>21424</v>
      </c>
      <c r="C1108" t="s">
        <v>21425</v>
      </c>
      <c r="D1108" t="s">
        <v>21426</v>
      </c>
      <c r="E1108" t="s">
        <v>21427</v>
      </c>
      <c r="F1108" t="s">
        <v>21428</v>
      </c>
      <c r="G1108" t="s">
        <v>21429</v>
      </c>
      <c r="H1108" t="s">
        <v>21430</v>
      </c>
      <c r="I1108" t="s">
        <v>21431</v>
      </c>
      <c r="J1108" t="s">
        <v>21432</v>
      </c>
      <c r="K1108" t="s">
        <v>21433</v>
      </c>
      <c r="L1108" t="s">
        <v>21434</v>
      </c>
      <c r="M1108" t="s">
        <v>21435</v>
      </c>
      <c r="N1108" t="s">
        <v>21436</v>
      </c>
      <c r="O1108">
        <f>-650.428719606273 -97.2009415705929 -525.456493059148</f>
        <v>-1273.086154236014</v>
      </c>
      <c r="P1108">
        <f>-485.416662131783 -61.9865949728091 -299.3822011691</f>
        <v>-846.78545827369214</v>
      </c>
      <c r="Q1108" t="s">
        <v>21437</v>
      </c>
      <c r="R1108" t="s">
        <v>21438</v>
      </c>
      <c r="S1108" t="s">
        <v>21439</v>
      </c>
      <c r="T1108" t="s">
        <v>21440</v>
      </c>
      <c r="U1108" t="s">
        <v>21441</v>
      </c>
      <c r="V1108">
        <f>-602.282424080031 -29.3908633454043 -94.4757721778726</f>
        <v>-726.14905960330793</v>
      </c>
      <c r="W1108" t="s">
        <v>21442</v>
      </c>
      <c r="X1108" t="s">
        <v>21443</v>
      </c>
      <c r="Y1108" t="s">
        <v>21444</v>
      </c>
    </row>
    <row r="1109" spans="1:25" x14ac:dyDescent="0.3">
      <c r="A1109">
        <v>55400</v>
      </c>
      <c r="B1109" t="s">
        <v>21445</v>
      </c>
      <c r="C1109" t="s">
        <v>21446</v>
      </c>
      <c r="D1109" t="s">
        <v>21447</v>
      </c>
      <c r="E1109" t="s">
        <v>21448</v>
      </c>
      <c r="F1109" t="s">
        <v>21449</v>
      </c>
      <c r="G1109" t="s">
        <v>21450</v>
      </c>
      <c r="H1109" t="s">
        <v>21451</v>
      </c>
      <c r="I1109" t="s">
        <v>21452</v>
      </c>
      <c r="J1109" t="s">
        <v>21453</v>
      </c>
      <c r="K1109" t="s">
        <v>21454</v>
      </c>
      <c r="L1109" t="s">
        <v>21455</v>
      </c>
      <c r="M1109" t="s">
        <v>21456</v>
      </c>
      <c r="N1109" t="s">
        <v>21457</v>
      </c>
      <c r="O1109">
        <f>-651.007446990869 -97.2525933584304 -525.278618072949</f>
        <v>-1273.5386584222483</v>
      </c>
      <c r="P1109">
        <f>-485.753537399057 -62.1385095272246 -299.365621712876</f>
        <v>-847.2576686391576</v>
      </c>
      <c r="Q1109" t="s">
        <v>21458</v>
      </c>
      <c r="R1109" t="s">
        <v>21459</v>
      </c>
      <c r="S1109" t="s">
        <v>21460</v>
      </c>
      <c r="T1109" t="s">
        <v>21461</v>
      </c>
      <c r="U1109" t="s">
        <v>21462</v>
      </c>
      <c r="V1109">
        <f>-602.213782020491 -29.2955103661566 -94.4764054091855</f>
        <v>-725.98569779583306</v>
      </c>
      <c r="W1109" t="s">
        <v>21463</v>
      </c>
      <c r="X1109" t="s">
        <v>21464</v>
      </c>
      <c r="Y1109" t="s">
        <v>21465</v>
      </c>
    </row>
    <row r="1110" spans="1:25" x14ac:dyDescent="0.3">
      <c r="A1110">
        <v>55450</v>
      </c>
      <c r="B1110" t="s">
        <v>21466</v>
      </c>
      <c r="C1110" t="s">
        <v>21467</v>
      </c>
      <c r="D1110" t="s">
        <v>21468</v>
      </c>
      <c r="E1110" t="s">
        <v>21469</v>
      </c>
      <c r="F1110" t="s">
        <v>21470</v>
      </c>
      <c r="G1110" t="s">
        <v>21471</v>
      </c>
      <c r="H1110" t="s">
        <v>21472</v>
      </c>
      <c r="I1110" t="s">
        <v>21473</v>
      </c>
      <c r="J1110" t="s">
        <v>21474</v>
      </c>
      <c r="K1110" t="s">
        <v>21475</v>
      </c>
      <c r="L1110" t="s">
        <v>21476</v>
      </c>
      <c r="M1110" t="s">
        <v>21477</v>
      </c>
      <c r="N1110" t="s">
        <v>21478</v>
      </c>
      <c r="O1110">
        <f>-651.320144557737 -97.2825808746763 -525.227250707144</f>
        <v>-1273.8299761395574</v>
      </c>
      <c r="P1110">
        <f>-485.871762453803 -62.2735494230101 -299.440299753684</f>
        <v>-847.58561163049717</v>
      </c>
      <c r="Q1110" t="s">
        <v>21479</v>
      </c>
      <c r="R1110" t="s">
        <v>21480</v>
      </c>
      <c r="S1110" t="s">
        <v>21481</v>
      </c>
      <c r="T1110" t="s">
        <v>21482</v>
      </c>
      <c r="U1110" t="s">
        <v>21483</v>
      </c>
      <c r="V1110">
        <f>-602.265295341997 -29.2287253332195 -94.4613907652227</f>
        <v>-725.95541144043921</v>
      </c>
      <c r="W1110" t="s">
        <v>21484</v>
      </c>
      <c r="X1110" t="s">
        <v>21485</v>
      </c>
      <c r="Y1110" t="s">
        <v>21486</v>
      </c>
    </row>
    <row r="1111" spans="1:25" x14ac:dyDescent="0.3">
      <c r="A1111">
        <v>55500</v>
      </c>
      <c r="B1111" t="s">
        <v>21487</v>
      </c>
      <c r="C1111" t="s">
        <v>21488</v>
      </c>
      <c r="D1111" t="s">
        <v>21489</v>
      </c>
      <c r="E1111" t="s">
        <v>21490</v>
      </c>
      <c r="F1111" t="s">
        <v>21491</v>
      </c>
      <c r="G1111" t="s">
        <v>21492</v>
      </c>
      <c r="H1111" t="s">
        <v>21493</v>
      </c>
      <c r="I1111" t="s">
        <v>21494</v>
      </c>
      <c r="J1111" t="s">
        <v>21495</v>
      </c>
      <c r="K1111" t="s">
        <v>21496</v>
      </c>
      <c r="L1111" t="s">
        <v>21497</v>
      </c>
      <c r="M1111" t="s">
        <v>21498</v>
      </c>
      <c r="N1111" t="s">
        <v>21499</v>
      </c>
      <c r="O1111">
        <f>-652.070350586647 -97.5970186088502 -525.078388060655</f>
        <v>-1274.7457572561523</v>
      </c>
      <c r="P1111">
        <f>-486.214224222858 -62.6613643523926 -299.579289734974</f>
        <v>-848.45487831022456</v>
      </c>
      <c r="Q1111" t="s">
        <v>21500</v>
      </c>
      <c r="R1111" t="s">
        <v>21501</v>
      </c>
      <c r="S1111" t="s">
        <v>21502</v>
      </c>
      <c r="T1111" t="s">
        <v>21503</v>
      </c>
      <c r="U1111" t="s">
        <v>21504</v>
      </c>
      <c r="V1111">
        <f>-602.391468851433 -29.1726728841702 -94.4546848793111</f>
        <v>-726.01882661491436</v>
      </c>
      <c r="W1111" t="s">
        <v>21505</v>
      </c>
      <c r="X1111" t="s">
        <v>21506</v>
      </c>
      <c r="Y1111" t="s">
        <v>21507</v>
      </c>
    </row>
    <row r="1112" spans="1:25" x14ac:dyDescent="0.3">
      <c r="A1112">
        <v>55550</v>
      </c>
      <c r="B1112" t="s">
        <v>21508</v>
      </c>
      <c r="C1112" t="s">
        <v>21509</v>
      </c>
      <c r="D1112" t="s">
        <v>21510</v>
      </c>
      <c r="E1112" t="s">
        <v>21511</v>
      </c>
      <c r="F1112" t="s">
        <v>21512</v>
      </c>
      <c r="G1112" t="s">
        <v>21513</v>
      </c>
      <c r="H1112" t="s">
        <v>21514</v>
      </c>
      <c r="I1112" t="s">
        <v>21515</v>
      </c>
      <c r="J1112" t="s">
        <v>21516</v>
      </c>
      <c r="K1112" t="s">
        <v>21517</v>
      </c>
      <c r="L1112" t="s">
        <v>21518</v>
      </c>
      <c r="M1112" t="s">
        <v>21519</v>
      </c>
      <c r="N1112" t="s">
        <v>21520</v>
      </c>
      <c r="O1112">
        <f>-652.48360976879 -97.8095231444061 -524.9949814916</f>
        <v>-1275.288114404796</v>
      </c>
      <c r="P1112">
        <f>-486.516938601015 -62.8894895549686 -299.574872496554</f>
        <v>-848.98130065253758</v>
      </c>
      <c r="Q1112" t="s">
        <v>21521</v>
      </c>
      <c r="R1112" t="s">
        <v>21522</v>
      </c>
      <c r="S1112" t="s">
        <v>21523</v>
      </c>
      <c r="T1112" t="s">
        <v>21524</v>
      </c>
      <c r="U1112" t="s">
        <v>21525</v>
      </c>
      <c r="V1112">
        <f>-602.471602417969 -29.1880413773169 -94.4449729431389</f>
        <v>-726.10461673842485</v>
      </c>
      <c r="W1112" t="s">
        <v>21526</v>
      </c>
      <c r="X1112" t="s">
        <v>21527</v>
      </c>
      <c r="Y1112" t="s">
        <v>21528</v>
      </c>
    </row>
    <row r="1113" spans="1:25" x14ac:dyDescent="0.3">
      <c r="A1113">
        <v>55600</v>
      </c>
      <c r="B1113" t="s">
        <v>21529</v>
      </c>
      <c r="C1113" t="s">
        <v>21530</v>
      </c>
      <c r="D1113" t="s">
        <v>21531</v>
      </c>
      <c r="E1113" t="s">
        <v>21532</v>
      </c>
      <c r="F1113" t="s">
        <v>21533</v>
      </c>
      <c r="G1113" t="s">
        <v>21534</v>
      </c>
      <c r="H1113" t="s">
        <v>21535</v>
      </c>
      <c r="I1113" t="s">
        <v>21536</v>
      </c>
      <c r="J1113" t="s">
        <v>21537</v>
      </c>
      <c r="K1113" t="s">
        <v>21538</v>
      </c>
      <c r="L1113" t="s">
        <v>21539</v>
      </c>
      <c r="M1113" t="s">
        <v>21540</v>
      </c>
      <c r="N1113" t="s">
        <v>21541</v>
      </c>
      <c r="O1113">
        <f>-653.288024718053 -98.2433570745418 -524.817484600683</f>
        <v>-1276.3488663932776</v>
      </c>
      <c r="P1113">
        <f>-487.066158017301 -63.301864999429 -299.588866545618</f>
        <v>-849.95688956234801</v>
      </c>
      <c r="Q1113" t="s">
        <v>21542</v>
      </c>
      <c r="R1113" t="s">
        <v>21543</v>
      </c>
      <c r="S1113" t="s">
        <v>21544</v>
      </c>
      <c r="T1113" t="s">
        <v>21545</v>
      </c>
      <c r="U1113" t="s">
        <v>21546</v>
      </c>
      <c r="V1113">
        <f>-602.654386063148 -29.2145028358514 -94.4387342246729</f>
        <v>-726.30762312367222</v>
      </c>
      <c r="W1113" t="s">
        <v>21547</v>
      </c>
      <c r="X1113" t="s">
        <v>21548</v>
      </c>
      <c r="Y1113" t="s">
        <v>21549</v>
      </c>
    </row>
    <row r="1114" spans="1:25" x14ac:dyDescent="0.3">
      <c r="A1114">
        <v>55650</v>
      </c>
      <c r="B1114" t="s">
        <v>21550</v>
      </c>
      <c r="C1114" t="s">
        <v>21551</v>
      </c>
      <c r="D1114" t="s">
        <v>21552</v>
      </c>
      <c r="E1114" t="s">
        <v>21553</v>
      </c>
      <c r="F1114" t="s">
        <v>21554</v>
      </c>
      <c r="G1114" t="s">
        <v>21555</v>
      </c>
      <c r="H1114" t="s">
        <v>21556</v>
      </c>
      <c r="I1114" t="s">
        <v>21557</v>
      </c>
      <c r="J1114" t="s">
        <v>21558</v>
      </c>
      <c r="K1114" t="s">
        <v>21559</v>
      </c>
      <c r="L1114" t="s">
        <v>21560</v>
      </c>
      <c r="M1114" t="s">
        <v>21561</v>
      </c>
      <c r="N1114" t="s">
        <v>21562</v>
      </c>
      <c r="O1114">
        <f>-653.759012754344 -98.4374075568078 -524.729823361072</f>
        <v>-1276.9262436722238</v>
      </c>
      <c r="P1114">
        <f>-487.403844143775 -63.3963208933669 -299.615080861457</f>
        <v>-850.41524589859887</v>
      </c>
      <c r="Q1114" t="s">
        <v>21563</v>
      </c>
      <c r="R1114" t="s">
        <v>21564</v>
      </c>
      <c r="S1114" t="s">
        <v>21565</v>
      </c>
      <c r="T1114" t="s">
        <v>21566</v>
      </c>
      <c r="U1114" t="s">
        <v>21567</v>
      </c>
      <c r="V1114">
        <f>-602.748781246544 -29.1667140862128 -94.4366635424304</f>
        <v>-726.35215887518723</v>
      </c>
      <c r="W1114" t="s">
        <v>21568</v>
      </c>
      <c r="X1114" t="s">
        <v>21569</v>
      </c>
      <c r="Y1114" t="s">
        <v>21570</v>
      </c>
    </row>
    <row r="1115" spans="1:25" x14ac:dyDescent="0.3">
      <c r="A1115">
        <v>55700</v>
      </c>
      <c r="B1115" t="s">
        <v>21571</v>
      </c>
      <c r="C1115" t="s">
        <v>21572</v>
      </c>
      <c r="D1115" t="s">
        <v>21573</v>
      </c>
      <c r="E1115" t="s">
        <v>21574</v>
      </c>
      <c r="F1115" t="s">
        <v>21575</v>
      </c>
      <c r="G1115" t="s">
        <v>21576</v>
      </c>
      <c r="H1115" t="s">
        <v>21577</v>
      </c>
      <c r="I1115" t="s">
        <v>21578</v>
      </c>
      <c r="J1115" t="s">
        <v>21579</v>
      </c>
      <c r="K1115" t="s">
        <v>21580</v>
      </c>
      <c r="L1115" t="s">
        <v>21581</v>
      </c>
      <c r="M1115" t="s">
        <v>21582</v>
      </c>
      <c r="N1115" t="s">
        <v>21583</v>
      </c>
      <c r="O1115">
        <f>-654.882345166367 -98.7765015052646 -524.618148203822</f>
        <v>-1278.2769948754535</v>
      </c>
      <c r="P1115">
        <f>-488.041720154434 -63.5925191789861 -299.885146838894</f>
        <v>-851.51938617231417</v>
      </c>
      <c r="Q1115" t="s">
        <v>21584</v>
      </c>
      <c r="R1115" t="s">
        <v>21585</v>
      </c>
      <c r="S1115" t="s">
        <v>21586</v>
      </c>
      <c r="T1115" t="s">
        <v>21587</v>
      </c>
      <c r="U1115" t="s">
        <v>21588</v>
      </c>
      <c r="V1115">
        <f>-603.155068774215 -29.2201539853413 -94.4330138361935</f>
        <v>-726.8082365957498</v>
      </c>
      <c r="W1115" t="s">
        <v>21589</v>
      </c>
      <c r="X1115" t="s">
        <v>21590</v>
      </c>
      <c r="Y1115" t="s">
        <v>21591</v>
      </c>
    </row>
    <row r="1116" spans="1:25" x14ac:dyDescent="0.3">
      <c r="A1116">
        <v>55750</v>
      </c>
      <c r="B1116" t="s">
        <v>21592</v>
      </c>
      <c r="C1116" t="s">
        <v>21593</v>
      </c>
      <c r="D1116" t="s">
        <v>21594</v>
      </c>
      <c r="E1116" t="s">
        <v>21595</v>
      </c>
      <c r="F1116" t="s">
        <v>21596</v>
      </c>
      <c r="G1116" t="s">
        <v>21597</v>
      </c>
      <c r="H1116" t="s">
        <v>21598</v>
      </c>
      <c r="I1116" t="s">
        <v>21599</v>
      </c>
      <c r="J1116" t="s">
        <v>21600</v>
      </c>
      <c r="K1116" t="s">
        <v>21601</v>
      </c>
      <c r="L1116" t="s">
        <v>21602</v>
      </c>
      <c r="M1116" t="s">
        <v>21603</v>
      </c>
      <c r="N1116" t="s">
        <v>21604</v>
      </c>
      <c r="O1116">
        <f>-655.483823087402 -99.0296394671034 -524.667436824595</f>
        <v>-1279.1808993791005</v>
      </c>
      <c r="P1116">
        <f>-488.451623555792 -63.8732344760488 -300.072656338441</f>
        <v>-852.39751437028178</v>
      </c>
      <c r="Q1116" t="s">
        <v>21605</v>
      </c>
      <c r="R1116" t="s">
        <v>21606</v>
      </c>
      <c r="S1116" t="s">
        <v>21607</v>
      </c>
      <c r="T1116" t="s">
        <v>21608</v>
      </c>
      <c r="U1116" t="s">
        <v>21609</v>
      </c>
      <c r="V1116">
        <f>-603.417047580999 -29.3708056953863 -94.4477948490323</f>
        <v>-727.23564812541758</v>
      </c>
      <c r="W1116" t="s">
        <v>21610</v>
      </c>
      <c r="X1116" t="s">
        <v>21611</v>
      </c>
      <c r="Y1116" t="s">
        <v>21612</v>
      </c>
    </row>
    <row r="1117" spans="1:25" x14ac:dyDescent="0.3">
      <c r="A1117">
        <v>55800</v>
      </c>
      <c r="B1117" t="s">
        <v>21613</v>
      </c>
      <c r="C1117" t="s">
        <v>21614</v>
      </c>
      <c r="D1117" t="s">
        <v>21615</v>
      </c>
      <c r="E1117" t="s">
        <v>21616</v>
      </c>
      <c r="F1117" t="s">
        <v>21617</v>
      </c>
      <c r="G1117" t="s">
        <v>21618</v>
      </c>
      <c r="H1117" t="s">
        <v>21619</v>
      </c>
      <c r="I1117" t="s">
        <v>21620</v>
      </c>
      <c r="J1117" t="s">
        <v>21621</v>
      </c>
      <c r="K1117" t="s">
        <v>21622</v>
      </c>
      <c r="L1117" t="s">
        <v>21623</v>
      </c>
      <c r="M1117" t="s">
        <v>21624</v>
      </c>
      <c r="N1117" t="s">
        <v>21625</v>
      </c>
      <c r="O1117">
        <f>-656.556101628003 -99.6298005165986 -524.778795891535</f>
        <v>-1280.9646980361367</v>
      </c>
      <c r="P1117">
        <f>-489.205794493733 -64.8001210122582 -300.369815616134</f>
        <v>-854.37573112212522</v>
      </c>
      <c r="Q1117" t="s">
        <v>21626</v>
      </c>
      <c r="R1117" t="s">
        <v>21627</v>
      </c>
      <c r="S1117" t="s">
        <v>21628</v>
      </c>
      <c r="T1117" t="s">
        <v>21629</v>
      </c>
      <c r="U1117" t="s">
        <v>21630</v>
      </c>
      <c r="V1117">
        <f>-603.903287585796 -29.77901445372 -94.4777755625742</f>
        <v>-728.16007760209015</v>
      </c>
      <c r="W1117" t="s">
        <v>21631</v>
      </c>
      <c r="X1117" t="s">
        <v>21632</v>
      </c>
      <c r="Y1117" t="s">
        <v>21633</v>
      </c>
    </row>
    <row r="1118" spans="1:25" x14ac:dyDescent="0.3">
      <c r="A1118">
        <v>55850</v>
      </c>
      <c r="B1118" t="s">
        <v>21634</v>
      </c>
      <c r="C1118" t="s">
        <v>21635</v>
      </c>
      <c r="D1118" t="s">
        <v>21636</v>
      </c>
      <c r="E1118" t="s">
        <v>21637</v>
      </c>
      <c r="F1118" t="s">
        <v>21638</v>
      </c>
      <c r="G1118" t="s">
        <v>21639</v>
      </c>
      <c r="H1118" t="s">
        <v>21640</v>
      </c>
      <c r="I1118" t="s">
        <v>21641</v>
      </c>
      <c r="J1118" t="s">
        <v>21642</v>
      </c>
      <c r="K1118" t="s">
        <v>21643</v>
      </c>
      <c r="L1118" t="s">
        <v>21644</v>
      </c>
      <c r="M1118" t="s">
        <v>21645</v>
      </c>
      <c r="N1118" t="s">
        <v>21646</v>
      </c>
      <c r="O1118">
        <f>-657.066221106523 -99.8205374716258 -524.928223633961</f>
        <v>-1281.81498221211</v>
      </c>
      <c r="P1118">
        <f>-489.830548062238 -65.2469902286148 -300.394379079008</f>
        <v>-855.47191736986076</v>
      </c>
      <c r="Q1118" t="s">
        <v>21647</v>
      </c>
      <c r="R1118" t="s">
        <v>21648</v>
      </c>
      <c r="S1118" t="s">
        <v>21649</v>
      </c>
      <c r="T1118" t="s">
        <v>21650</v>
      </c>
      <c r="U1118" t="s">
        <v>21651</v>
      </c>
      <c r="V1118">
        <f>-604.178377570988 -30.026606432883 -94.4948635212793</f>
        <v>-728.69984752515029</v>
      </c>
      <c r="W1118" t="s">
        <v>21652</v>
      </c>
      <c r="X1118" t="s">
        <v>21653</v>
      </c>
      <c r="Y1118" t="s">
        <v>21654</v>
      </c>
    </row>
    <row r="1119" spans="1:25" x14ac:dyDescent="0.3">
      <c r="A1119">
        <v>55900</v>
      </c>
      <c r="B1119" t="s">
        <v>21655</v>
      </c>
      <c r="C1119" t="s">
        <v>21656</v>
      </c>
      <c r="D1119" t="s">
        <v>21657</v>
      </c>
      <c r="E1119" t="s">
        <v>21658</v>
      </c>
      <c r="F1119" t="s">
        <v>21659</v>
      </c>
      <c r="G1119" t="s">
        <v>21660</v>
      </c>
      <c r="H1119" t="s">
        <v>21661</v>
      </c>
      <c r="I1119" t="s">
        <v>21662</v>
      </c>
      <c r="J1119" t="s">
        <v>21663</v>
      </c>
      <c r="K1119" t="s">
        <v>21664</v>
      </c>
      <c r="L1119" t="s">
        <v>21665</v>
      </c>
      <c r="M1119" t="s">
        <v>21666</v>
      </c>
      <c r="N1119" t="s">
        <v>21667</v>
      </c>
      <c r="O1119">
        <f>-658.00377730229 -100.056444759107 -525.444650904263</f>
        <v>-1283.5048729656601</v>
      </c>
      <c r="P1119">
        <f>-490.990950388888 -66.7691343204119 -300.550894134243</f>
        <v>-858.3109788435429</v>
      </c>
      <c r="Q1119" t="s">
        <v>21668</v>
      </c>
      <c r="R1119" t="s">
        <v>21669</v>
      </c>
      <c r="S1119" t="s">
        <v>21670</v>
      </c>
      <c r="T1119" t="s">
        <v>21671</v>
      </c>
      <c r="U1119" t="s">
        <v>21672</v>
      </c>
      <c r="V1119">
        <f>-604.837035649349 -30.5896540228323 -94.56666110244</f>
        <v>-729.99335077462126</v>
      </c>
      <c r="W1119" t="s">
        <v>21673</v>
      </c>
      <c r="X1119" t="s">
        <v>21674</v>
      </c>
      <c r="Y1119" t="s">
        <v>21675</v>
      </c>
    </row>
    <row r="1120" spans="1:25" x14ac:dyDescent="0.3">
      <c r="A1120">
        <v>55950</v>
      </c>
      <c r="B1120" t="s">
        <v>21676</v>
      </c>
      <c r="C1120" t="s">
        <v>21677</v>
      </c>
      <c r="D1120" t="s">
        <v>21678</v>
      </c>
      <c r="E1120" t="s">
        <v>21679</v>
      </c>
      <c r="F1120" t="s">
        <v>21680</v>
      </c>
      <c r="G1120" t="s">
        <v>21681</v>
      </c>
      <c r="H1120" t="s">
        <v>21682</v>
      </c>
      <c r="I1120" t="s">
        <v>21683</v>
      </c>
      <c r="J1120" t="s">
        <v>21684</v>
      </c>
      <c r="K1120" t="s">
        <v>21685</v>
      </c>
      <c r="L1120" t="s">
        <v>21686</v>
      </c>
      <c r="M1120" t="s">
        <v>21687</v>
      </c>
      <c r="N1120" t="s">
        <v>21688</v>
      </c>
      <c r="O1120">
        <f>-658.683079969364 -100.130237312341 -525.684490424227</f>
        <v>-1284.497807705932</v>
      </c>
      <c r="P1120">
        <f>-491.69995403954 -67.5672853003043 -300.662538323236</f>
        <v>-859.92977766308036</v>
      </c>
      <c r="Q1120" t="s">
        <v>21689</v>
      </c>
      <c r="R1120" t="s">
        <v>21690</v>
      </c>
      <c r="S1120" t="s">
        <v>21691</v>
      </c>
      <c r="T1120" t="s">
        <v>21692</v>
      </c>
      <c r="U1120" t="s">
        <v>21693</v>
      </c>
      <c r="V1120">
        <f>-605.180048166676 -30.8817221222171 -94.6117515678301</f>
        <v>-730.67352185672314</v>
      </c>
      <c r="W1120" t="s">
        <v>21694</v>
      </c>
      <c r="X1120" t="s">
        <v>21695</v>
      </c>
      <c r="Y1120" t="s">
        <v>21696</v>
      </c>
    </row>
    <row r="1121" spans="1:25" x14ac:dyDescent="0.3">
      <c r="A1121">
        <v>56000</v>
      </c>
      <c r="B1121" t="s">
        <v>21697</v>
      </c>
      <c r="C1121" t="s">
        <v>21698</v>
      </c>
      <c r="D1121" t="s">
        <v>21699</v>
      </c>
      <c r="E1121" t="s">
        <v>21700</v>
      </c>
      <c r="F1121" t="s">
        <v>21701</v>
      </c>
      <c r="G1121" t="s">
        <v>21702</v>
      </c>
      <c r="H1121" t="s">
        <v>21703</v>
      </c>
      <c r="I1121" t="s">
        <v>21704</v>
      </c>
      <c r="J1121" t="s">
        <v>21705</v>
      </c>
      <c r="K1121" t="s">
        <v>21706</v>
      </c>
      <c r="L1121" t="s">
        <v>21707</v>
      </c>
      <c r="M1121" t="s">
        <v>21708</v>
      </c>
      <c r="N1121" t="s">
        <v>21709</v>
      </c>
      <c r="O1121">
        <f>-660.361874961029 -100.045056627647 -526.098183896802</f>
        <v>-1286.505115485478</v>
      </c>
      <c r="P1121">
        <f>-493.299687612198 -68.9740160015069 -300.923935645334</f>
        <v>-863.19763925903885</v>
      </c>
      <c r="Q1121" t="s">
        <v>21710</v>
      </c>
      <c r="R1121" t="s">
        <v>21711</v>
      </c>
      <c r="S1121" t="s">
        <v>21712</v>
      </c>
      <c r="T1121" t="s">
        <v>21713</v>
      </c>
      <c r="U1121" t="s">
        <v>21714</v>
      </c>
      <c r="V1121">
        <f>-606.095806418068 -31.522486186451 -94.6798157992075</f>
        <v>-732.29810840372659</v>
      </c>
      <c r="W1121" t="s">
        <v>21715</v>
      </c>
      <c r="X1121" t="s">
        <v>21716</v>
      </c>
      <c r="Y1121" t="s">
        <v>21717</v>
      </c>
    </row>
    <row r="1122" spans="1:25" x14ac:dyDescent="0.3">
      <c r="A1122">
        <v>56050</v>
      </c>
      <c r="B1122" t="s">
        <v>21718</v>
      </c>
      <c r="C1122" t="s">
        <v>21719</v>
      </c>
      <c r="D1122" t="s">
        <v>21720</v>
      </c>
      <c r="E1122" t="s">
        <v>21721</v>
      </c>
      <c r="F1122" t="s">
        <v>21722</v>
      </c>
      <c r="G1122" t="s">
        <v>21723</v>
      </c>
      <c r="H1122" t="s">
        <v>21724</v>
      </c>
      <c r="I1122" t="s">
        <v>21725</v>
      </c>
      <c r="J1122" t="s">
        <v>21726</v>
      </c>
      <c r="K1122" t="s">
        <v>21727</v>
      </c>
      <c r="L1122" t="s">
        <v>21728</v>
      </c>
      <c r="M1122" t="s">
        <v>21729</v>
      </c>
      <c r="N1122" t="s">
        <v>21730</v>
      </c>
      <c r="O1122">
        <f>-661.247749198384 -99.7966240058167 -526.269272623132</f>
        <v>-1287.3136458273327</v>
      </c>
      <c r="P1122">
        <f>-494.125239916427 -69.5233093348284 -301.031229079291</f>
        <v>-864.67977833054647</v>
      </c>
      <c r="Q1122" t="s">
        <v>21731</v>
      </c>
      <c r="R1122" t="s">
        <v>21732</v>
      </c>
      <c r="S1122" t="s">
        <v>21733</v>
      </c>
      <c r="T1122" t="s">
        <v>21734</v>
      </c>
      <c r="U1122" t="s">
        <v>21735</v>
      </c>
      <c r="V1122">
        <f>-606.602370678024 -31.6801154948616 -94.6927221966457</f>
        <v>-732.9752083695314</v>
      </c>
      <c r="W1122" t="s">
        <v>21736</v>
      </c>
      <c r="X1122" t="s">
        <v>21737</v>
      </c>
      <c r="Y1122" t="s">
        <v>21738</v>
      </c>
    </row>
    <row r="1123" spans="1:25" x14ac:dyDescent="0.3">
      <c r="A1123">
        <v>56100</v>
      </c>
      <c r="B1123" t="s">
        <v>21739</v>
      </c>
      <c r="C1123" t="s">
        <v>21740</v>
      </c>
      <c r="D1123" t="s">
        <v>21741</v>
      </c>
      <c r="E1123" t="s">
        <v>21742</v>
      </c>
      <c r="F1123" t="s">
        <v>21743</v>
      </c>
      <c r="G1123" t="s">
        <v>21744</v>
      </c>
      <c r="H1123" t="s">
        <v>21745</v>
      </c>
      <c r="I1123" t="s">
        <v>21746</v>
      </c>
      <c r="J1123" t="s">
        <v>21747</v>
      </c>
      <c r="K1123" t="s">
        <v>21748</v>
      </c>
      <c r="L1123" t="s">
        <v>21749</v>
      </c>
      <c r="M1123" t="s">
        <v>21750</v>
      </c>
      <c r="N1123" t="s">
        <v>21751</v>
      </c>
      <c r="O1123">
        <f>-663.054783430077 -99.2286810903106 -526.646651715869</f>
        <v>-1288.9301162362567</v>
      </c>
      <c r="P1123">
        <f>-495.886270584976 -70.6359208755607 -301.223183125201</f>
        <v>-867.74537458573764</v>
      </c>
      <c r="Q1123" t="s">
        <v>21752</v>
      </c>
      <c r="R1123" t="s">
        <v>21753</v>
      </c>
      <c r="S1123" t="s">
        <v>21754</v>
      </c>
      <c r="T1123" t="s">
        <v>21755</v>
      </c>
      <c r="U1123" t="s">
        <v>21756</v>
      </c>
      <c r="V1123">
        <f>-607.671839761991 -31.9547338047303 -94.7236674900834</f>
        <v>-734.35024105680463</v>
      </c>
      <c r="W1123" t="s">
        <v>21757</v>
      </c>
      <c r="X1123" t="s">
        <v>21758</v>
      </c>
      <c r="Y1123" t="s">
        <v>21759</v>
      </c>
    </row>
    <row r="1124" spans="1:25" x14ac:dyDescent="0.3">
      <c r="A1124">
        <v>56150</v>
      </c>
      <c r="B1124" t="s">
        <v>21760</v>
      </c>
      <c r="C1124" t="s">
        <v>21761</v>
      </c>
      <c r="D1124" t="s">
        <v>21762</v>
      </c>
      <c r="E1124" t="s">
        <v>21763</v>
      </c>
      <c r="F1124" t="s">
        <v>21764</v>
      </c>
      <c r="G1124" t="s">
        <v>21765</v>
      </c>
      <c r="H1124" t="s">
        <v>21766</v>
      </c>
      <c r="I1124" t="s">
        <v>21767</v>
      </c>
      <c r="J1124" t="s">
        <v>21768</v>
      </c>
      <c r="K1124" t="s">
        <v>21769</v>
      </c>
      <c r="L1124" t="s">
        <v>21770</v>
      </c>
      <c r="M1124" t="s">
        <v>21771</v>
      </c>
      <c r="N1124" t="s">
        <v>21772</v>
      </c>
      <c r="O1124">
        <f>-664.012792790966 -98.9711153808719 -526.767914350241</f>
        <v>-1289.7518225220788</v>
      </c>
      <c r="P1124">
        <f>-496.747557049671 -71.1417293008628 -301.32063717</f>
        <v>-869.20992352053372</v>
      </c>
      <c r="Q1124" t="s">
        <v>21773</v>
      </c>
      <c r="R1124" t="s">
        <v>21774</v>
      </c>
      <c r="S1124" t="s">
        <v>21775</v>
      </c>
      <c r="T1124" t="s">
        <v>21776</v>
      </c>
      <c r="U1124" t="s">
        <v>21777</v>
      </c>
      <c r="V1124">
        <f>-608.200006429704 -31.9780903206292 -94.7462445386436</f>
        <v>-734.92434128897685</v>
      </c>
      <c r="W1124" t="s">
        <v>21778</v>
      </c>
      <c r="X1124" t="s">
        <v>21779</v>
      </c>
      <c r="Y1124" t="s">
        <v>21780</v>
      </c>
    </row>
    <row r="1125" spans="1:25" x14ac:dyDescent="0.3">
      <c r="A1125">
        <v>56200</v>
      </c>
      <c r="B1125" t="s">
        <v>21781</v>
      </c>
      <c r="C1125" t="s">
        <v>21782</v>
      </c>
      <c r="D1125" t="s">
        <v>21783</v>
      </c>
      <c r="E1125" t="s">
        <v>21784</v>
      </c>
      <c r="F1125" t="s">
        <v>21785</v>
      </c>
      <c r="G1125" t="s">
        <v>21786</v>
      </c>
      <c r="H1125" t="s">
        <v>21787</v>
      </c>
      <c r="I1125" t="s">
        <v>21788</v>
      </c>
      <c r="J1125" t="s">
        <v>21789</v>
      </c>
      <c r="K1125" t="s">
        <v>21790</v>
      </c>
      <c r="L1125" t="s">
        <v>21791</v>
      </c>
      <c r="M1125" t="s">
        <v>21792</v>
      </c>
      <c r="N1125" t="s">
        <v>21793</v>
      </c>
      <c r="O1125">
        <f>-665.642833965532 -98.4871604708435 -526.765534485128</f>
        <v>-1290.8955289215035</v>
      </c>
      <c r="P1125">
        <f>-498.126471225355 -71.5618843031414 -301.395008501792</f>
        <v>-871.08336403028829</v>
      </c>
      <c r="Q1125" t="s">
        <v>21794</v>
      </c>
      <c r="R1125" t="s">
        <v>21795</v>
      </c>
      <c r="S1125" t="s">
        <v>21796</v>
      </c>
      <c r="T1125" t="s">
        <v>21797</v>
      </c>
      <c r="U1125" t="s">
        <v>21798</v>
      </c>
      <c r="V1125">
        <f>-609.189315017665 -31.8762100161418 -94.7504505725057</f>
        <v>-735.81597560631246</v>
      </c>
      <c r="W1125" t="s">
        <v>21799</v>
      </c>
      <c r="X1125" t="s">
        <v>21800</v>
      </c>
      <c r="Y1125" t="s">
        <v>21801</v>
      </c>
    </row>
    <row r="1126" spans="1:25" x14ac:dyDescent="0.3">
      <c r="A1126">
        <v>56250</v>
      </c>
      <c r="B1126" t="s">
        <v>21802</v>
      </c>
      <c r="C1126" t="s">
        <v>21803</v>
      </c>
      <c r="D1126" t="s">
        <v>21804</v>
      </c>
      <c r="E1126" t="s">
        <v>21805</v>
      </c>
      <c r="F1126" t="s">
        <v>21806</v>
      </c>
      <c r="G1126" t="s">
        <v>21807</v>
      </c>
      <c r="H1126" t="s">
        <v>21808</v>
      </c>
      <c r="I1126" t="s">
        <v>21809</v>
      </c>
      <c r="J1126" t="s">
        <v>21810</v>
      </c>
      <c r="K1126" t="s">
        <v>21811</v>
      </c>
      <c r="L1126" t="s">
        <v>21812</v>
      </c>
      <c r="M1126" t="s">
        <v>21813</v>
      </c>
      <c r="N1126" t="s">
        <v>21814</v>
      </c>
      <c r="O1126">
        <f>-666.374387062953 -98.2966374352852 -526.65860775892</f>
        <v>-1291.3296322571582</v>
      </c>
      <c r="P1126">
        <f>-498.945955518744 -71.4215055589473 -301.216585471584</f>
        <v>-871.58404654927517</v>
      </c>
      <c r="Q1126" t="s">
        <v>21815</v>
      </c>
      <c r="R1126" t="s">
        <v>21816</v>
      </c>
      <c r="S1126" t="s">
        <v>21817</v>
      </c>
      <c r="T1126" t="s">
        <v>21818</v>
      </c>
      <c r="U1126" t="s">
        <v>21819</v>
      </c>
      <c r="V1126">
        <f>-609.636919478435 -31.7415162178402 -94.7627789303872</f>
        <v>-736.1412146266623</v>
      </c>
      <c r="W1126" t="s">
        <v>21820</v>
      </c>
      <c r="X1126" t="s">
        <v>21821</v>
      </c>
      <c r="Y1126" t="s">
        <v>21822</v>
      </c>
    </row>
    <row r="1127" spans="1:25" x14ac:dyDescent="0.3">
      <c r="A1127">
        <v>56300</v>
      </c>
      <c r="B1127" t="s">
        <v>21823</v>
      </c>
      <c r="C1127" t="s">
        <v>21824</v>
      </c>
      <c r="D1127" t="s">
        <v>21825</v>
      </c>
      <c r="E1127" t="s">
        <v>21826</v>
      </c>
      <c r="F1127" t="s">
        <v>21827</v>
      </c>
      <c r="G1127" t="s">
        <v>21828</v>
      </c>
      <c r="H1127" t="s">
        <v>21829</v>
      </c>
      <c r="I1127" t="s">
        <v>21830</v>
      </c>
      <c r="J1127" t="s">
        <v>21831</v>
      </c>
      <c r="K1127" t="s">
        <v>21832</v>
      </c>
      <c r="L1127" t="s">
        <v>21833</v>
      </c>
      <c r="M1127" t="s">
        <v>21834</v>
      </c>
      <c r="N1127" t="s">
        <v>21835</v>
      </c>
      <c r="O1127">
        <f>-667.422089873241 -98.2238652466974 -526.2699383202</f>
        <v>-1291.9158934401385</v>
      </c>
      <c r="P1127">
        <f>-500.195280701634 -71.6225553051538 -300.646064975635</f>
        <v>-872.46390098242273</v>
      </c>
      <c r="Q1127" t="s">
        <v>21836</v>
      </c>
      <c r="R1127" t="s">
        <v>21837</v>
      </c>
      <c r="S1127" t="s">
        <v>21838</v>
      </c>
      <c r="T1127" t="s">
        <v>21839</v>
      </c>
      <c r="U1127" t="s">
        <v>21840</v>
      </c>
      <c r="V1127">
        <f>-610.467879138462 -31.3784360808525 -94.7668596879055</f>
        <v>-736.6131749072199</v>
      </c>
      <c r="W1127" t="s">
        <v>21841</v>
      </c>
      <c r="X1127" t="s">
        <v>21842</v>
      </c>
      <c r="Y1127" t="s">
        <v>21843</v>
      </c>
    </row>
    <row r="1128" spans="1:25" x14ac:dyDescent="0.3">
      <c r="A1128">
        <v>56350</v>
      </c>
      <c r="B1128" t="s">
        <v>21844</v>
      </c>
      <c r="C1128" t="s">
        <v>21845</v>
      </c>
      <c r="D1128" t="s">
        <v>21846</v>
      </c>
      <c r="E1128" t="s">
        <v>21847</v>
      </c>
      <c r="F1128" t="s">
        <v>21848</v>
      </c>
      <c r="G1128" t="s">
        <v>21849</v>
      </c>
      <c r="H1128" t="s">
        <v>21850</v>
      </c>
      <c r="I1128" t="s">
        <v>21851</v>
      </c>
      <c r="J1128" t="s">
        <v>21852</v>
      </c>
      <c r="K1128" t="s">
        <v>21853</v>
      </c>
      <c r="L1128" t="s">
        <v>21854</v>
      </c>
      <c r="M1128" t="s">
        <v>21855</v>
      </c>
      <c r="N1128" t="s">
        <v>21856</v>
      </c>
      <c r="O1128">
        <f>-667.983018301241 -98.4067235829743 -525.868700878259</f>
        <v>-1292.2584427624743</v>
      </c>
      <c r="P1128">
        <f>-501.052781692791 -72.5112319091286 -299.943303814754</f>
        <v>-873.50731741667357</v>
      </c>
      <c r="Q1128" t="s">
        <v>21857</v>
      </c>
      <c r="R1128" t="s">
        <v>21858</v>
      </c>
      <c r="S1128" t="s">
        <v>21859</v>
      </c>
      <c r="T1128" t="s">
        <v>21860</v>
      </c>
      <c r="U1128" t="s">
        <v>21861</v>
      </c>
      <c r="V1128">
        <f>-610.745581387428 -31.0717450522832 -94.7523638811469</f>
        <v>-736.56969032085817</v>
      </c>
      <c r="W1128" t="s">
        <v>21862</v>
      </c>
      <c r="X1128" t="s">
        <v>21863</v>
      </c>
      <c r="Y1128" t="s">
        <v>21864</v>
      </c>
    </row>
    <row r="1129" spans="1:25" x14ac:dyDescent="0.3">
      <c r="A1129">
        <v>56400</v>
      </c>
      <c r="B1129" t="s">
        <v>21865</v>
      </c>
      <c r="C1129" t="s">
        <v>21866</v>
      </c>
      <c r="D1129" t="s">
        <v>21867</v>
      </c>
      <c r="E1129" t="s">
        <v>21868</v>
      </c>
      <c r="F1129" t="s">
        <v>21869</v>
      </c>
      <c r="G1129" t="s">
        <v>21870</v>
      </c>
      <c r="H1129" t="s">
        <v>21871</v>
      </c>
      <c r="I1129" t="s">
        <v>21872</v>
      </c>
      <c r="J1129" t="s">
        <v>21873</v>
      </c>
      <c r="K1129" t="s">
        <v>21874</v>
      </c>
      <c r="L1129" t="s">
        <v>21875</v>
      </c>
      <c r="M1129" t="s">
        <v>21876</v>
      </c>
      <c r="N1129" t="s">
        <v>21877</v>
      </c>
      <c r="O1129">
        <f>-669.298602836083 -99.0668154246002 -524.86276734472</f>
        <v>-1293.2281856054033</v>
      </c>
      <c r="P1129">
        <f>-503.817527495003 -75.4556631840571 -297.62467265065</f>
        <v>-876.89786332971016</v>
      </c>
      <c r="Q1129" t="s">
        <v>21878</v>
      </c>
      <c r="R1129" t="s">
        <v>21879</v>
      </c>
      <c r="S1129" t="s">
        <v>21880</v>
      </c>
      <c r="T1129" t="s">
        <v>21881</v>
      </c>
      <c r="U1129" t="s">
        <v>21882</v>
      </c>
      <c r="V1129">
        <f>-610.931191620309 -30.3438777329256 -94.7130029557724</f>
        <v>-735.98807230900707</v>
      </c>
      <c r="W1129" t="s">
        <v>21883</v>
      </c>
      <c r="X1129" t="s">
        <v>21884</v>
      </c>
      <c r="Y1129" t="s">
        <v>21885</v>
      </c>
    </row>
    <row r="1130" spans="1:25" x14ac:dyDescent="0.3">
      <c r="A1130">
        <v>56450</v>
      </c>
      <c r="B1130" t="s">
        <v>21886</v>
      </c>
      <c r="C1130" t="s">
        <v>21887</v>
      </c>
      <c r="D1130" t="s">
        <v>21888</v>
      </c>
      <c r="E1130" t="s">
        <v>21889</v>
      </c>
      <c r="F1130" t="s">
        <v>21890</v>
      </c>
      <c r="G1130" t="s">
        <v>21891</v>
      </c>
      <c r="H1130" t="s">
        <v>21892</v>
      </c>
      <c r="I1130" t="s">
        <v>21893</v>
      </c>
      <c r="J1130" t="s">
        <v>21894</v>
      </c>
      <c r="K1130" t="s">
        <v>21895</v>
      </c>
      <c r="L1130" t="s">
        <v>21896</v>
      </c>
      <c r="M1130" t="s">
        <v>21897</v>
      </c>
      <c r="N1130" t="s">
        <v>21898</v>
      </c>
      <c r="O1130">
        <f>-670.099698986193 -99.7199822118032 -524.170658770546</f>
        <v>-1293.9903399685422</v>
      </c>
      <c r="P1130">
        <f>-505.616447571915 -77.2030545907935 -296.098678094536</f>
        <v>-878.91818025724444</v>
      </c>
      <c r="Q1130" t="s">
        <v>21899</v>
      </c>
      <c r="R1130" t="s">
        <v>21900</v>
      </c>
      <c r="S1130" t="s">
        <v>21901</v>
      </c>
      <c r="T1130" t="s">
        <v>21902</v>
      </c>
      <c r="U1130" t="s">
        <v>21903</v>
      </c>
      <c r="V1130">
        <f>-610.926013745407 -29.9794751921027 -94.6962384380699</f>
        <v>-735.60172737557957</v>
      </c>
      <c r="W1130" t="s">
        <v>21904</v>
      </c>
      <c r="X1130" t="s">
        <v>21905</v>
      </c>
      <c r="Y1130" t="s">
        <v>21906</v>
      </c>
    </row>
    <row r="1131" spans="1:25" x14ac:dyDescent="0.3">
      <c r="A1131">
        <v>56500</v>
      </c>
      <c r="B1131" t="s">
        <v>21907</v>
      </c>
      <c r="C1131" t="s">
        <v>21908</v>
      </c>
      <c r="D1131" t="s">
        <v>21909</v>
      </c>
      <c r="E1131" t="s">
        <v>21910</v>
      </c>
      <c r="F1131" t="s">
        <v>21911</v>
      </c>
      <c r="G1131" t="s">
        <v>21912</v>
      </c>
      <c r="H1131" t="s">
        <v>21913</v>
      </c>
      <c r="I1131" t="s">
        <v>21914</v>
      </c>
      <c r="J1131" t="s">
        <v>21915</v>
      </c>
      <c r="K1131" t="s">
        <v>21916</v>
      </c>
      <c r="L1131" t="s">
        <v>21917</v>
      </c>
      <c r="M1131" t="s">
        <v>21918</v>
      </c>
      <c r="N1131" t="s">
        <v>21919</v>
      </c>
      <c r="O1131">
        <f>-672.23638290354 -101.731054882904 -522.253039246124</f>
        <v>-1296.2204770325679</v>
      </c>
      <c r="P1131">
        <f>-509.718044163896 -82.2351088242633 -292.500390039817</f>
        <v>-884.45354302797637</v>
      </c>
      <c r="Q1131" t="s">
        <v>21920</v>
      </c>
      <c r="R1131" t="s">
        <v>21921</v>
      </c>
      <c r="S1131" t="s">
        <v>21922</v>
      </c>
      <c r="T1131" t="s">
        <v>21923</v>
      </c>
      <c r="U1131" t="s">
        <v>21924</v>
      </c>
      <c r="V1131">
        <f>-611.067026359773 -29.452420409601 -94.6444310907702</f>
        <v>-735.16387786014423</v>
      </c>
      <c r="W1131" t="s">
        <v>21925</v>
      </c>
      <c r="X1131" t="s">
        <v>21926</v>
      </c>
      <c r="Y1131" t="s">
        <v>21927</v>
      </c>
    </row>
    <row r="1132" spans="1:25" x14ac:dyDescent="0.3">
      <c r="A1132">
        <v>56550</v>
      </c>
      <c r="B1132" t="s">
        <v>21928</v>
      </c>
      <c r="C1132" t="s">
        <v>21929</v>
      </c>
      <c r="D1132" t="s">
        <v>21930</v>
      </c>
      <c r="E1132" t="s">
        <v>21931</v>
      </c>
      <c r="F1132" t="s">
        <v>21932</v>
      </c>
      <c r="G1132" t="s">
        <v>21933</v>
      </c>
      <c r="H1132" t="s">
        <v>21934</v>
      </c>
      <c r="I1132" t="s">
        <v>21935</v>
      </c>
      <c r="J1132" t="s">
        <v>21936</v>
      </c>
      <c r="K1132" t="s">
        <v>21937</v>
      </c>
      <c r="L1132" t="s">
        <v>21938</v>
      </c>
      <c r="M1132" t="s">
        <v>21939</v>
      </c>
      <c r="N1132" t="s">
        <v>21940</v>
      </c>
      <c r="O1132">
        <f>-673.455517178969 -102.801162825256 -521.200513287429</f>
        <v>-1297.457193291654</v>
      </c>
      <c r="P1132">
        <f>-512.193742431657 -85.2803699385979 -290.405780266465</f>
        <v>-887.87989263671989</v>
      </c>
      <c r="Q1132" t="s">
        <v>21941</v>
      </c>
      <c r="R1132" t="s">
        <v>21942</v>
      </c>
      <c r="S1132" t="s">
        <v>21943</v>
      </c>
      <c r="T1132" t="s">
        <v>21944</v>
      </c>
      <c r="U1132" t="s">
        <v>21945</v>
      </c>
      <c r="V1132">
        <f>-611.286081414849 -29.1735550591252 -94.6175598957291</f>
        <v>-735.0771963697033</v>
      </c>
      <c r="W1132" t="s">
        <v>21946</v>
      </c>
      <c r="X1132" t="s">
        <v>21947</v>
      </c>
      <c r="Y1132" t="s">
        <v>21948</v>
      </c>
    </row>
    <row r="1133" spans="1:25" x14ac:dyDescent="0.3">
      <c r="A1133">
        <v>56600</v>
      </c>
      <c r="B1133" t="s">
        <v>21949</v>
      </c>
      <c r="C1133" t="s">
        <v>21950</v>
      </c>
      <c r="D1133" t="s">
        <v>21951</v>
      </c>
      <c r="E1133" t="s">
        <v>21952</v>
      </c>
      <c r="F1133" t="s">
        <v>21953</v>
      </c>
      <c r="G1133" t="s">
        <v>21954</v>
      </c>
      <c r="H1133" t="s">
        <v>21955</v>
      </c>
      <c r="I1133" t="s">
        <v>21956</v>
      </c>
      <c r="J1133" t="s">
        <v>21957</v>
      </c>
      <c r="K1133" t="s">
        <v>21958</v>
      </c>
      <c r="L1133" t="s">
        <v>21959</v>
      </c>
      <c r="M1133" t="s">
        <v>21960</v>
      </c>
      <c r="N1133" t="s">
        <v>21961</v>
      </c>
      <c r="O1133">
        <f>-676.437357470717 -105.059573044787 -519.361685415015</f>
        <v>-1300.8586159305191</v>
      </c>
      <c r="P1133">
        <f>-518.478379707112 -92.9208826891695 -285.951795907571</f>
        <v>-897.3510583038526</v>
      </c>
      <c r="Q1133" t="s">
        <v>21962</v>
      </c>
      <c r="R1133" t="s">
        <v>21963</v>
      </c>
      <c r="S1133" t="s">
        <v>21964</v>
      </c>
      <c r="T1133" t="s">
        <v>21965</v>
      </c>
      <c r="U1133" t="s">
        <v>21966</v>
      </c>
      <c r="V1133">
        <f>-612.135744968593 -28.8680268397379 -94.5749860006213</f>
        <v>-735.57875780895222</v>
      </c>
      <c r="W1133" t="s">
        <v>21967</v>
      </c>
      <c r="X1133" t="s">
        <v>21968</v>
      </c>
      <c r="Y1133" t="s">
        <v>21969</v>
      </c>
    </row>
    <row r="1134" spans="1:25" x14ac:dyDescent="0.3">
      <c r="A1134">
        <v>56650</v>
      </c>
      <c r="B1134" t="s">
        <v>21970</v>
      </c>
      <c r="C1134" t="s">
        <v>21971</v>
      </c>
      <c r="D1134" t="s">
        <v>21972</v>
      </c>
      <c r="E1134" t="s">
        <v>21973</v>
      </c>
      <c r="F1134" t="s">
        <v>21974</v>
      </c>
      <c r="G1134" t="s">
        <v>21975</v>
      </c>
      <c r="H1134" t="s">
        <v>21976</v>
      </c>
      <c r="I1134" t="s">
        <v>21977</v>
      </c>
      <c r="J1134" t="s">
        <v>21978</v>
      </c>
      <c r="K1134" t="s">
        <v>21979</v>
      </c>
      <c r="L1134" t="s">
        <v>21980</v>
      </c>
      <c r="M1134" t="s">
        <v>21981</v>
      </c>
      <c r="N1134" t="s">
        <v>21982</v>
      </c>
      <c r="O1134">
        <f>-678.297423067045 -106.164617793561 -518.475536002121</f>
        <v>-1302.9375768627269</v>
      </c>
      <c r="P1134">
        <f>-522.064046903154 -97.0930102415116 -283.768410441663</f>
        <v>-902.92546758632852</v>
      </c>
      <c r="Q1134" t="s">
        <v>21983</v>
      </c>
      <c r="R1134" t="s">
        <v>21984</v>
      </c>
      <c r="S1134" t="s">
        <v>21985</v>
      </c>
      <c r="T1134" t="s">
        <v>21986</v>
      </c>
      <c r="U1134" t="s">
        <v>21987</v>
      </c>
      <c r="V1134">
        <f>-612.780959988118 -28.942708761786 -94.5874550582117</f>
        <v>-736.31112380811567</v>
      </c>
      <c r="W1134" t="s">
        <v>21988</v>
      </c>
      <c r="X1134" t="s">
        <v>21989</v>
      </c>
      <c r="Y1134" t="s">
        <v>21990</v>
      </c>
    </row>
    <row r="1135" spans="1:25" x14ac:dyDescent="0.3">
      <c r="A1135">
        <v>56700</v>
      </c>
      <c r="B1135" t="s">
        <v>21991</v>
      </c>
      <c r="C1135" t="s">
        <v>21992</v>
      </c>
      <c r="D1135" t="s">
        <v>21993</v>
      </c>
      <c r="E1135" t="s">
        <v>21994</v>
      </c>
      <c r="F1135" t="s">
        <v>21995</v>
      </c>
      <c r="G1135" t="s">
        <v>21996</v>
      </c>
      <c r="H1135" t="s">
        <v>21997</v>
      </c>
      <c r="I1135" t="s">
        <v>21998</v>
      </c>
      <c r="J1135" t="s">
        <v>21999</v>
      </c>
      <c r="K1135" t="s">
        <v>22000</v>
      </c>
      <c r="L1135" t="s">
        <v>22001</v>
      </c>
      <c r="M1135" t="s">
        <v>22002</v>
      </c>
      <c r="N1135" t="s">
        <v>22003</v>
      </c>
      <c r="O1135">
        <f>-682.058543896428 -108.595072178646 -516.869922549679</f>
        <v>-1307.523538624753</v>
      </c>
      <c r="P1135">
        <f>-530.617331910748 -104.560291702851 -278.903751224243</f>
        <v>-914.08137483784208</v>
      </c>
      <c r="Q1135" t="s">
        <v>22004</v>
      </c>
      <c r="R1135" t="s">
        <v>22005</v>
      </c>
      <c r="S1135" t="s">
        <v>22006</v>
      </c>
      <c r="T1135" t="s">
        <v>22007</v>
      </c>
      <c r="U1135" t="s">
        <v>22008</v>
      </c>
      <c r="V1135">
        <f>-614.12679110891 -29.4437143178207 -94.622399407372</f>
        <v>-738.19290483410259</v>
      </c>
      <c r="W1135" t="s">
        <v>22009</v>
      </c>
      <c r="X1135" t="s">
        <v>22010</v>
      </c>
      <c r="Y1135" t="s">
        <v>22011</v>
      </c>
    </row>
    <row r="1136" spans="1:25" x14ac:dyDescent="0.3">
      <c r="A1136">
        <v>56750</v>
      </c>
      <c r="B1136" t="s">
        <v>22012</v>
      </c>
      <c r="C1136" t="s">
        <v>22013</v>
      </c>
      <c r="D1136" t="s">
        <v>22014</v>
      </c>
      <c r="E1136" t="s">
        <v>22015</v>
      </c>
      <c r="F1136" t="s">
        <v>22016</v>
      </c>
      <c r="G1136" t="s">
        <v>22017</v>
      </c>
      <c r="H1136" t="s">
        <v>22018</v>
      </c>
      <c r="I1136" t="s">
        <v>22019</v>
      </c>
      <c r="J1136" t="s">
        <v>22020</v>
      </c>
      <c r="K1136" t="s">
        <v>22021</v>
      </c>
      <c r="L1136" t="s">
        <v>22022</v>
      </c>
      <c r="M1136" t="s">
        <v>22023</v>
      </c>
      <c r="N1136" t="s">
        <v>22024</v>
      </c>
      <c r="O1136">
        <f>-684.19504830293 -109.555331294302 -515.989377607688</f>
        <v>-1309.7397572049199</v>
      </c>
      <c r="P1136">
        <f>-535.402351794205 -107.704391192044 -276.331512206998</f>
        <v>-919.43825519324696</v>
      </c>
      <c r="Q1136" t="s">
        <v>22025</v>
      </c>
      <c r="R1136" t="s">
        <v>22026</v>
      </c>
      <c r="S1136" t="s">
        <v>22027</v>
      </c>
      <c r="T1136" t="s">
        <v>22028</v>
      </c>
      <c r="U1136" t="s">
        <v>22029</v>
      </c>
      <c r="V1136">
        <f>-615.113003876759 -29.9148454585632 -94.6360006546032</f>
        <v>-739.66384998992532</v>
      </c>
      <c r="W1136" t="s">
        <v>22030</v>
      </c>
      <c r="X1136" t="s">
        <v>22031</v>
      </c>
      <c r="Y1136" t="s">
        <v>22032</v>
      </c>
    </row>
    <row r="1137" spans="1:25" x14ac:dyDescent="0.3">
      <c r="A1137">
        <v>56800</v>
      </c>
      <c r="B1137" t="s">
        <v>22033</v>
      </c>
      <c r="C1137" t="s">
        <v>22034</v>
      </c>
      <c r="D1137" t="s">
        <v>22035</v>
      </c>
      <c r="E1137" t="s">
        <v>22036</v>
      </c>
      <c r="F1137" t="s">
        <v>22037</v>
      </c>
      <c r="G1137" t="s">
        <v>22038</v>
      </c>
      <c r="H1137" t="s">
        <v>22039</v>
      </c>
      <c r="I1137" t="s">
        <v>22040</v>
      </c>
      <c r="J1137" t="s">
        <v>22041</v>
      </c>
      <c r="K1137" t="s">
        <v>22042</v>
      </c>
      <c r="L1137" t="s">
        <v>22043</v>
      </c>
      <c r="M1137" t="s">
        <v>22044</v>
      </c>
      <c r="N1137" t="s">
        <v>22045</v>
      </c>
      <c r="O1137">
        <f>-687.851056733343 -111.910726359109 -514.607607137447</f>
        <v>-1314.369390229899</v>
      </c>
      <c r="P1137">
        <f>-545.538543878323 -115.631192380471 -271.067258565233</f>
        <v>-932.23699482402708</v>
      </c>
      <c r="Q1137" t="s">
        <v>22046</v>
      </c>
      <c r="R1137" t="s">
        <v>22047</v>
      </c>
      <c r="S1137" t="s">
        <v>22048</v>
      </c>
      <c r="T1137" t="s">
        <v>22049</v>
      </c>
      <c r="U1137" t="s">
        <v>22050</v>
      </c>
      <c r="V1137">
        <f>-617.029379636537 -31.1298943757442 -94.6531874633457</f>
        <v>-742.81246147562695</v>
      </c>
      <c r="W1137" t="s">
        <v>22051</v>
      </c>
      <c r="X1137" t="s">
        <v>22052</v>
      </c>
      <c r="Y1137" t="s">
        <v>22053</v>
      </c>
    </row>
    <row r="1138" spans="1:25" x14ac:dyDescent="0.3">
      <c r="A1138">
        <v>56850</v>
      </c>
      <c r="B1138" t="s">
        <v>22054</v>
      </c>
      <c r="C1138" t="s">
        <v>22055</v>
      </c>
      <c r="D1138" t="s">
        <v>22056</v>
      </c>
      <c r="E1138" t="s">
        <v>22057</v>
      </c>
      <c r="F1138" t="s">
        <v>22058</v>
      </c>
      <c r="G1138" t="s">
        <v>22059</v>
      </c>
      <c r="H1138" t="s">
        <v>22060</v>
      </c>
      <c r="I1138" t="s">
        <v>22061</v>
      </c>
      <c r="J1138" t="s">
        <v>22062</v>
      </c>
      <c r="K1138" t="s">
        <v>22063</v>
      </c>
      <c r="L1138" t="s">
        <v>22064</v>
      </c>
      <c r="M1138" t="s">
        <v>22065</v>
      </c>
      <c r="N1138" t="s">
        <v>22066</v>
      </c>
      <c r="O1138">
        <f>-689.581118265885 -112.971868830416 -513.945287689913</f>
        <v>-1316.4982747862141</v>
      </c>
      <c r="P1138">
        <f>-551.001803644968 -119.526117528253 -268.320913023094</f>
        <v>-938.84883419631512</v>
      </c>
      <c r="Q1138" t="s">
        <v>22067</v>
      </c>
      <c r="R1138" t="s">
        <v>22068</v>
      </c>
      <c r="S1138" t="s">
        <v>22069</v>
      </c>
      <c r="T1138" t="s">
        <v>22070</v>
      </c>
      <c r="U1138" t="s">
        <v>22071</v>
      </c>
      <c r="V1138">
        <f>-617.737366986892 -31.8399958143652 -94.6665837352228</f>
        <v>-744.24394653648005</v>
      </c>
      <c r="W1138" t="s">
        <v>22072</v>
      </c>
      <c r="X1138" t="s">
        <v>22073</v>
      </c>
      <c r="Y1138" t="s">
        <v>22074</v>
      </c>
    </row>
    <row r="1139" spans="1:25" x14ac:dyDescent="0.3">
      <c r="A1139">
        <v>56900</v>
      </c>
      <c r="B1139" t="s">
        <v>22075</v>
      </c>
      <c r="C1139" t="s">
        <v>22076</v>
      </c>
      <c r="D1139" t="s">
        <v>22077</v>
      </c>
      <c r="E1139" t="s">
        <v>22078</v>
      </c>
      <c r="F1139" t="s">
        <v>22079</v>
      </c>
      <c r="G1139" t="s">
        <v>22080</v>
      </c>
      <c r="H1139" t="s">
        <v>22081</v>
      </c>
      <c r="I1139" t="s">
        <v>22082</v>
      </c>
      <c r="J1139" t="s">
        <v>22083</v>
      </c>
      <c r="K1139" t="s">
        <v>22084</v>
      </c>
      <c r="L1139" t="s">
        <v>22085</v>
      </c>
      <c r="M1139" t="s">
        <v>22086</v>
      </c>
      <c r="N1139" t="s">
        <v>22087</v>
      </c>
      <c r="O1139">
        <f>-692.564468348042 -114.592910008197 -512.881689091815</f>
        <v>-1320.0390674480541</v>
      </c>
      <c r="P1139">
        <f>-562.889298801798 -127.199367357257 -262.67384221123</f>
        <v>-952.76250837028488</v>
      </c>
      <c r="Q1139" t="s">
        <v>22088</v>
      </c>
      <c r="R1139" t="s">
        <v>22089</v>
      </c>
      <c r="S1139" t="s">
        <v>22090</v>
      </c>
      <c r="T1139" t="s">
        <v>22091</v>
      </c>
      <c r="U1139" t="s">
        <v>22092</v>
      </c>
      <c r="V1139">
        <f>-618.891898441433 -33.0906794054606 -94.6312032277424</f>
        <v>-746.61378107463599</v>
      </c>
      <c r="W1139" t="s">
        <v>22093</v>
      </c>
      <c r="X1139" t="s">
        <v>22094</v>
      </c>
      <c r="Y1139" t="s">
        <v>22095</v>
      </c>
    </row>
    <row r="1140" spans="1:25" x14ac:dyDescent="0.3">
      <c r="A1140">
        <v>56950</v>
      </c>
      <c r="B1140" t="s">
        <v>22096</v>
      </c>
      <c r="C1140" t="s">
        <v>22097</v>
      </c>
      <c r="D1140" t="s">
        <v>22098</v>
      </c>
      <c r="E1140" t="s">
        <v>22099</v>
      </c>
      <c r="F1140" t="s">
        <v>22100</v>
      </c>
      <c r="G1140" t="s">
        <v>22101</v>
      </c>
      <c r="H1140" t="s">
        <v>22102</v>
      </c>
      <c r="I1140" t="s">
        <v>22103</v>
      </c>
      <c r="J1140" t="s">
        <v>22104</v>
      </c>
      <c r="K1140" t="s">
        <v>22105</v>
      </c>
      <c r="L1140" t="s">
        <v>22106</v>
      </c>
      <c r="M1140" t="s">
        <v>22107</v>
      </c>
      <c r="N1140" t="s">
        <v>22108</v>
      </c>
      <c r="O1140">
        <f>-693.918047174562 -115.23121623826 -512.495395703469</f>
        <v>-1321.644659116291</v>
      </c>
      <c r="P1140">
        <f>-569.413679015188 -130.565767878897 -259.825491545002</f>
        <v>-959.80493843908698</v>
      </c>
      <c r="Q1140" t="s">
        <v>22109</v>
      </c>
      <c r="R1140" t="s">
        <v>22110</v>
      </c>
      <c r="S1140" t="s">
        <v>22111</v>
      </c>
      <c r="T1140" t="s">
        <v>22112</v>
      </c>
      <c r="U1140" t="s">
        <v>22113</v>
      </c>
      <c r="V1140">
        <f>-619.348224866094 -33.6450904452636 -94.6090545252551</f>
        <v>-747.60236983661275</v>
      </c>
      <c r="W1140" t="s">
        <v>22114</v>
      </c>
      <c r="X1140" t="s">
        <v>22115</v>
      </c>
      <c r="Y1140" t="s">
        <v>22116</v>
      </c>
    </row>
    <row r="1141" spans="1:25" x14ac:dyDescent="0.3">
      <c r="A1141">
        <v>57000</v>
      </c>
      <c r="B1141" t="s">
        <v>22117</v>
      </c>
      <c r="C1141" t="s">
        <v>22118</v>
      </c>
      <c r="D1141" t="s">
        <v>22119</v>
      </c>
      <c r="E1141" t="s">
        <v>22120</v>
      </c>
      <c r="F1141" t="s">
        <v>22121</v>
      </c>
      <c r="G1141" t="s">
        <v>22122</v>
      </c>
      <c r="H1141" t="s">
        <v>22123</v>
      </c>
      <c r="I1141" t="s">
        <v>22124</v>
      </c>
      <c r="J1141" t="s">
        <v>22125</v>
      </c>
      <c r="K1141" t="s">
        <v>22126</v>
      </c>
      <c r="L1141" t="s">
        <v>22127</v>
      </c>
      <c r="M1141" t="s">
        <v>22128</v>
      </c>
      <c r="N1141" t="s">
        <v>22129</v>
      </c>
      <c r="O1141">
        <f>-697.021871406619 -116.405062719337 -511.337949355016</f>
        <v>-1324.764883480972</v>
      </c>
      <c r="P1141">
        <f>-584.16941343961 -136.091204703022 -253.548681338559</f>
        <v>-973.80929948119092</v>
      </c>
      <c r="Q1141" t="s">
        <v>22130</v>
      </c>
      <c r="R1141" t="s">
        <v>22131</v>
      </c>
      <c r="S1141" t="s">
        <v>22132</v>
      </c>
      <c r="T1141" t="s">
        <v>22133</v>
      </c>
      <c r="U1141" t="s">
        <v>22134</v>
      </c>
      <c r="V1141">
        <f>-619.919986027064 -34.5796789156855 -94.5352263936849</f>
        <v>-749.03489133643438</v>
      </c>
      <c r="W1141" t="s">
        <v>22135</v>
      </c>
      <c r="X1141" t="s">
        <v>22136</v>
      </c>
      <c r="Y1141" t="s">
        <v>22137</v>
      </c>
    </row>
    <row r="1142" spans="1:25" x14ac:dyDescent="0.3">
      <c r="A1142">
        <v>57050</v>
      </c>
      <c r="B1142" t="s">
        <v>22138</v>
      </c>
      <c r="C1142" t="s">
        <v>22139</v>
      </c>
      <c r="D1142" t="s">
        <v>22140</v>
      </c>
      <c r="E1142" t="s">
        <v>22141</v>
      </c>
      <c r="F1142" t="s">
        <v>22142</v>
      </c>
      <c r="G1142" t="s">
        <v>22143</v>
      </c>
      <c r="H1142" t="s">
        <v>22144</v>
      </c>
      <c r="I1142" t="s">
        <v>22145</v>
      </c>
      <c r="J1142" t="s">
        <v>22146</v>
      </c>
      <c r="K1142" t="s">
        <v>22147</v>
      </c>
      <c r="L1142" t="s">
        <v>22148</v>
      </c>
      <c r="M1142" t="s">
        <v>22149</v>
      </c>
      <c r="N1142" t="s">
        <v>22150</v>
      </c>
      <c r="O1142">
        <f>-698.361658902809 -117.04520811909 -510.718726958173</f>
        <v>-1326.1255939800722</v>
      </c>
      <c r="P1142">
        <f>-591.994882205349 -138.530297951983 -250.32855564023</f>
        <v>-980.85373579756197</v>
      </c>
      <c r="Q1142">
        <f>-486.874732752144 -5.28629257008561 -408.898295544733</f>
        <v>-901.05932086696259</v>
      </c>
      <c r="R1142" t="s">
        <v>22151</v>
      </c>
      <c r="S1142" t="s">
        <v>22152</v>
      </c>
      <c r="T1142" t="s">
        <v>22153</v>
      </c>
      <c r="U1142" t="s">
        <v>22154</v>
      </c>
      <c r="V1142">
        <f>-620.093319896848 -35.0484269862061 -94.4750241896372</f>
        <v>-749.61677107269134</v>
      </c>
      <c r="W1142" t="s">
        <v>22155</v>
      </c>
      <c r="X1142" t="s">
        <v>22156</v>
      </c>
      <c r="Y1142" t="s">
        <v>22157</v>
      </c>
    </row>
    <row r="1143" spans="1:25" x14ac:dyDescent="0.3">
      <c r="A1143">
        <v>57100</v>
      </c>
      <c r="B1143" t="s">
        <v>22158</v>
      </c>
      <c r="C1143" t="s">
        <v>22159</v>
      </c>
      <c r="D1143" t="s">
        <v>22160</v>
      </c>
      <c r="E1143" t="s">
        <v>22161</v>
      </c>
      <c r="F1143" t="s">
        <v>22162</v>
      </c>
      <c r="G1143" t="s">
        <v>22163</v>
      </c>
      <c r="H1143" t="s">
        <v>22164</v>
      </c>
      <c r="I1143" t="s">
        <v>22165</v>
      </c>
      <c r="J1143" t="s">
        <v>22166</v>
      </c>
      <c r="K1143" t="s">
        <v>22167</v>
      </c>
      <c r="L1143" t="s">
        <v>22168</v>
      </c>
      <c r="M1143" t="s">
        <v>22169</v>
      </c>
      <c r="N1143" t="s">
        <v>22170</v>
      </c>
      <c r="O1143">
        <f>-701.731860519067 -117.910447651665 -509.688774166249</f>
        <v>-1329.3310823369811</v>
      </c>
      <c r="P1143">
        <f>-608.842025233644 -142.457574690675 -244.457777581898</f>
        <v>-995.75737750621693</v>
      </c>
      <c r="Q1143">
        <f>-486.168697020101 -23.9862431661452 -402.141995819908</f>
        <v>-912.29693600615417</v>
      </c>
      <c r="R1143" t="s">
        <v>22171</v>
      </c>
      <c r="S1143" t="s">
        <v>22172</v>
      </c>
      <c r="T1143" t="s">
        <v>22173</v>
      </c>
      <c r="U1143" t="s">
        <v>22174</v>
      </c>
      <c r="V1143">
        <f>-620.432519399827 -35.6551339960479 -94.3109068587047</f>
        <v>-750.39856025457959</v>
      </c>
      <c r="W1143" t="s">
        <v>22175</v>
      </c>
      <c r="X1143" t="s">
        <v>22176</v>
      </c>
      <c r="Y1143" t="s">
        <v>22177</v>
      </c>
    </row>
    <row r="1144" spans="1:25" x14ac:dyDescent="0.3">
      <c r="A1144">
        <v>57150</v>
      </c>
      <c r="B1144" t="s">
        <v>22178</v>
      </c>
      <c r="C1144" t="s">
        <v>22179</v>
      </c>
      <c r="D1144" t="s">
        <v>22180</v>
      </c>
      <c r="E1144" t="s">
        <v>22181</v>
      </c>
      <c r="F1144" t="s">
        <v>22182</v>
      </c>
      <c r="G1144" t="s">
        <v>22183</v>
      </c>
      <c r="H1144" t="s">
        <v>22184</v>
      </c>
      <c r="I1144" t="s">
        <v>22185</v>
      </c>
      <c r="J1144" t="s">
        <v>22186</v>
      </c>
      <c r="K1144" t="s">
        <v>22187</v>
      </c>
      <c r="L1144" t="s">
        <v>22188</v>
      </c>
      <c r="M1144" t="s">
        <v>22189</v>
      </c>
      <c r="N1144" t="s">
        <v>22190</v>
      </c>
      <c r="O1144">
        <f>-703.40501223141 -118.273083143048 -509.304885985039</f>
        <v>-1330.982981359497</v>
      </c>
      <c r="P1144">
        <f>-617.879904796381 -143.649471365686 -241.68562394738</f>
        <v>-1003.2150001094469</v>
      </c>
      <c r="Q1144">
        <f>-486.249666378385 -33.123185511816 -397.909793436279</f>
        <v>-917.28264532647995</v>
      </c>
      <c r="R1144" t="s">
        <v>22191</v>
      </c>
      <c r="S1144" t="s">
        <v>22192</v>
      </c>
      <c r="T1144" t="s">
        <v>22193</v>
      </c>
      <c r="U1144" t="s">
        <v>22194</v>
      </c>
      <c r="V1144">
        <f>-620.550053440794 -35.8268113924175 -94.2172653647443</f>
        <v>-750.59413019795591</v>
      </c>
      <c r="W1144" t="s">
        <v>22195</v>
      </c>
      <c r="X1144" t="s">
        <v>22196</v>
      </c>
      <c r="Y1144" t="s">
        <v>22197</v>
      </c>
    </row>
    <row r="1145" spans="1:25" x14ac:dyDescent="0.3">
      <c r="A1145">
        <v>57200</v>
      </c>
      <c r="B1145" t="s">
        <v>22198</v>
      </c>
      <c r="C1145" t="s">
        <v>22199</v>
      </c>
      <c r="D1145" t="s">
        <v>22200</v>
      </c>
      <c r="E1145" t="s">
        <v>22201</v>
      </c>
      <c r="F1145" t="s">
        <v>22202</v>
      </c>
      <c r="G1145" t="s">
        <v>22203</v>
      </c>
      <c r="H1145" t="s">
        <v>22204</v>
      </c>
      <c r="I1145" t="s">
        <v>22205</v>
      </c>
      <c r="J1145" t="s">
        <v>22206</v>
      </c>
      <c r="K1145" t="s">
        <v>22207</v>
      </c>
      <c r="L1145" t="s">
        <v>22208</v>
      </c>
      <c r="M1145" t="s">
        <v>22209</v>
      </c>
      <c r="N1145" t="s">
        <v>22210</v>
      </c>
      <c r="O1145">
        <f>-706.336544339211 -119.352008638672 -508.123276992597</f>
        <v>-1333.8118299704799</v>
      </c>
      <c r="P1145">
        <f>-636.851765539472 -144.820938818177 -235.906967289653</f>
        <v>-1017.5796716473021</v>
      </c>
      <c r="Q1145">
        <f>-487.640207900428 -50.4799521631157 -386.851345366189</f>
        <v>-924.9715054297327</v>
      </c>
      <c r="R1145" t="s">
        <v>22211</v>
      </c>
      <c r="S1145" t="s">
        <v>22212</v>
      </c>
      <c r="T1145" t="s">
        <v>22213</v>
      </c>
      <c r="U1145" t="s">
        <v>22214</v>
      </c>
      <c r="V1145">
        <f>-620.661311069621 -36.0307462456929 -94.0787650384023</f>
        <v>-750.77082235371608</v>
      </c>
      <c r="W1145" t="s">
        <v>22215</v>
      </c>
      <c r="X1145" t="s">
        <v>22216</v>
      </c>
      <c r="Y1145" t="s">
        <v>22217</v>
      </c>
    </row>
    <row r="1146" spans="1:25" x14ac:dyDescent="0.3">
      <c r="A1146">
        <v>57250</v>
      </c>
      <c r="B1146" t="s">
        <v>22218</v>
      </c>
      <c r="C1146" t="s">
        <v>22219</v>
      </c>
      <c r="D1146" t="s">
        <v>22220</v>
      </c>
      <c r="E1146" t="s">
        <v>22221</v>
      </c>
      <c r="F1146" t="s">
        <v>22222</v>
      </c>
      <c r="G1146" t="s">
        <v>22223</v>
      </c>
      <c r="H1146" t="s">
        <v>22224</v>
      </c>
      <c r="I1146" t="s">
        <v>22225</v>
      </c>
      <c r="J1146" t="s">
        <v>22226</v>
      </c>
      <c r="K1146" t="s">
        <v>22227</v>
      </c>
      <c r="L1146" t="s">
        <v>22228</v>
      </c>
      <c r="M1146" t="s">
        <v>22229</v>
      </c>
      <c r="N1146" t="s">
        <v>22230</v>
      </c>
      <c r="O1146">
        <f>-707.64269783371 -119.929450360905 -507.495519919534</f>
        <v>-1335.067668114149</v>
      </c>
      <c r="P1146">
        <f>-646.412841235167 -144.703570188605 -233.240618533165</f>
        <v>-1024.3570299569369</v>
      </c>
      <c r="Q1146">
        <f>-488.744440476795 -58.5731630608043 -380.450415063076</f>
        <v>-927.7680186006753</v>
      </c>
      <c r="R1146" t="s">
        <v>22231</v>
      </c>
      <c r="S1146" t="s">
        <v>22232</v>
      </c>
      <c r="T1146" t="s">
        <v>22233</v>
      </c>
      <c r="U1146" t="s">
        <v>22234</v>
      </c>
      <c r="V1146">
        <f>-620.7425447296 -36.0132770095786 -94.0275416226366</f>
        <v>-750.78336336181519</v>
      </c>
      <c r="W1146" t="s">
        <v>22235</v>
      </c>
      <c r="X1146" t="s">
        <v>22236</v>
      </c>
      <c r="Y1146" t="s">
        <v>22237</v>
      </c>
    </row>
    <row r="1147" spans="1:25" x14ac:dyDescent="0.3">
      <c r="A1147">
        <v>57300</v>
      </c>
      <c r="B1147" t="s">
        <v>22238</v>
      </c>
      <c r="C1147" t="s">
        <v>22239</v>
      </c>
      <c r="D1147" t="s">
        <v>22240</v>
      </c>
      <c r="E1147" t="s">
        <v>22241</v>
      </c>
      <c r="F1147" t="s">
        <v>22242</v>
      </c>
      <c r="G1147" t="s">
        <v>22243</v>
      </c>
      <c r="H1147" t="s">
        <v>22244</v>
      </c>
      <c r="I1147" t="s">
        <v>22245</v>
      </c>
      <c r="J1147" t="s">
        <v>22246</v>
      </c>
      <c r="K1147" t="s">
        <v>22247</v>
      </c>
      <c r="L1147" t="s">
        <v>22248</v>
      </c>
      <c r="M1147" t="s">
        <v>22249</v>
      </c>
      <c r="N1147" t="s">
        <v>22250</v>
      </c>
      <c r="O1147">
        <f>-710.129070970803 -120.990635549083 -506.028844588905</f>
        <v>-1337.148551108791</v>
      </c>
      <c r="P1147">
        <f>-665.561793714544 -143.505135331382 -228.386124049029</f>
        <v>-1037.4530530949551</v>
      </c>
      <c r="Q1147">
        <f>-492.510363240881 -73.6746986675948 -366.681044381192</f>
        <v>-932.86610628966787</v>
      </c>
      <c r="R1147" t="s">
        <v>22251</v>
      </c>
      <c r="S1147" t="s">
        <v>22252</v>
      </c>
      <c r="T1147" t="s">
        <v>22253</v>
      </c>
      <c r="U1147" t="s">
        <v>22254</v>
      </c>
      <c r="V1147">
        <f>-621.037640446999 -35.9457751937775 -93.9492348547124</f>
        <v>-750.93265049548893</v>
      </c>
      <c r="W1147" t="s">
        <v>22255</v>
      </c>
      <c r="X1147" t="s">
        <v>22256</v>
      </c>
      <c r="Y1147" t="s">
        <v>22257</v>
      </c>
    </row>
    <row r="1148" spans="1:25" x14ac:dyDescent="0.3">
      <c r="A1148">
        <v>57350</v>
      </c>
      <c r="B1148" t="s">
        <v>22258</v>
      </c>
      <c r="C1148" t="s">
        <v>22259</v>
      </c>
      <c r="D1148" t="s">
        <v>22260</v>
      </c>
      <c r="E1148" t="s">
        <v>22261</v>
      </c>
      <c r="F1148" t="s">
        <v>22262</v>
      </c>
      <c r="G1148" t="s">
        <v>22263</v>
      </c>
      <c r="H1148" t="s">
        <v>22264</v>
      </c>
      <c r="I1148" t="s">
        <v>22265</v>
      </c>
      <c r="J1148" t="s">
        <v>22266</v>
      </c>
      <c r="K1148" t="s">
        <v>22267</v>
      </c>
      <c r="L1148" t="s">
        <v>22268</v>
      </c>
      <c r="M1148" t="s">
        <v>22269</v>
      </c>
      <c r="N1148" t="s">
        <v>22270</v>
      </c>
      <c r="O1148">
        <f>-711.406017225608 -121.642422287402 -505.229239540862</f>
        <v>-1338.2776790538721</v>
      </c>
      <c r="P1148">
        <f>-674.716106193127 -142.824444952684 -226.331888654212</f>
        <v>-1043.8724398000229</v>
      </c>
      <c r="Q1148">
        <f>-494.942501402302 -80.8017714855628 -359.685369322993</f>
        <v>-935.42964221085776</v>
      </c>
      <c r="R1148" t="s">
        <v>22271</v>
      </c>
      <c r="S1148" t="s">
        <v>22272</v>
      </c>
      <c r="T1148" t="s">
        <v>22273</v>
      </c>
      <c r="U1148" t="s">
        <v>22274</v>
      </c>
      <c r="V1148">
        <f>-621.298443019685 -35.8379838296469 -93.88984874973</f>
        <v>-751.02627559906193</v>
      </c>
      <c r="W1148" t="s">
        <v>22275</v>
      </c>
      <c r="X1148" t="s">
        <v>22276</v>
      </c>
      <c r="Y1148" t="s">
        <v>22277</v>
      </c>
    </row>
    <row r="1149" spans="1:25" x14ac:dyDescent="0.3">
      <c r="A1149">
        <v>57400</v>
      </c>
      <c r="B1149" t="s">
        <v>22278</v>
      </c>
      <c r="C1149" t="s">
        <v>22279</v>
      </c>
      <c r="D1149" t="s">
        <v>22280</v>
      </c>
      <c r="E1149" t="s">
        <v>22281</v>
      </c>
      <c r="F1149" t="s">
        <v>22282</v>
      </c>
      <c r="G1149" t="s">
        <v>22283</v>
      </c>
      <c r="H1149" t="s">
        <v>22284</v>
      </c>
      <c r="I1149" t="s">
        <v>22285</v>
      </c>
      <c r="J1149" t="s">
        <v>22286</v>
      </c>
      <c r="K1149" t="s">
        <v>22287</v>
      </c>
      <c r="L1149" t="s">
        <v>22288</v>
      </c>
      <c r="M1149" t="s">
        <v>22289</v>
      </c>
      <c r="N1149" t="s">
        <v>22290</v>
      </c>
      <c r="O1149">
        <f>-714.166158967357 -122.864113481494 -503.702895273235</f>
        <v>-1340.7331677220859</v>
      </c>
      <c r="P1149">
        <f>-691.206962866815 -140.864657629627 -223.11881338827</f>
        <v>-1055.1904338847121</v>
      </c>
      <c r="Q1149">
        <f>-499.844560139378 -93.9700937876853 -346.122404162036</f>
        <v>-939.93705808909931</v>
      </c>
      <c r="R1149" t="s">
        <v>22291</v>
      </c>
      <c r="S1149" t="s">
        <v>22292</v>
      </c>
      <c r="T1149" t="s">
        <v>22293</v>
      </c>
      <c r="U1149" t="s">
        <v>22294</v>
      </c>
      <c r="V1149">
        <f>-621.94833344283 -35.7729306721415 -93.7685395088388</f>
        <v>-751.48980362381019</v>
      </c>
      <c r="W1149" t="s">
        <v>22295</v>
      </c>
      <c r="X1149" t="s">
        <v>22296</v>
      </c>
      <c r="Y1149" t="s">
        <v>22297</v>
      </c>
    </row>
    <row r="1150" spans="1:25" x14ac:dyDescent="0.3">
      <c r="A1150">
        <v>57450</v>
      </c>
      <c r="B1150" t="s">
        <v>22298</v>
      </c>
      <c r="C1150" t="s">
        <v>22299</v>
      </c>
      <c r="D1150" t="s">
        <v>22300</v>
      </c>
      <c r="E1150" t="s">
        <v>22301</v>
      </c>
      <c r="F1150" t="s">
        <v>22302</v>
      </c>
      <c r="G1150" t="s">
        <v>22303</v>
      </c>
      <c r="H1150" t="s">
        <v>22304</v>
      </c>
      <c r="I1150" t="s">
        <v>22305</v>
      </c>
      <c r="J1150" t="s">
        <v>22306</v>
      </c>
      <c r="K1150" t="s">
        <v>22307</v>
      </c>
      <c r="L1150" t="s">
        <v>22308</v>
      </c>
      <c r="M1150" t="s">
        <v>22309</v>
      </c>
      <c r="N1150" t="s">
        <v>22310</v>
      </c>
      <c r="O1150">
        <f>-715.664331455729 -123.551349547775 -502.943444918607</f>
        <v>-1342.1591259221109</v>
      </c>
      <c r="P1150">
        <f>-698.824433025065 -140.068946889083 -221.834624940774</f>
        <v>-1060.7280048549219</v>
      </c>
      <c r="Q1150">
        <f>-502.517294370651 -100.517413272505 -339.510992368795</f>
        <v>-942.545700011951</v>
      </c>
      <c r="R1150" t="s">
        <v>22311</v>
      </c>
      <c r="S1150" t="s">
        <v>22312</v>
      </c>
      <c r="T1150" t="s">
        <v>22313</v>
      </c>
      <c r="U1150" t="s">
        <v>22314</v>
      </c>
      <c r="V1150">
        <f>-622.39088281606 -35.820423982113 -93.7037158536128</f>
        <v>-751.91502265178576</v>
      </c>
      <c r="W1150" t="s">
        <v>22315</v>
      </c>
      <c r="X1150" t="s">
        <v>22316</v>
      </c>
      <c r="Y1150" t="s">
        <v>22317</v>
      </c>
    </row>
    <row r="1151" spans="1:25" x14ac:dyDescent="0.3">
      <c r="A1151">
        <v>57500</v>
      </c>
      <c r="B1151" t="s">
        <v>22318</v>
      </c>
      <c r="C1151" t="s">
        <v>22319</v>
      </c>
      <c r="D1151" t="s">
        <v>22320</v>
      </c>
      <c r="E1151" t="s">
        <v>22321</v>
      </c>
      <c r="F1151" t="s">
        <v>22322</v>
      </c>
      <c r="G1151" t="s">
        <v>22323</v>
      </c>
      <c r="H1151" t="s">
        <v>22324</v>
      </c>
      <c r="I1151" t="s">
        <v>22325</v>
      </c>
      <c r="J1151" t="s">
        <v>22326</v>
      </c>
      <c r="K1151" t="s">
        <v>22327</v>
      </c>
      <c r="L1151" t="s">
        <v>22328</v>
      </c>
      <c r="M1151" t="s">
        <v>22329</v>
      </c>
      <c r="N1151" t="s">
        <v>22330</v>
      </c>
      <c r="O1151">
        <f>-718.7441327865 -124.869714950985 -501.684098863197</f>
        <v>-1345.2979466006821</v>
      </c>
      <c r="P1151">
        <f>-712.565556293305 -137.464737988413 -219.936237434499</f>
        <v>-1069.9665317162169</v>
      </c>
      <c r="Q1151">
        <f>-508.131445397924 -111.952079408957 -327.194487586801</f>
        <v>-947.27801239368205</v>
      </c>
      <c r="R1151" t="s">
        <v>22331</v>
      </c>
      <c r="S1151" t="s">
        <v>22332</v>
      </c>
      <c r="T1151" t="s">
        <v>22333</v>
      </c>
      <c r="U1151" t="s">
        <v>22334</v>
      </c>
      <c r="V1151">
        <f>-623.472210925279 -35.9838975939547 -93.597795710486</f>
        <v>-753.05390422971971</v>
      </c>
      <c r="W1151" t="s">
        <v>22335</v>
      </c>
      <c r="X1151" t="s">
        <v>22336</v>
      </c>
      <c r="Y1151" t="s">
        <v>22337</v>
      </c>
    </row>
    <row r="1152" spans="1:25" x14ac:dyDescent="0.3">
      <c r="A1152">
        <v>57550</v>
      </c>
      <c r="B1152" t="s">
        <v>22338</v>
      </c>
      <c r="C1152" t="s">
        <v>22339</v>
      </c>
      <c r="D1152" t="s">
        <v>22340</v>
      </c>
      <c r="E1152" t="s">
        <v>22341</v>
      </c>
      <c r="F1152" t="s">
        <v>22342</v>
      </c>
      <c r="G1152" t="s">
        <v>22343</v>
      </c>
      <c r="H1152" t="s">
        <v>22344</v>
      </c>
      <c r="I1152" t="s">
        <v>22345</v>
      </c>
      <c r="J1152" t="s">
        <v>22346</v>
      </c>
      <c r="K1152" t="s">
        <v>22347</v>
      </c>
      <c r="L1152" t="s">
        <v>22348</v>
      </c>
      <c r="M1152" t="s">
        <v>22349</v>
      </c>
      <c r="N1152" t="s">
        <v>22350</v>
      </c>
      <c r="O1152">
        <f>-720.565729095418 -125.229647649621 -501.214816619698</f>
        <v>-1347.010193364737</v>
      </c>
      <c r="P1152">
        <f>-718.721542060646 -135.776563661348 -219.32127011374</f>
        <v>-1073.819375835734</v>
      </c>
      <c r="Q1152">
        <f>-511.007336729249 -116.757831075143 -321.505649887246</f>
        <v>-949.27081769163806</v>
      </c>
      <c r="R1152" t="s">
        <v>22351</v>
      </c>
      <c r="S1152" t="s">
        <v>22352</v>
      </c>
      <c r="T1152" t="s">
        <v>22353</v>
      </c>
      <c r="U1152" t="s">
        <v>22354</v>
      </c>
      <c r="V1152">
        <f>-624.02873298867 -36.1170465798459 -93.557565994026</f>
        <v>-753.70334556254193</v>
      </c>
      <c r="W1152" t="s">
        <v>22355</v>
      </c>
      <c r="X1152" t="s">
        <v>22356</v>
      </c>
      <c r="Y1152" t="s">
        <v>22357</v>
      </c>
    </row>
    <row r="1153" spans="1:25" x14ac:dyDescent="0.3">
      <c r="A1153">
        <v>57600</v>
      </c>
      <c r="B1153" t="s">
        <v>22358</v>
      </c>
      <c r="C1153" t="s">
        <v>22359</v>
      </c>
      <c r="D1153" t="s">
        <v>22360</v>
      </c>
      <c r="E1153" t="s">
        <v>22361</v>
      </c>
      <c r="F1153" t="s">
        <v>22362</v>
      </c>
      <c r="G1153" t="s">
        <v>22363</v>
      </c>
      <c r="H1153" t="s">
        <v>22364</v>
      </c>
      <c r="I1153" t="s">
        <v>22365</v>
      </c>
      <c r="J1153" t="s">
        <v>22366</v>
      </c>
      <c r="K1153" t="s">
        <v>22367</v>
      </c>
      <c r="L1153" t="s">
        <v>22368</v>
      </c>
      <c r="M1153" t="s">
        <v>22369</v>
      </c>
      <c r="N1153" t="s">
        <v>22370</v>
      </c>
      <c r="O1153">
        <f>-724.522672653477 -125.852486002434 -500.309321316799</f>
        <v>-1350.6844799727101</v>
      </c>
      <c r="P1153">
        <f>-729.569059767106 -133.10772120296 -218.351026112636</f>
        <v>-1081.0278070827019</v>
      </c>
      <c r="Q1153">
        <f>-516.391377559101 -125.544029529918 -310.25639529614</f>
        <v>-952.19180238515901</v>
      </c>
      <c r="R1153" t="s">
        <v>22371</v>
      </c>
      <c r="S1153" t="s">
        <v>22372</v>
      </c>
      <c r="T1153" t="s">
        <v>22373</v>
      </c>
      <c r="U1153" t="s">
        <v>22374</v>
      </c>
      <c r="V1153">
        <f>-625.545566355333 -36.6519961731087 -93.4816081048119</f>
        <v>-755.67917063325365</v>
      </c>
      <c r="W1153" t="s">
        <v>22375</v>
      </c>
      <c r="X1153" t="s">
        <v>22376</v>
      </c>
      <c r="Y1153" t="s">
        <v>22377</v>
      </c>
    </row>
    <row r="1154" spans="1:25" x14ac:dyDescent="0.3">
      <c r="A1154">
        <v>57650</v>
      </c>
      <c r="B1154" t="s">
        <v>22378</v>
      </c>
      <c r="C1154" t="s">
        <v>22379</v>
      </c>
      <c r="D1154" t="s">
        <v>22380</v>
      </c>
      <c r="E1154" t="s">
        <v>22381</v>
      </c>
      <c r="F1154" t="s">
        <v>22382</v>
      </c>
      <c r="G1154" t="s">
        <v>22383</v>
      </c>
      <c r="H1154" t="s">
        <v>22384</v>
      </c>
      <c r="I1154" t="s">
        <v>22385</v>
      </c>
      <c r="J1154" t="s">
        <v>22386</v>
      </c>
      <c r="K1154" t="s">
        <v>22387</v>
      </c>
      <c r="L1154" t="s">
        <v>22388</v>
      </c>
      <c r="M1154" t="s">
        <v>22389</v>
      </c>
      <c r="N1154" t="s">
        <v>22390</v>
      </c>
      <c r="O1154">
        <f>-726.517858110863 -126.199836074237 -499.870812774545</f>
        <v>-1352.5885069596452</v>
      </c>
      <c r="P1154">
        <f>-734.387634875092 -132.810159975384 -217.961438518068</f>
        <v>-1085.1592333685439</v>
      </c>
      <c r="Q1154">
        <f>-519.005842405195 -129.844859481693 -304.854518396614</f>
        <v>-953.70522028350206</v>
      </c>
      <c r="R1154" t="s">
        <v>22391</v>
      </c>
      <c r="S1154" t="s">
        <v>22392</v>
      </c>
      <c r="T1154" t="s">
        <v>22393</v>
      </c>
      <c r="U1154" t="s">
        <v>22394</v>
      </c>
      <c r="V1154">
        <f>-626.349600578078 -36.9165258353612 -93.4530422813019</f>
        <v>-756.71916869474114</v>
      </c>
      <c r="W1154" t="s">
        <v>22395</v>
      </c>
      <c r="X1154" t="s">
        <v>22396</v>
      </c>
      <c r="Y1154" t="s">
        <v>22397</v>
      </c>
    </row>
    <row r="1155" spans="1:25" x14ac:dyDescent="0.3">
      <c r="A1155">
        <v>57700</v>
      </c>
      <c r="B1155" t="s">
        <v>22398</v>
      </c>
      <c r="C1155" t="s">
        <v>22399</v>
      </c>
      <c r="D1155" t="s">
        <v>22400</v>
      </c>
      <c r="E1155" t="s">
        <v>22401</v>
      </c>
      <c r="F1155" t="s">
        <v>22402</v>
      </c>
      <c r="G1155" t="s">
        <v>22403</v>
      </c>
      <c r="H1155" t="s">
        <v>22404</v>
      </c>
      <c r="I1155" t="s">
        <v>22405</v>
      </c>
      <c r="J1155" t="s">
        <v>22406</v>
      </c>
      <c r="K1155" t="s">
        <v>22407</v>
      </c>
      <c r="L1155" t="s">
        <v>22408</v>
      </c>
      <c r="M1155" t="s">
        <v>22409</v>
      </c>
      <c r="N1155" t="s">
        <v>22410</v>
      </c>
      <c r="O1155">
        <f>-729.848291435856 -127.020663308381 -499.33633476369</f>
        <v>-1356.2052895079271</v>
      </c>
      <c r="P1155">
        <f>-742.755021047323 -133.688229228527 -217.613781525657</f>
        <v>-1094.057031801507</v>
      </c>
      <c r="Q1155">
        <f>-523.542991889333 -138.653530961059 -294.229696458838</f>
        <v>-956.42621930923008</v>
      </c>
      <c r="R1155" t="s">
        <v>22411</v>
      </c>
      <c r="S1155" t="s">
        <v>22412</v>
      </c>
      <c r="T1155" t="s">
        <v>22413</v>
      </c>
      <c r="U1155" t="s">
        <v>22414</v>
      </c>
      <c r="V1155">
        <f>-627.661853678153 -37.3662210360153 -93.4229685288994</f>
        <v>-758.45104324306772</v>
      </c>
      <c r="W1155" t="s">
        <v>22415</v>
      </c>
      <c r="X1155" t="s">
        <v>22416</v>
      </c>
      <c r="Y1155" t="s">
        <v>22417</v>
      </c>
    </row>
    <row r="1156" spans="1:25" x14ac:dyDescent="0.3">
      <c r="A1156">
        <v>57750</v>
      </c>
      <c r="B1156" t="s">
        <v>22418</v>
      </c>
      <c r="C1156" t="s">
        <v>22419</v>
      </c>
      <c r="D1156" t="s">
        <v>22420</v>
      </c>
      <c r="E1156" t="s">
        <v>22421</v>
      </c>
      <c r="F1156" t="s">
        <v>22422</v>
      </c>
      <c r="G1156" t="s">
        <v>22423</v>
      </c>
      <c r="H1156" t="s">
        <v>22424</v>
      </c>
      <c r="I1156" t="s">
        <v>22425</v>
      </c>
      <c r="J1156" t="s">
        <v>22426</v>
      </c>
      <c r="K1156" t="s">
        <v>22427</v>
      </c>
      <c r="L1156" t="s">
        <v>22428</v>
      </c>
      <c r="M1156" t="s">
        <v>22429</v>
      </c>
      <c r="N1156" t="s">
        <v>22430</v>
      </c>
      <c r="O1156">
        <f>-731.378123942657 -127.305870293375 -499.230831246361</f>
        <v>-1357.9148254823931</v>
      </c>
      <c r="P1156">
        <f>-746.261072693676 -133.594641989842 -217.597165687933</f>
        <v>-1097.4528803714511</v>
      </c>
      <c r="Q1156">
        <f>-525.397721112617 -142.524797723167 -288.928509572925</f>
        <v>-956.851028408709</v>
      </c>
      <c r="R1156" t="s">
        <v>22431</v>
      </c>
      <c r="S1156" t="s">
        <v>22432</v>
      </c>
      <c r="T1156" t="s">
        <v>22433</v>
      </c>
      <c r="U1156" t="s">
        <v>22434</v>
      </c>
      <c r="V1156">
        <f>-628.189923792052 -37.6092554421218 -93.4156888071706</f>
        <v>-759.2148680413444</v>
      </c>
      <c r="W1156" t="s">
        <v>22435</v>
      </c>
      <c r="X1156" t="s">
        <v>22436</v>
      </c>
      <c r="Y1156" t="s">
        <v>22437</v>
      </c>
    </row>
    <row r="1157" spans="1:25" x14ac:dyDescent="0.3">
      <c r="A1157">
        <v>57800</v>
      </c>
      <c r="B1157" t="s">
        <v>22438</v>
      </c>
      <c r="C1157" t="s">
        <v>22439</v>
      </c>
      <c r="D1157" t="s">
        <v>22440</v>
      </c>
      <c r="E1157" t="s">
        <v>22441</v>
      </c>
      <c r="F1157" t="s">
        <v>22442</v>
      </c>
      <c r="G1157" t="s">
        <v>22443</v>
      </c>
      <c r="H1157" t="s">
        <v>22444</v>
      </c>
      <c r="I1157" t="s">
        <v>22445</v>
      </c>
      <c r="J1157" t="s">
        <v>22446</v>
      </c>
      <c r="K1157" t="s">
        <v>22447</v>
      </c>
      <c r="L1157" t="s">
        <v>22448</v>
      </c>
      <c r="M1157" t="s">
        <v>22449</v>
      </c>
      <c r="N1157" t="s">
        <v>22450</v>
      </c>
      <c r="O1157">
        <f>-733.805680844567 -127.578858989674 -498.978796094578</f>
        <v>-1360.363335928819</v>
      </c>
      <c r="P1157">
        <f>-752.409762166584 -132.238143733528 -217.534801349475</f>
        <v>-1102.1827072495869</v>
      </c>
      <c r="Q1157">
        <f>-529.07964858887 -148.656578745799 -279.200184050706</f>
        <v>-956.9364113853751</v>
      </c>
      <c r="R1157" t="s">
        <v>22451</v>
      </c>
      <c r="S1157" t="s">
        <v>22452</v>
      </c>
      <c r="T1157" t="s">
        <v>22453</v>
      </c>
      <c r="U1157" t="s">
        <v>22454</v>
      </c>
      <c r="V1157">
        <f>-629.127557219911 -38.0402580927685 -93.3681275063007</f>
        <v>-760.53594281898006</v>
      </c>
      <c r="W1157" t="s">
        <v>22455</v>
      </c>
      <c r="X1157" t="s">
        <v>22456</v>
      </c>
      <c r="Y1157" t="s">
        <v>22457</v>
      </c>
    </row>
    <row r="1158" spans="1:25" x14ac:dyDescent="0.3">
      <c r="A1158">
        <v>57850</v>
      </c>
      <c r="B1158" t="s">
        <v>22458</v>
      </c>
      <c r="C1158" t="s">
        <v>22459</v>
      </c>
      <c r="D1158" t="s">
        <v>22460</v>
      </c>
      <c r="E1158" t="s">
        <v>22461</v>
      </c>
      <c r="F1158" t="s">
        <v>22462</v>
      </c>
      <c r="G1158" t="s">
        <v>22463</v>
      </c>
      <c r="H1158" t="s">
        <v>22464</v>
      </c>
      <c r="I1158" t="s">
        <v>22465</v>
      </c>
      <c r="J1158" t="s">
        <v>22466</v>
      </c>
      <c r="K1158" t="s">
        <v>22467</v>
      </c>
      <c r="L1158" t="s">
        <v>22468</v>
      </c>
      <c r="M1158" t="s">
        <v>22469</v>
      </c>
      <c r="N1158" t="s">
        <v>22470</v>
      </c>
      <c r="O1158">
        <f>-734.725155003096 -127.789327046677 -498.887647508818</f>
        <v>-1361.402129558591</v>
      </c>
      <c r="P1158">
        <f>-754.920491692262 -131.619045412979 -217.540746279563</f>
        <v>-1104.0802833848038</v>
      </c>
      <c r="Q1158">
        <f>-530.764044407649 -151.35108624418 -275.100139849026</f>
        <v>-957.21527050085501</v>
      </c>
      <c r="R1158" t="s">
        <v>22471</v>
      </c>
      <c r="S1158" t="s">
        <v>22472</v>
      </c>
      <c r="T1158" t="s">
        <v>22473</v>
      </c>
      <c r="U1158" t="s">
        <v>22474</v>
      </c>
      <c r="V1158">
        <f>-629.511095632758 -38.2896440381066 -93.3571903441042</f>
        <v>-761.15793001496888</v>
      </c>
      <c r="W1158" t="s">
        <v>22475</v>
      </c>
      <c r="X1158" t="s">
        <v>22476</v>
      </c>
      <c r="Y1158" t="s">
        <v>22477</v>
      </c>
    </row>
    <row r="1159" spans="1:25" x14ac:dyDescent="0.3">
      <c r="A1159">
        <v>57900</v>
      </c>
      <c r="B1159" t="s">
        <v>22478</v>
      </c>
      <c r="C1159" t="s">
        <v>22479</v>
      </c>
      <c r="D1159" t="s">
        <v>22480</v>
      </c>
      <c r="E1159" t="s">
        <v>22481</v>
      </c>
      <c r="F1159" t="s">
        <v>22482</v>
      </c>
      <c r="G1159" t="s">
        <v>22483</v>
      </c>
      <c r="H1159" t="s">
        <v>22484</v>
      </c>
      <c r="I1159" t="s">
        <v>22485</v>
      </c>
      <c r="J1159" t="s">
        <v>22486</v>
      </c>
      <c r="K1159" t="s">
        <v>22487</v>
      </c>
      <c r="L1159" t="s">
        <v>22488</v>
      </c>
      <c r="M1159" t="s">
        <v>22489</v>
      </c>
      <c r="N1159" t="s">
        <v>22490</v>
      </c>
      <c r="O1159">
        <f>-735.557326665397 -128.121462948844 -498.800733467574</f>
        <v>-1362.4795230818149</v>
      </c>
      <c r="P1159">
        <f>-757.340323644778 -131.313646586761 -217.564324089385</f>
        <v>-1106.2182943209241</v>
      </c>
      <c r="Q1159">
        <f>-532.542372087907 -153.96174150869 -271.429793400876</f>
        <v>-957.93390699747306</v>
      </c>
      <c r="R1159" t="s">
        <v>22491</v>
      </c>
      <c r="S1159" t="s">
        <v>22492</v>
      </c>
      <c r="T1159" t="s">
        <v>22493</v>
      </c>
      <c r="U1159" t="s">
        <v>22494</v>
      </c>
      <c r="V1159">
        <f>-629.863207404378 -38.5434108071452 -93.3447396472916</f>
        <v>-761.7513578588148</v>
      </c>
      <c r="W1159" t="s">
        <v>22495</v>
      </c>
      <c r="X1159" t="s">
        <v>22496</v>
      </c>
      <c r="Y1159" t="s">
        <v>22497</v>
      </c>
    </row>
    <row r="1160" spans="1:25" x14ac:dyDescent="0.3">
      <c r="A1160">
        <v>57950</v>
      </c>
      <c r="B1160" t="s">
        <v>22498</v>
      </c>
      <c r="C1160" t="s">
        <v>22499</v>
      </c>
      <c r="D1160" t="s">
        <v>22500</v>
      </c>
      <c r="E1160" t="s">
        <v>22501</v>
      </c>
      <c r="F1160" t="s">
        <v>22502</v>
      </c>
      <c r="G1160" t="s">
        <v>22503</v>
      </c>
      <c r="H1160" t="s">
        <v>22504</v>
      </c>
      <c r="I1160" t="s">
        <v>22505</v>
      </c>
      <c r="J1160" t="s">
        <v>22506</v>
      </c>
      <c r="K1160" t="s">
        <v>22507</v>
      </c>
      <c r="L1160" t="s">
        <v>22508</v>
      </c>
      <c r="M1160" t="s">
        <v>22509</v>
      </c>
      <c r="N1160" t="s">
        <v>22510</v>
      </c>
      <c r="O1160">
        <f>-736.707637702069 -128.567860070327 -498.847263957673</f>
        <v>-1364.122761730069</v>
      </c>
      <c r="P1160">
        <f>-760.338901446746 -130.265390965913 -217.747215168802</f>
        <v>-1108.3515075814612</v>
      </c>
      <c r="Q1160">
        <f>-534.5454979965 -158.146894385751 -264.528503079132</f>
        <v>-957.22089546138295</v>
      </c>
      <c r="R1160" t="s">
        <v>22511</v>
      </c>
      <c r="S1160" t="s">
        <v>22512</v>
      </c>
      <c r="T1160" t="s">
        <v>22513</v>
      </c>
      <c r="U1160" t="s">
        <v>22514</v>
      </c>
      <c r="V1160">
        <f>-630.562527702453 -39.1684662210509 -93.3253878452706</f>
        <v>-763.0563817687746</v>
      </c>
      <c r="W1160" t="s">
        <v>22515</v>
      </c>
      <c r="X1160" t="s">
        <v>22516</v>
      </c>
      <c r="Y1160" t="s">
        <v>22517</v>
      </c>
    </row>
    <row r="1161" spans="1:25" x14ac:dyDescent="0.3">
      <c r="A1161">
        <v>58000</v>
      </c>
      <c r="B1161" t="s">
        <v>22518</v>
      </c>
      <c r="C1161" t="s">
        <v>22519</v>
      </c>
      <c r="D1161" t="s">
        <v>22520</v>
      </c>
      <c r="E1161" t="s">
        <v>22521</v>
      </c>
      <c r="F1161" t="s">
        <v>22522</v>
      </c>
      <c r="G1161" t="s">
        <v>22523</v>
      </c>
      <c r="H1161" t="s">
        <v>22524</v>
      </c>
      <c r="I1161" t="s">
        <v>22525</v>
      </c>
      <c r="J1161" t="s">
        <v>22526</v>
      </c>
      <c r="K1161" t="s">
        <v>22527</v>
      </c>
      <c r="L1161" t="s">
        <v>22528</v>
      </c>
      <c r="M1161" t="s">
        <v>22529</v>
      </c>
      <c r="N1161" t="s">
        <v>22530</v>
      </c>
      <c r="O1161">
        <f>-737.085867163826 -129.219719657201 -499.046246576824</f>
        <v>-1365.3518333978511</v>
      </c>
      <c r="P1161">
        <f>-761.427006306291 -129.237382157136 -218.00162242686</f>
        <v>-1108.666010890287</v>
      </c>
      <c r="Q1161">
        <f>-534.954441187785 -162.341141164203 -257.534611884584</f>
        <v>-954.83019423657208</v>
      </c>
      <c r="R1161" t="s">
        <v>22531</v>
      </c>
      <c r="S1161" t="s">
        <v>22532</v>
      </c>
      <c r="T1161" t="s">
        <v>22533</v>
      </c>
      <c r="U1161" t="s">
        <v>22534</v>
      </c>
      <c r="V1161">
        <f>-631.266235442694 -39.7901038241823 -93.3365725517606</f>
        <v>-764.39291181863689</v>
      </c>
      <c r="W1161" t="s">
        <v>22535</v>
      </c>
      <c r="X1161" t="s">
        <v>22536</v>
      </c>
      <c r="Y1161" t="s">
        <v>22537</v>
      </c>
    </row>
    <row r="1162" spans="1:25" x14ac:dyDescent="0.3">
      <c r="A1162">
        <v>58050</v>
      </c>
      <c r="B1162" t="s">
        <v>22538</v>
      </c>
      <c r="C1162" t="s">
        <v>22539</v>
      </c>
      <c r="D1162" t="s">
        <v>22540</v>
      </c>
      <c r="E1162" t="s">
        <v>22541</v>
      </c>
      <c r="F1162" t="s">
        <v>22542</v>
      </c>
      <c r="G1162" t="s">
        <v>22543</v>
      </c>
      <c r="H1162" t="s">
        <v>22544</v>
      </c>
      <c r="I1162" t="s">
        <v>22545</v>
      </c>
      <c r="J1162" t="s">
        <v>22546</v>
      </c>
      <c r="K1162" t="s">
        <v>22547</v>
      </c>
      <c r="L1162" t="s">
        <v>22548</v>
      </c>
      <c r="M1162" t="s">
        <v>22549</v>
      </c>
      <c r="N1162" t="s">
        <v>22550</v>
      </c>
      <c r="O1162">
        <f>-737.170858473846 -129.563612501459 -499.014843877095</f>
        <v>-1365.7493148523999</v>
      </c>
      <c r="P1162">
        <f>-761.93919484502 -129.063560866964 -218.008006361363</f>
        <v>-1109.010762073347</v>
      </c>
      <c r="Q1162">
        <f>-535.205474978437 -164.263627476036 -254.081660887334</f>
        <v>-953.55076334180694</v>
      </c>
      <c r="R1162" t="s">
        <v>22551</v>
      </c>
      <c r="S1162" t="s">
        <v>22552</v>
      </c>
      <c r="T1162" t="s">
        <v>22553</v>
      </c>
      <c r="U1162" t="s">
        <v>22554</v>
      </c>
      <c r="V1162">
        <f>-631.656406186216 -40.0546520177165 -93.3455599302825</f>
        <v>-765.05661813421511</v>
      </c>
      <c r="W1162" t="s">
        <v>22555</v>
      </c>
      <c r="X1162" t="s">
        <v>22556</v>
      </c>
      <c r="Y1162" t="s">
        <v>22557</v>
      </c>
    </row>
    <row r="1163" spans="1:25" x14ac:dyDescent="0.3">
      <c r="A1163">
        <v>58100</v>
      </c>
      <c r="B1163" t="s">
        <v>22558</v>
      </c>
      <c r="C1163" t="s">
        <v>22559</v>
      </c>
      <c r="D1163" t="s">
        <v>22560</v>
      </c>
      <c r="E1163" t="s">
        <v>22561</v>
      </c>
      <c r="F1163" t="s">
        <v>22562</v>
      </c>
      <c r="G1163" t="s">
        <v>22563</v>
      </c>
      <c r="H1163" t="s">
        <v>22564</v>
      </c>
      <c r="I1163" t="s">
        <v>22565</v>
      </c>
      <c r="J1163" t="s">
        <v>22566</v>
      </c>
      <c r="K1163" t="s">
        <v>22567</v>
      </c>
      <c r="L1163" t="s">
        <v>22568</v>
      </c>
      <c r="M1163" t="s">
        <v>22569</v>
      </c>
      <c r="N1163" t="s">
        <v>22570</v>
      </c>
      <c r="O1163">
        <f>-737.086544568084 -130.23529451614 -499.074334926518</f>
        <v>-1366.396174010742</v>
      </c>
      <c r="P1163">
        <f>-763.046260182111 -129.454333886069 -218.175555051049</f>
        <v>-1110.676149119229</v>
      </c>
      <c r="Q1163">
        <f>-535.888515777502 -167.789124733859 -247.812209821398</f>
        <v>-951.48985033275903</v>
      </c>
      <c r="R1163" t="s">
        <v>22571</v>
      </c>
      <c r="S1163" t="s">
        <v>22572</v>
      </c>
      <c r="T1163" t="s">
        <v>22573</v>
      </c>
      <c r="U1163" t="s">
        <v>22574</v>
      </c>
      <c r="V1163">
        <f>-632.427500804344 -40.5819049670802 -93.371233667753</f>
        <v>-766.38063943917723</v>
      </c>
      <c r="W1163" t="s">
        <v>22575</v>
      </c>
      <c r="X1163" t="s">
        <v>22576</v>
      </c>
      <c r="Y1163" t="s">
        <v>22577</v>
      </c>
    </row>
    <row r="1164" spans="1:25" x14ac:dyDescent="0.3">
      <c r="A1164">
        <v>58150</v>
      </c>
      <c r="B1164" t="s">
        <v>22578</v>
      </c>
      <c r="C1164" t="s">
        <v>22579</v>
      </c>
      <c r="D1164" t="s">
        <v>22580</v>
      </c>
      <c r="E1164" t="s">
        <v>22581</v>
      </c>
      <c r="F1164" t="s">
        <v>22582</v>
      </c>
      <c r="G1164" t="s">
        <v>22583</v>
      </c>
      <c r="H1164" t="s">
        <v>22584</v>
      </c>
      <c r="I1164" t="s">
        <v>22585</v>
      </c>
      <c r="J1164" t="s">
        <v>22586</v>
      </c>
      <c r="K1164" t="s">
        <v>22587</v>
      </c>
      <c r="L1164" t="s">
        <v>22588</v>
      </c>
      <c r="M1164" t="s">
        <v>22589</v>
      </c>
      <c r="N1164" t="s">
        <v>22590</v>
      </c>
      <c r="O1164">
        <f>-737.319908557339 -130.498345573197 -499.149073381307</f>
        <v>-1366.967327511843</v>
      </c>
      <c r="P1164">
        <f>-763.774877737261 -129.565498143743 -218.297053503408</f>
        <v>-1111.6374293844121</v>
      </c>
      <c r="Q1164">
        <f>-536.461378331812 -169.21011114465 -244.8561893724</f>
        <v>-950.52767884886202</v>
      </c>
      <c r="R1164" t="s">
        <v>22591</v>
      </c>
      <c r="S1164" t="s">
        <v>22592</v>
      </c>
      <c r="T1164" t="s">
        <v>22593</v>
      </c>
      <c r="U1164" t="s">
        <v>22594</v>
      </c>
      <c r="V1164">
        <f>-632.845973566932 -40.8978131156173 -93.3468220983129</f>
        <v>-767.09060878086223</v>
      </c>
      <c r="W1164" t="s">
        <v>22595</v>
      </c>
      <c r="X1164" t="s">
        <v>22596</v>
      </c>
      <c r="Y1164" t="s">
        <v>22597</v>
      </c>
    </row>
    <row r="1165" spans="1:25" x14ac:dyDescent="0.3">
      <c r="A1165">
        <v>58200</v>
      </c>
      <c r="B1165" t="s">
        <v>22598</v>
      </c>
      <c r="C1165" t="s">
        <v>22599</v>
      </c>
      <c r="D1165" t="s">
        <v>22600</v>
      </c>
      <c r="E1165" t="s">
        <v>22601</v>
      </c>
      <c r="F1165" t="s">
        <v>22602</v>
      </c>
      <c r="G1165" t="s">
        <v>22603</v>
      </c>
      <c r="H1165" t="s">
        <v>22604</v>
      </c>
      <c r="I1165" t="s">
        <v>22605</v>
      </c>
      <c r="J1165" t="s">
        <v>22606</v>
      </c>
      <c r="K1165" t="s">
        <v>22607</v>
      </c>
      <c r="L1165" t="s">
        <v>22608</v>
      </c>
      <c r="M1165" t="s">
        <v>22609</v>
      </c>
      <c r="N1165" t="s">
        <v>22610</v>
      </c>
      <c r="O1165">
        <f>-737.944421470999 -131.384691211352 -498.871270238257</f>
        <v>-1368.200382920608</v>
      </c>
      <c r="P1165">
        <f>-765.594624377927 -129.525210180376 -218.139027079948</f>
        <v>-1113.2588616382509</v>
      </c>
      <c r="Q1165">
        <f>-538.180498536353 -171.730437210885 -239.353856277482</f>
        <v>-949.26479202472001</v>
      </c>
      <c r="R1165" t="s">
        <v>22611</v>
      </c>
      <c r="S1165" t="s">
        <v>22612</v>
      </c>
      <c r="T1165" t="s">
        <v>22613</v>
      </c>
      <c r="U1165" t="s">
        <v>22614</v>
      </c>
      <c r="V1165">
        <f>-633.621617174494 -41.6585754492939 -93.24133962531</f>
        <v>-768.52153224909796</v>
      </c>
      <c r="W1165" t="s">
        <v>22615</v>
      </c>
      <c r="X1165" t="s">
        <v>22616</v>
      </c>
      <c r="Y1165" t="s">
        <v>22617</v>
      </c>
    </row>
    <row r="1166" spans="1:25" x14ac:dyDescent="0.3">
      <c r="A1166">
        <v>58250</v>
      </c>
      <c r="B1166" t="s">
        <v>22618</v>
      </c>
      <c r="C1166" t="s">
        <v>22619</v>
      </c>
      <c r="D1166" t="s">
        <v>22620</v>
      </c>
      <c r="E1166" t="s">
        <v>22621</v>
      </c>
      <c r="F1166" t="s">
        <v>22622</v>
      </c>
      <c r="G1166" t="s">
        <v>22623</v>
      </c>
      <c r="H1166" t="s">
        <v>22624</v>
      </c>
      <c r="I1166" t="s">
        <v>22625</v>
      </c>
      <c r="J1166" t="s">
        <v>22626</v>
      </c>
      <c r="K1166" t="s">
        <v>22627</v>
      </c>
      <c r="L1166" t="s">
        <v>22628</v>
      </c>
      <c r="M1166" t="s">
        <v>22629</v>
      </c>
      <c r="N1166" t="s">
        <v>22630</v>
      </c>
      <c r="O1166">
        <f>-738.530743044994 -131.890171780383 -498.632567561526</f>
        <v>-1369.0534823869029</v>
      </c>
      <c r="P1166">
        <f>-766.52216750685 -129.364559210934 -217.939240284494</f>
        <v>-1113.825967002278</v>
      </c>
      <c r="Q1166">
        <f>-539.109035913015 -172.728036516681 -236.685068466221</f>
        <v>-948.52214089591689</v>
      </c>
      <c r="R1166" t="s">
        <v>22631</v>
      </c>
      <c r="S1166" t="s">
        <v>22632</v>
      </c>
      <c r="T1166" t="s">
        <v>22633</v>
      </c>
      <c r="U1166" t="s">
        <v>22634</v>
      </c>
      <c r="V1166">
        <f>-633.933323944761 -42.0774505360057 -93.1810020018252</f>
        <v>-769.19177648259188</v>
      </c>
      <c r="W1166" t="s">
        <v>22635</v>
      </c>
      <c r="X1166" t="s">
        <v>22636</v>
      </c>
      <c r="Y1166" t="s">
        <v>22637</v>
      </c>
    </row>
    <row r="1167" spans="1:25" x14ac:dyDescent="0.3">
      <c r="A1167">
        <v>58300</v>
      </c>
      <c r="B1167" t="s">
        <v>22638</v>
      </c>
      <c r="C1167" t="s">
        <v>22639</v>
      </c>
      <c r="D1167" t="s">
        <v>22640</v>
      </c>
      <c r="E1167" t="s">
        <v>22641</v>
      </c>
      <c r="F1167" t="s">
        <v>22642</v>
      </c>
      <c r="G1167" t="s">
        <v>22643</v>
      </c>
      <c r="H1167" t="s">
        <v>22644</v>
      </c>
      <c r="I1167" t="s">
        <v>22645</v>
      </c>
      <c r="J1167" t="s">
        <v>22646</v>
      </c>
      <c r="K1167" t="s">
        <v>22647</v>
      </c>
      <c r="L1167" t="s">
        <v>22648</v>
      </c>
      <c r="M1167" t="s">
        <v>22649</v>
      </c>
      <c r="N1167" t="s">
        <v>22650</v>
      </c>
      <c r="O1167">
        <f>-739.385519833273 -132.896666344237 -498.065090104414</f>
        <v>-1370.347276281924</v>
      </c>
      <c r="P1167">
        <f>-767.918610494795 -128.648934906284 -217.447292104821</f>
        <v>-1114.0148375059</v>
      </c>
      <c r="Q1167">
        <f>-540.620009664584 -174.371620126619 -231.350942624417</f>
        <v>-946.34257241562</v>
      </c>
      <c r="R1167" t="s">
        <v>22651</v>
      </c>
      <c r="S1167" t="s">
        <v>22652</v>
      </c>
      <c r="T1167" t="s">
        <v>22653</v>
      </c>
      <c r="U1167" t="s">
        <v>22654</v>
      </c>
      <c r="V1167">
        <f>-634.364841579945 -42.8530901652266 -93.0553527634347</f>
        <v>-770.27328450860637</v>
      </c>
      <c r="W1167" t="s">
        <v>22655</v>
      </c>
      <c r="X1167" t="s">
        <v>22656</v>
      </c>
      <c r="Y1167" t="s">
        <v>22657</v>
      </c>
    </row>
    <row r="1168" spans="1:25" x14ac:dyDescent="0.3">
      <c r="A1168">
        <v>58350</v>
      </c>
      <c r="B1168" t="s">
        <v>22658</v>
      </c>
      <c r="C1168" t="s">
        <v>22659</v>
      </c>
      <c r="D1168" t="s">
        <v>22660</v>
      </c>
      <c r="E1168" t="s">
        <v>22661</v>
      </c>
      <c r="F1168" t="s">
        <v>22662</v>
      </c>
      <c r="G1168" t="s">
        <v>22663</v>
      </c>
      <c r="H1168" t="s">
        <v>22664</v>
      </c>
      <c r="I1168" t="s">
        <v>22665</v>
      </c>
      <c r="J1168" t="s">
        <v>22666</v>
      </c>
      <c r="K1168" t="s">
        <v>22667</v>
      </c>
      <c r="L1168" t="s">
        <v>22668</v>
      </c>
      <c r="M1168" t="s">
        <v>22669</v>
      </c>
      <c r="N1168" t="s">
        <v>22670</v>
      </c>
      <c r="O1168">
        <f>-739.661714979298 -133.366141068318 -497.784954191412</f>
        <v>-1370.8128102390281</v>
      </c>
      <c r="P1168">
        <f>-768.533474342466 -128.443580044549 -217.212604853738</f>
        <v>-1114.1896592407529</v>
      </c>
      <c r="Q1168">
        <f>-541.283626840872 -175.079479465311 -228.663541161444</f>
        <v>-945.02664746762696</v>
      </c>
      <c r="R1168" t="s">
        <v>22671</v>
      </c>
      <c r="S1168" t="s">
        <v>22672</v>
      </c>
      <c r="T1168" t="s">
        <v>22673</v>
      </c>
      <c r="U1168" t="s">
        <v>22674</v>
      </c>
      <c r="V1168">
        <f>-634.538552719494 -43.1916789084469 -93.0089446136919</f>
        <v>-770.73917624163278</v>
      </c>
      <c r="W1168" t="s">
        <v>22675</v>
      </c>
      <c r="X1168" t="s">
        <v>22676</v>
      </c>
      <c r="Y1168" t="s">
        <v>22677</v>
      </c>
    </row>
    <row r="1169" spans="1:25" x14ac:dyDescent="0.3">
      <c r="A1169">
        <v>58400</v>
      </c>
      <c r="B1169" t="s">
        <v>22678</v>
      </c>
      <c r="C1169" t="s">
        <v>22679</v>
      </c>
      <c r="D1169" t="s">
        <v>22680</v>
      </c>
      <c r="E1169" t="s">
        <v>22681</v>
      </c>
      <c r="F1169" t="s">
        <v>22682</v>
      </c>
      <c r="G1169" t="s">
        <v>22683</v>
      </c>
      <c r="H1169" t="s">
        <v>22684</v>
      </c>
      <c r="I1169" t="s">
        <v>22685</v>
      </c>
      <c r="J1169" t="s">
        <v>22686</v>
      </c>
      <c r="K1169" t="s">
        <v>22687</v>
      </c>
      <c r="L1169" t="s">
        <v>22688</v>
      </c>
      <c r="M1169" t="s">
        <v>22689</v>
      </c>
      <c r="N1169" t="s">
        <v>22690</v>
      </c>
      <c r="O1169">
        <f>-740.069813705996 -134.076565779071 -497.467202902665</f>
        <v>-1371.6135823877321</v>
      </c>
      <c r="P1169">
        <f>-770.199153672948 -128.170341506981 -217.046221956793</f>
        <v>-1115.4157171367219</v>
      </c>
      <c r="Q1169">
        <f>-543.051380857319 -176.232349676728 -223.562244937141</f>
        <v>-942.84597547118801</v>
      </c>
      <c r="R1169" t="s">
        <v>22691</v>
      </c>
      <c r="S1169" t="s">
        <v>22692</v>
      </c>
      <c r="T1169" t="s">
        <v>22693</v>
      </c>
      <c r="U1169" t="s">
        <v>22694</v>
      </c>
      <c r="V1169">
        <f>-634.951685501556 -43.759760516856 -92.9657955950235</f>
        <v>-771.6772416134354</v>
      </c>
      <c r="W1169" t="s">
        <v>22695</v>
      </c>
      <c r="X1169" t="s">
        <v>22696</v>
      </c>
      <c r="Y1169" t="s">
        <v>22697</v>
      </c>
    </row>
    <row r="1170" spans="1:25" x14ac:dyDescent="0.3">
      <c r="A1170">
        <v>58450</v>
      </c>
      <c r="B1170" t="s">
        <v>22698</v>
      </c>
      <c r="C1170" t="s">
        <v>22699</v>
      </c>
      <c r="D1170" t="s">
        <v>22700</v>
      </c>
      <c r="E1170" t="s">
        <v>22701</v>
      </c>
      <c r="F1170" t="s">
        <v>22702</v>
      </c>
      <c r="G1170" t="s">
        <v>22703</v>
      </c>
      <c r="H1170" t="s">
        <v>22704</v>
      </c>
      <c r="I1170" t="s">
        <v>22705</v>
      </c>
      <c r="J1170" t="s">
        <v>22706</v>
      </c>
      <c r="K1170" t="s">
        <v>22707</v>
      </c>
      <c r="L1170" t="s">
        <v>22708</v>
      </c>
      <c r="M1170" t="s">
        <v>22709</v>
      </c>
      <c r="N1170" t="s">
        <v>22710</v>
      </c>
      <c r="O1170">
        <f>-740.153934155944 -134.412396676961 -497.361252573568</f>
        <v>-1371.9275834064729</v>
      </c>
      <c r="P1170">
        <f>-771.092380535574 -128.080960262555 -217.037718825075</f>
        <v>-1116.2110596232039</v>
      </c>
      <c r="Q1170">
        <f>-544.001285325077 -176.668680317022 -221.208810681017</f>
        <v>-941.87877632311597</v>
      </c>
      <c r="R1170" t="s">
        <v>22711</v>
      </c>
      <c r="S1170" t="s">
        <v>22712</v>
      </c>
      <c r="T1170" t="s">
        <v>22713</v>
      </c>
      <c r="U1170" t="s">
        <v>22714</v>
      </c>
      <c r="V1170">
        <f>-635.110989255087 -43.9490637544232 -92.9388689989014</f>
        <v>-771.99892200841157</v>
      </c>
      <c r="W1170" t="s">
        <v>22715</v>
      </c>
      <c r="X1170" t="s">
        <v>22716</v>
      </c>
      <c r="Y1170" t="s">
        <v>22717</v>
      </c>
    </row>
    <row r="1171" spans="1:25" x14ac:dyDescent="0.3">
      <c r="A1171">
        <v>58500</v>
      </c>
      <c r="B1171" t="s">
        <v>22718</v>
      </c>
      <c r="C1171" t="s">
        <v>22719</v>
      </c>
      <c r="D1171" t="s">
        <v>22720</v>
      </c>
      <c r="E1171" t="s">
        <v>22721</v>
      </c>
      <c r="F1171" t="s">
        <v>22722</v>
      </c>
      <c r="G1171" t="s">
        <v>22723</v>
      </c>
      <c r="H1171" t="s">
        <v>22724</v>
      </c>
      <c r="I1171" t="s">
        <v>22725</v>
      </c>
      <c r="J1171" t="s">
        <v>22726</v>
      </c>
      <c r="K1171" t="s">
        <v>22727</v>
      </c>
      <c r="L1171" t="s">
        <v>22728</v>
      </c>
      <c r="M1171" t="s">
        <v>22729</v>
      </c>
      <c r="N1171" t="s">
        <v>22730</v>
      </c>
      <c r="O1171">
        <f>-740.368248353283 -135.127759341454 -497.017040956001</f>
        <v>-1372.513048650738</v>
      </c>
      <c r="P1171">
        <f>-772.636201759893 -128.015904886207 -216.86208124225</f>
        <v>-1117.5141878883501</v>
      </c>
      <c r="Q1171">
        <f>-545.725200570969 -177.613422527303 -216.716480269002</f>
        <v>-940.055103367274</v>
      </c>
      <c r="R1171" t="s">
        <v>22731</v>
      </c>
      <c r="S1171" t="s">
        <v>22732</v>
      </c>
      <c r="T1171" t="s">
        <v>22733</v>
      </c>
      <c r="U1171" t="s">
        <v>22734</v>
      </c>
      <c r="V1171">
        <f>-635.348001964549 -44.3237405495006 -92.8743396639861</f>
        <v>-772.5460821780357</v>
      </c>
      <c r="W1171" t="s">
        <v>22735</v>
      </c>
      <c r="X1171" t="s">
        <v>22736</v>
      </c>
      <c r="Y1171" t="s">
        <v>22737</v>
      </c>
    </row>
    <row r="1172" spans="1:25" x14ac:dyDescent="0.3">
      <c r="A1172">
        <v>58550</v>
      </c>
      <c r="B1172" t="s">
        <v>22738</v>
      </c>
      <c r="C1172" t="s">
        <v>22739</v>
      </c>
      <c r="D1172" t="s">
        <v>22740</v>
      </c>
      <c r="E1172" t="s">
        <v>22741</v>
      </c>
      <c r="F1172" t="s">
        <v>22742</v>
      </c>
      <c r="G1172" t="s">
        <v>22743</v>
      </c>
      <c r="H1172" t="s">
        <v>22744</v>
      </c>
      <c r="I1172" t="s">
        <v>22745</v>
      </c>
      <c r="J1172" t="s">
        <v>22746</v>
      </c>
      <c r="K1172" t="s">
        <v>22747</v>
      </c>
      <c r="L1172" t="s">
        <v>22748</v>
      </c>
      <c r="M1172" t="s">
        <v>22749</v>
      </c>
      <c r="N1172" t="s">
        <v>22750</v>
      </c>
      <c r="O1172">
        <f>-740.594780785753 -135.423956793362 -496.756066026763</f>
        <v>-1372.7748036058779</v>
      </c>
      <c r="P1172">
        <f>-773.251567243792 -127.820673052602 -216.659140800954</f>
        <v>-1117.731381097348</v>
      </c>
      <c r="Q1172">
        <f>-546.48089029315 -178.010719162408 -214.5261996976</f>
        <v>-939.01780915315794</v>
      </c>
      <c r="R1172" t="s">
        <v>22751</v>
      </c>
      <c r="S1172" t="s">
        <v>22752</v>
      </c>
      <c r="T1172" t="s">
        <v>22753</v>
      </c>
      <c r="U1172" t="s">
        <v>22754</v>
      </c>
      <c r="V1172">
        <f>-635.461289792961 -44.4932016107603 -92.8751634129574</f>
        <v>-772.82965481667861</v>
      </c>
      <c r="W1172" t="s">
        <v>22755</v>
      </c>
      <c r="X1172" t="s">
        <v>22756</v>
      </c>
      <c r="Y1172" t="s">
        <v>22757</v>
      </c>
    </row>
    <row r="1173" spans="1:25" x14ac:dyDescent="0.3">
      <c r="A1173">
        <v>58600</v>
      </c>
      <c r="B1173" t="s">
        <v>22758</v>
      </c>
      <c r="C1173" t="s">
        <v>22759</v>
      </c>
      <c r="D1173" t="s">
        <v>22760</v>
      </c>
      <c r="E1173" t="s">
        <v>22761</v>
      </c>
      <c r="F1173" t="s">
        <v>22762</v>
      </c>
      <c r="G1173" t="s">
        <v>22763</v>
      </c>
      <c r="H1173" t="s">
        <v>22764</v>
      </c>
      <c r="I1173" t="s">
        <v>22765</v>
      </c>
      <c r="J1173" t="s">
        <v>22766</v>
      </c>
      <c r="K1173" t="s">
        <v>22767</v>
      </c>
      <c r="L1173" t="s">
        <v>22768</v>
      </c>
      <c r="M1173" t="s">
        <v>22769</v>
      </c>
      <c r="N1173" t="s">
        <v>22770</v>
      </c>
      <c r="O1173">
        <f>-740.63969266584 -135.955825552994 -496.241547302698</f>
        <v>-1372.8370655215322</v>
      </c>
      <c r="P1173">
        <f>-773.580656565361 -126.923269770076 -216.220411257603</f>
        <v>-1116.72433759304</v>
      </c>
      <c r="Q1173">
        <f>-547.257988672797 -178.755886508855 -209.898328229659</f>
        <v>-935.912203411311</v>
      </c>
      <c r="R1173" t="s">
        <v>22771</v>
      </c>
      <c r="S1173" t="s">
        <v>22772</v>
      </c>
      <c r="T1173" t="s">
        <v>22773</v>
      </c>
      <c r="U1173" t="s">
        <v>22774</v>
      </c>
      <c r="V1173">
        <f>-635.547417031592 -44.645233370502 -92.9207360193386</f>
        <v>-773.11338642143255</v>
      </c>
      <c r="W1173" t="s">
        <v>22775</v>
      </c>
      <c r="X1173" t="s">
        <v>22776</v>
      </c>
      <c r="Y1173" t="s">
        <v>22777</v>
      </c>
    </row>
    <row r="1174" spans="1:25" x14ac:dyDescent="0.3">
      <c r="A1174">
        <v>58650</v>
      </c>
      <c r="B1174" t="s">
        <v>22778</v>
      </c>
      <c r="C1174" t="s">
        <v>22779</v>
      </c>
      <c r="D1174" t="s">
        <v>22780</v>
      </c>
      <c r="E1174" t="s">
        <v>22781</v>
      </c>
      <c r="F1174" t="s">
        <v>22782</v>
      </c>
      <c r="G1174" t="s">
        <v>22783</v>
      </c>
      <c r="H1174" t="s">
        <v>22784</v>
      </c>
      <c r="I1174" t="s">
        <v>22785</v>
      </c>
      <c r="J1174" t="s">
        <v>22786</v>
      </c>
      <c r="K1174" t="s">
        <v>22787</v>
      </c>
      <c r="L1174" t="s">
        <v>22788</v>
      </c>
      <c r="M1174" t="s">
        <v>22789</v>
      </c>
      <c r="N1174" t="s">
        <v>22790</v>
      </c>
      <c r="O1174">
        <f>-740.577866322122 -136.182849535116 -495.961058643818</f>
        <v>-1372.721774501056</v>
      </c>
      <c r="P1174">
        <f>-773.641048551114 -126.698326426097 -215.969166839865</f>
        <v>-1116.3085418170758</v>
      </c>
      <c r="Q1174">
        <f>-547.558927150426 -179.24200215477 -207.333355621294</f>
        <v>-934.13428492649007</v>
      </c>
      <c r="R1174" t="s">
        <v>22791</v>
      </c>
      <c r="S1174" t="s">
        <v>22792</v>
      </c>
      <c r="T1174" t="s">
        <v>22793</v>
      </c>
      <c r="U1174" t="s">
        <v>22794</v>
      </c>
      <c r="V1174">
        <f>-635.530500254258 -44.7054631406104 -92.927248752056</f>
        <v>-773.16321214692437</v>
      </c>
      <c r="W1174" t="s">
        <v>22795</v>
      </c>
      <c r="X1174" t="s">
        <v>22796</v>
      </c>
      <c r="Y1174" t="s">
        <v>22797</v>
      </c>
    </row>
    <row r="1175" spans="1:25" x14ac:dyDescent="0.3">
      <c r="A1175">
        <v>58700</v>
      </c>
      <c r="B1175" t="s">
        <v>22798</v>
      </c>
      <c r="C1175" t="s">
        <v>22799</v>
      </c>
      <c r="D1175" t="s">
        <v>22800</v>
      </c>
      <c r="E1175" t="s">
        <v>22801</v>
      </c>
      <c r="F1175" t="s">
        <v>22802</v>
      </c>
      <c r="G1175" t="s">
        <v>22803</v>
      </c>
      <c r="H1175" t="s">
        <v>22804</v>
      </c>
      <c r="I1175" t="s">
        <v>22805</v>
      </c>
      <c r="J1175" t="s">
        <v>22806</v>
      </c>
      <c r="K1175" t="s">
        <v>22807</v>
      </c>
      <c r="L1175" t="s">
        <v>22808</v>
      </c>
      <c r="M1175" t="s">
        <v>22809</v>
      </c>
      <c r="N1175" t="s">
        <v>22810</v>
      </c>
      <c r="O1175">
        <f>-740.524888158778 -136.363907902093 -495.759578871342</f>
        <v>-1372.6483749322131</v>
      </c>
      <c r="P1175">
        <f>-773.948847389351 -126.707648257428 -215.81645387501</f>
        <v>-1116.4729495217891</v>
      </c>
      <c r="Q1175">
        <f>-548.083732147799 -179.713314596225 -204.685658347026</f>
        <v>-932.48270509104998</v>
      </c>
      <c r="R1175" t="s">
        <v>22811</v>
      </c>
      <c r="S1175" t="s">
        <v>22812</v>
      </c>
      <c r="T1175" t="s">
        <v>22813</v>
      </c>
      <c r="U1175" t="s">
        <v>22814</v>
      </c>
      <c r="V1175">
        <f>-635.497454887488 -44.7620124009745 -92.9327654613637</f>
        <v>-773.19223274982619</v>
      </c>
      <c r="W1175" t="s">
        <v>22815</v>
      </c>
      <c r="X1175" t="s">
        <v>22816</v>
      </c>
      <c r="Y1175" t="s">
        <v>22817</v>
      </c>
    </row>
    <row r="1176" spans="1:25" x14ac:dyDescent="0.3">
      <c r="A1176">
        <v>58750</v>
      </c>
      <c r="B1176" t="s">
        <v>22818</v>
      </c>
      <c r="C1176" t="s">
        <v>22819</v>
      </c>
      <c r="D1176" t="s">
        <v>22820</v>
      </c>
      <c r="E1176" t="s">
        <v>22821</v>
      </c>
      <c r="F1176" t="s">
        <v>22822</v>
      </c>
      <c r="G1176" t="s">
        <v>22823</v>
      </c>
      <c r="H1176" t="s">
        <v>22824</v>
      </c>
      <c r="I1176" t="s">
        <v>22825</v>
      </c>
      <c r="J1176" t="s">
        <v>22826</v>
      </c>
      <c r="K1176" t="s">
        <v>22827</v>
      </c>
      <c r="L1176" t="s">
        <v>22828</v>
      </c>
      <c r="M1176" t="s">
        <v>22829</v>
      </c>
      <c r="N1176" t="s">
        <v>22830</v>
      </c>
      <c r="O1176">
        <f>-740.274779396004 -136.569404928349 -495.445019736591</f>
        <v>-1372.289204060944</v>
      </c>
      <c r="P1176">
        <f>-774.485944407711 -126.746019848924 -215.602848140041</f>
        <v>-1116.8348123966759</v>
      </c>
      <c r="Q1176">
        <f>-549.151691619308 -180.565153710476 -198.974345883056</f>
        <v>-928.69119121284007</v>
      </c>
      <c r="R1176" t="s">
        <v>22831</v>
      </c>
      <c r="S1176" t="s">
        <v>22832</v>
      </c>
      <c r="T1176" t="s">
        <v>22833</v>
      </c>
      <c r="U1176" t="s">
        <v>22834</v>
      </c>
      <c r="V1176">
        <f>-635.372388981029 -44.643106104365 -92.9492019258507</f>
        <v>-772.96469701124465</v>
      </c>
      <c r="W1176" t="s">
        <v>22835</v>
      </c>
      <c r="X1176" t="s">
        <v>22836</v>
      </c>
      <c r="Y1176" t="s">
        <v>22837</v>
      </c>
    </row>
    <row r="1177" spans="1:25" x14ac:dyDescent="0.3">
      <c r="A1177">
        <v>58800</v>
      </c>
      <c r="B1177" t="s">
        <v>22838</v>
      </c>
      <c r="C1177" t="s">
        <v>22839</v>
      </c>
      <c r="D1177" t="s">
        <v>22840</v>
      </c>
      <c r="E1177" t="s">
        <v>22841</v>
      </c>
      <c r="F1177" t="s">
        <v>22842</v>
      </c>
      <c r="G1177" t="s">
        <v>22843</v>
      </c>
      <c r="H1177" t="s">
        <v>22844</v>
      </c>
      <c r="I1177" t="s">
        <v>22845</v>
      </c>
      <c r="J1177" t="s">
        <v>22846</v>
      </c>
      <c r="K1177" t="s">
        <v>22847</v>
      </c>
      <c r="L1177" t="s">
        <v>22848</v>
      </c>
      <c r="M1177" t="s">
        <v>22849</v>
      </c>
      <c r="N1177" t="s">
        <v>22850</v>
      </c>
      <c r="O1177">
        <f>-739.219918223134 -136.891960868365 -495.140205971547</f>
        <v>-1371.252085063046</v>
      </c>
      <c r="P1177">
        <f>-775.244893010558 -126.614592267101 -215.541905235586</f>
        <v>-1117.4013905132451</v>
      </c>
      <c r="Q1177">
        <f>-550.495047622359 -180.867998667625 -193.347207742572</f>
        <v>-924.71025403255601</v>
      </c>
      <c r="R1177" t="s">
        <v>22851</v>
      </c>
      <c r="S1177" t="s">
        <v>22852</v>
      </c>
      <c r="T1177" t="s">
        <v>22853</v>
      </c>
      <c r="U1177" t="s">
        <v>22854</v>
      </c>
      <c r="V1177">
        <f>-635.310630758077 -44.530814248629 -92.9385841958273</f>
        <v>-772.78002920253323</v>
      </c>
      <c r="W1177" t="s">
        <v>22855</v>
      </c>
      <c r="X1177" t="s">
        <v>22856</v>
      </c>
      <c r="Y1177" t="s">
        <v>22857</v>
      </c>
    </row>
    <row r="1178" spans="1:25" x14ac:dyDescent="0.3">
      <c r="A1178">
        <v>58850</v>
      </c>
      <c r="B1178" t="s">
        <v>22858</v>
      </c>
      <c r="C1178" t="s">
        <v>22859</v>
      </c>
      <c r="D1178" t="s">
        <v>22860</v>
      </c>
      <c r="E1178" t="s">
        <v>22861</v>
      </c>
      <c r="F1178" t="s">
        <v>22862</v>
      </c>
      <c r="G1178" t="s">
        <v>22863</v>
      </c>
      <c r="H1178" t="s">
        <v>22864</v>
      </c>
      <c r="I1178" t="s">
        <v>22865</v>
      </c>
      <c r="J1178" t="s">
        <v>22866</v>
      </c>
      <c r="K1178" t="s">
        <v>22867</v>
      </c>
      <c r="L1178" t="s">
        <v>22868</v>
      </c>
      <c r="M1178" t="s">
        <v>22869</v>
      </c>
      <c r="N1178" t="s">
        <v>22870</v>
      </c>
      <c r="O1178">
        <f>-738.36887775457 -137.208466899338 -495.014133259291</f>
        <v>-1370.591477913199</v>
      </c>
      <c r="P1178">
        <f>-775.584941024309 -126.624326644439 -215.583423006611</f>
        <v>-1117.7926906753589</v>
      </c>
      <c r="Q1178">
        <f>-551.127390081005 -180.966299017086 -190.798449658471</f>
        <v>-922.89213875656208</v>
      </c>
      <c r="R1178" t="s">
        <v>22871</v>
      </c>
      <c r="S1178" t="s">
        <v>22872</v>
      </c>
      <c r="T1178" t="s">
        <v>22873</v>
      </c>
      <c r="U1178" t="s">
        <v>22874</v>
      </c>
      <c r="V1178">
        <f>-635.219179229137 -44.4360972949985 -92.9434199921776</f>
        <v>-772.59869651631311</v>
      </c>
      <c r="W1178" t="s">
        <v>22875</v>
      </c>
      <c r="X1178" t="s">
        <v>22876</v>
      </c>
      <c r="Y1178" t="s">
        <v>22877</v>
      </c>
    </row>
    <row r="1179" spans="1:25" x14ac:dyDescent="0.3">
      <c r="A1179">
        <v>58900</v>
      </c>
      <c r="B1179" t="s">
        <v>22878</v>
      </c>
      <c r="C1179" t="s">
        <v>22879</v>
      </c>
      <c r="D1179" t="s">
        <v>22880</v>
      </c>
      <c r="E1179" t="s">
        <v>22881</v>
      </c>
      <c r="F1179" t="s">
        <v>22882</v>
      </c>
      <c r="G1179" t="s">
        <v>22883</v>
      </c>
      <c r="H1179" t="s">
        <v>22884</v>
      </c>
      <c r="I1179" t="s">
        <v>22885</v>
      </c>
      <c r="J1179" t="s">
        <v>22886</v>
      </c>
      <c r="K1179" t="s">
        <v>22887</v>
      </c>
      <c r="L1179" t="s">
        <v>22888</v>
      </c>
      <c r="M1179" t="s">
        <v>22889</v>
      </c>
      <c r="N1179" t="s">
        <v>22890</v>
      </c>
      <c r="O1179">
        <f>-736.524978330105 -137.844942093691 -494.687196665785</f>
        <v>-1369.057117089581</v>
      </c>
      <c r="P1179">
        <f>-776.263292223484 -126.33994394279 -215.640337382707</f>
        <v>-1118.243573548981</v>
      </c>
      <c r="Q1179">
        <f>-552.334319604792 -180.562935732204 -186.242977034162</f>
        <v>-919.14023237115794</v>
      </c>
      <c r="R1179" t="s">
        <v>22891</v>
      </c>
      <c r="S1179" t="s">
        <v>22892</v>
      </c>
      <c r="T1179" t="s">
        <v>22893</v>
      </c>
      <c r="U1179" t="s">
        <v>22894</v>
      </c>
      <c r="V1179">
        <f>-634.969422520219 -44.3534148917895 -92.9142123312331</f>
        <v>-772.23704974324164</v>
      </c>
      <c r="W1179" t="s">
        <v>22895</v>
      </c>
      <c r="X1179" t="s">
        <v>22896</v>
      </c>
      <c r="Y1179" t="s">
        <v>22897</v>
      </c>
    </row>
    <row r="1180" spans="1:25" x14ac:dyDescent="0.3">
      <c r="A1180">
        <v>58950</v>
      </c>
      <c r="B1180" t="s">
        <v>22898</v>
      </c>
      <c r="C1180" t="s">
        <v>22899</v>
      </c>
      <c r="D1180" t="s">
        <v>22900</v>
      </c>
      <c r="E1180" t="s">
        <v>22901</v>
      </c>
      <c r="F1180" t="s">
        <v>22902</v>
      </c>
      <c r="G1180" t="s">
        <v>22903</v>
      </c>
      <c r="H1180" t="s">
        <v>22904</v>
      </c>
      <c r="I1180" t="s">
        <v>22905</v>
      </c>
      <c r="J1180" t="s">
        <v>22906</v>
      </c>
      <c r="K1180" t="s">
        <v>22907</v>
      </c>
      <c r="L1180" t="s">
        <v>22908</v>
      </c>
      <c r="M1180" t="s">
        <v>22909</v>
      </c>
      <c r="N1180" t="s">
        <v>22910</v>
      </c>
      <c r="O1180">
        <f>-735.624918427719 -138.118105609789 -494.506347574516</f>
        <v>-1368.2493716120239</v>
      </c>
      <c r="P1180">
        <f>-776.329256222183 -126.07418779392 -215.621672254097</f>
        <v>-1118.0251162702</v>
      </c>
      <c r="Q1180">
        <f>-552.659433823858 -180.202292792565 -184.149656835644</f>
        <v>-917.01138345206698</v>
      </c>
      <c r="R1180" t="s">
        <v>22911</v>
      </c>
      <c r="S1180" t="s">
        <v>22912</v>
      </c>
      <c r="T1180" t="s">
        <v>22913</v>
      </c>
      <c r="U1180" t="s">
        <v>22914</v>
      </c>
      <c r="V1180">
        <f>-634.789950124469 -44.3005436161927 -92.8958107495754</f>
        <v>-771.9863044902371</v>
      </c>
      <c r="W1180" t="s">
        <v>22915</v>
      </c>
      <c r="X1180" t="s">
        <v>22916</v>
      </c>
      <c r="Y1180" t="s">
        <v>22917</v>
      </c>
    </row>
    <row r="1181" spans="1:25" x14ac:dyDescent="0.3">
      <c r="A1181">
        <v>59000</v>
      </c>
      <c r="B1181" t="s">
        <v>22918</v>
      </c>
      <c r="C1181" t="s">
        <v>22919</v>
      </c>
      <c r="D1181" t="s">
        <v>22920</v>
      </c>
      <c r="E1181" t="s">
        <v>22921</v>
      </c>
      <c r="F1181" t="s">
        <v>22922</v>
      </c>
      <c r="G1181" t="s">
        <v>22923</v>
      </c>
      <c r="H1181" t="s">
        <v>22924</v>
      </c>
      <c r="I1181" t="s">
        <v>22925</v>
      </c>
      <c r="J1181" t="s">
        <v>22926</v>
      </c>
      <c r="K1181" t="s">
        <v>22927</v>
      </c>
      <c r="L1181" t="s">
        <v>22928</v>
      </c>
      <c r="M1181" t="s">
        <v>22929</v>
      </c>
      <c r="N1181" t="s">
        <v>22930</v>
      </c>
      <c r="O1181">
        <f>-734.152470609633 -138.599567129092 -494.011991166386</f>
        <v>-1366.764028905111</v>
      </c>
      <c r="P1181">
        <f>-776.143839781549 -125.243676238031 -215.378038877812</f>
        <v>-1116.7655548973919</v>
      </c>
      <c r="Q1181">
        <f>-552.949448412206 -179.256659004718 -180.515500419384</f>
        <v>-912.72160783630807</v>
      </c>
      <c r="R1181" t="s">
        <v>22931</v>
      </c>
      <c r="S1181" t="s">
        <v>22932</v>
      </c>
      <c r="T1181" t="s">
        <v>22933</v>
      </c>
      <c r="U1181" t="s">
        <v>22934</v>
      </c>
      <c r="V1181">
        <f>-634.209961706126 -44.2547836782501 -92.8182273441988</f>
        <v>-771.28297272857492</v>
      </c>
      <c r="W1181" t="s">
        <v>22935</v>
      </c>
      <c r="X1181" t="s">
        <v>22936</v>
      </c>
      <c r="Y1181" t="s">
        <v>22937</v>
      </c>
    </row>
    <row r="1182" spans="1:25" x14ac:dyDescent="0.3">
      <c r="A1182">
        <v>59050</v>
      </c>
      <c r="B1182" t="s">
        <v>22938</v>
      </c>
      <c r="C1182" t="s">
        <v>22939</v>
      </c>
      <c r="D1182" t="s">
        <v>22940</v>
      </c>
      <c r="E1182" t="s">
        <v>22941</v>
      </c>
      <c r="F1182" t="s">
        <v>22942</v>
      </c>
      <c r="G1182" t="s">
        <v>22943</v>
      </c>
      <c r="H1182" t="s">
        <v>22944</v>
      </c>
      <c r="I1182" t="s">
        <v>22945</v>
      </c>
      <c r="J1182" t="s">
        <v>22946</v>
      </c>
      <c r="K1182" t="s">
        <v>22947</v>
      </c>
      <c r="L1182" t="s">
        <v>22948</v>
      </c>
      <c r="M1182" t="s">
        <v>22949</v>
      </c>
      <c r="N1182" t="s">
        <v>22950</v>
      </c>
      <c r="O1182">
        <f>-733.437346797436 -138.815979569912 -493.694842804119</f>
        <v>-1365.948169171467</v>
      </c>
      <c r="P1182">
        <f>-775.683713186249 -124.867888937272 -215.128383030228</f>
        <v>-1115.6799851537489</v>
      </c>
      <c r="Q1182">
        <f>-552.664085061337 -178.766543549485 -178.993677577896</f>
        <v>-910.42430618871799</v>
      </c>
      <c r="R1182" t="s">
        <v>22951</v>
      </c>
      <c r="S1182" t="s">
        <v>22952</v>
      </c>
      <c r="T1182" t="s">
        <v>22953</v>
      </c>
      <c r="U1182" t="s">
        <v>22954</v>
      </c>
      <c r="V1182">
        <f>-633.757966497236 -44.2527847966553 -92.7633881733602</f>
        <v>-770.77413946725153</v>
      </c>
      <c r="W1182" t="s">
        <v>22955</v>
      </c>
      <c r="X1182" t="s">
        <v>22956</v>
      </c>
      <c r="Y1182" t="s">
        <v>22957</v>
      </c>
    </row>
    <row r="1183" spans="1:25" x14ac:dyDescent="0.3">
      <c r="A1183">
        <v>59100</v>
      </c>
      <c r="B1183" t="s">
        <v>22958</v>
      </c>
      <c r="C1183" t="s">
        <v>22959</v>
      </c>
      <c r="D1183" t="s">
        <v>22960</v>
      </c>
      <c r="E1183" t="s">
        <v>22961</v>
      </c>
      <c r="F1183" t="s">
        <v>22962</v>
      </c>
      <c r="G1183" t="s">
        <v>22963</v>
      </c>
      <c r="H1183" t="s">
        <v>22964</v>
      </c>
      <c r="I1183" t="s">
        <v>22965</v>
      </c>
      <c r="J1183" t="s">
        <v>22966</v>
      </c>
      <c r="K1183" t="s">
        <v>22967</v>
      </c>
      <c r="L1183" t="s">
        <v>22968</v>
      </c>
      <c r="M1183" t="s">
        <v>22969</v>
      </c>
      <c r="N1183" t="s">
        <v>22970</v>
      </c>
      <c r="O1183">
        <f>-731.648747567883 -139.494307684906 -493.176426634464</f>
        <v>-1364.319481887253</v>
      </c>
      <c r="P1183">
        <f>-774.83694232859 -124.864516465754 -214.789433074985</f>
        <v>-1114.4908918693291</v>
      </c>
      <c r="Q1183">
        <f>-551.964689895586 -177.96632230753 -176.622862917951</f>
        <v>-906.55387512106711</v>
      </c>
      <c r="R1183" t="s">
        <v>22971</v>
      </c>
      <c r="S1183" t="s">
        <v>22972</v>
      </c>
      <c r="T1183" t="s">
        <v>22973</v>
      </c>
      <c r="U1183" t="s">
        <v>22974</v>
      </c>
      <c r="V1183">
        <f>-632.658043543025 -44.3211573605954 -92.6256172960302</f>
        <v>-769.60481819965059</v>
      </c>
      <c r="W1183" t="s">
        <v>22975</v>
      </c>
      <c r="X1183" t="s">
        <v>22976</v>
      </c>
      <c r="Y1183" t="s">
        <v>22977</v>
      </c>
    </row>
    <row r="1184" spans="1:25" x14ac:dyDescent="0.3">
      <c r="A1184">
        <v>59150</v>
      </c>
      <c r="B1184" t="s">
        <v>22978</v>
      </c>
      <c r="C1184" t="s">
        <v>22979</v>
      </c>
      <c r="D1184" t="s">
        <v>22980</v>
      </c>
      <c r="E1184" t="s">
        <v>22981</v>
      </c>
      <c r="F1184" t="s">
        <v>22982</v>
      </c>
      <c r="G1184" t="s">
        <v>22983</v>
      </c>
      <c r="H1184" t="s">
        <v>22984</v>
      </c>
      <c r="I1184" t="s">
        <v>22985</v>
      </c>
      <c r="J1184" t="s">
        <v>22986</v>
      </c>
      <c r="K1184" t="s">
        <v>22987</v>
      </c>
      <c r="L1184" t="s">
        <v>22988</v>
      </c>
      <c r="M1184" t="s">
        <v>22989</v>
      </c>
      <c r="N1184" t="s">
        <v>22990</v>
      </c>
      <c r="O1184">
        <f>-729.471250510863 -140.130997428048 -493.024619921828</f>
        <v>-1362.6268678607389</v>
      </c>
      <c r="P1184">
        <f>-773.745657588553 -125.28649260485 -214.819585341538</f>
        <v>-1113.8517355349409</v>
      </c>
      <c r="Q1184">
        <f>-550.882786327513 -177.36352665864 -175.213240951406</f>
        <v>-903.45955393755901</v>
      </c>
      <c r="R1184" t="s">
        <v>22991</v>
      </c>
      <c r="S1184" t="s">
        <v>22992</v>
      </c>
      <c r="T1184" t="s">
        <v>22993</v>
      </c>
      <c r="U1184" t="s">
        <v>22994</v>
      </c>
      <c r="V1184">
        <f>-631.218385929732 -44.445906383859 -92.6182621232346</f>
        <v>-768.28255443682554</v>
      </c>
      <c r="W1184" t="s">
        <v>22995</v>
      </c>
      <c r="X1184" t="s">
        <v>22996</v>
      </c>
      <c r="Y1184" t="s">
        <v>22997</v>
      </c>
    </row>
    <row r="1185" spans="1:25" x14ac:dyDescent="0.3">
      <c r="A1185">
        <v>59200</v>
      </c>
      <c r="B1185" t="s">
        <v>22998</v>
      </c>
      <c r="C1185" t="s">
        <v>22999</v>
      </c>
      <c r="D1185" t="s">
        <v>23000</v>
      </c>
      <c r="E1185" t="s">
        <v>23001</v>
      </c>
      <c r="F1185" t="s">
        <v>23002</v>
      </c>
      <c r="G1185" t="s">
        <v>23003</v>
      </c>
      <c r="H1185" t="s">
        <v>23004</v>
      </c>
      <c r="I1185" t="s">
        <v>23005</v>
      </c>
      <c r="J1185" t="s">
        <v>23006</v>
      </c>
      <c r="K1185" t="s">
        <v>23007</v>
      </c>
      <c r="L1185" t="s">
        <v>23008</v>
      </c>
      <c r="M1185" t="s">
        <v>23009</v>
      </c>
      <c r="N1185" t="s">
        <v>23010</v>
      </c>
      <c r="O1185">
        <f>-728.229036189295 -140.403141772289 -493.042688607112</f>
        <v>-1361.674866568696</v>
      </c>
      <c r="P1185">
        <f>-773.118010430606 -125.453506041123 -214.94166025062</f>
        <v>-1113.513176722349</v>
      </c>
      <c r="Q1185">
        <f>-550.218063183495 -177.085531650187 -174.963215279968</f>
        <v>-902.26681011365008</v>
      </c>
      <c r="R1185" t="s">
        <v>23011</v>
      </c>
      <c r="S1185" t="s">
        <v>23012</v>
      </c>
      <c r="T1185" t="s">
        <v>23013</v>
      </c>
      <c r="U1185" t="s">
        <v>23014</v>
      </c>
      <c r="V1185">
        <f>-630.413069340666 -44.5234088762488 -92.6539178226528</f>
        <v>-767.59039603956762</v>
      </c>
      <c r="W1185" t="s">
        <v>23015</v>
      </c>
      <c r="X1185" t="s">
        <v>23016</v>
      </c>
      <c r="Y1185" t="s">
        <v>23017</v>
      </c>
    </row>
    <row r="1186" spans="1:25" x14ac:dyDescent="0.3">
      <c r="A1186">
        <v>59250</v>
      </c>
      <c r="B1186" t="s">
        <v>23018</v>
      </c>
      <c r="C1186" t="s">
        <v>23019</v>
      </c>
      <c r="D1186" t="s">
        <v>23020</v>
      </c>
      <c r="E1186" t="s">
        <v>23021</v>
      </c>
      <c r="F1186" t="s">
        <v>23022</v>
      </c>
      <c r="G1186" t="s">
        <v>23023</v>
      </c>
      <c r="H1186" t="s">
        <v>23024</v>
      </c>
      <c r="I1186" t="s">
        <v>23025</v>
      </c>
      <c r="J1186" t="s">
        <v>23026</v>
      </c>
      <c r="K1186" t="s">
        <v>23027</v>
      </c>
      <c r="L1186" t="s">
        <v>23028</v>
      </c>
      <c r="M1186" t="s">
        <v>23029</v>
      </c>
      <c r="N1186" t="s">
        <v>23030</v>
      </c>
      <c r="O1186">
        <f>-726.910575260104 -140.654883114095 -493.127209460391</f>
        <v>-1360.6926678345899</v>
      </c>
      <c r="P1186">
        <f>-772.286602703516 -125.81215846943 -215.099654365973</f>
        <v>-1113.1984155389189</v>
      </c>
      <c r="Q1186">
        <f>-549.298981564621 -177.032226897035 -175.080325649363</f>
        <v>-901.41153411101902</v>
      </c>
      <c r="R1186" t="s">
        <v>23031</v>
      </c>
      <c r="S1186" t="s">
        <v>23032</v>
      </c>
      <c r="T1186" t="s">
        <v>23033</v>
      </c>
      <c r="U1186" t="s">
        <v>23034</v>
      </c>
      <c r="V1186">
        <f>-629.496504890784 -44.6155348662026 -92.7008623097319</f>
        <v>-766.81290206671838</v>
      </c>
      <c r="W1186" t="s">
        <v>23035</v>
      </c>
      <c r="X1186" t="s">
        <v>23036</v>
      </c>
      <c r="Y1186" t="s">
        <v>23037</v>
      </c>
    </row>
    <row r="1187" spans="1:25" x14ac:dyDescent="0.3">
      <c r="A1187">
        <v>59300</v>
      </c>
      <c r="B1187" t="s">
        <v>23038</v>
      </c>
      <c r="C1187" t="s">
        <v>23039</v>
      </c>
      <c r="D1187" t="s">
        <v>23040</v>
      </c>
      <c r="E1187" t="s">
        <v>23041</v>
      </c>
      <c r="F1187" t="s">
        <v>23042</v>
      </c>
      <c r="G1187" t="s">
        <v>23043</v>
      </c>
      <c r="H1187" t="s">
        <v>23044</v>
      </c>
      <c r="I1187" t="s">
        <v>23045</v>
      </c>
      <c r="J1187" t="s">
        <v>23046</v>
      </c>
      <c r="K1187" t="s">
        <v>23047</v>
      </c>
      <c r="L1187" t="s">
        <v>23048</v>
      </c>
      <c r="M1187" t="s">
        <v>23049</v>
      </c>
      <c r="N1187" t="s">
        <v>23050</v>
      </c>
      <c r="O1187">
        <f>-724.204585490769 -141.104894991813 -493.534924279803</f>
        <v>-1358.844404762385</v>
      </c>
      <c r="P1187">
        <f>-770.017204246358 -126.957219602934 -215.542712098979</f>
        <v>-1112.5171359482711</v>
      </c>
      <c r="Q1187">
        <f>-546.676764509608 -177.163271038926 -176.211691706422</f>
        <v>-900.05172725495606</v>
      </c>
      <c r="R1187" t="s">
        <v>23051</v>
      </c>
      <c r="S1187" t="s">
        <v>23052</v>
      </c>
      <c r="T1187" t="s">
        <v>23053</v>
      </c>
      <c r="U1187" t="s">
        <v>23054</v>
      </c>
      <c r="V1187">
        <f>-627.582649831382 -44.9114321841387 -92.8302790831</f>
        <v>-765.32436109862067</v>
      </c>
      <c r="W1187" t="s">
        <v>23055</v>
      </c>
      <c r="X1187" t="s">
        <v>23056</v>
      </c>
      <c r="Y1187" t="s">
        <v>23057</v>
      </c>
    </row>
    <row r="1188" spans="1:25" x14ac:dyDescent="0.3">
      <c r="A1188">
        <v>59350</v>
      </c>
      <c r="B1188" t="s">
        <v>23058</v>
      </c>
      <c r="C1188" t="s">
        <v>23059</v>
      </c>
      <c r="D1188" t="s">
        <v>23060</v>
      </c>
      <c r="E1188" t="s">
        <v>23061</v>
      </c>
      <c r="F1188" t="s">
        <v>23062</v>
      </c>
      <c r="G1188" t="s">
        <v>23063</v>
      </c>
      <c r="H1188" t="s">
        <v>23064</v>
      </c>
      <c r="I1188" t="s">
        <v>23065</v>
      </c>
      <c r="J1188" t="s">
        <v>23066</v>
      </c>
      <c r="K1188" t="s">
        <v>23067</v>
      </c>
      <c r="L1188" t="s">
        <v>23068</v>
      </c>
      <c r="M1188" t="s">
        <v>23069</v>
      </c>
      <c r="N1188" t="s">
        <v>23070</v>
      </c>
      <c r="O1188">
        <f>-722.822950958265 -141.261656732307 -493.790992881091</f>
        <v>-1357.875600571663</v>
      </c>
      <c r="P1188">
        <f>-768.771022381722 -127.900030132758 -215.782311514729</f>
        <v>-1112.4533640292091</v>
      </c>
      <c r="Q1188">
        <f>-545.117990057697 -177.382541438188 -177.320239103013</f>
        <v>-899.82077059889809</v>
      </c>
      <c r="R1188" t="s">
        <v>23071</v>
      </c>
      <c r="S1188" t="s">
        <v>23072</v>
      </c>
      <c r="T1188" t="s">
        <v>23073</v>
      </c>
      <c r="U1188" t="s">
        <v>23074</v>
      </c>
      <c r="V1188">
        <f>-626.630944524815 -45.0471302612243 -92.8946153314529</f>
        <v>-764.57269011749224</v>
      </c>
      <c r="W1188" t="s">
        <v>23075</v>
      </c>
      <c r="X1188" t="s">
        <v>23076</v>
      </c>
      <c r="Y1188" t="s">
        <v>23077</v>
      </c>
    </row>
    <row r="1189" spans="1:25" x14ac:dyDescent="0.3">
      <c r="A1189">
        <v>59400</v>
      </c>
      <c r="B1189" t="s">
        <v>23078</v>
      </c>
      <c r="C1189" t="s">
        <v>23079</v>
      </c>
      <c r="D1189" t="s">
        <v>23080</v>
      </c>
      <c r="E1189" t="s">
        <v>23081</v>
      </c>
      <c r="F1189" t="s">
        <v>23082</v>
      </c>
      <c r="G1189" t="s">
        <v>23083</v>
      </c>
      <c r="H1189" t="s">
        <v>23084</v>
      </c>
      <c r="I1189" t="s">
        <v>23085</v>
      </c>
      <c r="J1189" t="s">
        <v>23086</v>
      </c>
      <c r="K1189" t="s">
        <v>23087</v>
      </c>
      <c r="L1189" t="s">
        <v>23088</v>
      </c>
      <c r="M1189" t="s">
        <v>23089</v>
      </c>
      <c r="N1189" t="s">
        <v>23090</v>
      </c>
      <c r="O1189">
        <f>-719.913061267582 -141.652875866227 -494.524694380391</f>
        <v>-1356.0906315141999</v>
      </c>
      <c r="P1189">
        <f>-766.167624329218 -130.423107899482 -216.472564689329</f>
        <v>-1113.063296918029</v>
      </c>
      <c r="Q1189">
        <f>-541.695078568061 -178.005142910765 -180.464756632923</f>
        <v>-900.16497811174906</v>
      </c>
      <c r="R1189" t="s">
        <v>23091</v>
      </c>
      <c r="S1189" t="s">
        <v>23092</v>
      </c>
      <c r="T1189" t="s">
        <v>23093</v>
      </c>
      <c r="U1189" t="s">
        <v>23094</v>
      </c>
      <c r="V1189">
        <f>-624.769741954654 -45.7039840869145 -93.0478967294225</f>
        <v>-763.52162277099103</v>
      </c>
      <c r="W1189" t="s">
        <v>23095</v>
      </c>
      <c r="X1189" t="s">
        <v>23096</v>
      </c>
      <c r="Y1189" t="s">
        <v>23097</v>
      </c>
    </row>
    <row r="1190" spans="1:25" x14ac:dyDescent="0.3">
      <c r="A1190">
        <v>59450</v>
      </c>
      <c r="B1190" t="s">
        <v>23098</v>
      </c>
      <c r="C1190" t="s">
        <v>23099</v>
      </c>
      <c r="D1190" t="s">
        <v>23100</v>
      </c>
      <c r="E1190" t="s">
        <v>23101</v>
      </c>
      <c r="F1190" t="s">
        <v>23102</v>
      </c>
      <c r="G1190" t="s">
        <v>23103</v>
      </c>
      <c r="H1190" t="s">
        <v>23104</v>
      </c>
      <c r="I1190" t="s">
        <v>23105</v>
      </c>
      <c r="J1190" t="s">
        <v>23106</v>
      </c>
      <c r="K1190" t="s">
        <v>23107</v>
      </c>
      <c r="L1190" t="s">
        <v>23108</v>
      </c>
      <c r="M1190" t="s">
        <v>23109</v>
      </c>
      <c r="N1190" t="s">
        <v>23110</v>
      </c>
      <c r="O1190">
        <f>-718.433945051121 -141.72035476166 -495.022891548081</f>
        <v>-1355.177191360862</v>
      </c>
      <c r="P1190">
        <f>-764.743344919286 -131.664078898301 -216.934944403166</f>
        <v>-1113.3423682207531</v>
      </c>
      <c r="Q1190">
        <f>-539.791783935331 -178.077145878175 -182.421602139145</f>
        <v>-900.29053195265089</v>
      </c>
      <c r="R1190" t="s">
        <v>23111</v>
      </c>
      <c r="S1190" t="s">
        <v>23112</v>
      </c>
      <c r="T1190" t="s">
        <v>23113</v>
      </c>
      <c r="U1190" t="s">
        <v>23114</v>
      </c>
      <c r="V1190">
        <f>-623.890647812616 -45.9285082306001 -93.0930488562738</f>
        <v>-762.91220489948978</v>
      </c>
      <c r="W1190" t="s">
        <v>23115</v>
      </c>
      <c r="X1190" t="s">
        <v>23116</v>
      </c>
      <c r="Y1190" t="s">
        <v>23117</v>
      </c>
    </row>
    <row r="1191" spans="1:25" x14ac:dyDescent="0.3">
      <c r="A1191">
        <v>59500</v>
      </c>
      <c r="B1191" t="s">
        <v>23118</v>
      </c>
      <c r="C1191" t="s">
        <v>23119</v>
      </c>
      <c r="D1191" t="s">
        <v>23120</v>
      </c>
      <c r="E1191" t="s">
        <v>23121</v>
      </c>
      <c r="F1191" t="s">
        <v>23122</v>
      </c>
      <c r="G1191" t="s">
        <v>23123</v>
      </c>
      <c r="H1191" t="s">
        <v>23124</v>
      </c>
      <c r="I1191" t="s">
        <v>23125</v>
      </c>
      <c r="J1191" t="s">
        <v>23126</v>
      </c>
      <c r="K1191" t="s">
        <v>23127</v>
      </c>
      <c r="L1191" t="s">
        <v>23128</v>
      </c>
      <c r="M1191" t="s">
        <v>23129</v>
      </c>
      <c r="N1191" t="s">
        <v>23130</v>
      </c>
      <c r="O1191">
        <f>-715.528966818386 -141.8546211464 -496.052141377644</f>
        <v>-1353.43572934243</v>
      </c>
      <c r="P1191">
        <f>-761.977618088394 -134.494928355505 -217.903029034588</f>
        <v>-1114.375575478487</v>
      </c>
      <c r="Q1191">
        <f>-535.912838748151 -177.878190483426 -186.900651988386</f>
        <v>-900.69168121996302</v>
      </c>
      <c r="R1191" t="s">
        <v>23131</v>
      </c>
      <c r="S1191" t="s">
        <v>23132</v>
      </c>
      <c r="T1191" t="s">
        <v>23133</v>
      </c>
      <c r="U1191" t="s">
        <v>23134</v>
      </c>
      <c r="V1191">
        <f>-621.981572394189 -46.432918006318 -93.1471985641512</f>
        <v>-761.56168896465817</v>
      </c>
      <c r="W1191" t="s">
        <v>23135</v>
      </c>
      <c r="X1191" t="s">
        <v>23136</v>
      </c>
      <c r="Y1191" t="s">
        <v>23137</v>
      </c>
    </row>
    <row r="1192" spans="1:25" x14ac:dyDescent="0.3">
      <c r="A1192">
        <v>59550</v>
      </c>
      <c r="B1192" t="s">
        <v>23138</v>
      </c>
      <c r="C1192" t="s">
        <v>23139</v>
      </c>
      <c r="D1192" t="s">
        <v>23140</v>
      </c>
      <c r="E1192" t="s">
        <v>23141</v>
      </c>
      <c r="F1192" t="s">
        <v>23142</v>
      </c>
      <c r="G1192" t="s">
        <v>23143</v>
      </c>
      <c r="H1192" t="s">
        <v>23144</v>
      </c>
      <c r="I1192" t="s">
        <v>23145</v>
      </c>
      <c r="J1192" t="s">
        <v>23146</v>
      </c>
      <c r="K1192" t="s">
        <v>23147</v>
      </c>
      <c r="L1192" t="s">
        <v>23148</v>
      </c>
      <c r="M1192" t="s">
        <v>23149</v>
      </c>
      <c r="N1192" t="s">
        <v>23150</v>
      </c>
      <c r="O1192">
        <f>-714.239585133333 -141.951424932441 -496.590276973963</f>
        <v>-1352.781287039737</v>
      </c>
      <c r="P1192">
        <f>-760.624662902324 -135.935916843398 -218.39823123661</f>
        <v>-1114.9588109823319</v>
      </c>
      <c r="Q1192">
        <f>-533.973711109696 -177.597418449325 -189.377223580593</f>
        <v>-900.94835313961403</v>
      </c>
      <c r="R1192" t="s">
        <v>23151</v>
      </c>
      <c r="S1192" t="s">
        <v>23152</v>
      </c>
      <c r="T1192" t="s">
        <v>23153</v>
      </c>
      <c r="U1192" t="s">
        <v>23154</v>
      </c>
      <c r="V1192">
        <f>-621.144416631731 -46.7502982932106 -93.1899624296283</f>
        <v>-761.08467735456986</v>
      </c>
      <c r="W1192" t="s">
        <v>23155</v>
      </c>
      <c r="X1192" t="s">
        <v>23156</v>
      </c>
      <c r="Y1192" t="s">
        <v>23157</v>
      </c>
    </row>
    <row r="1193" spans="1:25" x14ac:dyDescent="0.3">
      <c r="A1193">
        <v>59600</v>
      </c>
      <c r="B1193" t="s">
        <v>23158</v>
      </c>
      <c r="C1193" t="s">
        <v>23159</v>
      </c>
      <c r="D1193" t="s">
        <v>23160</v>
      </c>
      <c r="E1193" t="s">
        <v>23161</v>
      </c>
      <c r="F1193" t="s">
        <v>23162</v>
      </c>
      <c r="G1193" t="s">
        <v>23163</v>
      </c>
      <c r="H1193" t="s">
        <v>23164</v>
      </c>
      <c r="I1193" t="s">
        <v>23165</v>
      </c>
      <c r="J1193" t="s">
        <v>23166</v>
      </c>
      <c r="K1193" t="s">
        <v>23167</v>
      </c>
      <c r="L1193" t="s">
        <v>23168</v>
      </c>
      <c r="M1193" t="s">
        <v>23169</v>
      </c>
      <c r="N1193" t="s">
        <v>23170</v>
      </c>
      <c r="O1193">
        <f>-712.044541968384 -142.035531475471 -497.626856258832</f>
        <v>-1351.7069297026869</v>
      </c>
      <c r="P1193">
        <f>-758.194973142928 -138.747797247215 -219.35027191139</f>
        <v>-1116.293042301533</v>
      </c>
      <c r="Q1193">
        <f>-530.32256706629 -176.161081800051 -194.391437203856</f>
        <v>-900.87508607019697</v>
      </c>
      <c r="R1193" t="s">
        <v>23171</v>
      </c>
      <c r="S1193" t="s">
        <v>23172</v>
      </c>
      <c r="T1193" t="s">
        <v>23173</v>
      </c>
      <c r="U1193" t="s">
        <v>23174</v>
      </c>
      <c r="V1193">
        <f>-619.534080363745 -47.2654091001971 -93.2265089801589</f>
        <v>-760.02599844410099</v>
      </c>
      <c r="W1193" t="s">
        <v>23175</v>
      </c>
      <c r="X1193" t="s">
        <v>23176</v>
      </c>
      <c r="Y1193" t="s">
        <v>23177</v>
      </c>
    </row>
    <row r="1194" spans="1:25" x14ac:dyDescent="0.3">
      <c r="A1194">
        <v>59650</v>
      </c>
      <c r="B1194" t="s">
        <v>23178</v>
      </c>
      <c r="C1194" t="s">
        <v>23179</v>
      </c>
      <c r="D1194" t="s">
        <v>23180</v>
      </c>
      <c r="E1194" t="s">
        <v>23181</v>
      </c>
      <c r="F1194" t="s">
        <v>23182</v>
      </c>
      <c r="G1194" t="s">
        <v>23183</v>
      </c>
      <c r="H1194" t="s">
        <v>23184</v>
      </c>
      <c r="I1194" t="s">
        <v>23185</v>
      </c>
      <c r="J1194" t="s">
        <v>23186</v>
      </c>
      <c r="K1194" t="s">
        <v>23187</v>
      </c>
      <c r="L1194" t="s">
        <v>23188</v>
      </c>
      <c r="M1194" t="s">
        <v>23189</v>
      </c>
      <c r="N1194" t="s">
        <v>23190</v>
      </c>
      <c r="O1194">
        <f>-711.135750042695 -142.079168622081 -498.078093970471</f>
        <v>-1351.2930126352469</v>
      </c>
      <c r="P1194">
        <f>-757.25299285842 -140.210519062688 -219.782688059333</f>
        <v>-1117.2461999804411</v>
      </c>
      <c r="Q1194">
        <f>-528.68096344898 -174.887605309499 -197.402949317423</f>
        <v>-900.97151807590205</v>
      </c>
      <c r="R1194" t="s">
        <v>23191</v>
      </c>
      <c r="S1194" t="s">
        <v>23192</v>
      </c>
      <c r="T1194" t="s">
        <v>23193</v>
      </c>
      <c r="U1194" t="s">
        <v>23194</v>
      </c>
      <c r="V1194">
        <f>-618.801092658778 -47.374164950515 -93.2181880398451</f>
        <v>-759.39344564913813</v>
      </c>
      <c r="W1194" t="s">
        <v>23195</v>
      </c>
      <c r="X1194" t="s">
        <v>23196</v>
      </c>
      <c r="Y1194" t="s">
        <v>23197</v>
      </c>
    </row>
    <row r="1195" spans="1:25" x14ac:dyDescent="0.3">
      <c r="A1195">
        <v>59700</v>
      </c>
      <c r="B1195" t="s">
        <v>23198</v>
      </c>
      <c r="C1195" t="s">
        <v>23199</v>
      </c>
      <c r="D1195" t="s">
        <v>23200</v>
      </c>
      <c r="E1195" t="s">
        <v>23201</v>
      </c>
      <c r="F1195" t="s">
        <v>23202</v>
      </c>
      <c r="G1195" t="s">
        <v>23203</v>
      </c>
      <c r="H1195" t="s">
        <v>23204</v>
      </c>
      <c r="I1195" t="s">
        <v>23205</v>
      </c>
      <c r="J1195" t="s">
        <v>23206</v>
      </c>
      <c r="K1195" t="s">
        <v>23207</v>
      </c>
      <c r="L1195" t="s">
        <v>23208</v>
      </c>
      <c r="M1195" t="s">
        <v>23209</v>
      </c>
      <c r="N1195" t="s">
        <v>23210</v>
      </c>
      <c r="O1195">
        <f>-710.21707090362 -142.095073175611 -498.735862888924</f>
        <v>-1351.0480069681548</v>
      </c>
      <c r="P1195">
        <f>-755.892461490699 -142.770159248254 -220.362153272813</f>
        <v>-1119.0247740117661</v>
      </c>
      <c r="Q1195">
        <f>-525.877622086917 -171.315431820342 -205.300062213585</f>
        <v>-902.49311612084398</v>
      </c>
      <c r="R1195" t="s">
        <v>23211</v>
      </c>
      <c r="S1195" t="s">
        <v>23212</v>
      </c>
      <c r="T1195" t="s">
        <v>23213</v>
      </c>
      <c r="U1195" t="s">
        <v>23214</v>
      </c>
      <c r="V1195">
        <f>-617.671131182303 -47.5733483608344 -93.1927571475929</f>
        <v>-758.4372366907304</v>
      </c>
      <c r="W1195" t="s">
        <v>23215</v>
      </c>
      <c r="X1195" t="s">
        <v>23216</v>
      </c>
      <c r="Y1195" t="s">
        <v>23217</v>
      </c>
    </row>
    <row r="1196" spans="1:25" x14ac:dyDescent="0.3">
      <c r="A1196">
        <v>59750</v>
      </c>
      <c r="B1196" t="s">
        <v>23218</v>
      </c>
      <c r="C1196" t="s">
        <v>23219</v>
      </c>
      <c r="D1196" t="s">
        <v>23220</v>
      </c>
      <c r="E1196" t="s">
        <v>23221</v>
      </c>
      <c r="F1196" t="s">
        <v>23222</v>
      </c>
      <c r="G1196" t="s">
        <v>23223</v>
      </c>
      <c r="H1196" t="s">
        <v>23224</v>
      </c>
      <c r="I1196" t="s">
        <v>23225</v>
      </c>
      <c r="J1196" t="s">
        <v>23226</v>
      </c>
      <c r="K1196" t="s">
        <v>23227</v>
      </c>
      <c r="L1196" t="s">
        <v>23228</v>
      </c>
      <c r="M1196" t="s">
        <v>23229</v>
      </c>
      <c r="N1196" t="s">
        <v>23230</v>
      </c>
      <c r="O1196">
        <f>-710.005593243804 -142.15344482208 -498.950024156536</f>
        <v>-1351.1090622224201</v>
      </c>
      <c r="P1196">
        <f>-755.123900794775 -143.529008592041 -220.488143957862</f>
        <v>-1119.1410533446779</v>
      </c>
      <c r="Q1196">
        <f>-524.520641073819 -169.282276396261 -210.122835165127</f>
        <v>-903.925752635207</v>
      </c>
      <c r="R1196" t="s">
        <v>23231</v>
      </c>
      <c r="S1196" t="s">
        <v>23232</v>
      </c>
      <c r="T1196" t="s">
        <v>23233</v>
      </c>
      <c r="U1196" t="s">
        <v>23234</v>
      </c>
      <c r="V1196">
        <f>-617.332306030205 -47.7644657665332 -93.1845361145387</f>
        <v>-758.28130791127694</v>
      </c>
      <c r="W1196" t="s">
        <v>23235</v>
      </c>
      <c r="X1196" t="s">
        <v>23236</v>
      </c>
      <c r="Y1196" t="s">
        <v>23237</v>
      </c>
    </row>
    <row r="1197" spans="1:25" x14ac:dyDescent="0.3">
      <c r="A1197">
        <v>59800</v>
      </c>
      <c r="B1197" t="s">
        <v>23238</v>
      </c>
      <c r="C1197" t="s">
        <v>23239</v>
      </c>
      <c r="D1197" t="s">
        <v>23240</v>
      </c>
      <c r="E1197" t="s">
        <v>23241</v>
      </c>
      <c r="F1197" t="s">
        <v>23242</v>
      </c>
      <c r="G1197" t="s">
        <v>23243</v>
      </c>
      <c r="H1197" t="s">
        <v>23244</v>
      </c>
      <c r="I1197" t="s">
        <v>23245</v>
      </c>
      <c r="J1197" t="s">
        <v>23246</v>
      </c>
      <c r="K1197" t="s">
        <v>23247</v>
      </c>
      <c r="L1197" t="s">
        <v>23248</v>
      </c>
      <c r="M1197" t="s">
        <v>23249</v>
      </c>
      <c r="N1197" t="s">
        <v>23250</v>
      </c>
      <c r="O1197">
        <f>-709.895895672013 -142.394928026119 -499.298988593552</f>
        <v>-1351.589812291684</v>
      </c>
      <c r="P1197">
        <f>-753.691671137333 -143.982648115976 -220.627181638674</f>
        <v>-1118.3015008919829</v>
      </c>
      <c r="Q1197">
        <f>-522.409442362345 -165.357947741182 -220.239786250205</f>
        <v>-908.00717635373189</v>
      </c>
      <c r="R1197" t="s">
        <v>23251</v>
      </c>
      <c r="S1197" t="s">
        <v>23252</v>
      </c>
      <c r="T1197" t="s">
        <v>23253</v>
      </c>
      <c r="U1197" t="s">
        <v>23254</v>
      </c>
      <c r="V1197">
        <f>-616.888697708386 -48.0420387158561 -93.1878236590269</f>
        <v>-758.1185600832689</v>
      </c>
      <c r="W1197" t="s">
        <v>23255</v>
      </c>
      <c r="X1197" t="s">
        <v>23256</v>
      </c>
      <c r="Y1197" t="s">
        <v>23257</v>
      </c>
    </row>
    <row r="1198" spans="1:25" x14ac:dyDescent="0.3">
      <c r="A1198">
        <v>59850</v>
      </c>
      <c r="B1198" t="s">
        <v>23258</v>
      </c>
      <c r="C1198" t="s">
        <v>23259</v>
      </c>
      <c r="D1198" t="s">
        <v>23260</v>
      </c>
      <c r="E1198" t="s">
        <v>23261</v>
      </c>
      <c r="F1198" t="s">
        <v>23262</v>
      </c>
      <c r="G1198" t="s">
        <v>23263</v>
      </c>
      <c r="H1198" t="s">
        <v>23264</v>
      </c>
      <c r="I1198" t="s">
        <v>23265</v>
      </c>
      <c r="J1198" t="s">
        <v>23266</v>
      </c>
      <c r="K1198" t="s">
        <v>23267</v>
      </c>
      <c r="L1198" t="s">
        <v>23268</v>
      </c>
      <c r="M1198" t="s">
        <v>23269</v>
      </c>
      <c r="N1198" t="s">
        <v>23270</v>
      </c>
      <c r="O1198">
        <f>-709.92442961789 -142.602415413472 -499.388716350694</f>
        <v>-1351.915561382056</v>
      </c>
      <c r="P1198">
        <f>-752.76466253361 -144.199108354152 -220.568395989614</f>
        <v>-1117.5321668773761</v>
      </c>
      <c r="Q1198">
        <f>-521.360000533811 -163.577147097392 -225.558568989154</f>
        <v>-910.49571662035692</v>
      </c>
      <c r="R1198" t="s">
        <v>23271</v>
      </c>
      <c r="S1198" t="s">
        <v>23272</v>
      </c>
      <c r="T1198" t="s">
        <v>23273</v>
      </c>
      <c r="U1198" t="s">
        <v>23274</v>
      </c>
      <c r="V1198">
        <f>-616.74471095584 -48.1947783434173 -93.205498477067</f>
        <v>-758.14498777632423</v>
      </c>
      <c r="W1198" t="s">
        <v>23275</v>
      </c>
      <c r="X1198" t="s">
        <v>23276</v>
      </c>
      <c r="Y1198" t="s">
        <v>23277</v>
      </c>
    </row>
    <row r="1199" spans="1:25" x14ac:dyDescent="0.3">
      <c r="A1199">
        <v>59900</v>
      </c>
      <c r="B1199" t="s">
        <v>23278</v>
      </c>
      <c r="C1199" t="s">
        <v>23279</v>
      </c>
      <c r="D1199" t="s">
        <v>23280</v>
      </c>
      <c r="E1199" t="s">
        <v>23281</v>
      </c>
      <c r="F1199" t="s">
        <v>23282</v>
      </c>
      <c r="G1199" t="s">
        <v>23283</v>
      </c>
      <c r="H1199" t="s">
        <v>23284</v>
      </c>
      <c r="I1199" t="s">
        <v>23285</v>
      </c>
      <c r="J1199" t="s">
        <v>23286</v>
      </c>
      <c r="K1199" t="s">
        <v>23287</v>
      </c>
      <c r="L1199" t="s">
        <v>23288</v>
      </c>
      <c r="M1199" t="s">
        <v>23289</v>
      </c>
      <c r="N1199" t="s">
        <v>23290</v>
      </c>
      <c r="O1199">
        <f>-709.790516402728 -143.265178427603 -499.389678581678</f>
        <v>-1352.4453734120091</v>
      </c>
      <c r="P1199">
        <f>-750.894689125879 -146.578117698075 -220.323356535989</f>
        <v>-1117.796163359943</v>
      </c>
      <c r="Q1199">
        <f>-519.523569384955 -160.312224421613 -235.39971662834</f>
        <v>-915.23551043490795</v>
      </c>
      <c r="R1199" t="s">
        <v>23291</v>
      </c>
      <c r="S1199" t="s">
        <v>23292</v>
      </c>
      <c r="T1199" t="s">
        <v>23293</v>
      </c>
      <c r="U1199" t="s">
        <v>23294</v>
      </c>
      <c r="V1199">
        <f>-616.575651965814 -48.583287105871 -93.220798450442</f>
        <v>-758.37973752212702</v>
      </c>
      <c r="W1199" t="s">
        <v>23295</v>
      </c>
      <c r="X1199" t="s">
        <v>23296</v>
      </c>
      <c r="Y1199" t="s">
        <v>23297</v>
      </c>
    </row>
    <row r="1200" spans="1:25" x14ac:dyDescent="0.3">
      <c r="A1200">
        <v>59950</v>
      </c>
      <c r="B1200" t="s">
        <v>23298</v>
      </c>
      <c r="C1200" t="s">
        <v>23299</v>
      </c>
      <c r="D1200" t="s">
        <v>23300</v>
      </c>
      <c r="E1200" t="s">
        <v>23301</v>
      </c>
      <c r="F1200" t="s">
        <v>23302</v>
      </c>
      <c r="G1200" t="s">
        <v>23303</v>
      </c>
      <c r="H1200" t="s">
        <v>23304</v>
      </c>
      <c r="I1200" t="s">
        <v>23305</v>
      </c>
      <c r="J1200" t="s">
        <v>23306</v>
      </c>
      <c r="K1200" t="s">
        <v>23307</v>
      </c>
      <c r="L1200" t="s">
        <v>23308</v>
      </c>
      <c r="M1200" t="s">
        <v>23309</v>
      </c>
      <c r="N1200" t="s">
        <v>23310</v>
      </c>
      <c r="O1200">
        <f>-709.673877263559 -143.397158473035 -499.41594599929</f>
        <v>-1352.486981735884</v>
      </c>
      <c r="P1200">
        <f>-749.546598058476 -147.494830156463 -220.18130592335</f>
        <v>-1117.2227341382891</v>
      </c>
      <c r="Q1200">
        <f>-518.348283922651 -158.387980266327 -239.603553577512</f>
        <v>-916.33981776649</v>
      </c>
      <c r="R1200" t="s">
        <v>23311</v>
      </c>
      <c r="S1200" t="s">
        <v>23312</v>
      </c>
      <c r="T1200" t="s">
        <v>23313</v>
      </c>
      <c r="U1200" t="s">
        <v>23314</v>
      </c>
      <c r="V1200">
        <f>-616.472286391611 -48.5787360662264 -93.2089433028611</f>
        <v>-758.25996576069849</v>
      </c>
      <c r="W1200" t="s">
        <v>23315</v>
      </c>
      <c r="X1200" t="s">
        <v>23316</v>
      </c>
      <c r="Y1200" t="s">
        <v>23317</v>
      </c>
    </row>
    <row r="1201" spans="1:25" x14ac:dyDescent="0.3">
      <c r="A1201">
        <v>60000</v>
      </c>
      <c r="B1201" t="s">
        <v>23318</v>
      </c>
      <c r="C1201" t="s">
        <v>23319</v>
      </c>
      <c r="D1201" t="s">
        <v>23320</v>
      </c>
      <c r="E1201" t="s">
        <v>23321</v>
      </c>
      <c r="F1201" t="s">
        <v>23322</v>
      </c>
      <c r="G1201" t="s">
        <v>23323</v>
      </c>
      <c r="H1201" t="s">
        <v>23324</v>
      </c>
      <c r="I1201" t="s">
        <v>23325</v>
      </c>
      <c r="J1201" t="s">
        <v>23326</v>
      </c>
      <c r="K1201" t="s">
        <v>23327</v>
      </c>
      <c r="L1201" t="s">
        <v>23328</v>
      </c>
      <c r="M1201" t="s">
        <v>23329</v>
      </c>
      <c r="N1201" t="s">
        <v>23330</v>
      </c>
      <c r="O1201">
        <f>-709.685381283844 -143.509139376475 -499.599380949205</f>
        <v>-1352.793901609524</v>
      </c>
      <c r="P1201">
        <f>-747.260242478855 -150.028721596743 -220.09218609775</f>
        <v>-1117.381150173348</v>
      </c>
      <c r="Q1201">
        <f>-516.715450485898 -153.894596169206 -248.068968734293</f>
        <v>-918.67901538939702</v>
      </c>
      <c r="R1201" t="s">
        <v>23331</v>
      </c>
      <c r="S1201" t="s">
        <v>23332</v>
      </c>
      <c r="T1201" t="s">
        <v>23333</v>
      </c>
      <c r="U1201" t="s">
        <v>23334</v>
      </c>
      <c r="V1201">
        <f>-616.160439422188 -48.5448317613029 -93.1840744303798</f>
        <v>-757.88934561387077</v>
      </c>
      <c r="W1201" t="s">
        <v>23335</v>
      </c>
      <c r="X1201" t="s">
        <v>23336</v>
      </c>
      <c r="Y1201" t="s">
        <v>23337</v>
      </c>
    </row>
    <row r="1202" spans="1:25" x14ac:dyDescent="0.3">
      <c r="A1202">
        <v>60050</v>
      </c>
      <c r="B1202" t="s">
        <v>23338</v>
      </c>
      <c r="C1202" t="s">
        <v>23339</v>
      </c>
      <c r="D1202" t="s">
        <v>23340</v>
      </c>
      <c r="E1202" t="s">
        <v>23341</v>
      </c>
      <c r="F1202" t="s">
        <v>23342</v>
      </c>
      <c r="G1202" t="s">
        <v>23343</v>
      </c>
      <c r="H1202" t="s">
        <v>23344</v>
      </c>
      <c r="I1202" t="s">
        <v>23345</v>
      </c>
      <c r="J1202" t="s">
        <v>23346</v>
      </c>
      <c r="K1202" t="s">
        <v>23347</v>
      </c>
      <c r="L1202" t="s">
        <v>23348</v>
      </c>
      <c r="M1202" t="s">
        <v>23349</v>
      </c>
      <c r="N1202" t="s">
        <v>23350</v>
      </c>
      <c r="O1202">
        <f>-709.70974639458 -143.38829502978 -499.711198329588</f>
        <v>-1352.8092397539481</v>
      </c>
      <c r="P1202">
        <f>-746.322751066805 -151.310529884492 -220.11283504538</f>
        <v>-1117.746115996677</v>
      </c>
      <c r="Q1202">
        <f>-516.285707561045 -151.137100316662 -252.228975569896</f>
        <v>-919.65178344760295</v>
      </c>
      <c r="R1202" t="s">
        <v>23351</v>
      </c>
      <c r="S1202" t="s">
        <v>23352</v>
      </c>
      <c r="T1202" t="s">
        <v>23353</v>
      </c>
      <c r="U1202" t="s">
        <v>23354</v>
      </c>
      <c r="V1202">
        <f>-615.962932862702 -48.5324875965832 -93.1820524697093</f>
        <v>-757.67747292899458</v>
      </c>
      <c r="W1202" t="s">
        <v>23355</v>
      </c>
      <c r="X1202" t="s">
        <v>23356</v>
      </c>
      <c r="Y1202" t="s">
        <v>23357</v>
      </c>
    </row>
    <row r="1203" spans="1:25" x14ac:dyDescent="0.3">
      <c r="A1203">
        <v>60100</v>
      </c>
      <c r="B1203" t="s">
        <v>23358</v>
      </c>
      <c r="C1203" t="s">
        <v>23359</v>
      </c>
      <c r="D1203" t="s">
        <v>23360</v>
      </c>
      <c r="E1203" t="s">
        <v>23361</v>
      </c>
      <c r="F1203" t="s">
        <v>23362</v>
      </c>
      <c r="G1203" t="s">
        <v>23363</v>
      </c>
      <c r="H1203" t="s">
        <v>23364</v>
      </c>
      <c r="I1203" t="s">
        <v>23365</v>
      </c>
      <c r="J1203" t="s">
        <v>23366</v>
      </c>
      <c r="K1203" t="s">
        <v>23367</v>
      </c>
      <c r="L1203" t="s">
        <v>23368</v>
      </c>
      <c r="M1203" t="s">
        <v>23369</v>
      </c>
      <c r="N1203" t="s">
        <v>23370</v>
      </c>
      <c r="O1203">
        <f>-709.845894989917 -143.177383391987 -499.704625452475</f>
        <v>-1352.727903834379</v>
      </c>
      <c r="P1203">
        <f>-744.641205933691 -152.123158149846 -219.904948409574</f>
        <v>-1116.669312493111</v>
      </c>
      <c r="Q1203">
        <f>-515.951477699283 -145.017756549341 -259.893063854536</f>
        <v>-920.86229810316013</v>
      </c>
      <c r="R1203" t="s">
        <v>23371</v>
      </c>
      <c r="S1203" t="s">
        <v>23372</v>
      </c>
      <c r="T1203" t="s">
        <v>23373</v>
      </c>
      <c r="U1203" t="s">
        <v>23374</v>
      </c>
      <c r="V1203">
        <f>-615.561120526178 -48.4809067880897 -93.145241725309</f>
        <v>-757.18726903957668</v>
      </c>
      <c r="W1203" t="s">
        <v>23375</v>
      </c>
      <c r="X1203" t="s">
        <v>23376</v>
      </c>
      <c r="Y1203" t="s">
        <v>23377</v>
      </c>
    </row>
    <row r="1204" spans="1:25" x14ac:dyDescent="0.3">
      <c r="A1204">
        <v>60150</v>
      </c>
      <c r="B1204" t="s">
        <v>23378</v>
      </c>
      <c r="C1204" t="s">
        <v>23379</v>
      </c>
      <c r="D1204" t="s">
        <v>23380</v>
      </c>
      <c r="E1204" t="s">
        <v>23381</v>
      </c>
      <c r="F1204" t="s">
        <v>23382</v>
      </c>
      <c r="G1204" t="s">
        <v>23383</v>
      </c>
      <c r="H1204" t="s">
        <v>23384</v>
      </c>
      <c r="I1204" t="s">
        <v>23385</v>
      </c>
      <c r="J1204" t="s">
        <v>23386</v>
      </c>
      <c r="K1204" t="s">
        <v>23387</v>
      </c>
      <c r="L1204" t="s">
        <v>23388</v>
      </c>
      <c r="M1204" t="s">
        <v>23389</v>
      </c>
      <c r="N1204" t="s">
        <v>23390</v>
      </c>
      <c r="O1204">
        <f>-710.155485831019 -143.027545367872 -499.802419073549</f>
        <v>-1352.9854502724399</v>
      </c>
      <c r="P1204">
        <f>-744.483124128028 -151.537697574543 -219.931484527032</f>
        <v>-1115.952306229603</v>
      </c>
      <c r="Q1204">
        <f>-516.567839471258 -142.817841756918 -263.830629982725</f>
        <v>-923.21631121090104</v>
      </c>
      <c r="R1204" t="s">
        <v>23391</v>
      </c>
      <c r="S1204" t="s">
        <v>23392</v>
      </c>
      <c r="T1204" t="s">
        <v>23393</v>
      </c>
      <c r="U1204" t="s">
        <v>23394</v>
      </c>
      <c r="V1204">
        <f>-615.314408897102 -48.429818786818 -93.1239534161472</f>
        <v>-756.8681811000672</v>
      </c>
      <c r="W1204" t="s">
        <v>23395</v>
      </c>
      <c r="X1204" t="s">
        <v>23396</v>
      </c>
      <c r="Y1204" t="s">
        <v>23397</v>
      </c>
    </row>
    <row r="1205" spans="1:25" x14ac:dyDescent="0.3">
      <c r="A1205">
        <v>60200</v>
      </c>
      <c r="B1205" t="s">
        <v>23398</v>
      </c>
      <c r="C1205" t="s">
        <v>23399</v>
      </c>
      <c r="D1205" t="s">
        <v>23400</v>
      </c>
      <c r="E1205" t="s">
        <v>23401</v>
      </c>
      <c r="F1205" t="s">
        <v>23402</v>
      </c>
      <c r="G1205" t="s">
        <v>23403</v>
      </c>
      <c r="H1205" t="s">
        <v>23404</v>
      </c>
      <c r="I1205" t="s">
        <v>23405</v>
      </c>
      <c r="J1205" t="s">
        <v>23406</v>
      </c>
      <c r="K1205" t="s">
        <v>23407</v>
      </c>
      <c r="L1205" t="s">
        <v>23408</v>
      </c>
      <c r="M1205" t="s">
        <v>23409</v>
      </c>
      <c r="N1205" t="s">
        <v>23410</v>
      </c>
      <c r="O1205">
        <f>-710.865357137868 -143.012256169647 -499.7095662053</f>
        <v>-1353.5871795128151</v>
      </c>
      <c r="P1205">
        <f>-745.29037288936 -150.596925617087 -219.823977943338</f>
        <v>-1115.7112764497849</v>
      </c>
      <c r="Q1205">
        <f>-518.112248648692 -142.787198852749 -267.548411849683</f>
        <v>-928.44785935112407</v>
      </c>
      <c r="R1205" t="s">
        <v>23411</v>
      </c>
      <c r="S1205" t="s">
        <v>23412</v>
      </c>
      <c r="T1205" t="s">
        <v>23413</v>
      </c>
      <c r="U1205" t="s">
        <v>23414</v>
      </c>
      <c r="V1205">
        <f>-614.907846747686 -48.4319869652695 -93.0654089853945</f>
        <v>-756.40524269834998</v>
      </c>
      <c r="W1205" t="s">
        <v>23415</v>
      </c>
      <c r="X1205" t="s">
        <v>23416</v>
      </c>
      <c r="Y1205" t="s">
        <v>23417</v>
      </c>
    </row>
    <row r="1206" spans="1:25" x14ac:dyDescent="0.3">
      <c r="A1206">
        <v>60250</v>
      </c>
      <c r="B1206" t="s">
        <v>23418</v>
      </c>
      <c r="C1206" t="s">
        <v>23419</v>
      </c>
      <c r="D1206" t="s">
        <v>23420</v>
      </c>
      <c r="E1206" t="s">
        <v>23421</v>
      </c>
      <c r="F1206" t="s">
        <v>23422</v>
      </c>
      <c r="G1206" t="s">
        <v>23423</v>
      </c>
      <c r="H1206" t="s">
        <v>23424</v>
      </c>
      <c r="I1206" t="s">
        <v>23425</v>
      </c>
      <c r="J1206" t="s">
        <v>23426</v>
      </c>
      <c r="K1206" t="s">
        <v>23427</v>
      </c>
      <c r="L1206" t="s">
        <v>23428</v>
      </c>
      <c r="M1206" t="s">
        <v>23429</v>
      </c>
      <c r="N1206" t="s">
        <v>23430</v>
      </c>
      <c r="O1206">
        <f>-711.273151535011 -143.095964594331 -499.493873700057</f>
        <v>-1353.8629898293991</v>
      </c>
      <c r="P1206">
        <f>-745.577398579644 -150.538610080275 -219.589581383711</f>
        <v>-1115.7055900436299</v>
      </c>
      <c r="Q1206">
        <f>-518.339764940603 -143.95456770073 -267.2155523272</f>
        <v>-929.50988496853302</v>
      </c>
      <c r="R1206" t="s">
        <v>23431</v>
      </c>
      <c r="S1206" t="s">
        <v>23432</v>
      </c>
      <c r="T1206" t="s">
        <v>23433</v>
      </c>
      <c r="U1206" t="s">
        <v>23434</v>
      </c>
      <c r="V1206">
        <f>-614.852950005873 -48.4563807942297 -93.0337427934975</f>
        <v>-756.34307359360025</v>
      </c>
      <c r="W1206" t="s">
        <v>23435</v>
      </c>
      <c r="X1206" t="s">
        <v>23436</v>
      </c>
      <c r="Y1206" t="s">
        <v>23437</v>
      </c>
    </row>
    <row r="1207" spans="1:25" x14ac:dyDescent="0.3">
      <c r="A1207">
        <v>60300</v>
      </c>
      <c r="B1207" t="s">
        <v>23438</v>
      </c>
      <c r="C1207" t="s">
        <v>23439</v>
      </c>
      <c r="D1207" t="s">
        <v>23440</v>
      </c>
      <c r="E1207" t="s">
        <v>23441</v>
      </c>
      <c r="F1207" t="s">
        <v>23442</v>
      </c>
      <c r="G1207" t="s">
        <v>23443</v>
      </c>
      <c r="H1207" t="s">
        <v>23444</v>
      </c>
      <c r="I1207" t="s">
        <v>23445</v>
      </c>
      <c r="J1207" t="s">
        <v>23446</v>
      </c>
      <c r="K1207" t="s">
        <v>23447</v>
      </c>
      <c r="L1207" t="s">
        <v>23448</v>
      </c>
      <c r="M1207" t="s">
        <v>23449</v>
      </c>
      <c r="N1207" t="s">
        <v>23450</v>
      </c>
      <c r="O1207">
        <f>-712.596862658322 -143.348431509883 -498.909113370042</f>
        <v>-1354.854407538247</v>
      </c>
      <c r="P1207">
        <f>-744.665236376037 -150.852666129316 -218.741536496787</f>
        <v>-1114.25943900214</v>
      </c>
      <c r="Q1207">
        <f>-517.557312554334 -147.086133179341 -267.283738645481</f>
        <v>-931.92718437915596</v>
      </c>
      <c r="R1207" t="s">
        <v>23451</v>
      </c>
      <c r="S1207" t="s">
        <v>23452</v>
      </c>
      <c r="T1207" t="s">
        <v>23453</v>
      </c>
      <c r="U1207" t="s">
        <v>23454</v>
      </c>
      <c r="V1207">
        <f>-615.060078032347 -48.3583646638569 -92.9464868252527</f>
        <v>-756.36492952145659</v>
      </c>
      <c r="W1207" t="s">
        <v>23455</v>
      </c>
      <c r="X1207" t="s">
        <v>23456</v>
      </c>
      <c r="Y1207" t="s">
        <v>23457</v>
      </c>
    </row>
    <row r="1208" spans="1:25" x14ac:dyDescent="0.3">
      <c r="A1208">
        <v>60350</v>
      </c>
      <c r="B1208" t="s">
        <v>23458</v>
      </c>
      <c r="C1208" t="s">
        <v>23459</v>
      </c>
      <c r="D1208" t="s">
        <v>23460</v>
      </c>
      <c r="E1208" t="s">
        <v>23461</v>
      </c>
      <c r="F1208" t="s">
        <v>23462</v>
      </c>
      <c r="G1208" t="s">
        <v>23463</v>
      </c>
      <c r="H1208" t="s">
        <v>23464</v>
      </c>
      <c r="I1208" t="s">
        <v>23465</v>
      </c>
      <c r="J1208" t="s">
        <v>23466</v>
      </c>
      <c r="K1208" t="s">
        <v>23467</v>
      </c>
      <c r="L1208" t="s">
        <v>23468</v>
      </c>
      <c r="M1208" t="s">
        <v>23469</v>
      </c>
      <c r="N1208" t="s">
        <v>23470</v>
      </c>
      <c r="O1208">
        <f>-713.485840183756 -143.485759032384 -498.564846405982</f>
        <v>-1355.5364456221221</v>
      </c>
      <c r="P1208">
        <f>-743.845220027409 -151.562798424171 -218.22283213693</f>
        <v>-1113.6308505885099</v>
      </c>
      <c r="Q1208">
        <f>-517.048824658537 -148.894447257705 -268.27085425127</f>
        <v>-934.21412616751195</v>
      </c>
      <c r="R1208" t="s">
        <v>23471</v>
      </c>
      <c r="S1208" t="s">
        <v>23472</v>
      </c>
      <c r="T1208" t="s">
        <v>23473</v>
      </c>
      <c r="U1208" t="s">
        <v>23474</v>
      </c>
      <c r="V1208">
        <f>-615.316165339819 -48.282318737251 -92.8994417100289</f>
        <v>-756.49792578709889</v>
      </c>
      <c r="W1208" t="s">
        <v>23475</v>
      </c>
      <c r="X1208" t="s">
        <v>23476</v>
      </c>
      <c r="Y1208" t="s">
        <v>23477</v>
      </c>
    </row>
    <row r="1209" spans="1:25" x14ac:dyDescent="0.3">
      <c r="A1209">
        <v>60400</v>
      </c>
      <c r="B1209" t="s">
        <v>23478</v>
      </c>
      <c r="C1209" t="s">
        <v>23479</v>
      </c>
      <c r="D1209" t="s">
        <v>23480</v>
      </c>
      <c r="E1209" t="s">
        <v>23481</v>
      </c>
      <c r="F1209" t="s">
        <v>23482</v>
      </c>
      <c r="G1209" t="s">
        <v>23483</v>
      </c>
      <c r="H1209" t="s">
        <v>23484</v>
      </c>
      <c r="I1209" t="s">
        <v>23485</v>
      </c>
      <c r="J1209" t="s">
        <v>23486</v>
      </c>
      <c r="K1209" t="s">
        <v>23487</v>
      </c>
      <c r="L1209" t="s">
        <v>23488</v>
      </c>
      <c r="M1209" t="s">
        <v>23489</v>
      </c>
      <c r="N1209" t="s">
        <v>23490</v>
      </c>
      <c r="O1209">
        <f>-715.354007586472 -143.673688713938 -497.883585710955</f>
        <v>-1356.9112820113651</v>
      </c>
      <c r="P1209">
        <f>-742.432256042738 -153.925251659022 -217.276791511263</f>
        <v>-1113.634299213023</v>
      </c>
      <c r="Q1209">
        <f>-516.885044108263 -151.390915534343 -272.689295987746</f>
        <v>-940.96525563035198</v>
      </c>
      <c r="R1209" t="s">
        <v>23491</v>
      </c>
      <c r="S1209" t="s">
        <v>23492</v>
      </c>
      <c r="T1209" t="s">
        <v>23493</v>
      </c>
      <c r="U1209" t="s">
        <v>23494</v>
      </c>
      <c r="V1209">
        <f>-616.046683341538 -48.0751766464052 -92.8442118565914</f>
        <v>-756.96607184453467</v>
      </c>
      <c r="W1209" t="s">
        <v>23495</v>
      </c>
      <c r="X1209" t="s">
        <v>23496</v>
      </c>
      <c r="Y1209" t="s">
        <v>23497</v>
      </c>
    </row>
    <row r="1210" spans="1:25" x14ac:dyDescent="0.3">
      <c r="A1210">
        <v>60450</v>
      </c>
      <c r="B1210" t="s">
        <v>23498</v>
      </c>
      <c r="C1210" t="s">
        <v>23499</v>
      </c>
      <c r="D1210" t="s">
        <v>23500</v>
      </c>
      <c r="E1210" t="s">
        <v>23501</v>
      </c>
      <c r="F1210" t="s">
        <v>23502</v>
      </c>
      <c r="G1210" t="s">
        <v>23503</v>
      </c>
      <c r="H1210" t="s">
        <v>23504</v>
      </c>
      <c r="I1210" t="s">
        <v>23505</v>
      </c>
      <c r="J1210" t="s">
        <v>23506</v>
      </c>
      <c r="K1210" t="s">
        <v>23507</v>
      </c>
      <c r="L1210" t="s">
        <v>23508</v>
      </c>
      <c r="M1210" t="s">
        <v>23509</v>
      </c>
      <c r="N1210" t="s">
        <v>23510</v>
      </c>
      <c r="O1210">
        <f>-716.248094153678 -143.589533478176 -497.614801273265</f>
        <v>-1357.4524289051192</v>
      </c>
      <c r="P1210">
        <f>-741.830556497249 -155.249947606298 -216.922637302827</f>
        <v>-1114.003141406374</v>
      </c>
      <c r="Q1210">
        <f>-516.962135137335 -150.292140963452 -274.872122462592</f>
        <v>-942.1263985633791</v>
      </c>
      <c r="R1210" t="s">
        <v>23511</v>
      </c>
      <c r="S1210" t="s">
        <v>23512</v>
      </c>
      <c r="T1210" t="s">
        <v>23513</v>
      </c>
      <c r="U1210" t="s">
        <v>23514</v>
      </c>
      <c r="V1210">
        <f>-616.490993522007 -47.9636188220625 -92.823712517526</f>
        <v>-757.27832486159548</v>
      </c>
      <c r="W1210" t="s">
        <v>23515</v>
      </c>
      <c r="X1210" t="s">
        <v>23516</v>
      </c>
      <c r="Y1210" t="s">
        <v>23517</v>
      </c>
    </row>
    <row r="1211" spans="1:25" x14ac:dyDescent="0.3">
      <c r="A1211">
        <v>60500</v>
      </c>
      <c r="B1211" t="s">
        <v>23518</v>
      </c>
      <c r="C1211" t="s">
        <v>23519</v>
      </c>
      <c r="D1211" t="s">
        <v>23520</v>
      </c>
      <c r="E1211" t="s">
        <v>23521</v>
      </c>
      <c r="F1211" t="s">
        <v>23522</v>
      </c>
      <c r="G1211" t="s">
        <v>23523</v>
      </c>
      <c r="H1211" t="s">
        <v>23524</v>
      </c>
      <c r="I1211" t="s">
        <v>23525</v>
      </c>
      <c r="J1211" t="s">
        <v>23526</v>
      </c>
      <c r="K1211" t="s">
        <v>23527</v>
      </c>
      <c r="L1211" t="s">
        <v>23528</v>
      </c>
      <c r="M1211" t="s">
        <v>23529</v>
      </c>
      <c r="N1211" t="s">
        <v>23530</v>
      </c>
      <c r="O1211">
        <f>-717.756372393427 -143.730454183879 -497.223270828078</f>
        <v>-1358.710097405384</v>
      </c>
      <c r="P1211">
        <f>-741.227651560702 -156.104440694661 -216.377060997471</f>
        <v>-1113.7091532528341</v>
      </c>
      <c r="Q1211">
        <f>-517.302388763022 -149.387059471972 -277.703246790479</f>
        <v>-944.3926950254729</v>
      </c>
      <c r="R1211" t="s">
        <v>23531</v>
      </c>
      <c r="S1211" t="s">
        <v>23532</v>
      </c>
      <c r="T1211" t="s">
        <v>23533</v>
      </c>
      <c r="U1211" t="s">
        <v>23534</v>
      </c>
      <c r="V1211">
        <f>-617.439499061607 -47.9840556043384 -92.8315509804169</f>
        <v>-758.25510564636227</v>
      </c>
      <c r="W1211" t="s">
        <v>23535</v>
      </c>
      <c r="X1211" t="s">
        <v>23536</v>
      </c>
      <c r="Y1211" t="s">
        <v>23537</v>
      </c>
    </row>
    <row r="1212" spans="1:25" x14ac:dyDescent="0.3">
      <c r="A1212">
        <v>60550</v>
      </c>
      <c r="B1212" t="s">
        <v>23538</v>
      </c>
      <c r="C1212" t="s">
        <v>23539</v>
      </c>
      <c r="D1212" t="s">
        <v>23540</v>
      </c>
      <c r="E1212" t="s">
        <v>23541</v>
      </c>
      <c r="F1212" t="s">
        <v>23542</v>
      </c>
      <c r="G1212" t="s">
        <v>23543</v>
      </c>
      <c r="H1212" t="s">
        <v>23544</v>
      </c>
      <c r="I1212" t="s">
        <v>23545</v>
      </c>
      <c r="J1212" t="s">
        <v>23546</v>
      </c>
      <c r="K1212" t="s">
        <v>23547</v>
      </c>
      <c r="L1212" t="s">
        <v>23548</v>
      </c>
      <c r="M1212" t="s">
        <v>23549</v>
      </c>
      <c r="N1212" t="s">
        <v>23550</v>
      </c>
      <c r="O1212">
        <f>-718.339667098307 -143.946653255992 -496.985749040154</f>
        <v>-1359.272069394453</v>
      </c>
      <c r="P1212">
        <f>-741.360473768006 -156.146623512206 -216.094649759874</f>
        <v>-1113.6017470400861</v>
      </c>
      <c r="Q1212">
        <f>-518.012114703282 -147.978792950829 -279.319141795555</f>
        <v>-945.31004944966594</v>
      </c>
      <c r="R1212" t="s">
        <v>23551</v>
      </c>
      <c r="S1212" t="s">
        <v>23552</v>
      </c>
      <c r="T1212" t="s">
        <v>23553</v>
      </c>
      <c r="U1212" t="s">
        <v>23554</v>
      </c>
      <c r="V1212">
        <f>-617.762512144133 -48.0699896342433 -92.8397312383643</f>
        <v>-758.67223301674051</v>
      </c>
      <c r="W1212" t="s">
        <v>23555</v>
      </c>
      <c r="X1212" t="s">
        <v>23556</v>
      </c>
      <c r="Y1212" t="s">
        <v>23557</v>
      </c>
    </row>
    <row r="1213" spans="1:25" x14ac:dyDescent="0.3">
      <c r="A1213">
        <v>60600</v>
      </c>
      <c r="B1213" t="s">
        <v>23558</v>
      </c>
      <c r="C1213" t="s">
        <v>23559</v>
      </c>
      <c r="D1213" t="s">
        <v>23560</v>
      </c>
      <c r="E1213" t="s">
        <v>23561</v>
      </c>
      <c r="F1213" t="s">
        <v>23562</v>
      </c>
      <c r="G1213" t="s">
        <v>23563</v>
      </c>
      <c r="H1213" t="s">
        <v>23564</v>
      </c>
      <c r="I1213" t="s">
        <v>23565</v>
      </c>
      <c r="J1213" t="s">
        <v>23566</v>
      </c>
      <c r="K1213" t="s">
        <v>23567</v>
      </c>
      <c r="L1213" t="s">
        <v>23568</v>
      </c>
      <c r="M1213" t="s">
        <v>23569</v>
      </c>
      <c r="N1213" t="s">
        <v>23570</v>
      </c>
      <c r="O1213">
        <f>-719.662323073897 -144.4449507352 -496.595401414079</f>
        <v>-1360.7026752231759</v>
      </c>
      <c r="P1213">
        <f>-742.489192429636 -155.601111279032 -215.645046793001</f>
        <v>-1113.735350501669</v>
      </c>
      <c r="Q1213">
        <f>-519.78789213503 -144.740515914471 -280.719846840988</f>
        <v>-945.24825489048897</v>
      </c>
      <c r="R1213" t="s">
        <v>23571</v>
      </c>
      <c r="S1213" t="s">
        <v>23572</v>
      </c>
      <c r="T1213" t="s">
        <v>23573</v>
      </c>
      <c r="U1213" t="s">
        <v>23574</v>
      </c>
      <c r="V1213">
        <f>-618.110276250785 -48.4234013491352 -92.8984918739618</f>
        <v>-759.43216947388203</v>
      </c>
      <c r="W1213" t="s">
        <v>23575</v>
      </c>
      <c r="X1213" t="s">
        <v>23576</v>
      </c>
      <c r="Y1213" t="s">
        <v>23577</v>
      </c>
    </row>
    <row r="1214" spans="1:25" x14ac:dyDescent="0.3">
      <c r="A1214">
        <v>60650</v>
      </c>
      <c r="B1214" t="s">
        <v>23578</v>
      </c>
      <c r="C1214" t="s">
        <v>23579</v>
      </c>
      <c r="D1214" t="s">
        <v>23580</v>
      </c>
      <c r="E1214" t="s">
        <v>23581</v>
      </c>
      <c r="F1214" t="s">
        <v>23582</v>
      </c>
      <c r="G1214" t="s">
        <v>23583</v>
      </c>
      <c r="H1214" t="s">
        <v>23584</v>
      </c>
      <c r="I1214" t="s">
        <v>23585</v>
      </c>
      <c r="J1214" t="s">
        <v>23586</v>
      </c>
      <c r="K1214" t="s">
        <v>23587</v>
      </c>
      <c r="L1214" t="s">
        <v>23588</v>
      </c>
      <c r="M1214" t="s">
        <v>23589</v>
      </c>
      <c r="N1214" t="s">
        <v>23590</v>
      </c>
      <c r="O1214">
        <f>-720.459978078644 -144.682846067878 -496.387369308388</f>
        <v>-1361.53019345491</v>
      </c>
      <c r="P1214">
        <f>-743.453253009972 -154.504904121011 -215.400845151226</f>
        <v>-1113.3590022822091</v>
      </c>
      <c r="Q1214">
        <f>-520.798055124977 -143.162667085806 -280.551159122162</f>
        <v>-944.51188133294499</v>
      </c>
      <c r="R1214" t="s">
        <v>23591</v>
      </c>
      <c r="S1214" t="s">
        <v>23592</v>
      </c>
      <c r="T1214" t="s">
        <v>23593</v>
      </c>
      <c r="U1214" t="s">
        <v>23594</v>
      </c>
      <c r="V1214">
        <f>-618.290037921401 -48.7334951824505 -92.9226999124899</f>
        <v>-759.94623301634135</v>
      </c>
      <c r="W1214" t="s">
        <v>23595</v>
      </c>
      <c r="X1214" t="s">
        <v>23596</v>
      </c>
      <c r="Y1214" t="s">
        <v>23597</v>
      </c>
    </row>
    <row r="1215" spans="1:25" x14ac:dyDescent="0.3">
      <c r="A1215">
        <v>60700</v>
      </c>
      <c r="B1215" t="s">
        <v>23578</v>
      </c>
      <c r="C1215" t="s">
        <v>23579</v>
      </c>
      <c r="D1215" t="s">
        <v>23580</v>
      </c>
      <c r="E1215" t="s">
        <v>23581</v>
      </c>
      <c r="F1215" t="s">
        <v>23582</v>
      </c>
      <c r="G1215" t="s">
        <v>23583</v>
      </c>
      <c r="H1215" t="s">
        <v>23584</v>
      </c>
      <c r="I1215" t="s">
        <v>23585</v>
      </c>
      <c r="J1215" t="s">
        <v>23586</v>
      </c>
      <c r="K1215" t="s">
        <v>23587</v>
      </c>
      <c r="L1215" t="s">
        <v>23588</v>
      </c>
      <c r="M1215" t="s">
        <v>23589</v>
      </c>
      <c r="N1215" t="s">
        <v>23590</v>
      </c>
      <c r="O1215">
        <f>-720.459978078644 -144.682846067878 -496.387369308388</f>
        <v>-1361.53019345491</v>
      </c>
      <c r="P1215">
        <f>-743.453253009972 -154.504904121011 -215.400845151226</f>
        <v>-1113.3590022822091</v>
      </c>
      <c r="Q1215">
        <f>-520.798055124977 -143.162667085806 -280.551159122162</f>
        <v>-944.51188133294499</v>
      </c>
      <c r="R1215" t="s">
        <v>23591</v>
      </c>
      <c r="S1215" t="s">
        <v>23592</v>
      </c>
      <c r="T1215" t="s">
        <v>23593</v>
      </c>
      <c r="U1215" t="s">
        <v>23594</v>
      </c>
      <c r="V1215">
        <f>-618.290037921401 -48.7334951824505 -92.9226999124899</f>
        <v>-759.94623301634135</v>
      </c>
      <c r="W1215" t="s">
        <v>23595</v>
      </c>
      <c r="X1215" t="s">
        <v>23596</v>
      </c>
      <c r="Y1215" t="s">
        <v>23597</v>
      </c>
    </row>
    <row r="1216" spans="1:25" x14ac:dyDescent="0.3">
      <c r="A1216">
        <v>60750</v>
      </c>
      <c r="B1216" t="s">
        <v>23598</v>
      </c>
      <c r="C1216" t="s">
        <v>23599</v>
      </c>
      <c r="D1216" t="s">
        <v>23600</v>
      </c>
      <c r="E1216" t="s">
        <v>23601</v>
      </c>
      <c r="F1216" t="s">
        <v>23602</v>
      </c>
      <c r="G1216" t="s">
        <v>23603</v>
      </c>
      <c r="H1216" t="s">
        <v>23604</v>
      </c>
      <c r="I1216" t="s">
        <v>23605</v>
      </c>
      <c r="J1216" t="s">
        <v>23606</v>
      </c>
      <c r="K1216" t="s">
        <v>23607</v>
      </c>
      <c r="L1216" t="s">
        <v>23608</v>
      </c>
      <c r="M1216" t="s">
        <v>23609</v>
      </c>
      <c r="N1216" t="s">
        <v>23610</v>
      </c>
      <c r="O1216">
        <f>-722.856238502696 -145.52068576876 -496.113841430961</f>
        <v>-1364.4907657024169</v>
      </c>
      <c r="P1216">
        <f>-748.296134978813 -154.520902489682 -215.310650053992</f>
        <v>-1118.1276875224871</v>
      </c>
      <c r="Q1216">
        <f>-525.044163527521 -140.014579557315 -277.733864148415</f>
        <v>-942.79260723325103</v>
      </c>
      <c r="R1216" t="s">
        <v>23611</v>
      </c>
      <c r="S1216" t="s">
        <v>23612</v>
      </c>
      <c r="T1216" t="s">
        <v>23613</v>
      </c>
      <c r="U1216" t="s">
        <v>23614</v>
      </c>
      <c r="V1216">
        <f>-619.383082340419 -49.2991643889179 -92.9799880461527</f>
        <v>-761.66223477548965</v>
      </c>
      <c r="W1216" t="s">
        <v>23615</v>
      </c>
      <c r="X1216" t="s">
        <v>23616</v>
      </c>
      <c r="Y1216" t="s">
        <v>23617</v>
      </c>
    </row>
    <row r="1217" spans="1:25" x14ac:dyDescent="0.3">
      <c r="A1217">
        <v>60800</v>
      </c>
      <c r="B1217" t="s">
        <v>23618</v>
      </c>
      <c r="C1217" t="s">
        <v>23619</v>
      </c>
      <c r="D1217" t="s">
        <v>23620</v>
      </c>
      <c r="E1217" t="s">
        <v>23621</v>
      </c>
      <c r="F1217" t="s">
        <v>23622</v>
      </c>
      <c r="G1217" t="s">
        <v>23623</v>
      </c>
      <c r="H1217" t="s">
        <v>23624</v>
      </c>
      <c r="I1217" t="s">
        <v>23625</v>
      </c>
      <c r="J1217" t="s">
        <v>23626</v>
      </c>
      <c r="K1217" t="s">
        <v>23627</v>
      </c>
      <c r="L1217" t="s">
        <v>23628</v>
      </c>
      <c r="M1217" t="s">
        <v>23629</v>
      </c>
      <c r="N1217" t="s">
        <v>23630</v>
      </c>
      <c r="O1217">
        <f>-724.383351421614 -145.646745111215 -496.044818275967</f>
        <v>-1366.0749148087959</v>
      </c>
      <c r="P1217">
        <f>-751.473791557634 -153.570401143125 -215.363571389015</f>
        <v>-1120.407764089774</v>
      </c>
      <c r="Q1217">
        <f>-527.631120834221 -138.338325365831 -275.454950904871</f>
        <v>-941.42439710492295</v>
      </c>
      <c r="R1217" t="s">
        <v>23631</v>
      </c>
      <c r="S1217" t="s">
        <v>23632</v>
      </c>
      <c r="T1217" t="s">
        <v>23633</v>
      </c>
      <c r="U1217" t="s">
        <v>23634</v>
      </c>
      <c r="V1217">
        <f>-620.376285049417 -49.3069396578885 -93.039661488218</f>
        <v>-762.72288619552353</v>
      </c>
      <c r="W1217" t="s">
        <v>23635</v>
      </c>
      <c r="X1217" t="s">
        <v>23636</v>
      </c>
      <c r="Y1217" t="s">
        <v>23637</v>
      </c>
    </row>
    <row r="1218" spans="1:25" x14ac:dyDescent="0.3">
      <c r="A1218">
        <v>60850</v>
      </c>
      <c r="B1218" t="s">
        <v>23638</v>
      </c>
      <c r="C1218" t="s">
        <v>23639</v>
      </c>
      <c r="D1218" t="s">
        <v>23640</v>
      </c>
      <c r="E1218" t="s">
        <v>23641</v>
      </c>
      <c r="F1218" t="s">
        <v>23642</v>
      </c>
      <c r="G1218" t="s">
        <v>23643</v>
      </c>
      <c r="H1218" t="s">
        <v>23644</v>
      </c>
      <c r="I1218" t="s">
        <v>23645</v>
      </c>
      <c r="J1218" t="s">
        <v>23646</v>
      </c>
      <c r="K1218" t="s">
        <v>23647</v>
      </c>
      <c r="L1218" t="s">
        <v>23648</v>
      </c>
      <c r="M1218" t="s">
        <v>23649</v>
      </c>
      <c r="N1218" t="s">
        <v>23650</v>
      </c>
      <c r="O1218">
        <f>-725.104646497697 -145.652338970387 -495.909637018555</f>
        <v>-1366.666622486639</v>
      </c>
      <c r="P1218">
        <f>-752.744785853303 -153.262302769967 -215.273410074652</f>
        <v>-1121.280498697922</v>
      </c>
      <c r="Q1218">
        <f>-528.735335657157 -137.732638518589 -274.663122289676</f>
        <v>-941.13109646542193</v>
      </c>
      <c r="R1218" t="s">
        <v>23651</v>
      </c>
      <c r="S1218" t="s">
        <v>23652</v>
      </c>
      <c r="T1218" t="s">
        <v>23653</v>
      </c>
      <c r="U1218" t="s">
        <v>23654</v>
      </c>
      <c r="V1218">
        <f>-620.902650676826 -49.2869052750966 -93.0735628638862</f>
        <v>-763.26311881580887</v>
      </c>
      <c r="W1218" t="s">
        <v>23655</v>
      </c>
      <c r="X1218" t="s">
        <v>23656</v>
      </c>
      <c r="Y1218" t="s">
        <v>23657</v>
      </c>
    </row>
    <row r="1219" spans="1:25" x14ac:dyDescent="0.3">
      <c r="A1219">
        <v>60900</v>
      </c>
      <c r="B1219" t="s">
        <v>23658</v>
      </c>
      <c r="C1219" t="s">
        <v>23659</v>
      </c>
      <c r="D1219" t="s">
        <v>23660</v>
      </c>
      <c r="E1219" t="s">
        <v>23661</v>
      </c>
      <c r="F1219" t="s">
        <v>23662</v>
      </c>
      <c r="G1219" t="s">
        <v>23663</v>
      </c>
      <c r="H1219" t="s">
        <v>23664</v>
      </c>
      <c r="I1219" t="s">
        <v>23665</v>
      </c>
      <c r="J1219" t="s">
        <v>23666</v>
      </c>
      <c r="K1219" t="s">
        <v>23667</v>
      </c>
      <c r="L1219" t="s">
        <v>23668</v>
      </c>
      <c r="M1219" t="s">
        <v>23669</v>
      </c>
      <c r="N1219" t="s">
        <v>23670</v>
      </c>
      <c r="O1219">
        <f>-727.234445400649 -145.255246518908 -495.856028955842</f>
        <v>-1368.3457208753989</v>
      </c>
      <c r="P1219">
        <f>-754.178078330037 -153.356003430307 -215.165936141847</f>
        <v>-1122.7000179021909</v>
      </c>
      <c r="Q1219">
        <f>-529.599181431139 -135.778731858156 -271.769059531147</f>
        <v>-937.14697282044199</v>
      </c>
      <c r="R1219" t="s">
        <v>23671</v>
      </c>
      <c r="S1219" t="s">
        <v>23672</v>
      </c>
      <c r="T1219" t="s">
        <v>23673</v>
      </c>
      <c r="U1219" t="s">
        <v>23674</v>
      </c>
      <c r="V1219">
        <f>-621.885908304817 -49.3299323603749 -93.0957634365691</f>
        <v>-764.31160410176096</v>
      </c>
      <c r="W1219" t="s">
        <v>23675</v>
      </c>
      <c r="X1219" t="s">
        <v>23676</v>
      </c>
      <c r="Y1219" t="s">
        <v>23677</v>
      </c>
    </row>
    <row r="1220" spans="1:25" x14ac:dyDescent="0.3">
      <c r="A1220">
        <v>60950</v>
      </c>
      <c r="B1220" t="s">
        <v>23678</v>
      </c>
      <c r="C1220" t="s">
        <v>23679</v>
      </c>
      <c r="D1220" t="s">
        <v>23680</v>
      </c>
      <c r="E1220" t="s">
        <v>23681</v>
      </c>
      <c r="F1220" t="s">
        <v>23682</v>
      </c>
      <c r="G1220" t="s">
        <v>23683</v>
      </c>
      <c r="H1220" t="s">
        <v>23684</v>
      </c>
      <c r="I1220" t="s">
        <v>23685</v>
      </c>
      <c r="J1220" t="s">
        <v>23686</v>
      </c>
      <c r="K1220" t="s">
        <v>23687</v>
      </c>
      <c r="L1220" t="s">
        <v>23688</v>
      </c>
      <c r="M1220" t="s">
        <v>23689</v>
      </c>
      <c r="N1220" t="s">
        <v>23690</v>
      </c>
      <c r="O1220">
        <f>-728.356943741523 -145.025552597716 -495.936897163703</f>
        <v>-1369.3193935029419</v>
      </c>
      <c r="P1220">
        <f>-755.281765664087 -152.499691765654 -215.227448418952</f>
        <v>-1123.0089058486928</v>
      </c>
      <c r="Q1220">
        <f>-530.113516029947 -134.754622698831 -269.383658895886</f>
        <v>-934.25179762466405</v>
      </c>
      <c r="R1220" t="s">
        <v>23691</v>
      </c>
      <c r="S1220" t="s">
        <v>23692</v>
      </c>
      <c r="T1220" t="s">
        <v>23693</v>
      </c>
      <c r="U1220" t="s">
        <v>23694</v>
      </c>
      <c r="V1220">
        <f>-622.402913504938 -49.498863835393 -93.0901295510937</f>
        <v>-764.99190689142472</v>
      </c>
      <c r="W1220" t="s">
        <v>23695</v>
      </c>
      <c r="X1220" t="s">
        <v>23696</v>
      </c>
      <c r="Y1220" t="s">
        <v>23697</v>
      </c>
    </row>
    <row r="1221" spans="1:25" x14ac:dyDescent="0.3">
      <c r="A1221">
        <v>61000</v>
      </c>
      <c r="B1221" t="s">
        <v>23698</v>
      </c>
      <c r="C1221" t="s">
        <v>23699</v>
      </c>
      <c r="D1221" t="s">
        <v>23700</v>
      </c>
      <c r="E1221" t="s">
        <v>23701</v>
      </c>
      <c r="F1221" t="s">
        <v>23702</v>
      </c>
      <c r="G1221" t="s">
        <v>23703</v>
      </c>
      <c r="H1221" t="s">
        <v>23704</v>
      </c>
      <c r="I1221" t="s">
        <v>23705</v>
      </c>
      <c r="J1221" t="s">
        <v>23706</v>
      </c>
      <c r="K1221" t="s">
        <v>23707</v>
      </c>
      <c r="L1221" t="s">
        <v>23708</v>
      </c>
      <c r="M1221" t="s">
        <v>23709</v>
      </c>
      <c r="N1221" t="s">
        <v>23710</v>
      </c>
      <c r="O1221">
        <f>-729.655948880805 -145.010896225443 -496.118999274448</f>
        <v>-1370.7858443806961</v>
      </c>
      <c r="P1221">
        <f>-759.027953952133 -149.469471303508 -215.590947050203</f>
        <v>-1124.0883723058441</v>
      </c>
      <c r="Q1221">
        <f>-532.365426373735 -133.940488711459 -263.876421954722</f>
        <v>-930.18233703991598</v>
      </c>
      <c r="R1221" t="s">
        <v>23711</v>
      </c>
      <c r="S1221" t="s">
        <v>23712</v>
      </c>
      <c r="T1221" t="s">
        <v>23713</v>
      </c>
      <c r="U1221" t="s">
        <v>23714</v>
      </c>
      <c r="V1221">
        <f>-623.165740362174 -49.8833910928668 -93.0903140459402</f>
        <v>-766.13944550098097</v>
      </c>
      <c r="W1221" t="s">
        <v>23715</v>
      </c>
      <c r="X1221" t="s">
        <v>23716</v>
      </c>
      <c r="Y1221" t="s">
        <v>23717</v>
      </c>
    </row>
    <row r="1222" spans="1:25" x14ac:dyDescent="0.3">
      <c r="A1222">
        <v>61050</v>
      </c>
      <c r="B1222" t="s">
        <v>23718</v>
      </c>
      <c r="C1222" t="s">
        <v>23719</v>
      </c>
      <c r="D1222" t="s">
        <v>23720</v>
      </c>
      <c r="E1222" t="s">
        <v>23721</v>
      </c>
      <c r="F1222" t="s">
        <v>23722</v>
      </c>
      <c r="G1222" t="s">
        <v>23723</v>
      </c>
      <c r="H1222" t="s">
        <v>23724</v>
      </c>
      <c r="I1222" t="s">
        <v>23725</v>
      </c>
      <c r="J1222" t="s">
        <v>23726</v>
      </c>
      <c r="K1222" t="s">
        <v>23727</v>
      </c>
      <c r="L1222" t="s">
        <v>23728</v>
      </c>
      <c r="M1222" t="s">
        <v>23729</v>
      </c>
      <c r="N1222" t="s">
        <v>23730</v>
      </c>
      <c r="O1222">
        <f>-729.998556002858 -145.188653845497 -496.227923965128</f>
        <v>-1371.415133813483</v>
      </c>
      <c r="P1222">
        <f>-761.323976527962 -148.121801767466 -215.891101133982</f>
        <v>-1125.3368794294099</v>
      </c>
      <c r="Q1222">
        <f>-533.797583139455 -134.700627226124 -260.614006696945</f>
        <v>-929.112217062524</v>
      </c>
      <c r="R1222" t="s">
        <v>23731</v>
      </c>
      <c r="S1222" t="s">
        <v>23732</v>
      </c>
      <c r="T1222" t="s">
        <v>23733</v>
      </c>
      <c r="U1222" t="s">
        <v>23734</v>
      </c>
      <c r="V1222">
        <f>-623.374160326181 -50.1602168024322 -93.0857424497675</f>
        <v>-766.6201195783807</v>
      </c>
      <c r="W1222" t="s">
        <v>23735</v>
      </c>
      <c r="X1222" t="s">
        <v>23736</v>
      </c>
      <c r="Y1222" t="s">
        <v>23737</v>
      </c>
    </row>
    <row r="1223" spans="1:25" x14ac:dyDescent="0.3">
      <c r="A1223">
        <v>61100</v>
      </c>
      <c r="B1223" t="s">
        <v>23738</v>
      </c>
      <c r="C1223" t="s">
        <v>23739</v>
      </c>
      <c r="D1223" t="s">
        <v>23740</v>
      </c>
      <c r="E1223" t="s">
        <v>23741</v>
      </c>
      <c r="F1223" t="s">
        <v>23742</v>
      </c>
      <c r="G1223" t="s">
        <v>23743</v>
      </c>
      <c r="H1223" t="s">
        <v>23744</v>
      </c>
      <c r="I1223" t="s">
        <v>23745</v>
      </c>
      <c r="J1223" t="s">
        <v>23746</v>
      </c>
      <c r="K1223" t="s">
        <v>23747</v>
      </c>
      <c r="L1223" t="s">
        <v>23748</v>
      </c>
      <c r="M1223" t="s">
        <v>23749</v>
      </c>
      <c r="N1223" t="s">
        <v>23750</v>
      </c>
      <c r="O1223">
        <f>-730.157618960276 -145.487881617997 -496.29508976058</f>
        <v>-1371.9405903388529</v>
      </c>
      <c r="P1223">
        <f>-763.545352699702 -147.586114874708 -216.188947362482</f>
        <v>-1127.3204149368919</v>
      </c>
      <c r="Q1223">
        <f>-535.185292352069 -136.038083000311 -257.016248337445</f>
        <v>-928.23962368982507</v>
      </c>
      <c r="R1223" t="s">
        <v>23751</v>
      </c>
      <c r="S1223" t="s">
        <v>23752</v>
      </c>
      <c r="T1223" t="s">
        <v>23753</v>
      </c>
      <c r="U1223" t="s">
        <v>23754</v>
      </c>
      <c r="V1223">
        <f>-623.410250787457 -50.4413671098744 -93.0909966975115</f>
        <v>-766.94261459484289</v>
      </c>
      <c r="W1223" t="s">
        <v>23755</v>
      </c>
      <c r="X1223" t="s">
        <v>23756</v>
      </c>
      <c r="Y1223" t="s">
        <v>23757</v>
      </c>
    </row>
    <row r="1224" spans="1:25" x14ac:dyDescent="0.3">
      <c r="A1224">
        <v>61150</v>
      </c>
      <c r="B1224" t="s">
        <v>23758</v>
      </c>
      <c r="C1224" t="s">
        <v>23759</v>
      </c>
      <c r="D1224" t="s">
        <v>23760</v>
      </c>
      <c r="E1224" t="s">
        <v>23761</v>
      </c>
      <c r="F1224" t="s">
        <v>23762</v>
      </c>
      <c r="G1224" t="s">
        <v>23763</v>
      </c>
      <c r="H1224" t="s">
        <v>23764</v>
      </c>
      <c r="I1224" t="s">
        <v>23765</v>
      </c>
      <c r="J1224" t="s">
        <v>23766</v>
      </c>
      <c r="K1224" t="s">
        <v>23767</v>
      </c>
      <c r="L1224" t="s">
        <v>23768</v>
      </c>
      <c r="M1224" t="s">
        <v>23769</v>
      </c>
      <c r="N1224" t="s">
        <v>23770</v>
      </c>
      <c r="O1224">
        <f>-730.207872497099 -145.861752620354 -496.300090312493</f>
        <v>-1372.3697154299459</v>
      </c>
      <c r="P1224">
        <f>-765.629936773131 -147.636036018946 -216.441722744957</f>
        <v>-1129.7076955370339</v>
      </c>
      <c r="Q1224">
        <f>-536.460269613839 -138.073246958099 -253.025168749615</f>
        <v>-927.55868532155296</v>
      </c>
      <c r="R1224" t="s">
        <v>23771</v>
      </c>
      <c r="S1224" t="s">
        <v>23772</v>
      </c>
      <c r="T1224" t="s">
        <v>23773</v>
      </c>
      <c r="U1224" t="s">
        <v>23774</v>
      </c>
      <c r="V1224">
        <f>-623.487634063941 -50.6933679641058 -93.0807357541869</f>
        <v>-767.26173778223369</v>
      </c>
      <c r="W1224" t="s">
        <v>23775</v>
      </c>
      <c r="X1224" t="s">
        <v>23776</v>
      </c>
      <c r="Y1224" t="s">
        <v>23777</v>
      </c>
    </row>
    <row r="1225" spans="1:25" x14ac:dyDescent="0.3">
      <c r="A1225">
        <v>61200</v>
      </c>
      <c r="B1225" t="s">
        <v>23778</v>
      </c>
      <c r="C1225" t="s">
        <v>23779</v>
      </c>
      <c r="D1225" t="s">
        <v>23780</v>
      </c>
      <c r="E1225" t="s">
        <v>23781</v>
      </c>
      <c r="F1225" t="s">
        <v>23782</v>
      </c>
      <c r="G1225" t="s">
        <v>23783</v>
      </c>
      <c r="H1225" t="s">
        <v>23784</v>
      </c>
      <c r="I1225" t="s">
        <v>23785</v>
      </c>
      <c r="J1225" t="s">
        <v>23786</v>
      </c>
      <c r="K1225" t="s">
        <v>23787</v>
      </c>
      <c r="L1225" t="s">
        <v>23788</v>
      </c>
      <c r="M1225" t="s">
        <v>23789</v>
      </c>
      <c r="N1225" t="s">
        <v>23790</v>
      </c>
      <c r="O1225">
        <f>-730.720822398197 -145.945331402998 -496.354412374257</f>
        <v>-1373.0205661754521</v>
      </c>
      <c r="P1225">
        <f>-770.262646905139 -148.211317690435 -217.051914056904</f>
        <v>-1135.525878652478</v>
      </c>
      <c r="Q1225">
        <f>-538.998703598397 -144.85007312893 -238.363918768413</f>
        <v>-922.21269549574004</v>
      </c>
      <c r="R1225" t="s">
        <v>23791</v>
      </c>
      <c r="S1225" t="s">
        <v>23792</v>
      </c>
      <c r="T1225" t="s">
        <v>23793</v>
      </c>
      <c r="U1225" t="s">
        <v>23794</v>
      </c>
      <c r="V1225">
        <f>-624.492192095452 -51.3106593357709 -93.0843242738408</f>
        <v>-768.88717570506367</v>
      </c>
      <c r="W1225" t="s">
        <v>23795</v>
      </c>
      <c r="X1225" t="s">
        <v>23796</v>
      </c>
      <c r="Y1225" t="s">
        <v>23797</v>
      </c>
    </row>
    <row r="1226" spans="1:25" x14ac:dyDescent="0.3">
      <c r="A1226">
        <v>61250</v>
      </c>
      <c r="B1226" t="s">
        <v>23798</v>
      </c>
      <c r="C1226" t="s">
        <v>23799</v>
      </c>
      <c r="D1226" t="s">
        <v>23800</v>
      </c>
      <c r="E1226" t="s">
        <v>23801</v>
      </c>
      <c r="F1226" t="s">
        <v>23802</v>
      </c>
      <c r="G1226" t="s">
        <v>23803</v>
      </c>
      <c r="H1226" t="s">
        <v>23804</v>
      </c>
      <c r="I1226" t="s">
        <v>23805</v>
      </c>
      <c r="J1226" t="s">
        <v>23806</v>
      </c>
      <c r="K1226" t="s">
        <v>23807</v>
      </c>
      <c r="L1226" t="s">
        <v>23808</v>
      </c>
      <c r="M1226" t="s">
        <v>23809</v>
      </c>
      <c r="N1226" t="s">
        <v>23810</v>
      </c>
      <c r="O1226">
        <f>-730.560222301033 -145.74339525234 -496.835351308221</f>
        <v>-1373.1389688615941</v>
      </c>
      <c r="P1226">
        <f>-772.272045531193 -147.701296896277 -217.846365006154</f>
        <v>-1137.819707433624</v>
      </c>
      <c r="Q1226">
        <f>-540.546934497954 -146.354018775492 -233.663454350697</f>
        <v>-920.56440762414309</v>
      </c>
      <c r="R1226" t="s">
        <v>23811</v>
      </c>
      <c r="S1226" t="s">
        <v>23812</v>
      </c>
      <c r="T1226" t="s">
        <v>23813</v>
      </c>
      <c r="U1226" t="s">
        <v>23814</v>
      </c>
      <c r="V1226">
        <f>-624.830898631802 -51.3376406407681 -93.1453834127768</f>
        <v>-769.31392268534694</v>
      </c>
      <c r="W1226" t="s">
        <v>23815</v>
      </c>
      <c r="X1226" t="s">
        <v>23816</v>
      </c>
      <c r="Y1226" t="s">
        <v>23817</v>
      </c>
    </row>
    <row r="1227" spans="1:25" x14ac:dyDescent="0.3">
      <c r="A1227">
        <v>61300</v>
      </c>
      <c r="B1227" t="s">
        <v>23818</v>
      </c>
      <c r="C1227" t="s">
        <v>23819</v>
      </c>
      <c r="D1227" t="s">
        <v>23820</v>
      </c>
      <c r="E1227" t="s">
        <v>23821</v>
      </c>
      <c r="F1227" t="s">
        <v>23822</v>
      </c>
      <c r="G1227" t="s">
        <v>23823</v>
      </c>
      <c r="H1227" t="s">
        <v>23824</v>
      </c>
      <c r="I1227" t="s">
        <v>23825</v>
      </c>
      <c r="J1227" t="s">
        <v>23826</v>
      </c>
      <c r="K1227" t="s">
        <v>23827</v>
      </c>
      <c r="L1227" t="s">
        <v>23828</v>
      </c>
      <c r="M1227" t="s">
        <v>23829</v>
      </c>
      <c r="N1227" t="s">
        <v>23830</v>
      </c>
      <c r="O1227">
        <f>-729.871485034005 -145.383125308669 -497.902964713622</f>
        <v>-1373.1575750562961</v>
      </c>
      <c r="P1227">
        <f>-776.707395721467 -147.714332602111 -219.731123461518</f>
        <v>-1144.1528517850961</v>
      </c>
      <c r="Q1227">
        <f>-544.489107854094 -148.01581559456 -224.53719974669</f>
        <v>-917.04212319534395</v>
      </c>
      <c r="R1227" t="s">
        <v>23831</v>
      </c>
      <c r="S1227" t="s">
        <v>23832</v>
      </c>
      <c r="T1227" t="s">
        <v>23833</v>
      </c>
      <c r="U1227" t="s">
        <v>23834</v>
      </c>
      <c r="V1227">
        <f>-625.045496008679 -51.4461094946319 -93.2663983589125</f>
        <v>-769.7580038622234</v>
      </c>
      <c r="W1227" t="s">
        <v>23835</v>
      </c>
      <c r="X1227" t="s">
        <v>23836</v>
      </c>
      <c r="Y1227" t="s">
        <v>23837</v>
      </c>
    </row>
    <row r="1228" spans="1:25" x14ac:dyDescent="0.3">
      <c r="A1228">
        <v>61350</v>
      </c>
      <c r="B1228" t="s">
        <v>23838</v>
      </c>
      <c r="C1228" t="s">
        <v>23839</v>
      </c>
      <c r="D1228" t="s">
        <v>23840</v>
      </c>
      <c r="E1228" t="s">
        <v>23841</v>
      </c>
      <c r="F1228" t="s">
        <v>23842</v>
      </c>
      <c r="G1228" t="s">
        <v>23843</v>
      </c>
      <c r="H1228" t="s">
        <v>23844</v>
      </c>
      <c r="I1228" t="s">
        <v>23845</v>
      </c>
      <c r="J1228" t="s">
        <v>23846</v>
      </c>
      <c r="K1228" t="s">
        <v>23847</v>
      </c>
      <c r="L1228" t="s">
        <v>23848</v>
      </c>
      <c r="M1228" t="s">
        <v>23849</v>
      </c>
      <c r="N1228" t="s">
        <v>23850</v>
      </c>
      <c r="O1228">
        <f>-729.454687799721 -145.329409442645 -498.249462180496</f>
        <v>-1373.033559422862</v>
      </c>
      <c r="P1228">
        <f>-779.136299155632 -147.992749722134 -220.574751553234</f>
        <v>-1147.703800431</v>
      </c>
      <c r="Q1228">
        <f>-546.869087917105 -148.473211193738 -220.096398763339</f>
        <v>-915.43869787418203</v>
      </c>
      <c r="R1228" t="s">
        <v>23851</v>
      </c>
      <c r="S1228" t="s">
        <v>23852</v>
      </c>
      <c r="T1228" t="s">
        <v>23853</v>
      </c>
      <c r="U1228" t="s">
        <v>23854</v>
      </c>
      <c r="V1228">
        <f>-624.909077719389 -51.4358529147157 -93.2934692368623</f>
        <v>-769.63839987096696</v>
      </c>
      <c r="W1228" t="s">
        <v>23855</v>
      </c>
      <c r="X1228" t="s">
        <v>23856</v>
      </c>
      <c r="Y1228" t="s">
        <v>23857</v>
      </c>
    </row>
    <row r="1229" spans="1:25" x14ac:dyDescent="0.3">
      <c r="A1229">
        <v>61400</v>
      </c>
      <c r="B1229" t="s">
        <v>23858</v>
      </c>
      <c r="C1229" t="s">
        <v>23859</v>
      </c>
      <c r="D1229" t="s">
        <v>23860</v>
      </c>
      <c r="E1229" t="s">
        <v>23861</v>
      </c>
      <c r="F1229" t="s">
        <v>23862</v>
      </c>
      <c r="G1229" t="s">
        <v>23863</v>
      </c>
      <c r="H1229" t="s">
        <v>23864</v>
      </c>
      <c r="I1229" t="s">
        <v>23865</v>
      </c>
      <c r="J1229" t="s">
        <v>23866</v>
      </c>
      <c r="K1229" t="s">
        <v>23867</v>
      </c>
      <c r="L1229" t="s">
        <v>23868</v>
      </c>
      <c r="M1229" t="s">
        <v>23869</v>
      </c>
      <c r="N1229" t="s">
        <v>23870</v>
      </c>
      <c r="O1229">
        <f>-728.199459893765 -145.885437470612 -498.752101443647</f>
        <v>-1372.836998808024</v>
      </c>
      <c r="P1229">
        <f>-784.461382257655 -148.556765043549 -222.335552155402</f>
        <v>-1155.3536994566061</v>
      </c>
      <c r="Q1229">
        <f>-552.422245567943 -147.834308903323 -212.047288793852</f>
        <v>-912.30384326511808</v>
      </c>
      <c r="R1229" t="s">
        <v>23871</v>
      </c>
      <c r="S1229" t="s">
        <v>23872</v>
      </c>
      <c r="T1229" t="s">
        <v>23873</v>
      </c>
      <c r="U1229" t="s">
        <v>23874</v>
      </c>
      <c r="V1229">
        <f>-624.341082169714 -51.7477366434509 -93.2279343314044</f>
        <v>-769.31675314456936</v>
      </c>
      <c r="W1229" t="s">
        <v>23875</v>
      </c>
      <c r="X1229" t="s">
        <v>23876</v>
      </c>
      <c r="Y1229" t="s">
        <v>23877</v>
      </c>
    </row>
    <row r="1230" spans="1:25" x14ac:dyDescent="0.3">
      <c r="A1230">
        <v>61450</v>
      </c>
      <c r="B1230" t="s">
        <v>23878</v>
      </c>
      <c r="C1230" t="s">
        <v>23879</v>
      </c>
      <c r="D1230" t="s">
        <v>23880</v>
      </c>
      <c r="E1230" t="s">
        <v>23881</v>
      </c>
      <c r="F1230" t="s">
        <v>23882</v>
      </c>
      <c r="G1230" t="s">
        <v>23883</v>
      </c>
      <c r="H1230" t="s">
        <v>23884</v>
      </c>
      <c r="I1230" t="s">
        <v>23885</v>
      </c>
      <c r="J1230" t="s">
        <v>23886</v>
      </c>
      <c r="K1230" t="s">
        <v>23887</v>
      </c>
      <c r="L1230" t="s">
        <v>23888</v>
      </c>
      <c r="M1230" t="s">
        <v>23889</v>
      </c>
      <c r="N1230" t="s">
        <v>23890</v>
      </c>
      <c r="O1230">
        <f>-727.783644458502 -146.260921838943 -498.93242808332</f>
        <v>-1372.9769943807651</v>
      </c>
      <c r="P1230">
        <f>-786.972136819228 -148.183395028532 -223.121611017406</f>
        <v>-1158.2771428651661</v>
      </c>
      <c r="Q1230">
        <f>-555.17405339803 -147.13487406233 -208.388300600382</f>
        <v>-910.69722806074196</v>
      </c>
      <c r="R1230" t="s">
        <v>23891</v>
      </c>
      <c r="S1230" t="s">
        <v>23892</v>
      </c>
      <c r="T1230" t="s">
        <v>23893</v>
      </c>
      <c r="U1230" t="s">
        <v>23894</v>
      </c>
      <c r="V1230">
        <f>-624.306867442335 -51.9441804101793 -93.1962325866368</f>
        <v>-769.4472804391512</v>
      </c>
      <c r="W1230" t="s">
        <v>23895</v>
      </c>
      <c r="X1230" t="s">
        <v>23896</v>
      </c>
      <c r="Y1230" t="s">
        <v>23897</v>
      </c>
    </row>
    <row r="1231" spans="1:25" x14ac:dyDescent="0.3">
      <c r="A1231">
        <v>61500</v>
      </c>
      <c r="B1231" t="s">
        <v>23898</v>
      </c>
      <c r="C1231" t="s">
        <v>23899</v>
      </c>
      <c r="D1231" t="s">
        <v>23900</v>
      </c>
      <c r="E1231" t="s">
        <v>23901</v>
      </c>
      <c r="F1231" t="s">
        <v>23902</v>
      </c>
      <c r="G1231" t="s">
        <v>23903</v>
      </c>
      <c r="H1231" t="s">
        <v>23904</v>
      </c>
      <c r="I1231" t="s">
        <v>23905</v>
      </c>
      <c r="J1231" t="s">
        <v>23906</v>
      </c>
      <c r="K1231" t="s">
        <v>23907</v>
      </c>
      <c r="L1231" t="s">
        <v>23908</v>
      </c>
      <c r="M1231" t="s">
        <v>23909</v>
      </c>
      <c r="N1231" t="s">
        <v>23910</v>
      </c>
      <c r="O1231">
        <f>-727.634382427284 -146.655419841019 -499.079395558219</f>
        <v>-1373.3691978265219</v>
      </c>
      <c r="P1231">
        <f>-789.240211469783 -147.843943179955 -223.79424017104</f>
        <v>-1160.8783948207781</v>
      </c>
      <c r="Q1231">
        <f>-557.707289093758 -146.32624634979 -205.389863625472</f>
        <v>-909.42339906902009</v>
      </c>
      <c r="R1231" t="s">
        <v>23911</v>
      </c>
      <c r="S1231" t="s">
        <v>23912</v>
      </c>
      <c r="T1231" t="s">
        <v>23913</v>
      </c>
      <c r="U1231" t="s">
        <v>23914</v>
      </c>
      <c r="V1231">
        <f>-624.321534839471 -52.1662257918806 -93.2389886458334</f>
        <v>-769.72674927718504</v>
      </c>
      <c r="W1231" t="s">
        <v>23915</v>
      </c>
      <c r="X1231" t="s">
        <v>23916</v>
      </c>
      <c r="Y1231" t="s">
        <v>23917</v>
      </c>
    </row>
    <row r="1232" spans="1:25" x14ac:dyDescent="0.3">
      <c r="A1232">
        <v>61550</v>
      </c>
      <c r="B1232" t="s">
        <v>23918</v>
      </c>
      <c r="C1232" t="s">
        <v>23919</v>
      </c>
      <c r="D1232" t="s">
        <v>23920</v>
      </c>
      <c r="E1232" t="s">
        <v>23921</v>
      </c>
      <c r="F1232" t="s">
        <v>23922</v>
      </c>
      <c r="G1232" t="s">
        <v>23923</v>
      </c>
      <c r="H1232" t="s">
        <v>23924</v>
      </c>
      <c r="I1232" t="s">
        <v>23925</v>
      </c>
      <c r="J1232" t="s">
        <v>23926</v>
      </c>
      <c r="K1232" t="s">
        <v>23927</v>
      </c>
      <c r="L1232" t="s">
        <v>23928</v>
      </c>
      <c r="M1232" t="s">
        <v>23929</v>
      </c>
      <c r="N1232" t="s">
        <v>23930</v>
      </c>
      <c r="O1232">
        <f>-727.61413208375 -147.762723830065 -498.989537220456</f>
        <v>-1374.366393134271</v>
      </c>
      <c r="P1232">
        <f>-792.562528384027 -148.838429232064 -224.473341621735</f>
        <v>-1165.8742992378259</v>
      </c>
      <c r="Q1232">
        <f>-561.701493696781 -145.376072514275 -199.180439844223</f>
        <v>-906.25800605527888</v>
      </c>
      <c r="R1232" t="s">
        <v>23931</v>
      </c>
      <c r="S1232" t="s">
        <v>23932</v>
      </c>
      <c r="T1232" t="s">
        <v>23933</v>
      </c>
      <c r="U1232" t="s">
        <v>23934</v>
      </c>
      <c r="V1232">
        <f>-624.535695812737 -52.5256856051253 -93.3562130401866</f>
        <v>-770.41759445804894</v>
      </c>
      <c r="W1232" t="s">
        <v>23935</v>
      </c>
      <c r="X1232" t="s">
        <v>23936</v>
      </c>
      <c r="Y1232" t="s">
        <v>23937</v>
      </c>
    </row>
    <row r="1233" spans="1:25" x14ac:dyDescent="0.3">
      <c r="A1233">
        <v>61600</v>
      </c>
      <c r="B1233" t="s">
        <v>23938</v>
      </c>
      <c r="C1233" t="s">
        <v>23939</v>
      </c>
      <c r="D1233" t="s">
        <v>23940</v>
      </c>
      <c r="E1233" t="s">
        <v>23941</v>
      </c>
      <c r="F1233" t="s">
        <v>23942</v>
      </c>
      <c r="G1233" t="s">
        <v>23943</v>
      </c>
      <c r="H1233" t="s">
        <v>23944</v>
      </c>
      <c r="I1233" t="s">
        <v>23945</v>
      </c>
      <c r="J1233" t="s">
        <v>23946</v>
      </c>
      <c r="K1233" t="s">
        <v>23947</v>
      </c>
      <c r="L1233" t="s">
        <v>23948</v>
      </c>
      <c r="M1233" t="s">
        <v>23949</v>
      </c>
      <c r="N1233" t="s">
        <v>23950</v>
      </c>
      <c r="O1233">
        <f>-727.885383936421 -149.541125091712 -498.493981973155</f>
        <v>-1375.9204910012882</v>
      </c>
      <c r="P1233">
        <f>-793.773445196386 -148.430717956941 -224.201873791368</f>
        <v>-1166.406036944695</v>
      </c>
      <c r="Q1233">
        <f>-562.967086909776 -144.923443443081 -198.421021746742</f>
        <v>-906.311552099599</v>
      </c>
      <c r="R1233" t="s">
        <v>23951</v>
      </c>
      <c r="S1233" t="s">
        <v>23952</v>
      </c>
      <c r="T1233" t="s">
        <v>23953</v>
      </c>
      <c r="U1233" t="s">
        <v>23954</v>
      </c>
      <c r="V1233">
        <f>-625.1501055472 -53.2538709189266 -93.4473347289704</f>
        <v>-771.85131119509708</v>
      </c>
      <c r="W1233" t="s">
        <v>23955</v>
      </c>
      <c r="X1233" t="s">
        <v>23956</v>
      </c>
      <c r="Y1233" t="s">
        <v>23957</v>
      </c>
    </row>
    <row r="1234" spans="1:25" x14ac:dyDescent="0.3">
      <c r="A1234">
        <v>61650</v>
      </c>
      <c r="B1234" t="s">
        <v>23958</v>
      </c>
      <c r="C1234" t="s">
        <v>23959</v>
      </c>
      <c r="D1234" t="s">
        <v>23960</v>
      </c>
      <c r="E1234" t="s">
        <v>23961</v>
      </c>
      <c r="F1234" t="s">
        <v>23962</v>
      </c>
      <c r="G1234" t="s">
        <v>23963</v>
      </c>
      <c r="H1234" t="s">
        <v>23964</v>
      </c>
      <c r="I1234" t="s">
        <v>23965</v>
      </c>
      <c r="J1234" t="s">
        <v>23966</v>
      </c>
      <c r="K1234" t="s">
        <v>23967</v>
      </c>
      <c r="L1234" t="s">
        <v>23968</v>
      </c>
      <c r="M1234" t="s">
        <v>23969</v>
      </c>
      <c r="N1234">
        <f>-697.210642709871 -0.610002465391062 -527.276512672352</f>
        <v>-1225.0971578476142</v>
      </c>
      <c r="O1234">
        <f>-728.414644160176 -150.626404225123 -497.990570544289</f>
        <v>-1377.0316189295879</v>
      </c>
      <c r="P1234">
        <f>-793.302396714487 -147.749902757652 -223.473154066893</f>
        <v>-1164.525453539032</v>
      </c>
      <c r="Q1234">
        <f>-562.339336051143 -145.472761996669 -198.990236178149</f>
        <v>-906.80233422596098</v>
      </c>
      <c r="R1234" t="s">
        <v>23970</v>
      </c>
      <c r="S1234" t="s">
        <v>23971</v>
      </c>
      <c r="T1234" t="s">
        <v>23972</v>
      </c>
      <c r="U1234" t="s">
        <v>23973</v>
      </c>
      <c r="V1234">
        <f>-625.425628164412 -53.7041990715575 -93.46458994203</f>
        <v>-772.5944171779995</v>
      </c>
      <c r="W1234" t="s">
        <v>23974</v>
      </c>
      <c r="X1234" t="s">
        <v>23975</v>
      </c>
      <c r="Y1234" t="s">
        <v>23976</v>
      </c>
    </row>
    <row r="1235" spans="1:25" x14ac:dyDescent="0.3">
      <c r="A1235">
        <v>61700</v>
      </c>
      <c r="B1235" t="s">
        <v>23977</v>
      </c>
      <c r="C1235" t="s">
        <v>23978</v>
      </c>
      <c r="D1235" t="s">
        <v>23979</v>
      </c>
      <c r="E1235" t="s">
        <v>23980</v>
      </c>
      <c r="F1235" t="s">
        <v>23981</v>
      </c>
      <c r="G1235" t="s">
        <v>23982</v>
      </c>
      <c r="H1235" t="s">
        <v>23983</v>
      </c>
      <c r="I1235" t="s">
        <v>23984</v>
      </c>
      <c r="J1235" t="s">
        <v>23985</v>
      </c>
      <c r="K1235" t="s">
        <v>23986</v>
      </c>
      <c r="L1235" t="s">
        <v>23987</v>
      </c>
      <c r="M1235" t="s">
        <v>23988</v>
      </c>
      <c r="N1235">
        <f>-697.376495034103 -3.4201032413232 -527.175236769232</f>
        <v>-1227.9718350446583</v>
      </c>
      <c r="O1235">
        <f>-728.95055591342 -153.15504982194 -496.852147989211</f>
        <v>-1378.9577537245709</v>
      </c>
      <c r="P1235">
        <f>-790.826554247716 -148.26365610125 -221.668588966337</f>
        <v>-1160.7587993153031</v>
      </c>
      <c r="Q1235">
        <f>-559.276062215054 -148.222253547341 -203.423054791871</f>
        <v>-910.92137055426599</v>
      </c>
      <c r="R1235" t="s">
        <v>23989</v>
      </c>
      <c r="S1235" t="s">
        <v>23990</v>
      </c>
      <c r="T1235" t="s">
        <v>23991</v>
      </c>
      <c r="U1235" t="s">
        <v>23992</v>
      </c>
      <c r="V1235">
        <f>-625.659628762559 -54.7748608849222 -93.5263716468733</f>
        <v>-773.96086129435446</v>
      </c>
      <c r="W1235" t="s">
        <v>23993</v>
      </c>
      <c r="X1235" t="s">
        <v>23994</v>
      </c>
      <c r="Y1235" t="s">
        <v>23995</v>
      </c>
    </row>
    <row r="1236" spans="1:25" x14ac:dyDescent="0.3">
      <c r="A1236">
        <v>61750</v>
      </c>
      <c r="B1236" t="s">
        <v>23996</v>
      </c>
      <c r="C1236" t="s">
        <v>23997</v>
      </c>
      <c r="D1236" t="s">
        <v>23998</v>
      </c>
      <c r="E1236" t="s">
        <v>23999</v>
      </c>
      <c r="F1236" t="s">
        <v>24000</v>
      </c>
      <c r="G1236" t="s">
        <v>24001</v>
      </c>
      <c r="H1236" t="s">
        <v>24002</v>
      </c>
      <c r="I1236" t="s">
        <v>24003</v>
      </c>
      <c r="J1236" t="s">
        <v>24004</v>
      </c>
      <c r="K1236" t="s">
        <v>24005</v>
      </c>
      <c r="L1236" t="s">
        <v>24006</v>
      </c>
      <c r="M1236" t="s">
        <v>24007</v>
      </c>
      <c r="N1236">
        <f>-697.452107456633 -4.7607115040189 -527.089773204565</f>
        <v>-1229.302592165217</v>
      </c>
      <c r="O1236">
        <f>-729.100554846215 -154.385058382832 -496.285635754319</f>
        <v>-1379.7712489833659</v>
      </c>
      <c r="P1236">
        <f>-788.642393329442 -149.046328951841 -220.595993013513</f>
        <v>-1158.2847152947961</v>
      </c>
      <c r="Q1236">
        <f>-556.841191196013 -150.289197470043 -205.927079961925</f>
        <v>-913.05746862798094</v>
      </c>
      <c r="R1236" t="s">
        <v>24008</v>
      </c>
      <c r="S1236" t="s">
        <v>24009</v>
      </c>
      <c r="T1236" t="s">
        <v>24010</v>
      </c>
      <c r="U1236" t="s">
        <v>24011</v>
      </c>
      <c r="V1236">
        <f>-625.681531890982 -55.1875032868547 -93.5452228078918</f>
        <v>-774.41425798572857</v>
      </c>
      <c r="W1236" t="s">
        <v>24012</v>
      </c>
      <c r="X1236" t="s">
        <v>24013</v>
      </c>
      <c r="Y1236" t="s">
        <v>24014</v>
      </c>
    </row>
    <row r="1237" spans="1:25" x14ac:dyDescent="0.3">
      <c r="A1237">
        <v>61800</v>
      </c>
      <c r="B1237" t="s">
        <v>24015</v>
      </c>
      <c r="C1237" t="s">
        <v>24016</v>
      </c>
      <c r="D1237" t="s">
        <v>24017</v>
      </c>
      <c r="E1237" t="s">
        <v>24018</v>
      </c>
      <c r="F1237" t="s">
        <v>24019</v>
      </c>
      <c r="G1237" t="s">
        <v>24020</v>
      </c>
      <c r="H1237" t="s">
        <v>24021</v>
      </c>
      <c r="I1237" t="s">
        <v>24022</v>
      </c>
      <c r="J1237" t="s">
        <v>24023</v>
      </c>
      <c r="K1237" t="s">
        <v>24024</v>
      </c>
      <c r="L1237" t="s">
        <v>24025</v>
      </c>
      <c r="M1237" t="s">
        <v>24026</v>
      </c>
      <c r="N1237">
        <f>-697.724053839304 -7.16457708208873 -526.914189825484</f>
        <v>-1231.8028207468767</v>
      </c>
      <c r="O1237">
        <f>-729.463422200272 -156.626743490123 -495.384223201999</f>
        <v>-1381.474388892394</v>
      </c>
      <c r="P1237">
        <f>-783.140766012674 -150.562314213703 -218.507856700622</f>
        <v>-1152.210936926999</v>
      </c>
      <c r="Q1237">
        <f>-551.025831212236 -155.452064250034 -211.629711004203</f>
        <v>-918.10760646647304</v>
      </c>
      <c r="R1237" t="s">
        <v>24027</v>
      </c>
      <c r="S1237" t="s">
        <v>24028</v>
      </c>
      <c r="T1237" t="s">
        <v>24029</v>
      </c>
      <c r="U1237" t="s">
        <v>24030</v>
      </c>
      <c r="V1237">
        <f>-625.601832174505 -55.9302091426662 -93.543927458913</f>
        <v>-775.07596877608421</v>
      </c>
      <c r="W1237" t="s">
        <v>24031</v>
      </c>
      <c r="X1237" t="s">
        <v>24032</v>
      </c>
      <c r="Y1237" t="s">
        <v>24033</v>
      </c>
    </row>
    <row r="1238" spans="1:25" x14ac:dyDescent="0.3">
      <c r="A1238">
        <v>61850</v>
      </c>
      <c r="B1238" t="s">
        <v>24034</v>
      </c>
      <c r="C1238" t="s">
        <v>24035</v>
      </c>
      <c r="D1238" t="s">
        <v>24036</v>
      </c>
      <c r="E1238" t="s">
        <v>24037</v>
      </c>
      <c r="F1238" t="s">
        <v>24038</v>
      </c>
      <c r="G1238" t="s">
        <v>24039</v>
      </c>
      <c r="H1238" t="s">
        <v>24040</v>
      </c>
      <c r="I1238" t="s">
        <v>24041</v>
      </c>
      <c r="J1238" t="s">
        <v>24042</v>
      </c>
      <c r="K1238" t="s">
        <v>24043</v>
      </c>
      <c r="L1238" t="s">
        <v>24044</v>
      </c>
      <c r="M1238" t="s">
        <v>24045</v>
      </c>
      <c r="N1238">
        <f>-697.849895914335 -8.12604953170421 -526.854798189765</f>
        <v>-1232.8307436358041</v>
      </c>
      <c r="O1238">
        <f>-729.618013804354 -157.532747358064 -495.108553902119</f>
        <v>-1382.2593150645368</v>
      </c>
      <c r="P1238">
        <f>-780.177608120797 -151.565893369612 -217.643658651772</f>
        <v>-1149.3871601421811</v>
      </c>
      <c r="Q1238">
        <f>-548.021125895569 -158.179718548639 -214.787033240034</f>
        <v>-920.98787768424199</v>
      </c>
      <c r="R1238" t="s">
        <v>24046</v>
      </c>
      <c r="S1238" t="s">
        <v>24047</v>
      </c>
      <c r="T1238" t="s">
        <v>24048</v>
      </c>
      <c r="U1238" t="s">
        <v>24049</v>
      </c>
      <c r="V1238">
        <f>-625.675358836624 -56.1839113370847 -93.538891350459</f>
        <v>-775.39816152416779</v>
      </c>
      <c r="W1238" t="s">
        <v>24050</v>
      </c>
      <c r="X1238" t="s">
        <v>24051</v>
      </c>
      <c r="Y1238" t="s">
        <v>24052</v>
      </c>
    </row>
    <row r="1239" spans="1:25" x14ac:dyDescent="0.3">
      <c r="A1239">
        <v>61900</v>
      </c>
      <c r="B1239" t="s">
        <v>24053</v>
      </c>
      <c r="C1239" t="s">
        <v>24054</v>
      </c>
      <c r="D1239" t="s">
        <v>24055</v>
      </c>
      <c r="E1239" t="s">
        <v>24056</v>
      </c>
      <c r="F1239" t="s">
        <v>24057</v>
      </c>
      <c r="G1239" t="s">
        <v>24058</v>
      </c>
      <c r="H1239" t="s">
        <v>24059</v>
      </c>
      <c r="I1239" t="s">
        <v>24060</v>
      </c>
      <c r="J1239" t="s">
        <v>24061</v>
      </c>
      <c r="K1239" t="s">
        <v>24062</v>
      </c>
      <c r="L1239" t="s">
        <v>24063</v>
      </c>
      <c r="M1239" t="s">
        <v>24064</v>
      </c>
      <c r="N1239">
        <f>-697.762615456745 -9.74133851694774 -526.760501349566</f>
        <v>-1234.2644553232587</v>
      </c>
      <c r="O1239">
        <f>-729.146407054256 -159.175642269306 -494.795356975947</f>
        <v>-1383.117406299509</v>
      </c>
      <c r="P1239">
        <f>-774.2538721322 -154.261912280399 -216.371685612987</f>
        <v>-1144.887470025586</v>
      </c>
      <c r="Q1239">
        <f>-542.167537838006 -162.255291096581 -220.908278662193</f>
        <v>-925.33110759677993</v>
      </c>
      <c r="R1239" t="s">
        <v>24065</v>
      </c>
      <c r="S1239" t="s">
        <v>24066</v>
      </c>
      <c r="T1239" t="s">
        <v>24067</v>
      </c>
      <c r="U1239" t="s">
        <v>24068</v>
      </c>
      <c r="V1239">
        <f>-625.494450591049 -56.5607809585163 -93.5180518838635</f>
        <v>-775.57328343342874</v>
      </c>
      <c r="W1239" t="s">
        <v>24069</v>
      </c>
      <c r="X1239" t="s">
        <v>24070</v>
      </c>
      <c r="Y1239" t="s">
        <v>24071</v>
      </c>
    </row>
    <row r="1240" spans="1:25" x14ac:dyDescent="0.3">
      <c r="A1240">
        <v>61950</v>
      </c>
      <c r="B1240" t="s">
        <v>24072</v>
      </c>
      <c r="C1240" t="s">
        <v>24073</v>
      </c>
      <c r="D1240" t="s">
        <v>24074</v>
      </c>
      <c r="E1240" t="s">
        <v>24075</v>
      </c>
      <c r="F1240" t="s">
        <v>24076</v>
      </c>
      <c r="G1240" t="s">
        <v>24077</v>
      </c>
      <c r="H1240" t="s">
        <v>24078</v>
      </c>
      <c r="I1240" t="s">
        <v>24079</v>
      </c>
      <c r="J1240" t="s">
        <v>24080</v>
      </c>
      <c r="K1240" t="s">
        <v>24081</v>
      </c>
      <c r="L1240" t="s">
        <v>24082</v>
      </c>
      <c r="M1240" t="s">
        <v>24083</v>
      </c>
      <c r="N1240">
        <f>-697.414617033979 -10.5449224497047 -526.724087086086</f>
        <v>-1234.6836265697698</v>
      </c>
      <c r="O1240">
        <f>-728.291192407862 -160.072059170807 -494.677510187514</f>
        <v>-1383.0407617661829</v>
      </c>
      <c r="P1240">
        <f>-771.3751399783 -155.844326292962 -215.922195099992</f>
        <v>-1143.141661371254</v>
      </c>
      <c r="Q1240">
        <f>-539.368791945243 -163.49695398615 -223.860337029951</f>
        <v>-926.72608296134388</v>
      </c>
      <c r="R1240" t="s">
        <v>24084</v>
      </c>
      <c r="S1240" t="s">
        <v>24085</v>
      </c>
      <c r="T1240" t="s">
        <v>24086</v>
      </c>
      <c r="U1240" t="s">
        <v>24087</v>
      </c>
      <c r="V1240">
        <f>-625.049674899932 -56.9610726414887 -93.51025933714</f>
        <v>-775.5210068785608</v>
      </c>
      <c r="W1240" t="s">
        <v>24088</v>
      </c>
      <c r="X1240" t="s">
        <v>24089</v>
      </c>
      <c r="Y1240" t="s">
        <v>24090</v>
      </c>
    </row>
    <row r="1241" spans="1:25" x14ac:dyDescent="0.3">
      <c r="A1241">
        <v>62000</v>
      </c>
      <c r="B1241" t="s">
        <v>24091</v>
      </c>
      <c r="C1241" t="s">
        <v>24092</v>
      </c>
      <c r="D1241" t="s">
        <v>24093</v>
      </c>
      <c r="E1241" t="s">
        <v>24094</v>
      </c>
      <c r="F1241" t="s">
        <v>24095</v>
      </c>
      <c r="G1241" t="s">
        <v>24096</v>
      </c>
      <c r="H1241" t="s">
        <v>24097</v>
      </c>
      <c r="I1241" t="s">
        <v>24098</v>
      </c>
      <c r="J1241" t="s">
        <v>24099</v>
      </c>
      <c r="K1241" t="s">
        <v>24100</v>
      </c>
      <c r="L1241" t="s">
        <v>24101</v>
      </c>
      <c r="M1241" t="s">
        <v>24102</v>
      </c>
      <c r="N1241">
        <f>-696.275086282525 -11.6814119674762 -526.754732434673</f>
        <v>-1234.7112306846741</v>
      </c>
      <c r="O1241">
        <f>-725.974498615336 -161.484361858097 -494.87854295156</f>
        <v>-1382.337403424993</v>
      </c>
      <c r="P1241">
        <f>-766.17511397399 -158.827659918534 -215.673565068616</f>
        <v>-1140.6763389611401</v>
      </c>
      <c r="Q1241">
        <f>-534.43854772118 -164.192139676602 -230.436016502485</f>
        <v>-929.06670390026704</v>
      </c>
      <c r="R1241" t="s">
        <v>24103</v>
      </c>
      <c r="S1241" t="s">
        <v>24104</v>
      </c>
      <c r="T1241" t="s">
        <v>24105</v>
      </c>
      <c r="U1241" t="s">
        <v>24106</v>
      </c>
      <c r="V1241">
        <f>-623.843709258337 -57.6484196797041 -93.4567511695575</f>
        <v>-774.9488801075986</v>
      </c>
      <c r="W1241" t="s">
        <v>24107</v>
      </c>
      <c r="X1241" t="s">
        <v>24108</v>
      </c>
      <c r="Y1241" t="s">
        <v>24109</v>
      </c>
    </row>
    <row r="1242" spans="1:25" x14ac:dyDescent="0.3">
      <c r="A1242">
        <v>62050</v>
      </c>
      <c r="B1242" t="s">
        <v>24110</v>
      </c>
      <c r="C1242" t="s">
        <v>24111</v>
      </c>
      <c r="D1242" t="s">
        <v>24112</v>
      </c>
      <c r="E1242" t="s">
        <v>24113</v>
      </c>
      <c r="F1242" t="s">
        <v>24114</v>
      </c>
      <c r="G1242" t="s">
        <v>24115</v>
      </c>
      <c r="H1242" t="s">
        <v>24116</v>
      </c>
      <c r="I1242" t="s">
        <v>24117</v>
      </c>
      <c r="J1242" t="s">
        <v>24118</v>
      </c>
      <c r="K1242" t="s">
        <v>24119</v>
      </c>
      <c r="L1242" t="s">
        <v>24120</v>
      </c>
      <c r="M1242" t="s">
        <v>24121</v>
      </c>
      <c r="N1242">
        <f>-695.592933002967 -12.0489044220678 -526.799898186587</f>
        <v>-1234.4417356116219</v>
      </c>
      <c r="O1242">
        <f>-724.467783637361 -162.068387142574 -495.213101090156</f>
        <v>-1381.749271870091</v>
      </c>
      <c r="P1242">
        <f>-764.408423514635 -159.573253613496 -215.969277936246</f>
        <v>-1139.950955064377</v>
      </c>
      <c r="Q1242">
        <f>-532.846067247986 -163.43220052909 -233.647459124253</f>
        <v>-929.92572690132897</v>
      </c>
      <c r="R1242" t="s">
        <v>24122</v>
      </c>
      <c r="S1242" t="s">
        <v>24123</v>
      </c>
      <c r="T1242" t="s">
        <v>24124</v>
      </c>
      <c r="U1242" t="s">
        <v>24125</v>
      </c>
      <c r="V1242">
        <f>-623.304956533311 -57.9529908685258 -93.4291043899593</f>
        <v>-774.68705179179619</v>
      </c>
      <c r="W1242" t="s">
        <v>24126</v>
      </c>
      <c r="X1242" t="s">
        <v>24127</v>
      </c>
      <c r="Y1242" t="s">
        <v>24128</v>
      </c>
    </row>
    <row r="1243" spans="1:25" x14ac:dyDescent="0.3">
      <c r="A1243">
        <v>62100</v>
      </c>
      <c r="B1243" t="s">
        <v>24129</v>
      </c>
      <c r="C1243" t="s">
        <v>24130</v>
      </c>
      <c r="D1243" t="s">
        <v>24131</v>
      </c>
      <c r="E1243" t="s">
        <v>24132</v>
      </c>
      <c r="F1243" t="s">
        <v>24133</v>
      </c>
      <c r="G1243" t="s">
        <v>24134</v>
      </c>
      <c r="H1243" t="s">
        <v>24135</v>
      </c>
      <c r="I1243" t="s">
        <v>24136</v>
      </c>
      <c r="J1243" t="s">
        <v>24137</v>
      </c>
      <c r="K1243" t="s">
        <v>24138</v>
      </c>
      <c r="L1243" t="s">
        <v>24139</v>
      </c>
      <c r="M1243" t="s">
        <v>24140</v>
      </c>
      <c r="N1243">
        <f>-693.969389428261 -12.9920276973969 -526.86024059534</f>
        <v>-1233.8216577209978</v>
      </c>
      <c r="O1243">
        <f>-720.898608038441 -163.445152208864 -495.623099882225</f>
        <v>-1379.96686012953</v>
      </c>
      <c r="P1243">
        <f>-761.839703987469 -161.176050991461 -216.522316467884</f>
        <v>-1139.538071446814</v>
      </c>
      <c r="Q1243">
        <f>-530.676453934736 -162.303823029643 -239.123733436232</f>
        <v>-932.10401040061095</v>
      </c>
      <c r="R1243" t="s">
        <v>24141</v>
      </c>
      <c r="S1243" t="s">
        <v>24142</v>
      </c>
      <c r="T1243" t="s">
        <v>24143</v>
      </c>
      <c r="U1243" t="s">
        <v>24144</v>
      </c>
      <c r="V1243">
        <f>-622.128281298903 -58.2823434710947 -93.3301633724963</f>
        <v>-773.7407881424939</v>
      </c>
      <c r="W1243" t="s">
        <v>24145</v>
      </c>
      <c r="X1243" t="s">
        <v>24146</v>
      </c>
      <c r="Y1243" t="s">
        <v>24147</v>
      </c>
    </row>
    <row r="1244" spans="1:25" x14ac:dyDescent="0.3">
      <c r="A1244">
        <v>62150</v>
      </c>
      <c r="B1244" t="s">
        <v>24148</v>
      </c>
      <c r="C1244" t="s">
        <v>24149</v>
      </c>
      <c r="D1244" t="s">
        <v>24150</v>
      </c>
      <c r="E1244" t="s">
        <v>24151</v>
      </c>
      <c r="F1244" t="s">
        <v>24152</v>
      </c>
      <c r="G1244" t="s">
        <v>24153</v>
      </c>
      <c r="H1244" t="s">
        <v>24154</v>
      </c>
      <c r="I1244" t="s">
        <v>24155</v>
      </c>
      <c r="J1244" t="s">
        <v>24156</v>
      </c>
      <c r="K1244" t="s">
        <v>24157</v>
      </c>
      <c r="L1244" t="s">
        <v>24158</v>
      </c>
      <c r="M1244" t="s">
        <v>24159</v>
      </c>
      <c r="N1244">
        <f>-693.072132077257 -13.4410827811146 -526.916796188452</f>
        <v>-1233.4300110468237</v>
      </c>
      <c r="O1244">
        <f>-719.218801655891 -164.055165712406 -495.807413037142</f>
        <v>-1379.0813804054389</v>
      </c>
      <c r="P1244">
        <f>-760.672600565261 -162.177761580488 -216.779340871719</f>
        <v>-1139.6297030174678</v>
      </c>
      <c r="Q1244">
        <f>-529.711762214446 -161.988970409836 -241.387970226382</f>
        <v>-933.08870285066405</v>
      </c>
      <c r="R1244" t="s">
        <v>24160</v>
      </c>
      <c r="S1244" t="s">
        <v>24161</v>
      </c>
      <c r="T1244" t="s">
        <v>24162</v>
      </c>
      <c r="U1244" t="s">
        <v>24163</v>
      </c>
      <c r="V1244">
        <f>-621.320112223891 -58.3844994421797 -93.3034321420588</f>
        <v>-773.00804380812951</v>
      </c>
      <c r="W1244" t="s">
        <v>24164</v>
      </c>
      <c r="X1244" t="s">
        <v>24165</v>
      </c>
      <c r="Y1244" t="s">
        <v>24166</v>
      </c>
    </row>
    <row r="1245" spans="1:25" x14ac:dyDescent="0.3">
      <c r="A1245">
        <v>62200</v>
      </c>
      <c r="B1245" t="s">
        <v>24167</v>
      </c>
      <c r="C1245" t="s">
        <v>24168</v>
      </c>
      <c r="D1245" t="s">
        <v>24169</v>
      </c>
      <c r="E1245" t="s">
        <v>24170</v>
      </c>
      <c r="F1245" t="s">
        <v>24171</v>
      </c>
      <c r="G1245" t="s">
        <v>24172</v>
      </c>
      <c r="H1245" t="s">
        <v>24173</v>
      </c>
      <c r="I1245" t="s">
        <v>24174</v>
      </c>
      <c r="J1245" t="s">
        <v>24175</v>
      </c>
      <c r="K1245" t="s">
        <v>24176</v>
      </c>
      <c r="L1245" t="s">
        <v>24177</v>
      </c>
      <c r="M1245" t="s">
        <v>24178</v>
      </c>
      <c r="N1245">
        <f>-691.471878199604 -14.9034244877923 -527.077155827199</f>
        <v>-1233.4524585145955</v>
      </c>
      <c r="O1245">
        <f>-716.001985091296 -165.81643582598 -496.062779814453</f>
        <v>-1377.881200731729</v>
      </c>
      <c r="P1245">
        <f>-758.919812820641 -165.451574415593 -217.250246531197</f>
        <v>-1141.6216337674309</v>
      </c>
      <c r="Q1245">
        <f>-528.397904682142 -162.625390527758 -245.537803199876</f>
        <v>-936.56109840977592</v>
      </c>
      <c r="R1245" t="s">
        <v>24179</v>
      </c>
      <c r="S1245" t="s">
        <v>24180</v>
      </c>
      <c r="T1245" t="s">
        <v>24181</v>
      </c>
      <c r="U1245" t="s">
        <v>24182</v>
      </c>
      <c r="V1245">
        <f>-619.962701157544 -59.264029063854 -93.3939649327566</f>
        <v>-772.62069515415453</v>
      </c>
      <c r="W1245" t="s">
        <v>24183</v>
      </c>
      <c r="X1245" t="s">
        <v>24184</v>
      </c>
      <c r="Y1245" t="s">
        <v>24185</v>
      </c>
    </row>
    <row r="1246" spans="1:25" x14ac:dyDescent="0.3">
      <c r="A1246">
        <v>62250</v>
      </c>
      <c r="B1246" t="s">
        <v>24186</v>
      </c>
      <c r="C1246" t="s">
        <v>24187</v>
      </c>
      <c r="D1246" t="s">
        <v>24188</v>
      </c>
      <c r="E1246" t="s">
        <v>24189</v>
      </c>
      <c r="F1246" t="s">
        <v>24190</v>
      </c>
      <c r="G1246" t="s">
        <v>24191</v>
      </c>
      <c r="H1246" t="s">
        <v>24192</v>
      </c>
      <c r="I1246" t="s">
        <v>24193</v>
      </c>
      <c r="J1246" t="s">
        <v>24194</v>
      </c>
      <c r="K1246" t="s">
        <v>24195</v>
      </c>
      <c r="L1246" t="s">
        <v>24196</v>
      </c>
      <c r="M1246" t="s">
        <v>24197</v>
      </c>
      <c r="N1246">
        <f>-690.620153537456 -15.3073146590812 -527.17342057175</f>
        <v>-1233.1008887682869</v>
      </c>
      <c r="O1246">
        <f>-714.419033414966 -166.364659117345 -496.277106343786</f>
        <v>-1377.0607988760969</v>
      </c>
      <c r="P1246">
        <f>-758.00151005791 -166.97782050833 -217.567877893948</f>
        <v>-1142.5472084601879</v>
      </c>
      <c r="Q1246">
        <f>-527.710441094177 -162.962246956846 -247.541855471961</f>
        <v>-938.21454352298394</v>
      </c>
      <c r="R1246" t="s">
        <v>24198</v>
      </c>
      <c r="S1246" t="s">
        <v>24199</v>
      </c>
      <c r="T1246" t="s">
        <v>24200</v>
      </c>
      <c r="U1246" t="s">
        <v>24201</v>
      </c>
      <c r="V1246">
        <f>-619.294154299991 -59.4430895800222 -93.4274328216555</f>
        <v>-772.16467670166867</v>
      </c>
      <c r="W1246" t="s">
        <v>24202</v>
      </c>
      <c r="X1246" t="s">
        <v>24203</v>
      </c>
      <c r="Y1246" t="s">
        <v>24204</v>
      </c>
    </row>
    <row r="1247" spans="1:25" x14ac:dyDescent="0.3">
      <c r="A1247">
        <v>62300</v>
      </c>
      <c r="B1247" t="s">
        <v>24205</v>
      </c>
      <c r="C1247" t="s">
        <v>24206</v>
      </c>
      <c r="D1247" t="s">
        <v>24207</v>
      </c>
      <c r="E1247" t="s">
        <v>24208</v>
      </c>
      <c r="F1247" t="s">
        <v>24209</v>
      </c>
      <c r="G1247" t="s">
        <v>24210</v>
      </c>
      <c r="H1247" t="s">
        <v>24211</v>
      </c>
      <c r="I1247" t="s">
        <v>24212</v>
      </c>
      <c r="J1247" t="s">
        <v>24213</v>
      </c>
      <c r="K1247" t="s">
        <v>24214</v>
      </c>
      <c r="L1247" t="s">
        <v>24215</v>
      </c>
      <c r="M1247" t="s">
        <v>24216</v>
      </c>
      <c r="N1247">
        <f>-688.950566310498 -15.7376875274056 -527.361395524639</f>
        <v>-1232.0496493625424</v>
      </c>
      <c r="O1247">
        <f>-711.290516352839 -167.095562410826 -496.841789148687</f>
        <v>-1375.2278679123519</v>
      </c>
      <c r="P1247">
        <f>-755.475540226382 -169.837054360008 -218.240377078411</f>
        <v>-1143.5529716648009</v>
      </c>
      <c r="Q1247">
        <f>-525.769614551334 -163.054612087646 -251.970384927894</f>
        <v>-940.79461156687398</v>
      </c>
      <c r="R1247" t="s">
        <v>24217</v>
      </c>
      <c r="S1247" t="s">
        <v>24218</v>
      </c>
      <c r="T1247" t="s">
        <v>24219</v>
      </c>
      <c r="U1247" t="s">
        <v>24220</v>
      </c>
      <c r="V1247">
        <f>-618.047294327908 -59.5168431600505 -93.439327417499</f>
        <v>-771.00346490545758</v>
      </c>
      <c r="W1247" t="s">
        <v>24221</v>
      </c>
      <c r="X1247" t="s">
        <v>24222</v>
      </c>
      <c r="Y1247" t="s">
        <v>24223</v>
      </c>
    </row>
    <row r="1248" spans="1:25" x14ac:dyDescent="0.3">
      <c r="A1248">
        <v>62350</v>
      </c>
      <c r="B1248" t="s">
        <v>24224</v>
      </c>
      <c r="C1248" t="s">
        <v>24225</v>
      </c>
      <c r="D1248" t="s">
        <v>24226</v>
      </c>
      <c r="E1248" t="s">
        <v>24227</v>
      </c>
      <c r="F1248" t="s">
        <v>24228</v>
      </c>
      <c r="G1248" t="s">
        <v>24229</v>
      </c>
      <c r="H1248" t="s">
        <v>24230</v>
      </c>
      <c r="I1248" t="s">
        <v>24231</v>
      </c>
      <c r="J1248" t="s">
        <v>24232</v>
      </c>
      <c r="K1248" t="s">
        <v>24233</v>
      </c>
      <c r="L1248" t="s">
        <v>24234</v>
      </c>
      <c r="M1248" t="s">
        <v>24235</v>
      </c>
      <c r="N1248">
        <f>-688.37396010876 -15.8358019796829 -527.447569832822</f>
        <v>-1231.6573319212648</v>
      </c>
      <c r="O1248">
        <f>-710.006698856594 -167.338732370981 -497.153543125798</f>
        <v>-1374.4989743533729</v>
      </c>
      <c r="P1248">
        <f>-754.070420073937 -171.216442747655 -218.546348341421</f>
        <v>-1143.8332111630132</v>
      </c>
      <c r="Q1248">
        <f>-524.782867259459 -162.726537255322 -254.652963835483</f>
        <v>-942.16236835026393</v>
      </c>
      <c r="R1248" t="s">
        <v>24236</v>
      </c>
      <c r="S1248" t="s">
        <v>24237</v>
      </c>
      <c r="T1248" t="s">
        <v>24238</v>
      </c>
      <c r="U1248" t="s">
        <v>24239</v>
      </c>
      <c r="V1248">
        <f>-617.663670035538 -59.5342787447039 -93.4359342844019</f>
        <v>-770.63388306464378</v>
      </c>
      <c r="W1248" t="s">
        <v>24240</v>
      </c>
      <c r="X1248" t="s">
        <v>24241</v>
      </c>
      <c r="Y1248" t="s">
        <v>24242</v>
      </c>
    </row>
    <row r="1249" spans="1:25" x14ac:dyDescent="0.3">
      <c r="A1249">
        <v>62400</v>
      </c>
      <c r="B1249" t="s">
        <v>24243</v>
      </c>
      <c r="C1249" t="s">
        <v>24244</v>
      </c>
      <c r="D1249" t="s">
        <v>24245</v>
      </c>
      <c r="E1249" t="s">
        <v>24246</v>
      </c>
      <c r="F1249" t="s">
        <v>24247</v>
      </c>
      <c r="G1249" t="s">
        <v>24248</v>
      </c>
      <c r="H1249" t="s">
        <v>24249</v>
      </c>
      <c r="I1249" t="s">
        <v>24250</v>
      </c>
      <c r="J1249" t="s">
        <v>24251</v>
      </c>
      <c r="K1249" t="s">
        <v>24252</v>
      </c>
      <c r="L1249" t="s">
        <v>24253</v>
      </c>
      <c r="M1249" t="s">
        <v>24254</v>
      </c>
      <c r="N1249">
        <f>-688.080883722659 -15.7888556765904 -527.529333058235</f>
        <v>-1231.3990724574844</v>
      </c>
      <c r="O1249">
        <f>-709.048263255289 -167.430008537011 -497.473030341819</f>
        <v>-1373.951302134119</v>
      </c>
      <c r="P1249">
        <f>-752.592845241785 -172.401772432114 -218.801797063184</f>
        <v>-1143.7964147370831</v>
      </c>
      <c r="Q1249">
        <f>-523.833176572947 -162.121640530479 -257.684090420616</f>
        <v>-943.638907524042</v>
      </c>
      <c r="R1249" t="s">
        <v>24255</v>
      </c>
      <c r="S1249" t="s">
        <v>24256</v>
      </c>
      <c r="T1249" t="s">
        <v>24257</v>
      </c>
      <c r="U1249" t="s">
        <v>24258</v>
      </c>
      <c r="V1249">
        <f>-617.345974512029 -59.4154173649486 -93.4451719563446</f>
        <v>-770.20656383332209</v>
      </c>
      <c r="W1249" t="s">
        <v>24259</v>
      </c>
      <c r="X1249" t="s">
        <v>24260</v>
      </c>
      <c r="Y1249" t="s">
        <v>24261</v>
      </c>
    </row>
    <row r="1250" spans="1:25" x14ac:dyDescent="0.3">
      <c r="A1250">
        <v>62450</v>
      </c>
      <c r="B1250" t="s">
        <v>24262</v>
      </c>
      <c r="C1250" t="s">
        <v>24263</v>
      </c>
      <c r="D1250" t="s">
        <v>24264</v>
      </c>
      <c r="E1250" t="s">
        <v>24265</v>
      </c>
      <c r="F1250" t="s">
        <v>24266</v>
      </c>
      <c r="G1250" t="s">
        <v>24267</v>
      </c>
      <c r="H1250" t="s">
        <v>24268</v>
      </c>
      <c r="I1250" t="s">
        <v>24269</v>
      </c>
      <c r="J1250" t="s">
        <v>24270</v>
      </c>
      <c r="K1250" t="s">
        <v>24271</v>
      </c>
      <c r="L1250" t="s">
        <v>24272</v>
      </c>
      <c r="M1250" t="s">
        <v>24273</v>
      </c>
      <c r="N1250">
        <f>-687.888574625181 -15.6203058401293 -527.620440509208</f>
        <v>-1231.1293209745184</v>
      </c>
      <c r="O1250">
        <f>-707.525325804149 -167.49249054168 -497.902382188442</f>
        <v>-1372.9201985342711</v>
      </c>
      <c r="P1250">
        <f>-749.170202047835 -174.48267069804 -218.984099677579</f>
        <v>-1142.6369724234539</v>
      </c>
      <c r="Q1250">
        <f>-521.74853910566 -160.853008882583 -264.174434273563</f>
        <v>-946.77598226180612</v>
      </c>
      <c r="R1250" t="s">
        <v>24274</v>
      </c>
      <c r="S1250" t="s">
        <v>24275</v>
      </c>
      <c r="T1250" t="s">
        <v>24276</v>
      </c>
      <c r="U1250" t="s">
        <v>24277</v>
      </c>
      <c r="V1250">
        <f>-616.520993141088 -59.082244363826 -93.4642938879765</f>
        <v>-769.06753139289049</v>
      </c>
      <c r="W1250" t="s">
        <v>24278</v>
      </c>
      <c r="X1250" t="s">
        <v>24279</v>
      </c>
      <c r="Y1250" t="s">
        <v>24280</v>
      </c>
    </row>
    <row r="1251" spans="1:25" x14ac:dyDescent="0.3">
      <c r="A1251">
        <v>62500</v>
      </c>
      <c r="B1251" t="s">
        <v>24281</v>
      </c>
      <c r="C1251" t="s">
        <v>24282</v>
      </c>
      <c r="D1251" t="s">
        <v>24283</v>
      </c>
      <c r="E1251" t="s">
        <v>24284</v>
      </c>
      <c r="F1251" t="s">
        <v>24285</v>
      </c>
      <c r="G1251" t="s">
        <v>24286</v>
      </c>
      <c r="H1251" t="s">
        <v>24287</v>
      </c>
      <c r="I1251" t="s">
        <v>24288</v>
      </c>
      <c r="J1251" t="s">
        <v>24289</v>
      </c>
      <c r="K1251" t="s">
        <v>24290</v>
      </c>
      <c r="L1251" t="s">
        <v>24291</v>
      </c>
      <c r="M1251" t="s">
        <v>24292</v>
      </c>
      <c r="N1251">
        <f>-687.939046988549 -15.9456963309453 -527.54402246754</f>
        <v>-1231.4287657870343</v>
      </c>
      <c r="O1251">
        <f>-706.314103526408 -167.996516811221 -497.926780569769</f>
        <v>-1372.2374009073978</v>
      </c>
      <c r="P1251">
        <f>-745.639966797428 -177.538143151427 -218.747693198276</f>
        <v>-1141.9258031471309</v>
      </c>
      <c r="Q1251">
        <f>-519.684270759927 -160.302463929809 -269.693523259446</f>
        <v>-949.68025794918208</v>
      </c>
      <c r="R1251" t="s">
        <v>24293</v>
      </c>
      <c r="S1251" t="s">
        <v>24294</v>
      </c>
      <c r="T1251" t="s">
        <v>24295</v>
      </c>
      <c r="U1251" t="s">
        <v>24296</v>
      </c>
      <c r="V1251">
        <f>-615.732510671858 -59.0804547535504 -93.4608550930194</f>
        <v>-768.27382051842778</v>
      </c>
      <c r="W1251" t="s">
        <v>24297</v>
      </c>
      <c r="X1251" t="s">
        <v>24298</v>
      </c>
      <c r="Y1251" t="s">
        <v>24299</v>
      </c>
    </row>
    <row r="1252" spans="1:25" x14ac:dyDescent="0.3">
      <c r="A1252">
        <v>62550</v>
      </c>
      <c r="B1252" t="s">
        <v>24300</v>
      </c>
      <c r="C1252" t="s">
        <v>24301</v>
      </c>
      <c r="D1252" t="s">
        <v>24302</v>
      </c>
      <c r="E1252" t="s">
        <v>24303</v>
      </c>
      <c r="F1252" t="s">
        <v>24304</v>
      </c>
      <c r="G1252" t="s">
        <v>24305</v>
      </c>
      <c r="H1252" t="s">
        <v>24306</v>
      </c>
      <c r="I1252" t="s">
        <v>24307</v>
      </c>
      <c r="J1252" t="s">
        <v>24308</v>
      </c>
      <c r="K1252" t="s">
        <v>24309</v>
      </c>
      <c r="L1252" t="s">
        <v>24310</v>
      </c>
      <c r="M1252" t="s">
        <v>24311</v>
      </c>
      <c r="N1252">
        <f>-687.9842344783 -16.2808486654217 -527.505793487065</f>
        <v>-1231.7708766307867</v>
      </c>
      <c r="O1252">
        <f>-705.853813066499 -168.402079331691 -497.935285025402</f>
        <v>-1372.1911774235919</v>
      </c>
      <c r="P1252">
        <f>-743.696254877987 -178.704264290918 -218.578213938207</f>
        <v>-1140.978733107112</v>
      </c>
      <c r="Q1252">
        <f>-518.596717633866 -159.788089134944 -272.623525455924</f>
        <v>-951.00833222473398</v>
      </c>
      <c r="R1252" t="s">
        <v>24312</v>
      </c>
      <c r="S1252" t="s">
        <v>24313</v>
      </c>
      <c r="T1252" t="s">
        <v>24314</v>
      </c>
      <c r="U1252" t="s">
        <v>24315</v>
      </c>
      <c r="V1252">
        <f>-615.348761904096 -59.3225994199254 -93.4659093172867</f>
        <v>-768.13727064130808</v>
      </c>
      <c r="W1252" t="s">
        <v>24316</v>
      </c>
      <c r="X1252" t="s">
        <v>24317</v>
      </c>
      <c r="Y1252" t="s">
        <v>24318</v>
      </c>
    </row>
    <row r="1253" spans="1:25" x14ac:dyDescent="0.3">
      <c r="A1253">
        <v>62600</v>
      </c>
      <c r="B1253" t="s">
        <v>24319</v>
      </c>
      <c r="C1253" t="s">
        <v>24320</v>
      </c>
      <c r="D1253" t="s">
        <v>24321</v>
      </c>
      <c r="E1253" t="s">
        <v>24322</v>
      </c>
      <c r="F1253" t="s">
        <v>24323</v>
      </c>
      <c r="G1253" t="s">
        <v>24324</v>
      </c>
      <c r="H1253" t="s">
        <v>24325</v>
      </c>
      <c r="I1253" t="s">
        <v>24326</v>
      </c>
      <c r="J1253" t="s">
        <v>24327</v>
      </c>
      <c r="K1253" t="s">
        <v>24328</v>
      </c>
      <c r="L1253" t="s">
        <v>24329</v>
      </c>
      <c r="M1253" t="s">
        <v>24330</v>
      </c>
      <c r="N1253">
        <f>-688.135519259287 -17.1606290509696 -527.415006915323</f>
        <v>-1232.7111552255797</v>
      </c>
      <c r="O1253">
        <f>-705.167759219545 -169.402976808342 -497.961947549245</f>
        <v>-1372.532683577132</v>
      </c>
      <c r="P1253">
        <f>-740.460098560915 -180.810534355998 -218.314261772296</f>
        <v>-1139.584894689209</v>
      </c>
      <c r="Q1253">
        <f>-517.00534862075 -158.509572373523 -277.636809755101</f>
        <v>-953.15173074937411</v>
      </c>
      <c r="R1253" t="s">
        <v>24331</v>
      </c>
      <c r="S1253" t="s">
        <v>24332</v>
      </c>
      <c r="T1253" t="s">
        <v>24333</v>
      </c>
      <c r="U1253" t="s">
        <v>24334</v>
      </c>
      <c r="V1253">
        <f>-614.613699668049 -60.1067538595605 -93.4757501651939</f>
        <v>-768.19620369280335</v>
      </c>
      <c r="W1253" t="s">
        <v>24335</v>
      </c>
      <c r="X1253" t="s">
        <v>24336</v>
      </c>
      <c r="Y1253" t="s">
        <v>24337</v>
      </c>
    </row>
    <row r="1254" spans="1:25" x14ac:dyDescent="0.3">
      <c r="A1254">
        <v>62650</v>
      </c>
      <c r="B1254" t="s">
        <v>24338</v>
      </c>
      <c r="C1254" t="s">
        <v>24339</v>
      </c>
      <c r="D1254" t="s">
        <v>24340</v>
      </c>
      <c r="E1254" t="s">
        <v>24341</v>
      </c>
      <c r="F1254" t="s">
        <v>24342</v>
      </c>
      <c r="G1254" t="s">
        <v>24343</v>
      </c>
      <c r="H1254" t="s">
        <v>24344</v>
      </c>
      <c r="I1254" t="s">
        <v>24345</v>
      </c>
      <c r="J1254" t="s">
        <v>24346</v>
      </c>
      <c r="K1254" t="s">
        <v>24347</v>
      </c>
      <c r="L1254" t="s">
        <v>24348</v>
      </c>
      <c r="M1254" t="s">
        <v>24349</v>
      </c>
      <c r="N1254">
        <f>-688.065243014611 -17.5448887156481 -527.395497256246</f>
        <v>-1233.0056289865051</v>
      </c>
      <c r="O1254">
        <f>-704.738490875024 -169.855914853982 -498.069133111536</f>
        <v>-1372.6635388405421</v>
      </c>
      <c r="P1254">
        <f>-738.977209342879 -181.572272352708 -218.303130130649</f>
        <v>-1138.8526118262359</v>
      </c>
      <c r="Q1254">
        <f>-516.261537667069 -157.788092882874 -279.789626604833</f>
        <v>-953.83925715477608</v>
      </c>
      <c r="R1254" t="s">
        <v>24350</v>
      </c>
      <c r="S1254" t="s">
        <v>24351</v>
      </c>
      <c r="T1254" t="s">
        <v>24352</v>
      </c>
      <c r="U1254" t="s">
        <v>24353</v>
      </c>
      <c r="V1254">
        <f>-614.193527091602 -60.5571581584495 -93.4918991520707</f>
        <v>-768.24258440212225</v>
      </c>
      <c r="W1254" t="s">
        <v>24354</v>
      </c>
      <c r="X1254" t="s">
        <v>24355</v>
      </c>
      <c r="Y1254" t="s">
        <v>24356</v>
      </c>
    </row>
    <row r="1255" spans="1:25" x14ac:dyDescent="0.3">
      <c r="A1255">
        <v>62700</v>
      </c>
      <c r="B1255" t="s">
        <v>24357</v>
      </c>
      <c r="C1255" t="s">
        <v>24358</v>
      </c>
      <c r="D1255" t="s">
        <v>24359</v>
      </c>
      <c r="E1255" t="s">
        <v>24360</v>
      </c>
      <c r="F1255" t="s">
        <v>24361</v>
      </c>
      <c r="G1255" t="s">
        <v>24362</v>
      </c>
      <c r="H1255" t="s">
        <v>24363</v>
      </c>
      <c r="I1255" t="s">
        <v>24364</v>
      </c>
      <c r="J1255" t="s">
        <v>24365</v>
      </c>
      <c r="K1255" t="s">
        <v>24366</v>
      </c>
      <c r="L1255" t="s">
        <v>24367</v>
      </c>
      <c r="M1255" t="s">
        <v>24368</v>
      </c>
      <c r="N1255">
        <f>-687.445853343243 -18.3562873897188 -527.386824655341</f>
        <v>-1233.1889653883027</v>
      </c>
      <c r="O1255">
        <f>-703.26796690299 -170.799798765589 -498.274392892917</f>
        <v>-1372.342158561496</v>
      </c>
      <c r="P1255">
        <f>-736.646380450222 -183.920747076871 -218.46677450362</f>
        <v>-1139.0339020307129</v>
      </c>
      <c r="Q1255">
        <f>-515.299431968497 -156.299527616552 -283.205759522277</f>
        <v>-954.80471910732604</v>
      </c>
      <c r="R1255" t="s">
        <v>24369</v>
      </c>
      <c r="S1255" t="s">
        <v>24370</v>
      </c>
      <c r="T1255" t="s">
        <v>24371</v>
      </c>
      <c r="U1255" t="s">
        <v>24372</v>
      </c>
      <c r="V1255">
        <f>-613.347941594374 -61.3767195632058 -93.5199491487504</f>
        <v>-768.24461030633017</v>
      </c>
      <c r="W1255" t="s">
        <v>24373</v>
      </c>
      <c r="X1255" t="s">
        <v>24374</v>
      </c>
      <c r="Y1255" t="s">
        <v>24375</v>
      </c>
    </row>
    <row r="1256" spans="1:25" x14ac:dyDescent="0.3">
      <c r="A1256">
        <v>62750</v>
      </c>
      <c r="B1256" t="s">
        <v>24376</v>
      </c>
      <c r="C1256" t="s">
        <v>24377</v>
      </c>
      <c r="D1256" t="s">
        <v>24378</v>
      </c>
      <c r="E1256" t="s">
        <v>24379</v>
      </c>
      <c r="F1256" t="s">
        <v>24380</v>
      </c>
      <c r="G1256" t="s">
        <v>24381</v>
      </c>
      <c r="H1256" t="s">
        <v>24382</v>
      </c>
      <c r="I1256" t="s">
        <v>24383</v>
      </c>
      <c r="J1256" t="s">
        <v>24384</v>
      </c>
      <c r="K1256" t="s">
        <v>24385</v>
      </c>
      <c r="L1256" t="s">
        <v>24386</v>
      </c>
      <c r="M1256" t="s">
        <v>24387</v>
      </c>
      <c r="N1256">
        <f>-686.914998031995 -18.5911243330872 -527.460731746999</f>
        <v>-1232.9668541120814</v>
      </c>
      <c r="O1256">
        <f>-702.483658317171 -171.09618864744 -498.473436264204</f>
        <v>-1372.053283228815</v>
      </c>
      <c r="P1256">
        <f>-735.152839914355 -184.840942780676 -218.612081880377</f>
        <v>-1138.6058645754078</v>
      </c>
      <c r="Q1256">
        <f>-514.394820249047 -155.476695180052 -284.582999444704</f>
        <v>-954.45451487380296</v>
      </c>
      <c r="R1256" t="s">
        <v>24388</v>
      </c>
      <c r="S1256" t="s">
        <v>24389</v>
      </c>
      <c r="T1256" t="s">
        <v>24390</v>
      </c>
      <c r="U1256" t="s">
        <v>24391</v>
      </c>
      <c r="V1256">
        <f>-612.989570608814 -61.8736095362183 -93.5406234112694</f>
        <v>-768.40380355630168</v>
      </c>
      <c r="W1256" t="s">
        <v>24392</v>
      </c>
      <c r="X1256" t="s">
        <v>24393</v>
      </c>
      <c r="Y1256" t="s">
        <v>24394</v>
      </c>
    </row>
    <row r="1257" spans="1:25" x14ac:dyDescent="0.3">
      <c r="A1257">
        <v>62800</v>
      </c>
      <c r="B1257" t="s">
        <v>24395</v>
      </c>
      <c r="C1257" t="s">
        <v>24396</v>
      </c>
      <c r="D1257" t="s">
        <v>24397</v>
      </c>
      <c r="E1257" t="s">
        <v>24398</v>
      </c>
      <c r="F1257" t="s">
        <v>24399</v>
      </c>
      <c r="G1257" t="s">
        <v>24400</v>
      </c>
      <c r="H1257" t="s">
        <v>24401</v>
      </c>
      <c r="I1257" t="s">
        <v>24402</v>
      </c>
      <c r="J1257" t="s">
        <v>24403</v>
      </c>
      <c r="K1257" t="s">
        <v>24404</v>
      </c>
      <c r="L1257" t="s">
        <v>24405</v>
      </c>
      <c r="M1257" t="s">
        <v>24406</v>
      </c>
      <c r="N1257">
        <f>-685.835414242972 -18.950943457804 -527.688948571326</f>
        <v>-1232.475306272102</v>
      </c>
      <c r="O1257">
        <f>-700.842462766172 -171.543026908547 -498.907434031879</f>
        <v>-1371.2929237065982</v>
      </c>
      <c r="P1257">
        <f>-732.091017230535 -186.740105607375 -218.958977253732</f>
        <v>-1137.790100091642</v>
      </c>
      <c r="Q1257">
        <f>-512.578165942521 -154.075161072218 -287.483772533841</f>
        <v>-954.13709954857995</v>
      </c>
      <c r="R1257" t="s">
        <v>24407</v>
      </c>
      <c r="S1257" t="s">
        <v>24408</v>
      </c>
      <c r="T1257" t="s">
        <v>24409</v>
      </c>
      <c r="U1257" t="s">
        <v>24410</v>
      </c>
      <c r="V1257">
        <f>-612.571872199041 -63.0143476477292 -93.5852847650053</f>
        <v>-769.1715046117755</v>
      </c>
      <c r="W1257" t="s">
        <v>24411</v>
      </c>
      <c r="X1257" t="s">
        <v>24412</v>
      </c>
      <c r="Y1257" t="s">
        <v>24413</v>
      </c>
    </row>
    <row r="1258" spans="1:25" x14ac:dyDescent="0.3">
      <c r="A1258">
        <v>62850</v>
      </c>
      <c r="B1258" t="s">
        <v>24414</v>
      </c>
      <c r="C1258" t="s">
        <v>24415</v>
      </c>
      <c r="D1258" t="s">
        <v>24416</v>
      </c>
      <c r="E1258" t="s">
        <v>24417</v>
      </c>
      <c r="F1258" t="s">
        <v>24418</v>
      </c>
      <c r="G1258" t="s">
        <v>24419</v>
      </c>
      <c r="H1258" t="s">
        <v>24420</v>
      </c>
      <c r="I1258" t="s">
        <v>24421</v>
      </c>
      <c r="J1258" t="s">
        <v>24422</v>
      </c>
      <c r="K1258" t="s">
        <v>24423</v>
      </c>
      <c r="L1258" t="s">
        <v>24424</v>
      </c>
      <c r="M1258" t="s">
        <v>24425</v>
      </c>
      <c r="N1258">
        <f>-685.075735217634 -19.1516486238072 -527.853790301264</f>
        <v>-1232.0811741427051</v>
      </c>
      <c r="O1258">
        <f>-699.735856251304 -171.801832318603 -499.220555897748</f>
        <v>-1370.758244467655</v>
      </c>
      <c r="P1258">
        <f>-730.611546888402 -187.630813314582 -219.265791979876</f>
        <v>-1137.5081521828602</v>
      </c>
      <c r="Q1258">
        <f>-511.79554122726 -153.410873164305 -289.244836664375</f>
        <v>-954.45125105594002</v>
      </c>
      <c r="R1258" t="s">
        <v>24426</v>
      </c>
      <c r="S1258" t="s">
        <v>24427</v>
      </c>
      <c r="T1258" t="s">
        <v>24428</v>
      </c>
      <c r="U1258" t="s">
        <v>24429</v>
      </c>
      <c r="V1258">
        <f>-612.411239163315 -63.5692669300527 -93.6200531928794</f>
        <v>-769.60055928624706</v>
      </c>
      <c r="W1258" t="s">
        <v>24430</v>
      </c>
      <c r="X1258" t="s">
        <v>24431</v>
      </c>
      <c r="Y1258" t="s">
        <v>24432</v>
      </c>
    </row>
    <row r="1259" spans="1:25" x14ac:dyDescent="0.3">
      <c r="A1259">
        <v>62900</v>
      </c>
      <c r="B1259" t="s">
        <v>24433</v>
      </c>
      <c r="C1259" t="s">
        <v>24434</v>
      </c>
      <c r="D1259" t="s">
        <v>24435</v>
      </c>
      <c r="E1259" t="s">
        <v>24436</v>
      </c>
      <c r="F1259" t="s">
        <v>24437</v>
      </c>
      <c r="G1259" t="s">
        <v>24438</v>
      </c>
      <c r="H1259" t="s">
        <v>24439</v>
      </c>
      <c r="I1259" t="s">
        <v>24440</v>
      </c>
      <c r="J1259" t="s">
        <v>24441</v>
      </c>
      <c r="K1259" t="s">
        <v>24442</v>
      </c>
      <c r="L1259" t="s">
        <v>24443</v>
      </c>
      <c r="M1259" t="s">
        <v>24444</v>
      </c>
      <c r="N1259">
        <f>-683.365159750243 -19.6409194857965 -528.172126951498</f>
        <v>-1231.1782061875374</v>
      </c>
      <c r="O1259">
        <f>-697.28607755869 -172.420417727367 -499.835128901764</f>
        <v>-1369.5416241878208</v>
      </c>
      <c r="P1259">
        <f>-727.704633045982 -189.552296608608 -219.906806489007</f>
        <v>-1137.1637361435969</v>
      </c>
      <c r="Q1259">
        <f>-510.455589423555 -153.018941112312 -293.505112961466</f>
        <v>-956.97964349733297</v>
      </c>
      <c r="R1259" t="s">
        <v>24445</v>
      </c>
      <c r="S1259" t="s">
        <v>24446</v>
      </c>
      <c r="T1259" t="s">
        <v>24447</v>
      </c>
      <c r="U1259" t="s">
        <v>24448</v>
      </c>
      <c r="V1259">
        <f>-612.06097450937 -64.3896382463163 -93.6884451873407</f>
        <v>-770.13905794302696</v>
      </c>
      <c r="W1259" t="s">
        <v>24449</v>
      </c>
      <c r="X1259" t="s">
        <v>24450</v>
      </c>
      <c r="Y1259" t="s">
        <v>24451</v>
      </c>
    </row>
    <row r="1260" spans="1:25" x14ac:dyDescent="0.3">
      <c r="A1260">
        <v>62950</v>
      </c>
      <c r="B1260" t="s">
        <v>24452</v>
      </c>
      <c r="C1260" t="s">
        <v>24453</v>
      </c>
      <c r="D1260" t="s">
        <v>24454</v>
      </c>
      <c r="E1260" t="s">
        <v>24455</v>
      </c>
      <c r="F1260" t="s">
        <v>24456</v>
      </c>
      <c r="G1260" t="s">
        <v>24457</v>
      </c>
      <c r="H1260" t="s">
        <v>24458</v>
      </c>
      <c r="I1260" t="s">
        <v>24459</v>
      </c>
      <c r="J1260" t="s">
        <v>24460</v>
      </c>
      <c r="K1260" t="s">
        <v>24461</v>
      </c>
      <c r="L1260" t="s">
        <v>24462</v>
      </c>
      <c r="M1260" t="s">
        <v>24463</v>
      </c>
      <c r="N1260">
        <f>-682.686953708368 -19.8521083983567 -528.274974563551</f>
        <v>-1230.8140366702758</v>
      </c>
      <c r="O1260">
        <f>-696.294523626698 -172.666663168648 -500.008671713127</f>
        <v>-1368.969858508473</v>
      </c>
      <c r="P1260">
        <f>-726.260575687643 -190.581385505658 -220.080593209702</f>
        <v>-1136.922554403003</v>
      </c>
      <c r="Q1260">
        <f>-509.945428350149 -152.592882890036 -295.666134584497</f>
        <v>-958.2044458246819</v>
      </c>
      <c r="R1260" t="s">
        <v>24464</v>
      </c>
      <c r="S1260" t="s">
        <v>24465</v>
      </c>
      <c r="T1260" t="s">
        <v>24466</v>
      </c>
      <c r="U1260" t="s">
        <v>24467</v>
      </c>
      <c r="V1260">
        <f>-611.914115305364 -64.6759284605996 -93.702776839874</f>
        <v>-770.29282060583762</v>
      </c>
      <c r="W1260" t="s">
        <v>24468</v>
      </c>
      <c r="X1260" t="s">
        <v>24469</v>
      </c>
      <c r="Y1260" t="s">
        <v>24470</v>
      </c>
    </row>
    <row r="1261" spans="1:25" x14ac:dyDescent="0.3">
      <c r="A1261">
        <v>63000</v>
      </c>
      <c r="B1261" t="s">
        <v>24471</v>
      </c>
      <c r="C1261" t="s">
        <v>24472</v>
      </c>
      <c r="D1261" t="s">
        <v>24473</v>
      </c>
      <c r="E1261" t="s">
        <v>24474</v>
      </c>
      <c r="F1261" t="s">
        <v>24475</v>
      </c>
      <c r="G1261" t="s">
        <v>24476</v>
      </c>
      <c r="H1261" t="s">
        <v>24477</v>
      </c>
      <c r="I1261" t="s">
        <v>24478</v>
      </c>
      <c r="J1261" t="s">
        <v>24479</v>
      </c>
      <c r="K1261" t="s">
        <v>24480</v>
      </c>
      <c r="L1261" t="s">
        <v>24481</v>
      </c>
      <c r="M1261" t="s">
        <v>24482</v>
      </c>
      <c r="N1261">
        <f>-681.737181985585 -20.1362021670163 -528.408257280595</f>
        <v>-1230.2816414331965</v>
      </c>
      <c r="O1261">
        <f>-694.754791737699 -173.007589478105 -500.147008678019</f>
        <v>-1367.9093898938231</v>
      </c>
      <c r="P1261">
        <f>-723.244706536242 -191.742375243452 -220.118534859523</f>
        <v>-1135.105616639217</v>
      </c>
      <c r="Q1261">
        <f>-508.230455419017 -151.734132223724 -298.328345330181</f>
        <v>-958.29293297292202</v>
      </c>
      <c r="R1261" t="s">
        <v>24483</v>
      </c>
      <c r="S1261" t="s">
        <v>24484</v>
      </c>
      <c r="T1261" t="s">
        <v>24485</v>
      </c>
      <c r="U1261" t="s">
        <v>24486</v>
      </c>
      <c r="V1261">
        <f>-611.696353538612 -64.9917080213543 -93.7255249768051</f>
        <v>-770.41358653677139</v>
      </c>
      <c r="W1261" t="s">
        <v>24487</v>
      </c>
      <c r="X1261" t="s">
        <v>24488</v>
      </c>
      <c r="Y1261" t="s">
        <v>24489</v>
      </c>
    </row>
    <row r="1262" spans="1:25" x14ac:dyDescent="0.3">
      <c r="A1262">
        <v>63050</v>
      </c>
      <c r="B1262" t="s">
        <v>24490</v>
      </c>
      <c r="C1262" t="s">
        <v>24491</v>
      </c>
      <c r="D1262" t="s">
        <v>24492</v>
      </c>
      <c r="E1262" t="s">
        <v>24493</v>
      </c>
      <c r="F1262" t="s">
        <v>24494</v>
      </c>
      <c r="G1262" t="s">
        <v>24495</v>
      </c>
      <c r="H1262" t="s">
        <v>24496</v>
      </c>
      <c r="I1262" t="s">
        <v>24497</v>
      </c>
      <c r="J1262" t="s">
        <v>24498</v>
      </c>
      <c r="K1262" t="s">
        <v>24499</v>
      </c>
      <c r="L1262" t="s">
        <v>24500</v>
      </c>
      <c r="M1262" t="s">
        <v>24501</v>
      </c>
      <c r="N1262">
        <f>-681.5257497331 -20.2315344183303 -528.436654578223</f>
        <v>-1230.1939387296534</v>
      </c>
      <c r="O1262">
        <f>-694.322983130732 -173.105349316494 -500.122078810433</f>
        <v>-1367.5504112576591</v>
      </c>
      <c r="P1262">
        <f>-721.912459200213 -192.231453259394 -220.02998880119</f>
        <v>-1134.173901260797</v>
      </c>
      <c r="Q1262">
        <f>-507.350845290742 -150.947846649425 -298.817761680986</f>
        <v>-957.11645362115291</v>
      </c>
      <c r="R1262" t="s">
        <v>24502</v>
      </c>
      <c r="S1262" t="s">
        <v>24503</v>
      </c>
      <c r="T1262" t="s">
        <v>24504</v>
      </c>
      <c r="U1262" t="s">
        <v>24505</v>
      </c>
      <c r="V1262">
        <f>-611.680665791325 -65.066844439493 -93.7280265158273</f>
        <v>-770.47553674664539</v>
      </c>
      <c r="W1262" t="s">
        <v>24506</v>
      </c>
      <c r="X1262" t="s">
        <v>24507</v>
      </c>
      <c r="Y1262" t="s">
        <v>24508</v>
      </c>
    </row>
    <row r="1263" spans="1:25" x14ac:dyDescent="0.3">
      <c r="A1263">
        <v>63100</v>
      </c>
      <c r="B1263" t="s">
        <v>24509</v>
      </c>
      <c r="C1263" t="s">
        <v>24510</v>
      </c>
      <c r="D1263" t="s">
        <v>24511</v>
      </c>
      <c r="E1263" t="s">
        <v>24512</v>
      </c>
      <c r="F1263" t="s">
        <v>24513</v>
      </c>
      <c r="G1263" t="s">
        <v>24514</v>
      </c>
      <c r="H1263" t="s">
        <v>24515</v>
      </c>
      <c r="I1263" t="s">
        <v>24516</v>
      </c>
      <c r="J1263" t="s">
        <v>24517</v>
      </c>
      <c r="K1263" t="s">
        <v>24518</v>
      </c>
      <c r="L1263" t="s">
        <v>24519</v>
      </c>
      <c r="M1263" t="s">
        <v>24520</v>
      </c>
      <c r="N1263">
        <f>-681.265746831245 -20.4501031942646 -528.436494180904</f>
        <v>-1230.1523442064135</v>
      </c>
      <c r="O1263">
        <f>-693.728054355974 -173.314519937237 -499.913558353089</f>
        <v>-1366.9561326462999</v>
      </c>
      <c r="P1263">
        <f>-719.789156707355 -192.461339100739 -219.67655650784</f>
        <v>-1131.9270523159339</v>
      </c>
      <c r="Q1263">
        <f>-506.283868273571 -148.68434937463 -299.973399725599</f>
        <v>-954.9416173738</v>
      </c>
      <c r="R1263" t="s">
        <v>24521</v>
      </c>
      <c r="S1263" t="s">
        <v>24522</v>
      </c>
      <c r="T1263" t="s">
        <v>24523</v>
      </c>
      <c r="U1263" t="s">
        <v>24524</v>
      </c>
      <c r="V1263">
        <f>-611.764668072953 -65.1392319905719 -93.6842872479407</f>
        <v>-770.58818731146562</v>
      </c>
      <c r="W1263" t="s">
        <v>24525</v>
      </c>
      <c r="X1263" t="s">
        <v>24526</v>
      </c>
      <c r="Y1263" t="s">
        <v>24527</v>
      </c>
    </row>
    <row r="1264" spans="1:25" x14ac:dyDescent="0.3">
      <c r="A1264">
        <v>63150</v>
      </c>
      <c r="B1264" t="s">
        <v>24528</v>
      </c>
      <c r="C1264" t="s">
        <v>24529</v>
      </c>
      <c r="D1264" t="s">
        <v>24530</v>
      </c>
      <c r="E1264" t="s">
        <v>24531</v>
      </c>
      <c r="F1264" t="s">
        <v>24532</v>
      </c>
      <c r="G1264" t="s">
        <v>24533</v>
      </c>
      <c r="H1264" t="s">
        <v>24534</v>
      </c>
      <c r="I1264" t="s">
        <v>24535</v>
      </c>
      <c r="J1264" t="s">
        <v>24536</v>
      </c>
      <c r="K1264" t="s">
        <v>24537</v>
      </c>
      <c r="L1264" t="s">
        <v>24538</v>
      </c>
      <c r="M1264" t="s">
        <v>24539</v>
      </c>
      <c r="N1264">
        <f>-681.080902286719 -20.6532194670281 -528.387900315964</f>
        <v>-1230.122022069711</v>
      </c>
      <c r="O1264">
        <f>-693.521472609672 -173.476667100205 -499.644598839217</f>
        <v>-1366.6427385490938</v>
      </c>
      <c r="P1264">
        <f>-718.818578473536 -192.18912339397 -219.308175962876</f>
        <v>-1130.3158778303821</v>
      </c>
      <c r="Q1264">
        <f>-505.803339055826 -147.583895149759 -300.446521895156</f>
        <v>-953.83375610074097</v>
      </c>
      <c r="R1264" t="s">
        <v>24540</v>
      </c>
      <c r="S1264" t="s">
        <v>24541</v>
      </c>
      <c r="T1264" t="s">
        <v>24542</v>
      </c>
      <c r="U1264" t="s">
        <v>24543</v>
      </c>
      <c r="V1264">
        <f>-611.755564497253 -65.0748789539261 -93.6313170086121</f>
        <v>-770.46176045979121</v>
      </c>
      <c r="W1264" t="s">
        <v>24544</v>
      </c>
      <c r="X1264" t="s">
        <v>24545</v>
      </c>
      <c r="Y1264" t="s">
        <v>24546</v>
      </c>
    </row>
    <row r="1265" spans="1:25" x14ac:dyDescent="0.3">
      <c r="A1265">
        <v>63200</v>
      </c>
      <c r="B1265" t="s">
        <v>24547</v>
      </c>
      <c r="C1265" t="s">
        <v>24548</v>
      </c>
      <c r="D1265" t="s">
        <v>24549</v>
      </c>
      <c r="E1265" t="s">
        <v>24550</v>
      </c>
      <c r="F1265" t="s">
        <v>24551</v>
      </c>
      <c r="G1265" t="s">
        <v>24552</v>
      </c>
      <c r="H1265" t="s">
        <v>24553</v>
      </c>
      <c r="I1265" t="s">
        <v>24554</v>
      </c>
      <c r="J1265" t="s">
        <v>24555</v>
      </c>
      <c r="K1265" t="s">
        <v>24556</v>
      </c>
      <c r="L1265" t="s">
        <v>24557</v>
      </c>
      <c r="M1265" t="s">
        <v>24558</v>
      </c>
      <c r="N1265">
        <f>-680.504999982997 -20.8787095590103 -528.220591313289</f>
        <v>-1229.6043008552963</v>
      </c>
      <c r="O1265">
        <f>-692.89350541307 -173.612206634189 -498.982194970146</f>
        <v>-1365.487907017405</v>
      </c>
      <c r="P1265">
        <f>-717.113623000847 -191.306096273315 -218.484678670024</f>
        <v>-1126.904397944186</v>
      </c>
      <c r="Q1265">
        <f>-504.521991936175 -145.975901652999 -300.328951093383</f>
        <v>-950.82684468255707</v>
      </c>
      <c r="R1265" t="s">
        <v>24559</v>
      </c>
      <c r="S1265" t="s">
        <v>24560</v>
      </c>
      <c r="T1265" t="s">
        <v>24561</v>
      </c>
      <c r="U1265" t="s">
        <v>24562</v>
      </c>
      <c r="V1265">
        <f>-611.477068663299 -64.8064739481754 -93.4149677745654</f>
        <v>-769.69851038603974</v>
      </c>
      <c r="W1265" t="s">
        <v>24563</v>
      </c>
      <c r="X1265" t="s">
        <v>24564</v>
      </c>
      <c r="Y1265" t="s">
        <v>24565</v>
      </c>
    </row>
    <row r="1266" spans="1:25" x14ac:dyDescent="0.3">
      <c r="A1266">
        <v>63250</v>
      </c>
      <c r="B1266" t="s">
        <v>24566</v>
      </c>
      <c r="C1266" t="s">
        <v>24567</v>
      </c>
      <c r="D1266" t="s">
        <v>24568</v>
      </c>
      <c r="E1266" t="s">
        <v>24569</v>
      </c>
      <c r="F1266" t="s">
        <v>24570</v>
      </c>
      <c r="G1266" t="s">
        <v>24571</v>
      </c>
      <c r="H1266" t="s">
        <v>24572</v>
      </c>
      <c r="I1266" t="s">
        <v>24573</v>
      </c>
      <c r="J1266" t="s">
        <v>24574</v>
      </c>
      <c r="K1266" t="s">
        <v>24575</v>
      </c>
      <c r="L1266" t="s">
        <v>24576</v>
      </c>
      <c r="M1266" t="s">
        <v>24577</v>
      </c>
      <c r="N1266">
        <f>-680.081661785784 -20.8955694510485 -528.123542994702</f>
        <v>-1229.1007742315346</v>
      </c>
      <c r="O1266">
        <f>-692.393100418045 -173.601811605422 -498.695947402666</f>
        <v>-1364.6908594261331</v>
      </c>
      <c r="P1266">
        <f>-716.47266016017 -190.918373336149 -218.162704035443</f>
        <v>-1125.553737531762</v>
      </c>
      <c r="Q1266">
        <f>-503.795813399038 -145.494944325185 -299.733412758774</f>
        <v>-949.02417048299708</v>
      </c>
      <c r="R1266" t="s">
        <v>24578</v>
      </c>
      <c r="S1266" t="s">
        <v>24579</v>
      </c>
      <c r="T1266" t="s">
        <v>24580</v>
      </c>
      <c r="U1266" t="s">
        <v>24581</v>
      </c>
      <c r="V1266">
        <f>-611.340743875872 -64.5736280979625 -93.2926657519221</f>
        <v>-769.20703772575655</v>
      </c>
      <c r="W1266" t="s">
        <v>24582</v>
      </c>
      <c r="X1266" t="s">
        <v>24583</v>
      </c>
      <c r="Y1266" t="s">
        <v>24584</v>
      </c>
    </row>
    <row r="1267" spans="1:25" x14ac:dyDescent="0.3">
      <c r="A1267">
        <v>63300</v>
      </c>
      <c r="B1267" t="s">
        <v>24585</v>
      </c>
      <c r="C1267" t="s">
        <v>24586</v>
      </c>
      <c r="D1267" t="s">
        <v>24587</v>
      </c>
      <c r="E1267" t="s">
        <v>24588</v>
      </c>
      <c r="F1267" t="s">
        <v>24589</v>
      </c>
      <c r="G1267" t="s">
        <v>24590</v>
      </c>
      <c r="H1267" t="s">
        <v>24591</v>
      </c>
      <c r="I1267" t="s">
        <v>24592</v>
      </c>
      <c r="J1267" t="s">
        <v>24593</v>
      </c>
      <c r="K1267" t="s">
        <v>24594</v>
      </c>
      <c r="L1267" t="s">
        <v>24595</v>
      </c>
      <c r="M1267" t="s">
        <v>24596</v>
      </c>
      <c r="N1267">
        <f>-679.530893069662 -20.9266417887952 -528.013128551308</f>
        <v>-1228.4706634097652</v>
      </c>
      <c r="O1267">
        <f>-691.474738126348 -173.591850129562 -498.204367628632</f>
        <v>-1363.270955884542</v>
      </c>
      <c r="P1267">
        <f>-716.590169104398 -189.236764816788 -217.663763191091</f>
        <v>-1123.4906971122768</v>
      </c>
      <c r="Q1267">
        <f>-503.231897978082 -145.236611283674 -298.228982643233</f>
        <v>-946.69749190498896</v>
      </c>
      <c r="R1267" t="s">
        <v>24597</v>
      </c>
      <c r="S1267" t="s">
        <v>24598</v>
      </c>
      <c r="T1267" t="s">
        <v>24599</v>
      </c>
      <c r="U1267" t="s">
        <v>24600</v>
      </c>
      <c r="V1267">
        <f>-611.242505789924 -64.2399298468754 -93.1823690382213</f>
        <v>-768.66480467502072</v>
      </c>
      <c r="W1267" t="s">
        <v>24601</v>
      </c>
      <c r="X1267" t="s">
        <v>24602</v>
      </c>
      <c r="Y1267" t="s">
        <v>24603</v>
      </c>
    </row>
    <row r="1268" spans="1:25" x14ac:dyDescent="0.3">
      <c r="A1268">
        <v>63350</v>
      </c>
      <c r="B1268" t="s">
        <v>24604</v>
      </c>
      <c r="C1268" t="s">
        <v>24605</v>
      </c>
      <c r="D1268" t="s">
        <v>24606</v>
      </c>
      <c r="E1268" t="s">
        <v>24607</v>
      </c>
      <c r="F1268" t="s">
        <v>24608</v>
      </c>
      <c r="G1268" t="s">
        <v>24609</v>
      </c>
      <c r="H1268" t="s">
        <v>24610</v>
      </c>
      <c r="I1268" t="s">
        <v>24611</v>
      </c>
      <c r="J1268" t="s">
        <v>24612</v>
      </c>
      <c r="K1268" t="s">
        <v>24613</v>
      </c>
      <c r="L1268" t="s">
        <v>24614</v>
      </c>
      <c r="M1268" t="s">
        <v>24615</v>
      </c>
      <c r="N1268">
        <f>-679.415447132435 -21.0248911110884 -528.009632427092</f>
        <v>-1228.4499706706156</v>
      </c>
      <c r="O1268">
        <f>-691.270956344789 -173.683856052404 -498.088282854165</f>
        <v>-1363.0430952513582</v>
      </c>
      <c r="P1268">
        <f>-716.921856930734 -188.38025990618 -217.544792153452</f>
        <v>-1122.8469089903658</v>
      </c>
      <c r="Q1268">
        <f>-502.679097227837 -145.924048960136 -296.576695384846</f>
        <v>-945.17984157281899</v>
      </c>
      <c r="R1268" t="s">
        <v>24616</v>
      </c>
      <c r="S1268" t="s">
        <v>24617</v>
      </c>
      <c r="T1268" t="s">
        <v>24618</v>
      </c>
      <c r="U1268" t="s">
        <v>24619</v>
      </c>
      <c r="V1268">
        <f>-611.349621197118 -64.2436551049307 -93.1913031498408</f>
        <v>-768.7845794518895</v>
      </c>
      <c r="W1268" t="s">
        <v>24620</v>
      </c>
      <c r="X1268" t="s">
        <v>24621</v>
      </c>
      <c r="Y1268" t="s">
        <v>24622</v>
      </c>
    </row>
    <row r="1269" spans="1:25" x14ac:dyDescent="0.3">
      <c r="A1269">
        <v>63400</v>
      </c>
      <c r="B1269" t="s">
        <v>24623</v>
      </c>
      <c r="C1269" t="s">
        <v>24624</v>
      </c>
      <c r="D1269" t="s">
        <v>24625</v>
      </c>
      <c r="E1269" t="s">
        <v>24626</v>
      </c>
      <c r="F1269" t="s">
        <v>24627</v>
      </c>
      <c r="G1269" t="s">
        <v>24628</v>
      </c>
      <c r="H1269" t="s">
        <v>24629</v>
      </c>
      <c r="I1269" t="s">
        <v>24630</v>
      </c>
      <c r="J1269" t="s">
        <v>24631</v>
      </c>
      <c r="K1269" t="s">
        <v>24632</v>
      </c>
      <c r="L1269" t="s">
        <v>24633</v>
      </c>
      <c r="M1269" t="s">
        <v>24634</v>
      </c>
      <c r="N1269">
        <f>-679.191442758228 -21.5207921401629 -528.047017432409</f>
        <v>-1228.7592523307999</v>
      </c>
      <c r="O1269">
        <f>-690.393605584487 -174.177051222154 -497.956861218621</f>
        <v>-1362.527518025262</v>
      </c>
      <c r="P1269">
        <f>-718.393006260651 -187.756594724223 -217.581798107487</f>
        <v>-1123.731399092361</v>
      </c>
      <c r="Q1269">
        <f>-502.476046257419 -148.449404226638 -293.630235146884</f>
        <v>-944.55568563094107</v>
      </c>
      <c r="R1269" t="s">
        <v>24635</v>
      </c>
      <c r="S1269" t="s">
        <v>24636</v>
      </c>
      <c r="T1269" t="s">
        <v>24637</v>
      </c>
      <c r="U1269" t="s">
        <v>24638</v>
      </c>
      <c r="V1269">
        <f>-611.633692664878 -64.2590008313896 -93.3001900864346</f>
        <v>-769.19288358270217</v>
      </c>
      <c r="W1269" t="s">
        <v>24639</v>
      </c>
      <c r="X1269" t="s">
        <v>24640</v>
      </c>
      <c r="Y1269" t="s">
        <v>24641</v>
      </c>
    </row>
    <row r="1270" spans="1:25" x14ac:dyDescent="0.3">
      <c r="A1270">
        <v>63450</v>
      </c>
      <c r="B1270" t="s">
        <v>24642</v>
      </c>
      <c r="C1270" t="s">
        <v>24643</v>
      </c>
      <c r="D1270" t="s">
        <v>24644</v>
      </c>
      <c r="E1270" t="s">
        <v>24645</v>
      </c>
      <c r="F1270" t="s">
        <v>24646</v>
      </c>
      <c r="G1270" t="s">
        <v>24647</v>
      </c>
      <c r="H1270" t="s">
        <v>24648</v>
      </c>
      <c r="I1270" t="s">
        <v>24649</v>
      </c>
      <c r="J1270" t="s">
        <v>24650</v>
      </c>
      <c r="K1270" t="s">
        <v>24651</v>
      </c>
      <c r="L1270" t="s">
        <v>24652</v>
      </c>
      <c r="M1270" t="s">
        <v>24653</v>
      </c>
      <c r="N1270">
        <f>-679.017027765503 -21.6711888528519 -528.098068510229</f>
        <v>-1228.786285128584</v>
      </c>
      <c r="O1270">
        <f>-689.902007500497 -174.336814029004 -497.874593044973</f>
        <v>-1362.1134145744741</v>
      </c>
      <c r="P1270">
        <f>-718.777814399802 -187.072044642129 -217.548653349447</f>
        <v>-1123.3985123913778</v>
      </c>
      <c r="Q1270">
        <f>-502.509194801281 -149.334100080429 -293.392318456951</f>
        <v>-945.23561333866098</v>
      </c>
      <c r="R1270" t="s">
        <v>24654</v>
      </c>
      <c r="S1270" t="s">
        <v>24655</v>
      </c>
      <c r="T1270" t="s">
        <v>24656</v>
      </c>
      <c r="U1270" t="s">
        <v>24657</v>
      </c>
      <c r="V1270">
        <f>-611.687278521988 -64.0914876137572 -93.3651470559878</f>
        <v>-769.14391319173296</v>
      </c>
      <c r="W1270" t="s">
        <v>24658</v>
      </c>
      <c r="X1270" t="s">
        <v>24659</v>
      </c>
      <c r="Y1270" t="s">
        <v>24660</v>
      </c>
    </row>
    <row r="1271" spans="1:25" x14ac:dyDescent="0.3">
      <c r="A1271">
        <v>63500</v>
      </c>
      <c r="B1271" t="s">
        <v>24661</v>
      </c>
      <c r="C1271" t="s">
        <v>24662</v>
      </c>
      <c r="D1271" t="s">
        <v>24663</v>
      </c>
      <c r="E1271" t="s">
        <v>24664</v>
      </c>
      <c r="F1271" t="s">
        <v>24665</v>
      </c>
      <c r="G1271" t="s">
        <v>24666</v>
      </c>
      <c r="H1271" t="s">
        <v>24667</v>
      </c>
      <c r="I1271" t="s">
        <v>24668</v>
      </c>
      <c r="J1271" t="s">
        <v>24669</v>
      </c>
      <c r="K1271" t="s">
        <v>24670</v>
      </c>
      <c r="L1271" t="s">
        <v>24671</v>
      </c>
      <c r="M1271" t="s">
        <v>24672</v>
      </c>
      <c r="N1271">
        <f>-678.789282039839 -21.8582518901867 -528.128461925019</f>
        <v>-1228.7759958550446</v>
      </c>
      <c r="O1271">
        <f>-689.374267980892 -174.452900693277 -497.488956713941</f>
        <v>-1361.3161253881099</v>
      </c>
      <c r="P1271">
        <f>-718.500565583871 -185.785988718357 -217.128747058577</f>
        <v>-1121.415301360805</v>
      </c>
      <c r="Q1271">
        <f>-501.924903558163 -150.884550200117 -293.453081075777</f>
        <v>-946.26253483405708</v>
      </c>
      <c r="R1271" t="s">
        <v>24673</v>
      </c>
      <c r="S1271" t="s">
        <v>24674</v>
      </c>
      <c r="T1271" t="s">
        <v>24675</v>
      </c>
      <c r="U1271" t="s">
        <v>24676</v>
      </c>
      <c r="V1271">
        <f>-611.548192407326 -63.593993538786 -93.4276033880543</f>
        <v>-768.56978933416633</v>
      </c>
      <c r="W1271" t="s">
        <v>24677</v>
      </c>
      <c r="X1271" t="s">
        <v>24678</v>
      </c>
      <c r="Y1271" t="s">
        <v>24679</v>
      </c>
    </row>
    <row r="1272" spans="1:25" x14ac:dyDescent="0.3">
      <c r="A1272">
        <v>63550</v>
      </c>
      <c r="B1272" t="s">
        <v>24680</v>
      </c>
      <c r="C1272" t="s">
        <v>24681</v>
      </c>
      <c r="D1272" t="s">
        <v>24682</v>
      </c>
      <c r="E1272" t="s">
        <v>24683</v>
      </c>
      <c r="F1272" t="s">
        <v>24684</v>
      </c>
      <c r="G1272" t="s">
        <v>24685</v>
      </c>
      <c r="H1272" t="s">
        <v>24686</v>
      </c>
      <c r="I1272" t="s">
        <v>24687</v>
      </c>
      <c r="J1272" t="s">
        <v>24688</v>
      </c>
      <c r="K1272" t="s">
        <v>24689</v>
      </c>
      <c r="L1272" t="s">
        <v>24690</v>
      </c>
      <c r="M1272" t="s">
        <v>24691</v>
      </c>
      <c r="N1272">
        <f>-678.751583793478 -21.9832030706632 -528.072969151352</f>
        <v>-1228.8077560154932</v>
      </c>
      <c r="O1272">
        <f>-689.225256981857 -174.535894727095 -497.186318019249</f>
        <v>-1360.947469728201</v>
      </c>
      <c r="P1272">
        <f>-717.997032821 -186.090037107516 -216.798522540423</f>
        <v>-1120.885592468939</v>
      </c>
      <c r="Q1272">
        <f>-501.6285893428 -151.482991256405 -293.841393826364</f>
        <v>-946.95297442556898</v>
      </c>
      <c r="R1272" t="s">
        <v>24692</v>
      </c>
      <c r="S1272" t="s">
        <v>24693</v>
      </c>
      <c r="T1272" t="s">
        <v>24694</v>
      </c>
      <c r="U1272" t="s">
        <v>24695</v>
      </c>
      <c r="V1272">
        <f>-611.419975208805 -63.3677983755226 -93.415368566486</f>
        <v>-768.20314215081362</v>
      </c>
      <c r="W1272" t="s">
        <v>24696</v>
      </c>
      <c r="X1272" t="s">
        <v>24697</v>
      </c>
      <c r="Y1272" t="s">
        <v>24698</v>
      </c>
    </row>
    <row r="1273" spans="1:25" x14ac:dyDescent="0.3">
      <c r="A1273">
        <v>63600</v>
      </c>
      <c r="B1273" t="s">
        <v>24699</v>
      </c>
      <c r="C1273" t="s">
        <v>24700</v>
      </c>
      <c r="D1273" t="s">
        <v>24701</v>
      </c>
      <c r="E1273" t="s">
        <v>24702</v>
      </c>
      <c r="F1273" t="s">
        <v>24703</v>
      </c>
      <c r="G1273" t="s">
        <v>24704</v>
      </c>
      <c r="H1273" t="s">
        <v>24705</v>
      </c>
      <c r="I1273" t="s">
        <v>24706</v>
      </c>
      <c r="J1273" t="s">
        <v>24707</v>
      </c>
      <c r="K1273" t="s">
        <v>24708</v>
      </c>
      <c r="L1273" t="s">
        <v>24709</v>
      </c>
      <c r="M1273" t="s">
        <v>24710</v>
      </c>
      <c r="N1273">
        <f>-678.312231865659 -22.0487917248092 -528.029294887893</f>
        <v>-1228.3903184783612</v>
      </c>
      <c r="O1273">
        <f>-688.469068402727 -174.522024492161 -496.636262473495</f>
        <v>-1359.627355368383</v>
      </c>
      <c r="P1273">
        <f>-716.255115249139 -186.928191211574 -216.185625609427</f>
        <v>-1119.3689320701401</v>
      </c>
      <c r="Q1273">
        <f>-500.608727412238 -152.314274489391 -295.223699678307</f>
        <v>-948.14670157993601</v>
      </c>
      <c r="R1273" t="s">
        <v>24711</v>
      </c>
      <c r="S1273" t="s">
        <v>24712</v>
      </c>
      <c r="T1273" t="s">
        <v>24713</v>
      </c>
      <c r="U1273" t="s">
        <v>24714</v>
      </c>
      <c r="V1273">
        <f>-611.31652832399 -62.9613032048296 -93.3794233311365</f>
        <v>-767.6572548599562</v>
      </c>
      <c r="W1273" t="s">
        <v>24715</v>
      </c>
      <c r="X1273" t="s">
        <v>24716</v>
      </c>
      <c r="Y1273" t="s">
        <v>24717</v>
      </c>
    </row>
    <row r="1274" spans="1:25" x14ac:dyDescent="0.3">
      <c r="A1274">
        <v>63650</v>
      </c>
      <c r="B1274" t="s">
        <v>24718</v>
      </c>
      <c r="C1274" t="s">
        <v>24719</v>
      </c>
      <c r="D1274" t="s">
        <v>24720</v>
      </c>
      <c r="E1274" t="s">
        <v>24721</v>
      </c>
      <c r="F1274" t="s">
        <v>24722</v>
      </c>
      <c r="G1274" t="s">
        <v>24723</v>
      </c>
      <c r="H1274" t="s">
        <v>24724</v>
      </c>
      <c r="I1274" t="s">
        <v>24725</v>
      </c>
      <c r="J1274" t="s">
        <v>24726</v>
      </c>
      <c r="K1274" t="s">
        <v>24727</v>
      </c>
      <c r="L1274" t="s">
        <v>24728</v>
      </c>
      <c r="M1274" t="s">
        <v>24729</v>
      </c>
      <c r="N1274">
        <f>-677.967164890934 -22.0163844303693 -528.029314494791</f>
        <v>-1228.0128638160943</v>
      </c>
      <c r="O1274">
        <f>-687.933292465106 -174.457572878153 -496.425390465567</f>
        <v>-1358.8162558088259</v>
      </c>
      <c r="P1274">
        <f>-715.268748436488 -186.980046007314 -215.935609893434</f>
        <v>-1118.1844043372359</v>
      </c>
      <c r="Q1274">
        <f>-500.0899905049 -152.122589790735 -296.132685023063</f>
        <v>-948.34526531869801</v>
      </c>
      <c r="R1274" t="s">
        <v>24730</v>
      </c>
      <c r="S1274" t="s">
        <v>24731</v>
      </c>
      <c r="T1274" t="s">
        <v>24732</v>
      </c>
      <c r="U1274" t="s">
        <v>24733</v>
      </c>
      <c r="V1274">
        <f>-611.24040520309 -62.6933348954367 -93.3696257887544</f>
        <v>-767.30336588728107</v>
      </c>
      <c r="W1274" t="s">
        <v>24734</v>
      </c>
      <c r="X1274" t="s">
        <v>24735</v>
      </c>
      <c r="Y1274" t="s">
        <v>24736</v>
      </c>
    </row>
    <row r="1275" spans="1:25" x14ac:dyDescent="0.3">
      <c r="A1275">
        <v>63700</v>
      </c>
      <c r="B1275" t="s">
        <v>24737</v>
      </c>
      <c r="C1275" t="s">
        <v>24738</v>
      </c>
      <c r="D1275" t="s">
        <v>24739</v>
      </c>
      <c r="E1275" t="s">
        <v>24740</v>
      </c>
      <c r="F1275" t="s">
        <v>24741</v>
      </c>
      <c r="G1275" t="s">
        <v>24742</v>
      </c>
      <c r="H1275" t="s">
        <v>24743</v>
      </c>
      <c r="I1275" t="s">
        <v>24744</v>
      </c>
      <c r="J1275" t="s">
        <v>24745</v>
      </c>
      <c r="K1275" t="s">
        <v>24746</v>
      </c>
      <c r="L1275" t="s">
        <v>24747</v>
      </c>
      <c r="M1275" t="s">
        <v>24748</v>
      </c>
      <c r="N1275">
        <f>-677.120875393609 -22.0873180392828 -527.964052257729</f>
        <v>-1227.1722456906209</v>
      </c>
      <c r="O1275">
        <f>-686.754637374496 -174.474733038846 -495.992093780733</f>
        <v>-1357.221464194075</v>
      </c>
      <c r="P1275">
        <f>-713.672114653765 -187.704503091616 -215.494275771027</f>
        <v>-1116.8708935164082</v>
      </c>
      <c r="Q1275">
        <f>-498.758719532167 -152.8924727328 -296.419554626975</f>
        <v>-948.07074689194201</v>
      </c>
      <c r="R1275" t="s">
        <v>24749</v>
      </c>
      <c r="S1275" t="s">
        <v>24750</v>
      </c>
      <c r="T1275" t="s">
        <v>24751</v>
      </c>
      <c r="U1275" t="s">
        <v>24752</v>
      </c>
      <c r="V1275">
        <f>-610.766555695394 -62.3946136113964 -93.3157684928269</f>
        <v>-766.4769377996173</v>
      </c>
      <c r="W1275" t="s">
        <v>24753</v>
      </c>
      <c r="X1275" t="s">
        <v>24754</v>
      </c>
      <c r="Y1275" t="s">
        <v>24755</v>
      </c>
    </row>
    <row r="1276" spans="1:25" x14ac:dyDescent="0.3">
      <c r="A1276">
        <v>63750</v>
      </c>
      <c r="B1276" t="s">
        <v>24756</v>
      </c>
      <c r="C1276" t="s">
        <v>24757</v>
      </c>
      <c r="D1276" t="s">
        <v>24758</v>
      </c>
      <c r="E1276" t="s">
        <v>24759</v>
      </c>
      <c r="F1276" t="s">
        <v>24760</v>
      </c>
      <c r="G1276" t="s">
        <v>24761</v>
      </c>
      <c r="H1276" t="s">
        <v>24762</v>
      </c>
      <c r="I1276" t="s">
        <v>24763</v>
      </c>
      <c r="J1276" t="s">
        <v>24764</v>
      </c>
      <c r="K1276" t="s">
        <v>24765</v>
      </c>
      <c r="L1276" t="s">
        <v>24766</v>
      </c>
      <c r="M1276" t="s">
        <v>24767</v>
      </c>
      <c r="N1276">
        <f>-676.682261843267 -22.0510897189722 -527.964990270246</f>
        <v>-1226.6983418324853</v>
      </c>
      <c r="O1276">
        <f>-686.338341438471 -174.431768185312 -495.929981841927</f>
        <v>-1356.7000914657101</v>
      </c>
      <c r="P1276">
        <f>-712.794768347632 -187.365152586269 -215.374625574649</f>
        <v>-1115.53454650855</v>
      </c>
      <c r="Q1276">
        <f>-498.038567439229 -153.218624885357 -296.997690132762</f>
        <v>-948.254882457348</v>
      </c>
      <c r="R1276" t="s">
        <v>24768</v>
      </c>
      <c r="S1276" t="s">
        <v>24769</v>
      </c>
      <c r="T1276" t="s">
        <v>24770</v>
      </c>
      <c r="U1276" t="s">
        <v>24771</v>
      </c>
      <c r="V1276">
        <f>-610.48885912317 -62.3191031108136 -93.2960369002573</f>
        <v>-766.10399913424078</v>
      </c>
      <c r="W1276" t="s">
        <v>24772</v>
      </c>
      <c r="X1276" t="s">
        <v>24773</v>
      </c>
      <c r="Y1276" t="s">
        <v>24774</v>
      </c>
    </row>
    <row r="1277" spans="1:25" x14ac:dyDescent="0.3">
      <c r="A1277">
        <v>63800</v>
      </c>
      <c r="B1277" t="s">
        <v>24775</v>
      </c>
      <c r="C1277" t="s">
        <v>24776</v>
      </c>
      <c r="D1277" t="s">
        <v>24777</v>
      </c>
      <c r="E1277" t="s">
        <v>24778</v>
      </c>
      <c r="F1277" t="s">
        <v>24779</v>
      </c>
      <c r="G1277" t="s">
        <v>24780</v>
      </c>
      <c r="H1277" t="s">
        <v>24781</v>
      </c>
      <c r="I1277" t="s">
        <v>24782</v>
      </c>
      <c r="J1277" t="s">
        <v>24783</v>
      </c>
      <c r="K1277" t="s">
        <v>24784</v>
      </c>
      <c r="L1277" t="s">
        <v>24785</v>
      </c>
      <c r="M1277" t="s">
        <v>24786</v>
      </c>
      <c r="N1277">
        <f>-676.209162348392 -21.9787239622794 -527.868071313618</f>
        <v>-1226.0559576242895</v>
      </c>
      <c r="O1277">
        <f>-685.89500527086 -174.321793366857 -495.673983313267</f>
        <v>-1355.8907819509841</v>
      </c>
      <c r="P1277">
        <f>-711.409243672636 -186.792089066704 -215.010250195804</f>
        <v>-1113.211582935144</v>
      </c>
      <c r="Q1277">
        <f>-497.073676909547 -152.974444595557 -297.866488122432</f>
        <v>-947.91460962753592</v>
      </c>
      <c r="R1277" t="s">
        <v>24787</v>
      </c>
      <c r="S1277" t="s">
        <v>24788</v>
      </c>
      <c r="T1277" t="s">
        <v>24789</v>
      </c>
      <c r="U1277" t="s">
        <v>24790</v>
      </c>
      <c r="V1277">
        <f>-609.804535588233 -62.2236553935513 -93.2407230257799</f>
        <v>-765.26891400756415</v>
      </c>
      <c r="W1277" t="s">
        <v>24791</v>
      </c>
      <c r="X1277" t="s">
        <v>24792</v>
      </c>
      <c r="Y1277" t="s">
        <v>24793</v>
      </c>
    </row>
    <row r="1278" spans="1:25" x14ac:dyDescent="0.3">
      <c r="A1278">
        <v>63850</v>
      </c>
      <c r="B1278" t="s">
        <v>24794</v>
      </c>
      <c r="C1278" t="s">
        <v>24795</v>
      </c>
      <c r="D1278" t="s">
        <v>24796</v>
      </c>
      <c r="E1278" t="s">
        <v>24797</v>
      </c>
      <c r="F1278" t="s">
        <v>24798</v>
      </c>
      <c r="G1278" t="s">
        <v>24799</v>
      </c>
      <c r="H1278" t="s">
        <v>24800</v>
      </c>
      <c r="I1278" t="s">
        <v>24801</v>
      </c>
      <c r="J1278" t="s">
        <v>24802</v>
      </c>
      <c r="K1278" t="s">
        <v>24803</v>
      </c>
      <c r="L1278" t="s">
        <v>24804</v>
      </c>
      <c r="M1278" t="s">
        <v>24805</v>
      </c>
      <c r="N1278">
        <f>-675.966949432769 -21.8316877467978 -527.846646673745</f>
        <v>-1225.6452838533119</v>
      </c>
      <c r="O1278">
        <f>-685.701145767526 -174.17806158204 -495.663495257453</f>
        <v>-1355.542702607019</v>
      </c>
      <c r="P1278">
        <f>-710.908865416399 -186.540667654185 -214.96728367137</f>
        <v>-1112.4168167419539</v>
      </c>
      <c r="Q1278">
        <f>-496.539351018143 -153.226582305268 -297.939727591423</f>
        <v>-947.70566091483397</v>
      </c>
      <c r="R1278" t="s">
        <v>24806</v>
      </c>
      <c r="S1278" t="s">
        <v>24807</v>
      </c>
      <c r="T1278" t="s">
        <v>24808</v>
      </c>
      <c r="U1278" t="s">
        <v>24809</v>
      </c>
      <c r="V1278">
        <f>-609.387549340381 -62.2066507691704 -93.2199095992503</f>
        <v>-764.81410970880177</v>
      </c>
      <c r="W1278" t="s">
        <v>24810</v>
      </c>
      <c r="X1278" t="s">
        <v>24811</v>
      </c>
      <c r="Y1278" t="s">
        <v>24812</v>
      </c>
    </row>
    <row r="1279" spans="1:25" x14ac:dyDescent="0.3">
      <c r="A1279">
        <v>63900</v>
      </c>
      <c r="B1279" t="s">
        <v>24813</v>
      </c>
      <c r="C1279" t="s">
        <v>24814</v>
      </c>
      <c r="D1279" t="s">
        <v>24815</v>
      </c>
      <c r="E1279" t="s">
        <v>24816</v>
      </c>
      <c r="F1279" t="s">
        <v>24817</v>
      </c>
      <c r="G1279" t="s">
        <v>24818</v>
      </c>
      <c r="H1279" t="s">
        <v>24819</v>
      </c>
      <c r="I1279" t="s">
        <v>24820</v>
      </c>
      <c r="J1279" t="s">
        <v>24821</v>
      </c>
      <c r="K1279" t="s">
        <v>24822</v>
      </c>
      <c r="L1279" t="s">
        <v>24823</v>
      </c>
      <c r="M1279" t="s">
        <v>24824</v>
      </c>
      <c r="N1279">
        <f>-675.520137204106 -21.3778234979768 -527.805039959441</f>
        <v>-1224.7030006615239</v>
      </c>
      <c r="O1279">
        <f>-685.233899269185 -173.737437043454 -495.730531863451</f>
        <v>-1354.7018681760901</v>
      </c>
      <c r="P1279">
        <f>-710.189843866187 -186.171370024189 -215.015107725192</f>
        <v>-1111.3763216155678</v>
      </c>
      <c r="Q1279">
        <f>-495.689341058437 -152.665741222919 -297.570759001702</f>
        <v>-945.92584128305793</v>
      </c>
      <c r="R1279" t="s">
        <v>24825</v>
      </c>
      <c r="S1279" t="s">
        <v>24826</v>
      </c>
      <c r="T1279" t="s">
        <v>24827</v>
      </c>
      <c r="U1279" t="s">
        <v>24828</v>
      </c>
      <c r="V1279">
        <f>-608.608585188099 -62.1470790964613 -93.1552364072302</f>
        <v>-763.91090069179052</v>
      </c>
      <c r="W1279" t="s">
        <v>24829</v>
      </c>
      <c r="X1279" t="s">
        <v>24830</v>
      </c>
      <c r="Y1279" t="s">
        <v>24831</v>
      </c>
    </row>
    <row r="1280" spans="1:25" x14ac:dyDescent="0.3">
      <c r="A1280">
        <v>63950</v>
      </c>
      <c r="B1280" t="s">
        <v>24832</v>
      </c>
      <c r="C1280" t="s">
        <v>24833</v>
      </c>
      <c r="D1280" t="s">
        <v>24834</v>
      </c>
      <c r="E1280" t="s">
        <v>24835</v>
      </c>
      <c r="F1280" t="s">
        <v>24836</v>
      </c>
      <c r="G1280" t="s">
        <v>24837</v>
      </c>
      <c r="H1280" t="s">
        <v>24838</v>
      </c>
      <c r="I1280" t="s">
        <v>24839</v>
      </c>
      <c r="J1280" t="s">
        <v>24840</v>
      </c>
      <c r="K1280" t="s">
        <v>24841</v>
      </c>
      <c r="L1280" t="s">
        <v>24842</v>
      </c>
      <c r="M1280" t="s">
        <v>24843</v>
      </c>
      <c r="N1280">
        <f>-675.337575976095 -21.031984545398 -527.780152915929</f>
        <v>-1224.149713437422</v>
      </c>
      <c r="O1280">
        <f>-684.901688302523 -173.417408142671 -495.749464024325</f>
        <v>-1354.0685604695191</v>
      </c>
      <c r="P1280">
        <f>-710.062036155446 -185.796420481232 -215.049864328981</f>
        <v>-1110.908320965659</v>
      </c>
      <c r="Q1280">
        <f>-495.393020181839 -152.146717292969 -297.107380512334</f>
        <v>-944.647117987142</v>
      </c>
      <c r="R1280" t="s">
        <v>24844</v>
      </c>
      <c r="S1280" t="s">
        <v>24845</v>
      </c>
      <c r="T1280" t="s">
        <v>24846</v>
      </c>
      <c r="U1280" t="s">
        <v>24847</v>
      </c>
      <c r="V1280">
        <f>-608.184225290527 -61.9794879126723 -93.1211903314629</f>
        <v>-763.28490353466225</v>
      </c>
      <c r="W1280" t="s">
        <v>24848</v>
      </c>
      <c r="X1280" t="s">
        <v>24849</v>
      </c>
      <c r="Y1280" t="s">
        <v>24850</v>
      </c>
    </row>
    <row r="1281" spans="1:25" x14ac:dyDescent="0.3">
      <c r="A1281">
        <v>64000</v>
      </c>
      <c r="B1281" t="s">
        <v>24851</v>
      </c>
      <c r="C1281" t="s">
        <v>24852</v>
      </c>
      <c r="D1281" t="s">
        <v>24853</v>
      </c>
      <c r="E1281" t="s">
        <v>24854</v>
      </c>
      <c r="F1281" t="s">
        <v>24855</v>
      </c>
      <c r="G1281" t="s">
        <v>24856</v>
      </c>
      <c r="H1281" t="s">
        <v>24857</v>
      </c>
      <c r="I1281" t="s">
        <v>24858</v>
      </c>
      <c r="J1281" t="s">
        <v>24859</v>
      </c>
      <c r="K1281" t="s">
        <v>24860</v>
      </c>
      <c r="L1281" t="s">
        <v>24861</v>
      </c>
      <c r="M1281" t="s">
        <v>24862</v>
      </c>
      <c r="N1281">
        <f>-675.246244843498 -20.1742422989291 -527.724132791534</f>
        <v>-1223.1446199339612</v>
      </c>
      <c r="O1281">
        <f>-684.744626884874 -172.585294956704 -495.851018175861</f>
        <v>-1353.1809400174388</v>
      </c>
      <c r="P1281">
        <f>-709.927874446421 -185.019848537953 -215.155860206324</f>
        <v>-1110.1035831906979</v>
      </c>
      <c r="Q1281">
        <f>-494.806897838658 -150.607540690403 -295.699628410706</f>
        <v>-941.1140669397671</v>
      </c>
      <c r="R1281" t="s">
        <v>24863</v>
      </c>
      <c r="S1281" t="s">
        <v>24864</v>
      </c>
      <c r="T1281" t="s">
        <v>24865</v>
      </c>
      <c r="U1281" t="s">
        <v>24866</v>
      </c>
      <c r="V1281">
        <f>-607.433181614475 -61.5784347908882 -93.038586344163</f>
        <v>-762.05020274952619</v>
      </c>
      <c r="W1281" t="s">
        <v>24867</v>
      </c>
      <c r="X1281" t="s">
        <v>24868</v>
      </c>
      <c r="Y1281" t="s">
        <v>24869</v>
      </c>
    </row>
    <row r="1282" spans="1:25" x14ac:dyDescent="0.3">
      <c r="A1282">
        <v>64050</v>
      </c>
      <c r="B1282" t="s">
        <v>24870</v>
      </c>
      <c r="C1282" t="s">
        <v>24871</v>
      </c>
      <c r="D1282" t="s">
        <v>24872</v>
      </c>
      <c r="E1282" t="s">
        <v>24873</v>
      </c>
      <c r="F1282" t="s">
        <v>24874</v>
      </c>
      <c r="G1282" t="s">
        <v>24875</v>
      </c>
      <c r="H1282" t="s">
        <v>24876</v>
      </c>
      <c r="I1282" t="s">
        <v>24877</v>
      </c>
      <c r="J1282" t="s">
        <v>24878</v>
      </c>
      <c r="K1282" t="s">
        <v>24879</v>
      </c>
      <c r="L1282" t="s">
        <v>24880</v>
      </c>
      <c r="M1282" t="s">
        <v>24881</v>
      </c>
      <c r="N1282">
        <f>-675.24905651584 -19.8457117662435 -527.675118279481</f>
        <v>-1222.7698865615646</v>
      </c>
      <c r="O1282">
        <f>-684.639174735095 -172.284526843698 -495.875974000287</f>
        <v>-1352.79967557908</v>
      </c>
      <c r="P1282">
        <f>-710.005522600988 -184.651774880917 -215.194388303051</f>
        <v>-1109.8516857849561</v>
      </c>
      <c r="Q1282">
        <f>-494.66562825619 -149.758907242748 -294.942467048594</f>
        <v>-939.36700254753191</v>
      </c>
      <c r="R1282" t="s">
        <v>24882</v>
      </c>
      <c r="S1282" t="s">
        <v>24883</v>
      </c>
      <c r="T1282" t="s">
        <v>24884</v>
      </c>
      <c r="U1282" t="s">
        <v>24885</v>
      </c>
      <c r="V1282">
        <f>-607.124708357025 -61.4537144232131 -93.0014603200192</f>
        <v>-761.57988310025735</v>
      </c>
      <c r="W1282" t="s">
        <v>24886</v>
      </c>
      <c r="X1282" t="s">
        <v>24887</v>
      </c>
      <c r="Y1282" t="s">
        <v>24888</v>
      </c>
    </row>
    <row r="1283" spans="1:25" x14ac:dyDescent="0.3">
      <c r="A1283">
        <v>64100</v>
      </c>
      <c r="B1283" t="s">
        <v>24889</v>
      </c>
      <c r="C1283" t="s">
        <v>24890</v>
      </c>
      <c r="D1283" t="s">
        <v>24891</v>
      </c>
      <c r="E1283" t="s">
        <v>24892</v>
      </c>
      <c r="F1283" t="s">
        <v>24893</v>
      </c>
      <c r="G1283" t="s">
        <v>24894</v>
      </c>
      <c r="H1283" t="s">
        <v>24895</v>
      </c>
      <c r="I1283" t="s">
        <v>24896</v>
      </c>
      <c r="J1283" t="s">
        <v>24897</v>
      </c>
      <c r="K1283" t="s">
        <v>24898</v>
      </c>
      <c r="L1283" t="s">
        <v>24899</v>
      </c>
      <c r="M1283" t="s">
        <v>24900</v>
      </c>
      <c r="N1283">
        <f>-675.430604943675 -19.349978107834 -527.58252064649</f>
        <v>-1222.3631036979991</v>
      </c>
      <c r="O1283">
        <f>-684.67715533851 -171.80658116355 -495.823879999745</f>
        <v>-1352.3076165018051</v>
      </c>
      <c r="P1283">
        <f>-710.454213514794 -184.048406336786 -215.174134864463</f>
        <v>-1109.676754716043</v>
      </c>
      <c r="Q1283">
        <f>-494.883108462898 -148.146376182017 -293.842346934261</f>
        <v>-936.87183157917593</v>
      </c>
      <c r="R1283" t="s">
        <v>24901</v>
      </c>
      <c r="S1283" t="s">
        <v>24902</v>
      </c>
      <c r="T1283" t="s">
        <v>24903</v>
      </c>
      <c r="U1283" t="s">
        <v>24904</v>
      </c>
      <c r="V1283">
        <f>-606.745803318017 -61.1349956798842 -92.9327387670406</f>
        <v>-760.81353776494188</v>
      </c>
      <c r="W1283" t="s">
        <v>24905</v>
      </c>
      <c r="X1283" t="s">
        <v>24906</v>
      </c>
      <c r="Y1283" t="s">
        <v>24907</v>
      </c>
    </row>
    <row r="1284" spans="1:25" x14ac:dyDescent="0.3">
      <c r="A1284">
        <v>64150</v>
      </c>
      <c r="B1284" t="s">
        <v>24908</v>
      </c>
      <c r="C1284" t="s">
        <v>24909</v>
      </c>
      <c r="D1284" t="s">
        <v>24910</v>
      </c>
      <c r="E1284" t="s">
        <v>24911</v>
      </c>
      <c r="F1284" t="s">
        <v>24912</v>
      </c>
      <c r="G1284" t="s">
        <v>24913</v>
      </c>
      <c r="H1284" t="s">
        <v>24914</v>
      </c>
      <c r="I1284" t="s">
        <v>24915</v>
      </c>
      <c r="J1284" t="s">
        <v>24916</v>
      </c>
      <c r="K1284" t="s">
        <v>24917</v>
      </c>
      <c r="L1284" t="s">
        <v>24918</v>
      </c>
      <c r="M1284" t="s">
        <v>24919</v>
      </c>
      <c r="N1284">
        <f>-675.513612846166 -19.1362333799264 -527.563578603233</f>
        <v>-1222.2134248293255</v>
      </c>
      <c r="O1284">
        <f>-684.763744859461 -171.59108056796 -495.810476003778</f>
        <v>-1352.1653014311989</v>
      </c>
      <c r="P1284">
        <f>-710.66307432246 -183.646162566369 -215.163827386165</f>
        <v>-1109.4730642749939</v>
      </c>
      <c r="Q1284">
        <f>-495.051536317225 -147.363593753989 -293.546086217473</f>
        <v>-935.96121628868696</v>
      </c>
      <c r="R1284" t="s">
        <v>24920</v>
      </c>
      <c r="S1284" t="s">
        <v>24921</v>
      </c>
      <c r="T1284" t="s">
        <v>24922</v>
      </c>
      <c r="U1284" t="s">
        <v>24923</v>
      </c>
      <c r="V1284">
        <f>-606.714759661424 -60.959021895678 -92.9040919647006</f>
        <v>-760.57787352180253</v>
      </c>
      <c r="W1284" t="s">
        <v>24924</v>
      </c>
      <c r="X1284" t="s">
        <v>24925</v>
      </c>
      <c r="Y1284" t="s">
        <v>24926</v>
      </c>
    </row>
    <row r="1285" spans="1:25" x14ac:dyDescent="0.3">
      <c r="A1285">
        <v>64200</v>
      </c>
      <c r="B1285" t="s">
        <v>24927</v>
      </c>
      <c r="C1285" t="s">
        <v>24928</v>
      </c>
      <c r="D1285" t="s">
        <v>24929</v>
      </c>
      <c r="E1285" t="s">
        <v>24930</v>
      </c>
      <c r="F1285" t="s">
        <v>24931</v>
      </c>
      <c r="G1285" t="s">
        <v>24932</v>
      </c>
      <c r="H1285" t="s">
        <v>24933</v>
      </c>
      <c r="I1285" t="s">
        <v>24934</v>
      </c>
      <c r="J1285" t="s">
        <v>24935</v>
      </c>
      <c r="K1285" t="s">
        <v>24936</v>
      </c>
      <c r="L1285" t="s">
        <v>24937</v>
      </c>
      <c r="M1285" t="s">
        <v>24938</v>
      </c>
      <c r="N1285">
        <f>-675.528482493987 -18.9654459227158 -527.564662515024</f>
        <v>-1222.0585909317269</v>
      </c>
      <c r="O1285">
        <f>-684.716973238401 -171.399587008585 -495.681652738406</f>
        <v>-1351.798212985392</v>
      </c>
      <c r="P1285">
        <f>-710.938104736113 -183.187053722472 -215.053629240999</f>
        <v>-1109.1787876995841</v>
      </c>
      <c r="Q1285">
        <f>-495.622870581675 -146.058837972213 -293.853408390985</f>
        <v>-935.53511694487304</v>
      </c>
      <c r="R1285" t="s">
        <v>24939</v>
      </c>
      <c r="S1285" t="s">
        <v>24940</v>
      </c>
      <c r="T1285" t="s">
        <v>24941</v>
      </c>
      <c r="U1285" t="s">
        <v>24942</v>
      </c>
      <c r="V1285">
        <f>-606.855256445475 -60.6352782772613 -92.8792897409763</f>
        <v>-760.36982446371258</v>
      </c>
      <c r="W1285" t="s">
        <v>24943</v>
      </c>
      <c r="X1285" t="s">
        <v>24944</v>
      </c>
      <c r="Y1285" t="s">
        <v>24945</v>
      </c>
    </row>
    <row r="1286" spans="1:25" x14ac:dyDescent="0.3">
      <c r="A1286">
        <v>64250</v>
      </c>
      <c r="B1286" t="s">
        <v>24946</v>
      </c>
      <c r="C1286" t="s">
        <v>24947</v>
      </c>
      <c r="D1286" t="s">
        <v>24948</v>
      </c>
      <c r="E1286" t="s">
        <v>24949</v>
      </c>
      <c r="F1286" t="s">
        <v>24950</v>
      </c>
      <c r="G1286" t="s">
        <v>24951</v>
      </c>
      <c r="H1286" t="s">
        <v>24952</v>
      </c>
      <c r="I1286" t="s">
        <v>24953</v>
      </c>
      <c r="J1286" t="s">
        <v>24954</v>
      </c>
      <c r="K1286" t="s">
        <v>24955</v>
      </c>
      <c r="L1286" t="s">
        <v>24956</v>
      </c>
      <c r="M1286" t="s">
        <v>24957</v>
      </c>
      <c r="N1286">
        <f>-675.615455430594 -18.8471491953005 -527.592368653359</f>
        <v>-1222.0549732792535</v>
      </c>
      <c r="O1286">
        <f>-684.875809376113 -171.256686145227 -495.615079483506</f>
        <v>-1351.7475750048461</v>
      </c>
      <c r="P1286">
        <f>-711.002958840685 -182.885297394613 -214.971614449001</f>
        <v>-1108.859870684299</v>
      </c>
      <c r="Q1286">
        <f>-495.819552034463 -145.613830507977 -294.063030357766</f>
        <v>-935.49641290020611</v>
      </c>
      <c r="R1286" t="s">
        <v>24958</v>
      </c>
      <c r="S1286" t="s">
        <v>24959</v>
      </c>
      <c r="T1286" t="s">
        <v>24960</v>
      </c>
      <c r="U1286" t="s">
        <v>24961</v>
      </c>
      <c r="V1286">
        <f>-607.01920230021 -60.4660565965921 -92.8939422351527</f>
        <v>-760.37920113195491</v>
      </c>
      <c r="W1286" t="s">
        <v>24962</v>
      </c>
      <c r="X1286" t="s">
        <v>24963</v>
      </c>
      <c r="Y1286" t="s">
        <v>24964</v>
      </c>
    </row>
    <row r="1287" spans="1:25" x14ac:dyDescent="0.3">
      <c r="A1287">
        <v>64300</v>
      </c>
      <c r="B1287" t="s">
        <v>24965</v>
      </c>
      <c r="C1287" t="s">
        <v>24966</v>
      </c>
      <c r="D1287" t="s">
        <v>24967</v>
      </c>
      <c r="E1287" t="s">
        <v>24968</v>
      </c>
      <c r="F1287" t="s">
        <v>24969</v>
      </c>
      <c r="G1287" t="s">
        <v>24970</v>
      </c>
      <c r="H1287" t="s">
        <v>24971</v>
      </c>
      <c r="I1287" t="s">
        <v>24972</v>
      </c>
      <c r="J1287" t="s">
        <v>24973</v>
      </c>
      <c r="K1287" t="s">
        <v>24974</v>
      </c>
      <c r="L1287" t="s">
        <v>24975</v>
      </c>
      <c r="M1287" t="s">
        <v>24976</v>
      </c>
      <c r="N1287">
        <f>-675.94821681259 -18.7789463480149 -527.60488746135</f>
        <v>-1222.3320506219547</v>
      </c>
      <c r="O1287">
        <f>-685.239724766815 -171.139296893223 -495.399964761602</f>
        <v>-1351.77898642164</v>
      </c>
      <c r="P1287">
        <f>-711.228211567696 -182.901017550412 -214.749176225337</f>
        <v>-1108.8784053434451</v>
      </c>
      <c r="Q1287">
        <f>-496.330255131513 -144.788024958596 -294.214894599331</f>
        <v>-935.33317468944006</v>
      </c>
      <c r="R1287" t="s">
        <v>24977</v>
      </c>
      <c r="S1287" t="s">
        <v>24978</v>
      </c>
      <c r="T1287" t="s">
        <v>24979</v>
      </c>
      <c r="U1287" t="s">
        <v>24980</v>
      </c>
      <c r="V1287">
        <f>-607.490501049323 -60.3518929771972 -92.9250402695952</f>
        <v>-760.76743429611543</v>
      </c>
      <c r="W1287" t="s">
        <v>24981</v>
      </c>
      <c r="X1287" t="s">
        <v>24982</v>
      </c>
      <c r="Y1287" t="s">
        <v>24983</v>
      </c>
    </row>
    <row r="1288" spans="1:25" x14ac:dyDescent="0.3">
      <c r="A1288">
        <v>64350</v>
      </c>
      <c r="B1288" t="s">
        <v>24984</v>
      </c>
      <c r="C1288" t="s">
        <v>24985</v>
      </c>
      <c r="D1288" t="s">
        <v>24986</v>
      </c>
      <c r="E1288" t="s">
        <v>24987</v>
      </c>
      <c r="F1288" t="s">
        <v>24988</v>
      </c>
      <c r="G1288" t="s">
        <v>24989</v>
      </c>
      <c r="H1288" t="s">
        <v>24990</v>
      </c>
      <c r="I1288" t="s">
        <v>24991</v>
      </c>
      <c r="J1288" t="s">
        <v>24992</v>
      </c>
      <c r="K1288" t="s">
        <v>24993</v>
      </c>
      <c r="L1288" t="s">
        <v>24994</v>
      </c>
      <c r="M1288" t="s">
        <v>24995</v>
      </c>
      <c r="N1288">
        <f>-676.026298900483 -18.7195574596894 -527.643562132442</f>
        <v>-1222.3894184926144</v>
      </c>
      <c r="O1288">
        <f>-685.338254303619 -171.066951475486 -495.396944013903</f>
        <v>-1351.8021497930081</v>
      </c>
      <c r="P1288">
        <f>-711.413751321454 -182.657867536175 -214.747284841948</f>
        <v>-1108.818903699577</v>
      </c>
      <c r="Q1288">
        <f>-496.529147287538 -144.34296646933 -294.152098761037</f>
        <v>-935.02421251790497</v>
      </c>
      <c r="R1288" t="s">
        <v>24996</v>
      </c>
      <c r="S1288" t="s">
        <v>24997</v>
      </c>
      <c r="T1288" t="s">
        <v>24998</v>
      </c>
      <c r="U1288" t="s">
        <v>24999</v>
      </c>
      <c r="V1288">
        <f>-607.737518517404 -60.3352753919539 -92.9464434701748</f>
        <v>-761.0192373795328</v>
      </c>
      <c r="W1288" t="s">
        <v>25000</v>
      </c>
      <c r="X1288" t="s">
        <v>25001</v>
      </c>
      <c r="Y1288" t="s">
        <v>25002</v>
      </c>
    </row>
    <row r="1289" spans="1:25" x14ac:dyDescent="0.3">
      <c r="A1289">
        <v>64400</v>
      </c>
      <c r="B1289" t="s">
        <v>25003</v>
      </c>
      <c r="C1289" t="s">
        <v>25004</v>
      </c>
      <c r="D1289" t="s">
        <v>25005</v>
      </c>
      <c r="E1289" t="s">
        <v>25006</v>
      </c>
      <c r="F1289" t="s">
        <v>25007</v>
      </c>
      <c r="G1289" t="s">
        <v>25008</v>
      </c>
      <c r="H1289" t="s">
        <v>25009</v>
      </c>
      <c r="I1289" t="s">
        <v>25010</v>
      </c>
      <c r="J1289" t="s">
        <v>25011</v>
      </c>
      <c r="K1289" t="s">
        <v>25012</v>
      </c>
      <c r="L1289" t="s">
        <v>25013</v>
      </c>
      <c r="M1289" t="s">
        <v>25014</v>
      </c>
      <c r="N1289">
        <f>-676.30049305093 -18.8907038717959 -527.684906750793</f>
        <v>-1222.8761036735189</v>
      </c>
      <c r="O1289">
        <f>-685.618709304136 -171.219752555379 -495.34089496667</f>
        <v>-1352.1793568261851</v>
      </c>
      <c r="P1289">
        <f>-712.254687917096 -182.626610019121 -214.736135404379</f>
        <v>-1109.6174333405961</v>
      </c>
      <c r="Q1289">
        <f>-497.380370515804 -143.432850746039 -293.738809215443</f>
        <v>-934.55203047728594</v>
      </c>
      <c r="R1289" t="s">
        <v>25015</v>
      </c>
      <c r="S1289" t="s">
        <v>25016</v>
      </c>
      <c r="T1289" t="s">
        <v>25017</v>
      </c>
      <c r="U1289" t="s">
        <v>25018</v>
      </c>
      <c r="V1289">
        <f>-608.21986715329 -60.602800066581 -92.988241794748</f>
        <v>-761.81090901461903</v>
      </c>
      <c r="W1289" t="s">
        <v>25019</v>
      </c>
      <c r="X1289" t="s">
        <v>25020</v>
      </c>
      <c r="Y1289" t="s">
        <v>25021</v>
      </c>
    </row>
    <row r="1290" spans="1:25" x14ac:dyDescent="0.3">
      <c r="A1290">
        <v>64450</v>
      </c>
      <c r="B1290" t="s">
        <v>25022</v>
      </c>
      <c r="C1290" t="s">
        <v>25023</v>
      </c>
      <c r="D1290" t="s">
        <v>25024</v>
      </c>
      <c r="E1290" t="s">
        <v>25025</v>
      </c>
      <c r="F1290" t="s">
        <v>25026</v>
      </c>
      <c r="G1290" t="s">
        <v>25027</v>
      </c>
      <c r="H1290" t="s">
        <v>25028</v>
      </c>
      <c r="I1290" t="s">
        <v>25029</v>
      </c>
      <c r="J1290" t="s">
        <v>25030</v>
      </c>
      <c r="K1290" t="s">
        <v>25031</v>
      </c>
      <c r="L1290" t="s">
        <v>25032</v>
      </c>
      <c r="M1290" t="s">
        <v>25033</v>
      </c>
      <c r="N1290">
        <f>-676.521419514832 -18.9265817593266 -527.698181601854</f>
        <v>-1223.1461828760125</v>
      </c>
      <c r="O1290">
        <f>-685.890246725912 -171.24623513473 -495.326606118804</f>
        <v>-1352.4630879794461</v>
      </c>
      <c r="P1290">
        <f>-712.852029136936 -182.606878272584 -214.751054872519</f>
        <v>-1110.209962282039</v>
      </c>
      <c r="Q1290">
        <f>-497.831340362822 -143.150710400178 -293.222764888945</f>
        <v>-934.20481565194495</v>
      </c>
      <c r="R1290" t="s">
        <v>25034</v>
      </c>
      <c r="S1290" t="s">
        <v>25035</v>
      </c>
      <c r="T1290" t="s">
        <v>25036</v>
      </c>
      <c r="U1290" t="s">
        <v>25037</v>
      </c>
      <c r="V1290">
        <f>-608.398336627426 -60.6684734035487 -93.0037389995044</f>
        <v>-762.07054903047913</v>
      </c>
      <c r="W1290" t="s">
        <v>25038</v>
      </c>
      <c r="X1290" t="s">
        <v>25039</v>
      </c>
      <c r="Y1290" t="s">
        <v>25040</v>
      </c>
    </row>
    <row r="1291" spans="1:25" x14ac:dyDescent="0.3">
      <c r="A1291">
        <v>64500</v>
      </c>
      <c r="B1291" t="s">
        <v>25041</v>
      </c>
      <c r="C1291" t="s">
        <v>25042</v>
      </c>
      <c r="D1291" t="s">
        <v>25043</v>
      </c>
      <c r="E1291" t="s">
        <v>25044</v>
      </c>
      <c r="F1291" t="s">
        <v>25045</v>
      </c>
      <c r="G1291" t="s">
        <v>25046</v>
      </c>
      <c r="H1291" t="s">
        <v>25047</v>
      </c>
      <c r="I1291" t="s">
        <v>25048</v>
      </c>
      <c r="J1291" t="s">
        <v>25049</v>
      </c>
      <c r="K1291" t="s">
        <v>25050</v>
      </c>
      <c r="L1291" t="s">
        <v>25051</v>
      </c>
      <c r="M1291" t="s">
        <v>25052</v>
      </c>
      <c r="N1291">
        <f>-677.112149225558 -18.8399820187728 -527.671223632803</f>
        <v>-1223.6233548771338</v>
      </c>
      <c r="O1291">
        <f>-686.50380553976 -171.168302078596 -495.339813922007</f>
        <v>-1353.0119215403629</v>
      </c>
      <c r="P1291">
        <f>-714.407496370589 -182.600074901584 -214.859370020102</f>
        <v>-1111.866941292275</v>
      </c>
      <c r="Q1291">
        <f>-498.992895203948 -142.368253996067 -291.843113008511</f>
        <v>-933.20426220852596</v>
      </c>
      <c r="R1291" t="s">
        <v>25053</v>
      </c>
      <c r="S1291" t="s">
        <v>25054</v>
      </c>
      <c r="T1291" t="s">
        <v>25055</v>
      </c>
      <c r="U1291" t="s">
        <v>25056</v>
      </c>
      <c r="V1291">
        <f>-608.714526855302 -60.7376089386128 -93.0129342966795</f>
        <v>-762.46507009059428</v>
      </c>
      <c r="W1291" t="s">
        <v>25057</v>
      </c>
      <c r="X1291" t="s">
        <v>25058</v>
      </c>
      <c r="Y1291" t="s">
        <v>25059</v>
      </c>
    </row>
    <row r="1292" spans="1:25" x14ac:dyDescent="0.3">
      <c r="A1292">
        <v>64550</v>
      </c>
      <c r="B1292" t="s">
        <v>25060</v>
      </c>
      <c r="C1292" t="s">
        <v>25061</v>
      </c>
      <c r="D1292" t="s">
        <v>25062</v>
      </c>
      <c r="E1292" t="s">
        <v>25063</v>
      </c>
      <c r="F1292" t="s">
        <v>25064</v>
      </c>
      <c r="G1292" t="s">
        <v>25065</v>
      </c>
      <c r="H1292" t="s">
        <v>25066</v>
      </c>
      <c r="I1292" t="s">
        <v>25067</v>
      </c>
      <c r="J1292" t="s">
        <v>25068</v>
      </c>
      <c r="K1292" t="s">
        <v>25069</v>
      </c>
      <c r="L1292" t="s">
        <v>25070</v>
      </c>
      <c r="M1292" t="s">
        <v>25071</v>
      </c>
      <c r="N1292">
        <f>-677.32930052493 -18.7060623600403 -527.665683290984</f>
        <v>-1223.7010461759542</v>
      </c>
      <c r="O1292">
        <f>-686.737768775061 -171.042251421653 -495.384687935398</f>
        <v>-1353.1647081321121</v>
      </c>
      <c r="P1292">
        <f>-715.084969912745 -182.379471623665 -214.94493681358</f>
        <v>-1112.40937834999</v>
      </c>
      <c r="Q1292">
        <f>-499.514523354908 -141.965757784946 -291.395226219944</f>
        <v>-932.87550735979801</v>
      </c>
      <c r="R1292" t="s">
        <v>25072</v>
      </c>
      <c r="S1292" t="s">
        <v>25073</v>
      </c>
      <c r="T1292" t="s">
        <v>25074</v>
      </c>
      <c r="U1292" t="s">
        <v>25075</v>
      </c>
      <c r="V1292">
        <f>-608.903605075009 -60.725145411322 -93.0137182046135</f>
        <v>-762.6424686909445</v>
      </c>
      <c r="W1292" t="s">
        <v>25076</v>
      </c>
      <c r="X1292" t="s">
        <v>25077</v>
      </c>
      <c r="Y1292" t="s">
        <v>25078</v>
      </c>
    </row>
    <row r="1293" spans="1:25" x14ac:dyDescent="0.3">
      <c r="A1293">
        <v>64600</v>
      </c>
      <c r="B1293" t="s">
        <v>25079</v>
      </c>
      <c r="C1293" t="s">
        <v>25080</v>
      </c>
      <c r="D1293" t="s">
        <v>25081</v>
      </c>
      <c r="E1293" t="s">
        <v>25082</v>
      </c>
      <c r="F1293" t="s">
        <v>25083</v>
      </c>
      <c r="G1293" t="s">
        <v>25084</v>
      </c>
      <c r="H1293" t="s">
        <v>25085</v>
      </c>
      <c r="I1293" t="s">
        <v>25086</v>
      </c>
      <c r="J1293" t="s">
        <v>25087</v>
      </c>
      <c r="K1293" t="s">
        <v>25088</v>
      </c>
      <c r="L1293" t="s">
        <v>25089</v>
      </c>
      <c r="M1293" t="s">
        <v>25090</v>
      </c>
      <c r="N1293">
        <f>-677.754462302681 -18.5512919739051 -527.701278574207</f>
        <v>-1224.0070328507932</v>
      </c>
      <c r="O1293">
        <f>-687.333751808074 -170.885548280071 -495.477529142714</f>
        <v>-1353.6968292308591</v>
      </c>
      <c r="P1293">
        <f>-716.122973161953 -182.069250739237 -215.076663445811</f>
        <v>-1113.2688873470011</v>
      </c>
      <c r="Q1293">
        <f>-500.336007207724 -141.640929527038 -290.905764387206</f>
        <v>-932.8827011219679</v>
      </c>
      <c r="R1293" t="s">
        <v>25091</v>
      </c>
      <c r="S1293" t="s">
        <v>25092</v>
      </c>
      <c r="T1293" t="s">
        <v>25093</v>
      </c>
      <c r="U1293" t="s">
        <v>25094</v>
      </c>
      <c r="V1293">
        <f>-609.361624697722 -60.7939314327307 -93.0114294717221</f>
        <v>-763.1669856021748</v>
      </c>
      <c r="W1293" t="s">
        <v>25095</v>
      </c>
      <c r="X1293" t="s">
        <v>25096</v>
      </c>
      <c r="Y1293" t="s">
        <v>25097</v>
      </c>
    </row>
    <row r="1294" spans="1:25" x14ac:dyDescent="0.3">
      <c r="A1294">
        <v>64650</v>
      </c>
      <c r="B1294" t="s">
        <v>25098</v>
      </c>
      <c r="C1294" t="s">
        <v>25099</v>
      </c>
      <c r="D1294" t="s">
        <v>25100</v>
      </c>
      <c r="E1294" t="s">
        <v>25101</v>
      </c>
      <c r="F1294" t="s">
        <v>25102</v>
      </c>
      <c r="G1294" t="s">
        <v>25103</v>
      </c>
      <c r="H1294" t="s">
        <v>25104</v>
      </c>
      <c r="I1294" t="s">
        <v>25105</v>
      </c>
      <c r="J1294" t="s">
        <v>25106</v>
      </c>
      <c r="K1294" t="s">
        <v>25107</v>
      </c>
      <c r="L1294" t="s">
        <v>25108</v>
      </c>
      <c r="M1294" t="s">
        <v>25109</v>
      </c>
      <c r="N1294">
        <f>-677.881101684288 -18.4710875096339 -527.721781506169</f>
        <v>-1224.0739707000907</v>
      </c>
      <c r="O1294">
        <f>-687.575130295412 -170.805533219504 -495.528595450251</f>
        <v>-1353.9092589651671</v>
      </c>
      <c r="P1294">
        <f>-716.431791327204 -182.185827161097 -215.142566620889</f>
        <v>-1113.7601851091899</v>
      </c>
      <c r="Q1294">
        <f>-500.672263266939 -141.714910562229 -291.026974545448</f>
        <v>-933.41414837461593</v>
      </c>
      <c r="R1294" t="s">
        <v>25110</v>
      </c>
      <c r="S1294" t="s">
        <v>25111</v>
      </c>
      <c r="T1294" t="s">
        <v>25112</v>
      </c>
      <c r="U1294" t="s">
        <v>25113</v>
      </c>
      <c r="V1294">
        <f>-609.57798328466 -60.7470991908933 -93.0207129238527</f>
        <v>-763.34579539940603</v>
      </c>
      <c r="W1294" t="s">
        <v>25114</v>
      </c>
      <c r="X1294" t="s">
        <v>25115</v>
      </c>
      <c r="Y1294" t="s">
        <v>25116</v>
      </c>
    </row>
    <row r="1295" spans="1:25" x14ac:dyDescent="0.3">
      <c r="A1295">
        <v>64700</v>
      </c>
      <c r="B1295" t="s">
        <v>25117</v>
      </c>
      <c r="C1295" t="s">
        <v>25118</v>
      </c>
      <c r="D1295" t="s">
        <v>25119</v>
      </c>
      <c r="E1295" t="s">
        <v>25120</v>
      </c>
      <c r="F1295" t="s">
        <v>25121</v>
      </c>
      <c r="G1295" t="s">
        <v>25122</v>
      </c>
      <c r="H1295" t="s">
        <v>25123</v>
      </c>
      <c r="I1295" t="s">
        <v>25124</v>
      </c>
      <c r="J1295" t="s">
        <v>25125</v>
      </c>
      <c r="K1295" t="s">
        <v>25126</v>
      </c>
      <c r="L1295" t="s">
        <v>25127</v>
      </c>
      <c r="M1295" t="s">
        <v>25128</v>
      </c>
      <c r="N1295">
        <f>-678.260553644099 -18.2194458515303 -527.744111301653</f>
        <v>-1224.2241107972823</v>
      </c>
      <c r="O1295">
        <f>-688.132172668352 -170.545786961972 -495.557624488363</f>
        <v>-1354.235584118687</v>
      </c>
      <c r="P1295">
        <f>-716.486847838032 -181.920738167992 -215.120112180783</f>
        <v>-1113.5276981868069</v>
      </c>
      <c r="Q1295">
        <f>-500.936565886564 -141.6786095551 -291.717623754954</f>
        <v>-934.332799196618</v>
      </c>
      <c r="R1295" t="s">
        <v>25129</v>
      </c>
      <c r="S1295" t="s">
        <v>25130</v>
      </c>
      <c r="T1295" t="s">
        <v>25131</v>
      </c>
      <c r="U1295" t="s">
        <v>25132</v>
      </c>
      <c r="V1295">
        <f>-609.994761876186 -60.6384333332383 -93.0402640688726</f>
        <v>-763.67345927829683</v>
      </c>
      <c r="W1295" t="s">
        <v>25133</v>
      </c>
      <c r="X1295" t="s">
        <v>25134</v>
      </c>
      <c r="Y1295" t="s">
        <v>25135</v>
      </c>
    </row>
    <row r="1296" spans="1:25" x14ac:dyDescent="0.3">
      <c r="A1296">
        <v>64750</v>
      </c>
      <c r="B1296" t="s">
        <v>25136</v>
      </c>
      <c r="C1296" t="s">
        <v>25137</v>
      </c>
      <c r="D1296" t="s">
        <v>25138</v>
      </c>
      <c r="E1296" t="s">
        <v>25139</v>
      </c>
      <c r="F1296" t="s">
        <v>25140</v>
      </c>
      <c r="G1296" t="s">
        <v>25141</v>
      </c>
      <c r="H1296" t="s">
        <v>25142</v>
      </c>
      <c r="I1296" t="s">
        <v>25143</v>
      </c>
      <c r="J1296" t="s">
        <v>25144</v>
      </c>
      <c r="K1296" t="s">
        <v>25145</v>
      </c>
      <c r="L1296" t="s">
        <v>25146</v>
      </c>
      <c r="M1296" t="s">
        <v>25147</v>
      </c>
      <c r="N1296">
        <f>-678.521455651319 -18.0642372472687 -527.739272448036</f>
        <v>-1224.3249653466237</v>
      </c>
      <c r="O1296">
        <f>-688.387662196598 -170.392600517467 -495.546694155687</f>
        <v>-1354.3269568697519</v>
      </c>
      <c r="P1296">
        <f>-716.471470178432 -181.715797734711 -215.07983462764</f>
        <v>-1113.2671025407831</v>
      </c>
      <c r="Q1296">
        <f>-500.923107767056 -141.632431911531 -291.76601669698</f>
        <v>-934.32155637556707</v>
      </c>
      <c r="R1296" t="s">
        <v>25148</v>
      </c>
      <c r="S1296" t="s">
        <v>25149</v>
      </c>
      <c r="T1296" t="s">
        <v>25150</v>
      </c>
      <c r="U1296" t="s">
        <v>25151</v>
      </c>
      <c r="V1296">
        <f>-610.174436376416 -60.5639205216469 -93.0445407715763</f>
        <v>-763.78289766963917</v>
      </c>
      <c r="W1296" t="s">
        <v>25152</v>
      </c>
      <c r="X1296" t="s">
        <v>25153</v>
      </c>
      <c r="Y1296" t="s">
        <v>25154</v>
      </c>
    </row>
    <row r="1297" spans="1:25" x14ac:dyDescent="0.3">
      <c r="A1297">
        <v>64800</v>
      </c>
      <c r="B1297" t="s">
        <v>25155</v>
      </c>
      <c r="C1297" t="s">
        <v>25156</v>
      </c>
      <c r="D1297" t="s">
        <v>25157</v>
      </c>
      <c r="E1297" t="s">
        <v>25158</v>
      </c>
      <c r="F1297" t="s">
        <v>25159</v>
      </c>
      <c r="G1297" t="s">
        <v>25160</v>
      </c>
      <c r="H1297" t="s">
        <v>25161</v>
      </c>
      <c r="I1297" t="s">
        <v>25162</v>
      </c>
      <c r="J1297" t="s">
        <v>25163</v>
      </c>
      <c r="K1297" t="s">
        <v>25164</v>
      </c>
      <c r="L1297" t="s">
        <v>25165</v>
      </c>
      <c r="M1297" t="s">
        <v>25166</v>
      </c>
      <c r="N1297">
        <f>-678.931822086772 -17.7248054268323 -527.714770152309</f>
        <v>-1224.3713976659133</v>
      </c>
      <c r="O1297">
        <f>-688.734992897532 -170.066691273313 -495.559374723729</f>
        <v>-1354.3610588945739</v>
      </c>
      <c r="P1297">
        <f>-716.638266186358 -181.715892984551 -215.087932688716</f>
        <v>-1113.442091859625</v>
      </c>
      <c r="Q1297">
        <f>-501.341262982088 -140.775970494599 -292.027305508336</f>
        <v>-934.14453898502302</v>
      </c>
      <c r="R1297" t="s">
        <v>25167</v>
      </c>
      <c r="S1297" t="s">
        <v>25168</v>
      </c>
      <c r="T1297" t="s">
        <v>25169</v>
      </c>
      <c r="U1297" t="s">
        <v>25170</v>
      </c>
      <c r="V1297">
        <f>-610.407369000224 -60.4549604426397 -93.0374120387403</f>
        <v>-763.899741481604</v>
      </c>
      <c r="W1297" t="s">
        <v>25171</v>
      </c>
      <c r="X1297" t="s">
        <v>25172</v>
      </c>
      <c r="Y1297" t="s">
        <v>25173</v>
      </c>
    </row>
    <row r="1298" spans="1:25" x14ac:dyDescent="0.3">
      <c r="A1298">
        <v>64850</v>
      </c>
      <c r="B1298" t="s">
        <v>25174</v>
      </c>
      <c r="C1298" t="s">
        <v>25175</v>
      </c>
      <c r="D1298" t="s">
        <v>25176</v>
      </c>
      <c r="E1298" t="s">
        <v>25177</v>
      </c>
      <c r="F1298" t="s">
        <v>25178</v>
      </c>
      <c r="G1298" t="s">
        <v>25179</v>
      </c>
      <c r="H1298" t="s">
        <v>25180</v>
      </c>
      <c r="I1298" t="s">
        <v>25181</v>
      </c>
      <c r="J1298" t="s">
        <v>25182</v>
      </c>
      <c r="K1298" t="s">
        <v>25183</v>
      </c>
      <c r="L1298" t="s">
        <v>25184</v>
      </c>
      <c r="M1298" t="s">
        <v>25185</v>
      </c>
      <c r="N1298">
        <f>-679.079931794626 -17.5435448902469 -527.695570446579</f>
        <v>-1224.319047131452</v>
      </c>
      <c r="O1298">
        <f>-688.854142540085 -169.895550495542 -495.581870597048</f>
        <v>-1354.3315636326752</v>
      </c>
      <c r="P1298">
        <f>-716.734580483113 -181.726765801893 -215.11558017579</f>
        <v>-1113.5769264607959</v>
      </c>
      <c r="Q1298">
        <f>-501.720484273058 -139.97918598756 -292.411167806058</f>
        <v>-934.11083806667602</v>
      </c>
      <c r="R1298" t="s">
        <v>25186</v>
      </c>
      <c r="S1298" t="s">
        <v>25187</v>
      </c>
      <c r="T1298" t="s">
        <v>25188</v>
      </c>
      <c r="U1298" t="s">
        <v>25189</v>
      </c>
      <c r="V1298">
        <f>-610.513543434666 -60.3792284047686 -93.0201560009648</f>
        <v>-763.91292784039933</v>
      </c>
      <c r="W1298" t="s">
        <v>25190</v>
      </c>
      <c r="X1298" t="s">
        <v>25191</v>
      </c>
      <c r="Y1298" t="s">
        <v>25192</v>
      </c>
    </row>
    <row r="1299" spans="1:25" x14ac:dyDescent="0.3">
      <c r="A1299">
        <v>64900</v>
      </c>
      <c r="B1299" t="s">
        <v>25193</v>
      </c>
      <c r="C1299" t="s">
        <v>25194</v>
      </c>
      <c r="D1299" t="s">
        <v>25195</v>
      </c>
      <c r="E1299" t="s">
        <v>25196</v>
      </c>
      <c r="F1299" t="s">
        <v>25197</v>
      </c>
      <c r="G1299" t="s">
        <v>25198</v>
      </c>
      <c r="H1299" t="s">
        <v>25199</v>
      </c>
      <c r="I1299" t="s">
        <v>25200</v>
      </c>
      <c r="J1299" t="s">
        <v>25201</v>
      </c>
      <c r="K1299" t="s">
        <v>25202</v>
      </c>
      <c r="L1299" t="s">
        <v>25203</v>
      </c>
      <c r="M1299" t="s">
        <v>25204</v>
      </c>
      <c r="N1299">
        <f>-679.43528027464 -17.2262610895691 -527.636039947165</f>
        <v>-1224.2975813113742</v>
      </c>
      <c r="O1299">
        <f>-689.100506101521 -169.592620104505 -495.585422307894</f>
        <v>-1354.27854851392</v>
      </c>
      <c r="P1299">
        <f>-717.01983944133 -181.790490767829 -215.138878484356</f>
        <v>-1113.9492086935149</v>
      </c>
      <c r="Q1299">
        <f>-502.591866781401 -138.341273876081 -293.121902260035</f>
        <v>-934.05504291751697</v>
      </c>
      <c r="R1299" t="s">
        <v>25205</v>
      </c>
      <c r="S1299" t="s">
        <v>25206</v>
      </c>
      <c r="T1299" t="s">
        <v>25207</v>
      </c>
      <c r="U1299" t="s">
        <v>25208</v>
      </c>
      <c r="V1299">
        <f>-610.832470149831 -60.2756515907411 -92.9635843449062</f>
        <v>-764.07170608547824</v>
      </c>
      <c r="W1299" t="s">
        <v>25209</v>
      </c>
      <c r="X1299" t="s">
        <v>25210</v>
      </c>
      <c r="Y1299" t="s">
        <v>25211</v>
      </c>
    </row>
    <row r="1300" spans="1:25" x14ac:dyDescent="0.3">
      <c r="A1300">
        <v>64950</v>
      </c>
      <c r="B1300" t="s">
        <v>25212</v>
      </c>
      <c r="C1300" t="s">
        <v>25213</v>
      </c>
      <c r="D1300" t="s">
        <v>25214</v>
      </c>
      <c r="E1300" t="s">
        <v>25215</v>
      </c>
      <c r="F1300" t="s">
        <v>25216</v>
      </c>
      <c r="G1300" t="s">
        <v>25217</v>
      </c>
      <c r="H1300" t="s">
        <v>25218</v>
      </c>
      <c r="I1300" t="s">
        <v>25219</v>
      </c>
      <c r="J1300" t="s">
        <v>25220</v>
      </c>
      <c r="K1300" t="s">
        <v>25221</v>
      </c>
      <c r="L1300" t="s">
        <v>25222</v>
      </c>
      <c r="M1300" t="s">
        <v>25223</v>
      </c>
      <c r="N1300">
        <f>-679.599498453902 -17.1002788001674 -527.622014414833</f>
        <v>-1224.3217916689023</v>
      </c>
      <c r="O1300">
        <f>-689.222512052991 -169.472364088835 -495.579329767002</f>
        <v>-1354.274205908828</v>
      </c>
      <c r="P1300">
        <f>-717.094145127688 -181.926733853401 -215.139065123342</f>
        <v>-1114.1599441044309</v>
      </c>
      <c r="Q1300">
        <f>-503.039939745342 -137.38615917508 -293.532148855332</f>
        <v>-933.95824777575399</v>
      </c>
      <c r="R1300" t="s">
        <v>25224</v>
      </c>
      <c r="S1300" t="s">
        <v>25225</v>
      </c>
      <c r="T1300" t="s">
        <v>25226</v>
      </c>
      <c r="U1300" t="s">
        <v>25227</v>
      </c>
      <c r="V1300">
        <f>-610.97232513551 -60.1448213520412 -92.9476572148205</f>
        <v>-764.06480370237171</v>
      </c>
      <c r="W1300" t="s">
        <v>25228</v>
      </c>
      <c r="X1300" t="s">
        <v>25229</v>
      </c>
      <c r="Y1300" t="s">
        <v>25230</v>
      </c>
    </row>
    <row r="1301" spans="1:25" x14ac:dyDescent="0.3">
      <c r="A1301">
        <v>65000</v>
      </c>
      <c r="B1301" t="s">
        <v>25231</v>
      </c>
      <c r="C1301" t="s">
        <v>25232</v>
      </c>
      <c r="D1301" t="s">
        <v>25233</v>
      </c>
      <c r="E1301" t="s">
        <v>25234</v>
      </c>
      <c r="F1301" t="s">
        <v>25235</v>
      </c>
      <c r="G1301" t="s">
        <v>25236</v>
      </c>
      <c r="H1301" t="s">
        <v>25237</v>
      </c>
      <c r="I1301" t="s">
        <v>25238</v>
      </c>
      <c r="J1301" t="s">
        <v>25239</v>
      </c>
      <c r="K1301" t="s">
        <v>25240</v>
      </c>
      <c r="L1301" t="s">
        <v>25241</v>
      </c>
      <c r="M1301" t="s">
        <v>25242</v>
      </c>
      <c r="N1301">
        <f>-680.024289857337 -16.9311192415321 -527.566460223245</f>
        <v>-1224.5218693221141</v>
      </c>
      <c r="O1301">
        <f>-689.754274637535 -169.261177366417 -495.365404916576</f>
        <v>-1354.380856920528</v>
      </c>
      <c r="P1301">
        <f>-716.929583738331 -181.70786699576 -214.856679184919</f>
        <v>-1113.49412991901</v>
      </c>
      <c r="Q1301">
        <f>-503.553891950149 -135.451735202716 -294.101332188337</f>
        <v>-933.10695934120201</v>
      </c>
      <c r="R1301" t="s">
        <v>25243</v>
      </c>
      <c r="S1301" t="s">
        <v>25244</v>
      </c>
      <c r="T1301" t="s">
        <v>25245</v>
      </c>
      <c r="U1301" t="s">
        <v>25246</v>
      </c>
      <c r="V1301">
        <f>-611.122260074343 -59.844585434543 -92.9319090882158</f>
        <v>-763.89875459710174</v>
      </c>
      <c r="W1301" t="s">
        <v>25247</v>
      </c>
      <c r="X1301" t="s">
        <v>25248</v>
      </c>
      <c r="Y1301" t="s">
        <v>25249</v>
      </c>
    </row>
    <row r="1302" spans="1:25" x14ac:dyDescent="0.3">
      <c r="A1302">
        <v>65050</v>
      </c>
      <c r="B1302" t="s">
        <v>25250</v>
      </c>
      <c r="C1302" t="s">
        <v>25251</v>
      </c>
      <c r="D1302" t="s">
        <v>25252</v>
      </c>
      <c r="E1302" t="s">
        <v>25253</v>
      </c>
      <c r="F1302" t="s">
        <v>25254</v>
      </c>
      <c r="G1302" t="s">
        <v>25255</v>
      </c>
      <c r="H1302" t="s">
        <v>25256</v>
      </c>
      <c r="I1302" t="s">
        <v>25257</v>
      </c>
      <c r="J1302" t="s">
        <v>25258</v>
      </c>
      <c r="K1302" t="s">
        <v>25259</v>
      </c>
      <c r="L1302" t="s">
        <v>25260</v>
      </c>
      <c r="M1302" t="s">
        <v>25261</v>
      </c>
      <c r="N1302">
        <f>-680.246085824448 -16.8522460895113 -527.513351481688</f>
        <v>-1224.6116833956471</v>
      </c>
      <c r="O1302">
        <f>-690.089495520051 -169.1544101221 -495.201372182732</f>
        <v>-1354.4452778248829</v>
      </c>
      <c r="P1302">
        <f>-716.919410681655 -181.386860319213 -214.649954479049</f>
        <v>-1112.9562254799171</v>
      </c>
      <c r="Q1302">
        <f>-503.621831448382 -134.784097154225 -293.901806246379</f>
        <v>-932.307734848986</v>
      </c>
      <c r="R1302" t="s">
        <v>25262</v>
      </c>
      <c r="S1302" t="s">
        <v>25263</v>
      </c>
      <c r="T1302" t="s">
        <v>25264</v>
      </c>
      <c r="U1302" t="s">
        <v>25265</v>
      </c>
      <c r="V1302">
        <f>-611.26726280247 -59.7952801768085 -92.9127733388323</f>
        <v>-763.9753163181108</v>
      </c>
      <c r="W1302" t="s">
        <v>25266</v>
      </c>
      <c r="X1302" t="s">
        <v>25267</v>
      </c>
      <c r="Y1302" t="s">
        <v>25268</v>
      </c>
    </row>
    <row r="1303" spans="1:25" x14ac:dyDescent="0.3">
      <c r="A1303">
        <v>65100</v>
      </c>
      <c r="B1303" t="s">
        <v>25269</v>
      </c>
      <c r="C1303" t="s">
        <v>25270</v>
      </c>
      <c r="D1303" t="s">
        <v>25271</v>
      </c>
      <c r="E1303" t="s">
        <v>25272</v>
      </c>
      <c r="F1303" t="s">
        <v>25273</v>
      </c>
      <c r="G1303" t="s">
        <v>25274</v>
      </c>
      <c r="H1303" t="s">
        <v>25275</v>
      </c>
      <c r="I1303" t="s">
        <v>25276</v>
      </c>
      <c r="J1303" t="s">
        <v>25277</v>
      </c>
      <c r="K1303" t="s">
        <v>25278</v>
      </c>
      <c r="L1303" t="s">
        <v>25279</v>
      </c>
      <c r="M1303" t="s">
        <v>25280</v>
      </c>
      <c r="N1303">
        <f>-680.325580346748 -16.7491088385561 -527.455666409161</f>
        <v>-1224.5303555944652</v>
      </c>
      <c r="O1303">
        <f>-690.498404226875 -168.988254955871 -494.961683896925</f>
        <v>-1354.4483430796711</v>
      </c>
      <c r="P1303">
        <f>-717.247323235516 -180.335211238396 -214.365314360457</f>
        <v>-1111.9478488343691</v>
      </c>
      <c r="Q1303">
        <f>-503.437313294791 -133.850968637967 -292.294783412314</f>
        <v>-929.58306534507199</v>
      </c>
      <c r="R1303" t="s">
        <v>25281</v>
      </c>
      <c r="S1303" t="s">
        <v>25282</v>
      </c>
      <c r="T1303" t="s">
        <v>25283</v>
      </c>
      <c r="U1303" t="s">
        <v>25284</v>
      </c>
      <c r="V1303">
        <f>-611.637211219967 -59.7612727609203 -92.8874810553662</f>
        <v>-764.2859650362534</v>
      </c>
      <c r="W1303" t="s">
        <v>25285</v>
      </c>
      <c r="X1303" t="s">
        <v>25286</v>
      </c>
      <c r="Y1303" t="s">
        <v>25287</v>
      </c>
    </row>
    <row r="1304" spans="1:25" x14ac:dyDescent="0.3">
      <c r="A1304">
        <v>65150</v>
      </c>
      <c r="B1304" t="s">
        <v>25288</v>
      </c>
      <c r="C1304" t="s">
        <v>25289</v>
      </c>
      <c r="D1304" t="s">
        <v>25290</v>
      </c>
      <c r="E1304" t="s">
        <v>25291</v>
      </c>
      <c r="F1304" t="s">
        <v>25292</v>
      </c>
      <c r="G1304" t="s">
        <v>25293</v>
      </c>
      <c r="H1304" t="s">
        <v>25294</v>
      </c>
      <c r="I1304" t="s">
        <v>25295</v>
      </c>
      <c r="J1304" t="s">
        <v>25296</v>
      </c>
      <c r="K1304" t="s">
        <v>25297</v>
      </c>
      <c r="L1304" t="s">
        <v>25298</v>
      </c>
      <c r="M1304" t="s">
        <v>25299</v>
      </c>
      <c r="N1304">
        <f>-680.261730659231 -16.7901698071303 -527.431847949067</f>
        <v>-1224.4837484154282</v>
      </c>
      <c r="O1304">
        <f>-690.581226325905 -169.008527462213 -494.859328252257</f>
        <v>-1354.4490820403751</v>
      </c>
      <c r="P1304">
        <f>-717.77966633559 -180.061712293017 -214.294498367362</f>
        <v>-1112.1358769959691</v>
      </c>
      <c r="Q1304">
        <f>-503.562914079461 -133.76836621505 -291.214162389425</f>
        <v>-928.54544268393602</v>
      </c>
      <c r="R1304" t="s">
        <v>25300</v>
      </c>
      <c r="S1304" t="s">
        <v>25301</v>
      </c>
      <c r="T1304" t="s">
        <v>25302</v>
      </c>
      <c r="U1304" t="s">
        <v>25303</v>
      </c>
      <c r="V1304">
        <f>-611.746077921194 -59.6995134096676 -92.8847570309938</f>
        <v>-764.33034836185539</v>
      </c>
      <c r="W1304" t="s">
        <v>25304</v>
      </c>
      <c r="X1304" t="s">
        <v>25305</v>
      </c>
      <c r="Y1304" t="s">
        <v>25306</v>
      </c>
    </row>
    <row r="1305" spans="1:25" x14ac:dyDescent="0.3">
      <c r="A1305">
        <v>65200</v>
      </c>
      <c r="B1305" t="s">
        <v>25307</v>
      </c>
      <c r="C1305" t="s">
        <v>25308</v>
      </c>
      <c r="D1305" t="s">
        <v>25309</v>
      </c>
      <c r="E1305" t="s">
        <v>25310</v>
      </c>
      <c r="F1305" t="s">
        <v>25311</v>
      </c>
      <c r="G1305" t="s">
        <v>25312</v>
      </c>
      <c r="H1305" t="s">
        <v>25313</v>
      </c>
      <c r="I1305" t="s">
        <v>25314</v>
      </c>
      <c r="J1305" t="s">
        <v>25315</v>
      </c>
      <c r="K1305" t="s">
        <v>25316</v>
      </c>
      <c r="L1305" t="s">
        <v>25317</v>
      </c>
      <c r="M1305" t="s">
        <v>25318</v>
      </c>
      <c r="N1305">
        <f>-680.068098557986 -16.5893794704045 -527.331353365462</f>
        <v>-1223.9888313938525</v>
      </c>
      <c r="O1305">
        <f>-690.770947655173 -168.734220435455 -494.523763714805</f>
        <v>-1354.0289318054329</v>
      </c>
      <c r="P1305">
        <f>-719.062397249957 -179.148442112958 -214.042637474825</f>
        <v>-1112.25347683774</v>
      </c>
      <c r="Q1305">
        <f>-503.775255323564 -133.86241491001 -288.535154944996</f>
        <v>-926.17282517857006</v>
      </c>
      <c r="R1305" t="s">
        <v>25319</v>
      </c>
      <c r="S1305" t="s">
        <v>25320</v>
      </c>
      <c r="T1305" t="s">
        <v>25321</v>
      </c>
      <c r="U1305" t="s">
        <v>25322</v>
      </c>
      <c r="V1305">
        <f>-611.591120616617 -59.2366469636816 -92.8634117828419</f>
        <v>-763.69117936314046</v>
      </c>
      <c r="W1305" t="s">
        <v>25323</v>
      </c>
      <c r="X1305" t="s">
        <v>25324</v>
      </c>
      <c r="Y1305" t="s">
        <v>25325</v>
      </c>
    </row>
    <row r="1306" spans="1:25" x14ac:dyDescent="0.3">
      <c r="A1306">
        <v>65250</v>
      </c>
      <c r="B1306" t="s">
        <v>25326</v>
      </c>
      <c r="C1306" t="s">
        <v>25327</v>
      </c>
      <c r="D1306" t="s">
        <v>25328</v>
      </c>
      <c r="E1306" t="s">
        <v>25329</v>
      </c>
      <c r="F1306" t="s">
        <v>25330</v>
      </c>
      <c r="G1306" t="s">
        <v>25331</v>
      </c>
      <c r="H1306" t="s">
        <v>25332</v>
      </c>
      <c r="I1306" t="s">
        <v>25333</v>
      </c>
      <c r="J1306" t="s">
        <v>25334</v>
      </c>
      <c r="K1306" t="s">
        <v>25335</v>
      </c>
      <c r="L1306" t="s">
        <v>25336</v>
      </c>
      <c r="M1306" t="s">
        <v>25337</v>
      </c>
      <c r="N1306">
        <f>-679.902492963309 -16.4024307021793 -527.29185395412</f>
        <v>-1223.5967776196085</v>
      </c>
      <c r="O1306">
        <f>-690.804784446256 -168.507818227165 -494.35693254701</f>
        <v>-1353.669535220431</v>
      </c>
      <c r="P1306">
        <f>-719.55872234233 -178.678025661762 -213.913864303456</f>
        <v>-1112.150612307548</v>
      </c>
      <c r="Q1306">
        <f>-503.848978007007 -133.788087029435 -287.417046700816</f>
        <v>-925.05411173725793</v>
      </c>
      <c r="R1306" t="s">
        <v>25338</v>
      </c>
      <c r="S1306" t="s">
        <v>25339</v>
      </c>
      <c r="T1306" t="s">
        <v>25340</v>
      </c>
      <c r="U1306" t="s">
        <v>25341</v>
      </c>
      <c r="V1306">
        <f>-611.450296642133 -58.9277271934598 -92.8444733764287</f>
        <v>-763.22249721202149</v>
      </c>
      <c r="W1306" t="s">
        <v>25342</v>
      </c>
      <c r="X1306" t="s">
        <v>25343</v>
      </c>
      <c r="Y1306" t="s">
        <v>25344</v>
      </c>
    </row>
    <row r="1307" spans="1:25" x14ac:dyDescent="0.3">
      <c r="A1307">
        <v>65300</v>
      </c>
      <c r="B1307" t="s">
        <v>25345</v>
      </c>
      <c r="C1307" t="s">
        <v>25346</v>
      </c>
      <c r="D1307" t="s">
        <v>25347</v>
      </c>
      <c r="E1307" t="s">
        <v>25348</v>
      </c>
      <c r="F1307" t="s">
        <v>25349</v>
      </c>
      <c r="G1307" t="s">
        <v>25350</v>
      </c>
      <c r="H1307" t="s">
        <v>25351</v>
      </c>
      <c r="I1307" t="s">
        <v>25352</v>
      </c>
      <c r="J1307" t="s">
        <v>25353</v>
      </c>
      <c r="K1307" t="s">
        <v>25354</v>
      </c>
      <c r="L1307" t="s">
        <v>25355</v>
      </c>
      <c r="M1307" t="s">
        <v>25356</v>
      </c>
      <c r="N1307">
        <f>-679.796400914123 -15.7964972911971 -527.218228650164</f>
        <v>-1222.811126855484</v>
      </c>
      <c r="O1307">
        <f>-691.071208357047 -167.854127357198 -494.22124002101</f>
        <v>-1353.1465757352548</v>
      </c>
      <c r="P1307">
        <f>-720.491886845197 -177.84099119965 -213.840722682461</f>
        <v>-1112.173600727308</v>
      </c>
      <c r="Q1307">
        <f>-504.118379881499 -133.054245209387 -285.431062590575</f>
        <v>-922.603687681461</v>
      </c>
      <c r="R1307" t="s">
        <v>25357</v>
      </c>
      <c r="S1307" t="s">
        <v>25358</v>
      </c>
      <c r="T1307" t="s">
        <v>25359</v>
      </c>
      <c r="U1307" t="s">
        <v>25360</v>
      </c>
      <c r="V1307">
        <f>-611.230976015617 -58.2960736611244 -92.8026788428327</f>
        <v>-762.32972851957413</v>
      </c>
      <c r="W1307" t="s">
        <v>25361</v>
      </c>
      <c r="X1307" t="s">
        <v>25362</v>
      </c>
      <c r="Y1307" t="s">
        <v>25363</v>
      </c>
    </row>
    <row r="1308" spans="1:25" x14ac:dyDescent="0.3">
      <c r="A1308">
        <v>65350</v>
      </c>
      <c r="B1308" t="s">
        <v>25364</v>
      </c>
      <c r="C1308" t="s">
        <v>25365</v>
      </c>
      <c r="D1308" t="s">
        <v>25366</v>
      </c>
      <c r="E1308" t="s">
        <v>25367</v>
      </c>
      <c r="F1308" t="s">
        <v>25368</v>
      </c>
      <c r="G1308" t="s">
        <v>25369</v>
      </c>
      <c r="H1308" t="s">
        <v>25370</v>
      </c>
      <c r="I1308" t="s">
        <v>25371</v>
      </c>
      <c r="J1308" t="s">
        <v>25372</v>
      </c>
      <c r="K1308" t="s">
        <v>25373</v>
      </c>
      <c r="L1308" t="s">
        <v>25374</v>
      </c>
      <c r="M1308" t="s">
        <v>25375</v>
      </c>
      <c r="N1308">
        <f>-679.835859886089 -15.4045320689379 -527.179378845199</f>
        <v>-1222.4197708002259</v>
      </c>
      <c r="O1308">
        <f>-691.224544634827 -167.451974610641 -494.181836470896</f>
        <v>-1352.8583557163638</v>
      </c>
      <c r="P1308">
        <f>-720.656683895559 -177.344073926745 -213.799077916224</f>
        <v>-1111.7998357385279</v>
      </c>
      <c r="Q1308">
        <f>-503.810702045097 -133.208583194658 -284.356864810531</f>
        <v>-921.37615005028601</v>
      </c>
      <c r="R1308" t="s">
        <v>25376</v>
      </c>
      <c r="S1308" t="s">
        <v>25377</v>
      </c>
      <c r="T1308" t="s">
        <v>25378</v>
      </c>
      <c r="U1308" t="s">
        <v>25379</v>
      </c>
      <c r="V1308">
        <f>-611.117081023744 -57.9754928252971 -92.7794187086051</f>
        <v>-761.87199255764631</v>
      </c>
      <c r="W1308" t="s">
        <v>25380</v>
      </c>
      <c r="X1308" t="s">
        <v>25381</v>
      </c>
      <c r="Y1308" t="s">
        <v>25382</v>
      </c>
    </row>
    <row r="1309" spans="1:25" x14ac:dyDescent="0.3">
      <c r="A1309">
        <v>65400</v>
      </c>
      <c r="B1309" t="s">
        <v>25383</v>
      </c>
      <c r="C1309" t="s">
        <v>25384</v>
      </c>
      <c r="D1309" t="s">
        <v>25385</v>
      </c>
      <c r="E1309" t="s">
        <v>25386</v>
      </c>
      <c r="F1309" t="s">
        <v>25387</v>
      </c>
      <c r="G1309" t="s">
        <v>25388</v>
      </c>
      <c r="H1309" t="s">
        <v>25389</v>
      </c>
      <c r="I1309" t="s">
        <v>25390</v>
      </c>
      <c r="J1309" t="s">
        <v>25391</v>
      </c>
      <c r="K1309" t="s">
        <v>25392</v>
      </c>
      <c r="L1309" t="s">
        <v>25393</v>
      </c>
      <c r="M1309" t="s">
        <v>25394</v>
      </c>
      <c r="N1309">
        <f>-679.810391582575 -14.7806113134072 -527.104108545511</f>
        <v>-1221.6951114414933</v>
      </c>
      <c r="O1309">
        <f>-691.310570647912 -166.817095402681 -494.125907861409</f>
        <v>-1352.2535739120021</v>
      </c>
      <c r="P1309">
        <f>-720.25912167728 -175.974156749581 -213.667783570156</f>
        <v>-1109.901061997017</v>
      </c>
      <c r="Q1309">
        <f>-502.138637742821 -134.123915622639 -281.64215898474</f>
        <v>-917.90471235020004</v>
      </c>
      <c r="R1309" t="s">
        <v>25395</v>
      </c>
      <c r="S1309" t="s">
        <v>25396</v>
      </c>
      <c r="T1309" t="s">
        <v>25397</v>
      </c>
      <c r="U1309" t="s">
        <v>25398</v>
      </c>
      <c r="V1309">
        <f>-610.800617698016 -57.2937614522928 -92.754764660925</f>
        <v>-760.84914381123383</v>
      </c>
      <c r="W1309" t="s">
        <v>25399</v>
      </c>
      <c r="X1309" t="s">
        <v>25400</v>
      </c>
      <c r="Y1309" t="s">
        <v>25401</v>
      </c>
    </row>
    <row r="1310" spans="1:25" x14ac:dyDescent="0.3">
      <c r="A1310">
        <v>65450</v>
      </c>
      <c r="B1310" t="s">
        <v>25402</v>
      </c>
      <c r="C1310" t="s">
        <v>25403</v>
      </c>
      <c r="D1310" t="s">
        <v>25404</v>
      </c>
      <c r="E1310" t="s">
        <v>25405</v>
      </c>
      <c r="F1310" t="s">
        <v>25406</v>
      </c>
      <c r="G1310" t="s">
        <v>25407</v>
      </c>
      <c r="H1310" t="s">
        <v>25408</v>
      </c>
      <c r="I1310" t="s">
        <v>25409</v>
      </c>
      <c r="J1310" t="s">
        <v>25410</v>
      </c>
      <c r="K1310" t="s">
        <v>25411</v>
      </c>
      <c r="L1310" t="s">
        <v>25412</v>
      </c>
      <c r="M1310" t="s">
        <v>25413</v>
      </c>
      <c r="N1310">
        <f>-679.790827053649 -14.500331479022 -527.062639782749</f>
        <v>-1221.3537983154199</v>
      </c>
      <c r="O1310">
        <f>-691.322896335311 -166.543614547814 -494.114803717555</f>
        <v>-1351.98131460068</v>
      </c>
      <c r="P1310">
        <f>-719.870161273203 -175.386497340404 -213.605551177236</f>
        <v>-1108.8622097908431</v>
      </c>
      <c r="Q1310">
        <f>-500.952735257083 -135.278264924139 -280.051056345808</f>
        <v>-916.28205652703002</v>
      </c>
      <c r="R1310" t="s">
        <v>25414</v>
      </c>
      <c r="S1310" t="s">
        <v>25415</v>
      </c>
      <c r="T1310" t="s">
        <v>25416</v>
      </c>
      <c r="U1310" t="s">
        <v>25417</v>
      </c>
      <c r="V1310">
        <f>-610.519549562946 -56.9747847867186 -92.75080782725</f>
        <v>-760.24514217691467</v>
      </c>
      <c r="W1310" t="s">
        <v>25418</v>
      </c>
      <c r="X1310" t="s">
        <v>25419</v>
      </c>
      <c r="Y1310" t="s">
        <v>25420</v>
      </c>
    </row>
    <row r="1311" spans="1:25" x14ac:dyDescent="0.3">
      <c r="A1311">
        <v>65500</v>
      </c>
      <c r="B1311" t="s">
        <v>25421</v>
      </c>
      <c r="C1311" t="s">
        <v>25422</v>
      </c>
      <c r="D1311" t="s">
        <v>25423</v>
      </c>
      <c r="E1311" t="s">
        <v>25424</v>
      </c>
      <c r="F1311" t="s">
        <v>25425</v>
      </c>
      <c r="G1311" t="s">
        <v>25426</v>
      </c>
      <c r="H1311" t="s">
        <v>25427</v>
      </c>
      <c r="I1311" t="s">
        <v>25428</v>
      </c>
      <c r="J1311" t="s">
        <v>25429</v>
      </c>
      <c r="K1311" t="s">
        <v>25430</v>
      </c>
      <c r="L1311" t="s">
        <v>25431</v>
      </c>
      <c r="M1311" t="s">
        <v>25432</v>
      </c>
      <c r="N1311">
        <f>-679.468405615921 -14.1067059203181 -526.996277907106</f>
        <v>-1220.5713894433452</v>
      </c>
      <c r="O1311">
        <f>-690.98760347621 -166.189091236228 -494.199686028576</f>
        <v>-1351.3763807410141</v>
      </c>
      <c r="P1311">
        <f>-719.046243692574 -174.429984011202 -213.622869868359</f>
        <v>-1107.099097572135</v>
      </c>
      <c r="Q1311">
        <f>-498.174077826637 -139.172547119189 -276.24017407784</f>
        <v>-913.58679902366612</v>
      </c>
      <c r="R1311" t="s">
        <v>25433</v>
      </c>
      <c r="S1311" t="s">
        <v>25434</v>
      </c>
      <c r="T1311" t="s">
        <v>25435</v>
      </c>
      <c r="U1311" t="s">
        <v>25436</v>
      </c>
      <c r="V1311">
        <f>-609.859038644247 -56.5096112128199 -92.7350882623191</f>
        <v>-759.10373811938598</v>
      </c>
      <c r="W1311" t="s">
        <v>25437</v>
      </c>
      <c r="X1311" t="s">
        <v>25438</v>
      </c>
      <c r="Y1311" t="s">
        <v>25439</v>
      </c>
    </row>
    <row r="1312" spans="1:25" x14ac:dyDescent="0.3">
      <c r="A1312">
        <v>65550</v>
      </c>
      <c r="B1312" t="s">
        <v>25440</v>
      </c>
      <c r="C1312" t="s">
        <v>25441</v>
      </c>
      <c r="D1312" t="s">
        <v>25442</v>
      </c>
      <c r="E1312" t="s">
        <v>25443</v>
      </c>
      <c r="F1312" t="s">
        <v>25444</v>
      </c>
      <c r="G1312" t="s">
        <v>25445</v>
      </c>
      <c r="H1312" t="s">
        <v>25446</v>
      </c>
      <c r="I1312" t="s">
        <v>25447</v>
      </c>
      <c r="J1312" t="s">
        <v>25448</v>
      </c>
      <c r="K1312" t="s">
        <v>25449</v>
      </c>
      <c r="L1312" t="s">
        <v>25450</v>
      </c>
      <c r="M1312" t="s">
        <v>25451</v>
      </c>
      <c r="N1312">
        <f>-679.229025885818 -13.9646330888768 -526.969501492886</f>
        <v>-1220.1631604675808</v>
      </c>
      <c r="O1312">
        <f>-690.73247860329 -166.050940817612 -494.192424294703</f>
        <v>-1350.9758437156049</v>
      </c>
      <c r="P1312">
        <f>-718.438456786156 -173.891263293627 -213.569044012768</f>
        <v>-1105.8987640925511</v>
      </c>
      <c r="Q1312">
        <f>-496.70432700127 -140.853412388358 -274.322478497278</f>
        <v>-911.88021788690594</v>
      </c>
      <c r="R1312" t="s">
        <v>25452</v>
      </c>
      <c r="S1312" t="s">
        <v>25453</v>
      </c>
      <c r="T1312" t="s">
        <v>25454</v>
      </c>
      <c r="U1312" t="s">
        <v>25455</v>
      </c>
      <c r="V1312">
        <f>-609.494628845994 -56.2703702031399 -92.727637457348</f>
        <v>-758.49263650648197</v>
      </c>
      <c r="W1312" t="s">
        <v>25456</v>
      </c>
      <c r="X1312" t="s">
        <v>25457</v>
      </c>
      <c r="Y1312" t="s">
        <v>25458</v>
      </c>
    </row>
    <row r="1313" spans="1:25" x14ac:dyDescent="0.3">
      <c r="A1313">
        <v>65600</v>
      </c>
      <c r="B1313" t="s">
        <v>25459</v>
      </c>
      <c r="C1313" t="s">
        <v>25460</v>
      </c>
      <c r="D1313" t="s">
        <v>25461</v>
      </c>
      <c r="E1313" t="s">
        <v>25462</v>
      </c>
      <c r="F1313" t="s">
        <v>25463</v>
      </c>
      <c r="G1313" t="s">
        <v>25464</v>
      </c>
      <c r="H1313" t="s">
        <v>25465</v>
      </c>
      <c r="I1313" t="s">
        <v>25466</v>
      </c>
      <c r="J1313" t="s">
        <v>25467</v>
      </c>
      <c r="K1313" t="s">
        <v>25468</v>
      </c>
      <c r="L1313" t="s">
        <v>25469</v>
      </c>
      <c r="M1313" t="s">
        <v>25470</v>
      </c>
      <c r="N1313">
        <f>-678.381552583403 -13.9514236675059 -526.935413853661</f>
        <v>-1219.2683901045698</v>
      </c>
      <c r="O1313">
        <f>-689.830910398028 -166.03485509979 -494.099939589641</f>
        <v>-1349.9657050874589</v>
      </c>
      <c r="P1313">
        <f>-716.821510540191 -172.909231936642 -213.381696571575</f>
        <v>-1103.1124390484079</v>
      </c>
      <c r="Q1313">
        <f>-494.114114527865 -142.535468116002 -271.925368722611</f>
        <v>-908.57495136647799</v>
      </c>
      <c r="R1313" t="s">
        <v>25471</v>
      </c>
      <c r="S1313" t="s">
        <v>25472</v>
      </c>
      <c r="T1313" t="s">
        <v>25473</v>
      </c>
      <c r="U1313" t="s">
        <v>25474</v>
      </c>
      <c r="V1313">
        <f>-608.681072735656 -55.9462214082334 -92.7076527962279</f>
        <v>-757.33494694011733</v>
      </c>
      <c r="W1313" t="s">
        <v>25475</v>
      </c>
      <c r="X1313" t="s">
        <v>25476</v>
      </c>
      <c r="Y1313" t="s">
        <v>25477</v>
      </c>
    </row>
    <row r="1314" spans="1:25" x14ac:dyDescent="0.3">
      <c r="A1314">
        <v>65650</v>
      </c>
      <c r="B1314" t="s">
        <v>25478</v>
      </c>
      <c r="C1314" t="s">
        <v>25479</v>
      </c>
      <c r="D1314" t="s">
        <v>25480</v>
      </c>
      <c r="E1314" t="s">
        <v>25481</v>
      </c>
      <c r="F1314" t="s">
        <v>25482</v>
      </c>
      <c r="G1314" t="s">
        <v>25483</v>
      </c>
      <c r="H1314" t="s">
        <v>25484</v>
      </c>
      <c r="I1314" t="s">
        <v>25485</v>
      </c>
      <c r="J1314" t="s">
        <v>25486</v>
      </c>
      <c r="K1314" t="s">
        <v>25487</v>
      </c>
      <c r="L1314" t="s">
        <v>25488</v>
      </c>
      <c r="M1314" t="s">
        <v>25489</v>
      </c>
      <c r="N1314">
        <f>-677.856274961135 -14.1616404848519 -526.949125223787</f>
        <v>-1218.9670406697737</v>
      </c>
      <c r="O1314">
        <f>-689.222604549113 -166.238138630967 -494.048299979525</f>
        <v>-1349.509043159605</v>
      </c>
      <c r="P1314">
        <f>-715.905715834967 -172.528467923241 -213.286637823509</f>
        <v>-1101.720821581717</v>
      </c>
      <c r="Q1314">
        <f>-493.010035312716 -143.026799582686 -271.559385437659</f>
        <v>-907.59622033306107</v>
      </c>
      <c r="R1314" t="s">
        <v>25490</v>
      </c>
      <c r="S1314" t="s">
        <v>25491</v>
      </c>
      <c r="T1314" t="s">
        <v>25492</v>
      </c>
      <c r="U1314" t="s">
        <v>25493</v>
      </c>
      <c r="V1314">
        <f>-608.348761918791 -56.0711498264222 -92.7189638574124</f>
        <v>-757.1388756026256</v>
      </c>
      <c r="W1314" t="s">
        <v>25494</v>
      </c>
      <c r="X1314" t="s">
        <v>25495</v>
      </c>
      <c r="Y1314" t="s">
        <v>25496</v>
      </c>
    </row>
    <row r="1315" spans="1:25" x14ac:dyDescent="0.3">
      <c r="A1315">
        <v>65700</v>
      </c>
      <c r="B1315" t="s">
        <v>25497</v>
      </c>
      <c r="C1315" t="s">
        <v>25498</v>
      </c>
      <c r="D1315" t="s">
        <v>25499</v>
      </c>
      <c r="E1315" t="s">
        <v>25500</v>
      </c>
      <c r="F1315" t="s">
        <v>25501</v>
      </c>
      <c r="G1315" t="s">
        <v>25502</v>
      </c>
      <c r="H1315" t="s">
        <v>25503</v>
      </c>
      <c r="I1315" t="s">
        <v>25504</v>
      </c>
      <c r="J1315" t="s">
        <v>25505</v>
      </c>
      <c r="K1315" t="s">
        <v>25506</v>
      </c>
      <c r="L1315" t="s">
        <v>25507</v>
      </c>
      <c r="M1315" t="s">
        <v>25508</v>
      </c>
      <c r="N1315">
        <f>-676.601657718172 -14.244256442141 -527.029312704985</f>
        <v>-1217.8752268652979</v>
      </c>
      <c r="O1315">
        <f>-687.884595090608 -166.316189110171 -494.087894171003</f>
        <v>-1348.2886783717818</v>
      </c>
      <c r="P1315">
        <f>-713.528668300873 -171.535950922584 -213.207601015301</f>
        <v>-1098.2722202387581</v>
      </c>
      <c r="Q1315">
        <f>-490.39107469385 -143.420510578683 -271.239188862912</f>
        <v>-905.05077413544495</v>
      </c>
      <c r="R1315" t="s">
        <v>25509</v>
      </c>
      <c r="S1315" t="s">
        <v>25510</v>
      </c>
      <c r="T1315" t="s">
        <v>25511</v>
      </c>
      <c r="U1315" t="s">
        <v>25512</v>
      </c>
      <c r="V1315">
        <f>-607.482857088717 -55.9430925018005 -92.715753622203</f>
        <v>-756.14170321272047</v>
      </c>
      <c r="W1315" t="s">
        <v>25513</v>
      </c>
      <c r="X1315" t="s">
        <v>25514</v>
      </c>
      <c r="Y1315" t="s">
        <v>25515</v>
      </c>
    </row>
    <row r="1316" spans="1:25" x14ac:dyDescent="0.3">
      <c r="A1316">
        <v>65750</v>
      </c>
      <c r="B1316" t="s">
        <v>25516</v>
      </c>
      <c r="C1316" t="s">
        <v>25517</v>
      </c>
      <c r="D1316" t="s">
        <v>25518</v>
      </c>
      <c r="E1316" t="s">
        <v>25519</v>
      </c>
      <c r="F1316" t="s">
        <v>25520</v>
      </c>
      <c r="G1316" t="s">
        <v>25521</v>
      </c>
      <c r="H1316" t="s">
        <v>25522</v>
      </c>
      <c r="I1316" t="s">
        <v>25523</v>
      </c>
      <c r="J1316" t="s">
        <v>25524</v>
      </c>
      <c r="K1316" t="s">
        <v>25525</v>
      </c>
      <c r="L1316" t="s">
        <v>25526</v>
      </c>
      <c r="M1316" t="s">
        <v>25527</v>
      </c>
      <c r="N1316">
        <f>-676.024328092079 -14.3344310507298 -527.023703707826</f>
        <v>-1217.382462850635</v>
      </c>
      <c r="O1316">
        <f>-687.152583621858 -166.408077358317 -494.071520393978</f>
        <v>-1347.6321813741529</v>
      </c>
      <c r="P1316">
        <f>-712.562027309072 -171.349524534139 -213.16492281747</f>
        <v>-1097.076474660681</v>
      </c>
      <c r="Q1316">
        <f>-489.30234968264 -143.414175906963 -270.812731308196</f>
        <v>-903.52925689779897</v>
      </c>
      <c r="R1316" t="s">
        <v>25528</v>
      </c>
      <c r="S1316" t="s">
        <v>25529</v>
      </c>
      <c r="T1316" t="s">
        <v>25530</v>
      </c>
      <c r="U1316" t="s">
        <v>25531</v>
      </c>
      <c r="V1316">
        <f>-607.022914002204 -55.9244770196162 -92.690615843012</f>
        <v>-755.63800686483216</v>
      </c>
      <c r="W1316" t="s">
        <v>25532</v>
      </c>
      <c r="X1316" t="s">
        <v>25533</v>
      </c>
      <c r="Y1316" t="s">
        <v>25534</v>
      </c>
    </row>
    <row r="1317" spans="1:25" x14ac:dyDescent="0.3">
      <c r="A1317">
        <v>65800</v>
      </c>
      <c r="B1317" t="s">
        <v>25535</v>
      </c>
      <c r="C1317" t="s">
        <v>25536</v>
      </c>
      <c r="D1317" t="s">
        <v>25537</v>
      </c>
      <c r="E1317" t="s">
        <v>25538</v>
      </c>
      <c r="F1317" t="s">
        <v>25539</v>
      </c>
      <c r="G1317" t="s">
        <v>25540</v>
      </c>
      <c r="H1317" t="s">
        <v>25541</v>
      </c>
      <c r="I1317" t="s">
        <v>25542</v>
      </c>
      <c r="J1317" t="s">
        <v>25543</v>
      </c>
      <c r="K1317" t="s">
        <v>25544</v>
      </c>
      <c r="L1317" t="s">
        <v>25545</v>
      </c>
      <c r="M1317" t="s">
        <v>25546</v>
      </c>
      <c r="N1317">
        <f>-675.142074479978 -14.4764684775744 -526.962238685604</f>
        <v>-1216.5807816431563</v>
      </c>
      <c r="O1317">
        <f>-685.868615457594 -166.569199893096 -493.93712210343</f>
        <v>-1346.3749374541201</v>
      </c>
      <c r="P1317">
        <f>-710.88621459716 -171.100015487178 -212.988385324087</f>
        <v>-1094.9746154084251</v>
      </c>
      <c r="Q1317">
        <f>-487.594266378914 -143.075250449191 -270.467717571564</f>
        <v>-901.13723439966907</v>
      </c>
      <c r="R1317" t="s">
        <v>25547</v>
      </c>
      <c r="S1317" t="s">
        <v>25548</v>
      </c>
      <c r="T1317" t="s">
        <v>25549</v>
      </c>
      <c r="U1317" t="s">
        <v>25550</v>
      </c>
      <c r="V1317">
        <f>-606.045672862284 -55.8192600859661 -92.6485247995994</f>
        <v>-754.51345774784954</v>
      </c>
      <c r="W1317" t="s">
        <v>25551</v>
      </c>
      <c r="X1317" t="s">
        <v>25552</v>
      </c>
      <c r="Y1317" t="s">
        <v>25553</v>
      </c>
    </row>
    <row r="1318" spans="1:25" x14ac:dyDescent="0.3">
      <c r="A1318">
        <v>65850</v>
      </c>
      <c r="B1318" t="s">
        <v>25554</v>
      </c>
      <c r="C1318" t="s">
        <v>25555</v>
      </c>
      <c r="D1318" t="s">
        <v>25556</v>
      </c>
      <c r="E1318" t="s">
        <v>25557</v>
      </c>
      <c r="F1318" t="s">
        <v>25558</v>
      </c>
      <c r="G1318" t="s">
        <v>25559</v>
      </c>
      <c r="H1318" t="s">
        <v>25560</v>
      </c>
      <c r="I1318" t="s">
        <v>25561</v>
      </c>
      <c r="J1318" t="s">
        <v>25562</v>
      </c>
      <c r="K1318" t="s">
        <v>25563</v>
      </c>
      <c r="L1318" t="s">
        <v>25564</v>
      </c>
      <c r="M1318" t="s">
        <v>25565</v>
      </c>
      <c r="N1318">
        <f>-674.598814378556 -14.506776097066 -526.904607164044</f>
        <v>-1216.0101976396659</v>
      </c>
      <c r="O1318">
        <f>-685.142586026498 -166.594895837135 -493.818301214211</f>
        <v>-1345.5557830778439</v>
      </c>
      <c r="P1318">
        <f>-710.105235897576 -171.056267176493 -212.863527474302</f>
        <v>-1094.025030548371</v>
      </c>
      <c r="Q1318">
        <f>-487.003852835548 -142.672443320435 -270.903700760438</f>
        <v>-900.57999691642101</v>
      </c>
      <c r="R1318" t="s">
        <v>25566</v>
      </c>
      <c r="S1318" t="s">
        <v>25567</v>
      </c>
      <c r="T1318" t="s">
        <v>25568</v>
      </c>
      <c r="U1318" t="s">
        <v>25569</v>
      </c>
      <c r="V1318">
        <f>-605.396704307731 -55.657570999786 -92.5959140744255</f>
        <v>-753.6501893819426</v>
      </c>
      <c r="W1318" t="s">
        <v>25570</v>
      </c>
      <c r="X1318" t="s">
        <v>25571</v>
      </c>
      <c r="Y1318" t="s">
        <v>25572</v>
      </c>
    </row>
    <row r="1319" spans="1:25" x14ac:dyDescent="0.3">
      <c r="A1319">
        <v>65900</v>
      </c>
      <c r="B1319" t="s">
        <v>25573</v>
      </c>
      <c r="C1319" t="s">
        <v>25574</v>
      </c>
      <c r="D1319" t="s">
        <v>25575</v>
      </c>
      <c r="E1319" t="s">
        <v>25576</v>
      </c>
      <c r="F1319" t="s">
        <v>25577</v>
      </c>
      <c r="G1319" t="s">
        <v>25578</v>
      </c>
      <c r="H1319" t="s">
        <v>25579</v>
      </c>
      <c r="I1319" t="s">
        <v>25580</v>
      </c>
      <c r="J1319" t="s">
        <v>25581</v>
      </c>
      <c r="K1319" t="s">
        <v>25582</v>
      </c>
      <c r="L1319" t="s">
        <v>25583</v>
      </c>
      <c r="M1319" t="s">
        <v>25584</v>
      </c>
      <c r="N1319">
        <f>-673.646898254395 -14.5102516206953 -526.771618250617</f>
        <v>-1214.9287681257074</v>
      </c>
      <c r="O1319">
        <f>-683.976659622586 -166.599317845677 -493.610417143301</f>
        <v>-1344.1863946115641</v>
      </c>
      <c r="P1319">
        <f>-708.642554716013 -171.050044157246 -212.629373909192</f>
        <v>-1092.321972782451</v>
      </c>
      <c r="Q1319">
        <f>-485.9643782461 -142.003825617282 -271.952854542955</f>
        <v>-899.9210584063369</v>
      </c>
      <c r="R1319" t="s">
        <v>25585</v>
      </c>
      <c r="S1319" t="s">
        <v>25586</v>
      </c>
      <c r="T1319" t="s">
        <v>25587</v>
      </c>
      <c r="U1319" t="s">
        <v>25588</v>
      </c>
      <c r="V1319">
        <f>-604.230879951981 -55.4183729093415 -92.4802336397754</f>
        <v>-752.12948650109797</v>
      </c>
      <c r="W1319" t="s">
        <v>25589</v>
      </c>
      <c r="X1319" t="s">
        <v>25590</v>
      </c>
      <c r="Y1319" t="s">
        <v>25591</v>
      </c>
    </row>
    <row r="1320" spans="1:25" x14ac:dyDescent="0.3">
      <c r="A1320">
        <v>65950</v>
      </c>
      <c r="B1320" t="s">
        <v>25592</v>
      </c>
      <c r="C1320" t="s">
        <v>25593</v>
      </c>
      <c r="D1320" t="s">
        <v>25594</v>
      </c>
      <c r="E1320" t="s">
        <v>25595</v>
      </c>
      <c r="F1320" t="s">
        <v>25596</v>
      </c>
      <c r="G1320" t="s">
        <v>25597</v>
      </c>
      <c r="H1320" t="s">
        <v>25598</v>
      </c>
      <c r="I1320" t="s">
        <v>25599</v>
      </c>
      <c r="J1320" t="s">
        <v>25600</v>
      </c>
      <c r="K1320" t="s">
        <v>25601</v>
      </c>
      <c r="L1320" t="s">
        <v>25602</v>
      </c>
      <c r="M1320" t="s">
        <v>25603</v>
      </c>
      <c r="N1320">
        <f>-673.354906532606 -14.6046006436573 -526.684949680106</f>
        <v>-1214.6444568563693</v>
      </c>
      <c r="O1320">
        <f>-683.642499033056 -166.68338815016 -493.463527136117</f>
        <v>-1343.789414319333</v>
      </c>
      <c r="P1320">
        <f>-708.127709324582 -171.292912530118 -212.469159496117</f>
        <v>-1091.889781350817</v>
      </c>
      <c r="Q1320">
        <f>-485.662467864822 -141.852643342749 -272.393995701745</f>
        <v>-899.90910690931594</v>
      </c>
      <c r="R1320" t="s">
        <v>25604</v>
      </c>
      <c r="S1320" t="s">
        <v>25605</v>
      </c>
      <c r="T1320" t="s">
        <v>25606</v>
      </c>
      <c r="U1320" t="s">
        <v>25607</v>
      </c>
      <c r="V1320">
        <f>-603.695605994597 -55.3953160601541 -92.4352330170185</f>
        <v>-751.52615507176961</v>
      </c>
      <c r="W1320" t="s">
        <v>25608</v>
      </c>
      <c r="X1320" t="s">
        <v>25609</v>
      </c>
      <c r="Y1320" t="s">
        <v>25610</v>
      </c>
    </row>
    <row r="1321" spans="1:25" x14ac:dyDescent="0.3">
      <c r="A1321">
        <v>66000</v>
      </c>
      <c r="B1321" t="s">
        <v>25611</v>
      </c>
      <c r="C1321" t="s">
        <v>25612</v>
      </c>
      <c r="D1321" t="s">
        <v>25613</v>
      </c>
      <c r="E1321" t="s">
        <v>25614</v>
      </c>
      <c r="F1321" t="s">
        <v>25615</v>
      </c>
      <c r="G1321" t="s">
        <v>25616</v>
      </c>
      <c r="H1321" t="s">
        <v>25617</v>
      </c>
      <c r="I1321" t="s">
        <v>25618</v>
      </c>
      <c r="J1321" t="s">
        <v>25619</v>
      </c>
      <c r="K1321" t="s">
        <v>25620</v>
      </c>
      <c r="L1321" t="s">
        <v>25621</v>
      </c>
      <c r="M1321" t="s">
        <v>25622</v>
      </c>
      <c r="N1321">
        <f>-672.978176139598 -14.9604044340711 -526.524238691403</f>
        <v>-1214.4628192650721</v>
      </c>
      <c r="O1321">
        <f>-683.283766491852 -167.002151902023 -493.144500342609</f>
        <v>-1343.4304187364839</v>
      </c>
      <c r="P1321">
        <f>-707.228770189961 -171.411759129716 -212.100458401483</f>
        <v>-1090.7409877211599</v>
      </c>
      <c r="Q1321">
        <f>-485.02074989626 -141.87024067845 -272.92340768081</f>
        <v>-899.81439825552002</v>
      </c>
      <c r="R1321" t="s">
        <v>25623</v>
      </c>
      <c r="S1321" t="s">
        <v>25624</v>
      </c>
      <c r="T1321" t="s">
        <v>25625</v>
      </c>
      <c r="U1321" t="s">
        <v>25626</v>
      </c>
      <c r="V1321">
        <f>-602.795982027092 -55.5183690293754 -92.3909052329291</f>
        <v>-750.70525628939652</v>
      </c>
      <c r="W1321" t="s">
        <v>25627</v>
      </c>
      <c r="X1321" t="s">
        <v>25628</v>
      </c>
      <c r="Y1321" t="s">
        <v>25629</v>
      </c>
    </row>
    <row r="1322" spans="1:25" x14ac:dyDescent="0.3">
      <c r="A1322">
        <v>66050</v>
      </c>
      <c r="B1322" t="s">
        <v>25630</v>
      </c>
      <c r="C1322" t="s">
        <v>25631</v>
      </c>
      <c r="D1322" t="s">
        <v>25632</v>
      </c>
      <c r="E1322" t="s">
        <v>25633</v>
      </c>
      <c r="F1322" t="s">
        <v>25634</v>
      </c>
      <c r="G1322" t="s">
        <v>25635</v>
      </c>
      <c r="H1322" t="s">
        <v>25636</v>
      </c>
      <c r="I1322" t="s">
        <v>25637</v>
      </c>
      <c r="J1322" t="s">
        <v>25638</v>
      </c>
      <c r="K1322" t="s">
        <v>25639</v>
      </c>
      <c r="L1322" t="s">
        <v>25640</v>
      </c>
      <c r="M1322" t="s">
        <v>25641</v>
      </c>
      <c r="N1322">
        <f>-672.972368970464 -15.1721057486848 -526.454517498094</f>
        <v>-1214.5989922172428</v>
      </c>
      <c r="O1322">
        <f>-683.364906970181 -167.184253908952 -492.972152835963</f>
        <v>-1343.5213137150959</v>
      </c>
      <c r="P1322">
        <f>-706.93788735061 -171.173841949715 -211.890395507617</f>
        <v>-1090.002124807942</v>
      </c>
      <c r="Q1322">
        <f>-484.789804643495 -141.806217328836 -273.015634894742</f>
        <v>-899.61165686707307</v>
      </c>
      <c r="R1322" t="s">
        <v>25642</v>
      </c>
      <c r="S1322" t="s">
        <v>25643</v>
      </c>
      <c r="T1322" t="s">
        <v>25644</v>
      </c>
      <c r="U1322" t="s">
        <v>25645</v>
      </c>
      <c r="V1322">
        <f>-602.446914622807 -55.6990248694367 -92.3867796424606</f>
        <v>-750.53271913470428</v>
      </c>
      <c r="W1322" t="s">
        <v>25646</v>
      </c>
      <c r="X1322" t="s">
        <v>25647</v>
      </c>
      <c r="Y1322" t="s">
        <v>25648</v>
      </c>
    </row>
    <row r="1323" spans="1:25" x14ac:dyDescent="0.3">
      <c r="A1323">
        <v>66100</v>
      </c>
      <c r="B1323" t="s">
        <v>25649</v>
      </c>
      <c r="C1323" t="s">
        <v>25650</v>
      </c>
      <c r="D1323" t="s">
        <v>25651</v>
      </c>
      <c r="E1323" t="s">
        <v>25652</v>
      </c>
      <c r="F1323" t="s">
        <v>25653</v>
      </c>
      <c r="G1323" t="s">
        <v>25654</v>
      </c>
      <c r="H1323" t="s">
        <v>25655</v>
      </c>
      <c r="I1323" t="s">
        <v>25656</v>
      </c>
      <c r="J1323" t="s">
        <v>25657</v>
      </c>
      <c r="K1323" t="s">
        <v>25658</v>
      </c>
      <c r="L1323" t="s">
        <v>25659</v>
      </c>
      <c r="M1323" t="s">
        <v>25660</v>
      </c>
      <c r="N1323">
        <f>-672.971468688155 -15.6252270201626 -526.326804259909</f>
        <v>-1214.9234999682267</v>
      </c>
      <c r="O1323">
        <f>-683.498434690136 -167.598061132554 -492.674780079086</f>
        <v>-1343.7712759017761</v>
      </c>
      <c r="P1323">
        <f>-707.176143715814 -171.558310540196 -211.601320159749</f>
        <v>-1090.335774415759</v>
      </c>
      <c r="Q1323">
        <f>-485.042049496938 -142.513561730341 -272.931516947351</f>
        <v>-900.48712817463002</v>
      </c>
      <c r="R1323" t="s">
        <v>25661</v>
      </c>
      <c r="S1323" t="s">
        <v>25662</v>
      </c>
      <c r="T1323" t="s">
        <v>25663</v>
      </c>
      <c r="U1323" t="s">
        <v>25664</v>
      </c>
      <c r="V1323">
        <f>-601.95213679735 -55.9808834739522 -92.364748517769</f>
        <v>-750.29776878907126</v>
      </c>
      <c r="W1323" t="s">
        <v>25665</v>
      </c>
      <c r="X1323" t="s">
        <v>25666</v>
      </c>
      <c r="Y1323" t="s">
        <v>25667</v>
      </c>
    </row>
    <row r="1324" spans="1:25" x14ac:dyDescent="0.3">
      <c r="A1324">
        <v>66150</v>
      </c>
      <c r="B1324" t="s">
        <v>25668</v>
      </c>
      <c r="C1324" t="s">
        <v>25669</v>
      </c>
      <c r="D1324" t="s">
        <v>25670</v>
      </c>
      <c r="E1324" t="s">
        <v>25671</v>
      </c>
      <c r="F1324" t="s">
        <v>25672</v>
      </c>
      <c r="G1324" t="s">
        <v>25673</v>
      </c>
      <c r="H1324" t="s">
        <v>25674</v>
      </c>
      <c r="I1324" t="s">
        <v>25675</v>
      </c>
      <c r="J1324" t="s">
        <v>25676</v>
      </c>
      <c r="K1324" t="s">
        <v>25677</v>
      </c>
      <c r="L1324" t="s">
        <v>25678</v>
      </c>
      <c r="M1324" t="s">
        <v>25679</v>
      </c>
      <c r="N1324">
        <f>-672.958346654175 -15.7055462379744 -526.309662818712</f>
        <v>-1214.9735557108615</v>
      </c>
      <c r="O1324">
        <f>-683.635517659246 -167.667558884672 -492.654120452671</f>
        <v>-1343.9571969965891</v>
      </c>
      <c r="P1324">
        <f>-707.481428392438 -171.706945849821 -211.595943465662</f>
        <v>-1090.784317707921</v>
      </c>
      <c r="Q1324">
        <f>-485.286406789419 -142.919822918757 -272.826800868375</f>
        <v>-901.03303057655103</v>
      </c>
      <c r="R1324" t="s">
        <v>25680</v>
      </c>
      <c r="S1324" t="s">
        <v>25681</v>
      </c>
      <c r="T1324" t="s">
        <v>25682</v>
      </c>
      <c r="U1324" t="s">
        <v>25683</v>
      </c>
      <c r="V1324">
        <f>-601.854309008606 -56.0851758711028 -92.3585954390455</f>
        <v>-750.29808031875439</v>
      </c>
      <c r="W1324" t="s">
        <v>25684</v>
      </c>
      <c r="X1324" t="s">
        <v>25685</v>
      </c>
      <c r="Y1324" t="s">
        <v>25686</v>
      </c>
    </row>
    <row r="1325" spans="1:25" x14ac:dyDescent="0.3">
      <c r="A1325">
        <v>66200</v>
      </c>
      <c r="B1325" t="s">
        <v>25687</v>
      </c>
      <c r="C1325" t="s">
        <v>25688</v>
      </c>
      <c r="D1325" t="s">
        <v>25689</v>
      </c>
      <c r="E1325" t="s">
        <v>25690</v>
      </c>
      <c r="F1325" t="s">
        <v>25691</v>
      </c>
      <c r="G1325" t="s">
        <v>25692</v>
      </c>
      <c r="H1325" t="s">
        <v>25693</v>
      </c>
      <c r="I1325" t="s">
        <v>25694</v>
      </c>
      <c r="J1325" t="s">
        <v>25695</v>
      </c>
      <c r="K1325" t="s">
        <v>25696</v>
      </c>
      <c r="L1325" t="s">
        <v>25697</v>
      </c>
      <c r="M1325" t="s">
        <v>25698</v>
      </c>
      <c r="N1325">
        <f>-672.919559750892 -16.1079966434179 -526.318787514185</f>
        <v>-1215.3463439084949</v>
      </c>
      <c r="O1325">
        <f>-683.804889681867 -168.047940695335 -492.659564831562</f>
        <v>-1344.512395208764</v>
      </c>
      <c r="P1325">
        <f>-708.663421769421 -172.109847595058 -211.689590641694</f>
        <v>-1092.4628600061731</v>
      </c>
      <c r="Q1325">
        <f>-486.352076602262 -142.986311945309 -272.336236836392</f>
        <v>-901.67462538396296</v>
      </c>
      <c r="R1325" t="s">
        <v>25699</v>
      </c>
      <c r="S1325" t="s">
        <v>25700</v>
      </c>
      <c r="T1325" t="s">
        <v>25701</v>
      </c>
      <c r="U1325" t="s">
        <v>25702</v>
      </c>
      <c r="V1325">
        <f>-601.823202586315 -56.4686295846102 -92.377323459864</f>
        <v>-750.66915563078919</v>
      </c>
      <c r="W1325" t="s">
        <v>25703</v>
      </c>
      <c r="X1325" t="s">
        <v>25704</v>
      </c>
      <c r="Y1325" t="s">
        <v>25705</v>
      </c>
    </row>
    <row r="1326" spans="1:25" x14ac:dyDescent="0.3">
      <c r="A1326">
        <v>66250</v>
      </c>
      <c r="B1326" t="s">
        <v>25706</v>
      </c>
      <c r="C1326" t="s">
        <v>25707</v>
      </c>
      <c r="D1326" t="s">
        <v>25708</v>
      </c>
      <c r="E1326" t="s">
        <v>25709</v>
      </c>
      <c r="F1326" t="s">
        <v>25710</v>
      </c>
      <c r="G1326" t="s">
        <v>25711</v>
      </c>
      <c r="H1326" t="s">
        <v>25712</v>
      </c>
      <c r="I1326" t="s">
        <v>25713</v>
      </c>
      <c r="J1326" t="s">
        <v>25714</v>
      </c>
      <c r="K1326" t="s">
        <v>25715</v>
      </c>
      <c r="L1326" t="s">
        <v>25716</v>
      </c>
      <c r="M1326" t="s">
        <v>25717</v>
      </c>
      <c r="N1326">
        <f>-672.871591722986 -16.3322823234703 -526.341257277035</f>
        <v>-1215.5451313234912</v>
      </c>
      <c r="O1326">
        <f>-683.824952272668 -168.272534894063 -492.696877447825</f>
        <v>-1344.7943646145561</v>
      </c>
      <c r="P1326">
        <f>-709.216929443796 -172.27150713099 -211.773700485064</f>
        <v>-1093.2621370598499</v>
      </c>
      <c r="Q1326">
        <f>-486.868315492817 -142.691780703308 -272.061965748968</f>
        <v>-901.62206194509304</v>
      </c>
      <c r="R1326" t="s">
        <v>25718</v>
      </c>
      <c r="S1326" t="s">
        <v>25719</v>
      </c>
      <c r="T1326" t="s">
        <v>25720</v>
      </c>
      <c r="U1326" t="s">
        <v>25721</v>
      </c>
      <c r="V1326">
        <f>-601.899804035511 -56.682154136746 -92.3965584275181</f>
        <v>-750.97851659977516</v>
      </c>
      <c r="W1326" t="s">
        <v>25722</v>
      </c>
      <c r="X1326" t="s">
        <v>25723</v>
      </c>
      <c r="Y1326" t="s">
        <v>25724</v>
      </c>
    </row>
    <row r="1327" spans="1:25" x14ac:dyDescent="0.3">
      <c r="A1327">
        <v>66300</v>
      </c>
      <c r="B1327" t="s">
        <v>25725</v>
      </c>
      <c r="C1327" t="s">
        <v>25726</v>
      </c>
      <c r="D1327" t="s">
        <v>25727</v>
      </c>
      <c r="E1327" t="s">
        <v>25728</v>
      </c>
      <c r="F1327" t="s">
        <v>25729</v>
      </c>
      <c r="G1327" t="s">
        <v>25730</v>
      </c>
      <c r="H1327" t="s">
        <v>25731</v>
      </c>
      <c r="I1327" t="s">
        <v>25732</v>
      </c>
      <c r="J1327" t="s">
        <v>25733</v>
      </c>
      <c r="K1327" t="s">
        <v>25734</v>
      </c>
      <c r="L1327" t="s">
        <v>25735</v>
      </c>
      <c r="M1327" t="s">
        <v>25736</v>
      </c>
      <c r="N1327">
        <f>-672.846005450156 -16.8242569368551 -526.425931168147</f>
        <v>-1216.0961935551582</v>
      </c>
      <c r="O1327">
        <f>-683.981446276325 -168.751674332284 -492.792852062441</f>
        <v>-1345.5259726710499</v>
      </c>
      <c r="P1327">
        <f>-710.288603254155 -172.383151438143 -211.948811265163</f>
        <v>-1094.6205659574609</v>
      </c>
      <c r="Q1327">
        <f>-487.922679383228 -143.188488625455 -272.360725504825</f>
        <v>-903.47189351350789</v>
      </c>
      <c r="R1327" t="s">
        <v>25737</v>
      </c>
      <c r="S1327" t="s">
        <v>25738</v>
      </c>
      <c r="T1327" t="s">
        <v>25739</v>
      </c>
      <c r="U1327" t="s">
        <v>25740</v>
      </c>
      <c r="V1327">
        <f>-602.162966245081 -57.0706971149125 -92.4364635626475</f>
        <v>-751.67012692264097</v>
      </c>
      <c r="W1327" t="s">
        <v>25741</v>
      </c>
      <c r="X1327" t="s">
        <v>25742</v>
      </c>
      <c r="Y1327" t="s">
        <v>25743</v>
      </c>
    </row>
    <row r="1328" spans="1:25" x14ac:dyDescent="0.3">
      <c r="A1328">
        <v>66350</v>
      </c>
      <c r="B1328" t="s">
        <v>25744</v>
      </c>
      <c r="C1328" t="s">
        <v>25745</v>
      </c>
      <c r="D1328" t="s">
        <v>25746</v>
      </c>
      <c r="E1328" t="s">
        <v>25747</v>
      </c>
      <c r="F1328" t="s">
        <v>25748</v>
      </c>
      <c r="G1328" t="s">
        <v>25749</v>
      </c>
      <c r="H1328" t="s">
        <v>25750</v>
      </c>
      <c r="I1328" t="s">
        <v>25751</v>
      </c>
      <c r="J1328" t="s">
        <v>25752</v>
      </c>
      <c r="K1328" t="s">
        <v>25753</v>
      </c>
      <c r="L1328" t="s">
        <v>25754</v>
      </c>
      <c r="M1328" t="s">
        <v>25755</v>
      </c>
      <c r="N1328">
        <f>-672.927795494321 -17.0570439759967 -526.464552303715</f>
        <v>-1216.4493917740328</v>
      </c>
      <c r="O1328">
        <f>-684.206231384855 -168.980477611576 -492.827917841276</f>
        <v>-1346.0146268377071</v>
      </c>
      <c r="P1328">
        <f>-710.764218901824 -172.376557304581 -212.004562118284</f>
        <v>-1095.145338324689</v>
      </c>
      <c r="Q1328">
        <f>-488.29159452589 -143.929836838173 -272.380564113046</f>
        <v>-904.60199547710886</v>
      </c>
      <c r="R1328" t="s">
        <v>25756</v>
      </c>
      <c r="S1328" t="s">
        <v>25757</v>
      </c>
      <c r="T1328" t="s">
        <v>25758</v>
      </c>
      <c r="U1328" t="s">
        <v>25759</v>
      </c>
      <c r="V1328">
        <f>-602.324825752132 -57.2556316833122 -92.4484690101339</f>
        <v>-752.02892644557812</v>
      </c>
      <c r="W1328" t="s">
        <v>25760</v>
      </c>
      <c r="X1328" t="s">
        <v>25761</v>
      </c>
      <c r="Y1328" t="s">
        <v>25762</v>
      </c>
    </row>
    <row r="1329" spans="1:25" x14ac:dyDescent="0.3">
      <c r="A1329">
        <v>66400</v>
      </c>
      <c r="B1329" t="s">
        <v>25763</v>
      </c>
      <c r="C1329" t="s">
        <v>25764</v>
      </c>
      <c r="D1329" t="s">
        <v>25765</v>
      </c>
      <c r="E1329" t="s">
        <v>25766</v>
      </c>
      <c r="F1329" t="s">
        <v>25767</v>
      </c>
      <c r="G1329" t="s">
        <v>25768</v>
      </c>
      <c r="H1329" t="s">
        <v>25769</v>
      </c>
      <c r="I1329" t="s">
        <v>25770</v>
      </c>
      <c r="J1329" t="s">
        <v>25771</v>
      </c>
      <c r="K1329" t="s">
        <v>25772</v>
      </c>
      <c r="L1329" t="s">
        <v>25773</v>
      </c>
      <c r="M1329" t="s">
        <v>25774</v>
      </c>
      <c r="N1329">
        <f>-673.095247842264 -17.2811930101004 -526.483530058966</f>
        <v>-1216.8599709113305</v>
      </c>
      <c r="O1329">
        <f>-684.487883688529 -169.180670500889 -492.822963554746</f>
        <v>-1346.491517744164</v>
      </c>
      <c r="P1329">
        <f>-711.306801334744 -172.58582336419 -212.024601696103</f>
        <v>-1095.917226395037</v>
      </c>
      <c r="Q1329">
        <f>-488.749320460789 -144.677617854975 -272.339106362716</f>
        <v>-905.76604467848006</v>
      </c>
      <c r="R1329" t="s">
        <v>25775</v>
      </c>
      <c r="S1329" t="s">
        <v>25776</v>
      </c>
      <c r="T1329" t="s">
        <v>25777</v>
      </c>
      <c r="U1329" t="s">
        <v>25778</v>
      </c>
      <c r="V1329">
        <f>-602.484059335086 -57.4176417179208 -92.4600873124882</f>
        <v>-752.36178836549504</v>
      </c>
      <c r="W1329" t="s">
        <v>25779</v>
      </c>
      <c r="X1329" t="s">
        <v>25780</v>
      </c>
      <c r="Y1329" t="s">
        <v>25781</v>
      </c>
    </row>
    <row r="1330" spans="1:25" x14ac:dyDescent="0.3">
      <c r="A1330">
        <v>66450</v>
      </c>
      <c r="B1330" t="s">
        <v>25782</v>
      </c>
      <c r="C1330" t="s">
        <v>25783</v>
      </c>
      <c r="D1330" t="s">
        <v>25784</v>
      </c>
      <c r="E1330" t="s">
        <v>25785</v>
      </c>
      <c r="F1330" t="s">
        <v>25786</v>
      </c>
      <c r="G1330" t="s">
        <v>25787</v>
      </c>
      <c r="H1330" t="s">
        <v>25788</v>
      </c>
      <c r="I1330" t="s">
        <v>25789</v>
      </c>
      <c r="J1330" t="s">
        <v>25790</v>
      </c>
      <c r="K1330" t="s">
        <v>25791</v>
      </c>
      <c r="L1330" t="s">
        <v>25792</v>
      </c>
      <c r="M1330" t="s">
        <v>25793</v>
      </c>
      <c r="N1330">
        <f>-673.284986793709 -17.8439303477492 -526.511668370578</f>
        <v>-1217.6405855120361</v>
      </c>
      <c r="O1330">
        <f>-684.860612813717 -169.720800394472 -492.783069423966</f>
        <v>-1347.3644826321552</v>
      </c>
      <c r="P1330">
        <f>-712.30200272339 -173.504857677352 -212.049619159441</f>
        <v>-1097.8564795601831</v>
      </c>
      <c r="Q1330">
        <f>-489.755913847747 -145.691906999795 -272.449981721128</f>
        <v>-907.89780256867004</v>
      </c>
      <c r="R1330" t="s">
        <v>25794</v>
      </c>
      <c r="S1330" t="s">
        <v>25795</v>
      </c>
      <c r="T1330" t="s">
        <v>25796</v>
      </c>
      <c r="U1330" t="s">
        <v>25797</v>
      </c>
      <c r="V1330">
        <f>-602.710934108568 -57.816916055817 -92.4787003828814</f>
        <v>-753.00655054726644</v>
      </c>
      <c r="W1330" t="s">
        <v>25798</v>
      </c>
      <c r="X1330" t="s">
        <v>25799</v>
      </c>
      <c r="Y1330" t="s">
        <v>25800</v>
      </c>
    </row>
    <row r="1331" spans="1:25" x14ac:dyDescent="0.3">
      <c r="A1331">
        <v>66500</v>
      </c>
      <c r="B1331" t="s">
        <v>25801</v>
      </c>
      <c r="C1331" t="s">
        <v>25802</v>
      </c>
      <c r="D1331" t="s">
        <v>25803</v>
      </c>
      <c r="E1331" t="s">
        <v>25804</v>
      </c>
      <c r="F1331" t="s">
        <v>25805</v>
      </c>
      <c r="G1331" t="s">
        <v>25806</v>
      </c>
      <c r="H1331" t="s">
        <v>25807</v>
      </c>
      <c r="I1331" t="s">
        <v>25808</v>
      </c>
      <c r="J1331" t="s">
        <v>25809</v>
      </c>
      <c r="K1331" t="s">
        <v>25810</v>
      </c>
      <c r="L1331" t="s">
        <v>25811</v>
      </c>
      <c r="M1331" t="s">
        <v>25812</v>
      </c>
      <c r="N1331">
        <f>-673.375454938252 -18.4070773349579 -526.540577464198</f>
        <v>-1218.3231097374078</v>
      </c>
      <c r="O1331">
        <f>-685.189778443143 -170.231563232669 -492.693487431703</f>
        <v>-1348.1148291075151</v>
      </c>
      <c r="P1331">
        <f>-712.979052385287 -173.665944961736 -211.989773044931</f>
        <v>-1098.6347703919541</v>
      </c>
      <c r="Q1331">
        <f>-490.467304994296 -145.577962693001 -272.389418518617</f>
        <v>-908.43468620591398</v>
      </c>
      <c r="R1331" t="s">
        <v>25813</v>
      </c>
      <c r="S1331" t="s">
        <v>25814</v>
      </c>
      <c r="T1331" t="s">
        <v>25815</v>
      </c>
      <c r="U1331" t="s">
        <v>25816</v>
      </c>
      <c r="V1331">
        <f>-602.875457652612 -58.2738190689013 -92.4792694181922</f>
        <v>-753.62854613970546</v>
      </c>
      <c r="W1331" t="s">
        <v>25817</v>
      </c>
      <c r="X1331" t="s">
        <v>25818</v>
      </c>
      <c r="Y1331" t="s">
        <v>25819</v>
      </c>
    </row>
    <row r="1332" spans="1:25" x14ac:dyDescent="0.3">
      <c r="A1332">
        <v>66550</v>
      </c>
      <c r="B1332" t="s">
        <v>25820</v>
      </c>
      <c r="C1332" t="s">
        <v>25821</v>
      </c>
      <c r="D1332" t="s">
        <v>25822</v>
      </c>
      <c r="E1332" t="s">
        <v>25823</v>
      </c>
      <c r="F1332" t="s">
        <v>25824</v>
      </c>
      <c r="G1332" t="s">
        <v>25825</v>
      </c>
      <c r="H1332" t="s">
        <v>25826</v>
      </c>
      <c r="I1332" t="s">
        <v>25827</v>
      </c>
      <c r="J1332" t="s">
        <v>25828</v>
      </c>
      <c r="K1332" t="s">
        <v>25829</v>
      </c>
      <c r="L1332" t="s">
        <v>25830</v>
      </c>
      <c r="M1332" t="s">
        <v>25831</v>
      </c>
      <c r="N1332">
        <f>-673.458962160099 -18.6070940683107 -526.544872600142</f>
        <v>-1218.6109288285516</v>
      </c>
      <c r="O1332">
        <f>-685.321081690308 -170.421780261065 -492.630984768479</f>
        <v>-1348.3738467198521</v>
      </c>
      <c r="P1332">
        <f>-713.276580973831 -173.703718015967 -211.942044549952</f>
        <v>-1098.92234353975</v>
      </c>
      <c r="Q1332">
        <f>-490.656782103969 -145.465358775049 -271.871408312115</f>
        <v>-907.99354919113307</v>
      </c>
      <c r="R1332" t="s">
        <v>25832</v>
      </c>
      <c r="S1332" t="s">
        <v>25833</v>
      </c>
      <c r="T1332" t="s">
        <v>25834</v>
      </c>
      <c r="U1332" t="s">
        <v>25835</v>
      </c>
      <c r="V1332">
        <f>-602.885232389163 -58.4281650040264 -92.4964805522588</f>
        <v>-753.80987794544819</v>
      </c>
      <c r="W1332" t="s">
        <v>25836</v>
      </c>
      <c r="X1332" t="s">
        <v>25837</v>
      </c>
      <c r="Y1332" t="s">
        <v>25838</v>
      </c>
    </row>
    <row r="1333" spans="1:25" x14ac:dyDescent="0.3">
      <c r="A1333">
        <v>66600</v>
      </c>
      <c r="B1333" t="s">
        <v>25839</v>
      </c>
      <c r="C1333" t="s">
        <v>25840</v>
      </c>
      <c r="D1333" t="s">
        <v>25841</v>
      </c>
      <c r="E1333" t="s">
        <v>25842</v>
      </c>
      <c r="F1333" t="s">
        <v>25843</v>
      </c>
      <c r="G1333" t="s">
        <v>25844</v>
      </c>
      <c r="H1333" t="s">
        <v>25845</v>
      </c>
      <c r="I1333" t="s">
        <v>25846</v>
      </c>
      <c r="J1333" t="s">
        <v>25847</v>
      </c>
      <c r="K1333" t="s">
        <v>25848</v>
      </c>
      <c r="L1333" t="s">
        <v>25849</v>
      </c>
      <c r="M1333" t="s">
        <v>25850</v>
      </c>
      <c r="N1333">
        <f>-673.586856686163 -18.6824241299355 -526.555425675524</f>
        <v>-1218.8247064916225</v>
      </c>
      <c r="O1333">
        <f>-685.360448674916 -170.494412543535 -492.611097255535</f>
        <v>-1348.4659584739861</v>
      </c>
      <c r="P1333">
        <f>-714.200366034201 -173.507581314519 -212.008632832901</f>
        <v>-1099.7165801816211</v>
      </c>
      <c r="Q1333">
        <f>-491.024173439239 -145.16569242367 -269.780986969046</f>
        <v>-905.97085283195509</v>
      </c>
      <c r="R1333" t="s">
        <v>25851</v>
      </c>
      <c r="S1333" t="s">
        <v>25852</v>
      </c>
      <c r="T1333" t="s">
        <v>25853</v>
      </c>
      <c r="U1333" t="s">
        <v>25854</v>
      </c>
      <c r="V1333">
        <f>-602.897302183661 -58.6753944168179 -92.5016305986546</f>
        <v>-754.07432719913356</v>
      </c>
      <c r="W1333" t="s">
        <v>25855</v>
      </c>
      <c r="X1333" t="s">
        <v>25856</v>
      </c>
      <c r="Y1333" t="s">
        <v>25857</v>
      </c>
    </row>
    <row r="1334" spans="1:25" x14ac:dyDescent="0.3">
      <c r="A1334">
        <v>66650</v>
      </c>
      <c r="B1334" t="s">
        <v>25858</v>
      </c>
      <c r="C1334" t="s">
        <v>25859</v>
      </c>
      <c r="D1334" t="s">
        <v>25860</v>
      </c>
      <c r="E1334" t="s">
        <v>25861</v>
      </c>
      <c r="F1334" t="s">
        <v>25862</v>
      </c>
      <c r="G1334" t="s">
        <v>25863</v>
      </c>
      <c r="H1334" t="s">
        <v>25864</v>
      </c>
      <c r="I1334" t="s">
        <v>25865</v>
      </c>
      <c r="J1334" t="s">
        <v>25866</v>
      </c>
      <c r="K1334" t="s">
        <v>25867</v>
      </c>
      <c r="L1334" t="s">
        <v>25868</v>
      </c>
      <c r="M1334" t="s">
        <v>25869</v>
      </c>
      <c r="N1334">
        <f>-673.551456018066 -18.6632271027377 -526.581934079611</f>
        <v>-1218.7966172004146</v>
      </c>
      <c r="O1334">
        <f>-685.178628328452 -170.499097884449 -492.697364788529</f>
        <v>-1348.3750910014301</v>
      </c>
      <c r="P1334">
        <f>-714.456273159495 -173.165658894316 -212.1365724634</f>
        <v>-1099.7585045172111</v>
      </c>
      <c r="Q1334">
        <f>-490.940313495197 -145.185561226057 -268.760409358244</f>
        <v>-904.88628407949795</v>
      </c>
      <c r="R1334" t="s">
        <v>25870</v>
      </c>
      <c r="S1334" t="s">
        <v>25871</v>
      </c>
      <c r="T1334" t="s">
        <v>25872</v>
      </c>
      <c r="U1334" t="s">
        <v>25873</v>
      </c>
      <c r="V1334">
        <f>-602.842610466689 -58.7553204302258 -92.497680695421</f>
        <v>-754.09561159233579</v>
      </c>
      <c r="W1334" t="s">
        <v>25874</v>
      </c>
      <c r="X1334" t="s">
        <v>25875</v>
      </c>
      <c r="Y1334" t="s">
        <v>25876</v>
      </c>
    </row>
    <row r="1335" spans="1:25" x14ac:dyDescent="0.3">
      <c r="A1335">
        <v>66700</v>
      </c>
      <c r="B1335" t="s">
        <v>25877</v>
      </c>
      <c r="C1335" t="s">
        <v>25878</v>
      </c>
      <c r="D1335" t="s">
        <v>25879</v>
      </c>
      <c r="E1335" t="s">
        <v>25880</v>
      </c>
      <c r="F1335" t="s">
        <v>25881</v>
      </c>
      <c r="G1335" t="s">
        <v>25882</v>
      </c>
      <c r="H1335" t="s">
        <v>25883</v>
      </c>
      <c r="I1335" t="s">
        <v>25884</v>
      </c>
      <c r="J1335" t="s">
        <v>25885</v>
      </c>
      <c r="K1335" t="s">
        <v>25886</v>
      </c>
      <c r="L1335" t="s">
        <v>25887</v>
      </c>
      <c r="M1335" t="s">
        <v>25888</v>
      </c>
      <c r="N1335">
        <f>-673.441932498789 -18.5847024678046 -526.576803939101</f>
        <v>-1218.6034389056945</v>
      </c>
      <c r="O1335">
        <f>-684.78680381929 -170.448679324564 -492.738555885097</f>
        <v>-1347.974039028951</v>
      </c>
      <c r="P1335">
        <f>-714.653651172189 -173.188716277471 -212.240664103132</f>
        <v>-1100.0830315527921</v>
      </c>
      <c r="Q1335">
        <f>-490.710340454036 -145.058965189987 -267.073461927677</f>
        <v>-902.84276757170005</v>
      </c>
      <c r="R1335" t="s">
        <v>25889</v>
      </c>
      <c r="S1335" t="s">
        <v>25890</v>
      </c>
      <c r="T1335" t="s">
        <v>25891</v>
      </c>
      <c r="U1335" t="s">
        <v>25892</v>
      </c>
      <c r="V1335">
        <f>-602.524664009587 -58.6112266075986 -92.4859170500494</f>
        <v>-753.62180766723498</v>
      </c>
      <c r="W1335" t="s">
        <v>25893</v>
      </c>
      <c r="X1335" t="s">
        <v>25894</v>
      </c>
      <c r="Y1335" t="s">
        <v>25895</v>
      </c>
    </row>
    <row r="1336" spans="1:25" x14ac:dyDescent="0.3">
      <c r="A1336">
        <v>66750</v>
      </c>
      <c r="B1336" t="s">
        <v>25896</v>
      </c>
      <c r="C1336" t="s">
        <v>25897</v>
      </c>
      <c r="D1336" t="s">
        <v>25898</v>
      </c>
      <c r="E1336" t="s">
        <v>25899</v>
      </c>
      <c r="F1336" t="s">
        <v>25900</v>
      </c>
      <c r="G1336" t="s">
        <v>25901</v>
      </c>
      <c r="H1336" t="s">
        <v>25902</v>
      </c>
      <c r="I1336" t="s">
        <v>25903</v>
      </c>
      <c r="J1336" t="s">
        <v>25904</v>
      </c>
      <c r="K1336" t="s">
        <v>25905</v>
      </c>
      <c r="L1336" t="s">
        <v>25906</v>
      </c>
      <c r="M1336" t="s">
        <v>25907</v>
      </c>
      <c r="N1336">
        <f>-673.296920136953 -18.4622941183723 -526.568609193934</f>
        <v>-1218.3278234492591</v>
      </c>
      <c r="O1336">
        <f>-684.473534749488 -170.340706038704 -492.710230011081</f>
        <v>-1347.5244707992729</v>
      </c>
      <c r="P1336">
        <f>-714.635624223466 -173.315719173791 -212.246379726257</f>
        <v>-1100.1977231235139</v>
      </c>
      <c r="Q1336">
        <f>-490.431678950536 -145.467464981621 -266.150025833374</f>
        <v>-902.04916976553102</v>
      </c>
      <c r="R1336" t="s">
        <v>25908</v>
      </c>
      <c r="S1336" t="s">
        <v>25909</v>
      </c>
      <c r="T1336" t="s">
        <v>25910</v>
      </c>
      <c r="U1336" t="s">
        <v>25911</v>
      </c>
      <c r="V1336">
        <f>-602.276026707225 -58.448312663191 -92.4844091276552</f>
        <v>-753.20874849807126</v>
      </c>
      <c r="W1336" t="s">
        <v>25912</v>
      </c>
      <c r="X1336" t="s">
        <v>25913</v>
      </c>
      <c r="Y1336" t="s">
        <v>25914</v>
      </c>
    </row>
    <row r="1337" spans="1:25" x14ac:dyDescent="0.3">
      <c r="A1337">
        <v>66800</v>
      </c>
      <c r="B1337" t="s">
        <v>25915</v>
      </c>
      <c r="C1337" t="s">
        <v>25916</v>
      </c>
      <c r="D1337" t="s">
        <v>25917</v>
      </c>
      <c r="E1337" t="s">
        <v>25918</v>
      </c>
      <c r="F1337" t="s">
        <v>25919</v>
      </c>
      <c r="G1337" t="s">
        <v>25920</v>
      </c>
      <c r="H1337" t="s">
        <v>25921</v>
      </c>
      <c r="I1337" t="s">
        <v>25922</v>
      </c>
      <c r="J1337" t="s">
        <v>25923</v>
      </c>
      <c r="K1337" t="s">
        <v>25924</v>
      </c>
      <c r="L1337" t="s">
        <v>25925</v>
      </c>
      <c r="M1337" t="s">
        <v>25926</v>
      </c>
      <c r="N1337">
        <f>-673.211326403385 -18.0532027376678 -526.550919402933</f>
        <v>-1217.8154485439859</v>
      </c>
      <c r="O1337">
        <f>-684.128619794311 -169.92430612154 -492.589006753875</f>
        <v>-1346.641932669726</v>
      </c>
      <c r="P1337">
        <f>-714.570914704536 -172.893970958497 -212.155327018414</f>
        <v>-1099.6202126814469</v>
      </c>
      <c r="Q1337">
        <f>-489.926766739812 -145.957966817381 -264.671804310281</f>
        <v>-900.55653786747405</v>
      </c>
      <c r="R1337" t="s">
        <v>25927</v>
      </c>
      <c r="S1337" t="s">
        <v>25928</v>
      </c>
      <c r="T1337" t="s">
        <v>25929</v>
      </c>
      <c r="U1337" t="s">
        <v>25930</v>
      </c>
      <c r="V1337">
        <f>-601.790023954421 -57.9743267930705 -92.4728257976502</f>
        <v>-752.23717654514178</v>
      </c>
      <c r="W1337" t="s">
        <v>25931</v>
      </c>
      <c r="X1337" t="s">
        <v>25932</v>
      </c>
      <c r="Y1337" t="s">
        <v>25933</v>
      </c>
    </row>
    <row r="1338" spans="1:25" x14ac:dyDescent="0.3">
      <c r="A1338">
        <v>66850</v>
      </c>
      <c r="B1338" t="s">
        <v>25934</v>
      </c>
      <c r="C1338" t="s">
        <v>25935</v>
      </c>
      <c r="D1338" t="s">
        <v>25936</v>
      </c>
      <c r="E1338" t="s">
        <v>25937</v>
      </c>
      <c r="F1338" t="s">
        <v>25938</v>
      </c>
      <c r="G1338" t="s">
        <v>25939</v>
      </c>
      <c r="H1338" t="s">
        <v>25940</v>
      </c>
      <c r="I1338" t="s">
        <v>25941</v>
      </c>
      <c r="J1338" t="s">
        <v>25942</v>
      </c>
      <c r="K1338" t="s">
        <v>25943</v>
      </c>
      <c r="L1338" t="s">
        <v>25944</v>
      </c>
      <c r="M1338" t="s">
        <v>25945</v>
      </c>
      <c r="N1338">
        <f>-673.211639098631 -17.8867294208872 -526.508543616977</f>
        <v>-1217.6069121364953</v>
      </c>
      <c r="O1338">
        <f>-683.96351796035 -169.752533046086 -492.477398927465</f>
        <v>-1346.1934499339011</v>
      </c>
      <c r="P1338">
        <f>-714.705038396063 -172.933491194154 -212.078688374872</f>
        <v>-1099.7172179650888</v>
      </c>
      <c r="Q1338">
        <f>-489.837107775157 -146.165683702229 -263.71612026279</f>
        <v>-899.71891174017594</v>
      </c>
      <c r="R1338" t="s">
        <v>25946</v>
      </c>
      <c r="S1338" t="s">
        <v>25947</v>
      </c>
      <c r="T1338" t="s">
        <v>25948</v>
      </c>
      <c r="U1338" t="s">
        <v>25949</v>
      </c>
      <c r="V1338">
        <f>-601.542404455115 -57.8007207847279 -92.4654342696085</f>
        <v>-751.80855950945147</v>
      </c>
      <c r="W1338" t="s">
        <v>25950</v>
      </c>
      <c r="X1338" t="s">
        <v>25951</v>
      </c>
      <c r="Y1338" t="s">
        <v>25952</v>
      </c>
    </row>
    <row r="1339" spans="1:25" x14ac:dyDescent="0.3">
      <c r="A1339">
        <v>66900</v>
      </c>
      <c r="B1339" t="s">
        <v>25953</v>
      </c>
      <c r="C1339" t="s">
        <v>25954</v>
      </c>
      <c r="D1339" t="s">
        <v>25955</v>
      </c>
      <c r="E1339" t="s">
        <v>25956</v>
      </c>
      <c r="F1339" t="s">
        <v>25957</v>
      </c>
      <c r="G1339" t="s">
        <v>25958</v>
      </c>
      <c r="H1339" t="s">
        <v>25959</v>
      </c>
      <c r="I1339" t="s">
        <v>25960</v>
      </c>
      <c r="J1339" t="s">
        <v>25961</v>
      </c>
      <c r="K1339" t="s">
        <v>25962</v>
      </c>
      <c r="L1339" t="s">
        <v>25963</v>
      </c>
      <c r="M1339" t="s">
        <v>25964</v>
      </c>
      <c r="N1339">
        <f>-672.958178323138 -17.5381138642247 -526.5053842043</f>
        <v>-1217.0016763916626</v>
      </c>
      <c r="O1339">
        <f>-683.468797975148 -169.401856331645 -492.396582309697</f>
        <v>-1345.2672366164902</v>
      </c>
      <c r="P1339">
        <f>-714.697160477172 -172.736666207323 -212.053467653446</f>
        <v>-1099.487294337941</v>
      </c>
      <c r="Q1339">
        <f>-489.465678960077 -145.782318457825 -261.981126087989</f>
        <v>-897.22912350589104</v>
      </c>
      <c r="R1339" t="s">
        <v>25965</v>
      </c>
      <c r="S1339" t="s">
        <v>25966</v>
      </c>
      <c r="T1339" t="s">
        <v>25967</v>
      </c>
      <c r="U1339" t="s">
        <v>25968</v>
      </c>
      <c r="V1339">
        <f>-601.016117277683 -57.5659550313392 -92.461942255404</f>
        <v>-751.04401456442611</v>
      </c>
      <c r="W1339" t="s">
        <v>25969</v>
      </c>
      <c r="X1339" t="s">
        <v>25970</v>
      </c>
      <c r="Y1339" t="s">
        <v>25971</v>
      </c>
    </row>
    <row r="1340" spans="1:25" x14ac:dyDescent="0.3">
      <c r="A1340">
        <v>66950</v>
      </c>
      <c r="B1340" t="s">
        <v>25972</v>
      </c>
      <c r="C1340" t="s">
        <v>25973</v>
      </c>
      <c r="D1340" t="s">
        <v>25974</v>
      </c>
      <c r="E1340" t="s">
        <v>25975</v>
      </c>
      <c r="F1340" t="s">
        <v>25976</v>
      </c>
      <c r="G1340" t="s">
        <v>25977</v>
      </c>
      <c r="H1340" t="s">
        <v>25978</v>
      </c>
      <c r="I1340" t="s">
        <v>25979</v>
      </c>
      <c r="J1340" t="s">
        <v>25980</v>
      </c>
      <c r="K1340" t="s">
        <v>25981</v>
      </c>
      <c r="L1340" t="s">
        <v>25982</v>
      </c>
      <c r="M1340" t="s">
        <v>25983</v>
      </c>
      <c r="N1340">
        <f>-672.796229457587 -17.4949183657243 -526.500123842721</f>
        <v>-1216.7912716660321</v>
      </c>
      <c r="O1340">
        <f>-683.207313736549 -169.354590378276 -492.348837032531</f>
        <v>-1344.910741147356</v>
      </c>
      <c r="P1340">
        <f>-714.687864486078 -172.54065109914 -212.032186509138</f>
        <v>-1099.260702094356</v>
      </c>
      <c r="Q1340">
        <f>-489.328416080994 -145.36459423056 -261.25741267576</f>
        <v>-895.95042298731391</v>
      </c>
      <c r="R1340" t="s">
        <v>25984</v>
      </c>
      <c r="S1340" t="s">
        <v>25985</v>
      </c>
      <c r="T1340" t="s">
        <v>25986</v>
      </c>
      <c r="U1340" t="s">
        <v>25987</v>
      </c>
      <c r="V1340">
        <f>-600.781495639622 -57.5149499463353 -92.4687587684429</f>
        <v>-750.76520435440011</v>
      </c>
      <c r="W1340" t="s">
        <v>25988</v>
      </c>
      <c r="X1340" t="s">
        <v>25989</v>
      </c>
      <c r="Y1340" t="s">
        <v>25990</v>
      </c>
    </row>
    <row r="1341" spans="1:25" x14ac:dyDescent="0.3">
      <c r="A1341">
        <v>67000</v>
      </c>
      <c r="B1341" t="s">
        <v>25991</v>
      </c>
      <c r="C1341" t="s">
        <v>25992</v>
      </c>
      <c r="D1341" t="s">
        <v>25993</v>
      </c>
      <c r="E1341" t="s">
        <v>25994</v>
      </c>
      <c r="F1341" t="s">
        <v>25995</v>
      </c>
      <c r="G1341" t="s">
        <v>25996</v>
      </c>
      <c r="H1341" t="s">
        <v>25997</v>
      </c>
      <c r="I1341" t="s">
        <v>25998</v>
      </c>
      <c r="J1341" t="s">
        <v>25999</v>
      </c>
      <c r="K1341" t="s">
        <v>26000</v>
      </c>
      <c r="L1341" t="s">
        <v>26001</v>
      </c>
      <c r="M1341" t="s">
        <v>26002</v>
      </c>
      <c r="N1341">
        <f>-672.604934997675 -17.3725454470834 -526.470086661274</f>
        <v>-1216.4475671060322</v>
      </c>
      <c r="O1341">
        <f>-682.896830578194 -169.205093382478 -492.138522302276</f>
        <v>-1344.2404462629479</v>
      </c>
      <c r="P1341">
        <f>-714.238061187021 -171.835045709475 -211.800606925408</f>
        <v>-1097.8737138219039</v>
      </c>
      <c r="Q1341">
        <f>-488.835159302384 -144.547747045895 -260.764567463445</f>
        <v>-894.14747381172401</v>
      </c>
      <c r="R1341" t="s">
        <v>26003</v>
      </c>
      <c r="S1341" t="s">
        <v>26004</v>
      </c>
      <c r="T1341" t="s">
        <v>26005</v>
      </c>
      <c r="U1341" t="s">
        <v>26006</v>
      </c>
      <c r="V1341">
        <f>-600.314074492738 -57.3539801460638 -92.4868830789607</f>
        <v>-750.15493771776244</v>
      </c>
      <c r="W1341" t="s">
        <v>26007</v>
      </c>
      <c r="X1341" t="s">
        <v>26008</v>
      </c>
      <c r="Y1341" t="s">
        <v>26009</v>
      </c>
    </row>
    <row r="1342" spans="1:25" x14ac:dyDescent="0.3">
      <c r="A1342">
        <v>67050</v>
      </c>
      <c r="B1342" t="s">
        <v>26010</v>
      </c>
      <c r="C1342" t="s">
        <v>26011</v>
      </c>
      <c r="D1342" t="s">
        <v>26012</v>
      </c>
      <c r="E1342" t="s">
        <v>26013</v>
      </c>
      <c r="F1342" t="s">
        <v>26014</v>
      </c>
      <c r="G1342" t="s">
        <v>26015</v>
      </c>
      <c r="H1342" t="s">
        <v>26016</v>
      </c>
      <c r="I1342" t="s">
        <v>26017</v>
      </c>
      <c r="J1342" t="s">
        <v>26018</v>
      </c>
      <c r="K1342" t="s">
        <v>26019</v>
      </c>
      <c r="L1342" t="s">
        <v>26020</v>
      </c>
      <c r="M1342" t="s">
        <v>26021</v>
      </c>
      <c r="N1342">
        <f>-672.548239613282 -17.2464686917756 -526.435558854616</f>
        <v>-1216.2302671596735</v>
      </c>
      <c r="O1342">
        <f>-682.800498639114 -169.057542932476 -492.01060241132</f>
        <v>-1343.86864398291</v>
      </c>
      <c r="P1342">
        <f>-713.747689283604 -171.498072074932 -211.626934896337</f>
        <v>-1096.8726962548731</v>
      </c>
      <c r="Q1342">
        <f>-488.36608716671 -144.238094513299 -260.704212307603</f>
        <v>-893.30839398761191</v>
      </c>
      <c r="R1342" t="s">
        <v>26022</v>
      </c>
      <c r="S1342" t="s">
        <v>26023</v>
      </c>
      <c r="T1342" t="s">
        <v>26024</v>
      </c>
      <c r="U1342" t="s">
        <v>26025</v>
      </c>
      <c r="V1342">
        <f>-600.067785206489 -57.1743121471795 -92.4739116326462</f>
        <v>-749.71600898631482</v>
      </c>
      <c r="W1342" t="s">
        <v>26026</v>
      </c>
      <c r="X1342" t="s">
        <v>26027</v>
      </c>
      <c r="Y1342" t="s">
        <v>26028</v>
      </c>
    </row>
    <row r="1343" spans="1:25" x14ac:dyDescent="0.3">
      <c r="A1343">
        <v>67100</v>
      </c>
      <c r="B1343" t="s">
        <v>26029</v>
      </c>
      <c r="C1343" t="s">
        <v>26030</v>
      </c>
      <c r="D1343" t="s">
        <v>26031</v>
      </c>
      <c r="E1343" t="s">
        <v>26032</v>
      </c>
      <c r="F1343" t="s">
        <v>26033</v>
      </c>
      <c r="G1343" t="s">
        <v>26034</v>
      </c>
      <c r="H1343" t="s">
        <v>26035</v>
      </c>
      <c r="I1343" t="s">
        <v>26036</v>
      </c>
      <c r="J1343" t="s">
        <v>26037</v>
      </c>
      <c r="K1343" t="s">
        <v>26038</v>
      </c>
      <c r="L1343" t="s">
        <v>26039</v>
      </c>
      <c r="M1343" t="s">
        <v>26040</v>
      </c>
      <c r="N1343">
        <f>-672.608547599151 -17.0006976527177 -526.331931937364</f>
        <v>-1215.9411771892328</v>
      </c>
      <c r="O1343">
        <f>-682.621683875429 -168.804960947654 -491.78769581337</f>
        <v>-1343.214340636453</v>
      </c>
      <c r="P1343">
        <f>-712.731269026403 -171.177202739599 -211.312537833213</f>
        <v>-1095.221009599215</v>
      </c>
      <c r="Q1343">
        <f>-487.420094953225 -143.832529636888 -260.665184794781</f>
        <v>-891.91780938489399</v>
      </c>
      <c r="R1343" t="s">
        <v>26041</v>
      </c>
      <c r="S1343" t="s">
        <v>26042</v>
      </c>
      <c r="T1343" t="s">
        <v>26043</v>
      </c>
      <c r="U1343" t="s">
        <v>26044</v>
      </c>
      <c r="V1343">
        <f>-599.790400865907 -56.8481212779334 -92.443855424674</f>
        <v>-749.0823775685144</v>
      </c>
      <c r="W1343" t="s">
        <v>26045</v>
      </c>
      <c r="X1343" t="s">
        <v>26046</v>
      </c>
      <c r="Y1343" t="s">
        <v>26047</v>
      </c>
    </row>
    <row r="1344" spans="1:25" x14ac:dyDescent="0.3">
      <c r="A1344">
        <v>67150</v>
      </c>
      <c r="B1344" t="s">
        <v>26048</v>
      </c>
      <c r="C1344" t="s">
        <v>26049</v>
      </c>
      <c r="D1344" t="s">
        <v>26050</v>
      </c>
      <c r="E1344" t="s">
        <v>26051</v>
      </c>
      <c r="F1344" t="s">
        <v>26052</v>
      </c>
      <c r="G1344" t="s">
        <v>26053</v>
      </c>
      <c r="H1344" t="s">
        <v>26054</v>
      </c>
      <c r="I1344" t="s">
        <v>26055</v>
      </c>
      <c r="J1344" t="s">
        <v>26056</v>
      </c>
      <c r="K1344" t="s">
        <v>26057</v>
      </c>
      <c r="L1344" t="s">
        <v>26058</v>
      </c>
      <c r="M1344" t="s">
        <v>26059</v>
      </c>
      <c r="N1344">
        <f>-672.708923917137 -16.887922221322 -526.291468760444</f>
        <v>-1215.888314898903</v>
      </c>
      <c r="O1344">
        <f>-682.631483908668 -168.689895039693 -491.707445743896</f>
        <v>-1343.0288246922569</v>
      </c>
      <c r="P1344">
        <f>-712.35941481407 -171.067250400672 -211.19149480295</f>
        <v>-1094.6181600176919</v>
      </c>
      <c r="Q1344">
        <f>-487.136283165876 -143.534734110477 -260.840840690484</f>
        <v>-891.51185796683706</v>
      </c>
      <c r="R1344" t="s">
        <v>26060</v>
      </c>
      <c r="S1344" t="s">
        <v>26061</v>
      </c>
      <c r="T1344" t="s">
        <v>26062</v>
      </c>
      <c r="U1344" t="s">
        <v>26063</v>
      </c>
      <c r="V1344">
        <f>-599.756950999246 -56.7242412908836 -92.4354026796182</f>
        <v>-748.91659496974773</v>
      </c>
      <c r="W1344" t="s">
        <v>26064</v>
      </c>
      <c r="X1344" t="s">
        <v>26065</v>
      </c>
      <c r="Y1344" t="s">
        <v>26066</v>
      </c>
    </row>
    <row r="1345" spans="1:25" x14ac:dyDescent="0.3">
      <c r="A1345">
        <v>67200</v>
      </c>
      <c r="B1345" t="s">
        <v>26067</v>
      </c>
      <c r="C1345" t="s">
        <v>26068</v>
      </c>
      <c r="D1345" t="s">
        <v>26069</v>
      </c>
      <c r="E1345" t="s">
        <v>26070</v>
      </c>
      <c r="F1345" t="s">
        <v>26071</v>
      </c>
      <c r="G1345" t="s">
        <v>26072</v>
      </c>
      <c r="H1345" t="s">
        <v>26073</v>
      </c>
      <c r="I1345" t="s">
        <v>26074</v>
      </c>
      <c r="J1345" t="s">
        <v>26075</v>
      </c>
      <c r="K1345" t="s">
        <v>26076</v>
      </c>
      <c r="L1345" t="s">
        <v>26077</v>
      </c>
      <c r="M1345" t="s">
        <v>26078</v>
      </c>
      <c r="N1345">
        <f>-672.95228751946 -16.6992988821007 -526.227823158163</f>
        <v>-1215.8794095597236</v>
      </c>
      <c r="O1345">
        <f>-682.724279617431 -168.499512097681 -491.589968631737</f>
        <v>-1342.813760346849</v>
      </c>
      <c r="P1345">
        <f>-712.055048626712 -170.871366870882 -211.032193003325</f>
        <v>-1093.9586085009191</v>
      </c>
      <c r="Q1345">
        <f>-487.006783230939 -142.635261284274 -261.077719810034</f>
        <v>-890.71976432524707</v>
      </c>
      <c r="R1345" t="s">
        <v>26079</v>
      </c>
      <c r="S1345" t="s">
        <v>26080</v>
      </c>
      <c r="T1345" t="s">
        <v>26081</v>
      </c>
      <c r="U1345" t="s">
        <v>26082</v>
      </c>
      <c r="V1345">
        <f>-599.688068460937 -56.4607905801665 -92.4191938814271</f>
        <v>-748.56805292253057</v>
      </c>
      <c r="W1345" t="s">
        <v>26083</v>
      </c>
      <c r="X1345" t="s">
        <v>26084</v>
      </c>
      <c r="Y1345" t="s">
        <v>26085</v>
      </c>
    </row>
    <row r="1346" spans="1:25" x14ac:dyDescent="0.3">
      <c r="A1346">
        <v>67250</v>
      </c>
      <c r="B1346" t="s">
        <v>26086</v>
      </c>
      <c r="C1346" t="s">
        <v>26087</v>
      </c>
      <c r="D1346" t="s">
        <v>26088</v>
      </c>
      <c r="E1346" t="s">
        <v>26089</v>
      </c>
      <c r="F1346" t="s">
        <v>26090</v>
      </c>
      <c r="G1346" t="s">
        <v>26091</v>
      </c>
      <c r="H1346" t="s">
        <v>26092</v>
      </c>
      <c r="I1346" t="s">
        <v>26093</v>
      </c>
      <c r="J1346" t="s">
        <v>26094</v>
      </c>
      <c r="K1346" t="s">
        <v>26095</v>
      </c>
      <c r="L1346" t="s">
        <v>26096</v>
      </c>
      <c r="M1346" t="s">
        <v>26097</v>
      </c>
      <c r="N1346">
        <f>-673.047695508298 -16.60753711086 -526.207547031888</f>
        <v>-1215.8627796510459</v>
      </c>
      <c r="O1346">
        <f>-682.818191060111 -168.413158736504 -491.621051035186</f>
        <v>-1342.8524008318009</v>
      </c>
      <c r="P1346">
        <f>-712.123849976284 -170.662662062157 -211.059686633602</f>
        <v>-1093.8461986720429</v>
      </c>
      <c r="Q1346">
        <f>-487.086872604666 -142.319348713988 -261.095218070769</f>
        <v>-890.50143938942301</v>
      </c>
      <c r="R1346" t="s">
        <v>26098</v>
      </c>
      <c r="S1346" t="s">
        <v>26099</v>
      </c>
      <c r="T1346" t="s">
        <v>26100</v>
      </c>
      <c r="U1346" t="s">
        <v>26101</v>
      </c>
      <c r="V1346">
        <f>-599.65659221584 -56.3302953693433 -92.4130329262056</f>
        <v>-748.39992051138881</v>
      </c>
      <c r="W1346" t="s">
        <v>26102</v>
      </c>
      <c r="X1346" t="s">
        <v>26103</v>
      </c>
      <c r="Y1346" t="s">
        <v>26104</v>
      </c>
    </row>
    <row r="1347" spans="1:25" x14ac:dyDescent="0.3">
      <c r="A1347">
        <v>67300</v>
      </c>
      <c r="B1347" t="s">
        <v>26105</v>
      </c>
      <c r="C1347" t="s">
        <v>26106</v>
      </c>
      <c r="D1347" t="s">
        <v>26107</v>
      </c>
      <c r="E1347" t="s">
        <v>26108</v>
      </c>
      <c r="F1347" t="s">
        <v>26109</v>
      </c>
      <c r="G1347" t="s">
        <v>26110</v>
      </c>
      <c r="H1347" t="s">
        <v>26111</v>
      </c>
      <c r="I1347" t="s">
        <v>26112</v>
      </c>
      <c r="J1347" t="s">
        <v>26113</v>
      </c>
      <c r="K1347" t="s">
        <v>26114</v>
      </c>
      <c r="L1347" t="s">
        <v>26115</v>
      </c>
      <c r="M1347" t="s">
        <v>26116</v>
      </c>
      <c r="N1347">
        <f>-673.431602224384 -16.3834690341062 -526.163314571717</f>
        <v>-1215.9783858302071</v>
      </c>
      <c r="O1347">
        <f>-683.179272625645 -168.20567721863 -491.629504763871</f>
        <v>-1343.014454608146</v>
      </c>
      <c r="P1347">
        <f>-712.305700740076 -170.348330227153 -211.048543372421</f>
        <v>-1093.70257433965</v>
      </c>
      <c r="Q1347">
        <f>-487.20626252851 -142.116468619581 -260.865809738105</f>
        <v>-890.18854088619605</v>
      </c>
      <c r="R1347" t="s">
        <v>26117</v>
      </c>
      <c r="S1347" t="s">
        <v>26118</v>
      </c>
      <c r="T1347" t="s">
        <v>26119</v>
      </c>
      <c r="U1347" t="s">
        <v>26120</v>
      </c>
      <c r="V1347">
        <f>-599.686930727179 -56.0953980499608 -92.3899109713753</f>
        <v>-748.17223974851504</v>
      </c>
      <c r="W1347" t="s">
        <v>26121</v>
      </c>
      <c r="X1347" t="s">
        <v>26122</v>
      </c>
      <c r="Y1347" t="s">
        <v>26123</v>
      </c>
    </row>
    <row r="1348" spans="1:25" x14ac:dyDescent="0.3">
      <c r="A1348">
        <v>67350</v>
      </c>
      <c r="B1348" t="s">
        <v>26124</v>
      </c>
      <c r="C1348" t="s">
        <v>26125</v>
      </c>
      <c r="D1348" t="s">
        <v>26126</v>
      </c>
      <c r="E1348" t="s">
        <v>26127</v>
      </c>
      <c r="F1348" t="s">
        <v>26128</v>
      </c>
      <c r="G1348" t="s">
        <v>26129</v>
      </c>
      <c r="H1348" t="s">
        <v>26130</v>
      </c>
      <c r="I1348" t="s">
        <v>26131</v>
      </c>
      <c r="J1348" t="s">
        <v>26132</v>
      </c>
      <c r="K1348" t="s">
        <v>26133</v>
      </c>
      <c r="L1348" t="s">
        <v>26134</v>
      </c>
      <c r="M1348" t="s">
        <v>26135</v>
      </c>
      <c r="N1348">
        <f>-673.675041241302 -16.2128643019921 -526.153474894894</f>
        <v>-1216.0413804381881</v>
      </c>
      <c r="O1348">
        <f>-683.416439408796 -168.043001745712 -491.659033016909</f>
        <v>-1343.1184741714169</v>
      </c>
      <c r="P1348">
        <f>-712.409231532511 -170.179908669579 -211.064309936522</f>
        <v>-1093.653450138612</v>
      </c>
      <c r="Q1348">
        <f>-487.252340479114 -142.129920180063 -260.724218213429</f>
        <v>-890.10647887260609</v>
      </c>
      <c r="R1348" t="s">
        <v>26136</v>
      </c>
      <c r="S1348" t="s">
        <v>26137</v>
      </c>
      <c r="T1348" t="s">
        <v>26138</v>
      </c>
      <c r="U1348" t="s">
        <v>26139</v>
      </c>
      <c r="V1348">
        <f>-599.772055818153 -56.0007633646344 -92.3865587456532</f>
        <v>-748.15937792844068</v>
      </c>
      <c r="W1348" t="s">
        <v>26140</v>
      </c>
      <c r="X1348" t="s">
        <v>26141</v>
      </c>
      <c r="Y1348" t="s">
        <v>26142</v>
      </c>
    </row>
    <row r="1349" spans="1:25" x14ac:dyDescent="0.3">
      <c r="A1349">
        <v>67400</v>
      </c>
      <c r="B1349" t="s">
        <v>26143</v>
      </c>
      <c r="C1349" t="s">
        <v>26144</v>
      </c>
      <c r="D1349" t="s">
        <v>26145</v>
      </c>
      <c r="E1349" t="s">
        <v>26146</v>
      </c>
      <c r="F1349" t="s">
        <v>26147</v>
      </c>
      <c r="G1349" t="s">
        <v>26148</v>
      </c>
      <c r="H1349" t="s">
        <v>26149</v>
      </c>
      <c r="I1349" t="s">
        <v>26150</v>
      </c>
      <c r="J1349" t="s">
        <v>26151</v>
      </c>
      <c r="K1349" t="s">
        <v>26152</v>
      </c>
      <c r="L1349" t="s">
        <v>26153</v>
      </c>
      <c r="M1349" t="s">
        <v>26154</v>
      </c>
      <c r="N1349">
        <f>-673.817186755916 -15.7376976979506 -526.223031139957</f>
        <v>-1215.7779155938238</v>
      </c>
      <c r="O1349">
        <f>-683.653556528682 -167.610724397336 -491.92240153725</f>
        <v>-1343.186682463268</v>
      </c>
      <c r="P1349">
        <f>-712.366332646356 -169.695777834826 -211.298408985409</f>
        <v>-1093.3605194665911</v>
      </c>
      <c r="Q1349">
        <f>-487.100378570434 -142.022233985955 -260.673876583697</f>
        <v>-889.7964891400859</v>
      </c>
      <c r="R1349" t="s">
        <v>26155</v>
      </c>
      <c r="S1349" t="s">
        <v>26156</v>
      </c>
      <c r="T1349" t="s">
        <v>26157</v>
      </c>
      <c r="U1349" t="s">
        <v>26158</v>
      </c>
      <c r="V1349">
        <f>-600.022454239411 -55.7991798510973 -92.3871899148245</f>
        <v>-748.20882400533276</v>
      </c>
      <c r="W1349" t="s">
        <v>26159</v>
      </c>
      <c r="X1349" t="s">
        <v>26160</v>
      </c>
      <c r="Y1349" t="s">
        <v>26161</v>
      </c>
    </row>
    <row r="1350" spans="1:25" x14ac:dyDescent="0.3">
      <c r="A1350">
        <v>67450</v>
      </c>
      <c r="B1350" t="s">
        <v>26162</v>
      </c>
      <c r="C1350" t="s">
        <v>26163</v>
      </c>
      <c r="D1350" t="s">
        <v>26164</v>
      </c>
      <c r="E1350" t="s">
        <v>26165</v>
      </c>
      <c r="F1350" t="s">
        <v>26166</v>
      </c>
      <c r="G1350" t="s">
        <v>26167</v>
      </c>
      <c r="H1350" t="s">
        <v>26168</v>
      </c>
      <c r="I1350" t="s">
        <v>26169</v>
      </c>
      <c r="J1350" t="s">
        <v>26170</v>
      </c>
      <c r="K1350" t="s">
        <v>26171</v>
      </c>
      <c r="L1350" t="s">
        <v>26172</v>
      </c>
      <c r="M1350" t="s">
        <v>26173</v>
      </c>
      <c r="N1350">
        <f>-673.746296785709 -15.5718484227966 -526.275741435786</f>
        <v>-1215.5938866442916</v>
      </c>
      <c r="O1350">
        <f>-683.666163361876 -167.452839678964 -492.070477829595</f>
        <v>-1343.1894808704351</v>
      </c>
      <c r="P1350">
        <f>-712.275680675452 -169.483550779966 -211.435536461824</f>
        <v>-1093.194767917242</v>
      </c>
      <c r="Q1350">
        <f>-487.00758676886 -141.981600715369 -260.89730390602</f>
        <v>-889.88649139024892</v>
      </c>
      <c r="R1350" t="s">
        <v>26174</v>
      </c>
      <c r="S1350" t="s">
        <v>26175</v>
      </c>
      <c r="T1350" t="s">
        <v>26176</v>
      </c>
      <c r="U1350" t="s">
        <v>26177</v>
      </c>
      <c r="V1350">
        <f>-600.107733462611 -55.7483319303301 -92.3955923935432</f>
        <v>-748.25165778648432</v>
      </c>
      <c r="W1350" t="s">
        <v>26178</v>
      </c>
      <c r="X1350" t="s">
        <v>26179</v>
      </c>
      <c r="Y1350" t="s">
        <v>26180</v>
      </c>
    </row>
    <row r="1351" spans="1:25" x14ac:dyDescent="0.3">
      <c r="A1351">
        <v>67500</v>
      </c>
      <c r="B1351" t="s">
        <v>26181</v>
      </c>
      <c r="C1351" t="s">
        <v>26182</v>
      </c>
      <c r="D1351" t="s">
        <v>26183</v>
      </c>
      <c r="E1351" t="s">
        <v>26184</v>
      </c>
      <c r="F1351" t="s">
        <v>26185</v>
      </c>
      <c r="G1351" t="s">
        <v>26186</v>
      </c>
      <c r="H1351" t="s">
        <v>26187</v>
      </c>
      <c r="I1351" t="s">
        <v>26188</v>
      </c>
      <c r="J1351" t="s">
        <v>26189</v>
      </c>
      <c r="K1351" t="s">
        <v>26190</v>
      </c>
      <c r="L1351" t="s">
        <v>26191</v>
      </c>
      <c r="M1351" t="s">
        <v>26192</v>
      </c>
      <c r="N1351">
        <f>-673.561434634438 -15.3288505693833 -526.332484851554</f>
        <v>-1215.2227700553753</v>
      </c>
      <c r="O1351">
        <f>-683.674414780959 -167.234597480196 -492.276994009006</f>
        <v>-1343.1860062701608</v>
      </c>
      <c r="P1351">
        <f>-712.260216577126 -169.605702579076 -211.64239114619</f>
        <v>-1093.5083103023921</v>
      </c>
      <c r="Q1351">
        <f>-487.009281202424 -142.503666505774 -261.401937129144</f>
        <v>-890.91488483734202</v>
      </c>
      <c r="R1351" t="s">
        <v>26193</v>
      </c>
      <c r="S1351" t="s">
        <v>26194</v>
      </c>
      <c r="T1351" t="s">
        <v>26195</v>
      </c>
      <c r="U1351" t="s">
        <v>26196</v>
      </c>
      <c r="V1351">
        <f>-600.126576759931 -55.7048145092965 -92.398989756657</f>
        <v>-748.23038102588453</v>
      </c>
      <c r="W1351" t="s">
        <v>26197</v>
      </c>
      <c r="X1351" t="s">
        <v>26198</v>
      </c>
      <c r="Y1351" t="s">
        <v>26199</v>
      </c>
    </row>
    <row r="1352" spans="1:25" x14ac:dyDescent="0.3">
      <c r="A1352">
        <v>67550</v>
      </c>
      <c r="B1352" t="s">
        <v>26200</v>
      </c>
      <c r="C1352" t="s">
        <v>26201</v>
      </c>
      <c r="D1352" t="s">
        <v>26202</v>
      </c>
      <c r="E1352" t="s">
        <v>26203</v>
      </c>
      <c r="F1352" t="s">
        <v>26204</v>
      </c>
      <c r="G1352" t="s">
        <v>26205</v>
      </c>
      <c r="H1352" t="s">
        <v>26206</v>
      </c>
      <c r="I1352" t="s">
        <v>26207</v>
      </c>
      <c r="J1352" t="s">
        <v>26208</v>
      </c>
      <c r="K1352" t="s">
        <v>26209</v>
      </c>
      <c r="L1352" t="s">
        <v>26210</v>
      </c>
      <c r="M1352" t="s">
        <v>26211</v>
      </c>
      <c r="N1352">
        <f>-673.354111743385 -15.1882671954338 -526.39362199587</f>
        <v>-1214.9360009346888</v>
      </c>
      <c r="O1352">
        <f>-683.605656035362 -167.108062818529 -492.442176374801</f>
        <v>-1343.1558952286921</v>
      </c>
      <c r="P1352">
        <f>-712.180359063953 -169.541503293075 -211.806806129912</f>
        <v>-1093.52866848694</v>
      </c>
      <c r="Q1352">
        <f>-486.946983078342 -142.78233381329 -261.830932029487</f>
        <v>-891.56024892111895</v>
      </c>
      <c r="R1352" t="s">
        <v>26212</v>
      </c>
      <c r="S1352" t="s">
        <v>26213</v>
      </c>
      <c r="T1352" t="s">
        <v>26214</v>
      </c>
      <c r="U1352" t="s">
        <v>26215</v>
      </c>
      <c r="V1352">
        <f>-600.131676832564 -55.7894386839098 -92.414950677441</f>
        <v>-748.3360661939148</v>
      </c>
      <c r="W1352" t="s">
        <v>26216</v>
      </c>
      <c r="X1352" t="s">
        <v>26217</v>
      </c>
      <c r="Y1352" t="s">
        <v>26218</v>
      </c>
    </row>
    <row r="1353" spans="1:25" x14ac:dyDescent="0.3">
      <c r="A1353">
        <v>67600</v>
      </c>
      <c r="B1353" t="s">
        <v>26219</v>
      </c>
      <c r="C1353" t="s">
        <v>26220</v>
      </c>
      <c r="D1353" t="s">
        <v>26221</v>
      </c>
      <c r="E1353" t="s">
        <v>26222</v>
      </c>
      <c r="F1353" t="s">
        <v>26223</v>
      </c>
      <c r="G1353" t="s">
        <v>26224</v>
      </c>
      <c r="H1353" t="s">
        <v>26225</v>
      </c>
      <c r="I1353" t="s">
        <v>26226</v>
      </c>
      <c r="J1353" t="s">
        <v>26227</v>
      </c>
      <c r="K1353" t="s">
        <v>26228</v>
      </c>
      <c r="L1353" t="s">
        <v>26229</v>
      </c>
      <c r="M1353" t="s">
        <v>26230</v>
      </c>
      <c r="N1353">
        <f>-673.028556111921 -14.9191705470316 -526.523973625095</f>
        <v>-1214.4717002840475</v>
      </c>
      <c r="O1353">
        <f>-683.535520540542 -166.875613895096 -492.802061230167</f>
        <v>-1343.213195665805</v>
      </c>
      <c r="P1353">
        <f>-712.091008043493 -169.589049354849 -212.167491454355</f>
        <v>-1093.8475488526972</v>
      </c>
      <c r="Q1353">
        <f>-486.911460573264 -143.339668652874 -262.701326374598</f>
        <v>-892.95245560073602</v>
      </c>
      <c r="R1353" t="s">
        <v>26231</v>
      </c>
      <c r="S1353" t="s">
        <v>26232</v>
      </c>
      <c r="T1353" t="s">
        <v>26233</v>
      </c>
      <c r="U1353" t="s">
        <v>26234</v>
      </c>
      <c r="V1353">
        <f>-600.264990730867 -56.1879070607754 -92.4551798457522</f>
        <v>-748.90807763739463</v>
      </c>
      <c r="W1353" t="s">
        <v>26235</v>
      </c>
      <c r="X1353" t="s">
        <v>26236</v>
      </c>
      <c r="Y1353" t="s">
        <v>26237</v>
      </c>
    </row>
    <row r="1354" spans="1:25" x14ac:dyDescent="0.3">
      <c r="A1354">
        <v>67650</v>
      </c>
      <c r="B1354" t="s">
        <v>26238</v>
      </c>
      <c r="C1354" t="s">
        <v>26239</v>
      </c>
      <c r="D1354" t="s">
        <v>26240</v>
      </c>
      <c r="E1354" t="s">
        <v>26241</v>
      </c>
      <c r="F1354" t="s">
        <v>26242</v>
      </c>
      <c r="G1354" t="s">
        <v>26243</v>
      </c>
      <c r="H1354" t="s">
        <v>26244</v>
      </c>
      <c r="I1354" t="s">
        <v>26245</v>
      </c>
      <c r="J1354" t="s">
        <v>26246</v>
      </c>
      <c r="K1354" t="s">
        <v>26247</v>
      </c>
      <c r="L1354" t="s">
        <v>26248</v>
      </c>
      <c r="M1354" t="s">
        <v>26249</v>
      </c>
      <c r="N1354">
        <f>-672.83839292303 -14.8064191637106 -526.58994078458</f>
        <v>-1214.2347528713208</v>
      </c>
      <c r="O1354">
        <f>-683.431344673306 -166.77721072385 -492.966694775794</f>
        <v>-1343.17525017295</v>
      </c>
      <c r="P1354">
        <f>-711.892602879033 -169.747804996689 -212.325107813115</f>
        <v>-1093.9655156888371</v>
      </c>
      <c r="Q1354">
        <f>-486.724867190329 -143.550808108407 -262.938623847882</f>
        <v>-893.21429914661803</v>
      </c>
      <c r="R1354" t="s">
        <v>26250</v>
      </c>
      <c r="S1354" t="s">
        <v>26251</v>
      </c>
      <c r="T1354" t="s">
        <v>26252</v>
      </c>
      <c r="U1354" t="s">
        <v>26253</v>
      </c>
      <c r="V1354">
        <f>-600.317616428695 -56.4052078874117 -92.4747938548981</f>
        <v>-749.19761817100482</v>
      </c>
      <c r="W1354" t="s">
        <v>26254</v>
      </c>
      <c r="X1354" t="s">
        <v>26255</v>
      </c>
      <c r="Y1354" t="s">
        <v>26256</v>
      </c>
    </row>
    <row r="1355" spans="1:25" x14ac:dyDescent="0.3">
      <c r="A1355">
        <v>67700</v>
      </c>
      <c r="B1355" t="s">
        <v>26257</v>
      </c>
      <c r="C1355" t="s">
        <v>26258</v>
      </c>
      <c r="D1355" t="s">
        <v>26259</v>
      </c>
      <c r="E1355" t="s">
        <v>26260</v>
      </c>
      <c r="F1355" t="s">
        <v>26261</v>
      </c>
      <c r="G1355" t="s">
        <v>26262</v>
      </c>
      <c r="H1355" t="s">
        <v>26263</v>
      </c>
      <c r="I1355" t="s">
        <v>26264</v>
      </c>
      <c r="J1355" t="s">
        <v>26265</v>
      </c>
      <c r="K1355" t="s">
        <v>26266</v>
      </c>
      <c r="L1355" t="s">
        <v>26267</v>
      </c>
      <c r="M1355" t="s">
        <v>26268</v>
      </c>
      <c r="N1355">
        <f>-672.535821054802 -14.4478282980319 -526.740367772692</f>
        <v>-1213.724017125526</v>
      </c>
      <c r="O1355">
        <f>-683.232924880975 -166.453850157474 -493.333403737211</f>
        <v>-1343.02017877566</v>
      </c>
      <c r="P1355">
        <f>-711.517509585092 -169.807194039111 -212.678261023886</f>
        <v>-1094.0029646480889</v>
      </c>
      <c r="Q1355">
        <f>-486.369965173421 -143.624033171128 -263.388723047102</f>
        <v>-893.3827213916511</v>
      </c>
      <c r="R1355" t="s">
        <v>26269</v>
      </c>
      <c r="S1355" t="s">
        <v>26270</v>
      </c>
      <c r="T1355" t="s">
        <v>26271</v>
      </c>
      <c r="U1355" t="s">
        <v>26272</v>
      </c>
      <c r="V1355">
        <f>-600.299795731105 -56.4971702666551 -92.4963248793628</f>
        <v>-749.29329087712279</v>
      </c>
      <c r="W1355" t="s">
        <v>26273</v>
      </c>
      <c r="X1355" t="s">
        <v>26274</v>
      </c>
      <c r="Y1355" t="s">
        <v>26275</v>
      </c>
    </row>
    <row r="1356" spans="1:25" x14ac:dyDescent="0.3">
      <c r="A1356">
        <v>67750</v>
      </c>
      <c r="B1356" t="s">
        <v>26276</v>
      </c>
      <c r="C1356" t="s">
        <v>26277</v>
      </c>
      <c r="D1356" t="s">
        <v>26278</v>
      </c>
      <c r="E1356" t="s">
        <v>26279</v>
      </c>
      <c r="F1356" t="s">
        <v>26280</v>
      </c>
      <c r="G1356" t="s">
        <v>26281</v>
      </c>
      <c r="H1356" t="s">
        <v>26282</v>
      </c>
      <c r="I1356" t="s">
        <v>26283</v>
      </c>
      <c r="J1356" t="s">
        <v>26284</v>
      </c>
      <c r="K1356" t="s">
        <v>26285</v>
      </c>
      <c r="L1356" t="s">
        <v>26286</v>
      </c>
      <c r="M1356" t="s">
        <v>26287</v>
      </c>
      <c r="N1356">
        <f>-672.435417770151 -14.2320727467368 -526.781032463516</f>
        <v>-1213.4485229804038</v>
      </c>
      <c r="O1356">
        <f>-683.117819330386 -166.260393756353 -493.454921717416</f>
        <v>-1342.8331348041552</v>
      </c>
      <c r="P1356">
        <f>-711.451703560221 -169.730960176128 -212.806191000153</f>
        <v>-1093.9888547365019</v>
      </c>
      <c r="Q1356">
        <f>-486.346251647754 -143.516204065576 -263.686884958049</f>
        <v>-893.54934067137901</v>
      </c>
      <c r="R1356" t="s">
        <v>26288</v>
      </c>
      <c r="S1356" t="s">
        <v>26289</v>
      </c>
      <c r="T1356" t="s">
        <v>26290</v>
      </c>
      <c r="U1356" t="s">
        <v>26291</v>
      </c>
      <c r="V1356">
        <f>-600.238922190255 -56.3701963143124 -92.4958091514258</f>
        <v>-749.10492765599315</v>
      </c>
      <c r="W1356" t="s">
        <v>26292</v>
      </c>
      <c r="X1356" t="s">
        <v>26293</v>
      </c>
      <c r="Y1356" t="s">
        <v>26294</v>
      </c>
    </row>
    <row r="1357" spans="1:25" x14ac:dyDescent="0.3">
      <c r="A1357">
        <v>67800</v>
      </c>
      <c r="B1357" t="s">
        <v>26295</v>
      </c>
      <c r="C1357" t="s">
        <v>26296</v>
      </c>
      <c r="D1357" t="s">
        <v>26297</v>
      </c>
      <c r="E1357" t="s">
        <v>26298</v>
      </c>
      <c r="F1357" t="s">
        <v>26299</v>
      </c>
      <c r="G1357" t="s">
        <v>26300</v>
      </c>
      <c r="H1357" t="s">
        <v>26301</v>
      </c>
      <c r="I1357" t="s">
        <v>26302</v>
      </c>
      <c r="J1357" t="s">
        <v>26303</v>
      </c>
      <c r="K1357" t="s">
        <v>26304</v>
      </c>
      <c r="L1357" t="s">
        <v>26305</v>
      </c>
      <c r="M1357" t="s">
        <v>26306</v>
      </c>
      <c r="N1357">
        <f>-672.377502816253 -13.8271543066828 -526.817988245164</f>
        <v>-1213.0226453680998</v>
      </c>
      <c r="O1357">
        <f>-682.951043762107 -165.87821864195 -493.581263860965</f>
        <v>-1342.4105262650221</v>
      </c>
      <c r="P1357">
        <f>-711.053480364178 -169.554783325496 -212.912010661689</f>
        <v>-1093.520274351363</v>
      </c>
      <c r="Q1357">
        <f>-486.073822532251 -143.273185368787 -264.311898730565</f>
        <v>-893.65890663160303</v>
      </c>
      <c r="R1357" t="s">
        <v>26307</v>
      </c>
      <c r="S1357" t="s">
        <v>26308</v>
      </c>
      <c r="T1357" t="s">
        <v>26309</v>
      </c>
      <c r="U1357" t="s">
        <v>26310</v>
      </c>
      <c r="V1357">
        <f>-600.062783996858 -56.0317249682557 -92.4809643007354</f>
        <v>-748.57547326584915</v>
      </c>
      <c r="W1357" t="s">
        <v>26311</v>
      </c>
      <c r="X1357" t="s">
        <v>26312</v>
      </c>
      <c r="Y1357" t="s">
        <v>26313</v>
      </c>
    </row>
    <row r="1358" spans="1:25" x14ac:dyDescent="0.3">
      <c r="A1358">
        <v>67850</v>
      </c>
      <c r="B1358" t="s">
        <v>26314</v>
      </c>
      <c r="C1358" t="s">
        <v>26315</v>
      </c>
      <c r="D1358" t="s">
        <v>26316</v>
      </c>
      <c r="E1358" t="s">
        <v>26317</v>
      </c>
      <c r="F1358" t="s">
        <v>26318</v>
      </c>
      <c r="G1358" t="s">
        <v>26319</v>
      </c>
      <c r="H1358" t="s">
        <v>26320</v>
      </c>
      <c r="I1358" t="s">
        <v>26321</v>
      </c>
      <c r="J1358" t="s">
        <v>26322</v>
      </c>
      <c r="K1358" t="s">
        <v>26323</v>
      </c>
      <c r="L1358" t="s">
        <v>26324</v>
      </c>
      <c r="M1358" t="s">
        <v>26325</v>
      </c>
      <c r="N1358">
        <f>-672.457113268509 -13.6642915234738 -526.801588211524</f>
        <v>-1212.9229930035067</v>
      </c>
      <c r="O1358">
        <f>-682.947039070924 -165.730809711694 -493.596487400803</f>
        <v>-1342.2743361834209</v>
      </c>
      <c r="P1358">
        <f>-710.797069605748 -169.552349695195 -212.903924336924</f>
        <v>-1093.2533436378671</v>
      </c>
      <c r="Q1358">
        <f>-485.895500827651 -143.081597765184 -264.54786450341</f>
        <v>-893.52496309624496</v>
      </c>
      <c r="R1358" t="s">
        <v>26326</v>
      </c>
      <c r="S1358" t="s">
        <v>26327</v>
      </c>
      <c r="T1358" t="s">
        <v>26328</v>
      </c>
      <c r="U1358" t="s">
        <v>26329</v>
      </c>
      <c r="V1358">
        <f>-599.989277170687 -55.8499626366904 -92.4639003424098</f>
        <v>-748.30314014978728</v>
      </c>
      <c r="W1358" t="s">
        <v>26330</v>
      </c>
      <c r="X1358" t="s">
        <v>26331</v>
      </c>
      <c r="Y1358" t="s">
        <v>26332</v>
      </c>
    </row>
    <row r="1359" spans="1:25" x14ac:dyDescent="0.3">
      <c r="A1359">
        <v>67900</v>
      </c>
      <c r="B1359" t="s">
        <v>26333</v>
      </c>
      <c r="C1359" t="s">
        <v>26334</v>
      </c>
      <c r="D1359" t="s">
        <v>26335</v>
      </c>
      <c r="E1359" t="s">
        <v>26336</v>
      </c>
      <c r="F1359" t="s">
        <v>26337</v>
      </c>
      <c r="G1359" t="s">
        <v>26338</v>
      </c>
      <c r="H1359" t="s">
        <v>26339</v>
      </c>
      <c r="I1359" t="s">
        <v>26340</v>
      </c>
      <c r="J1359" t="s">
        <v>26341</v>
      </c>
      <c r="K1359" t="s">
        <v>26342</v>
      </c>
      <c r="L1359" t="s">
        <v>26343</v>
      </c>
      <c r="M1359" t="s">
        <v>26344</v>
      </c>
      <c r="N1359">
        <f>-672.785717047465 -13.2934020403814 -526.735015103074</f>
        <v>-1212.8141341909204</v>
      </c>
      <c r="O1359">
        <f>-683.04056493586 -165.392559854306 -493.605630959716</f>
        <v>-1342.0387557498821</v>
      </c>
      <c r="P1359">
        <f>-710.286473970506 -169.356607141721 -212.855679248727</f>
        <v>-1092.4987603609541</v>
      </c>
      <c r="Q1359">
        <f>-485.442857605647 -142.359843871198 -264.479890221402</f>
        <v>-892.28259169824696</v>
      </c>
      <c r="R1359" t="s">
        <v>26345</v>
      </c>
      <c r="S1359" t="s">
        <v>26346</v>
      </c>
      <c r="T1359" t="s">
        <v>26347</v>
      </c>
      <c r="U1359" t="s">
        <v>26348</v>
      </c>
      <c r="V1359">
        <f>-599.953442706205 -55.4725980007013 -92.429463214439</f>
        <v>-747.8555039213453</v>
      </c>
      <c r="W1359" t="s">
        <v>26349</v>
      </c>
      <c r="X1359" t="s">
        <v>26350</v>
      </c>
      <c r="Y1359" t="s">
        <v>26351</v>
      </c>
    </row>
    <row r="1360" spans="1:25" x14ac:dyDescent="0.3">
      <c r="A1360">
        <v>67950</v>
      </c>
      <c r="B1360" t="s">
        <v>26352</v>
      </c>
      <c r="C1360" t="s">
        <v>26353</v>
      </c>
      <c r="D1360" t="s">
        <v>26354</v>
      </c>
      <c r="E1360" t="s">
        <v>26355</v>
      </c>
      <c r="F1360" t="s">
        <v>26356</v>
      </c>
      <c r="G1360" t="s">
        <v>26357</v>
      </c>
      <c r="H1360" t="s">
        <v>26358</v>
      </c>
      <c r="I1360" t="s">
        <v>26359</v>
      </c>
      <c r="J1360" t="s">
        <v>26360</v>
      </c>
      <c r="K1360" t="s">
        <v>26361</v>
      </c>
      <c r="L1360" t="s">
        <v>26362</v>
      </c>
      <c r="M1360" t="s">
        <v>26363</v>
      </c>
      <c r="N1360">
        <f>-672.989368342308 -13.0796737275984 -526.681800514946</f>
        <v>-1212.7508425848523</v>
      </c>
      <c r="O1360">
        <f>-683.100546065092 -165.195225223544 -493.570231922376</f>
        <v>-1341.866003211012</v>
      </c>
      <c r="P1360">
        <f>-710.023597232591 -169.196162155864 -212.789608238216</f>
        <v>-1092.0093676266711</v>
      </c>
      <c r="Q1360">
        <f>-485.176416878184 -141.845000117156 -264.211099814887</f>
        <v>-891.23251681022703</v>
      </c>
      <c r="R1360" t="s">
        <v>26364</v>
      </c>
      <c r="S1360" t="s">
        <v>26365</v>
      </c>
      <c r="T1360" t="s">
        <v>26366</v>
      </c>
      <c r="U1360" t="s">
        <v>26367</v>
      </c>
      <c r="V1360">
        <f>-599.962303783257 -55.2609402495079 -92.4090291190257</f>
        <v>-747.63227315179063</v>
      </c>
      <c r="W1360" t="s">
        <v>26368</v>
      </c>
      <c r="X1360" t="s">
        <v>26369</v>
      </c>
      <c r="Y1360" t="s">
        <v>26370</v>
      </c>
    </row>
    <row r="1361" spans="1:25" x14ac:dyDescent="0.3">
      <c r="A1361">
        <v>68000</v>
      </c>
      <c r="B1361" t="s">
        <v>26371</v>
      </c>
      <c r="C1361" t="s">
        <v>26372</v>
      </c>
      <c r="D1361" t="s">
        <v>26373</v>
      </c>
      <c r="E1361" t="s">
        <v>26374</v>
      </c>
      <c r="F1361" t="s">
        <v>26375</v>
      </c>
      <c r="G1361" t="s">
        <v>26376</v>
      </c>
      <c r="H1361" t="s">
        <v>26377</v>
      </c>
      <c r="I1361" t="s">
        <v>26378</v>
      </c>
      <c r="J1361" t="s">
        <v>26379</v>
      </c>
      <c r="K1361" t="s">
        <v>26380</v>
      </c>
      <c r="L1361" t="s">
        <v>26381</v>
      </c>
      <c r="M1361" t="s">
        <v>26382</v>
      </c>
      <c r="N1361">
        <f>-673.335479927122 -12.5720153930297 -526.584232469795</f>
        <v>-1212.4917277899467</v>
      </c>
      <c r="O1361">
        <f>-683.305667532085 -164.696360612161 -493.466745986266</f>
        <v>-1341.468774130512</v>
      </c>
      <c r="P1361">
        <f>-709.919315022753 -168.679950786975 -212.65642641754</f>
        <v>-1091.2556922272681</v>
      </c>
      <c r="Q1361">
        <f>-485.022793244477 -140.896170596611 -263.628358488176</f>
        <v>-889.54732232926403</v>
      </c>
      <c r="R1361" t="s">
        <v>26383</v>
      </c>
      <c r="S1361" t="s">
        <v>26384</v>
      </c>
      <c r="T1361" t="s">
        <v>26385</v>
      </c>
      <c r="U1361" t="s">
        <v>26386</v>
      </c>
      <c r="V1361">
        <f>-599.952698819455 -54.8103682217825 -92.3521871104118</f>
        <v>-747.11525415164931</v>
      </c>
      <c r="W1361" t="s">
        <v>26387</v>
      </c>
      <c r="X1361" t="s">
        <v>26388</v>
      </c>
      <c r="Y1361" t="s">
        <v>26389</v>
      </c>
    </row>
    <row r="1362" spans="1:25" x14ac:dyDescent="0.3">
      <c r="A1362">
        <v>68050</v>
      </c>
      <c r="B1362" t="s">
        <v>26390</v>
      </c>
      <c r="C1362" t="s">
        <v>26391</v>
      </c>
      <c r="D1362" t="s">
        <v>26392</v>
      </c>
      <c r="E1362" t="s">
        <v>26393</v>
      </c>
      <c r="F1362" t="s">
        <v>26394</v>
      </c>
      <c r="G1362" t="s">
        <v>26395</v>
      </c>
      <c r="H1362" t="s">
        <v>26396</v>
      </c>
      <c r="I1362" t="s">
        <v>26397</v>
      </c>
      <c r="J1362" t="s">
        <v>26398</v>
      </c>
      <c r="K1362" t="s">
        <v>26399</v>
      </c>
      <c r="L1362" t="s">
        <v>26400</v>
      </c>
      <c r="M1362" t="s">
        <v>26401</v>
      </c>
      <c r="N1362">
        <f>-673.411129943983 -12.3043212233338 -526.548048655664</f>
        <v>-1212.263499822981</v>
      </c>
      <c r="O1362">
        <f>-683.384829307264 -164.424212681413 -493.434824529291</f>
        <v>-1341.2438665179679</v>
      </c>
      <c r="P1362">
        <f>-709.980872732929 -168.507859452711 -212.624265843105</f>
        <v>-1091.1129980287449</v>
      </c>
      <c r="Q1362">
        <f>-485.067922874122 -140.564964249215 -263.436444822338</f>
        <v>-889.069331945675</v>
      </c>
      <c r="R1362" t="s">
        <v>26402</v>
      </c>
      <c r="S1362" t="s">
        <v>26403</v>
      </c>
      <c r="T1362" t="s">
        <v>26404</v>
      </c>
      <c r="U1362" t="s">
        <v>26405</v>
      </c>
      <c r="V1362">
        <f>-599.945284730487 -54.5391938521825 -92.3204568952066</f>
        <v>-746.80493547787603</v>
      </c>
      <c r="W1362" t="s">
        <v>26406</v>
      </c>
      <c r="X1362" t="s">
        <v>26407</v>
      </c>
      <c r="Y1362" t="s">
        <v>26408</v>
      </c>
    </row>
    <row r="1363" spans="1:25" x14ac:dyDescent="0.3">
      <c r="A1363">
        <v>68100</v>
      </c>
      <c r="B1363" t="s">
        <v>26409</v>
      </c>
      <c r="C1363" t="s">
        <v>26410</v>
      </c>
      <c r="D1363" t="s">
        <v>26411</v>
      </c>
      <c r="E1363" t="s">
        <v>26412</v>
      </c>
      <c r="F1363" t="s">
        <v>26413</v>
      </c>
      <c r="G1363" t="s">
        <v>26414</v>
      </c>
      <c r="H1363" t="s">
        <v>26415</v>
      </c>
      <c r="I1363" t="s">
        <v>26416</v>
      </c>
      <c r="J1363" t="s">
        <v>26417</v>
      </c>
      <c r="K1363" t="s">
        <v>26418</v>
      </c>
      <c r="L1363" t="s">
        <v>26419</v>
      </c>
      <c r="M1363" t="s">
        <v>26420</v>
      </c>
      <c r="N1363">
        <f>-673.551111651672 -11.75964439624 -526.482412328173</f>
        <v>-1211.7931683760851</v>
      </c>
      <c r="O1363">
        <f>-683.578769130636 -163.882220519159 -493.369558674978</f>
        <v>-1340.830548324773</v>
      </c>
      <c r="P1363">
        <f>-710.218298542182 -167.916223766212 -212.562357823374</f>
        <v>-1090.696880131768</v>
      </c>
      <c r="Q1363">
        <f>-485.208818827783 -140.039114014582 -262.981903045941</f>
        <v>-888.22983588830607</v>
      </c>
      <c r="R1363" t="s">
        <v>26421</v>
      </c>
      <c r="S1363" t="s">
        <v>26422</v>
      </c>
      <c r="T1363" t="s">
        <v>26423</v>
      </c>
      <c r="U1363" t="s">
        <v>26424</v>
      </c>
      <c r="V1363">
        <f>-599.953581881697 -54.0404546569996 -92.2718015315519</f>
        <v>-746.26583807024849</v>
      </c>
      <c r="W1363" t="s">
        <v>26425</v>
      </c>
      <c r="X1363" t="s">
        <v>26426</v>
      </c>
      <c r="Y1363" t="s">
        <v>26427</v>
      </c>
    </row>
    <row r="1364" spans="1:25" x14ac:dyDescent="0.3">
      <c r="A1364">
        <v>68150</v>
      </c>
      <c r="B1364" t="s">
        <v>26428</v>
      </c>
      <c r="C1364" t="s">
        <v>26429</v>
      </c>
      <c r="D1364" t="s">
        <v>26430</v>
      </c>
      <c r="E1364" t="s">
        <v>26431</v>
      </c>
      <c r="F1364" t="s">
        <v>26432</v>
      </c>
      <c r="G1364" t="s">
        <v>26433</v>
      </c>
      <c r="H1364" t="s">
        <v>26434</v>
      </c>
      <c r="I1364" t="s">
        <v>26435</v>
      </c>
      <c r="J1364" t="s">
        <v>26436</v>
      </c>
      <c r="K1364" t="s">
        <v>26437</v>
      </c>
      <c r="L1364" t="s">
        <v>26438</v>
      </c>
      <c r="M1364" t="s">
        <v>26439</v>
      </c>
      <c r="N1364">
        <f>-673.684987076367 -11.4006682412471 -526.43188281068</f>
        <v>-1211.5175381282941</v>
      </c>
      <c r="O1364">
        <f>-683.781945370591 -163.5189273955 -493.325143501987</f>
        <v>-1340.6260162680778</v>
      </c>
      <c r="P1364">
        <f>-710.375082664321 -167.421360509387 -212.511779318721</f>
        <v>-1090.308222492429</v>
      </c>
      <c r="Q1364">
        <f>-485.316622463779 -139.819587893963 -262.864124244243</f>
        <v>-888.00033460198506</v>
      </c>
      <c r="R1364" t="s">
        <v>26440</v>
      </c>
      <c r="S1364" t="s">
        <v>26441</v>
      </c>
      <c r="T1364" t="s">
        <v>26442</v>
      </c>
      <c r="U1364" t="s">
        <v>26443</v>
      </c>
      <c r="V1364">
        <f>-599.975145236874 -53.7972423061881 -92.2500444587866</f>
        <v>-746.02243200184876</v>
      </c>
      <c r="W1364" t="s">
        <v>26444</v>
      </c>
      <c r="X1364" t="s">
        <v>26445</v>
      </c>
      <c r="Y1364" t="s">
        <v>26446</v>
      </c>
    </row>
    <row r="1365" spans="1:25" x14ac:dyDescent="0.3">
      <c r="A1365">
        <v>68200</v>
      </c>
      <c r="B1365" t="s">
        <v>26447</v>
      </c>
      <c r="C1365" t="s">
        <v>26448</v>
      </c>
      <c r="D1365" t="s">
        <v>26449</v>
      </c>
      <c r="E1365" t="s">
        <v>26450</v>
      </c>
      <c r="F1365" t="s">
        <v>26451</v>
      </c>
      <c r="G1365" t="s">
        <v>26452</v>
      </c>
      <c r="H1365" t="s">
        <v>26453</v>
      </c>
      <c r="I1365" t="s">
        <v>26454</v>
      </c>
      <c r="J1365" t="s">
        <v>26455</v>
      </c>
      <c r="K1365" t="s">
        <v>26456</v>
      </c>
      <c r="L1365" t="s">
        <v>26457</v>
      </c>
      <c r="M1365" t="s">
        <v>26458</v>
      </c>
      <c r="N1365">
        <f>-673.674091746074 -10.608473367462 -526.379882404108</f>
        <v>-1210.6624475176441</v>
      </c>
      <c r="O1365">
        <f>-683.921847957384 -162.729823481272 -493.334264935884</f>
        <v>-1339.98593637454</v>
      </c>
      <c r="P1365">
        <f>-710.446313341574 -166.75231585645 -212.516093067388</f>
        <v>-1089.7147222654119</v>
      </c>
      <c r="Q1365">
        <f>-485.395374320753 -139.312117426348 -262.990321758092</f>
        <v>-887.69781350519304</v>
      </c>
      <c r="R1365" t="s">
        <v>26459</v>
      </c>
      <c r="S1365" t="s">
        <v>26460</v>
      </c>
      <c r="T1365" t="s">
        <v>26461</v>
      </c>
      <c r="U1365" t="s">
        <v>26462</v>
      </c>
      <c r="V1365">
        <f>-599.990908514438 -53.3115698606377 -92.1973881495539</f>
        <v>-745.49986652462974</v>
      </c>
      <c r="W1365" t="s">
        <v>26463</v>
      </c>
      <c r="X1365" t="s">
        <v>26464</v>
      </c>
      <c r="Y1365" t="s">
        <v>26465</v>
      </c>
    </row>
    <row r="1366" spans="1:25" x14ac:dyDescent="0.3">
      <c r="A1366">
        <v>68250</v>
      </c>
      <c r="B1366" t="s">
        <v>26466</v>
      </c>
      <c r="C1366" t="s">
        <v>26467</v>
      </c>
      <c r="D1366" t="s">
        <v>26468</v>
      </c>
      <c r="E1366" t="s">
        <v>26469</v>
      </c>
      <c r="F1366" t="s">
        <v>26470</v>
      </c>
      <c r="G1366" t="s">
        <v>26471</v>
      </c>
      <c r="H1366" t="s">
        <v>26472</v>
      </c>
      <c r="I1366" t="s">
        <v>26473</v>
      </c>
      <c r="J1366" t="s">
        <v>26474</v>
      </c>
      <c r="K1366" t="s">
        <v>26475</v>
      </c>
      <c r="L1366" t="s">
        <v>26476</v>
      </c>
      <c r="M1366" t="s">
        <v>26477</v>
      </c>
      <c r="N1366">
        <f>-673.583381306794 -10.303091801356 -526.378899878992</f>
        <v>-1210.265372987142</v>
      </c>
      <c r="O1366">
        <f>-683.918178536113 -162.431845594726 -493.402269306722</f>
        <v>-1339.7522934375611</v>
      </c>
      <c r="P1366">
        <f>-710.433889406343 -166.582133346986 -212.585071191582</f>
        <v>-1089.6010939449111</v>
      </c>
      <c r="Q1366">
        <f>-485.408872363344 -139.152644812248 -263.180924716718</f>
        <v>-887.74244189231001</v>
      </c>
      <c r="R1366" t="s">
        <v>26478</v>
      </c>
      <c r="S1366" t="s">
        <v>26479</v>
      </c>
      <c r="T1366" t="s">
        <v>26480</v>
      </c>
      <c r="U1366" t="s">
        <v>26481</v>
      </c>
      <c r="V1366">
        <f>-600.004130721699 -53.1053074216284 -92.1750205083314</f>
        <v>-745.28445865165872</v>
      </c>
      <c r="W1366" t="s">
        <v>26482</v>
      </c>
      <c r="X1366" t="s">
        <v>26483</v>
      </c>
      <c r="Y1366" t="s">
        <v>26484</v>
      </c>
    </row>
    <row r="1367" spans="1:25" x14ac:dyDescent="0.3">
      <c r="A1367">
        <v>68300</v>
      </c>
      <c r="B1367" t="s">
        <v>26485</v>
      </c>
      <c r="C1367" t="s">
        <v>26486</v>
      </c>
      <c r="D1367" t="s">
        <v>26487</v>
      </c>
      <c r="E1367" t="s">
        <v>26488</v>
      </c>
      <c r="F1367" t="s">
        <v>26489</v>
      </c>
      <c r="G1367" t="s">
        <v>26490</v>
      </c>
      <c r="H1367" t="s">
        <v>26491</v>
      </c>
      <c r="I1367" t="s">
        <v>26492</v>
      </c>
      <c r="J1367" t="s">
        <v>26493</v>
      </c>
      <c r="K1367" t="s">
        <v>26494</v>
      </c>
      <c r="L1367" t="s">
        <v>26495</v>
      </c>
      <c r="M1367" t="s">
        <v>26496</v>
      </c>
      <c r="N1367">
        <f>-673.489636399825 -9.87063991856053 -526.345326372784</f>
        <v>-1209.7056026911696</v>
      </c>
      <c r="O1367">
        <f>-684.027073544389 -161.988110859567 -493.386693274372</f>
        <v>-1339.401877678328</v>
      </c>
      <c r="P1367">
        <f>-710.36635112636 -166.366240016757 -212.556291593358</f>
        <v>-1089.288882736475</v>
      </c>
      <c r="Q1367">
        <f>-485.366292558643 -139.064878422279 -263.331783428237</f>
        <v>-887.76295440915897</v>
      </c>
      <c r="R1367" t="s">
        <v>26497</v>
      </c>
      <c r="S1367" t="s">
        <v>26498</v>
      </c>
      <c r="T1367" t="s">
        <v>26499</v>
      </c>
      <c r="U1367" t="s">
        <v>26500</v>
      </c>
      <c r="V1367">
        <f>-599.942887657176 -52.8439301080232 -92.1440767750481</f>
        <v>-744.93089454024732</v>
      </c>
      <c r="W1367" t="s">
        <v>26501</v>
      </c>
      <c r="X1367" t="s">
        <v>26502</v>
      </c>
      <c r="Y1367" t="s">
        <v>26503</v>
      </c>
    </row>
    <row r="1368" spans="1:25" x14ac:dyDescent="0.3">
      <c r="A1368">
        <v>68350</v>
      </c>
      <c r="B1368" t="s">
        <v>26504</v>
      </c>
      <c r="C1368" t="s">
        <v>26505</v>
      </c>
      <c r="D1368" t="s">
        <v>26506</v>
      </c>
      <c r="E1368" t="s">
        <v>26507</v>
      </c>
      <c r="F1368" t="s">
        <v>26508</v>
      </c>
      <c r="G1368" t="s">
        <v>26509</v>
      </c>
      <c r="H1368" t="s">
        <v>26510</v>
      </c>
      <c r="I1368" t="s">
        <v>26511</v>
      </c>
      <c r="J1368" t="s">
        <v>26512</v>
      </c>
      <c r="K1368" t="s">
        <v>26513</v>
      </c>
      <c r="L1368" t="s">
        <v>26514</v>
      </c>
      <c r="M1368" t="s">
        <v>26515</v>
      </c>
      <c r="N1368">
        <f>-673.430229916305 -9.71296250244677 -526.338544595431</f>
        <v>-1209.4817370141827</v>
      </c>
      <c r="O1368">
        <f>-684.074287376735 -161.822339044736 -493.374306441433</f>
        <v>-1339.2709328629039</v>
      </c>
      <c r="P1368">
        <f>-710.271904004676 -166.107668049636 -212.529371955221</f>
        <v>-1088.9089440095331</v>
      </c>
      <c r="Q1368">
        <f>-485.222731642026 -139.154863957772 -263.273145934052</f>
        <v>-887.65074153385012</v>
      </c>
      <c r="R1368" t="s">
        <v>26516</v>
      </c>
      <c r="S1368" t="s">
        <v>26517</v>
      </c>
      <c r="T1368" t="s">
        <v>26518</v>
      </c>
      <c r="U1368" t="s">
        <v>26519</v>
      </c>
      <c r="V1368">
        <f>-599.900804174155 -52.7459385535901 -92.1403642343034</f>
        <v>-744.7871069620486</v>
      </c>
      <c r="W1368" t="s">
        <v>26520</v>
      </c>
      <c r="X1368" t="s">
        <v>26521</v>
      </c>
      <c r="Y1368" t="s">
        <v>26522</v>
      </c>
    </row>
    <row r="1369" spans="1:25" x14ac:dyDescent="0.3">
      <c r="A1369">
        <v>68400</v>
      </c>
      <c r="B1369" t="s">
        <v>26523</v>
      </c>
      <c r="C1369" t="s">
        <v>26524</v>
      </c>
      <c r="D1369" t="s">
        <v>26525</v>
      </c>
      <c r="E1369" t="s">
        <v>26526</v>
      </c>
      <c r="F1369" t="s">
        <v>26527</v>
      </c>
      <c r="G1369" t="s">
        <v>26528</v>
      </c>
      <c r="H1369" t="s">
        <v>26529</v>
      </c>
      <c r="I1369" t="s">
        <v>26530</v>
      </c>
      <c r="J1369" t="s">
        <v>26531</v>
      </c>
      <c r="K1369" t="s">
        <v>26532</v>
      </c>
      <c r="L1369" t="s">
        <v>26533</v>
      </c>
      <c r="M1369" t="s">
        <v>26534</v>
      </c>
      <c r="N1369">
        <f>-673.313488640497 -9.50656527052683 -526.330190530724</f>
        <v>-1209.1502444417479</v>
      </c>
      <c r="O1369">
        <f>-684.134568912885 -161.610608922972 -493.392641499266</f>
        <v>-1339.1378193351229</v>
      </c>
      <c r="P1369">
        <f>-710.301029747669 -165.767809841728 -212.542759975883</f>
        <v>-1088.6115995652799</v>
      </c>
      <c r="Q1369">
        <f>-485.131401813554 -139.399903987261 -263.059104033247</f>
        <v>-887.59040983406203</v>
      </c>
      <c r="R1369" t="s">
        <v>26535</v>
      </c>
      <c r="S1369" t="s">
        <v>26536</v>
      </c>
      <c r="T1369" t="s">
        <v>26537</v>
      </c>
      <c r="U1369" t="s">
        <v>26538</v>
      </c>
      <c r="V1369">
        <f>-599.748861244075 -52.7331442943489 -92.1421371263224</f>
        <v>-744.62414266474627</v>
      </c>
      <c r="W1369" t="s">
        <v>26539</v>
      </c>
      <c r="X1369" t="s">
        <v>26540</v>
      </c>
      <c r="Y1369" t="s">
        <v>26541</v>
      </c>
    </row>
    <row r="1370" spans="1:25" x14ac:dyDescent="0.3">
      <c r="A1370">
        <v>68450</v>
      </c>
      <c r="B1370" t="s">
        <v>26542</v>
      </c>
      <c r="C1370" t="s">
        <v>26543</v>
      </c>
      <c r="D1370" t="s">
        <v>26544</v>
      </c>
      <c r="E1370" t="s">
        <v>26545</v>
      </c>
      <c r="F1370" t="s">
        <v>26546</v>
      </c>
      <c r="G1370" t="s">
        <v>26547</v>
      </c>
      <c r="H1370" t="s">
        <v>26548</v>
      </c>
      <c r="I1370" t="s">
        <v>26549</v>
      </c>
      <c r="J1370" t="s">
        <v>26550</v>
      </c>
      <c r="K1370" t="s">
        <v>26551</v>
      </c>
      <c r="L1370" t="s">
        <v>26552</v>
      </c>
      <c r="M1370" t="s">
        <v>26553</v>
      </c>
      <c r="N1370">
        <f>-673.135777311182 -9.45191050628728 -526.334069013437</f>
        <v>-1208.9217568309064</v>
      </c>
      <c r="O1370">
        <f>-684.044873271188 -161.560410599546 -493.440253269262</f>
        <v>-1339.045537139996</v>
      </c>
      <c r="P1370">
        <f>-710.347852995898 -165.830141182281 -212.604969130125</f>
        <v>-1088.782963308304</v>
      </c>
      <c r="Q1370">
        <f>-485.107768945436 -139.612210214795 -262.884670787769</f>
        <v>-887.60464994799997</v>
      </c>
      <c r="R1370" t="s">
        <v>26554</v>
      </c>
      <c r="S1370" t="s">
        <v>26555</v>
      </c>
      <c r="T1370" t="s">
        <v>26556</v>
      </c>
      <c r="U1370" t="s">
        <v>26557</v>
      </c>
      <c r="V1370">
        <f>-599.640966763172 -52.7703501152816 -92.1354688202774</f>
        <v>-744.54678569873101</v>
      </c>
      <c r="W1370" t="s">
        <v>26558</v>
      </c>
      <c r="X1370" t="s">
        <v>26559</v>
      </c>
      <c r="Y1370" t="s">
        <v>26560</v>
      </c>
    </row>
    <row r="1371" spans="1:25" x14ac:dyDescent="0.3">
      <c r="A1371">
        <v>68500</v>
      </c>
      <c r="B1371" t="s">
        <v>26561</v>
      </c>
      <c r="C1371" t="s">
        <v>26562</v>
      </c>
      <c r="D1371" t="s">
        <v>26563</v>
      </c>
      <c r="E1371" t="s">
        <v>26564</v>
      </c>
      <c r="F1371" t="s">
        <v>26565</v>
      </c>
      <c r="G1371" t="s">
        <v>26566</v>
      </c>
      <c r="H1371" t="s">
        <v>26567</v>
      </c>
      <c r="I1371" t="s">
        <v>26568</v>
      </c>
      <c r="J1371" t="s">
        <v>26569</v>
      </c>
      <c r="K1371" t="s">
        <v>26570</v>
      </c>
      <c r="L1371" t="s">
        <v>26571</v>
      </c>
      <c r="M1371" t="s">
        <v>26572</v>
      </c>
      <c r="N1371">
        <f>-672.667195314216 -9.27782865053155 -526.379128383191</f>
        <v>-1208.3241523479385</v>
      </c>
      <c r="O1371">
        <f>-683.741274313485 -161.400576785812 -493.610544642576</f>
        <v>-1338.752395741873</v>
      </c>
      <c r="P1371">
        <f>-710.40517495164 -165.98909328442 -212.814124627339</f>
        <v>-1089.208392863399</v>
      </c>
      <c r="Q1371">
        <f>-485.044858574306 -139.986718671779 -262.66525341929</f>
        <v>-887.69683066537493</v>
      </c>
      <c r="R1371" t="s">
        <v>26573</v>
      </c>
      <c r="S1371" t="s">
        <v>26574</v>
      </c>
      <c r="T1371" t="s">
        <v>26575</v>
      </c>
      <c r="U1371" t="s">
        <v>26576</v>
      </c>
      <c r="V1371">
        <f>-599.398765449442 -52.8626382452896 -92.1154711189091</f>
        <v>-744.37687481364071</v>
      </c>
      <c r="W1371" t="s">
        <v>26577</v>
      </c>
      <c r="X1371" t="s">
        <v>26578</v>
      </c>
      <c r="Y1371" t="s">
        <v>26579</v>
      </c>
    </row>
    <row r="1372" spans="1:25" x14ac:dyDescent="0.3">
      <c r="A1372">
        <v>68550</v>
      </c>
      <c r="B1372" t="s">
        <v>26580</v>
      </c>
      <c r="C1372" t="s">
        <v>26581</v>
      </c>
      <c r="D1372" t="s">
        <v>26582</v>
      </c>
      <c r="E1372" t="s">
        <v>26583</v>
      </c>
      <c r="F1372" t="s">
        <v>26584</v>
      </c>
      <c r="G1372" t="s">
        <v>26585</v>
      </c>
      <c r="H1372" t="s">
        <v>26586</v>
      </c>
      <c r="I1372" t="s">
        <v>26587</v>
      </c>
      <c r="J1372" t="s">
        <v>26588</v>
      </c>
      <c r="K1372" t="s">
        <v>26589</v>
      </c>
      <c r="L1372" t="s">
        <v>26590</v>
      </c>
      <c r="M1372" t="s">
        <v>26591</v>
      </c>
      <c r="N1372">
        <f>-672.377247068528 -9.22811258326556 -526.404035680775</f>
        <v>-1208.0093953325686</v>
      </c>
      <c r="O1372">
        <f>-683.52599008581 -161.353810860297 -493.687385952953</f>
        <v>-1338.5671868990601</v>
      </c>
      <c r="P1372">
        <f>-710.33354999459 -166.027559224518 -212.906224581145</f>
        <v>-1089.267333800253</v>
      </c>
      <c r="Q1372">
        <f>-484.938646652192 -140.142612077597 -262.66198231505</f>
        <v>-887.7432410448389</v>
      </c>
      <c r="R1372" t="s">
        <v>26592</v>
      </c>
      <c r="S1372" t="s">
        <v>26593</v>
      </c>
      <c r="T1372" t="s">
        <v>26594</v>
      </c>
      <c r="U1372" t="s">
        <v>26595</v>
      </c>
      <c r="V1372">
        <f>-599.262610213824 -52.8983912640651 -92.1092148739646</f>
        <v>-744.27021635185372</v>
      </c>
      <c r="W1372" t="s">
        <v>26596</v>
      </c>
      <c r="X1372" t="s">
        <v>26597</v>
      </c>
      <c r="Y1372" t="s">
        <v>26598</v>
      </c>
    </row>
    <row r="1373" spans="1:25" x14ac:dyDescent="0.3">
      <c r="A1373">
        <v>68600</v>
      </c>
      <c r="B1373" t="s">
        <v>26599</v>
      </c>
      <c r="C1373" t="s">
        <v>26600</v>
      </c>
      <c r="D1373" t="s">
        <v>26601</v>
      </c>
      <c r="E1373" t="s">
        <v>26602</v>
      </c>
      <c r="F1373" t="s">
        <v>26603</v>
      </c>
      <c r="G1373" t="s">
        <v>26604</v>
      </c>
      <c r="H1373" t="s">
        <v>26605</v>
      </c>
      <c r="I1373" t="s">
        <v>26606</v>
      </c>
      <c r="J1373" t="s">
        <v>26607</v>
      </c>
      <c r="K1373" t="s">
        <v>26608</v>
      </c>
      <c r="L1373" t="s">
        <v>26609</v>
      </c>
      <c r="M1373" t="s">
        <v>26610</v>
      </c>
      <c r="N1373">
        <f>-671.871965856829 -9.15358952237898 -526.473971549135</f>
        <v>-1207.4995269283429</v>
      </c>
      <c r="O1373">
        <f>-683.000551006732 -161.307119876915 -493.88148280223</f>
        <v>-1338.189153685877</v>
      </c>
      <c r="P1373">
        <f>-709.979583824216 -166.272682687006 -213.121783175957</f>
        <v>-1089.374049687179</v>
      </c>
      <c r="Q1373">
        <f>-484.531623120851 -140.372591492832 -262.628682283497</f>
        <v>-887.53289689718008</v>
      </c>
      <c r="R1373" t="s">
        <v>26611</v>
      </c>
      <c r="S1373" t="s">
        <v>26612</v>
      </c>
      <c r="T1373" t="s">
        <v>26613</v>
      </c>
      <c r="U1373" t="s">
        <v>26614</v>
      </c>
      <c r="V1373">
        <f>-599.015202255754 -53.0388690785967 -92.1052058702702</f>
        <v>-744.15927720462093</v>
      </c>
      <c r="W1373" t="s">
        <v>26615</v>
      </c>
      <c r="X1373" t="s">
        <v>26616</v>
      </c>
      <c r="Y1373" t="s">
        <v>26617</v>
      </c>
    </row>
    <row r="1374" spans="1:25" x14ac:dyDescent="0.3">
      <c r="A1374">
        <v>68650</v>
      </c>
      <c r="B1374" t="s">
        <v>26618</v>
      </c>
      <c r="C1374" t="s">
        <v>26619</v>
      </c>
      <c r="D1374" t="s">
        <v>26620</v>
      </c>
      <c r="E1374" t="s">
        <v>26621</v>
      </c>
      <c r="F1374" t="s">
        <v>26622</v>
      </c>
      <c r="G1374" t="s">
        <v>26623</v>
      </c>
      <c r="H1374" t="s">
        <v>26624</v>
      </c>
      <c r="I1374" t="s">
        <v>26625</v>
      </c>
      <c r="J1374" t="s">
        <v>26626</v>
      </c>
      <c r="K1374" t="s">
        <v>26627</v>
      </c>
      <c r="L1374" t="s">
        <v>26628</v>
      </c>
      <c r="M1374" t="s">
        <v>26629</v>
      </c>
      <c r="N1374">
        <f>-671.779800883273 -9.13199995532273 -526.495679700972</f>
        <v>-1207.4074805395676</v>
      </c>
      <c r="O1374">
        <f>-682.81252450637 -161.306169400839 -493.965416790842</f>
        <v>-1338.0841106980511</v>
      </c>
      <c r="P1374">
        <f>-709.874292513292 -166.445597187154 -213.216786757248</f>
        <v>-1089.5366764576941</v>
      </c>
      <c r="Q1374">
        <f>-484.418635292578 -140.416220566044 -262.620691153127</f>
        <v>-887.45554701174888</v>
      </c>
      <c r="R1374" t="s">
        <v>26630</v>
      </c>
      <c r="S1374" t="s">
        <v>26631</v>
      </c>
      <c r="T1374" t="s">
        <v>26632</v>
      </c>
      <c r="U1374" t="s">
        <v>26633</v>
      </c>
      <c r="V1374">
        <f>-598.883998577104 -53.0651912583285 -92.1078038766789</f>
        <v>-744.05699371211131</v>
      </c>
      <c r="W1374" t="s">
        <v>26634</v>
      </c>
      <c r="X1374" t="s">
        <v>26635</v>
      </c>
      <c r="Y1374" t="s">
        <v>26636</v>
      </c>
    </row>
    <row r="1375" spans="1:25" x14ac:dyDescent="0.3">
      <c r="A1375">
        <v>68700</v>
      </c>
      <c r="B1375" t="s">
        <v>26637</v>
      </c>
      <c r="C1375" t="s">
        <v>26638</v>
      </c>
      <c r="D1375" t="s">
        <v>26639</v>
      </c>
      <c r="E1375" t="s">
        <v>26640</v>
      </c>
      <c r="F1375" t="s">
        <v>26641</v>
      </c>
      <c r="G1375" t="s">
        <v>26642</v>
      </c>
      <c r="H1375" t="s">
        <v>26643</v>
      </c>
      <c r="I1375" t="s">
        <v>26644</v>
      </c>
      <c r="J1375" t="s">
        <v>26645</v>
      </c>
      <c r="K1375" t="s">
        <v>26646</v>
      </c>
      <c r="L1375" t="s">
        <v>26647</v>
      </c>
      <c r="M1375" t="s">
        <v>26648</v>
      </c>
      <c r="N1375">
        <f>-671.711213612838 -9.11054400740272 -526.494201575421</f>
        <v>-1207.3159591956619</v>
      </c>
      <c r="O1375">
        <f>-682.488042741098 -161.328103203257 -494.080684426081</f>
        <v>-1337.896830370436</v>
      </c>
      <c r="P1375">
        <f>-709.581001551202 -166.855234422245 -213.342392790932</f>
        <v>-1089.7786287643789</v>
      </c>
      <c r="Q1375">
        <f>-484.147900202166 -140.373180933235 -262.608720667087</f>
        <v>-887.12980180248803</v>
      </c>
      <c r="R1375" t="s">
        <v>26649</v>
      </c>
      <c r="S1375" t="s">
        <v>26650</v>
      </c>
      <c r="T1375" t="s">
        <v>26651</v>
      </c>
      <c r="U1375" t="s">
        <v>26652</v>
      </c>
      <c r="V1375">
        <f>-598.4909291221 -53.045723336169 -92.094584282067</f>
        <v>-743.63123674033602</v>
      </c>
      <c r="W1375" t="s">
        <v>26653</v>
      </c>
      <c r="X1375" t="s">
        <v>26654</v>
      </c>
      <c r="Y1375" t="s">
        <v>26655</v>
      </c>
    </row>
    <row r="1376" spans="1:25" x14ac:dyDescent="0.3">
      <c r="A1376">
        <v>68750</v>
      </c>
      <c r="B1376" t="s">
        <v>26656</v>
      </c>
      <c r="C1376" t="s">
        <v>26657</v>
      </c>
      <c r="D1376" t="s">
        <v>26658</v>
      </c>
      <c r="E1376" t="s">
        <v>26659</v>
      </c>
      <c r="F1376" t="s">
        <v>26660</v>
      </c>
      <c r="G1376" t="s">
        <v>26661</v>
      </c>
      <c r="H1376" t="s">
        <v>26662</v>
      </c>
      <c r="I1376" t="s">
        <v>26663</v>
      </c>
      <c r="J1376" t="s">
        <v>26664</v>
      </c>
      <c r="K1376" t="s">
        <v>26665</v>
      </c>
      <c r="L1376" t="s">
        <v>26666</v>
      </c>
      <c r="M1376" t="s">
        <v>26667</v>
      </c>
      <c r="N1376">
        <f>-671.567845276017 -9.08770671456773 -526.499646547852</f>
        <v>-1207.1551985384367</v>
      </c>
      <c r="O1376">
        <f>-682.225398791169 -161.329494038846 -494.137112011581</f>
        <v>-1337.6920048415959</v>
      </c>
      <c r="P1376">
        <f>-709.281444133225 -167.035350261877 -213.398679500791</f>
        <v>-1089.715473895893</v>
      </c>
      <c r="Q1376">
        <f>-483.894852385898 -140.275599318892 -262.72758656818</f>
        <v>-886.8980382729701</v>
      </c>
      <c r="R1376" t="s">
        <v>26668</v>
      </c>
      <c r="S1376" t="s">
        <v>26669</v>
      </c>
      <c r="T1376" t="s">
        <v>26670</v>
      </c>
      <c r="U1376" t="s">
        <v>26671</v>
      </c>
      <c r="V1376">
        <f>-598.261631057142 -53.0116152355411 -92.0831471061545</f>
        <v>-743.35639339883755</v>
      </c>
      <c r="W1376" t="s">
        <v>26672</v>
      </c>
      <c r="X1376" t="s">
        <v>26673</v>
      </c>
      <c r="Y1376" t="s">
        <v>26674</v>
      </c>
    </row>
    <row r="1377" spans="1:25" x14ac:dyDescent="0.3">
      <c r="A1377">
        <v>68800</v>
      </c>
      <c r="B1377" t="s">
        <v>26675</v>
      </c>
      <c r="C1377" t="s">
        <v>26676</v>
      </c>
      <c r="D1377" t="s">
        <v>26677</v>
      </c>
      <c r="E1377" t="s">
        <v>26678</v>
      </c>
      <c r="F1377" t="s">
        <v>26679</v>
      </c>
      <c r="G1377" t="s">
        <v>26680</v>
      </c>
      <c r="H1377" t="s">
        <v>26681</v>
      </c>
      <c r="I1377" t="s">
        <v>26682</v>
      </c>
      <c r="J1377" t="s">
        <v>26683</v>
      </c>
      <c r="K1377" t="s">
        <v>26684</v>
      </c>
      <c r="L1377" t="s">
        <v>26685</v>
      </c>
      <c r="M1377" t="s">
        <v>26686</v>
      </c>
      <c r="N1377">
        <f>-671.182735049423 -8.8687920770044 -526.52761102934</f>
        <v>-1206.5791381557674</v>
      </c>
      <c r="O1377">
        <f>-681.566685626775 -161.142047923992 -494.235447945681</f>
        <v>-1336.944181496448</v>
      </c>
      <c r="P1377">
        <f>-708.415271360615 -167.26440381407 -213.486032955756</f>
        <v>-1089.1657081304409</v>
      </c>
      <c r="Q1377">
        <f>-483.135985487345 -139.858020877192 -262.949768267742</f>
        <v>-885.94377463227897</v>
      </c>
      <c r="R1377" t="s">
        <v>26687</v>
      </c>
      <c r="S1377" t="s">
        <v>26688</v>
      </c>
      <c r="T1377" t="s">
        <v>26689</v>
      </c>
      <c r="U1377" t="s">
        <v>26690</v>
      </c>
      <c r="V1377">
        <f>-597.746141888076 -52.955159123765 -92.0622180106791</f>
        <v>-742.76351902252009</v>
      </c>
      <c r="W1377" t="s">
        <v>26691</v>
      </c>
      <c r="X1377" t="s">
        <v>26692</v>
      </c>
      <c r="Y1377" t="s">
        <v>26693</v>
      </c>
    </row>
    <row r="1378" spans="1:25" x14ac:dyDescent="0.3">
      <c r="A1378">
        <v>68850</v>
      </c>
      <c r="B1378" t="s">
        <v>26694</v>
      </c>
      <c r="C1378" t="s">
        <v>26695</v>
      </c>
      <c r="D1378" t="s">
        <v>26696</v>
      </c>
      <c r="E1378" t="s">
        <v>26697</v>
      </c>
      <c r="F1378" t="s">
        <v>26698</v>
      </c>
      <c r="G1378" t="s">
        <v>26699</v>
      </c>
      <c r="H1378" t="s">
        <v>26700</v>
      </c>
      <c r="I1378" t="s">
        <v>26701</v>
      </c>
      <c r="J1378" t="s">
        <v>26702</v>
      </c>
      <c r="K1378" t="s">
        <v>26703</v>
      </c>
      <c r="L1378" t="s">
        <v>26704</v>
      </c>
      <c r="M1378" t="s">
        <v>26705</v>
      </c>
      <c r="N1378">
        <f>-670.864526224397 -8.75564235007414 -526.561285616213</f>
        <v>-1206.1814541906842</v>
      </c>
      <c r="O1378">
        <f>-681.135993500127 -161.044359446523 -494.323380715571</f>
        <v>-1336.5037336622211</v>
      </c>
      <c r="P1378">
        <f>-707.9235843346 -167.466041570169 -213.574776701882</f>
        <v>-1088.964402606651</v>
      </c>
      <c r="Q1378">
        <f>-482.61386968167 -139.886384551543 -262.80310839018</f>
        <v>-885.30336262339301</v>
      </c>
      <c r="R1378" t="s">
        <v>26706</v>
      </c>
      <c r="S1378" t="s">
        <v>26707</v>
      </c>
      <c r="T1378" t="s">
        <v>26708</v>
      </c>
      <c r="U1378" t="s">
        <v>26709</v>
      </c>
      <c r="V1378">
        <f>-597.464721771622 -52.9827784688805 -92.0616638755577</f>
        <v>-742.50916411606011</v>
      </c>
      <c r="W1378" t="s">
        <v>26710</v>
      </c>
      <c r="X1378" t="s">
        <v>26711</v>
      </c>
      <c r="Y1378" t="s">
        <v>26712</v>
      </c>
    </row>
    <row r="1379" spans="1:25" x14ac:dyDescent="0.3">
      <c r="A1379">
        <v>68900</v>
      </c>
      <c r="B1379" t="s">
        <v>26713</v>
      </c>
      <c r="C1379" t="s">
        <v>26714</v>
      </c>
      <c r="D1379" t="s">
        <v>26715</v>
      </c>
      <c r="E1379" t="s">
        <v>26716</v>
      </c>
      <c r="F1379" t="s">
        <v>26717</v>
      </c>
      <c r="G1379" t="s">
        <v>26718</v>
      </c>
      <c r="H1379" t="s">
        <v>26719</v>
      </c>
      <c r="I1379" t="s">
        <v>26720</v>
      </c>
      <c r="J1379" t="s">
        <v>26721</v>
      </c>
      <c r="K1379" t="s">
        <v>26722</v>
      </c>
      <c r="L1379" t="s">
        <v>26723</v>
      </c>
      <c r="M1379" t="s">
        <v>26724</v>
      </c>
      <c r="N1379">
        <f>-670.349769961082 -8.64002373779431 -526.621437313927</f>
        <v>-1205.6112310128033</v>
      </c>
      <c r="O1379">
        <f>-680.315607179685 -160.973030942821 -494.499672636099</f>
        <v>-1335.7883107586049</v>
      </c>
      <c r="P1379">
        <f>-707.092013566371 -167.710094131904 -213.757322396055</f>
        <v>-1088.5594300943301</v>
      </c>
      <c r="Q1379">
        <f>-481.695291334275 -140.065817222226 -262.549075693886</f>
        <v>-884.31018425038701</v>
      </c>
      <c r="R1379" t="s">
        <v>26725</v>
      </c>
      <c r="S1379" t="s">
        <v>26726</v>
      </c>
      <c r="T1379" t="s">
        <v>26727</v>
      </c>
      <c r="U1379" t="s">
        <v>26728</v>
      </c>
      <c r="V1379">
        <f>-596.925873749352 -53.0138084590135 -92.0549933653732</f>
        <v>-741.99467557373873</v>
      </c>
      <c r="W1379" t="s">
        <v>26729</v>
      </c>
      <c r="X1379" t="s">
        <v>26730</v>
      </c>
      <c r="Y1379" t="s">
        <v>26731</v>
      </c>
    </row>
    <row r="1380" spans="1:25" x14ac:dyDescent="0.3">
      <c r="A1380">
        <v>68950</v>
      </c>
      <c r="B1380" t="s">
        <v>26732</v>
      </c>
      <c r="C1380" t="s">
        <v>26733</v>
      </c>
      <c r="D1380" t="s">
        <v>26734</v>
      </c>
      <c r="E1380" t="s">
        <v>26735</v>
      </c>
      <c r="F1380" t="s">
        <v>26736</v>
      </c>
      <c r="G1380" t="s">
        <v>26737</v>
      </c>
      <c r="H1380" t="s">
        <v>26738</v>
      </c>
      <c r="I1380" t="s">
        <v>26739</v>
      </c>
      <c r="J1380" t="s">
        <v>26740</v>
      </c>
      <c r="K1380" t="s">
        <v>26741</v>
      </c>
      <c r="L1380" t="s">
        <v>26742</v>
      </c>
      <c r="M1380" t="s">
        <v>26743</v>
      </c>
      <c r="N1380">
        <f>-670.158710892161 -8.6479414504704 -526.637938957382</f>
        <v>-1205.4445913000134</v>
      </c>
      <c r="O1380">
        <f>-679.973506032578 -161.009091817426 -494.575013461919</f>
        <v>-1335.557611311923</v>
      </c>
      <c r="P1380">
        <f>-706.686583757297 -167.877949872693 -213.829825961519</f>
        <v>-1088.3943595915089</v>
      </c>
      <c r="Q1380">
        <f>-481.393489440458 -139.966197674084 -262.946801802162</f>
        <v>-884.30648891670398</v>
      </c>
      <c r="R1380" t="s">
        <v>26744</v>
      </c>
      <c r="S1380" t="s">
        <v>26745</v>
      </c>
      <c r="T1380" t="s">
        <v>26746</v>
      </c>
      <c r="U1380" t="s">
        <v>26747</v>
      </c>
      <c r="V1380">
        <f>-596.699776837626 -53.1205903684711 -92.0574768031136</f>
        <v>-741.87784400921066</v>
      </c>
      <c r="W1380" t="s">
        <v>26748</v>
      </c>
      <c r="X1380" t="s">
        <v>26749</v>
      </c>
      <c r="Y1380" t="s">
        <v>26750</v>
      </c>
    </row>
    <row r="1381" spans="1:25" x14ac:dyDescent="0.3">
      <c r="A1381">
        <v>69000</v>
      </c>
      <c r="B1381" t="s">
        <v>26751</v>
      </c>
      <c r="C1381" t="s">
        <v>26752</v>
      </c>
      <c r="D1381" t="s">
        <v>26753</v>
      </c>
      <c r="E1381" t="s">
        <v>26754</v>
      </c>
      <c r="F1381" t="s">
        <v>26755</v>
      </c>
      <c r="G1381" t="s">
        <v>26756</v>
      </c>
      <c r="H1381" t="s">
        <v>26757</v>
      </c>
      <c r="I1381" t="s">
        <v>26758</v>
      </c>
      <c r="J1381" t="s">
        <v>26759</v>
      </c>
      <c r="K1381" t="s">
        <v>26760</v>
      </c>
      <c r="L1381" t="s">
        <v>26761</v>
      </c>
      <c r="M1381" t="s">
        <v>26762</v>
      </c>
      <c r="N1381">
        <f>-669.94654237282 -8.61643938759062 -526.623395990397</f>
        <v>-1205.1863777508074</v>
      </c>
      <c r="O1381">
        <f>-679.465282513212 -161.015652846493 -494.662988229255</f>
        <v>-1335.14392358896</v>
      </c>
      <c r="P1381">
        <f>-705.953164367412 -168.311227143421 -213.907310770712</f>
        <v>-1088.1717022815451</v>
      </c>
      <c r="Q1381">
        <f>-480.923949885878 -139.672294090565 -263.809157168253</f>
        <v>-884.40540114469604</v>
      </c>
      <c r="R1381" t="s">
        <v>26763</v>
      </c>
      <c r="S1381" t="s">
        <v>26764</v>
      </c>
      <c r="T1381" t="s">
        <v>26765</v>
      </c>
      <c r="U1381" t="s">
        <v>26766</v>
      </c>
      <c r="V1381">
        <f>-596.140855909717 -53.2088446792416 -92.0392976855579</f>
        <v>-741.38899827451644</v>
      </c>
      <c r="W1381" t="s">
        <v>26767</v>
      </c>
      <c r="X1381" t="s">
        <v>26768</v>
      </c>
      <c r="Y1381" t="s">
        <v>26769</v>
      </c>
    </row>
    <row r="1382" spans="1:25" x14ac:dyDescent="0.3">
      <c r="A1382">
        <v>69050</v>
      </c>
      <c r="B1382" t="s">
        <v>26770</v>
      </c>
      <c r="C1382" t="s">
        <v>26771</v>
      </c>
      <c r="D1382" t="s">
        <v>26772</v>
      </c>
      <c r="E1382" t="s">
        <v>26773</v>
      </c>
      <c r="F1382" t="s">
        <v>26774</v>
      </c>
      <c r="G1382" t="s">
        <v>26775</v>
      </c>
      <c r="H1382" t="s">
        <v>26776</v>
      </c>
      <c r="I1382" t="s">
        <v>26777</v>
      </c>
      <c r="J1382" t="s">
        <v>26778</v>
      </c>
      <c r="K1382" t="s">
        <v>26779</v>
      </c>
      <c r="L1382" t="s">
        <v>26780</v>
      </c>
      <c r="M1382" t="s">
        <v>26781</v>
      </c>
      <c r="N1382">
        <f>-669.683133797099 -8.52486123944709 -526.6584167269</f>
        <v>-1204.8664117634462</v>
      </c>
      <c r="O1382">
        <f>-679.032132804101 -160.956153401163 -494.791982732188</f>
        <v>-1334.7802689374521</v>
      </c>
      <c r="P1382">
        <f>-705.43434296714 -168.561751534643 -214.036495554457</f>
        <v>-1088.03259005624</v>
      </c>
      <c r="Q1382">
        <f>-480.511928989463 -139.424916291357 -264.131014155932</f>
        <v>-884.06785943675197</v>
      </c>
      <c r="R1382" t="s">
        <v>26782</v>
      </c>
      <c r="S1382" t="s">
        <v>26783</v>
      </c>
      <c r="T1382" t="s">
        <v>26784</v>
      </c>
      <c r="U1382" t="s">
        <v>26785</v>
      </c>
      <c r="V1382">
        <f>-595.850273080481 -53.2332345944246 -92.0292458819562</f>
        <v>-741.11275355686178</v>
      </c>
      <c r="W1382" t="s">
        <v>26786</v>
      </c>
      <c r="X1382" t="s">
        <v>26787</v>
      </c>
      <c r="Y1382" t="s">
        <v>26788</v>
      </c>
    </row>
    <row r="1383" spans="1:25" x14ac:dyDescent="0.3">
      <c r="A1383">
        <v>69100</v>
      </c>
      <c r="B1383" t="s">
        <v>26789</v>
      </c>
      <c r="C1383" t="s">
        <v>26790</v>
      </c>
      <c r="D1383" t="s">
        <v>26791</v>
      </c>
      <c r="E1383" t="s">
        <v>26792</v>
      </c>
      <c r="F1383" t="s">
        <v>26793</v>
      </c>
      <c r="G1383" t="s">
        <v>26794</v>
      </c>
      <c r="H1383" t="s">
        <v>26795</v>
      </c>
      <c r="I1383" t="s">
        <v>26796</v>
      </c>
      <c r="J1383" t="s">
        <v>26797</v>
      </c>
      <c r="K1383" t="s">
        <v>26798</v>
      </c>
      <c r="L1383" t="s">
        <v>26799</v>
      </c>
      <c r="M1383" t="s">
        <v>26800</v>
      </c>
      <c r="N1383">
        <f>-669.307517107836 -8.36608314088721 -526.731254617848</f>
        <v>-1204.4048548665712</v>
      </c>
      <c r="O1383">
        <f>-678.27505550845 -160.871747806537 -495.122284877956</f>
        <v>-1334.2690881929429</v>
      </c>
      <c r="P1383">
        <f>-704.473192011928 -169.069000672171 -214.364250007937</f>
        <v>-1087.9064426920359</v>
      </c>
      <c r="Q1383">
        <f>-479.771295903533 -138.989643137418 -264.889732519043</f>
        <v>-883.65067155999395</v>
      </c>
      <c r="R1383" t="s">
        <v>26801</v>
      </c>
      <c r="S1383" t="s">
        <v>26802</v>
      </c>
      <c r="T1383" t="s">
        <v>26803</v>
      </c>
      <c r="U1383" t="s">
        <v>26804</v>
      </c>
      <c r="V1383">
        <f>-595.49679590688 -53.1892698305453 -92.0393716357535</f>
        <v>-740.72543737317881</v>
      </c>
      <c r="W1383" t="s">
        <v>26805</v>
      </c>
      <c r="X1383" t="s">
        <v>26806</v>
      </c>
      <c r="Y1383" t="s">
        <v>26807</v>
      </c>
    </row>
    <row r="1384" spans="1:25" x14ac:dyDescent="0.3">
      <c r="A1384">
        <v>69150</v>
      </c>
      <c r="B1384" t="s">
        <v>26808</v>
      </c>
      <c r="C1384" t="s">
        <v>26809</v>
      </c>
      <c r="D1384" t="s">
        <v>26810</v>
      </c>
      <c r="E1384" t="s">
        <v>26811</v>
      </c>
      <c r="F1384" t="s">
        <v>26812</v>
      </c>
      <c r="G1384" t="s">
        <v>26813</v>
      </c>
      <c r="H1384" t="s">
        <v>26814</v>
      </c>
      <c r="I1384" t="s">
        <v>26815</v>
      </c>
      <c r="J1384" t="s">
        <v>26816</v>
      </c>
      <c r="K1384" t="s">
        <v>26817</v>
      </c>
      <c r="L1384" t="s">
        <v>26818</v>
      </c>
      <c r="M1384" t="s">
        <v>26819</v>
      </c>
      <c r="N1384">
        <f>-669.19575831531 -8.29016663959874 -526.738234847764</f>
        <v>-1204.2241598026726</v>
      </c>
      <c r="O1384">
        <f>-678.038212991506 -160.824089200634 -495.228613853022</f>
        <v>-1334.090916045162</v>
      </c>
      <c r="P1384">
        <f>-703.973581826953 -169.367714767129 -214.456521094667</f>
        <v>-1087.7978176887491</v>
      </c>
      <c r="Q1384">
        <f>-479.355533603426 -138.823593240722 -265.075824296995</f>
        <v>-883.25495114114301</v>
      </c>
      <c r="R1384" t="s">
        <v>26820</v>
      </c>
      <c r="S1384" t="s">
        <v>26821</v>
      </c>
      <c r="T1384" t="s">
        <v>26822</v>
      </c>
      <c r="U1384" t="s">
        <v>26823</v>
      </c>
      <c r="V1384">
        <f>-595.321164880394 -53.1948454096516 -92.042501249559</f>
        <v>-740.55851153960464</v>
      </c>
      <c r="W1384" t="s">
        <v>26824</v>
      </c>
      <c r="X1384" t="s">
        <v>26825</v>
      </c>
      <c r="Y1384" t="s">
        <v>26826</v>
      </c>
    </row>
    <row r="1385" spans="1:25" x14ac:dyDescent="0.3">
      <c r="A1385">
        <v>69200</v>
      </c>
      <c r="B1385" t="s">
        <v>26827</v>
      </c>
      <c r="C1385" t="s">
        <v>26828</v>
      </c>
      <c r="D1385" t="s">
        <v>26829</v>
      </c>
      <c r="E1385" t="s">
        <v>26830</v>
      </c>
      <c r="F1385" t="s">
        <v>26831</v>
      </c>
      <c r="G1385" t="s">
        <v>26832</v>
      </c>
      <c r="H1385" t="s">
        <v>26833</v>
      </c>
      <c r="I1385" t="s">
        <v>26834</v>
      </c>
      <c r="J1385" t="s">
        <v>26835</v>
      </c>
      <c r="K1385" t="s">
        <v>26836</v>
      </c>
      <c r="L1385" t="s">
        <v>26837</v>
      </c>
      <c r="M1385" t="s">
        <v>26838</v>
      </c>
      <c r="N1385">
        <f>-668.949363699378 -8.18979442869409 -526.774586293048</f>
        <v>-1203.9137444211201</v>
      </c>
      <c r="O1385">
        <f>-677.511546239079 -160.765479696874 -495.395431615694</f>
        <v>-1333.6724575516471</v>
      </c>
      <c r="P1385">
        <f>-703.117699628248 -169.635271873085 -214.603299050813</f>
        <v>-1087.356270552146</v>
      </c>
      <c r="Q1385">
        <f>-478.579846849529 -138.587855748461 -265.272284157941</f>
        <v>-882.43998675593093</v>
      </c>
      <c r="R1385" t="s">
        <v>26839</v>
      </c>
      <c r="S1385" t="s">
        <v>26840</v>
      </c>
      <c r="T1385" t="s">
        <v>26841</v>
      </c>
      <c r="U1385" t="s">
        <v>26842</v>
      </c>
      <c r="V1385">
        <f>-595.014558576791 -53.3030211193338 -92.0464809570217</f>
        <v>-740.36406065314657</v>
      </c>
      <c r="W1385" t="s">
        <v>26843</v>
      </c>
      <c r="X1385" t="s">
        <v>26844</v>
      </c>
      <c r="Y1385" t="s">
        <v>26845</v>
      </c>
    </row>
    <row r="1386" spans="1:25" x14ac:dyDescent="0.3">
      <c r="A1386">
        <v>69250</v>
      </c>
      <c r="B1386" t="s">
        <v>26846</v>
      </c>
      <c r="C1386" t="s">
        <v>26847</v>
      </c>
      <c r="D1386" t="s">
        <v>26848</v>
      </c>
      <c r="E1386" t="s">
        <v>26849</v>
      </c>
      <c r="F1386" t="s">
        <v>26850</v>
      </c>
      <c r="G1386" t="s">
        <v>26851</v>
      </c>
      <c r="H1386" t="s">
        <v>26852</v>
      </c>
      <c r="I1386" t="s">
        <v>26853</v>
      </c>
      <c r="J1386" t="s">
        <v>26854</v>
      </c>
      <c r="K1386" t="s">
        <v>26855</v>
      </c>
      <c r="L1386" t="s">
        <v>26856</v>
      </c>
      <c r="M1386" t="s">
        <v>26857</v>
      </c>
      <c r="N1386">
        <f>-668.881062918898 -8.11685849192781 -526.800257302578</f>
        <v>-1203.7981787134038</v>
      </c>
      <c r="O1386">
        <f>-677.331924920548 -160.715409396562 -495.478438312277</f>
        <v>-1333.5257726293869</v>
      </c>
      <c r="P1386">
        <f>-702.985373418889 -169.657560446009 -214.692905554464</f>
        <v>-1087.3358394193619</v>
      </c>
      <c r="Q1386">
        <f>-478.446972982615 -138.461497910391 -265.268160201136</f>
        <v>-882.17663109414207</v>
      </c>
      <c r="R1386" t="s">
        <v>26858</v>
      </c>
      <c r="S1386" t="s">
        <v>26859</v>
      </c>
      <c r="T1386" t="s">
        <v>26860</v>
      </c>
      <c r="U1386" t="s">
        <v>26861</v>
      </c>
      <c r="V1386">
        <f>-594.902189281749 -53.3523153341462 -92.0565349076495</f>
        <v>-740.31103952354465</v>
      </c>
      <c r="W1386" t="s">
        <v>26862</v>
      </c>
      <c r="X1386" t="s">
        <v>26863</v>
      </c>
      <c r="Y1386" t="s">
        <v>26864</v>
      </c>
    </row>
    <row r="1387" spans="1:25" x14ac:dyDescent="0.3">
      <c r="A1387">
        <v>69300</v>
      </c>
      <c r="B1387" t="s">
        <v>26865</v>
      </c>
      <c r="C1387" t="s">
        <v>26866</v>
      </c>
      <c r="D1387" t="s">
        <v>26867</v>
      </c>
      <c r="E1387" t="s">
        <v>26868</v>
      </c>
      <c r="F1387" t="s">
        <v>26869</v>
      </c>
      <c r="G1387" t="s">
        <v>26870</v>
      </c>
      <c r="H1387" t="s">
        <v>26871</v>
      </c>
      <c r="I1387" t="s">
        <v>26872</v>
      </c>
      <c r="J1387" t="s">
        <v>26873</v>
      </c>
      <c r="K1387" t="s">
        <v>26874</v>
      </c>
      <c r="L1387" t="s">
        <v>26875</v>
      </c>
      <c r="M1387" t="s">
        <v>26876</v>
      </c>
      <c r="N1387">
        <f>-668.530202603213 -7.99321934689328 -526.8631861875</f>
        <v>-1203.3866081376063</v>
      </c>
      <c r="O1387">
        <f>-676.926505517034 -160.6159597294 -495.642382934097</f>
        <v>-1333.1848481805309</v>
      </c>
      <c r="P1387">
        <f>-702.864146079276 -169.794555421302 -214.890631035653</f>
        <v>-1087.5493325362311</v>
      </c>
      <c r="Q1387">
        <f>-478.351109979816 -138.511550454204 -265.524669171894</f>
        <v>-882.38732960591392</v>
      </c>
      <c r="R1387" t="s">
        <v>26877</v>
      </c>
      <c r="S1387" t="s">
        <v>26878</v>
      </c>
      <c r="T1387" t="s">
        <v>26879</v>
      </c>
      <c r="U1387" t="s">
        <v>26880</v>
      </c>
      <c r="V1387">
        <f>-594.796648214955 -53.489293529731 -92.0679973196523</f>
        <v>-740.35393906433819</v>
      </c>
      <c r="W1387" t="s">
        <v>26881</v>
      </c>
      <c r="X1387" t="s">
        <v>26882</v>
      </c>
      <c r="Y1387" t="s">
        <v>26883</v>
      </c>
    </row>
    <row r="1388" spans="1:25" x14ac:dyDescent="0.3">
      <c r="A1388">
        <v>69350</v>
      </c>
      <c r="B1388" t="s">
        <v>26884</v>
      </c>
      <c r="C1388" t="s">
        <v>26885</v>
      </c>
      <c r="D1388" t="s">
        <v>26886</v>
      </c>
      <c r="E1388" t="s">
        <v>26887</v>
      </c>
      <c r="F1388" t="s">
        <v>26888</v>
      </c>
      <c r="G1388" t="s">
        <v>26889</v>
      </c>
      <c r="H1388" t="s">
        <v>26890</v>
      </c>
      <c r="I1388" t="s">
        <v>26891</v>
      </c>
      <c r="J1388" t="s">
        <v>26892</v>
      </c>
      <c r="K1388" t="s">
        <v>26893</v>
      </c>
      <c r="L1388" t="s">
        <v>26894</v>
      </c>
      <c r="M1388" t="s">
        <v>26895</v>
      </c>
      <c r="N1388">
        <f>-668.311717400052 -7.9576267795203 -526.922883400488</f>
        <v>-1203.1922275800603</v>
      </c>
      <c r="O1388">
        <f>-676.74404455455 -160.576807110536 -495.72228998238</f>
        <v>-1333.043141647466</v>
      </c>
      <c r="P1388">
        <f>-702.854103786924 -169.792737861776 -214.987671605581</f>
        <v>-1087.634513254281</v>
      </c>
      <c r="Q1388">
        <f>-478.337938745369 -138.551302123309 -265.633388937639</f>
        <v>-882.52262980631701</v>
      </c>
      <c r="R1388" t="s">
        <v>26896</v>
      </c>
      <c r="S1388" t="s">
        <v>26897</v>
      </c>
      <c r="T1388" t="s">
        <v>26898</v>
      </c>
      <c r="U1388" t="s">
        <v>26899</v>
      </c>
      <c r="V1388">
        <f>-594.809621844433 -53.5195647285038 -92.0818332847239</f>
        <v>-740.41101985766068</v>
      </c>
      <c r="W1388" t="s">
        <v>26900</v>
      </c>
      <c r="X1388" t="s">
        <v>26901</v>
      </c>
      <c r="Y1388" t="s">
        <v>26902</v>
      </c>
    </row>
    <row r="1389" spans="1:25" x14ac:dyDescent="0.3">
      <c r="A1389">
        <v>69400</v>
      </c>
      <c r="B1389" t="s">
        <v>26903</v>
      </c>
      <c r="C1389" t="s">
        <v>26904</v>
      </c>
      <c r="D1389" t="s">
        <v>26905</v>
      </c>
      <c r="E1389" t="s">
        <v>26906</v>
      </c>
      <c r="F1389" t="s">
        <v>26907</v>
      </c>
      <c r="G1389" t="s">
        <v>26908</v>
      </c>
      <c r="H1389" t="s">
        <v>26909</v>
      </c>
      <c r="I1389" t="s">
        <v>26910</v>
      </c>
      <c r="J1389" t="s">
        <v>26911</v>
      </c>
      <c r="K1389" t="s">
        <v>26912</v>
      </c>
      <c r="L1389" t="s">
        <v>26913</v>
      </c>
      <c r="M1389" t="s">
        <v>26914</v>
      </c>
      <c r="N1389">
        <f>-668.099216331584 -7.99190872541908 -527.003024874105</f>
        <v>-1203.0941499311079</v>
      </c>
      <c r="O1389">
        <f>-676.546404637442 -160.609773226544 -495.806464995738</f>
        <v>-1332.9626428597239</v>
      </c>
      <c r="P1389">
        <f>-703.023918240801 -169.788985599365 -215.104988077022</f>
        <v>-1087.9178919171879</v>
      </c>
      <c r="Q1389">
        <f>-478.429836302578 -138.773465609507 -265.543626019134</f>
        <v>-882.74692793121903</v>
      </c>
      <c r="R1389" t="s">
        <v>26915</v>
      </c>
      <c r="S1389" t="s">
        <v>26916</v>
      </c>
      <c r="T1389" t="s">
        <v>26917</v>
      </c>
      <c r="U1389" t="s">
        <v>26918</v>
      </c>
      <c r="V1389">
        <f>-594.929276843915 -53.5427813197498 -92.1058591373128</f>
        <v>-740.57791730097756</v>
      </c>
      <c r="W1389" t="s">
        <v>26919</v>
      </c>
      <c r="X1389" t="s">
        <v>26920</v>
      </c>
      <c r="Y1389" t="s">
        <v>26921</v>
      </c>
    </row>
    <row r="1390" spans="1:25" x14ac:dyDescent="0.3">
      <c r="A1390">
        <v>69450</v>
      </c>
      <c r="B1390" t="s">
        <v>26922</v>
      </c>
      <c r="C1390" t="s">
        <v>26923</v>
      </c>
      <c r="D1390" t="s">
        <v>26924</v>
      </c>
      <c r="E1390" t="s">
        <v>26925</v>
      </c>
      <c r="F1390" t="s">
        <v>26926</v>
      </c>
      <c r="G1390" t="s">
        <v>26927</v>
      </c>
      <c r="H1390" t="s">
        <v>26928</v>
      </c>
      <c r="I1390" t="s">
        <v>26929</v>
      </c>
      <c r="J1390" t="s">
        <v>26930</v>
      </c>
      <c r="K1390" t="s">
        <v>26931</v>
      </c>
      <c r="L1390" t="s">
        <v>26932</v>
      </c>
      <c r="M1390" t="s">
        <v>26933</v>
      </c>
      <c r="N1390">
        <f>-668.20105826703 -8.04017334331024 -526.995600033293</f>
        <v>-1203.2368316436332</v>
      </c>
      <c r="O1390">
        <f>-676.606588003849 -160.660924476474 -495.784908332306</f>
        <v>-1333.052420812629</v>
      </c>
      <c r="P1390">
        <f>-703.186117363022 -169.852923070155 -215.093605423748</f>
        <v>-1088.1326458569249</v>
      </c>
      <c r="Q1390">
        <f>-478.549312713111 -138.937857286577 -265.403360221152</f>
        <v>-882.89053022083999</v>
      </c>
      <c r="R1390" t="s">
        <v>26934</v>
      </c>
      <c r="S1390" t="s">
        <v>26935</v>
      </c>
      <c r="T1390" t="s">
        <v>26936</v>
      </c>
      <c r="U1390" t="s">
        <v>26937</v>
      </c>
      <c r="V1390">
        <f>-595.044392764506 -53.5811214815194 -92.1124468534467</f>
        <v>-740.73796109947216</v>
      </c>
      <c r="W1390" t="s">
        <v>26938</v>
      </c>
      <c r="X1390" t="s">
        <v>26939</v>
      </c>
      <c r="Y1390" t="s">
        <v>26940</v>
      </c>
    </row>
    <row r="1391" spans="1:25" x14ac:dyDescent="0.3">
      <c r="A1391">
        <v>69500</v>
      </c>
      <c r="B1391" t="s">
        <v>26941</v>
      </c>
      <c r="C1391" t="s">
        <v>26942</v>
      </c>
      <c r="D1391" t="s">
        <v>26943</v>
      </c>
      <c r="E1391" t="s">
        <v>26944</v>
      </c>
      <c r="F1391" t="s">
        <v>26945</v>
      </c>
      <c r="G1391" t="s">
        <v>26946</v>
      </c>
      <c r="H1391" t="s">
        <v>26947</v>
      </c>
      <c r="I1391" t="s">
        <v>26948</v>
      </c>
      <c r="J1391" t="s">
        <v>26949</v>
      </c>
      <c r="K1391" t="s">
        <v>26950</v>
      </c>
      <c r="L1391" t="s">
        <v>26951</v>
      </c>
      <c r="M1391" t="s">
        <v>26952</v>
      </c>
      <c r="N1391">
        <f>-668.645435576403 -8.15612209721598 -526.988726853237</f>
        <v>-1203.7902845268559</v>
      </c>
      <c r="O1391">
        <f>-676.931083069572 -160.778011130044 -495.74932962448</f>
        <v>-1333.4584238240959</v>
      </c>
      <c r="P1391">
        <f>-703.485371216434 -169.928809707279 -215.054294156368</f>
        <v>-1088.4684750800811</v>
      </c>
      <c r="Q1391">
        <f>-478.733566496459 -139.075006252177 -264.885911113373</f>
        <v>-882.69448386200895</v>
      </c>
      <c r="R1391" t="s">
        <v>26953</v>
      </c>
      <c r="S1391" t="s">
        <v>26954</v>
      </c>
      <c r="T1391" t="s">
        <v>26955</v>
      </c>
      <c r="U1391" t="s">
        <v>26956</v>
      </c>
      <c r="V1391">
        <f>-595.32116959299 -53.6371827293583 -92.1326853832923</f>
        <v>-741.09103770564059</v>
      </c>
      <c r="W1391" t="s">
        <v>26957</v>
      </c>
      <c r="X1391" t="s">
        <v>26958</v>
      </c>
      <c r="Y1391" t="s">
        <v>26959</v>
      </c>
    </row>
    <row r="1392" spans="1:25" x14ac:dyDescent="0.3">
      <c r="A1392">
        <v>69550</v>
      </c>
      <c r="B1392" t="s">
        <v>26960</v>
      </c>
      <c r="C1392" t="s">
        <v>26961</v>
      </c>
      <c r="D1392" t="s">
        <v>26962</v>
      </c>
      <c r="E1392" t="s">
        <v>26963</v>
      </c>
      <c r="F1392" t="s">
        <v>26964</v>
      </c>
      <c r="G1392" t="s">
        <v>26965</v>
      </c>
      <c r="H1392" t="s">
        <v>26966</v>
      </c>
      <c r="I1392" t="s">
        <v>26967</v>
      </c>
      <c r="J1392" t="s">
        <v>26968</v>
      </c>
      <c r="K1392" t="s">
        <v>26969</v>
      </c>
      <c r="L1392" t="s">
        <v>26970</v>
      </c>
      <c r="M1392" t="s">
        <v>26971</v>
      </c>
      <c r="N1392">
        <f>-668.946793423881 -8.23209768032098 -526.988193504265</f>
        <v>-1204.1670846084671</v>
      </c>
      <c r="O1392">
        <f>-677.201486611231 -160.850358696339 -495.722353521619</f>
        <v>-1333.7741988291889</v>
      </c>
      <c r="P1392">
        <f>-703.68374349526 -169.934873752955 -215.018501928367</f>
        <v>-1088.637119176582</v>
      </c>
      <c r="Q1392">
        <f>-478.892526539018 -139.028584605231 -264.639326853405</f>
        <v>-882.56043799765393</v>
      </c>
      <c r="R1392" t="s">
        <v>26972</v>
      </c>
      <c r="S1392" t="s">
        <v>26973</v>
      </c>
      <c r="T1392" t="s">
        <v>26974</v>
      </c>
      <c r="U1392" t="s">
        <v>26975</v>
      </c>
      <c r="V1392">
        <f>-595.487126290854 -53.624342531039 -92.1498645076214</f>
        <v>-741.2613333295144</v>
      </c>
      <c r="W1392" t="s">
        <v>26976</v>
      </c>
      <c r="X1392" t="s">
        <v>26977</v>
      </c>
      <c r="Y1392" t="s">
        <v>26978</v>
      </c>
    </row>
    <row r="1393" spans="1:25" x14ac:dyDescent="0.3">
      <c r="A1393">
        <v>69600</v>
      </c>
      <c r="B1393" t="s">
        <v>26979</v>
      </c>
      <c r="C1393" t="s">
        <v>26980</v>
      </c>
      <c r="D1393" t="s">
        <v>26981</v>
      </c>
      <c r="E1393" t="s">
        <v>26982</v>
      </c>
      <c r="F1393" t="s">
        <v>26983</v>
      </c>
      <c r="G1393" t="s">
        <v>26984</v>
      </c>
      <c r="H1393" t="s">
        <v>26985</v>
      </c>
      <c r="I1393" t="s">
        <v>26986</v>
      </c>
      <c r="J1393" t="s">
        <v>26987</v>
      </c>
      <c r="K1393" t="s">
        <v>26988</v>
      </c>
      <c r="L1393" t="s">
        <v>26989</v>
      </c>
      <c r="M1393" t="s">
        <v>26990</v>
      </c>
      <c r="N1393">
        <f>-669.52609746917 -8.45969091390589 -526.960562415471</f>
        <v>-1204.946350798547</v>
      </c>
      <c r="O1393">
        <f>-677.728235780624 -161.067571019066 -495.631323150142</f>
        <v>-1334.4271299498321</v>
      </c>
      <c r="P1393">
        <f>-704.262657262549 -170.029499680791 -214.928274857353</f>
        <v>-1089.2204318006929</v>
      </c>
      <c r="Q1393">
        <f>-479.412134945695 -139.17084038129 -264.309312425901</f>
        <v>-882.89228775288598</v>
      </c>
      <c r="R1393" t="s">
        <v>26991</v>
      </c>
      <c r="S1393" t="s">
        <v>26992</v>
      </c>
      <c r="T1393" t="s">
        <v>26993</v>
      </c>
      <c r="U1393" t="s">
        <v>26994</v>
      </c>
      <c r="V1393">
        <f>-595.885212196838 -53.5940373367152 -92.1732263828845</f>
        <v>-741.65247591643777</v>
      </c>
      <c r="W1393" t="s">
        <v>26995</v>
      </c>
      <c r="X1393" t="s">
        <v>26996</v>
      </c>
      <c r="Y1393" t="s">
        <v>26997</v>
      </c>
    </row>
    <row r="1394" spans="1:25" x14ac:dyDescent="0.3">
      <c r="A1394">
        <v>69650</v>
      </c>
      <c r="B1394" t="s">
        <v>26998</v>
      </c>
      <c r="C1394" t="s">
        <v>26999</v>
      </c>
      <c r="D1394" t="s">
        <v>27000</v>
      </c>
      <c r="E1394" t="s">
        <v>27001</v>
      </c>
      <c r="F1394" t="s">
        <v>27002</v>
      </c>
      <c r="G1394" t="s">
        <v>27003</v>
      </c>
      <c r="H1394" t="s">
        <v>27004</v>
      </c>
      <c r="I1394" t="s">
        <v>27005</v>
      </c>
      <c r="J1394" t="s">
        <v>27006</v>
      </c>
      <c r="K1394" t="s">
        <v>27007</v>
      </c>
      <c r="L1394" t="s">
        <v>27008</v>
      </c>
      <c r="M1394" t="s">
        <v>27009</v>
      </c>
      <c r="N1394">
        <f>-669.754473533506 -8.47437622343136 -526.954911874647</f>
        <v>-1205.1837616315843</v>
      </c>
      <c r="O1394">
        <f>-677.991135770645 -161.071897884253 -495.573036500057</f>
        <v>-1334.636070154955</v>
      </c>
      <c r="P1394">
        <f>-704.517202409694 -169.878693217583 -214.864170618965</f>
        <v>-1089.2600662462421</v>
      </c>
      <c r="Q1394">
        <f>-479.669642080229 -139.158766406031 -264.345327545133</f>
        <v>-883.17373603139299</v>
      </c>
      <c r="R1394" t="s">
        <v>27010</v>
      </c>
      <c r="S1394" t="s">
        <v>27011</v>
      </c>
      <c r="T1394" t="s">
        <v>27012</v>
      </c>
      <c r="U1394" t="s">
        <v>27013</v>
      </c>
      <c r="V1394">
        <f>-596.059363316487 -53.4874059942458 -92.1811070652772</f>
        <v>-741.72787637600993</v>
      </c>
      <c r="W1394" t="s">
        <v>27014</v>
      </c>
      <c r="X1394" t="s">
        <v>27015</v>
      </c>
      <c r="Y1394" t="s">
        <v>27016</v>
      </c>
    </row>
    <row r="1395" spans="1:25" x14ac:dyDescent="0.3">
      <c r="A1395">
        <v>69700</v>
      </c>
      <c r="B1395" t="s">
        <v>27017</v>
      </c>
      <c r="C1395" t="s">
        <v>27018</v>
      </c>
      <c r="D1395" t="s">
        <v>27019</v>
      </c>
      <c r="E1395" t="s">
        <v>27020</v>
      </c>
      <c r="F1395" t="s">
        <v>27021</v>
      </c>
      <c r="G1395" t="s">
        <v>27022</v>
      </c>
      <c r="H1395" t="s">
        <v>27023</v>
      </c>
      <c r="I1395" t="s">
        <v>27024</v>
      </c>
      <c r="J1395" t="s">
        <v>27025</v>
      </c>
      <c r="K1395" t="s">
        <v>27026</v>
      </c>
      <c r="L1395" t="s">
        <v>27027</v>
      </c>
      <c r="M1395" t="s">
        <v>27028</v>
      </c>
      <c r="N1395">
        <f>-670.044967397113 -8.63200037791512 -526.928695230192</f>
        <v>-1205.6056630052203</v>
      </c>
      <c r="O1395">
        <f>-678.381173254609 -161.19666489043 -495.446398743174</f>
        <v>-1335.0242368882132</v>
      </c>
      <c r="P1395">
        <f>-704.903274689546 -169.928135816022 -214.734989548162</f>
        <v>-1089.5664000537301</v>
      </c>
      <c r="Q1395">
        <f>-480.02465426558 -139.401140123903 -264.194439105373</f>
        <v>-883.62023349485605</v>
      </c>
      <c r="R1395" t="s">
        <v>27029</v>
      </c>
      <c r="S1395" t="s">
        <v>27030</v>
      </c>
      <c r="T1395" t="s">
        <v>27031</v>
      </c>
      <c r="U1395" t="s">
        <v>27032</v>
      </c>
      <c r="V1395">
        <f>-596.347882210572 -53.3528496007464 -92.1842069924361</f>
        <v>-741.88493880375449</v>
      </c>
      <c r="W1395" t="s">
        <v>27033</v>
      </c>
      <c r="X1395" t="s">
        <v>27034</v>
      </c>
      <c r="Y1395" t="s">
        <v>27035</v>
      </c>
    </row>
    <row r="1396" spans="1:25" x14ac:dyDescent="0.3">
      <c r="A1396">
        <v>69750</v>
      </c>
      <c r="B1396" t="s">
        <v>27036</v>
      </c>
      <c r="C1396" t="s">
        <v>27037</v>
      </c>
      <c r="D1396" t="s">
        <v>27038</v>
      </c>
      <c r="E1396" t="s">
        <v>27039</v>
      </c>
      <c r="F1396" t="s">
        <v>27040</v>
      </c>
      <c r="G1396" t="s">
        <v>27041</v>
      </c>
      <c r="H1396" t="s">
        <v>27042</v>
      </c>
      <c r="I1396" t="s">
        <v>27043</v>
      </c>
      <c r="J1396" t="s">
        <v>27044</v>
      </c>
      <c r="K1396" t="s">
        <v>27045</v>
      </c>
      <c r="L1396" t="s">
        <v>27046</v>
      </c>
      <c r="M1396" t="s">
        <v>27047</v>
      </c>
      <c r="N1396">
        <f>-670.14325867539 -8.68110021682992 -526.896815655606</f>
        <v>-1205.721174547826</v>
      </c>
      <c r="O1396">
        <f>-678.525813697719 -161.238946067929 -495.369936123389</f>
        <v>-1335.1346958890369</v>
      </c>
      <c r="P1396">
        <f>-705.062546083378 -169.901887284224 -214.657611568338</f>
        <v>-1089.62204493594</v>
      </c>
      <c r="Q1396">
        <f>-480.141156342892 -139.560971144177 -264.036916667926</f>
        <v>-883.73904415499499</v>
      </c>
      <c r="R1396" t="s">
        <v>27048</v>
      </c>
      <c r="S1396" t="s">
        <v>27049</v>
      </c>
      <c r="T1396" t="s">
        <v>27050</v>
      </c>
      <c r="U1396" t="s">
        <v>27051</v>
      </c>
      <c r="V1396">
        <f>-596.399339807596 -53.2765338702191 -92.1839665188837</f>
        <v>-741.85984019669877</v>
      </c>
      <c r="W1396" t="s">
        <v>27052</v>
      </c>
      <c r="X1396" t="s">
        <v>27053</v>
      </c>
      <c r="Y1396" t="s">
        <v>27054</v>
      </c>
    </row>
    <row r="1397" spans="1:25" x14ac:dyDescent="0.3">
      <c r="A1397">
        <v>69800</v>
      </c>
      <c r="B1397" t="s">
        <v>27055</v>
      </c>
      <c r="C1397" t="s">
        <v>27056</v>
      </c>
      <c r="D1397" t="s">
        <v>27057</v>
      </c>
      <c r="E1397" t="s">
        <v>27058</v>
      </c>
      <c r="F1397" t="s">
        <v>27059</v>
      </c>
      <c r="G1397" t="s">
        <v>27060</v>
      </c>
      <c r="H1397" t="s">
        <v>27061</v>
      </c>
      <c r="I1397" t="s">
        <v>27062</v>
      </c>
      <c r="J1397" t="s">
        <v>27063</v>
      </c>
      <c r="K1397" t="s">
        <v>27064</v>
      </c>
      <c r="L1397" t="s">
        <v>27065</v>
      </c>
      <c r="M1397" t="s">
        <v>27066</v>
      </c>
      <c r="N1397">
        <f>-670.426149663589 -8.76287069467571 -526.799896459258</f>
        <v>-1205.9889168175227</v>
      </c>
      <c r="O1397">
        <f>-678.923197545838 -161.284856035588 -495.121441588873</f>
        <v>-1335.329495170299</v>
      </c>
      <c r="P1397">
        <f>-705.495614260966 -169.597651375442 -214.402000591198</f>
        <v>-1089.495266227606</v>
      </c>
      <c r="Q1397">
        <f>-480.511783142348 -139.710669514892 -263.773872184336</f>
        <v>-883.99632484157598</v>
      </c>
      <c r="R1397" t="s">
        <v>27067</v>
      </c>
      <c r="S1397" t="s">
        <v>27068</v>
      </c>
      <c r="T1397" t="s">
        <v>27069</v>
      </c>
      <c r="U1397" t="s">
        <v>27070</v>
      </c>
      <c r="V1397">
        <f>-596.336844005021 -53.1557302019089 -92.1566602633237</f>
        <v>-741.64923447025365</v>
      </c>
      <c r="W1397" t="s">
        <v>27071</v>
      </c>
      <c r="X1397" t="s">
        <v>27072</v>
      </c>
      <c r="Y1397" t="s">
        <v>27073</v>
      </c>
    </row>
    <row r="1398" spans="1:25" x14ac:dyDescent="0.3">
      <c r="A1398">
        <v>69850</v>
      </c>
      <c r="B1398" t="s">
        <v>27074</v>
      </c>
      <c r="C1398" t="s">
        <v>27075</v>
      </c>
      <c r="D1398" t="s">
        <v>27076</v>
      </c>
      <c r="E1398" t="s">
        <v>27077</v>
      </c>
      <c r="F1398" t="s">
        <v>27078</v>
      </c>
      <c r="G1398" t="s">
        <v>27079</v>
      </c>
      <c r="H1398" t="s">
        <v>27080</v>
      </c>
      <c r="I1398" t="s">
        <v>27081</v>
      </c>
      <c r="J1398" t="s">
        <v>27082</v>
      </c>
      <c r="K1398" t="s">
        <v>27083</v>
      </c>
      <c r="L1398" t="s">
        <v>27084</v>
      </c>
      <c r="M1398" t="s">
        <v>27085</v>
      </c>
      <c r="N1398">
        <f>-670.48594799227 -8.79322733783806 -526.75564647201</f>
        <v>-1206.0348218021181</v>
      </c>
      <c r="O1398">
        <f>-679.101450809963 -161.290074316628 -495.004022914953</f>
        <v>-1335.3955480415439</v>
      </c>
      <c r="P1398">
        <f>-705.657683365046 -169.364254834458 -214.276188625718</f>
        <v>-1089.2981268252231</v>
      </c>
      <c r="Q1398">
        <f>-480.642916582879 -139.755761855341 -263.674598485804</f>
        <v>-884.07327692402396</v>
      </c>
      <c r="R1398" t="s">
        <v>27086</v>
      </c>
      <c r="S1398" t="s">
        <v>27087</v>
      </c>
      <c r="T1398" t="s">
        <v>27088</v>
      </c>
      <c r="U1398" t="s">
        <v>27089</v>
      </c>
      <c r="V1398">
        <f>-596.281338818455 -53.1126995360794 -92.1327703705488</f>
        <v>-741.52680872508313</v>
      </c>
      <c r="W1398" t="s">
        <v>27090</v>
      </c>
      <c r="X1398" t="s">
        <v>27091</v>
      </c>
      <c r="Y1398" t="s">
        <v>27092</v>
      </c>
    </row>
    <row r="1399" spans="1:25" x14ac:dyDescent="0.3">
      <c r="A1399">
        <v>69900</v>
      </c>
      <c r="B1399" t="s">
        <v>27093</v>
      </c>
      <c r="C1399" t="s">
        <v>27094</v>
      </c>
      <c r="D1399" t="s">
        <v>27095</v>
      </c>
      <c r="E1399" t="s">
        <v>27096</v>
      </c>
      <c r="F1399" t="s">
        <v>27097</v>
      </c>
      <c r="G1399" t="s">
        <v>27098</v>
      </c>
      <c r="H1399" t="s">
        <v>27099</v>
      </c>
      <c r="I1399" t="s">
        <v>27100</v>
      </c>
      <c r="J1399" t="s">
        <v>27101</v>
      </c>
      <c r="K1399" t="s">
        <v>27102</v>
      </c>
      <c r="L1399" t="s">
        <v>27103</v>
      </c>
      <c r="M1399" t="s">
        <v>27104</v>
      </c>
      <c r="N1399">
        <f>-670.430826034451 -8.89277418802658 -526.700649614764</f>
        <v>-1206.0242498372415</v>
      </c>
      <c r="O1399">
        <f>-679.214258794448 -161.360733445433 -494.861879824788</f>
        <v>-1335.4368720646689</v>
      </c>
      <c r="P1399">
        <f>-705.850312366276 -169.167116808416 -214.13400629465</f>
        <v>-1089.151435469342</v>
      </c>
      <c r="Q1399">
        <f>-480.817364041709 -139.943970454752 -263.678814373792</f>
        <v>-884.4401488702531</v>
      </c>
      <c r="R1399" t="s">
        <v>27105</v>
      </c>
      <c r="S1399" t="s">
        <v>27106</v>
      </c>
      <c r="T1399" t="s">
        <v>27107</v>
      </c>
      <c r="U1399" t="s">
        <v>27108</v>
      </c>
      <c r="V1399">
        <f>-596.214557672316 -53.0250900487176 -92.0971671899175</f>
        <v>-741.33681491095115</v>
      </c>
      <c r="W1399" t="s">
        <v>27109</v>
      </c>
      <c r="X1399" t="s">
        <v>27110</v>
      </c>
      <c r="Y1399" t="s">
        <v>27111</v>
      </c>
    </row>
    <row r="1400" spans="1:25" x14ac:dyDescent="0.3">
      <c r="A1400">
        <v>69950</v>
      </c>
      <c r="B1400" t="s">
        <v>27112</v>
      </c>
      <c r="C1400" t="s">
        <v>27113</v>
      </c>
      <c r="D1400" t="s">
        <v>27114</v>
      </c>
      <c r="E1400" t="s">
        <v>27115</v>
      </c>
      <c r="F1400" t="s">
        <v>27116</v>
      </c>
      <c r="G1400" t="s">
        <v>27117</v>
      </c>
      <c r="H1400" t="s">
        <v>27118</v>
      </c>
      <c r="I1400" t="s">
        <v>27119</v>
      </c>
      <c r="J1400" t="s">
        <v>27120</v>
      </c>
      <c r="K1400" t="s">
        <v>27121</v>
      </c>
      <c r="L1400" t="s">
        <v>27122</v>
      </c>
      <c r="M1400" t="s">
        <v>27123</v>
      </c>
      <c r="N1400">
        <f>-670.366001028971 -8.99057850820941 -526.663384069613</f>
        <v>-1206.0199636067935</v>
      </c>
      <c r="O1400">
        <f>-679.207178398561 -161.444266043237 -494.772239763165</f>
        <v>-1335.4236842049631</v>
      </c>
      <c r="P1400">
        <f>-705.875581158036 -169.236361626397 -214.047127922083</f>
        <v>-1089.1590707065161</v>
      </c>
      <c r="Q1400">
        <f>-480.823105198358 -140.153106256942 -263.585660044146</f>
        <v>-884.56187149944594</v>
      </c>
      <c r="R1400" t="s">
        <v>27124</v>
      </c>
      <c r="S1400" t="s">
        <v>27125</v>
      </c>
      <c r="T1400" t="s">
        <v>27126</v>
      </c>
      <c r="U1400" t="s">
        <v>27127</v>
      </c>
      <c r="V1400">
        <f>-596.170016784036 -52.9877731447928 -92.0816128258886</f>
        <v>-741.23940275471728</v>
      </c>
      <c r="W1400" t="s">
        <v>27128</v>
      </c>
      <c r="X1400" t="s">
        <v>27129</v>
      </c>
      <c r="Y1400" t="s">
        <v>27130</v>
      </c>
    </row>
    <row r="1401" spans="1:25" x14ac:dyDescent="0.3">
      <c r="A1401">
        <v>70000</v>
      </c>
      <c r="B1401" t="s">
        <v>27131</v>
      </c>
      <c r="C1401" t="s">
        <v>27132</v>
      </c>
      <c r="D1401" t="s">
        <v>27133</v>
      </c>
      <c r="E1401" t="s">
        <v>27134</v>
      </c>
      <c r="F1401" t="s">
        <v>27135</v>
      </c>
      <c r="G1401" t="s">
        <v>27136</v>
      </c>
      <c r="H1401" t="s">
        <v>27137</v>
      </c>
      <c r="I1401" t="s">
        <v>27138</v>
      </c>
      <c r="J1401" t="s">
        <v>27139</v>
      </c>
      <c r="K1401" t="s">
        <v>27140</v>
      </c>
      <c r="L1401" t="s">
        <v>27141</v>
      </c>
      <c r="M1401" t="s">
        <v>27142</v>
      </c>
      <c r="N1401">
        <f>-670.3585489062 -9.23711639387284 -526.578085997306</f>
        <v>-1206.1737512973787</v>
      </c>
      <c r="O1401">
        <f>-679.284028898042 -161.654121109938 -494.537540979196</f>
        <v>-1335.4756909871762</v>
      </c>
      <c r="P1401">
        <f>-705.85482088492 -169.243114096178 -213.79746148129</f>
        <v>-1088.8953964623879</v>
      </c>
      <c r="Q1401">
        <f>-480.728747024594 -140.560358778068 -263.235197439141</f>
        <v>-884.52430324180295</v>
      </c>
      <c r="R1401" t="s">
        <v>27143</v>
      </c>
      <c r="S1401" t="s">
        <v>27144</v>
      </c>
      <c r="T1401" t="s">
        <v>27145</v>
      </c>
      <c r="U1401" t="s">
        <v>27146</v>
      </c>
      <c r="V1401">
        <f>-596.066246436064 -53.0042830905822 -92.0530686734477</f>
        <v>-741.12359820009397</v>
      </c>
      <c r="W1401" t="s">
        <v>27147</v>
      </c>
      <c r="X1401" t="s">
        <v>27148</v>
      </c>
      <c r="Y1401" t="s">
        <v>27149</v>
      </c>
    </row>
    <row r="1402" spans="1:25" x14ac:dyDescent="0.3">
      <c r="A1402">
        <v>70050</v>
      </c>
      <c r="B1402" t="s">
        <v>27150</v>
      </c>
      <c r="C1402" t="s">
        <v>27151</v>
      </c>
      <c r="D1402" t="s">
        <v>27152</v>
      </c>
      <c r="E1402" t="s">
        <v>27153</v>
      </c>
      <c r="F1402" t="s">
        <v>27154</v>
      </c>
      <c r="G1402" t="s">
        <v>27155</v>
      </c>
      <c r="H1402" t="s">
        <v>27156</v>
      </c>
      <c r="I1402" t="s">
        <v>27157</v>
      </c>
      <c r="J1402" t="s">
        <v>27158</v>
      </c>
      <c r="K1402" t="s">
        <v>27159</v>
      </c>
      <c r="L1402" t="s">
        <v>27160</v>
      </c>
      <c r="M1402" t="s">
        <v>27161</v>
      </c>
      <c r="N1402">
        <f>-670.402210059954 -9.41142008150109 -526.530152731179</f>
        <v>-1206.3437828726342</v>
      </c>
      <c r="O1402">
        <f>-679.396486863675 -161.807696938803 -494.407558954489</f>
        <v>-1335.611742756967</v>
      </c>
      <c r="P1402">
        <f>-705.888158109094 -169.183228165531 -213.654317863125</f>
        <v>-1088.72570413775</v>
      </c>
      <c r="Q1402">
        <f>-480.757893255291 -140.700919873386 -263.188717272638</f>
        <v>-884.64753040131495</v>
      </c>
      <c r="R1402" t="s">
        <v>27162</v>
      </c>
      <c r="S1402" t="s">
        <v>27163</v>
      </c>
      <c r="T1402" t="s">
        <v>27164</v>
      </c>
      <c r="U1402" t="s">
        <v>27165</v>
      </c>
      <c r="V1402">
        <f>-595.998926502098 -53.0568977171538 -92.0391082771237</f>
        <v>-741.09493249637546</v>
      </c>
      <c r="W1402" t="s">
        <v>27166</v>
      </c>
      <c r="X1402" t="s">
        <v>27167</v>
      </c>
      <c r="Y1402" t="s">
        <v>27168</v>
      </c>
    </row>
    <row r="1403" spans="1:25" x14ac:dyDescent="0.3">
      <c r="A1403">
        <v>70100</v>
      </c>
      <c r="B1403" t="s">
        <v>27169</v>
      </c>
      <c r="C1403" t="s">
        <v>27170</v>
      </c>
      <c r="D1403" t="s">
        <v>27171</v>
      </c>
      <c r="E1403" t="s">
        <v>27172</v>
      </c>
      <c r="F1403" t="s">
        <v>27173</v>
      </c>
      <c r="G1403" t="s">
        <v>27174</v>
      </c>
      <c r="H1403" t="s">
        <v>27175</v>
      </c>
      <c r="I1403" t="s">
        <v>27176</v>
      </c>
      <c r="J1403" t="s">
        <v>27177</v>
      </c>
      <c r="K1403" t="s">
        <v>27178</v>
      </c>
      <c r="L1403" t="s">
        <v>27179</v>
      </c>
      <c r="M1403" t="s">
        <v>27180</v>
      </c>
      <c r="N1403">
        <f>-670.649622110821 -9.81134857263783 -526.412044579001</f>
        <v>-1206.8730152624598</v>
      </c>
      <c r="O1403">
        <f>-679.764623320921 -162.156884093321 -494.077663499746</f>
        <v>-1335.9991709139881</v>
      </c>
      <c r="P1403">
        <f>-706.183729162206 -169.107638728874 -213.306782467007</f>
        <v>-1088.598150358087</v>
      </c>
      <c r="Q1403">
        <f>-481.063385075861 -140.936389569327 -263.063675246671</f>
        <v>-885.06344989185891</v>
      </c>
      <c r="R1403" t="s">
        <v>27181</v>
      </c>
      <c r="S1403" t="s">
        <v>27182</v>
      </c>
      <c r="T1403" t="s">
        <v>27183</v>
      </c>
      <c r="U1403" t="s">
        <v>27184</v>
      </c>
      <c r="V1403">
        <f>-595.995882009532 -53.1827659197636 -92.0110948012549</f>
        <v>-741.18974273055051</v>
      </c>
      <c r="W1403" t="s">
        <v>27185</v>
      </c>
      <c r="X1403" t="s">
        <v>27186</v>
      </c>
      <c r="Y1403" t="s">
        <v>27187</v>
      </c>
    </row>
    <row r="1404" spans="1:25" x14ac:dyDescent="0.3">
      <c r="A1404">
        <v>70150</v>
      </c>
      <c r="B1404" t="s">
        <v>27188</v>
      </c>
      <c r="C1404" t="s">
        <v>27189</v>
      </c>
      <c r="D1404" t="s">
        <v>27190</v>
      </c>
      <c r="E1404" t="s">
        <v>27191</v>
      </c>
      <c r="F1404" t="s">
        <v>27192</v>
      </c>
      <c r="G1404" t="s">
        <v>27193</v>
      </c>
      <c r="H1404" t="s">
        <v>27194</v>
      </c>
      <c r="I1404" t="s">
        <v>27195</v>
      </c>
      <c r="J1404" t="s">
        <v>27196</v>
      </c>
      <c r="K1404" t="s">
        <v>27197</v>
      </c>
      <c r="L1404" t="s">
        <v>27198</v>
      </c>
      <c r="M1404" t="s">
        <v>27199</v>
      </c>
      <c r="N1404">
        <f>-670.72620050362 -10.0355946110831 -526.358443008772</f>
        <v>-1207.1202381234752</v>
      </c>
      <c r="O1404">
        <f>-679.914616242764 -162.351198284141 -493.91055376712</f>
        <v>-1336.176368294025</v>
      </c>
      <c r="P1404">
        <f>-706.28628646511 -169.198293309378 -213.132620145502</f>
        <v>-1088.6171999199901</v>
      </c>
      <c r="Q1404">
        <f>-481.169214111405 -141.15204984187 -262.974683916013</f>
        <v>-885.29594786928806</v>
      </c>
      <c r="R1404" t="s">
        <v>27200</v>
      </c>
      <c r="S1404" t="s">
        <v>27201</v>
      </c>
      <c r="T1404" t="s">
        <v>27202</v>
      </c>
      <c r="U1404" t="s">
        <v>27203</v>
      </c>
      <c r="V1404">
        <f>-595.979456360682 -53.2827920321702 -91.9979862295112</f>
        <v>-741.26023462236333</v>
      </c>
      <c r="W1404" t="s">
        <v>27204</v>
      </c>
      <c r="X1404" t="s">
        <v>27205</v>
      </c>
      <c r="Y1404" t="s">
        <v>27206</v>
      </c>
    </row>
    <row r="1405" spans="1:25" x14ac:dyDescent="0.3">
      <c r="A1405">
        <v>70200</v>
      </c>
      <c r="B1405" t="s">
        <v>27207</v>
      </c>
      <c r="C1405" t="s">
        <v>27208</v>
      </c>
      <c r="D1405" t="s">
        <v>27209</v>
      </c>
      <c r="E1405" t="s">
        <v>27210</v>
      </c>
      <c r="F1405" t="s">
        <v>27211</v>
      </c>
      <c r="G1405" t="s">
        <v>27212</v>
      </c>
      <c r="H1405" t="s">
        <v>27213</v>
      </c>
      <c r="I1405" t="s">
        <v>27214</v>
      </c>
      <c r="J1405" t="s">
        <v>27215</v>
      </c>
      <c r="K1405" t="s">
        <v>27216</v>
      </c>
      <c r="L1405" t="s">
        <v>27217</v>
      </c>
      <c r="M1405" t="s">
        <v>27218</v>
      </c>
      <c r="N1405">
        <f>-670.749528161517 -10.4767845260947 -526.280024369895</f>
        <v>-1207.5063370575067</v>
      </c>
      <c r="O1405">
        <f>-680.088580775686 -162.731796366283 -493.58716507513</f>
        <v>-1336.407542217099</v>
      </c>
      <c r="P1405">
        <f>-706.493400349712 -169.280025290211 -212.805105896299</f>
        <v>-1088.578531536222</v>
      </c>
      <c r="Q1405">
        <f>-481.356248693167 -141.577902714578 -262.749067037107</f>
        <v>-885.68321844485206</v>
      </c>
      <c r="R1405" t="s">
        <v>27219</v>
      </c>
      <c r="S1405" t="s">
        <v>27220</v>
      </c>
      <c r="T1405" t="s">
        <v>27221</v>
      </c>
      <c r="U1405" t="s">
        <v>27222</v>
      </c>
      <c r="V1405">
        <f>-595.925171628857 -53.4592647896654 -91.9907488275798</f>
        <v>-741.37518524610221</v>
      </c>
      <c r="W1405" t="s">
        <v>27223</v>
      </c>
      <c r="X1405" t="s">
        <v>27224</v>
      </c>
      <c r="Y1405" t="s">
        <v>27225</v>
      </c>
    </row>
    <row r="1406" spans="1:25" x14ac:dyDescent="0.3">
      <c r="A1406">
        <v>70250</v>
      </c>
      <c r="B1406" t="s">
        <v>27226</v>
      </c>
      <c r="C1406" t="s">
        <v>27227</v>
      </c>
      <c r="D1406" t="s">
        <v>27228</v>
      </c>
      <c r="E1406" t="s">
        <v>27229</v>
      </c>
      <c r="F1406" t="s">
        <v>27230</v>
      </c>
      <c r="G1406" t="s">
        <v>27231</v>
      </c>
      <c r="H1406" t="s">
        <v>27232</v>
      </c>
      <c r="I1406" t="s">
        <v>27233</v>
      </c>
      <c r="J1406" t="s">
        <v>27234</v>
      </c>
      <c r="K1406" t="s">
        <v>27235</v>
      </c>
      <c r="L1406" t="s">
        <v>27236</v>
      </c>
      <c r="M1406" t="s">
        <v>27237</v>
      </c>
      <c r="N1406">
        <f>-670.691788356134 -10.6118198211186 -526.252965207877</f>
        <v>-1207.5565733851295</v>
      </c>
      <c r="O1406">
        <f>-680.129876991906 -162.835910882157 -493.430453969416</f>
        <v>-1336.3962418434789</v>
      </c>
      <c r="P1406">
        <f>-706.646426112554 -169.214135483845 -212.655238646393</f>
        <v>-1088.515800242792</v>
      </c>
      <c r="Q1406">
        <f>-481.452166389419 -141.791419168682 -262.495774166296</f>
        <v>-885.73935972439699</v>
      </c>
      <c r="R1406" t="s">
        <v>27238</v>
      </c>
      <c r="S1406" t="s">
        <v>27239</v>
      </c>
      <c r="T1406" t="s">
        <v>27240</v>
      </c>
      <c r="U1406" t="s">
        <v>27241</v>
      </c>
      <c r="V1406">
        <f>-595.921439637771 -53.5196038965212 -91.995087645822</f>
        <v>-741.4361311801141</v>
      </c>
      <c r="W1406" t="s">
        <v>27242</v>
      </c>
      <c r="X1406" t="s">
        <v>27243</v>
      </c>
      <c r="Y1406" t="s">
        <v>27244</v>
      </c>
    </row>
    <row r="1407" spans="1:25" x14ac:dyDescent="0.3">
      <c r="A1407">
        <v>70300</v>
      </c>
      <c r="B1407" t="s">
        <v>27245</v>
      </c>
      <c r="C1407" t="s">
        <v>27246</v>
      </c>
      <c r="D1407" t="s">
        <v>27247</v>
      </c>
      <c r="E1407" t="s">
        <v>27248</v>
      </c>
      <c r="F1407" t="s">
        <v>27249</v>
      </c>
      <c r="G1407" t="s">
        <v>27250</v>
      </c>
      <c r="H1407" t="s">
        <v>27251</v>
      </c>
      <c r="I1407" t="s">
        <v>27252</v>
      </c>
      <c r="J1407" t="s">
        <v>27253</v>
      </c>
      <c r="K1407" t="s">
        <v>27254</v>
      </c>
      <c r="L1407" t="s">
        <v>27255</v>
      </c>
      <c r="M1407" t="s">
        <v>27256</v>
      </c>
      <c r="N1407">
        <f>-670.543131739647 -10.7873520596518 -526.230904451459</f>
        <v>-1207.5613882507578</v>
      </c>
      <c r="O1407">
        <f>-680.134654045022 -162.961629919774 -493.244557135785</f>
        <v>-1336.340841100581</v>
      </c>
      <c r="P1407">
        <f>-707.082301594331 -169.074943403516 -212.504363903876</f>
        <v>-1088.6616089017232</v>
      </c>
      <c r="Q1407">
        <f>-481.765453825937 -142.12596035911 -262.048170914445</f>
        <v>-885.93958509949198</v>
      </c>
      <c r="R1407" t="s">
        <v>27257</v>
      </c>
      <c r="S1407" t="s">
        <v>27258</v>
      </c>
      <c r="T1407" t="s">
        <v>27259</v>
      </c>
      <c r="U1407" t="s">
        <v>27260</v>
      </c>
      <c r="V1407">
        <f>-595.941999783724 -53.5491840611235 -91.9948078273402</f>
        <v>-741.48599167218765</v>
      </c>
      <c r="W1407" t="s">
        <v>27261</v>
      </c>
      <c r="X1407" t="s">
        <v>27262</v>
      </c>
      <c r="Y1407" t="s">
        <v>27263</v>
      </c>
    </row>
    <row r="1408" spans="1:25" x14ac:dyDescent="0.3">
      <c r="A1408">
        <v>70350</v>
      </c>
      <c r="B1408" t="s">
        <v>27264</v>
      </c>
      <c r="C1408" t="s">
        <v>27265</v>
      </c>
      <c r="D1408" t="s">
        <v>27266</v>
      </c>
      <c r="E1408" t="s">
        <v>27267</v>
      </c>
      <c r="F1408" t="s">
        <v>27268</v>
      </c>
      <c r="G1408" t="s">
        <v>27269</v>
      </c>
      <c r="H1408" t="s">
        <v>27270</v>
      </c>
      <c r="I1408" t="s">
        <v>27271</v>
      </c>
      <c r="J1408" t="s">
        <v>27272</v>
      </c>
      <c r="K1408" t="s">
        <v>27273</v>
      </c>
      <c r="L1408" t="s">
        <v>27274</v>
      </c>
      <c r="M1408" t="s">
        <v>27275</v>
      </c>
      <c r="N1408">
        <f>-670.464354906883 -10.8103064278414 -526.222589162763</f>
        <v>-1207.4972504974876</v>
      </c>
      <c r="O1408">
        <f>-680.138264817683 -162.969545316205 -493.173128299661</f>
        <v>-1336.280938433549</v>
      </c>
      <c r="P1408">
        <f>-707.332375654395 -168.997407568718 -212.454999474022</f>
        <v>-1088.7847826971351</v>
      </c>
      <c r="Q1408">
        <f>-481.979259028997 -142.194701964689 -261.913175303023</f>
        <v>-886.0871362967091</v>
      </c>
      <c r="R1408" t="s">
        <v>27276</v>
      </c>
      <c r="S1408" t="s">
        <v>27277</v>
      </c>
      <c r="T1408" t="s">
        <v>27278</v>
      </c>
      <c r="U1408" t="s">
        <v>27279</v>
      </c>
      <c r="V1408">
        <f>-595.905197849675 -53.5000482863416 -91.9906955081376</f>
        <v>-741.39594164415416</v>
      </c>
      <c r="W1408" t="s">
        <v>27280</v>
      </c>
      <c r="X1408" t="s">
        <v>27281</v>
      </c>
      <c r="Y1408" t="s">
        <v>27282</v>
      </c>
    </row>
    <row r="1409" spans="1:25" x14ac:dyDescent="0.3">
      <c r="A1409">
        <v>70400</v>
      </c>
      <c r="B1409" t="s">
        <v>27283</v>
      </c>
      <c r="C1409" t="s">
        <v>27284</v>
      </c>
      <c r="D1409" t="s">
        <v>27285</v>
      </c>
      <c r="E1409" t="s">
        <v>27286</v>
      </c>
      <c r="F1409" t="s">
        <v>27287</v>
      </c>
      <c r="G1409" t="s">
        <v>27288</v>
      </c>
      <c r="H1409" t="s">
        <v>27289</v>
      </c>
      <c r="I1409" t="s">
        <v>27290</v>
      </c>
      <c r="J1409" t="s">
        <v>27291</v>
      </c>
      <c r="K1409" t="s">
        <v>27292</v>
      </c>
      <c r="L1409" t="s">
        <v>27293</v>
      </c>
      <c r="M1409" t="s">
        <v>27294</v>
      </c>
      <c r="N1409">
        <f>-670.096417382996 -10.7257670138874 -526.250582989011</f>
        <v>-1207.0727673858946</v>
      </c>
      <c r="O1409">
        <f>-679.900984164111 -162.856912990184 -493.128210106275</f>
        <v>-1335.88610726057</v>
      </c>
      <c r="P1409">
        <f>-707.481909516971 -168.802323129342 -212.445861969466</f>
        <v>-1088.7300946157789</v>
      </c>
      <c r="Q1409">
        <f>-482.036136523673 -142.357564878357 -261.673723824833</f>
        <v>-886.06742522686307</v>
      </c>
      <c r="R1409" t="s">
        <v>27295</v>
      </c>
      <c r="S1409" t="s">
        <v>27296</v>
      </c>
      <c r="T1409" t="s">
        <v>27297</v>
      </c>
      <c r="U1409" t="s">
        <v>27298</v>
      </c>
      <c r="V1409">
        <f>-595.825276461752 -53.4043360342785 -91.9804909711506</f>
        <v>-741.21010346718106</v>
      </c>
      <c r="W1409" t="s">
        <v>27299</v>
      </c>
      <c r="X1409" t="s">
        <v>27300</v>
      </c>
      <c r="Y1409" t="s">
        <v>27301</v>
      </c>
    </row>
    <row r="1410" spans="1:25" x14ac:dyDescent="0.3">
      <c r="A1410">
        <v>70450</v>
      </c>
      <c r="B1410" t="s">
        <v>27302</v>
      </c>
      <c r="C1410" t="s">
        <v>27303</v>
      </c>
      <c r="D1410" t="s">
        <v>27304</v>
      </c>
      <c r="E1410" t="s">
        <v>27305</v>
      </c>
      <c r="F1410" t="s">
        <v>27306</v>
      </c>
      <c r="G1410" t="s">
        <v>27307</v>
      </c>
      <c r="H1410" t="s">
        <v>27308</v>
      </c>
      <c r="I1410" t="s">
        <v>27309</v>
      </c>
      <c r="J1410" t="s">
        <v>27310</v>
      </c>
      <c r="K1410" t="s">
        <v>27311</v>
      </c>
      <c r="L1410" t="s">
        <v>27312</v>
      </c>
      <c r="M1410" t="s">
        <v>27313</v>
      </c>
      <c r="N1410">
        <f>-669.775834837789 -10.6939364738505 -526.27722373019</f>
        <v>-1206.7469950418295</v>
      </c>
      <c r="O1410">
        <f>-679.582253520307 -162.815373955776 -493.122034230276</f>
        <v>-1335.5196617063589</v>
      </c>
      <c r="P1410">
        <f>-707.396723717454 -168.74883525548 -212.462728988691</f>
        <v>-1088.6082879616251</v>
      </c>
      <c r="Q1410">
        <f>-481.94986062427 -142.356005944431 -261.713553104375</f>
        <v>-886.01941967307607</v>
      </c>
      <c r="R1410" t="s">
        <v>27314</v>
      </c>
      <c r="S1410" t="s">
        <v>27315</v>
      </c>
      <c r="T1410" t="s">
        <v>27316</v>
      </c>
      <c r="U1410" t="s">
        <v>27317</v>
      </c>
      <c r="V1410">
        <f>-595.750726741893 -53.3336683178088 -91.9707091540174</f>
        <v>-741.05510421371923</v>
      </c>
      <c r="W1410" t="s">
        <v>27318</v>
      </c>
      <c r="X1410" t="s">
        <v>27319</v>
      </c>
      <c r="Y1410" t="s">
        <v>27320</v>
      </c>
    </row>
    <row r="1411" spans="1:25" x14ac:dyDescent="0.3">
      <c r="A1411">
        <v>70500</v>
      </c>
      <c r="B1411" t="s">
        <v>27321</v>
      </c>
      <c r="C1411" t="s">
        <v>27322</v>
      </c>
      <c r="D1411" t="s">
        <v>27323</v>
      </c>
      <c r="E1411" t="s">
        <v>27324</v>
      </c>
      <c r="F1411" t="s">
        <v>27325</v>
      </c>
      <c r="G1411" t="s">
        <v>27326</v>
      </c>
      <c r="H1411" t="s">
        <v>27327</v>
      </c>
      <c r="I1411" t="s">
        <v>27328</v>
      </c>
      <c r="J1411" t="s">
        <v>27329</v>
      </c>
      <c r="K1411" t="s">
        <v>27330</v>
      </c>
      <c r="L1411" t="s">
        <v>27331</v>
      </c>
      <c r="M1411" t="s">
        <v>27332</v>
      </c>
      <c r="N1411">
        <f>-669.09473058472 -10.5658452768791 -526.350701210496</f>
        <v>-1206.0112770720953</v>
      </c>
      <c r="O1411">
        <f>-678.901443153935 -162.681704381167 -493.147376064175</f>
        <v>-1334.7305235992771</v>
      </c>
      <c r="P1411">
        <f>-707.057984426976 -168.718985712132 -212.524166535539</f>
        <v>-1088.3011366746471</v>
      </c>
      <c r="Q1411">
        <f>-481.827216779672 -141.688221833854 -262.413590091796</f>
        <v>-885.92902870532203</v>
      </c>
      <c r="R1411" t="s">
        <v>27333</v>
      </c>
      <c r="S1411" t="s">
        <v>27334</v>
      </c>
      <c r="T1411" t="s">
        <v>27335</v>
      </c>
      <c r="U1411" t="s">
        <v>27336</v>
      </c>
      <c r="V1411">
        <f>-595.571030469137 -53.223276191266 -91.9698475189776</f>
        <v>-740.76415417938063</v>
      </c>
      <c r="W1411" t="s">
        <v>27337</v>
      </c>
      <c r="X1411" t="s">
        <v>27338</v>
      </c>
      <c r="Y1411" t="s">
        <v>27339</v>
      </c>
    </row>
    <row r="1412" spans="1:25" x14ac:dyDescent="0.3">
      <c r="A1412">
        <v>70550</v>
      </c>
      <c r="B1412" t="s">
        <v>27340</v>
      </c>
      <c r="C1412" t="s">
        <v>27341</v>
      </c>
      <c r="D1412" t="s">
        <v>27342</v>
      </c>
      <c r="E1412" t="s">
        <v>27343</v>
      </c>
      <c r="F1412" t="s">
        <v>27344</v>
      </c>
      <c r="G1412" t="s">
        <v>27345</v>
      </c>
      <c r="H1412" t="s">
        <v>27346</v>
      </c>
      <c r="I1412" t="s">
        <v>27347</v>
      </c>
      <c r="J1412" t="s">
        <v>27348</v>
      </c>
      <c r="K1412" t="s">
        <v>27349</v>
      </c>
      <c r="L1412" t="s">
        <v>27350</v>
      </c>
      <c r="M1412" t="s">
        <v>27351</v>
      </c>
      <c r="N1412">
        <f>-668.678418606592 -10.4784308891528 -526.412955732758</f>
        <v>-1205.5698052285029</v>
      </c>
      <c r="O1412">
        <f>-678.54840405448 -162.593864978782 -493.228933934803</f>
        <v>-1334.3712029680651</v>
      </c>
      <c r="P1412">
        <f>-706.780282099896 -168.614261513823 -212.612912097023</f>
        <v>-1088.0074557107419</v>
      </c>
      <c r="Q1412">
        <f>-481.775863595168 -140.945580924473 -263.169899846519</f>
        <v>-885.89134436615996</v>
      </c>
      <c r="R1412" t="s">
        <v>27352</v>
      </c>
      <c r="S1412" t="s">
        <v>27353</v>
      </c>
      <c r="T1412" t="s">
        <v>27354</v>
      </c>
      <c r="U1412" t="s">
        <v>27355</v>
      </c>
      <c r="V1412">
        <f>-595.477516821189 -53.1846125529416 -91.9724706271433</f>
        <v>-740.63460000127395</v>
      </c>
      <c r="W1412" t="s">
        <v>27356</v>
      </c>
      <c r="X1412" t="s">
        <v>27357</v>
      </c>
      <c r="Y1412" t="s">
        <v>27358</v>
      </c>
    </row>
    <row r="1413" spans="1:25" x14ac:dyDescent="0.3">
      <c r="A1413">
        <v>70600</v>
      </c>
      <c r="B1413" t="s">
        <v>27359</v>
      </c>
      <c r="C1413" t="s">
        <v>27360</v>
      </c>
      <c r="D1413" t="s">
        <v>27361</v>
      </c>
      <c r="E1413" t="s">
        <v>27362</v>
      </c>
      <c r="F1413" t="s">
        <v>27363</v>
      </c>
      <c r="G1413" t="s">
        <v>27364</v>
      </c>
      <c r="H1413" t="s">
        <v>27365</v>
      </c>
      <c r="I1413" t="s">
        <v>27366</v>
      </c>
      <c r="J1413" t="s">
        <v>27367</v>
      </c>
      <c r="K1413" t="s">
        <v>27368</v>
      </c>
      <c r="L1413" t="s">
        <v>27369</v>
      </c>
      <c r="M1413" t="s">
        <v>27370</v>
      </c>
      <c r="N1413">
        <f>-667.781889602598 -10.4180555031287 -526.547411298015</f>
        <v>-1204.7473564037418</v>
      </c>
      <c r="O1413">
        <f>-677.610524206023 -162.540593249329 -493.396305905261</f>
        <v>-1333.547423360613</v>
      </c>
      <c r="P1413">
        <f>-706.030889588377 -168.82358445039 -212.805285678451</f>
        <v>-1087.6597597172181</v>
      </c>
      <c r="Q1413">
        <f>-481.21137093544 -140.396657125542 -263.762248223581</f>
        <v>-885.37027628456303</v>
      </c>
      <c r="R1413" t="s">
        <v>27371</v>
      </c>
      <c r="S1413" t="s">
        <v>27372</v>
      </c>
      <c r="T1413" t="s">
        <v>27373</v>
      </c>
      <c r="U1413" t="s">
        <v>27374</v>
      </c>
      <c r="V1413">
        <f>-595.266523345988 -53.1453933097907 -91.9730421865628</f>
        <v>-740.38495884234158</v>
      </c>
      <c r="W1413" t="s">
        <v>27375</v>
      </c>
      <c r="X1413" t="s">
        <v>27376</v>
      </c>
      <c r="Y1413" t="s">
        <v>27377</v>
      </c>
    </row>
    <row r="1414" spans="1:25" x14ac:dyDescent="0.3">
      <c r="A1414">
        <v>70650</v>
      </c>
      <c r="B1414" t="s">
        <v>27378</v>
      </c>
      <c r="C1414" t="s">
        <v>27379</v>
      </c>
      <c r="D1414" t="s">
        <v>27380</v>
      </c>
      <c r="E1414" t="s">
        <v>27381</v>
      </c>
      <c r="F1414" t="s">
        <v>27382</v>
      </c>
      <c r="G1414" t="s">
        <v>27383</v>
      </c>
      <c r="H1414" t="s">
        <v>27384</v>
      </c>
      <c r="I1414" t="s">
        <v>27385</v>
      </c>
      <c r="J1414" t="s">
        <v>27386</v>
      </c>
      <c r="K1414" t="s">
        <v>27387</v>
      </c>
      <c r="L1414" t="s">
        <v>27388</v>
      </c>
      <c r="M1414" t="s">
        <v>27389</v>
      </c>
      <c r="N1414">
        <f>-667.231220420201 -10.3282633248555 -526.628102930799</f>
        <v>-1204.1875866758555</v>
      </c>
      <c r="O1414">
        <f>-676.974417455288 -162.468197997134 -493.519755842327</f>
        <v>-1332.9623712947489</v>
      </c>
      <c r="P1414">
        <f>-705.534399644144 -168.870389274515 -212.945383353426</f>
        <v>-1087.3501722720848</v>
      </c>
      <c r="Q1414">
        <f>-480.708808471826 -140.22914021045 -263.755308067376</f>
        <v>-884.69325674965194</v>
      </c>
      <c r="R1414" t="s">
        <v>27390</v>
      </c>
      <c r="S1414" t="s">
        <v>27391</v>
      </c>
      <c r="T1414" t="s">
        <v>27392</v>
      </c>
      <c r="U1414" t="s">
        <v>27393</v>
      </c>
      <c r="V1414">
        <f>-595.109484609961 -53.1052313627067 -91.9758445160195</f>
        <v>-740.1905604886872</v>
      </c>
      <c r="W1414" t="s">
        <v>27394</v>
      </c>
      <c r="X1414" t="s">
        <v>27395</v>
      </c>
      <c r="Y1414" t="s">
        <v>27396</v>
      </c>
    </row>
    <row r="1415" spans="1:25" x14ac:dyDescent="0.3">
      <c r="A1415">
        <v>70700</v>
      </c>
      <c r="B1415" t="s">
        <v>27397</v>
      </c>
      <c r="C1415" t="s">
        <v>27398</v>
      </c>
      <c r="D1415" t="s">
        <v>27399</v>
      </c>
      <c r="E1415" t="s">
        <v>27400</v>
      </c>
      <c r="F1415" t="s">
        <v>27401</v>
      </c>
      <c r="G1415" t="s">
        <v>27402</v>
      </c>
      <c r="H1415" t="s">
        <v>27403</v>
      </c>
      <c r="I1415" t="s">
        <v>27404</v>
      </c>
      <c r="J1415" t="s">
        <v>27405</v>
      </c>
      <c r="K1415" t="s">
        <v>27406</v>
      </c>
      <c r="L1415" t="s">
        <v>27407</v>
      </c>
      <c r="M1415" t="s">
        <v>27408</v>
      </c>
      <c r="N1415">
        <f>-666.052635776653 -10.0516004246422 -526.766331426361</f>
        <v>-1202.8705676276563</v>
      </c>
      <c r="O1415">
        <f>-675.495165112007 -162.239377599463 -493.786571282399</f>
        <v>-1331.5211139938692</v>
      </c>
      <c r="P1415">
        <f>-704.594373315737 -168.954930783035 -213.275021472509</f>
        <v>-1086.824325571281</v>
      </c>
      <c r="Q1415">
        <f>-479.566546285944 -140.162732182205 -263.094911946656</f>
        <v>-882.824190414805</v>
      </c>
      <c r="R1415" t="s">
        <v>27409</v>
      </c>
      <c r="S1415" t="s">
        <v>27410</v>
      </c>
      <c r="T1415" t="s">
        <v>27411</v>
      </c>
      <c r="U1415" t="s">
        <v>27412</v>
      </c>
      <c r="V1415">
        <f>-594.611578599961 -53.0383979107146 -91.9741644311694</f>
        <v>-739.62414094184498</v>
      </c>
      <c r="W1415" t="s">
        <v>27413</v>
      </c>
      <c r="X1415" t="s">
        <v>27414</v>
      </c>
      <c r="Y1415" t="s">
        <v>27415</v>
      </c>
    </row>
    <row r="1416" spans="1:25" x14ac:dyDescent="0.3">
      <c r="A1416">
        <v>70750</v>
      </c>
      <c r="B1416" t="s">
        <v>27416</v>
      </c>
      <c r="C1416" t="s">
        <v>27417</v>
      </c>
      <c r="D1416" t="s">
        <v>27418</v>
      </c>
      <c r="E1416" t="s">
        <v>27419</v>
      </c>
      <c r="F1416" t="s">
        <v>27420</v>
      </c>
      <c r="G1416" t="s">
        <v>27421</v>
      </c>
      <c r="H1416" t="s">
        <v>27422</v>
      </c>
      <c r="I1416" t="s">
        <v>27423</v>
      </c>
      <c r="J1416" t="s">
        <v>27424</v>
      </c>
      <c r="K1416" t="s">
        <v>27425</v>
      </c>
      <c r="L1416" t="s">
        <v>27426</v>
      </c>
      <c r="M1416" t="s">
        <v>27427</v>
      </c>
      <c r="N1416">
        <f>-665.282369313668 -9.82565664756521 -526.85447683939</f>
        <v>-1201.9625028006233</v>
      </c>
      <c r="O1416">
        <f>-674.62148243614 -162.047288298425 -494.003961351214</f>
        <v>-1330.672732085779</v>
      </c>
      <c r="P1416">
        <f>-704.03347931114 -168.979022113133 -213.530330737622</f>
        <v>-1086.5428321618951</v>
      </c>
      <c r="Q1416">
        <f>-478.919116783829 -140.096290386148 -262.904850975577</f>
        <v>-881.92025814555404</v>
      </c>
      <c r="R1416" t="s">
        <v>27428</v>
      </c>
      <c r="S1416" t="s">
        <v>27429</v>
      </c>
      <c r="T1416" t="s">
        <v>27430</v>
      </c>
      <c r="U1416" t="s">
        <v>27431</v>
      </c>
      <c r="V1416">
        <f>-594.269639205967 -52.9852396726026 -91.960591586246</f>
        <v>-739.21547046481555</v>
      </c>
      <c r="W1416" t="s">
        <v>27432</v>
      </c>
      <c r="X1416" t="s">
        <v>27433</v>
      </c>
      <c r="Y1416" t="s">
        <v>27434</v>
      </c>
    </row>
    <row r="1417" spans="1:25" x14ac:dyDescent="0.3">
      <c r="A1417">
        <v>70800</v>
      </c>
      <c r="B1417" t="s">
        <v>27435</v>
      </c>
      <c r="C1417" t="s">
        <v>27436</v>
      </c>
      <c r="D1417" t="s">
        <v>27437</v>
      </c>
      <c r="E1417" t="s">
        <v>27438</v>
      </c>
      <c r="F1417" t="s">
        <v>27439</v>
      </c>
      <c r="G1417" t="s">
        <v>27440</v>
      </c>
      <c r="H1417" t="s">
        <v>27441</v>
      </c>
      <c r="I1417" t="s">
        <v>27442</v>
      </c>
      <c r="J1417" t="s">
        <v>27443</v>
      </c>
      <c r="K1417" t="s">
        <v>27444</v>
      </c>
      <c r="L1417" t="s">
        <v>27445</v>
      </c>
      <c r="M1417" t="s">
        <v>27446</v>
      </c>
      <c r="N1417">
        <f>-663.758056548002 -9.59992271947613 -526.959313064085</f>
        <v>-1200.3172923315631</v>
      </c>
      <c r="O1417">
        <f>-672.834122167444 -161.897560940806 -494.385298712538</f>
        <v>-1329.1169818207879</v>
      </c>
      <c r="P1417">
        <f>-702.851311309652 -169.506897078911 -213.993350406915</f>
        <v>-1086.351558795478</v>
      </c>
      <c r="Q1417">
        <f>-477.589235075438 -140.501587312308 -262.616668625277</f>
        <v>-880.70749101302295</v>
      </c>
      <c r="R1417" t="s">
        <v>27447</v>
      </c>
      <c r="S1417" t="s">
        <v>27448</v>
      </c>
      <c r="T1417" t="s">
        <v>27449</v>
      </c>
      <c r="U1417" t="s">
        <v>27450</v>
      </c>
      <c r="V1417">
        <f>-593.433985896787 -52.859906584519 -91.9078129538048</f>
        <v>-738.20170543511074</v>
      </c>
      <c r="W1417" t="s">
        <v>27451</v>
      </c>
      <c r="X1417" t="s">
        <v>27452</v>
      </c>
      <c r="Y1417" t="s">
        <v>27453</v>
      </c>
    </row>
    <row r="1418" spans="1:25" x14ac:dyDescent="0.3">
      <c r="A1418">
        <v>70850</v>
      </c>
      <c r="B1418" t="s">
        <v>27454</v>
      </c>
      <c r="C1418" t="s">
        <v>27455</v>
      </c>
      <c r="D1418" t="s">
        <v>27456</v>
      </c>
      <c r="E1418" t="s">
        <v>27457</v>
      </c>
      <c r="F1418" t="s">
        <v>27458</v>
      </c>
      <c r="G1418" t="s">
        <v>27459</v>
      </c>
      <c r="H1418" t="s">
        <v>27460</v>
      </c>
      <c r="I1418" t="s">
        <v>27461</v>
      </c>
      <c r="J1418" t="s">
        <v>27462</v>
      </c>
      <c r="K1418" t="s">
        <v>27463</v>
      </c>
      <c r="L1418" t="s">
        <v>27464</v>
      </c>
      <c r="M1418" t="s">
        <v>27465</v>
      </c>
      <c r="N1418">
        <f>-663.077895472309 -9.46525076276521 -526.990643557305</f>
        <v>-1199.5337897923791</v>
      </c>
      <c r="O1418">
        <f>-671.998358015202 -161.794179571423 -494.52369030173</f>
        <v>-1328.3162278883551</v>
      </c>
      <c r="P1418">
        <f>-702.108635877106 -169.706759413597 -214.150043332708</f>
        <v>-1085.965438623411</v>
      </c>
      <c r="Q1418">
        <f>-476.856363149531 -140.370804840607 -262.620178174835</f>
        <v>-879.84734616497303</v>
      </c>
      <c r="R1418" t="s">
        <v>27466</v>
      </c>
      <c r="S1418" t="s">
        <v>27467</v>
      </c>
      <c r="T1418" t="s">
        <v>27468</v>
      </c>
      <c r="U1418" t="s">
        <v>27469</v>
      </c>
      <c r="V1418">
        <f>-592.942127202461 -52.8220872747013 -91.8799217616677</f>
        <v>-737.64413623883001</v>
      </c>
      <c r="W1418" t="s">
        <v>27470</v>
      </c>
      <c r="X1418" t="s">
        <v>27471</v>
      </c>
      <c r="Y1418" t="s">
        <v>27472</v>
      </c>
    </row>
    <row r="1419" spans="1:25" x14ac:dyDescent="0.3">
      <c r="A1419">
        <v>70900</v>
      </c>
      <c r="B1419" t="s">
        <v>27473</v>
      </c>
      <c r="C1419" t="s">
        <v>27474</v>
      </c>
      <c r="D1419" t="s">
        <v>27475</v>
      </c>
      <c r="E1419" t="s">
        <v>27476</v>
      </c>
      <c r="F1419" t="s">
        <v>27477</v>
      </c>
      <c r="G1419" t="s">
        <v>27478</v>
      </c>
      <c r="H1419" t="s">
        <v>27479</v>
      </c>
      <c r="I1419" t="s">
        <v>27480</v>
      </c>
      <c r="J1419" t="s">
        <v>27481</v>
      </c>
      <c r="K1419" t="s">
        <v>27482</v>
      </c>
      <c r="L1419" t="s">
        <v>27483</v>
      </c>
      <c r="M1419" t="s">
        <v>27484</v>
      </c>
      <c r="N1419">
        <f>-661.886706058496 -9.3354309229926 -527.044232898826</f>
        <v>-1198.2663698803144</v>
      </c>
      <c r="O1419">
        <f>-670.523965159882 -161.718368124945 -494.764119320082</f>
        <v>-1327.0064526049089</v>
      </c>
      <c r="P1419">
        <f>-700.511214008122 -170.037769822952 -214.389116211526</f>
        <v>-1084.9381000425999</v>
      </c>
      <c r="Q1419">
        <f>-475.563259794304 -139.499236608356 -263.524924244</f>
        <v>-878.58742064665989</v>
      </c>
      <c r="R1419" t="s">
        <v>27485</v>
      </c>
      <c r="S1419" t="s">
        <v>27486</v>
      </c>
      <c r="T1419" t="s">
        <v>27487</v>
      </c>
      <c r="U1419" t="s">
        <v>27488</v>
      </c>
      <c r="V1419">
        <f>-591.952661666314 -52.8070006706271 -91.8321477917534</f>
        <v>-736.59181012869453</v>
      </c>
      <c r="W1419" t="s">
        <v>27489</v>
      </c>
      <c r="X1419" t="s">
        <v>27490</v>
      </c>
      <c r="Y1419" t="s">
        <v>27491</v>
      </c>
    </row>
    <row r="1420" spans="1:25" x14ac:dyDescent="0.3">
      <c r="A1420">
        <v>70950</v>
      </c>
      <c r="B1420" t="s">
        <v>27492</v>
      </c>
      <c r="C1420" t="s">
        <v>27493</v>
      </c>
      <c r="D1420" t="s">
        <v>27494</v>
      </c>
      <c r="E1420" t="s">
        <v>27495</v>
      </c>
      <c r="F1420" t="s">
        <v>27496</v>
      </c>
      <c r="G1420" t="s">
        <v>27497</v>
      </c>
      <c r="H1420" t="s">
        <v>27498</v>
      </c>
      <c r="I1420" t="s">
        <v>27499</v>
      </c>
      <c r="J1420" t="s">
        <v>27500</v>
      </c>
      <c r="K1420" t="s">
        <v>27501</v>
      </c>
      <c r="L1420" t="s">
        <v>27502</v>
      </c>
      <c r="M1420" t="s">
        <v>27503</v>
      </c>
      <c r="N1420">
        <f>-661.430949990167 -9.29137555909824 -527.033498510578</f>
        <v>-1197.7558240598432</v>
      </c>
      <c r="O1420">
        <f>-669.871295831116 -161.703904227674 -494.8308969729</f>
        <v>-1326.40609703169</v>
      </c>
      <c r="P1420">
        <f>-699.877040471364 -170.220088532929 -214.463761424464</f>
        <v>-1084.5608904287569</v>
      </c>
      <c r="Q1420">
        <f>-475.120101165391 -139.019214188553 -264.055636266313</f>
        <v>-878.19495162025714</v>
      </c>
      <c r="R1420" t="s">
        <v>27504</v>
      </c>
      <c r="S1420" t="s">
        <v>27505</v>
      </c>
      <c r="T1420" t="s">
        <v>27506</v>
      </c>
      <c r="U1420" t="s">
        <v>27507</v>
      </c>
      <c r="V1420">
        <f>-591.478851518146 -52.7728872576668 -91.8076285384044</f>
        <v>-736.05936731421718</v>
      </c>
      <c r="W1420" t="s">
        <v>27508</v>
      </c>
      <c r="X1420" t="s">
        <v>27509</v>
      </c>
      <c r="Y1420" t="s">
        <v>27510</v>
      </c>
    </row>
    <row r="1421" spans="1:25" x14ac:dyDescent="0.3">
      <c r="A1421">
        <v>71000</v>
      </c>
      <c r="B1421" t="s">
        <v>27511</v>
      </c>
      <c r="C1421" t="s">
        <v>27512</v>
      </c>
      <c r="D1421" t="s">
        <v>27513</v>
      </c>
      <c r="E1421" t="s">
        <v>27514</v>
      </c>
      <c r="F1421" t="s">
        <v>27515</v>
      </c>
      <c r="G1421" t="s">
        <v>27516</v>
      </c>
      <c r="H1421" t="s">
        <v>27517</v>
      </c>
      <c r="I1421" t="s">
        <v>27518</v>
      </c>
      <c r="J1421" t="s">
        <v>27519</v>
      </c>
      <c r="K1421" t="s">
        <v>27520</v>
      </c>
      <c r="L1421" t="s">
        <v>27521</v>
      </c>
      <c r="M1421" t="s">
        <v>27522</v>
      </c>
      <c r="N1421">
        <f>-660.534200630032 -9.0912410338583 -527.006551221022</f>
        <v>-1196.6319928849125</v>
      </c>
      <c r="O1421">
        <f>-668.810471438357 -161.544874972123 -494.94564448039</f>
        <v>-1325.30099089087</v>
      </c>
      <c r="P1421">
        <f>-698.6123502072 -170.460387106752 -214.569286255084</f>
        <v>-1083.6420235690362</v>
      </c>
      <c r="Q1421">
        <f>-474.312133996045 -137.775934259942 -265.261378747155</f>
        <v>-877.34944700314213</v>
      </c>
      <c r="R1421" t="s">
        <v>27523</v>
      </c>
      <c r="S1421" t="s">
        <v>27524</v>
      </c>
      <c r="T1421" t="s">
        <v>27525</v>
      </c>
      <c r="U1421" t="s">
        <v>27526</v>
      </c>
      <c r="V1421">
        <f>-590.521309682489 -52.611963481364 -91.7295547316913</f>
        <v>-734.86282789554434</v>
      </c>
      <c r="W1421" t="s">
        <v>27527</v>
      </c>
      <c r="X1421" t="s">
        <v>27528</v>
      </c>
      <c r="Y1421" t="s">
        <v>27529</v>
      </c>
    </row>
    <row r="1422" spans="1:25" x14ac:dyDescent="0.3">
      <c r="A1422">
        <v>71050</v>
      </c>
      <c r="B1422" t="s">
        <v>27530</v>
      </c>
      <c r="C1422" t="s">
        <v>27531</v>
      </c>
      <c r="D1422" t="s">
        <v>27532</v>
      </c>
      <c r="E1422" t="s">
        <v>27533</v>
      </c>
      <c r="F1422" t="s">
        <v>27534</v>
      </c>
      <c r="G1422" t="s">
        <v>27535</v>
      </c>
      <c r="H1422" t="s">
        <v>27536</v>
      </c>
      <c r="I1422" t="s">
        <v>27537</v>
      </c>
      <c r="J1422" t="s">
        <v>27538</v>
      </c>
      <c r="K1422" t="s">
        <v>27539</v>
      </c>
      <c r="L1422" t="s">
        <v>27540</v>
      </c>
      <c r="M1422" t="s">
        <v>27541</v>
      </c>
      <c r="N1422">
        <f>-659.938470444638 -9.02731316443897 -527.012800217018</f>
        <v>-1195.978583826095</v>
      </c>
      <c r="O1422">
        <f>-668.230398931681 -161.485086313727 -494.998773781853</f>
        <v>-1324.7142590272611</v>
      </c>
      <c r="P1422">
        <f>-697.910733216499 -170.616573065882 -214.61650295891</f>
        <v>-1083.1438092412909</v>
      </c>
      <c r="Q1422">
        <f>-473.784957033836 -137.332384012296 -265.688449509572</f>
        <v>-876.80579055570399</v>
      </c>
      <c r="R1422" t="s">
        <v>27542</v>
      </c>
      <c r="S1422" t="s">
        <v>27543</v>
      </c>
      <c r="T1422" t="s">
        <v>27544</v>
      </c>
      <c r="U1422" t="s">
        <v>27545</v>
      </c>
      <c r="V1422">
        <f>-590.035459394656 -52.5703638959676 -91.6951924555434</f>
        <v>-734.30101574616697</v>
      </c>
      <c r="W1422" t="s">
        <v>27546</v>
      </c>
      <c r="X1422" t="s">
        <v>27547</v>
      </c>
      <c r="Y1422" t="s">
        <v>27548</v>
      </c>
    </row>
    <row r="1423" spans="1:25" x14ac:dyDescent="0.3">
      <c r="A1423">
        <v>71100</v>
      </c>
      <c r="B1423" t="s">
        <v>27549</v>
      </c>
      <c r="C1423" t="s">
        <v>27550</v>
      </c>
      <c r="D1423" t="s">
        <v>27551</v>
      </c>
      <c r="E1423" t="s">
        <v>27552</v>
      </c>
      <c r="F1423" t="s">
        <v>27553</v>
      </c>
      <c r="G1423" t="s">
        <v>27554</v>
      </c>
      <c r="H1423" t="s">
        <v>27555</v>
      </c>
      <c r="I1423" t="s">
        <v>27556</v>
      </c>
      <c r="J1423" t="s">
        <v>27557</v>
      </c>
      <c r="K1423" t="s">
        <v>27558</v>
      </c>
      <c r="L1423" t="s">
        <v>27559</v>
      </c>
      <c r="M1423" t="s">
        <v>27560</v>
      </c>
      <c r="N1423">
        <f>-658.794117479724 -8.98517684938679 -527.011662885489</f>
        <v>-1194.7909572146</v>
      </c>
      <c r="O1423">
        <f>-667.11573080759 -161.446606573674 -494.995776836422</f>
        <v>-1323.5581142176861</v>
      </c>
      <c r="P1423">
        <f>-696.79753555398 -170.771441795099 -214.619853054848</f>
        <v>-1082.1888304039269</v>
      </c>
      <c r="Q1423">
        <f>-472.964888053438 -136.544175214704 -266.349696084429</f>
        <v>-875.85875935257104</v>
      </c>
      <c r="R1423" t="s">
        <v>27561</v>
      </c>
      <c r="S1423" t="s">
        <v>27562</v>
      </c>
      <c r="T1423" t="s">
        <v>27563</v>
      </c>
      <c r="U1423" t="s">
        <v>27564</v>
      </c>
      <c r="V1423">
        <f>-589.166356738543 -52.637258337696 -91.6534905767335</f>
        <v>-733.45710565297247</v>
      </c>
      <c r="W1423" t="s">
        <v>27565</v>
      </c>
      <c r="X1423" t="s">
        <v>27566</v>
      </c>
      <c r="Y1423" t="s">
        <v>27567</v>
      </c>
    </row>
    <row r="1424" spans="1:25" x14ac:dyDescent="0.3">
      <c r="A1424">
        <v>71150</v>
      </c>
      <c r="B1424" t="s">
        <v>27568</v>
      </c>
      <c r="C1424" t="s">
        <v>27569</v>
      </c>
      <c r="D1424" t="s">
        <v>27570</v>
      </c>
      <c r="E1424" t="s">
        <v>27571</v>
      </c>
      <c r="F1424" t="s">
        <v>27572</v>
      </c>
      <c r="G1424" t="s">
        <v>27573</v>
      </c>
      <c r="H1424" t="s">
        <v>27574</v>
      </c>
      <c r="I1424" t="s">
        <v>27575</v>
      </c>
      <c r="J1424" t="s">
        <v>27576</v>
      </c>
      <c r="K1424" t="s">
        <v>27577</v>
      </c>
      <c r="L1424" t="s">
        <v>27578</v>
      </c>
      <c r="M1424" t="s">
        <v>27579</v>
      </c>
      <c r="N1424">
        <f>-658.220378019852 -8.92065967907979 -527.041105364335</f>
        <v>-1194.1821430632667</v>
      </c>
      <c r="O1424">
        <f>-666.597874763098 -161.377910199666 -495.027644974415</f>
        <v>-1323.0034299371791</v>
      </c>
      <c r="P1424">
        <f>-696.379353098316 -170.72734530893 -214.66315482036</f>
        <v>-1081.7698532276061</v>
      </c>
      <c r="Q1424">
        <f>-472.693525156937 -136.033235858337 -266.716324382188</f>
        <v>-875.44308539746203</v>
      </c>
      <c r="R1424" t="s">
        <v>27580</v>
      </c>
      <c r="S1424" t="s">
        <v>27581</v>
      </c>
      <c r="T1424" t="s">
        <v>27582</v>
      </c>
      <c r="U1424" t="s">
        <v>27583</v>
      </c>
      <c r="V1424">
        <f>-588.888752286158 -52.6964711179764 -91.6490384090367</f>
        <v>-733.2342618131712</v>
      </c>
      <c r="W1424" t="s">
        <v>27584</v>
      </c>
      <c r="X1424" t="s">
        <v>27585</v>
      </c>
      <c r="Y1424" t="s">
        <v>27586</v>
      </c>
    </row>
    <row r="1425" spans="1:25" x14ac:dyDescent="0.3">
      <c r="A1425">
        <v>71200</v>
      </c>
      <c r="B1425" t="s">
        <v>27587</v>
      </c>
      <c r="C1425" t="s">
        <v>27588</v>
      </c>
      <c r="D1425" t="s">
        <v>27589</v>
      </c>
      <c r="E1425" t="s">
        <v>27590</v>
      </c>
      <c r="F1425" t="s">
        <v>27591</v>
      </c>
      <c r="G1425" t="s">
        <v>27592</v>
      </c>
      <c r="H1425" t="s">
        <v>27593</v>
      </c>
      <c r="I1425" t="s">
        <v>27594</v>
      </c>
      <c r="J1425" t="s">
        <v>27595</v>
      </c>
      <c r="K1425" t="s">
        <v>27596</v>
      </c>
      <c r="L1425" t="s">
        <v>27597</v>
      </c>
      <c r="M1425" t="s">
        <v>27598</v>
      </c>
      <c r="N1425">
        <f>-657.10827714324 -8.8028714121499 -527.134034301334</f>
        <v>-1193.0451828567238</v>
      </c>
      <c r="O1425">
        <f>-665.585136975334 -161.254786362361 -495.12175287482</f>
        <v>-1321.9616762125149</v>
      </c>
      <c r="P1425">
        <f>-695.879521889142 -170.873563956013 -214.821346590298</f>
        <v>-1081.574432435453</v>
      </c>
      <c r="Q1425">
        <f>-472.406697345842 -135.324902428642 -267.211592676382</f>
        <v>-874.94319245086604</v>
      </c>
      <c r="R1425" t="s">
        <v>27599</v>
      </c>
      <c r="S1425" t="s">
        <v>27600</v>
      </c>
      <c r="T1425" t="s">
        <v>27601</v>
      </c>
      <c r="U1425" t="s">
        <v>27602</v>
      </c>
      <c r="V1425">
        <f>-588.469265416642 -52.8527712835694 -91.661713405265</f>
        <v>-732.98375010547636</v>
      </c>
      <c r="W1425" t="s">
        <v>27603</v>
      </c>
      <c r="X1425" t="s">
        <v>27604</v>
      </c>
      <c r="Y1425" t="s">
        <v>27605</v>
      </c>
    </row>
    <row r="1426" spans="1:25" x14ac:dyDescent="0.3">
      <c r="A1426">
        <v>71250</v>
      </c>
      <c r="B1426" t="s">
        <v>27606</v>
      </c>
      <c r="C1426" t="s">
        <v>27607</v>
      </c>
      <c r="D1426" t="s">
        <v>27608</v>
      </c>
      <c r="E1426" t="s">
        <v>27609</v>
      </c>
      <c r="F1426" t="s">
        <v>27610</v>
      </c>
      <c r="G1426" t="s">
        <v>27611</v>
      </c>
      <c r="H1426" t="s">
        <v>27612</v>
      </c>
      <c r="I1426" t="s">
        <v>27613</v>
      </c>
      <c r="J1426" t="s">
        <v>27614</v>
      </c>
      <c r="K1426" t="s">
        <v>27615</v>
      </c>
      <c r="L1426" t="s">
        <v>27616</v>
      </c>
      <c r="M1426" t="s">
        <v>27617</v>
      </c>
      <c r="N1426">
        <f>-656.566833187738 -8.73865415832961 -527.211824342984</f>
        <v>-1192.5173116890514</v>
      </c>
      <c r="O1426">
        <f>-665.122347657268 -161.189509919029 -495.210260313192</f>
        <v>-1321.522117889489</v>
      </c>
      <c r="P1426">
        <f>-695.680384503266 -170.95706519929 -214.943560407042</f>
        <v>-1081.5810101095981</v>
      </c>
      <c r="Q1426">
        <f>-472.273529023206 -135.111912490315 -267.412903337669</f>
        <v>-874.79834485119</v>
      </c>
      <c r="R1426" t="s">
        <v>27618</v>
      </c>
      <c r="S1426" t="s">
        <v>27619</v>
      </c>
      <c r="T1426" t="s">
        <v>27620</v>
      </c>
      <c r="U1426" t="s">
        <v>27621</v>
      </c>
      <c r="V1426">
        <f>-588.363091271737 -53.0016594302554 -91.6770613498179</f>
        <v>-733.04181205181021</v>
      </c>
      <c r="W1426" t="s">
        <v>27622</v>
      </c>
      <c r="X1426" t="s">
        <v>27623</v>
      </c>
      <c r="Y1426" t="s">
        <v>27624</v>
      </c>
    </row>
    <row r="1427" spans="1:25" x14ac:dyDescent="0.3">
      <c r="A1427">
        <v>71300</v>
      </c>
      <c r="B1427" t="s">
        <v>27625</v>
      </c>
      <c r="C1427" t="s">
        <v>27626</v>
      </c>
      <c r="D1427" t="s">
        <v>27627</v>
      </c>
      <c r="E1427" t="s">
        <v>27628</v>
      </c>
      <c r="F1427" t="s">
        <v>27629</v>
      </c>
      <c r="G1427" t="s">
        <v>27630</v>
      </c>
      <c r="H1427" t="s">
        <v>27631</v>
      </c>
      <c r="I1427" t="s">
        <v>27632</v>
      </c>
      <c r="J1427" t="s">
        <v>27633</v>
      </c>
      <c r="K1427" t="s">
        <v>27634</v>
      </c>
      <c r="L1427" t="s">
        <v>27635</v>
      </c>
      <c r="M1427" t="s">
        <v>27636</v>
      </c>
      <c r="N1427">
        <f>-655.595832839937 -8.65157416656734 -527.393030532407</f>
        <v>-1191.6404375389113</v>
      </c>
      <c r="O1427">
        <f>-664.378876680853 -161.097787323692 -495.449118500014</f>
        <v>-1320.925782504559</v>
      </c>
      <c r="P1427">
        <f>-695.410888310351 -171.181551182049 -215.245863463964</f>
        <v>-1081.838302956364</v>
      </c>
      <c r="Q1427">
        <f>-472.074199793504 -135.163005669882 -267.894761074</f>
        <v>-875.13196653738601</v>
      </c>
      <c r="R1427" t="s">
        <v>27637</v>
      </c>
      <c r="S1427" t="s">
        <v>27638</v>
      </c>
      <c r="T1427" t="s">
        <v>27639</v>
      </c>
      <c r="U1427" t="s">
        <v>27640</v>
      </c>
      <c r="V1427">
        <f>-588.367991507063 -53.2769495646251 -91.7142770825554</f>
        <v>-733.35921815424354</v>
      </c>
      <c r="W1427" t="s">
        <v>27641</v>
      </c>
      <c r="X1427" t="s">
        <v>27642</v>
      </c>
      <c r="Y1427" t="s">
        <v>27643</v>
      </c>
    </row>
    <row r="1428" spans="1:25" x14ac:dyDescent="0.3">
      <c r="A1428">
        <v>71350</v>
      </c>
      <c r="B1428" t="s">
        <v>27644</v>
      </c>
      <c r="C1428" t="s">
        <v>27645</v>
      </c>
      <c r="D1428" t="s">
        <v>27646</v>
      </c>
      <c r="E1428" t="s">
        <v>27647</v>
      </c>
      <c r="F1428" t="s">
        <v>27648</v>
      </c>
      <c r="G1428" t="s">
        <v>27649</v>
      </c>
      <c r="H1428" t="s">
        <v>27650</v>
      </c>
      <c r="I1428" t="s">
        <v>27651</v>
      </c>
      <c r="J1428" t="s">
        <v>27652</v>
      </c>
      <c r="K1428" t="s">
        <v>27653</v>
      </c>
      <c r="L1428" t="s">
        <v>27654</v>
      </c>
      <c r="M1428" t="s">
        <v>27655</v>
      </c>
      <c r="N1428">
        <f>-655.214789040547 -8.57897531952267 -527.499508951699</f>
        <v>-1191.2932733117686</v>
      </c>
      <c r="O1428">
        <f>-664.112628428387 -161.022261326725 -495.562897803278</f>
        <v>-1320.69778755839</v>
      </c>
      <c r="P1428">
        <f>-695.291352677663 -171.210125523379 -215.379465706717</f>
        <v>-1081.880943907759</v>
      </c>
      <c r="Q1428">
        <f>-471.957929146408 -135.245094767278 -268.078991990561</f>
        <v>-875.28201590424703</v>
      </c>
      <c r="R1428" t="s">
        <v>27656</v>
      </c>
      <c r="S1428" t="s">
        <v>27657</v>
      </c>
      <c r="T1428" t="s">
        <v>27658</v>
      </c>
      <c r="U1428" t="s">
        <v>27659</v>
      </c>
      <c r="V1428">
        <f>-588.530261717688 -53.3407652983669 -91.7550051814318</f>
        <v>-733.62603219748667</v>
      </c>
      <c r="W1428" t="s">
        <v>27660</v>
      </c>
      <c r="X1428" t="s">
        <v>27661</v>
      </c>
      <c r="Y1428" t="s">
        <v>27662</v>
      </c>
    </row>
    <row r="1429" spans="1:25" x14ac:dyDescent="0.3">
      <c r="A1429">
        <v>71400</v>
      </c>
      <c r="B1429" t="s">
        <v>27663</v>
      </c>
      <c r="C1429" t="s">
        <v>27664</v>
      </c>
      <c r="D1429" t="s">
        <v>27665</v>
      </c>
      <c r="E1429" t="s">
        <v>27666</v>
      </c>
      <c r="F1429" t="s">
        <v>27667</v>
      </c>
      <c r="G1429" t="s">
        <v>27668</v>
      </c>
      <c r="H1429" t="s">
        <v>27669</v>
      </c>
      <c r="I1429" t="s">
        <v>27670</v>
      </c>
      <c r="J1429" t="s">
        <v>27671</v>
      </c>
      <c r="K1429" t="s">
        <v>27672</v>
      </c>
      <c r="L1429" t="s">
        <v>27673</v>
      </c>
      <c r="M1429" t="s">
        <v>27674</v>
      </c>
      <c r="N1429">
        <f>-654.879772820655 -8.37490849838082 -527.705944309436</f>
        <v>-1190.9606256284719</v>
      </c>
      <c r="O1429">
        <f>-664.041522490437 -160.804505529621 -495.780239007718</f>
        <v>-1320.6262670277761</v>
      </c>
      <c r="P1429">
        <f>-695.443286153893 -171.124982411695 -215.626706681549</f>
        <v>-1082.1949752471371</v>
      </c>
      <c r="Q1429">
        <f>-472.049092652039 -135.393216234311 -268.227116249667</f>
        <v>-875.66942513601703</v>
      </c>
      <c r="R1429" t="s">
        <v>27675</v>
      </c>
      <c r="S1429" t="s">
        <v>27676</v>
      </c>
      <c r="T1429" t="s">
        <v>27677</v>
      </c>
      <c r="U1429" t="s">
        <v>27678</v>
      </c>
      <c r="V1429">
        <f>-589.127337232825 -53.4492134873199 -91.8467723475748</f>
        <v>-734.42332306771959</v>
      </c>
      <c r="W1429" t="s">
        <v>27679</v>
      </c>
      <c r="X1429" t="s">
        <v>27680</v>
      </c>
      <c r="Y1429" t="s">
        <v>27681</v>
      </c>
    </row>
    <row r="1430" spans="1:25" x14ac:dyDescent="0.3">
      <c r="A1430">
        <v>71450</v>
      </c>
      <c r="B1430" t="s">
        <v>27682</v>
      </c>
      <c r="C1430" t="s">
        <v>27683</v>
      </c>
      <c r="D1430" t="s">
        <v>27684</v>
      </c>
      <c r="E1430" t="s">
        <v>27685</v>
      </c>
      <c r="F1430" t="s">
        <v>27686</v>
      </c>
      <c r="G1430" t="s">
        <v>27687</v>
      </c>
      <c r="H1430" t="s">
        <v>27688</v>
      </c>
      <c r="I1430" t="s">
        <v>27689</v>
      </c>
      <c r="J1430" t="s">
        <v>27690</v>
      </c>
      <c r="K1430" t="s">
        <v>27691</v>
      </c>
      <c r="L1430" t="s">
        <v>27692</v>
      </c>
      <c r="M1430" t="s">
        <v>27693</v>
      </c>
      <c r="N1430">
        <f>-654.769805693888 -8.28441284678343 -527.814383842918</f>
        <v>-1190.8686023835894</v>
      </c>
      <c r="O1430">
        <f>-664.047344926047 -160.706805892416 -495.902280337904</f>
        <v>-1320.656431156367</v>
      </c>
      <c r="P1430">
        <f>-695.737546059247 -171.126680736498 -215.78487086969</f>
        <v>-1082.649097665435</v>
      </c>
      <c r="Q1430">
        <f>-472.284937976471 -135.4128595732 -268.148996794188</f>
        <v>-875.84679434385907</v>
      </c>
      <c r="R1430" t="s">
        <v>27694</v>
      </c>
      <c r="S1430" t="s">
        <v>27695</v>
      </c>
      <c r="T1430" t="s">
        <v>27696</v>
      </c>
      <c r="U1430" t="s">
        <v>27697</v>
      </c>
      <c r="V1430">
        <f>-589.516723245278 -53.4589560110048 -91.8970124168995</f>
        <v>-734.87269167318232</v>
      </c>
      <c r="W1430" t="s">
        <v>27698</v>
      </c>
      <c r="X1430" t="s">
        <v>27699</v>
      </c>
      <c r="Y1430" t="s">
        <v>27700</v>
      </c>
    </row>
    <row r="1431" spans="1:25" x14ac:dyDescent="0.3">
      <c r="A1431">
        <v>71500</v>
      </c>
      <c r="B1431" t="s">
        <v>27701</v>
      </c>
      <c r="C1431" t="s">
        <v>27702</v>
      </c>
      <c r="D1431" t="s">
        <v>27703</v>
      </c>
      <c r="E1431" t="s">
        <v>27704</v>
      </c>
      <c r="F1431" t="s">
        <v>27705</v>
      </c>
      <c r="G1431" t="s">
        <v>27706</v>
      </c>
      <c r="H1431" t="s">
        <v>27707</v>
      </c>
      <c r="I1431" t="s">
        <v>27708</v>
      </c>
      <c r="J1431" t="s">
        <v>27709</v>
      </c>
      <c r="K1431" t="s">
        <v>27710</v>
      </c>
      <c r="L1431" t="s">
        <v>27711</v>
      </c>
      <c r="M1431" t="s">
        <v>27712</v>
      </c>
      <c r="N1431">
        <f>-654.825724830016 -8.00752755173789 -528.042658610103</f>
        <v>-1190.8759109918569</v>
      </c>
      <c r="O1431">
        <f>-664.323423359269 -160.441183097916 -496.238903714594</f>
        <v>-1321.003510171779</v>
      </c>
      <c r="P1431">
        <f>-696.831323409249 -171.033578018557 -216.221765506788</f>
        <v>-1084.0866669345939</v>
      </c>
      <c r="Q1431">
        <f>-473.226534639996 -135.28287376804 -267.906550916252</f>
        <v>-876.415959324288</v>
      </c>
      <c r="R1431" t="s">
        <v>27713</v>
      </c>
      <c r="S1431" t="s">
        <v>27714</v>
      </c>
      <c r="T1431" t="s">
        <v>27715</v>
      </c>
      <c r="U1431" t="s">
        <v>27716</v>
      </c>
      <c r="V1431">
        <f>-590.393592988608 -53.4237521523248 -92.0005314636894</f>
        <v>-735.81787660462226</v>
      </c>
      <c r="W1431" t="s">
        <v>27717</v>
      </c>
      <c r="X1431" t="s">
        <v>27718</v>
      </c>
      <c r="Y1431" t="s">
        <v>27719</v>
      </c>
    </row>
    <row r="1432" spans="1:25" x14ac:dyDescent="0.3">
      <c r="A1432">
        <v>71550</v>
      </c>
      <c r="B1432" t="s">
        <v>27720</v>
      </c>
      <c r="C1432" t="s">
        <v>27721</v>
      </c>
      <c r="D1432" t="s">
        <v>27722</v>
      </c>
      <c r="E1432" t="s">
        <v>27723</v>
      </c>
      <c r="F1432" t="s">
        <v>27724</v>
      </c>
      <c r="G1432" t="s">
        <v>27725</v>
      </c>
      <c r="H1432" t="s">
        <v>27726</v>
      </c>
      <c r="I1432" t="s">
        <v>27727</v>
      </c>
      <c r="J1432" t="s">
        <v>27728</v>
      </c>
      <c r="K1432" t="s">
        <v>27729</v>
      </c>
      <c r="L1432" t="s">
        <v>27730</v>
      </c>
      <c r="M1432" t="s">
        <v>27731</v>
      </c>
      <c r="N1432">
        <f>-655.031700034127 -7.86974238800599 -528.135225900232</f>
        <v>-1191.0366683223649</v>
      </c>
      <c r="O1432">
        <f>-664.664239024788 -160.303565935435 -496.378193511541</f>
        <v>-1321.345998471764</v>
      </c>
      <c r="P1432">
        <f>-697.555361404231 -171.032051154426 -216.410931033359</f>
        <v>-1084.998343592016</v>
      </c>
      <c r="Q1432">
        <f>-473.864669778244 -135.223448388289 -267.682394149536</f>
        <v>-876.7705123160689</v>
      </c>
      <c r="R1432" t="s">
        <v>27732</v>
      </c>
      <c r="S1432" t="s">
        <v>27733</v>
      </c>
      <c r="T1432" t="s">
        <v>27734</v>
      </c>
      <c r="U1432" t="s">
        <v>27735</v>
      </c>
      <c r="V1432">
        <f>-590.890142070381 -53.4111418316261 -92.0498941141024</f>
        <v>-736.35117801610943</v>
      </c>
      <c r="W1432" t="s">
        <v>27736</v>
      </c>
      <c r="X1432" t="s">
        <v>27737</v>
      </c>
      <c r="Y1432" t="s">
        <v>27738</v>
      </c>
    </row>
    <row r="1433" spans="1:25" x14ac:dyDescent="0.3">
      <c r="A1433">
        <v>71600</v>
      </c>
      <c r="B1433" t="s">
        <v>27739</v>
      </c>
      <c r="C1433" t="s">
        <v>27740</v>
      </c>
      <c r="D1433" t="s">
        <v>27741</v>
      </c>
      <c r="E1433" t="s">
        <v>27742</v>
      </c>
      <c r="F1433" t="s">
        <v>27743</v>
      </c>
      <c r="G1433" t="s">
        <v>27744</v>
      </c>
      <c r="H1433" t="s">
        <v>27745</v>
      </c>
      <c r="I1433" t="s">
        <v>27746</v>
      </c>
      <c r="J1433" t="s">
        <v>27747</v>
      </c>
      <c r="K1433" t="s">
        <v>27748</v>
      </c>
      <c r="L1433" t="s">
        <v>27749</v>
      </c>
      <c r="M1433" t="s">
        <v>27750</v>
      </c>
      <c r="N1433">
        <f>-655.901092233765 -7.58372661328826 -528.272131139033</f>
        <v>-1191.7569499860863</v>
      </c>
      <c r="O1433">
        <f>-665.7590507809 -160.022895786244 -496.61509967851</f>
        <v>-1322.3970462456541</v>
      </c>
      <c r="P1433">
        <f>-699.340756520969 -170.77628287868 -216.73074019804</f>
        <v>-1086.8477795976889</v>
      </c>
      <c r="Q1433">
        <f>-475.448786426215 -135.081614997344 -267.196638359416</f>
        <v>-877.727039782975</v>
      </c>
      <c r="R1433" t="s">
        <v>27751</v>
      </c>
      <c r="S1433" t="s">
        <v>27752</v>
      </c>
      <c r="T1433" t="s">
        <v>27753</v>
      </c>
      <c r="U1433" t="s">
        <v>27754</v>
      </c>
      <c r="V1433">
        <f>-591.916301768579 -53.3796441830846 -92.1460901340921</f>
        <v>-737.44203608575572</v>
      </c>
      <c r="W1433" t="s">
        <v>27755</v>
      </c>
      <c r="X1433" t="s">
        <v>27756</v>
      </c>
      <c r="Y1433" t="s">
        <v>27757</v>
      </c>
    </row>
    <row r="1434" spans="1:25" x14ac:dyDescent="0.3">
      <c r="A1434">
        <v>71650</v>
      </c>
      <c r="B1434" t="s">
        <v>27758</v>
      </c>
      <c r="C1434" t="s">
        <v>27759</v>
      </c>
      <c r="D1434" t="s">
        <v>27760</v>
      </c>
      <c r="E1434" t="s">
        <v>27761</v>
      </c>
      <c r="F1434" t="s">
        <v>27762</v>
      </c>
      <c r="G1434" t="s">
        <v>27763</v>
      </c>
      <c r="H1434" t="s">
        <v>27764</v>
      </c>
      <c r="I1434" t="s">
        <v>27765</v>
      </c>
      <c r="J1434" t="s">
        <v>27766</v>
      </c>
      <c r="K1434" t="s">
        <v>27767</v>
      </c>
      <c r="L1434" t="s">
        <v>27768</v>
      </c>
      <c r="M1434" t="s">
        <v>27769</v>
      </c>
      <c r="N1434">
        <f>-656.28160252122 -7.43154883197076 -528.340379560286</f>
        <v>-1192.0535309134766</v>
      </c>
      <c r="O1434">
        <f>-666.268987846744 -159.874558056811 -496.738478450031</f>
        <v>-1322.8820243535861</v>
      </c>
      <c r="P1434">
        <f>-700.077452382817 -170.67870050801 -216.883321289062</f>
        <v>-1087.639474179889</v>
      </c>
      <c r="Q1434">
        <f>-476.115450809302 -135.017496293099 -267.061402436415</f>
        <v>-878.19434953881591</v>
      </c>
      <c r="R1434" t="s">
        <v>27770</v>
      </c>
      <c r="S1434" t="s">
        <v>27771</v>
      </c>
      <c r="T1434" t="s">
        <v>27772</v>
      </c>
      <c r="U1434" t="s">
        <v>27773</v>
      </c>
      <c r="V1434">
        <f>-592.459679072881 -53.3421494889317 -92.1847716612623</f>
        <v>-737.98660022307502</v>
      </c>
      <c r="W1434" t="s">
        <v>27774</v>
      </c>
      <c r="X1434" t="s">
        <v>27775</v>
      </c>
      <c r="Y1434" t="s">
        <v>27776</v>
      </c>
    </row>
    <row r="1435" spans="1:25" x14ac:dyDescent="0.3">
      <c r="A1435">
        <v>71700</v>
      </c>
      <c r="B1435" t="s">
        <v>27777</v>
      </c>
      <c r="C1435" t="s">
        <v>27778</v>
      </c>
      <c r="D1435" t="s">
        <v>27779</v>
      </c>
      <c r="E1435" t="s">
        <v>27780</v>
      </c>
      <c r="F1435" t="s">
        <v>27781</v>
      </c>
      <c r="G1435" t="s">
        <v>27782</v>
      </c>
      <c r="H1435" t="s">
        <v>27783</v>
      </c>
      <c r="I1435" t="s">
        <v>27784</v>
      </c>
      <c r="J1435" t="s">
        <v>27785</v>
      </c>
      <c r="K1435" t="s">
        <v>27786</v>
      </c>
      <c r="L1435" t="s">
        <v>27787</v>
      </c>
      <c r="M1435" t="s">
        <v>27788</v>
      </c>
      <c r="N1435">
        <f>-656.891958421611 -7.29059621955412 -528.462512785109</f>
        <v>-1192.6450674262742</v>
      </c>
      <c r="O1435">
        <f>-667.127247558988 -159.737486824821 -496.951798736394</f>
        <v>-1323.8165331202028</v>
      </c>
      <c r="P1435">
        <f>-701.252610162745 -170.750795600798 -217.143507638519</f>
        <v>-1089.146913402062</v>
      </c>
      <c r="Q1435">
        <f>-477.236898426965 -135.233988094792 -267.183952880026</f>
        <v>-879.65483940178308</v>
      </c>
      <c r="R1435" t="s">
        <v>27789</v>
      </c>
      <c r="S1435" t="s">
        <v>27790</v>
      </c>
      <c r="T1435" t="s">
        <v>27791</v>
      </c>
      <c r="U1435" t="s">
        <v>27792</v>
      </c>
      <c r="V1435">
        <f>-593.434363249132 -53.2163292620992 -92.2627709241679</f>
        <v>-738.91346343539908</v>
      </c>
      <c r="W1435" t="s">
        <v>27793</v>
      </c>
      <c r="X1435" t="s">
        <v>27794</v>
      </c>
      <c r="Y1435" t="s">
        <v>27795</v>
      </c>
    </row>
    <row r="1436" spans="1:25" x14ac:dyDescent="0.3">
      <c r="A1436">
        <v>71750</v>
      </c>
      <c r="B1436" t="s">
        <v>27796</v>
      </c>
      <c r="C1436" t="s">
        <v>27797</v>
      </c>
      <c r="D1436" t="s">
        <v>27798</v>
      </c>
      <c r="E1436" t="s">
        <v>27799</v>
      </c>
      <c r="F1436" t="s">
        <v>27800</v>
      </c>
      <c r="G1436" t="s">
        <v>27801</v>
      </c>
      <c r="H1436" t="s">
        <v>27802</v>
      </c>
      <c r="I1436" t="s">
        <v>27803</v>
      </c>
      <c r="J1436" t="s">
        <v>27804</v>
      </c>
      <c r="K1436" t="s">
        <v>27805</v>
      </c>
      <c r="L1436" t="s">
        <v>27806</v>
      </c>
      <c r="M1436" t="s">
        <v>27807</v>
      </c>
      <c r="N1436">
        <f>-657.203746487384 -7.2098135467852 -528.462631626533</f>
        <v>-1192.8761916607023</v>
      </c>
      <c r="O1436">
        <f>-667.565673026821 -159.647828905109 -496.950885927707</f>
        <v>-1324.1643878596369</v>
      </c>
      <c r="P1436">
        <f>-701.772642770087 -170.853768627115 -217.160087865564</f>
        <v>-1089.786499262766</v>
      </c>
      <c r="Q1436">
        <f>-477.781706368173 -135.417615814555 -267.368385515615</f>
        <v>-880.56770769834293</v>
      </c>
      <c r="R1436" t="s">
        <v>27808</v>
      </c>
      <c r="S1436" t="s">
        <v>27809</v>
      </c>
      <c r="T1436" t="s">
        <v>27810</v>
      </c>
      <c r="U1436" t="s">
        <v>27811</v>
      </c>
      <c r="V1436">
        <f>-593.772898190399 -53.1485781112267 -92.2823467417438</f>
        <v>-739.20382304336954</v>
      </c>
      <c r="W1436" t="s">
        <v>27812</v>
      </c>
      <c r="X1436" t="s">
        <v>27813</v>
      </c>
      <c r="Y1436" t="s">
        <v>27814</v>
      </c>
    </row>
    <row r="1437" spans="1:25" x14ac:dyDescent="0.3">
      <c r="A1437">
        <v>71800</v>
      </c>
      <c r="B1437" t="s">
        <v>27815</v>
      </c>
      <c r="C1437" t="s">
        <v>27816</v>
      </c>
      <c r="D1437" t="s">
        <v>27817</v>
      </c>
      <c r="E1437" t="s">
        <v>27818</v>
      </c>
      <c r="F1437" t="s">
        <v>27819</v>
      </c>
      <c r="G1437" t="s">
        <v>27820</v>
      </c>
      <c r="H1437" t="s">
        <v>27821</v>
      </c>
      <c r="I1437" t="s">
        <v>27822</v>
      </c>
      <c r="J1437" t="s">
        <v>27823</v>
      </c>
      <c r="K1437" t="s">
        <v>27824</v>
      </c>
      <c r="L1437" t="s">
        <v>27825</v>
      </c>
      <c r="M1437" t="s">
        <v>27826</v>
      </c>
      <c r="N1437">
        <f>-657.914265358478 -6.88993359978281 -528.416045471214</f>
        <v>-1193.2202444294749</v>
      </c>
      <c r="O1437">
        <f>-668.498769918942 -159.318173660207 -496.915088155276</f>
        <v>-1324.7320317344249</v>
      </c>
      <c r="P1437">
        <f>-702.402700908963 -170.503589124817 -217.086507596815</f>
        <v>-1089.9927976305951</v>
      </c>
      <c r="Q1437">
        <f>-478.482822972464 -135.45689884069 -267.881624508757</f>
        <v>-881.82134632191105</v>
      </c>
      <c r="R1437" t="s">
        <v>27827</v>
      </c>
      <c r="S1437" t="s">
        <v>27828</v>
      </c>
      <c r="T1437" t="s">
        <v>27829</v>
      </c>
      <c r="U1437" t="s">
        <v>27830</v>
      </c>
      <c r="V1437">
        <f>-594.111720898842 -52.9144771559079 -92.2848972196814</f>
        <v>-739.3110952744313</v>
      </c>
      <c r="W1437" t="s">
        <v>27831</v>
      </c>
      <c r="X1437" t="s">
        <v>27832</v>
      </c>
      <c r="Y1437" t="s">
        <v>27833</v>
      </c>
    </row>
    <row r="1438" spans="1:25" x14ac:dyDescent="0.3">
      <c r="A1438">
        <v>71850</v>
      </c>
      <c r="B1438" t="s">
        <v>27834</v>
      </c>
      <c r="C1438" t="s">
        <v>27835</v>
      </c>
      <c r="D1438" t="s">
        <v>27836</v>
      </c>
      <c r="E1438" t="s">
        <v>27837</v>
      </c>
      <c r="F1438" t="s">
        <v>27838</v>
      </c>
      <c r="G1438" t="s">
        <v>27839</v>
      </c>
      <c r="H1438" t="s">
        <v>27840</v>
      </c>
      <c r="I1438" t="s">
        <v>27841</v>
      </c>
      <c r="J1438" t="s">
        <v>27842</v>
      </c>
      <c r="K1438" t="s">
        <v>27843</v>
      </c>
      <c r="L1438" t="s">
        <v>27844</v>
      </c>
      <c r="M1438" t="s">
        <v>27845</v>
      </c>
      <c r="N1438">
        <f>-658.33481503748 -6.65276271846551 -528.357168193684</f>
        <v>-1193.3447459496294</v>
      </c>
      <c r="O1438">
        <f>-669.027692444438 -159.071829657886 -496.856435614016</f>
        <v>-1324.95595771634</v>
      </c>
      <c r="P1438">
        <f>-702.591205375614 -170.13834205692 -216.982173118351</f>
        <v>-1089.711720550885</v>
      </c>
      <c r="Q1438">
        <f>-478.719013072035 -135.346627440784 -268.161478596794</f>
        <v>-882.22711910961311</v>
      </c>
      <c r="R1438" t="s">
        <v>27846</v>
      </c>
      <c r="S1438" t="s">
        <v>27847</v>
      </c>
      <c r="T1438" t="s">
        <v>27848</v>
      </c>
      <c r="U1438" t="s">
        <v>27849</v>
      </c>
      <c r="V1438">
        <f>-594.152571390614 -52.760263251374 -92.2652418951723</f>
        <v>-739.17807653716022</v>
      </c>
      <c r="W1438" t="s">
        <v>27850</v>
      </c>
      <c r="X1438" t="s">
        <v>27851</v>
      </c>
      <c r="Y1438" t="s">
        <v>27852</v>
      </c>
    </row>
    <row r="1439" spans="1:25" x14ac:dyDescent="0.3">
      <c r="A1439">
        <v>71900</v>
      </c>
      <c r="B1439" t="s">
        <v>27853</v>
      </c>
      <c r="C1439" t="s">
        <v>27854</v>
      </c>
      <c r="D1439" t="s">
        <v>27855</v>
      </c>
      <c r="E1439" t="s">
        <v>27856</v>
      </c>
      <c r="F1439" t="s">
        <v>27857</v>
      </c>
      <c r="G1439" t="s">
        <v>27858</v>
      </c>
      <c r="H1439" t="s">
        <v>27859</v>
      </c>
      <c r="I1439" t="s">
        <v>27860</v>
      </c>
      <c r="J1439" t="s">
        <v>27861</v>
      </c>
      <c r="K1439" t="s">
        <v>27862</v>
      </c>
      <c r="L1439" t="s">
        <v>27863</v>
      </c>
      <c r="M1439" t="s">
        <v>27864</v>
      </c>
      <c r="N1439">
        <f>-659.062132361224 -6.1695430183504 -528.168464782103</f>
        <v>-1193.4001401616774</v>
      </c>
      <c r="O1439">
        <f>-669.889863480474 -158.571917096495 -496.625062705256</f>
        <v>-1325.0868432822249</v>
      </c>
      <c r="P1439">
        <f>-702.7118436829 -169.545999699689 -216.659352260966</f>
        <v>-1088.917195643555</v>
      </c>
      <c r="Q1439">
        <f>-478.965978966198 -135.063007015192 -268.594248997768</f>
        <v>-882.62323497915793</v>
      </c>
      <c r="R1439" t="s">
        <v>27865</v>
      </c>
      <c r="S1439" t="s">
        <v>27866</v>
      </c>
      <c r="T1439" t="s">
        <v>27867</v>
      </c>
      <c r="U1439" t="s">
        <v>27868</v>
      </c>
      <c r="V1439">
        <f>-593.998720148801 -52.3552107619048 -92.1872818390141</f>
        <v>-738.54121274971988</v>
      </c>
      <c r="W1439" t="s">
        <v>27869</v>
      </c>
      <c r="X1439" t="s">
        <v>27870</v>
      </c>
      <c r="Y1439" t="s">
        <v>27871</v>
      </c>
    </row>
    <row r="1440" spans="1:25" x14ac:dyDescent="0.3">
      <c r="A1440">
        <v>71950</v>
      </c>
      <c r="B1440" t="s">
        <v>27872</v>
      </c>
      <c r="C1440" t="s">
        <v>27873</v>
      </c>
      <c r="D1440" t="s">
        <v>27874</v>
      </c>
      <c r="E1440" t="s">
        <v>27875</v>
      </c>
      <c r="F1440" t="s">
        <v>27876</v>
      </c>
      <c r="G1440" t="s">
        <v>27877</v>
      </c>
      <c r="H1440" t="s">
        <v>27878</v>
      </c>
      <c r="I1440" t="s">
        <v>27879</v>
      </c>
      <c r="J1440" t="s">
        <v>27880</v>
      </c>
      <c r="K1440" t="s">
        <v>27881</v>
      </c>
      <c r="L1440" t="s">
        <v>27882</v>
      </c>
      <c r="M1440" t="s">
        <v>27883</v>
      </c>
      <c r="N1440">
        <f>-659.369974545585 -5.91355234326693 -528.065845839737</f>
        <v>-1193.3493727285891</v>
      </c>
      <c r="O1440">
        <f>-670.247785832912 -158.306115420938 -496.507737780729</f>
        <v>-1325.061639034579</v>
      </c>
      <c r="P1440">
        <f>-702.737996349806 -169.276134968931 -216.503136379608</f>
        <v>-1088.5172676983452</v>
      </c>
      <c r="Q1440">
        <f>-479.058286441756 -134.817543248594 -268.73837945861</f>
        <v>-882.61420914895996</v>
      </c>
      <c r="R1440" t="s">
        <v>27884</v>
      </c>
      <c r="S1440" t="s">
        <v>27885</v>
      </c>
      <c r="T1440" t="s">
        <v>27886</v>
      </c>
      <c r="U1440" t="s">
        <v>27887</v>
      </c>
      <c r="V1440">
        <f>-593.830992493266 -52.1282450065651 -92.1361877306915</f>
        <v>-738.09542523052255</v>
      </c>
      <c r="W1440" t="s">
        <v>27888</v>
      </c>
      <c r="X1440" t="s">
        <v>27889</v>
      </c>
      <c r="Y1440" t="s">
        <v>27890</v>
      </c>
    </row>
    <row r="1441" spans="1:25" x14ac:dyDescent="0.3">
      <c r="A1441">
        <v>72000</v>
      </c>
      <c r="B1441" t="s">
        <v>27891</v>
      </c>
      <c r="C1441" t="s">
        <v>27892</v>
      </c>
      <c r="D1441" t="s">
        <v>27893</v>
      </c>
      <c r="E1441" t="s">
        <v>27894</v>
      </c>
      <c r="F1441" t="s">
        <v>27895</v>
      </c>
      <c r="G1441" t="s">
        <v>27896</v>
      </c>
      <c r="H1441" t="s">
        <v>27897</v>
      </c>
      <c r="I1441" t="s">
        <v>27898</v>
      </c>
      <c r="J1441" t="s">
        <v>27899</v>
      </c>
      <c r="K1441" t="s">
        <v>27900</v>
      </c>
      <c r="L1441" t="s">
        <v>27901</v>
      </c>
      <c r="M1441" t="s">
        <v>27902</v>
      </c>
      <c r="N1441">
        <f>-659.625657468855 -5.73186056124655 -527.965434932219</f>
        <v>-1193.3229529623204</v>
      </c>
      <c r="O1441">
        <f>-670.522516077389 -158.113191491298 -496.396061390962</f>
        <v>-1325.0317689596491</v>
      </c>
      <c r="P1441">
        <f>-702.795534679765 -169.145484258516 -216.368694233346</f>
        <v>-1088.309713171627</v>
      </c>
      <c r="Q1441">
        <f>-479.168249628718 -134.636541761104 -268.794914688665</f>
        <v>-882.59970607848697</v>
      </c>
      <c r="R1441" t="s">
        <v>27903</v>
      </c>
      <c r="S1441" t="s">
        <v>27904</v>
      </c>
      <c r="T1441" t="s">
        <v>27905</v>
      </c>
      <c r="U1441" t="s">
        <v>27906</v>
      </c>
      <c r="V1441">
        <f>-593.639954857746 -51.9397696599615 -92.0896724696836</f>
        <v>-737.66939698739111</v>
      </c>
      <c r="W1441" t="s">
        <v>27907</v>
      </c>
      <c r="X1441" t="s">
        <v>27908</v>
      </c>
      <c r="Y1441" t="s">
        <v>27909</v>
      </c>
    </row>
    <row r="1442" spans="1:25" x14ac:dyDescent="0.3">
      <c r="A1442">
        <v>72050</v>
      </c>
      <c r="B1442" t="s">
        <v>27910</v>
      </c>
      <c r="C1442" t="s">
        <v>27911</v>
      </c>
      <c r="D1442" t="s">
        <v>27912</v>
      </c>
      <c r="E1442" t="s">
        <v>27913</v>
      </c>
      <c r="F1442" t="s">
        <v>27914</v>
      </c>
      <c r="G1442" t="s">
        <v>27915</v>
      </c>
      <c r="H1442" t="s">
        <v>27916</v>
      </c>
      <c r="I1442" t="s">
        <v>27917</v>
      </c>
      <c r="J1442" t="s">
        <v>27918</v>
      </c>
      <c r="K1442" t="s">
        <v>27919</v>
      </c>
      <c r="L1442" t="s">
        <v>27920</v>
      </c>
      <c r="M1442" t="s">
        <v>27921</v>
      </c>
      <c r="N1442">
        <f>-659.916150538854 -5.44085620352325 -527.759567718897</f>
        <v>-1193.1165744612742</v>
      </c>
      <c r="O1442">
        <f>-670.839097992962 -157.828791556116 -496.172993427239</f>
        <v>-1324.8408829763171</v>
      </c>
      <c r="P1442">
        <f>-702.781772834671 -168.818882354157 -216.106028187376</f>
        <v>-1087.706683376204</v>
      </c>
      <c r="Q1442">
        <f>-479.238293006188 -134.060252677718 -268.724552129276</f>
        <v>-882.02309781318195</v>
      </c>
      <c r="R1442" t="s">
        <v>27922</v>
      </c>
      <c r="S1442" t="s">
        <v>27923</v>
      </c>
      <c r="T1442" t="s">
        <v>27924</v>
      </c>
      <c r="U1442" t="s">
        <v>27925</v>
      </c>
      <c r="V1442">
        <f>-593.121948051975 -51.625553735269 -91.9991882418634</f>
        <v>-736.74669002910741</v>
      </c>
      <c r="W1442" t="s">
        <v>27926</v>
      </c>
      <c r="X1442" t="s">
        <v>27927</v>
      </c>
      <c r="Y1442" t="s">
        <v>27928</v>
      </c>
    </row>
    <row r="1443" spans="1:25" x14ac:dyDescent="0.3">
      <c r="A1443">
        <v>72100</v>
      </c>
      <c r="B1443" t="s">
        <v>27929</v>
      </c>
      <c r="C1443" t="s">
        <v>27930</v>
      </c>
      <c r="D1443" t="s">
        <v>27931</v>
      </c>
      <c r="E1443" t="s">
        <v>27932</v>
      </c>
      <c r="F1443" t="s">
        <v>27933</v>
      </c>
      <c r="G1443" t="s">
        <v>27934</v>
      </c>
      <c r="H1443" t="s">
        <v>27935</v>
      </c>
      <c r="I1443" t="s">
        <v>27936</v>
      </c>
      <c r="J1443" t="s">
        <v>27937</v>
      </c>
      <c r="K1443" t="s">
        <v>27938</v>
      </c>
      <c r="L1443" t="s">
        <v>27939</v>
      </c>
      <c r="M1443" t="s">
        <v>27940</v>
      </c>
      <c r="N1443">
        <f>-659.929797920879 -5.18078060069183 -527.536961097358</f>
        <v>-1192.6475396189289</v>
      </c>
      <c r="O1443">
        <f>-670.905572479332 -157.554957636517 -495.933359759454</f>
        <v>-1324.3938898753031</v>
      </c>
      <c r="P1443">
        <f>-702.459557342192 -168.490544053315 -215.820216303178</f>
        <v>-1086.7703176986852</v>
      </c>
      <c r="Q1443">
        <f>-479.110900803717 -133.14460526249 -268.872926754275</f>
        <v>-881.12843282048198</v>
      </c>
      <c r="R1443" t="s">
        <v>27941</v>
      </c>
      <c r="S1443" t="s">
        <v>27942</v>
      </c>
      <c r="T1443" t="s">
        <v>27943</v>
      </c>
      <c r="U1443" t="s">
        <v>27944</v>
      </c>
      <c r="V1443">
        <f>-592.530837642351 -51.4337777292394 -91.9017938052359</f>
        <v>-735.86640917682632</v>
      </c>
      <c r="W1443" t="s">
        <v>27945</v>
      </c>
      <c r="X1443" t="s">
        <v>27946</v>
      </c>
      <c r="Y1443" t="s">
        <v>27947</v>
      </c>
    </row>
    <row r="1444" spans="1:25" x14ac:dyDescent="0.3">
      <c r="A1444">
        <v>72150</v>
      </c>
      <c r="B1444" t="s">
        <v>27948</v>
      </c>
      <c r="C1444" t="s">
        <v>27949</v>
      </c>
      <c r="D1444" t="s">
        <v>27950</v>
      </c>
      <c r="E1444" t="s">
        <v>27951</v>
      </c>
      <c r="F1444" t="s">
        <v>27952</v>
      </c>
      <c r="G1444" t="s">
        <v>27953</v>
      </c>
      <c r="H1444" t="s">
        <v>27954</v>
      </c>
      <c r="I1444" t="s">
        <v>27955</v>
      </c>
      <c r="J1444" t="s">
        <v>27956</v>
      </c>
      <c r="K1444" t="s">
        <v>27957</v>
      </c>
      <c r="L1444" t="s">
        <v>27958</v>
      </c>
      <c r="M1444" t="s">
        <v>27959</v>
      </c>
      <c r="N1444">
        <f>-659.923910800906 -5.05615927193685 -527.433300575311</f>
        <v>-1192.4133706481539</v>
      </c>
      <c r="O1444">
        <f>-670.910094000385 -157.438324281651 -495.85113313825</f>
        <v>-1324.1995514202861</v>
      </c>
      <c r="P1444">
        <f>-702.213652983112 -168.307928848776 -215.707298075757</f>
        <v>-1086.228879907645</v>
      </c>
      <c r="Q1444">
        <f>-478.960046417926 -132.743453898808 -269.013471019948</f>
        <v>-880.71697133668204</v>
      </c>
      <c r="R1444" t="s">
        <v>27960</v>
      </c>
      <c r="S1444" t="s">
        <v>27961</v>
      </c>
      <c r="T1444" t="s">
        <v>27962</v>
      </c>
      <c r="U1444" t="s">
        <v>27963</v>
      </c>
      <c r="V1444">
        <f>-592.20423667429 -51.3610344120748 -91.8432615367695</f>
        <v>-735.40853262313431</v>
      </c>
      <c r="W1444" t="s">
        <v>27964</v>
      </c>
      <c r="X1444" t="s">
        <v>27965</v>
      </c>
      <c r="Y1444" t="s">
        <v>27966</v>
      </c>
    </row>
    <row r="1445" spans="1:25" x14ac:dyDescent="0.3">
      <c r="A1445">
        <v>72200</v>
      </c>
      <c r="B1445" t="s">
        <v>27967</v>
      </c>
      <c r="C1445" t="s">
        <v>27968</v>
      </c>
      <c r="D1445" t="s">
        <v>27969</v>
      </c>
      <c r="E1445" t="s">
        <v>27970</v>
      </c>
      <c r="F1445" t="s">
        <v>27971</v>
      </c>
      <c r="G1445" t="s">
        <v>27972</v>
      </c>
      <c r="H1445" t="s">
        <v>27973</v>
      </c>
      <c r="I1445" t="s">
        <v>27974</v>
      </c>
      <c r="J1445" t="s">
        <v>27975</v>
      </c>
      <c r="K1445" t="s">
        <v>27976</v>
      </c>
      <c r="L1445" t="s">
        <v>27977</v>
      </c>
      <c r="M1445" t="s">
        <v>27978</v>
      </c>
      <c r="N1445">
        <f>-659.858787234379 -4.88001128350447 -527.227403279551</f>
        <v>-1191.9662017974345</v>
      </c>
      <c r="O1445">
        <f>-670.826751290526 -157.26575776323 -495.677918677718</f>
        <v>-1323.770427731474</v>
      </c>
      <c r="P1445">
        <f>-701.582774242421 -168.090361222573 -215.471719993601</f>
        <v>-1085.144855458595</v>
      </c>
      <c r="Q1445">
        <f>-478.450622975927 -132.288585443542 -269.126069973175</f>
        <v>-879.86527839264386</v>
      </c>
      <c r="R1445" t="s">
        <v>27979</v>
      </c>
      <c r="S1445" t="s">
        <v>27980</v>
      </c>
      <c r="T1445" t="s">
        <v>27981</v>
      </c>
      <c r="U1445" t="s">
        <v>27982</v>
      </c>
      <c r="V1445">
        <f>-591.557509471821 -51.3207740238522 -91.7273728395445</f>
        <v>-734.60565633521776</v>
      </c>
      <c r="W1445" t="s">
        <v>27983</v>
      </c>
      <c r="X1445" t="s">
        <v>27984</v>
      </c>
      <c r="Y1445" t="s">
        <v>27985</v>
      </c>
    </row>
    <row r="1446" spans="1:25" x14ac:dyDescent="0.3">
      <c r="A1446">
        <v>72250</v>
      </c>
      <c r="B1446" t="s">
        <v>27986</v>
      </c>
      <c r="C1446" t="s">
        <v>27987</v>
      </c>
      <c r="D1446" t="s">
        <v>27988</v>
      </c>
      <c r="E1446" t="s">
        <v>27989</v>
      </c>
      <c r="F1446" t="s">
        <v>27990</v>
      </c>
      <c r="G1446" t="s">
        <v>27991</v>
      </c>
      <c r="H1446" t="s">
        <v>27992</v>
      </c>
      <c r="I1446" t="s">
        <v>27993</v>
      </c>
      <c r="J1446" t="s">
        <v>27994</v>
      </c>
      <c r="K1446" t="s">
        <v>27995</v>
      </c>
      <c r="L1446" t="s">
        <v>27996</v>
      </c>
      <c r="M1446" t="s">
        <v>27997</v>
      </c>
      <c r="N1446">
        <f>-659.652268230164 -4.68502994635719 -527.078344722202</f>
        <v>-1191.4156428987233</v>
      </c>
      <c r="O1446">
        <f>-670.623060998684 -157.072055759002 -495.512724314991</f>
        <v>-1323.207841072677</v>
      </c>
      <c r="P1446">
        <f>-700.790502442092 -167.974863429483 -215.245643055374</f>
        <v>-1084.011008926949</v>
      </c>
      <c r="Q1446">
        <f>-477.784931074844 -132.196362706307 -269.439318887246</f>
        <v>-879.42061266839687</v>
      </c>
      <c r="R1446" t="s">
        <v>27998</v>
      </c>
      <c r="S1446" t="s">
        <v>27999</v>
      </c>
      <c r="T1446" t="s">
        <v>28000</v>
      </c>
      <c r="U1446" t="s">
        <v>28001</v>
      </c>
      <c r="V1446">
        <f>-590.797471092374 -51.2008934829055 -91.6416401791528</f>
        <v>-733.64000475443231</v>
      </c>
      <c r="W1446" t="s">
        <v>28002</v>
      </c>
      <c r="X1446" t="s">
        <v>28003</v>
      </c>
      <c r="Y1446" t="s">
        <v>28004</v>
      </c>
    </row>
    <row r="1447" spans="1:25" x14ac:dyDescent="0.3">
      <c r="A1447">
        <v>72300</v>
      </c>
      <c r="B1447" t="s">
        <v>28005</v>
      </c>
      <c r="C1447" t="s">
        <v>28006</v>
      </c>
      <c r="D1447" t="s">
        <v>28007</v>
      </c>
      <c r="E1447" t="s">
        <v>28008</v>
      </c>
      <c r="F1447" t="s">
        <v>28009</v>
      </c>
      <c r="G1447" t="s">
        <v>28010</v>
      </c>
      <c r="H1447" t="s">
        <v>28011</v>
      </c>
      <c r="I1447" t="s">
        <v>28012</v>
      </c>
      <c r="J1447" t="s">
        <v>28013</v>
      </c>
      <c r="K1447" t="s">
        <v>28014</v>
      </c>
      <c r="L1447" t="s">
        <v>28015</v>
      </c>
      <c r="M1447" t="s">
        <v>28016</v>
      </c>
      <c r="N1447">
        <f>-659.503789576506 -4.65463896340884 -527.020862823671</f>
        <v>-1191.1792913635859</v>
      </c>
      <c r="O1447">
        <f>-670.453167777785 -157.038851412412 -495.448972867691</f>
        <v>-1322.940992057888</v>
      </c>
      <c r="P1447">
        <f>-700.553831026388 -167.97223293026 -215.175903396763</f>
        <v>-1083.701967353411</v>
      </c>
      <c r="Q1447">
        <f>-477.560073938891 -132.266421740812 -269.465625548391</f>
        <v>-879.29212122809395</v>
      </c>
      <c r="R1447" t="s">
        <v>28017</v>
      </c>
      <c r="S1447" t="s">
        <v>28018</v>
      </c>
      <c r="T1447" t="s">
        <v>28019</v>
      </c>
      <c r="U1447" t="s">
        <v>28020</v>
      </c>
      <c r="V1447">
        <f>-590.457931391142 -51.2368195013278 -91.6138349862849</f>
        <v>-733.30858587875468</v>
      </c>
      <c r="W1447" t="s">
        <v>28021</v>
      </c>
      <c r="X1447" t="s">
        <v>28022</v>
      </c>
      <c r="Y1447" t="s">
        <v>28023</v>
      </c>
    </row>
    <row r="1448" spans="1:25" x14ac:dyDescent="0.3">
      <c r="A1448">
        <v>72350</v>
      </c>
      <c r="B1448" t="s">
        <v>28024</v>
      </c>
      <c r="C1448" t="s">
        <v>28025</v>
      </c>
      <c r="D1448" t="s">
        <v>28026</v>
      </c>
      <c r="E1448" t="s">
        <v>28027</v>
      </c>
      <c r="F1448" t="s">
        <v>28028</v>
      </c>
      <c r="G1448" t="s">
        <v>28029</v>
      </c>
      <c r="H1448" t="s">
        <v>28030</v>
      </c>
      <c r="I1448" t="s">
        <v>28031</v>
      </c>
      <c r="J1448" t="s">
        <v>28032</v>
      </c>
      <c r="K1448" t="s">
        <v>28033</v>
      </c>
      <c r="L1448" t="s">
        <v>28034</v>
      </c>
      <c r="M1448" t="s">
        <v>28035</v>
      </c>
      <c r="N1448">
        <f>-659.30441152526 -4.71830193631808 -526.998784672453</f>
        <v>-1191.0214981340309</v>
      </c>
      <c r="O1448">
        <f>-670.225405819185 -157.101068438579 -495.422790210595</f>
        <v>-1322.7492644683589</v>
      </c>
      <c r="P1448">
        <f>-700.36632193032 -168.096666092737 -215.15644768338</f>
        <v>-1083.6194357064371</v>
      </c>
      <c r="Q1448">
        <f>-477.382402729437 -132.44875128963 -269.524807898984</f>
        <v>-879.35596191805098</v>
      </c>
      <c r="R1448" t="s">
        <v>28036</v>
      </c>
      <c r="S1448" t="s">
        <v>28037</v>
      </c>
      <c r="T1448" t="s">
        <v>28038</v>
      </c>
      <c r="U1448" t="s">
        <v>28039</v>
      </c>
      <c r="V1448">
        <f>-590.179012505484 -51.3363139853454 -91.6067348466975</f>
        <v>-733.12206133752693</v>
      </c>
      <c r="W1448" t="s">
        <v>28040</v>
      </c>
      <c r="X1448" t="s">
        <v>28041</v>
      </c>
      <c r="Y1448" t="s">
        <v>28042</v>
      </c>
    </row>
    <row r="1449" spans="1:25" x14ac:dyDescent="0.3">
      <c r="A1449">
        <v>72400</v>
      </c>
      <c r="B1449" t="s">
        <v>28043</v>
      </c>
      <c r="C1449" t="s">
        <v>28044</v>
      </c>
      <c r="D1449" t="s">
        <v>28045</v>
      </c>
      <c r="E1449" t="s">
        <v>28046</v>
      </c>
      <c r="F1449" t="s">
        <v>28047</v>
      </c>
      <c r="G1449" t="s">
        <v>28048</v>
      </c>
      <c r="H1449" t="s">
        <v>28049</v>
      </c>
      <c r="I1449" t="s">
        <v>28050</v>
      </c>
      <c r="J1449" t="s">
        <v>28051</v>
      </c>
      <c r="K1449" t="s">
        <v>28052</v>
      </c>
      <c r="L1449" t="s">
        <v>28053</v>
      </c>
      <c r="M1449" t="s">
        <v>28054</v>
      </c>
      <c r="N1449">
        <f>-658.797624484894 -5.11833548630102 -526.977403888009</f>
        <v>-1190.8933638592039</v>
      </c>
      <c r="O1449">
        <f>-669.7464425681 -157.492264334179 -495.361310607472</f>
        <v>-1322.6000175097511</v>
      </c>
      <c r="P1449">
        <f>-699.964446391321 -168.595187723002 -215.107492835936</f>
        <v>-1083.667126950259</v>
      </c>
      <c r="Q1449">
        <f>-477.081705515613 -132.644610573508 -269.691079690457</f>
        <v>-879.4173957795781</v>
      </c>
      <c r="R1449" t="s">
        <v>28055</v>
      </c>
      <c r="S1449" t="s">
        <v>28056</v>
      </c>
      <c r="T1449" t="s">
        <v>28057</v>
      </c>
      <c r="U1449" t="s">
        <v>28058</v>
      </c>
      <c r="V1449">
        <f>-589.774764319011 -51.6567454322997 -91.6201243488833</f>
        <v>-733.05163410019395</v>
      </c>
      <c r="W1449" t="s">
        <v>28059</v>
      </c>
      <c r="X1449" t="s">
        <v>28060</v>
      </c>
      <c r="Y1449" t="s">
        <v>28061</v>
      </c>
    </row>
    <row r="1450" spans="1:25" x14ac:dyDescent="0.3">
      <c r="A1450">
        <v>72450</v>
      </c>
      <c r="B1450" t="s">
        <v>28062</v>
      </c>
      <c r="C1450" t="s">
        <v>28063</v>
      </c>
      <c r="D1450" t="s">
        <v>28064</v>
      </c>
      <c r="E1450" t="s">
        <v>28065</v>
      </c>
      <c r="F1450" t="s">
        <v>28066</v>
      </c>
      <c r="G1450" t="s">
        <v>28067</v>
      </c>
      <c r="H1450" t="s">
        <v>28068</v>
      </c>
      <c r="I1450" t="s">
        <v>28069</v>
      </c>
      <c r="J1450" t="s">
        <v>28070</v>
      </c>
      <c r="K1450" t="s">
        <v>28071</v>
      </c>
      <c r="L1450" t="s">
        <v>28072</v>
      </c>
      <c r="M1450" t="s">
        <v>28073</v>
      </c>
      <c r="N1450">
        <f>-658.608636281936 -5.38647333528024 -526.972818883818</f>
        <v>-1190.9679285010343</v>
      </c>
      <c r="O1450">
        <f>-669.580520968423 -157.740453415587 -495.282609172425</f>
        <v>-1322.6035835564351</v>
      </c>
      <c r="P1450">
        <f>-699.777803028031 -168.812951784645 -215.025370966122</f>
        <v>-1083.6161257787981</v>
      </c>
      <c r="Q1450">
        <f>-476.955325431417 -132.634752437427 -269.704899969489</f>
        <v>-879.29497783833301</v>
      </c>
      <c r="R1450" t="s">
        <v>28074</v>
      </c>
      <c r="S1450" t="s">
        <v>28075</v>
      </c>
      <c r="T1450" t="s">
        <v>28076</v>
      </c>
      <c r="U1450" t="s">
        <v>28077</v>
      </c>
      <c r="V1450">
        <f>-589.617564902577 -51.893783306959 -91.6501315961409</f>
        <v>-733.16147980567689</v>
      </c>
      <c r="W1450" t="s">
        <v>28078</v>
      </c>
      <c r="X1450" t="s">
        <v>28079</v>
      </c>
      <c r="Y1450" t="s">
        <v>28080</v>
      </c>
    </row>
    <row r="1451" spans="1:25" x14ac:dyDescent="0.3">
      <c r="A1451">
        <v>72500</v>
      </c>
      <c r="B1451" t="s">
        <v>28081</v>
      </c>
      <c r="C1451" t="s">
        <v>28082</v>
      </c>
      <c r="D1451" t="s">
        <v>28083</v>
      </c>
      <c r="E1451" t="s">
        <v>28084</v>
      </c>
      <c r="F1451" t="s">
        <v>28085</v>
      </c>
      <c r="G1451" t="s">
        <v>28086</v>
      </c>
      <c r="H1451" t="s">
        <v>28087</v>
      </c>
      <c r="I1451" t="s">
        <v>28088</v>
      </c>
      <c r="J1451" t="s">
        <v>28089</v>
      </c>
      <c r="K1451" t="s">
        <v>28090</v>
      </c>
      <c r="L1451" t="s">
        <v>28091</v>
      </c>
      <c r="M1451" t="s">
        <v>28092</v>
      </c>
      <c r="N1451">
        <f>-658.426181457996 -5.96532388641617 -526.997930020698</f>
        <v>-1191.3894353651103</v>
      </c>
      <c r="O1451">
        <f>-669.513766656501 -158.273781765889 -495.108199259336</f>
        <v>-1322.8957476817261</v>
      </c>
      <c r="P1451">
        <f>-699.724741428402 -169.060985813571 -214.841319346301</f>
        <v>-1083.627046588274</v>
      </c>
      <c r="Q1451">
        <f>-476.974186622535 -132.358896180714 -269.464535774741</f>
        <v>-878.79761857799008</v>
      </c>
      <c r="R1451" t="s">
        <v>28093</v>
      </c>
      <c r="S1451" t="s">
        <v>28094</v>
      </c>
      <c r="T1451" t="s">
        <v>28095</v>
      </c>
      <c r="U1451" t="s">
        <v>28096</v>
      </c>
      <c r="V1451">
        <f>-589.4008249086 -52.405747025264 -91.7240748032422</f>
        <v>-733.53064673710617</v>
      </c>
      <c r="W1451" t="s">
        <v>28097</v>
      </c>
      <c r="X1451" t="s">
        <v>28098</v>
      </c>
      <c r="Y1451" t="s">
        <v>28099</v>
      </c>
    </row>
    <row r="1452" spans="1:25" x14ac:dyDescent="0.3">
      <c r="A1452">
        <v>72550</v>
      </c>
      <c r="B1452" t="s">
        <v>28100</v>
      </c>
      <c r="C1452" t="s">
        <v>28101</v>
      </c>
      <c r="D1452" t="s">
        <v>28102</v>
      </c>
      <c r="E1452" t="s">
        <v>28103</v>
      </c>
      <c r="F1452" t="s">
        <v>28104</v>
      </c>
      <c r="G1452" t="s">
        <v>28105</v>
      </c>
      <c r="H1452" t="s">
        <v>28106</v>
      </c>
      <c r="I1452" t="s">
        <v>28107</v>
      </c>
      <c r="J1452" t="s">
        <v>28108</v>
      </c>
      <c r="K1452" t="s">
        <v>28109</v>
      </c>
      <c r="L1452" t="s">
        <v>28110</v>
      </c>
      <c r="M1452" t="s">
        <v>28111</v>
      </c>
      <c r="N1452">
        <f>-658.354047034853 -6.30777981688584 -527.045972362782</f>
        <v>-1191.7077992145209</v>
      </c>
      <c r="O1452">
        <f>-669.515280195944 -158.593191738813 -495.070658849068</f>
        <v>-1323.179130783825</v>
      </c>
      <c r="P1452">
        <f>-699.855195101551 -169.160187720342 -214.809292096845</f>
        <v>-1083.8246749187381</v>
      </c>
      <c r="Q1452">
        <f>-477.12790839226 -132.241370459275 -269.381149490059</f>
        <v>-878.75042834159399</v>
      </c>
      <c r="R1452" t="s">
        <v>28112</v>
      </c>
      <c r="S1452" t="s">
        <v>28113</v>
      </c>
      <c r="T1452" t="s">
        <v>28114</v>
      </c>
      <c r="U1452" t="s">
        <v>28115</v>
      </c>
      <c r="V1452">
        <f>-589.384985665659 -52.6902911967204 -91.7745572443914</f>
        <v>-733.8498341067708</v>
      </c>
      <c r="W1452" t="s">
        <v>28116</v>
      </c>
      <c r="X1452" t="s">
        <v>28117</v>
      </c>
      <c r="Y1452" t="s">
        <v>28118</v>
      </c>
    </row>
    <row r="1453" spans="1:25" x14ac:dyDescent="0.3">
      <c r="A1453">
        <v>72600</v>
      </c>
      <c r="B1453" t="s">
        <v>28119</v>
      </c>
      <c r="C1453" t="s">
        <v>28120</v>
      </c>
      <c r="D1453" t="s">
        <v>28121</v>
      </c>
      <c r="E1453" t="s">
        <v>28122</v>
      </c>
      <c r="F1453" t="s">
        <v>28123</v>
      </c>
      <c r="G1453" t="s">
        <v>28124</v>
      </c>
      <c r="H1453" t="s">
        <v>28125</v>
      </c>
      <c r="I1453" t="s">
        <v>28126</v>
      </c>
      <c r="J1453" t="s">
        <v>28127</v>
      </c>
      <c r="K1453" t="s">
        <v>28128</v>
      </c>
      <c r="L1453" t="s">
        <v>28129</v>
      </c>
      <c r="M1453" t="s">
        <v>28130</v>
      </c>
      <c r="N1453">
        <f>-658.270789946104 -7.01852865192473 -527.091643755473</f>
        <v>-1192.3809623535017</v>
      </c>
      <c r="O1453">
        <f>-669.640853671256 -159.256165436506 -494.961138467</f>
        <v>-1323.8581575747619</v>
      </c>
      <c r="P1453">
        <f>-700.442902953218 -169.596454099098 -214.741818099758</f>
        <v>-1084.781175152074</v>
      </c>
      <c r="Q1453">
        <f>-477.69017560051 -132.322663582625 -268.967194234939</f>
        <v>-878.98003341807384</v>
      </c>
      <c r="R1453" t="s">
        <v>28131</v>
      </c>
      <c r="S1453" t="s">
        <v>28132</v>
      </c>
      <c r="T1453" t="s">
        <v>28133</v>
      </c>
      <c r="U1453" t="s">
        <v>28134</v>
      </c>
      <c r="V1453">
        <f>-589.334220398301 -52.9875440963017 -91.8575947594527</f>
        <v>-734.17935925405538</v>
      </c>
      <c r="W1453" t="s">
        <v>28135</v>
      </c>
      <c r="X1453" t="s">
        <v>28136</v>
      </c>
      <c r="Y1453" t="s">
        <v>28137</v>
      </c>
    </row>
    <row r="1454" spans="1:25" x14ac:dyDescent="0.3">
      <c r="A1454">
        <v>72650</v>
      </c>
      <c r="B1454" t="s">
        <v>28138</v>
      </c>
      <c r="C1454" t="s">
        <v>28139</v>
      </c>
      <c r="D1454" t="s">
        <v>28140</v>
      </c>
      <c r="E1454" t="s">
        <v>28141</v>
      </c>
      <c r="F1454" t="s">
        <v>28142</v>
      </c>
      <c r="G1454" t="s">
        <v>28143</v>
      </c>
      <c r="H1454" t="s">
        <v>28144</v>
      </c>
      <c r="I1454" t="s">
        <v>28145</v>
      </c>
      <c r="J1454" t="s">
        <v>28146</v>
      </c>
      <c r="K1454" t="s">
        <v>28147</v>
      </c>
      <c r="L1454" t="s">
        <v>28148</v>
      </c>
      <c r="M1454" t="s">
        <v>28149</v>
      </c>
      <c r="N1454">
        <f>-658.268245212133 -7.32646292403251 -527.059534726013</f>
        <v>-1192.6542428621785</v>
      </c>
      <c r="O1454">
        <f>-669.704666551511 -159.5291195371 -494.782535645561</f>
        <v>-1324.0163217341719</v>
      </c>
      <c r="P1454">
        <f>-700.706106802117 -169.74508834569 -214.580542507301</f>
        <v>-1085.0317376551079</v>
      </c>
      <c r="Q1454">
        <f>-477.93878660907 -132.380049099291 -268.683542628459</f>
        <v>-879.00237833682002</v>
      </c>
      <c r="R1454" t="s">
        <v>28150</v>
      </c>
      <c r="S1454" t="s">
        <v>28151</v>
      </c>
      <c r="T1454" t="s">
        <v>28152</v>
      </c>
      <c r="U1454" t="s">
        <v>28153</v>
      </c>
      <c r="V1454">
        <f>-589.26647719847 -53.0129702569695 -91.8711927384629</f>
        <v>-734.15064019390252</v>
      </c>
      <c r="W1454" t="s">
        <v>28154</v>
      </c>
      <c r="X1454" t="s">
        <v>28155</v>
      </c>
      <c r="Y1454" t="s">
        <v>28156</v>
      </c>
    </row>
    <row r="1455" spans="1:25" x14ac:dyDescent="0.3">
      <c r="A1455">
        <v>72700</v>
      </c>
      <c r="B1455" t="s">
        <v>28157</v>
      </c>
      <c r="C1455" t="s">
        <v>28158</v>
      </c>
      <c r="D1455" t="s">
        <v>28159</v>
      </c>
      <c r="E1455" t="s">
        <v>28160</v>
      </c>
      <c r="F1455" t="s">
        <v>28161</v>
      </c>
      <c r="G1455" t="s">
        <v>28162</v>
      </c>
      <c r="H1455" t="s">
        <v>28163</v>
      </c>
      <c r="I1455" t="s">
        <v>28164</v>
      </c>
      <c r="J1455" t="s">
        <v>28165</v>
      </c>
      <c r="K1455" t="s">
        <v>28166</v>
      </c>
      <c r="L1455" t="s">
        <v>28167</v>
      </c>
      <c r="M1455" t="s">
        <v>28168</v>
      </c>
      <c r="N1455">
        <f>-658.413021880122 -7.8248174530936 -526.985862242028</f>
        <v>-1193.2237015752435</v>
      </c>
      <c r="O1455">
        <f>-669.940085157501 -159.927079725393 -494.271104749435</f>
        <v>-1324.138269632329</v>
      </c>
      <c r="P1455">
        <f>-701.086414837073 -169.540828129082 -214.06396642346</f>
        <v>-1084.6912093896149</v>
      </c>
      <c r="Q1455">
        <f>-478.231401358699 -132.609237043035 -268.103123825544</f>
        <v>-878.94376222727794</v>
      </c>
      <c r="R1455" t="s">
        <v>28169</v>
      </c>
      <c r="S1455" t="s">
        <v>28170</v>
      </c>
      <c r="T1455" t="s">
        <v>28171</v>
      </c>
      <c r="U1455" t="s">
        <v>28172</v>
      </c>
      <c r="V1455">
        <f>-589.200164786175 -52.9113671704181 -91.887658514534</f>
        <v>-733.99919047112712</v>
      </c>
      <c r="W1455" t="s">
        <v>28173</v>
      </c>
      <c r="X1455" t="s">
        <v>28174</v>
      </c>
      <c r="Y1455" t="s">
        <v>28175</v>
      </c>
    </row>
    <row r="1456" spans="1:25" x14ac:dyDescent="0.3">
      <c r="A1456">
        <v>72750</v>
      </c>
      <c r="B1456" t="s">
        <v>28176</v>
      </c>
      <c r="C1456" t="s">
        <v>28177</v>
      </c>
      <c r="D1456" t="s">
        <v>28178</v>
      </c>
      <c r="E1456" t="s">
        <v>28179</v>
      </c>
      <c r="F1456" t="s">
        <v>28180</v>
      </c>
      <c r="G1456" t="s">
        <v>28181</v>
      </c>
      <c r="H1456" t="s">
        <v>28182</v>
      </c>
      <c r="I1456" t="s">
        <v>28183</v>
      </c>
      <c r="J1456" t="s">
        <v>28184</v>
      </c>
      <c r="K1456" t="s">
        <v>28185</v>
      </c>
      <c r="L1456" t="s">
        <v>28186</v>
      </c>
      <c r="M1456" t="s">
        <v>28187</v>
      </c>
      <c r="N1456">
        <f>-658.571932960521 -8.07049673284587 -526.932525965782</f>
        <v>-1193.5749556591491</v>
      </c>
      <c r="O1456">
        <f>-670.200082095166 -160.116290922486 -493.993245084047</f>
        <v>-1324.309618101699</v>
      </c>
      <c r="P1456">
        <f>-701.271392004444 -169.266800856534 -213.762160648069</f>
        <v>-1084.300353509047</v>
      </c>
      <c r="Q1456">
        <f>-478.416691066178 -132.573583000705 -267.964953180436</f>
        <v>-878.95522724731904</v>
      </c>
      <c r="R1456" t="s">
        <v>28188</v>
      </c>
      <c r="S1456" t="s">
        <v>28189</v>
      </c>
      <c r="T1456" t="s">
        <v>28190</v>
      </c>
      <c r="U1456" t="s">
        <v>28191</v>
      </c>
      <c r="V1456">
        <f>-589.238620118074 -52.8286556527817 -91.8898001344129</f>
        <v>-733.95707590526854</v>
      </c>
      <c r="W1456" t="s">
        <v>28192</v>
      </c>
      <c r="X1456" t="s">
        <v>28193</v>
      </c>
      <c r="Y1456" t="s">
        <v>28194</v>
      </c>
    </row>
    <row r="1457" spans="1:25" x14ac:dyDescent="0.3">
      <c r="A1457">
        <v>72800</v>
      </c>
      <c r="B1457" t="s">
        <v>28195</v>
      </c>
      <c r="C1457" t="s">
        <v>28196</v>
      </c>
      <c r="D1457" t="s">
        <v>28197</v>
      </c>
      <c r="E1457" t="s">
        <v>28198</v>
      </c>
      <c r="F1457" t="s">
        <v>28199</v>
      </c>
      <c r="G1457" t="s">
        <v>28200</v>
      </c>
      <c r="H1457" t="s">
        <v>28201</v>
      </c>
      <c r="I1457" t="s">
        <v>28202</v>
      </c>
      <c r="J1457" t="s">
        <v>28203</v>
      </c>
      <c r="K1457" t="s">
        <v>28204</v>
      </c>
      <c r="L1457" t="s">
        <v>28205</v>
      </c>
      <c r="M1457" t="s">
        <v>28206</v>
      </c>
      <c r="N1457">
        <f>-658.905902307918 -8.53944072620652 -526.823637118712</f>
        <v>-1194.2689801528365</v>
      </c>
      <c r="O1457">
        <f>-670.687198366554 -160.469477703804 -493.399581758522</f>
        <v>-1324.55625782888</v>
      </c>
      <c r="P1457">
        <f>-701.553959024489 -168.666407493623 -213.11645149215</f>
        <v>-1083.336818010262</v>
      </c>
      <c r="Q1457">
        <f>-478.711104301125 -132.326242076926 -267.604912255142</f>
        <v>-878.64225863319302</v>
      </c>
      <c r="R1457" t="s">
        <v>28207</v>
      </c>
      <c r="S1457" t="s">
        <v>28208</v>
      </c>
      <c r="T1457" t="s">
        <v>28209</v>
      </c>
      <c r="U1457" t="s">
        <v>28210</v>
      </c>
      <c r="V1457">
        <f>-589.492107062406 -52.606402408235 -91.8935159621486</f>
        <v>-733.99202543278966</v>
      </c>
      <c r="W1457" t="s">
        <v>28211</v>
      </c>
      <c r="X1457" t="s">
        <v>28212</v>
      </c>
      <c r="Y1457" t="s">
        <v>28213</v>
      </c>
    </row>
    <row r="1458" spans="1:25" x14ac:dyDescent="0.3">
      <c r="A1458">
        <v>72850</v>
      </c>
      <c r="B1458" t="s">
        <v>28214</v>
      </c>
      <c r="C1458" t="s">
        <v>28215</v>
      </c>
      <c r="D1458" t="s">
        <v>28216</v>
      </c>
      <c r="E1458" t="s">
        <v>28217</v>
      </c>
      <c r="F1458" t="s">
        <v>28218</v>
      </c>
      <c r="G1458" t="s">
        <v>28219</v>
      </c>
      <c r="H1458" t="s">
        <v>28220</v>
      </c>
      <c r="I1458" t="s">
        <v>28221</v>
      </c>
      <c r="J1458" t="s">
        <v>28222</v>
      </c>
      <c r="K1458" t="s">
        <v>28223</v>
      </c>
      <c r="L1458" t="s">
        <v>28224</v>
      </c>
      <c r="M1458" t="s">
        <v>28225</v>
      </c>
      <c r="N1458">
        <f>-659.110622742156 -8.78074210327986 -526.765752495427</f>
        <v>-1194.6571173408629</v>
      </c>
      <c r="O1458">
        <f>-670.961859117132 -160.649581175721 -493.119721506609</f>
        <v>-1324.7311617994619</v>
      </c>
      <c r="P1458">
        <f>-701.74413724046 -168.414162899391 -212.81503184645</f>
        <v>-1082.973331986301</v>
      </c>
      <c r="Q1458">
        <f>-478.868558503253 -132.289389852884 -267.313062154607</f>
        <v>-878.47101051074401</v>
      </c>
      <c r="R1458" t="s">
        <v>28226</v>
      </c>
      <c r="S1458" t="s">
        <v>28227</v>
      </c>
      <c r="T1458" t="s">
        <v>28228</v>
      </c>
      <c r="U1458" t="s">
        <v>28229</v>
      </c>
      <c r="V1458">
        <f>-589.61075648589 -52.4584864652886 -91.8911482942978</f>
        <v>-733.96039124547633</v>
      </c>
      <c r="W1458" t="s">
        <v>28230</v>
      </c>
      <c r="X1458" t="s">
        <v>28231</v>
      </c>
      <c r="Y1458" t="s">
        <v>28232</v>
      </c>
    </row>
    <row r="1459" spans="1:25" x14ac:dyDescent="0.3">
      <c r="A1459">
        <v>72900</v>
      </c>
      <c r="B1459" t="s">
        <v>28233</v>
      </c>
      <c r="C1459" t="s">
        <v>28234</v>
      </c>
      <c r="D1459" t="s">
        <v>28235</v>
      </c>
      <c r="E1459" t="s">
        <v>28236</v>
      </c>
      <c r="F1459" t="s">
        <v>28237</v>
      </c>
      <c r="G1459" t="s">
        <v>28238</v>
      </c>
      <c r="H1459" t="s">
        <v>28239</v>
      </c>
      <c r="I1459" t="s">
        <v>28240</v>
      </c>
      <c r="J1459" t="s">
        <v>28241</v>
      </c>
      <c r="K1459" t="s">
        <v>28242</v>
      </c>
      <c r="L1459" t="s">
        <v>28243</v>
      </c>
      <c r="M1459" t="s">
        <v>28244</v>
      </c>
      <c r="N1459">
        <f>-659.378066939656 -9.11182325909135 -526.628465194472</f>
        <v>-1195.1183553932194</v>
      </c>
      <c r="O1459">
        <f>-671.298898627037 -160.880348499433 -492.536856568239</f>
        <v>-1324.7161036947091</v>
      </c>
      <c r="P1459">
        <f>-702.413534596154 -167.908334581827 -212.249531729785</f>
        <v>-1082.571400907766</v>
      </c>
      <c r="Q1459">
        <f>-479.4078666155 -132.348645277287 -266.586441557561</f>
        <v>-878.34295345034798</v>
      </c>
      <c r="R1459" t="s">
        <v>28245</v>
      </c>
      <c r="S1459" t="s">
        <v>28246</v>
      </c>
      <c r="T1459" t="s">
        <v>28247</v>
      </c>
      <c r="U1459" t="s">
        <v>28248</v>
      </c>
      <c r="V1459">
        <f>-589.648324564383 -51.9883854666168 -91.8707664849057</f>
        <v>-733.50747651590552</v>
      </c>
      <c r="W1459" t="s">
        <v>28249</v>
      </c>
      <c r="X1459" t="s">
        <v>28250</v>
      </c>
      <c r="Y1459" t="s">
        <v>28251</v>
      </c>
    </row>
    <row r="1460" spans="1:25" x14ac:dyDescent="0.3">
      <c r="A1460">
        <v>72950</v>
      </c>
      <c r="B1460" t="s">
        <v>28252</v>
      </c>
      <c r="C1460" t="s">
        <v>28253</v>
      </c>
      <c r="D1460" t="s">
        <v>28254</v>
      </c>
      <c r="E1460" t="s">
        <v>28255</v>
      </c>
      <c r="F1460" t="s">
        <v>28256</v>
      </c>
      <c r="G1460" t="s">
        <v>28257</v>
      </c>
      <c r="H1460" t="s">
        <v>28258</v>
      </c>
      <c r="I1460" t="s">
        <v>28259</v>
      </c>
      <c r="J1460" t="s">
        <v>28260</v>
      </c>
      <c r="K1460" t="s">
        <v>28261</v>
      </c>
      <c r="L1460" t="s">
        <v>28262</v>
      </c>
      <c r="M1460" t="s">
        <v>28263</v>
      </c>
      <c r="N1460">
        <f>-659.43980617444 -9.19346696470166 -526.563102009112</f>
        <v>-1195.1963751482535</v>
      </c>
      <c r="O1460">
        <f>-671.401395761907 -160.925615625284 -492.320307864434</f>
        <v>-1324.647319251625</v>
      </c>
      <c r="P1460">
        <f>-702.92068493442 -167.696238722972 -212.071677260024</f>
        <v>-1082.6886009174159</v>
      </c>
      <c r="Q1460">
        <f>-479.81139212071 -132.597634089893 -266.282802721873</f>
        <v>-878.69182893247603</v>
      </c>
      <c r="R1460" t="s">
        <v>28264</v>
      </c>
      <c r="S1460" t="s">
        <v>28265</v>
      </c>
      <c r="T1460" t="s">
        <v>28266</v>
      </c>
      <c r="U1460" t="s">
        <v>28267</v>
      </c>
      <c r="V1460">
        <f>-589.569428158111 -51.7565122872077 -91.8463782153034</f>
        <v>-733.17231866062207</v>
      </c>
      <c r="W1460" t="s">
        <v>28268</v>
      </c>
      <c r="X1460" t="s">
        <v>28269</v>
      </c>
      <c r="Y1460" t="s">
        <v>28270</v>
      </c>
    </row>
    <row r="1461" spans="1:25" x14ac:dyDescent="0.3">
      <c r="A1461">
        <v>73000</v>
      </c>
      <c r="B1461" t="s">
        <v>28271</v>
      </c>
      <c r="C1461" t="s">
        <v>28272</v>
      </c>
      <c r="D1461" t="s">
        <v>28273</v>
      </c>
      <c r="E1461" t="s">
        <v>28274</v>
      </c>
      <c r="F1461" t="s">
        <v>28275</v>
      </c>
      <c r="G1461" t="s">
        <v>28276</v>
      </c>
      <c r="H1461" t="s">
        <v>28277</v>
      </c>
      <c r="I1461" t="s">
        <v>28278</v>
      </c>
      <c r="J1461" t="s">
        <v>28279</v>
      </c>
      <c r="K1461" t="s">
        <v>28280</v>
      </c>
      <c r="L1461" t="s">
        <v>28281</v>
      </c>
      <c r="M1461" t="s">
        <v>28282</v>
      </c>
      <c r="N1461">
        <f>-659.378870594016 -9.16910726693891 -526.477000220669</f>
        <v>-1195.0249780816239</v>
      </c>
      <c r="O1461">
        <f>-671.407840447232 -160.869691891053 -492.121437335669</f>
        <v>-1324.3989696739541</v>
      </c>
      <c r="P1461">
        <f>-704.007413839242 -167.605359771668 -211.995603032696</f>
        <v>-1083.6083766436059</v>
      </c>
      <c r="Q1461">
        <f>-480.871934151464 -133.319292765193 -266.617518829429</f>
        <v>-880.80874574608606</v>
      </c>
      <c r="R1461" t="s">
        <v>28283</v>
      </c>
      <c r="S1461" t="s">
        <v>28284</v>
      </c>
      <c r="T1461" t="s">
        <v>28285</v>
      </c>
      <c r="U1461" t="s">
        <v>28286</v>
      </c>
      <c r="V1461">
        <f>-589.298325176011 -51.3558087374331 -91.8031987103047</f>
        <v>-732.45733262374881</v>
      </c>
      <c r="W1461" t="s">
        <v>28287</v>
      </c>
      <c r="X1461" t="s">
        <v>28288</v>
      </c>
      <c r="Y1461" t="s">
        <v>28289</v>
      </c>
    </row>
    <row r="1462" spans="1:25" x14ac:dyDescent="0.3">
      <c r="A1462">
        <v>73050</v>
      </c>
      <c r="B1462" t="s">
        <v>28290</v>
      </c>
      <c r="C1462" t="s">
        <v>28291</v>
      </c>
      <c r="D1462" t="s">
        <v>28292</v>
      </c>
      <c r="E1462" t="s">
        <v>28293</v>
      </c>
      <c r="F1462" t="s">
        <v>28294</v>
      </c>
      <c r="G1462" t="s">
        <v>28295</v>
      </c>
      <c r="H1462" t="s">
        <v>28296</v>
      </c>
      <c r="I1462" t="s">
        <v>28297</v>
      </c>
      <c r="J1462" t="s">
        <v>28298</v>
      </c>
      <c r="K1462" t="s">
        <v>28299</v>
      </c>
      <c r="L1462" t="s">
        <v>28300</v>
      </c>
      <c r="M1462" t="s">
        <v>28301</v>
      </c>
      <c r="N1462">
        <f>-659.227497889789 -9.16290274957782 -526.468023647204</f>
        <v>-1194.8584242865709</v>
      </c>
      <c r="O1462">
        <f>-671.276471149186 -160.860551448674 -492.135536610868</f>
        <v>-1324.2725592087279</v>
      </c>
      <c r="P1462">
        <f>-704.076638776255 -167.574883837436 -212.032537372865</f>
        <v>-1083.6840599865559</v>
      </c>
      <c r="Q1462">
        <f>-481.224217490014 -133.385224823706 -267.857056139278</f>
        <v>-882.46649845299794</v>
      </c>
      <c r="R1462" t="s">
        <v>28302</v>
      </c>
      <c r="S1462" t="s">
        <v>28303</v>
      </c>
      <c r="T1462" t="s">
        <v>28304</v>
      </c>
      <c r="U1462" t="s">
        <v>28305</v>
      </c>
      <c r="V1462">
        <f>-589.157444814153 -51.319594364958 -91.7966041042674</f>
        <v>-732.27364328337842</v>
      </c>
      <c r="W1462" t="s">
        <v>28306</v>
      </c>
      <c r="X1462" t="s">
        <v>28307</v>
      </c>
      <c r="Y1462" t="s">
        <v>28308</v>
      </c>
    </row>
    <row r="1463" spans="1:25" x14ac:dyDescent="0.3">
      <c r="A1463">
        <v>73100</v>
      </c>
      <c r="B1463" t="s">
        <v>28309</v>
      </c>
      <c r="C1463" t="s">
        <v>28310</v>
      </c>
      <c r="D1463" t="s">
        <v>28311</v>
      </c>
      <c r="E1463" t="s">
        <v>28312</v>
      </c>
      <c r="F1463" t="s">
        <v>28313</v>
      </c>
      <c r="G1463" t="s">
        <v>28314</v>
      </c>
      <c r="H1463" t="s">
        <v>28315</v>
      </c>
      <c r="I1463" t="s">
        <v>28316</v>
      </c>
      <c r="J1463" t="s">
        <v>28317</v>
      </c>
      <c r="K1463" t="s">
        <v>28318</v>
      </c>
      <c r="L1463" t="s">
        <v>28319</v>
      </c>
      <c r="M1463" t="s">
        <v>28320</v>
      </c>
      <c r="N1463">
        <f>-658.522918054777 -9.06135107801333 -526.5195587444</f>
        <v>-1194.1038278771903</v>
      </c>
      <c r="O1463">
        <f>-670.890293686845 -160.737955851913 -492.177803661634</f>
        <v>-1323.8060532003919</v>
      </c>
      <c r="P1463">
        <f>-702.84936807562 -166.329068524152 -211.953107902435</f>
        <v>-1081.1315445022069</v>
      </c>
      <c r="Q1463">
        <f>-480.040682309641 -135.056884493465 -269.632039863046</f>
        <v>-884.72960666615199</v>
      </c>
      <c r="R1463" t="s">
        <v>28321</v>
      </c>
      <c r="S1463" t="s">
        <v>28322</v>
      </c>
      <c r="T1463" t="s">
        <v>28323</v>
      </c>
      <c r="U1463" t="s">
        <v>28324</v>
      </c>
      <c r="V1463">
        <f>-588.855648793669 -51.2665791845891 -91.7761879964839</f>
        <v>-731.89841597474208</v>
      </c>
      <c r="W1463" t="s">
        <v>28325</v>
      </c>
      <c r="X1463" t="s">
        <v>28326</v>
      </c>
      <c r="Y1463" t="s">
        <v>28327</v>
      </c>
    </row>
    <row r="1464" spans="1:25" x14ac:dyDescent="0.3">
      <c r="A1464">
        <v>73150</v>
      </c>
      <c r="B1464" t="s">
        <v>28328</v>
      </c>
      <c r="C1464" t="s">
        <v>28329</v>
      </c>
      <c r="D1464" t="s">
        <v>28330</v>
      </c>
      <c r="E1464" t="s">
        <v>28331</v>
      </c>
      <c r="F1464" t="s">
        <v>28332</v>
      </c>
      <c r="G1464" t="s">
        <v>28333</v>
      </c>
      <c r="H1464" t="s">
        <v>28334</v>
      </c>
      <c r="I1464" t="s">
        <v>28335</v>
      </c>
      <c r="J1464" t="s">
        <v>28336</v>
      </c>
      <c r="K1464" t="s">
        <v>28337</v>
      </c>
      <c r="L1464" t="s">
        <v>28338</v>
      </c>
      <c r="M1464" t="s">
        <v>28339</v>
      </c>
      <c r="N1464">
        <f>-658.290847629307 -9.13424624843628 -526.489233980516</f>
        <v>-1193.9143278582592</v>
      </c>
      <c r="O1464">
        <f>-670.726425775358 -160.791112278836 -492.121874454354</f>
        <v>-1323.639412508548</v>
      </c>
      <c r="P1464">
        <f>-702.236384215544 -166.922005205592 -211.857542192947</f>
        <v>-1081.015931614083</v>
      </c>
      <c r="Q1464">
        <f>-479.591539521933 -135.781651908648 -270.236425945736</f>
        <v>-885.60961737631692</v>
      </c>
      <c r="R1464" t="s">
        <v>28340</v>
      </c>
      <c r="S1464" t="s">
        <v>28341</v>
      </c>
      <c r="T1464" t="s">
        <v>28342</v>
      </c>
      <c r="U1464" t="s">
        <v>28343</v>
      </c>
      <c r="V1464">
        <f>-588.680409286511 -51.3942783814164 -91.7716797387684</f>
        <v>-731.84636740669578</v>
      </c>
      <c r="W1464" t="s">
        <v>28344</v>
      </c>
      <c r="X1464" t="s">
        <v>28345</v>
      </c>
      <c r="Y1464" t="s">
        <v>28346</v>
      </c>
    </row>
    <row r="1465" spans="1:25" x14ac:dyDescent="0.3">
      <c r="A1465">
        <v>73200</v>
      </c>
      <c r="B1465" t="s">
        <v>28347</v>
      </c>
      <c r="C1465" t="s">
        <v>28348</v>
      </c>
      <c r="D1465" t="s">
        <v>28349</v>
      </c>
      <c r="E1465" t="s">
        <v>28350</v>
      </c>
      <c r="F1465" t="s">
        <v>28351</v>
      </c>
      <c r="G1465" t="s">
        <v>28352</v>
      </c>
      <c r="H1465" t="s">
        <v>28353</v>
      </c>
      <c r="I1465" t="s">
        <v>28354</v>
      </c>
      <c r="J1465" t="s">
        <v>28355</v>
      </c>
      <c r="K1465" t="s">
        <v>28356</v>
      </c>
      <c r="L1465" t="s">
        <v>28357</v>
      </c>
      <c r="M1465" t="s">
        <v>28358</v>
      </c>
      <c r="N1465">
        <f>-658.166712793206 -8.81063118033103 -526.489620144316</f>
        <v>-1193.466964117853</v>
      </c>
      <c r="O1465">
        <f>-670.679042828394 -160.524129560657 -492.370011564989</f>
        <v>-1323.5731839540399</v>
      </c>
      <c r="P1465">
        <f>-701.163544915351 -168.0169635495 -212.025302297599</f>
        <v>-1081.20581076245</v>
      </c>
      <c r="Q1465">
        <f>-479.047784188089 -135.228111558833 -271.506512203832</f>
        <v>-885.78240795075408</v>
      </c>
      <c r="R1465" t="s">
        <v>28359</v>
      </c>
      <c r="S1465" t="s">
        <v>28360</v>
      </c>
      <c r="T1465" t="s">
        <v>28361</v>
      </c>
      <c r="U1465" t="s">
        <v>28362</v>
      </c>
      <c r="V1465">
        <f>-588.333502026077 -51.5928752752534 -91.7744937375288</f>
        <v>-731.70087103885919</v>
      </c>
      <c r="W1465" t="s">
        <v>28363</v>
      </c>
      <c r="X1465" t="s">
        <v>28364</v>
      </c>
      <c r="Y1465" t="s">
        <v>28365</v>
      </c>
    </row>
    <row r="1466" spans="1:25" x14ac:dyDescent="0.3">
      <c r="A1466">
        <v>73250</v>
      </c>
      <c r="B1466" t="s">
        <v>28366</v>
      </c>
      <c r="C1466" t="s">
        <v>28367</v>
      </c>
      <c r="D1466" t="s">
        <v>28368</v>
      </c>
      <c r="E1466" t="s">
        <v>28369</v>
      </c>
      <c r="F1466" t="s">
        <v>28370</v>
      </c>
      <c r="G1466" t="s">
        <v>28371</v>
      </c>
      <c r="H1466" t="s">
        <v>28372</v>
      </c>
      <c r="I1466" t="s">
        <v>28373</v>
      </c>
      <c r="J1466" t="s">
        <v>28374</v>
      </c>
      <c r="K1466" t="s">
        <v>28375</v>
      </c>
      <c r="L1466" t="s">
        <v>28376</v>
      </c>
      <c r="M1466" t="s">
        <v>28377</v>
      </c>
      <c r="N1466">
        <f>-658.070172367725 -8.55412399140278 -526.519048759878</f>
        <v>-1193.143345119006</v>
      </c>
      <c r="O1466">
        <f>-670.605510392381 -160.304386180081 -492.586508629307</f>
        <v>-1323.496405201769</v>
      </c>
      <c r="P1466">
        <f>-700.577762367662 -167.926829283772 -212.190190236391</f>
        <v>-1080.694781887825</v>
      </c>
      <c r="Q1466">
        <f>-478.572661907631 -134.316900020957 -271.626120582686</f>
        <v>-884.51568251127401</v>
      </c>
      <c r="R1466" t="s">
        <v>28378</v>
      </c>
      <c r="S1466" t="s">
        <v>28379</v>
      </c>
      <c r="T1466" t="s">
        <v>28380</v>
      </c>
      <c r="U1466" t="s">
        <v>28381</v>
      </c>
      <c r="V1466">
        <f>-588.139304222721 -51.6907303208595 -91.7579365637185</f>
        <v>-731.58797110729904</v>
      </c>
      <c r="W1466" t="s">
        <v>28382</v>
      </c>
      <c r="X1466" t="s">
        <v>28383</v>
      </c>
      <c r="Y1466" t="s">
        <v>28384</v>
      </c>
    </row>
    <row r="1467" spans="1:25" x14ac:dyDescent="0.3">
      <c r="A1467">
        <v>73300</v>
      </c>
      <c r="B1467" t="s">
        <v>28385</v>
      </c>
      <c r="C1467" t="s">
        <v>28386</v>
      </c>
      <c r="D1467" t="s">
        <v>28387</v>
      </c>
      <c r="E1467" t="s">
        <v>28388</v>
      </c>
      <c r="F1467" t="s">
        <v>28389</v>
      </c>
      <c r="G1467" t="s">
        <v>28390</v>
      </c>
      <c r="H1467" t="s">
        <v>28391</v>
      </c>
      <c r="I1467" t="s">
        <v>28392</v>
      </c>
      <c r="J1467" t="s">
        <v>28393</v>
      </c>
      <c r="K1467" t="s">
        <v>28394</v>
      </c>
      <c r="L1467" t="s">
        <v>28395</v>
      </c>
      <c r="M1467" t="s">
        <v>28396</v>
      </c>
      <c r="N1467">
        <f>-657.722497919509 -8.23285670135238 -526.594632636874</f>
        <v>-1192.5499872577354</v>
      </c>
      <c r="O1467">
        <f>-670.03269404093 -160.054941766031 -492.901816543317</f>
        <v>-1322.989452350278</v>
      </c>
      <c r="P1467">
        <f>-699.636671241758 -167.773061094828 -212.468991169647</f>
        <v>-1079.878723506233</v>
      </c>
      <c r="Q1467">
        <f>-477.813266163576 -132.607693533215 -271.682896222236</f>
        <v>-882.10385591902696</v>
      </c>
      <c r="R1467" t="s">
        <v>28397</v>
      </c>
      <c r="S1467" t="s">
        <v>28398</v>
      </c>
      <c r="T1467" t="s">
        <v>28399</v>
      </c>
      <c r="U1467" t="s">
        <v>28400</v>
      </c>
      <c r="V1467">
        <f>-587.712213775883 -51.9347433221558 -91.7639098282484</f>
        <v>-731.41086692628721</v>
      </c>
      <c r="W1467" t="s">
        <v>28401</v>
      </c>
      <c r="X1467" t="s">
        <v>28402</v>
      </c>
      <c r="Y1467" t="s">
        <v>28403</v>
      </c>
    </row>
    <row r="1468" spans="1:25" x14ac:dyDescent="0.3">
      <c r="A1468">
        <v>73350</v>
      </c>
      <c r="B1468" t="s">
        <v>28404</v>
      </c>
      <c r="C1468" t="s">
        <v>28405</v>
      </c>
      <c r="D1468" t="s">
        <v>28406</v>
      </c>
      <c r="E1468" t="s">
        <v>28407</v>
      </c>
      <c r="F1468" t="s">
        <v>28408</v>
      </c>
      <c r="G1468" t="s">
        <v>28409</v>
      </c>
      <c r="H1468" t="s">
        <v>28410</v>
      </c>
      <c r="I1468" t="s">
        <v>28411</v>
      </c>
      <c r="J1468" t="s">
        <v>28412</v>
      </c>
      <c r="K1468" t="s">
        <v>28413</v>
      </c>
      <c r="L1468" t="s">
        <v>28414</v>
      </c>
      <c r="M1468" t="s">
        <v>28415</v>
      </c>
      <c r="N1468">
        <f>-657.485194545208 -8.13692631783306 -526.667456686845</f>
        <v>-1192.289577549886</v>
      </c>
      <c r="O1468">
        <f>-669.660251915685 -160.004181316088 -493.119867941587</f>
        <v>-1322.7843011733598</v>
      </c>
      <c r="P1468">
        <f>-699.518253217139 -168.403855312383 -212.733492786607</f>
        <v>-1080.6556013161289</v>
      </c>
      <c r="Q1468">
        <f>-477.737689810124 -132.499700001483 -271.663981538077</f>
        <v>-881.90137134968404</v>
      </c>
      <c r="R1468" t="s">
        <v>28416</v>
      </c>
      <c r="S1468" t="s">
        <v>28417</v>
      </c>
      <c r="T1468" t="s">
        <v>28418</v>
      </c>
      <c r="U1468" t="s">
        <v>28419</v>
      </c>
      <c r="V1468">
        <f>-587.618737669598 -52.1944036794432 -91.7803251279082</f>
        <v>-731.5934664769494</v>
      </c>
      <c r="W1468" t="s">
        <v>28420</v>
      </c>
      <c r="X1468" t="s">
        <v>28421</v>
      </c>
      <c r="Y1468" t="s">
        <v>28422</v>
      </c>
    </row>
    <row r="1469" spans="1:25" x14ac:dyDescent="0.3">
      <c r="A1469">
        <v>73400</v>
      </c>
      <c r="B1469" t="s">
        <v>28423</v>
      </c>
      <c r="C1469" t="s">
        <v>28424</v>
      </c>
      <c r="D1469" t="s">
        <v>28425</v>
      </c>
      <c r="E1469" t="s">
        <v>28426</v>
      </c>
      <c r="F1469" t="s">
        <v>28427</v>
      </c>
      <c r="G1469" t="s">
        <v>28428</v>
      </c>
      <c r="H1469" t="s">
        <v>28429</v>
      </c>
      <c r="I1469" t="s">
        <v>28430</v>
      </c>
      <c r="J1469" t="s">
        <v>28431</v>
      </c>
      <c r="K1469" t="s">
        <v>28432</v>
      </c>
      <c r="L1469" t="s">
        <v>28433</v>
      </c>
      <c r="M1469" t="s">
        <v>28434</v>
      </c>
      <c r="N1469">
        <f>-656.878461751828 -8.01362512975493 -526.924056052138</f>
        <v>-1191.816142933721</v>
      </c>
      <c r="O1469">
        <f>-668.853170487417 -159.992153579764 -493.782116661328</f>
        <v>-1322.6274407285091</v>
      </c>
      <c r="P1469">
        <f>-699.57524934319 -169.292549821673 -213.51754584965</f>
        <v>-1082.385345014513</v>
      </c>
      <c r="Q1469">
        <f>-477.718541927219 -132.477424260552 -271.593229709898</f>
        <v>-881.78919589766906</v>
      </c>
      <c r="R1469" t="s">
        <v>28435</v>
      </c>
      <c r="S1469" t="s">
        <v>28436</v>
      </c>
      <c r="T1469" t="s">
        <v>28437</v>
      </c>
      <c r="U1469" t="s">
        <v>28438</v>
      </c>
      <c r="V1469">
        <f>-587.714905292567 -52.9724512616131 -91.8597478409815</f>
        <v>-732.54710439516157</v>
      </c>
      <c r="W1469" t="s">
        <v>28439</v>
      </c>
      <c r="X1469" t="s">
        <v>28440</v>
      </c>
      <c r="Y1469" t="s">
        <v>28441</v>
      </c>
    </row>
    <row r="1470" spans="1:25" x14ac:dyDescent="0.3">
      <c r="A1470">
        <v>73450</v>
      </c>
      <c r="B1470" t="s">
        <v>28442</v>
      </c>
      <c r="C1470" t="s">
        <v>28443</v>
      </c>
      <c r="D1470" t="s">
        <v>28444</v>
      </c>
      <c r="E1470" t="s">
        <v>28445</v>
      </c>
      <c r="F1470" t="s">
        <v>28446</v>
      </c>
      <c r="G1470" t="s">
        <v>28447</v>
      </c>
      <c r="H1470" t="s">
        <v>28448</v>
      </c>
      <c r="I1470" t="s">
        <v>28449</v>
      </c>
      <c r="J1470" t="s">
        <v>28450</v>
      </c>
      <c r="K1470" t="s">
        <v>28451</v>
      </c>
      <c r="L1470" t="s">
        <v>28452</v>
      </c>
      <c r="M1470" t="s">
        <v>28453</v>
      </c>
      <c r="N1470">
        <f>-656.485134849162 -7.92282750146705 -527.087855641303</f>
        <v>-1191.4958179919322</v>
      </c>
      <c r="O1470">
        <f>-668.400065321937 -159.946347756784 -494.139586389556</f>
        <v>-1322.485999468277</v>
      </c>
      <c r="P1470">
        <f>-699.591309952056 -169.499829608476 -213.935404392336</f>
        <v>-1083.026543952868</v>
      </c>
      <c r="Q1470">
        <f>-477.710769890825 -132.332074603124 -271.69442797345</f>
        <v>-881.73727246739895</v>
      </c>
      <c r="R1470" t="s">
        <v>28454</v>
      </c>
      <c r="S1470" t="s">
        <v>28455</v>
      </c>
      <c r="T1470" t="s">
        <v>28456</v>
      </c>
      <c r="U1470" t="s">
        <v>28457</v>
      </c>
      <c r="V1470">
        <f>-587.895331388179 -53.3605132074795 -91.8942474051778</f>
        <v>-733.15009200083625</v>
      </c>
      <c r="W1470" t="s">
        <v>28458</v>
      </c>
      <c r="X1470" t="s">
        <v>28459</v>
      </c>
      <c r="Y1470" t="s">
        <v>28460</v>
      </c>
    </row>
    <row r="1471" spans="1:25" x14ac:dyDescent="0.3">
      <c r="A1471">
        <v>73500</v>
      </c>
      <c r="B1471" t="s">
        <v>28461</v>
      </c>
      <c r="C1471" t="s">
        <v>28462</v>
      </c>
      <c r="D1471" t="s">
        <v>28463</v>
      </c>
      <c r="E1471" t="s">
        <v>28464</v>
      </c>
      <c r="F1471" t="s">
        <v>28465</v>
      </c>
      <c r="G1471" t="s">
        <v>28466</v>
      </c>
      <c r="H1471" t="s">
        <v>28467</v>
      </c>
      <c r="I1471" t="s">
        <v>28468</v>
      </c>
      <c r="J1471" t="s">
        <v>28469</v>
      </c>
      <c r="K1471" t="s">
        <v>28470</v>
      </c>
      <c r="L1471" t="s">
        <v>28471</v>
      </c>
      <c r="M1471" t="s">
        <v>28472</v>
      </c>
      <c r="N1471">
        <f>-655.883181863102 -7.88578447230361 -527.3790809464</f>
        <v>-1191.1480472818057</v>
      </c>
      <c r="O1471">
        <f>-667.666134217434 -159.992850741781 -494.78392153964</f>
        <v>-1322.4429064988549</v>
      </c>
      <c r="P1471">
        <f>-699.691345997881 -170.21358864476 -214.697421319359</f>
        <v>-1084.6023559619998</v>
      </c>
      <c r="Q1471">
        <f>-477.798715394028 -132.70117017195 -272.186586145786</f>
        <v>-882.68647171176406</v>
      </c>
      <c r="R1471" t="s">
        <v>28473</v>
      </c>
      <c r="S1471" t="s">
        <v>28474</v>
      </c>
      <c r="T1471" t="s">
        <v>28475</v>
      </c>
      <c r="U1471" t="s">
        <v>28476</v>
      </c>
      <c r="V1471">
        <f>-588.597159857784 -53.982989579989 -91.9906375696058</f>
        <v>-734.57078700737884</v>
      </c>
      <c r="W1471" t="s">
        <v>28477</v>
      </c>
      <c r="X1471" t="s">
        <v>28478</v>
      </c>
      <c r="Y1471" t="s">
        <v>28479</v>
      </c>
    </row>
    <row r="1472" spans="1:25" x14ac:dyDescent="0.3">
      <c r="A1472">
        <v>73550</v>
      </c>
      <c r="B1472" t="s">
        <v>28480</v>
      </c>
      <c r="C1472" t="s">
        <v>28481</v>
      </c>
      <c r="D1472" t="s">
        <v>28482</v>
      </c>
      <c r="E1472" t="s">
        <v>28483</v>
      </c>
      <c r="F1472" t="s">
        <v>28484</v>
      </c>
      <c r="G1472" t="s">
        <v>28485</v>
      </c>
      <c r="H1472" t="s">
        <v>28486</v>
      </c>
      <c r="I1472" t="s">
        <v>28487</v>
      </c>
      <c r="J1472" t="s">
        <v>28488</v>
      </c>
      <c r="K1472" t="s">
        <v>28489</v>
      </c>
      <c r="L1472" t="s">
        <v>28490</v>
      </c>
      <c r="M1472" t="s">
        <v>28491</v>
      </c>
      <c r="N1472">
        <f>-655.892562563074 -7.81221599278683 -527.485502745848</f>
        <v>-1191.1902813017086</v>
      </c>
      <c r="O1472">
        <f>-667.677643004046 -159.94514891462 -495.007908878287</f>
        <v>-1322.6307007969531</v>
      </c>
      <c r="P1472">
        <f>-699.842759255383 -170.517324992342 -214.950459711597</f>
        <v>-1085.3105439593221</v>
      </c>
      <c r="Q1472">
        <f>-477.869112937737 -133.154910702386 -272.224121198645</f>
        <v>-883.24814483876798</v>
      </c>
      <c r="R1472" t="s">
        <v>28492</v>
      </c>
      <c r="S1472" t="s">
        <v>28493</v>
      </c>
      <c r="T1472" t="s">
        <v>28494</v>
      </c>
      <c r="U1472" t="s">
        <v>28495</v>
      </c>
      <c r="V1472">
        <f>-589.02327580242 -54.2096768344825 -92.0398573475222</f>
        <v>-735.27280998442473</v>
      </c>
      <c r="W1472" t="s">
        <v>28496</v>
      </c>
      <c r="X1472" t="s">
        <v>28497</v>
      </c>
      <c r="Y1472" t="s">
        <v>28498</v>
      </c>
    </row>
    <row r="1473" spans="1:25" x14ac:dyDescent="0.3">
      <c r="A1473">
        <v>73600</v>
      </c>
      <c r="B1473" t="s">
        <v>28499</v>
      </c>
      <c r="C1473" t="s">
        <v>28500</v>
      </c>
      <c r="D1473" t="s">
        <v>28501</v>
      </c>
      <c r="E1473" t="s">
        <v>28502</v>
      </c>
      <c r="F1473" t="s">
        <v>28503</v>
      </c>
      <c r="G1473" t="s">
        <v>28504</v>
      </c>
      <c r="H1473" t="s">
        <v>28505</v>
      </c>
      <c r="I1473" t="s">
        <v>28506</v>
      </c>
      <c r="J1473" t="s">
        <v>28507</v>
      </c>
      <c r="K1473" t="s">
        <v>28508</v>
      </c>
      <c r="L1473" t="s">
        <v>28509</v>
      </c>
      <c r="M1473" t="s">
        <v>28510</v>
      </c>
      <c r="N1473">
        <f>-656.477770574267 -7.66281501473918 -527.645741834621</f>
        <v>-1191.7863274236272</v>
      </c>
      <c r="O1473">
        <f>-668.264544213864 -159.848315922324 -495.420209225671</f>
        <v>-1323.5330693618589</v>
      </c>
      <c r="P1473">
        <f>-700.471019141948 -171.21906090162 -215.398756476444</f>
        <v>-1087.0888365200119</v>
      </c>
      <c r="Q1473">
        <f>-478.385467523522 -133.863883828409 -272.241675334381</f>
        <v>-884.4910266863119</v>
      </c>
      <c r="R1473" t="s">
        <v>28511</v>
      </c>
      <c r="S1473" t="s">
        <v>28512</v>
      </c>
      <c r="T1473" t="s">
        <v>28513</v>
      </c>
      <c r="U1473" t="s">
        <v>28514</v>
      </c>
      <c r="V1473">
        <f>-589.876778107808 -54.5269745993337 -92.1286232424342</f>
        <v>-736.53237594957591</v>
      </c>
      <c r="W1473" t="s">
        <v>28515</v>
      </c>
      <c r="X1473" t="s">
        <v>28516</v>
      </c>
      <c r="Y1473" t="s">
        <v>28517</v>
      </c>
    </row>
    <row r="1474" spans="1:25" x14ac:dyDescent="0.3">
      <c r="A1474">
        <v>73650</v>
      </c>
      <c r="B1474" t="s">
        <v>28518</v>
      </c>
      <c r="C1474" t="s">
        <v>28519</v>
      </c>
      <c r="D1474" t="s">
        <v>28520</v>
      </c>
      <c r="E1474" t="s">
        <v>28521</v>
      </c>
      <c r="F1474" t="s">
        <v>28522</v>
      </c>
      <c r="G1474" t="s">
        <v>28523</v>
      </c>
      <c r="H1474" t="s">
        <v>28524</v>
      </c>
      <c r="I1474" t="s">
        <v>28525</v>
      </c>
      <c r="J1474" t="s">
        <v>28526</v>
      </c>
      <c r="K1474" t="s">
        <v>28527</v>
      </c>
      <c r="L1474" t="s">
        <v>28528</v>
      </c>
      <c r="M1474" t="s">
        <v>28529</v>
      </c>
      <c r="N1474">
        <f>-657.048730350405 -7.64144272425347 -527.682638344401</f>
        <v>-1192.3728114190594</v>
      </c>
      <c r="O1474">
        <f>-668.838559744852 -159.84594106219 -495.553424849669</f>
        <v>-1324.237925656711</v>
      </c>
      <c r="P1474">
        <f>-701.095264133506 -171.419215980306 -215.545921372054</f>
        <v>-1088.0604014858661</v>
      </c>
      <c r="Q1474">
        <f>-478.958765814718 -134.186377379687 -272.270217788289</f>
        <v>-885.41536098269398</v>
      </c>
      <c r="R1474" t="s">
        <v>28530</v>
      </c>
      <c r="S1474" t="s">
        <v>28531</v>
      </c>
      <c r="T1474" t="s">
        <v>28532</v>
      </c>
      <c r="U1474" t="s">
        <v>28533</v>
      </c>
      <c r="V1474">
        <f>-590.30854136888 -54.655204637751 -92.1592173592949</f>
        <v>-737.1229633659259</v>
      </c>
      <c r="W1474" t="s">
        <v>28534</v>
      </c>
      <c r="X1474" t="s">
        <v>28535</v>
      </c>
      <c r="Y1474" t="s">
        <v>28536</v>
      </c>
    </row>
    <row r="1475" spans="1:25" x14ac:dyDescent="0.3">
      <c r="A1475">
        <v>73700</v>
      </c>
      <c r="B1475" t="s">
        <v>28537</v>
      </c>
      <c r="C1475" t="s">
        <v>28538</v>
      </c>
      <c r="D1475" t="s">
        <v>28539</v>
      </c>
      <c r="E1475" t="s">
        <v>28540</v>
      </c>
      <c r="F1475" t="s">
        <v>28541</v>
      </c>
      <c r="G1475" t="s">
        <v>28542</v>
      </c>
      <c r="H1475" t="s">
        <v>28543</v>
      </c>
      <c r="I1475" t="s">
        <v>28544</v>
      </c>
      <c r="J1475" t="s">
        <v>28545</v>
      </c>
      <c r="K1475" t="s">
        <v>28546</v>
      </c>
      <c r="L1475" t="s">
        <v>28547</v>
      </c>
      <c r="M1475" t="s">
        <v>28548</v>
      </c>
      <c r="N1475">
        <f>-658.288161437413 -7.5620361886231 -527.642856395028</f>
        <v>-1193.4930540210642</v>
      </c>
      <c r="O1475">
        <f>-670.228395510404 -159.781124256784 -495.623858959353</f>
        <v>-1325.633378726541</v>
      </c>
      <c r="P1475">
        <f>-702.311903071411 -171.420317022789 -215.599294324014</f>
        <v>-1089.3315144182141</v>
      </c>
      <c r="Q1475">
        <f>-479.947439231736 -134.851426946439 -271.860223155675</f>
        <v>-886.65908933385003</v>
      </c>
      <c r="R1475" t="s">
        <v>28549</v>
      </c>
      <c r="S1475" t="s">
        <v>28550</v>
      </c>
      <c r="T1475" t="s">
        <v>28551</v>
      </c>
      <c r="U1475" t="s">
        <v>28552</v>
      </c>
      <c r="V1475">
        <f>-590.97387780721 -54.6528611025865 -92.1597903019258</f>
        <v>-737.78652921172227</v>
      </c>
      <c r="W1475" t="s">
        <v>28553</v>
      </c>
      <c r="X1475" t="s">
        <v>28554</v>
      </c>
      <c r="Y1475" t="s">
        <v>28555</v>
      </c>
    </row>
    <row r="1476" spans="1:25" x14ac:dyDescent="0.3">
      <c r="A1476">
        <v>73750</v>
      </c>
      <c r="B1476" t="s">
        <v>28556</v>
      </c>
      <c r="C1476" t="s">
        <v>28557</v>
      </c>
      <c r="D1476" t="s">
        <v>28558</v>
      </c>
      <c r="E1476" t="s">
        <v>28559</v>
      </c>
      <c r="F1476" t="s">
        <v>28560</v>
      </c>
      <c r="G1476" t="s">
        <v>28561</v>
      </c>
      <c r="H1476" t="s">
        <v>28562</v>
      </c>
      <c r="I1476" t="s">
        <v>28563</v>
      </c>
      <c r="J1476" t="s">
        <v>28564</v>
      </c>
      <c r="K1476" t="s">
        <v>28565</v>
      </c>
      <c r="L1476" t="s">
        <v>28566</v>
      </c>
      <c r="M1476" t="s">
        <v>28567</v>
      </c>
      <c r="N1476">
        <f>-658.948946435839 -7.44453820701756 -527.570708322274</f>
        <v>-1193.9641929651307</v>
      </c>
      <c r="O1476">
        <f>-671.015445572321 -159.656587005291 -495.571051680212</f>
        <v>-1326.2430842578242</v>
      </c>
      <c r="P1476">
        <f>-702.865028421771 -171.258376248334 -215.518186621732</f>
        <v>-1089.6415912918369</v>
      </c>
      <c r="Q1476">
        <f>-480.288560346851 -135.395234191531 -271.393587477399</f>
        <v>-887.07738201578104</v>
      </c>
      <c r="R1476" t="s">
        <v>28568</v>
      </c>
      <c r="S1476" t="s">
        <v>28569</v>
      </c>
      <c r="T1476" t="s">
        <v>28570</v>
      </c>
      <c r="U1476" t="s">
        <v>28571</v>
      </c>
      <c r="V1476">
        <f>-591.220049712724 -54.4809069578635 -92.1343099755782</f>
        <v>-737.83526664616556</v>
      </c>
      <c r="W1476" t="s">
        <v>28572</v>
      </c>
      <c r="X1476" t="s">
        <v>28573</v>
      </c>
      <c r="Y1476" t="s">
        <v>28574</v>
      </c>
    </row>
    <row r="1477" spans="1:25" x14ac:dyDescent="0.3">
      <c r="A1477">
        <v>73800</v>
      </c>
      <c r="B1477" t="s">
        <v>28575</v>
      </c>
      <c r="C1477" t="s">
        <v>28576</v>
      </c>
      <c r="D1477" t="s">
        <v>28577</v>
      </c>
      <c r="E1477" t="s">
        <v>28578</v>
      </c>
      <c r="F1477" t="s">
        <v>28579</v>
      </c>
      <c r="G1477" t="s">
        <v>28580</v>
      </c>
      <c r="H1477" t="s">
        <v>28581</v>
      </c>
      <c r="I1477" t="s">
        <v>28582</v>
      </c>
      <c r="J1477" t="s">
        <v>28583</v>
      </c>
      <c r="K1477" t="s">
        <v>28584</v>
      </c>
      <c r="L1477" t="s">
        <v>28585</v>
      </c>
      <c r="M1477" t="s">
        <v>28586</v>
      </c>
      <c r="N1477">
        <f>-660.458249345061 -7.127512497314 -527.308348554029</f>
        <v>-1194.8941103964039</v>
      </c>
      <c r="O1477">
        <f>-672.654536756552 -159.320381031749 -495.272369194645</f>
        <v>-1327.247286982946</v>
      </c>
      <c r="P1477">
        <f>-704.319915847726 -171.108890605542 -215.2065984966</f>
        <v>-1090.635404949868</v>
      </c>
      <c r="Q1477">
        <f>-481.324795297871 -136.614601084832 -270.268911683687</f>
        <v>-888.20830806638992</v>
      </c>
      <c r="R1477" t="s">
        <v>28587</v>
      </c>
      <c r="S1477" t="s">
        <v>28588</v>
      </c>
      <c r="T1477" t="s">
        <v>28589</v>
      </c>
      <c r="U1477" t="s">
        <v>28590</v>
      </c>
      <c r="V1477">
        <f>-591.507923807234 -53.9510524423124 -92.0725520255879</f>
        <v>-737.53152827513429</v>
      </c>
      <c r="W1477" t="s">
        <v>28591</v>
      </c>
      <c r="X1477" t="s">
        <v>28592</v>
      </c>
      <c r="Y1477" t="s">
        <v>28593</v>
      </c>
    </row>
    <row r="1478" spans="1:25" x14ac:dyDescent="0.3">
      <c r="A1478">
        <v>73850</v>
      </c>
      <c r="B1478" t="s">
        <v>28594</v>
      </c>
      <c r="C1478" t="s">
        <v>28595</v>
      </c>
      <c r="D1478" t="s">
        <v>28596</v>
      </c>
      <c r="E1478" t="s">
        <v>28597</v>
      </c>
      <c r="F1478" t="s">
        <v>28598</v>
      </c>
      <c r="G1478" t="s">
        <v>28599</v>
      </c>
      <c r="H1478" t="s">
        <v>28600</v>
      </c>
      <c r="I1478" t="s">
        <v>28601</v>
      </c>
      <c r="J1478" t="s">
        <v>28602</v>
      </c>
      <c r="K1478" t="s">
        <v>28603</v>
      </c>
      <c r="L1478" t="s">
        <v>28604</v>
      </c>
      <c r="M1478" t="s">
        <v>28605</v>
      </c>
      <c r="N1478">
        <f>-661.272976380132 -6.88791064500379 -527.169534900255</f>
        <v>-1195.330421925391</v>
      </c>
      <c r="O1478">
        <f>-673.591707104473 -159.073721980104 -495.145577262923</f>
        <v>-1327.8110063475001</v>
      </c>
      <c r="P1478">
        <f>-704.930984638854 -170.712710413177 -215.036815451536</f>
        <v>-1090.6805105035671</v>
      </c>
      <c r="Q1478">
        <f>-481.788898648196 -136.85744986073 -269.899771797189</f>
        <v>-888.54612030611497</v>
      </c>
      <c r="R1478" t="s">
        <v>28606</v>
      </c>
      <c r="S1478" t="s">
        <v>28607</v>
      </c>
      <c r="T1478" t="s">
        <v>28608</v>
      </c>
      <c r="U1478" t="s">
        <v>28609</v>
      </c>
      <c r="V1478">
        <f>-591.554362158451 -53.6958563303624 -92.0343958487842</f>
        <v>-737.28461433759765</v>
      </c>
      <c r="W1478" t="s">
        <v>28610</v>
      </c>
      <c r="X1478" t="s">
        <v>28611</v>
      </c>
      <c r="Y1478" t="s">
        <v>28612</v>
      </c>
    </row>
    <row r="1479" spans="1:25" x14ac:dyDescent="0.3">
      <c r="A1479">
        <v>73900</v>
      </c>
      <c r="B1479" t="s">
        <v>28613</v>
      </c>
      <c r="C1479" t="s">
        <v>28614</v>
      </c>
      <c r="D1479" t="s">
        <v>28615</v>
      </c>
      <c r="E1479" t="s">
        <v>28616</v>
      </c>
      <c r="F1479" t="s">
        <v>28617</v>
      </c>
      <c r="G1479" t="s">
        <v>28618</v>
      </c>
      <c r="H1479" t="s">
        <v>28619</v>
      </c>
      <c r="I1479" t="s">
        <v>28620</v>
      </c>
      <c r="J1479" t="s">
        <v>28621</v>
      </c>
      <c r="K1479" t="s">
        <v>28622</v>
      </c>
      <c r="L1479" t="s">
        <v>28623</v>
      </c>
      <c r="M1479" t="s">
        <v>28624</v>
      </c>
      <c r="N1479">
        <f>-662.735419679325 -6.44282597386655 -526.847793616103</f>
        <v>-1196.0260392692944</v>
      </c>
      <c r="O1479">
        <f>-675.23768872879 -158.601024033113 -494.762993093223</f>
        <v>-1328.6017058551261</v>
      </c>
      <c r="P1479">
        <f>-705.931908613179 -169.787313422388 -214.564297424679</f>
        <v>-1090.283519460246</v>
      </c>
      <c r="Q1479">
        <f>-482.535679052163 -137.114322325063 -269.109150343928</f>
        <v>-888.75915172115401</v>
      </c>
      <c r="R1479" t="s">
        <v>28625</v>
      </c>
      <c r="S1479" t="s">
        <v>28626</v>
      </c>
      <c r="T1479" t="s">
        <v>28627</v>
      </c>
      <c r="U1479" t="s">
        <v>28628</v>
      </c>
      <c r="V1479">
        <f>-591.545619244513 -53.3088972701082 -91.9685177344966</f>
        <v>-736.82303424911777</v>
      </c>
      <c r="W1479" t="s">
        <v>28629</v>
      </c>
      <c r="X1479" t="s">
        <v>28630</v>
      </c>
      <c r="Y1479" t="s">
        <v>28631</v>
      </c>
    </row>
    <row r="1480" spans="1:25" x14ac:dyDescent="0.3">
      <c r="A1480">
        <v>73950</v>
      </c>
      <c r="B1480" t="s">
        <v>28632</v>
      </c>
      <c r="C1480" t="s">
        <v>28633</v>
      </c>
      <c r="D1480" t="s">
        <v>28634</v>
      </c>
      <c r="E1480" t="s">
        <v>28635</v>
      </c>
      <c r="F1480" t="s">
        <v>28636</v>
      </c>
      <c r="G1480" t="s">
        <v>28637</v>
      </c>
      <c r="H1480" t="s">
        <v>28638</v>
      </c>
      <c r="I1480" t="s">
        <v>28639</v>
      </c>
      <c r="J1480" t="s">
        <v>28640</v>
      </c>
      <c r="K1480" t="s">
        <v>28641</v>
      </c>
      <c r="L1480" t="s">
        <v>28642</v>
      </c>
      <c r="M1480" t="s">
        <v>28643</v>
      </c>
      <c r="N1480">
        <f>-663.37754517068 -6.17607562790431 -526.679263857155</f>
        <v>-1196.2328846557393</v>
      </c>
      <c r="O1480">
        <f>-675.954946177345 -158.326992761679 -494.57210025208</f>
        <v>-1328.854039191104</v>
      </c>
      <c r="P1480">
        <f>-706.406924000077 -169.571184313086 -214.349299406371</f>
        <v>-1090.327407719534</v>
      </c>
      <c r="Q1480">
        <f>-482.950570373853 -137.203018241638 -268.829676077395</f>
        <v>-888.983264692886</v>
      </c>
      <c r="R1480" t="s">
        <v>28644</v>
      </c>
      <c r="S1480" t="s">
        <v>28645</v>
      </c>
      <c r="T1480" t="s">
        <v>28646</v>
      </c>
      <c r="U1480" t="s">
        <v>28647</v>
      </c>
      <c r="V1480">
        <f>-591.504303371434 -53.0549918096219 -91.9260044399523</f>
        <v>-736.48529962100827</v>
      </c>
      <c r="W1480" t="s">
        <v>28648</v>
      </c>
      <c r="X1480" t="s">
        <v>28649</v>
      </c>
      <c r="Y1480" t="s">
        <v>28650</v>
      </c>
    </row>
    <row r="1481" spans="1:25" x14ac:dyDescent="0.3">
      <c r="A1481">
        <v>74000</v>
      </c>
      <c r="B1481" t="s">
        <v>28651</v>
      </c>
      <c r="C1481" t="s">
        <v>28652</v>
      </c>
      <c r="D1481" t="s">
        <v>28653</v>
      </c>
      <c r="E1481" t="s">
        <v>28654</v>
      </c>
      <c r="F1481" t="s">
        <v>28655</v>
      </c>
      <c r="G1481" t="s">
        <v>28656</v>
      </c>
      <c r="H1481" t="s">
        <v>28657</v>
      </c>
      <c r="I1481" t="s">
        <v>28658</v>
      </c>
      <c r="J1481" t="s">
        <v>28659</v>
      </c>
      <c r="K1481" t="s">
        <v>28660</v>
      </c>
      <c r="L1481" t="s">
        <v>28661</v>
      </c>
      <c r="M1481" t="s">
        <v>28662</v>
      </c>
      <c r="N1481">
        <f>-664.597467609816 -5.63317116898565 -526.353600929251</f>
        <v>-1196.5842397080528</v>
      </c>
      <c r="O1481">
        <f>-677.378732041259 -157.763952694684 -494.250923871067</f>
        <v>-1329.39360860701</v>
      </c>
      <c r="P1481">
        <f>-707.322783455493 -169.002265578442 -213.973072591907</f>
        <v>-1090.298121625842</v>
      </c>
      <c r="Q1481">
        <f>-483.809428775191 -137.013241829217 -268.443375154132</f>
        <v>-889.26604575854003</v>
      </c>
      <c r="R1481" t="s">
        <v>28663</v>
      </c>
      <c r="S1481" t="s">
        <v>28664</v>
      </c>
      <c r="T1481" t="s">
        <v>28665</v>
      </c>
      <c r="U1481" t="s">
        <v>28666</v>
      </c>
      <c r="V1481">
        <f>-591.391437904807 -52.6284386608716 -91.826488501908</f>
        <v>-735.84636506758659</v>
      </c>
      <c r="W1481" t="s">
        <v>28667</v>
      </c>
      <c r="X1481" t="s">
        <v>28668</v>
      </c>
      <c r="Y1481" t="s">
        <v>28669</v>
      </c>
    </row>
    <row r="1482" spans="1:25" x14ac:dyDescent="0.3">
      <c r="A1482">
        <v>74050</v>
      </c>
      <c r="B1482" t="s">
        <v>28670</v>
      </c>
      <c r="C1482" t="s">
        <v>28671</v>
      </c>
      <c r="D1482" t="s">
        <v>28672</v>
      </c>
      <c r="E1482" t="s">
        <v>28673</v>
      </c>
      <c r="F1482" t="s">
        <v>28674</v>
      </c>
      <c r="G1482" t="s">
        <v>28675</v>
      </c>
      <c r="H1482" t="s">
        <v>28676</v>
      </c>
      <c r="I1482" t="s">
        <v>28677</v>
      </c>
      <c r="J1482" t="s">
        <v>28678</v>
      </c>
      <c r="K1482" t="s">
        <v>28679</v>
      </c>
      <c r="L1482" t="s">
        <v>28680</v>
      </c>
      <c r="M1482" t="s">
        <v>28681</v>
      </c>
      <c r="N1482">
        <f>-665.174507166534 -5.32854543692497 -526.195234381882</f>
        <v>-1196.6982869853409</v>
      </c>
      <c r="O1482">
        <f>-678.095340966636 -157.439838546479 -494.053456730228</f>
        <v>-1329.588636243343</v>
      </c>
      <c r="P1482">
        <f>-707.757085532187 -168.508795658547 -213.738899118733</f>
        <v>-1090.0047803094672</v>
      </c>
      <c r="Q1482">
        <f>-484.232659679294 -136.719851298622 -268.280823018049</f>
        <v>-889.23333399596493</v>
      </c>
      <c r="R1482" t="s">
        <v>28682</v>
      </c>
      <c r="S1482" t="s">
        <v>28683</v>
      </c>
      <c r="T1482" t="s">
        <v>28684</v>
      </c>
      <c r="U1482" t="s">
        <v>28685</v>
      </c>
      <c r="V1482">
        <f>-591.319601936998 -52.3707933181865 -91.7726704756534</f>
        <v>-735.46306573083791</v>
      </c>
      <c r="W1482" t="s">
        <v>28686</v>
      </c>
      <c r="X1482" t="s">
        <v>28687</v>
      </c>
      <c r="Y1482" t="s">
        <v>28688</v>
      </c>
    </row>
    <row r="1483" spans="1:25" x14ac:dyDescent="0.3">
      <c r="A1483">
        <v>74100</v>
      </c>
      <c r="B1483" t="s">
        <v>28689</v>
      </c>
      <c r="C1483" t="s">
        <v>28690</v>
      </c>
      <c r="D1483" t="s">
        <v>28691</v>
      </c>
      <c r="E1483" t="s">
        <v>28692</v>
      </c>
      <c r="F1483" t="s">
        <v>28693</v>
      </c>
      <c r="G1483" t="s">
        <v>28694</v>
      </c>
      <c r="H1483" t="s">
        <v>28695</v>
      </c>
      <c r="I1483" t="s">
        <v>28696</v>
      </c>
      <c r="J1483" t="s">
        <v>28697</v>
      </c>
      <c r="K1483" t="s">
        <v>28698</v>
      </c>
      <c r="L1483" t="s">
        <v>28699</v>
      </c>
      <c r="M1483" t="s">
        <v>28700</v>
      </c>
      <c r="N1483">
        <f>-666.079300161701 -4.77583634183725 -525.90941260152</f>
        <v>-1196.7645491050582</v>
      </c>
      <c r="O1483">
        <f>-679.293561095182 -156.83512744997 -493.659440261289</f>
        <v>-1329.7881288064409</v>
      </c>
      <c r="P1483">
        <f>-708.306224773612 -167.559331082576 -213.263572670698</f>
        <v>-1089.129128526886</v>
      </c>
      <c r="Q1483">
        <f>-484.707749831909 -136.279643692146 -267.796385029917</f>
        <v>-888.78377855397207</v>
      </c>
      <c r="R1483" t="s">
        <v>28701</v>
      </c>
      <c r="S1483" t="s">
        <v>28702</v>
      </c>
      <c r="T1483" t="s">
        <v>28703</v>
      </c>
      <c r="U1483" t="s">
        <v>28704</v>
      </c>
      <c r="V1483">
        <f>-591.271986755612 -51.9450155711481 -91.6814853625352</f>
        <v>-734.89848768929539</v>
      </c>
      <c r="W1483" t="s">
        <v>28705</v>
      </c>
      <c r="X1483" t="s">
        <v>28706</v>
      </c>
      <c r="Y1483" t="s">
        <v>28707</v>
      </c>
    </row>
    <row r="1484" spans="1:25" x14ac:dyDescent="0.3">
      <c r="A1484">
        <v>74150</v>
      </c>
      <c r="B1484" t="s">
        <v>28708</v>
      </c>
      <c r="C1484" t="s">
        <v>28709</v>
      </c>
      <c r="D1484" t="s">
        <v>28710</v>
      </c>
      <c r="E1484" t="s">
        <v>28711</v>
      </c>
      <c r="F1484" t="s">
        <v>28712</v>
      </c>
      <c r="G1484" t="s">
        <v>28713</v>
      </c>
      <c r="H1484" t="s">
        <v>28714</v>
      </c>
      <c r="I1484" t="s">
        <v>28715</v>
      </c>
      <c r="J1484" t="s">
        <v>28716</v>
      </c>
      <c r="K1484" t="s">
        <v>28717</v>
      </c>
      <c r="L1484" t="s">
        <v>28718</v>
      </c>
      <c r="M1484" t="s">
        <v>28719</v>
      </c>
      <c r="N1484">
        <f>-666.377252568326 -4.63721732366525 -525.802319032965</f>
        <v>-1196.8167889249562</v>
      </c>
      <c r="O1484">
        <f>-679.676728304179 -156.681997750668 -493.513802053406</f>
        <v>-1329.8725281082529</v>
      </c>
      <c r="P1484">
        <f>-708.528436748495 -167.331916807944 -213.098614413986</f>
        <v>-1088.958967970425</v>
      </c>
      <c r="Q1484">
        <f>-484.879489118016 -136.219248251495 -267.520005341017</f>
        <v>-888.61874271052807</v>
      </c>
      <c r="R1484" t="s">
        <v>28720</v>
      </c>
      <c r="S1484" t="s">
        <v>28721</v>
      </c>
      <c r="T1484" t="s">
        <v>28722</v>
      </c>
      <c r="U1484" t="s">
        <v>28723</v>
      </c>
      <c r="V1484">
        <f>-591.317791272565 -51.8670699857271 -91.6486154782065</f>
        <v>-734.8334767364986</v>
      </c>
      <c r="W1484" t="s">
        <v>28724</v>
      </c>
      <c r="X1484" t="s">
        <v>28725</v>
      </c>
      <c r="Y1484" t="s">
        <v>28726</v>
      </c>
    </row>
    <row r="1485" spans="1:25" x14ac:dyDescent="0.3">
      <c r="A1485">
        <v>74200</v>
      </c>
      <c r="B1485" t="s">
        <v>28727</v>
      </c>
      <c r="C1485" t="s">
        <v>28728</v>
      </c>
      <c r="D1485" t="s">
        <v>28729</v>
      </c>
      <c r="E1485" t="s">
        <v>28730</v>
      </c>
      <c r="F1485" t="s">
        <v>28731</v>
      </c>
      <c r="G1485" t="s">
        <v>28732</v>
      </c>
      <c r="H1485" t="s">
        <v>28733</v>
      </c>
      <c r="I1485" t="s">
        <v>28734</v>
      </c>
      <c r="J1485" t="s">
        <v>28735</v>
      </c>
      <c r="K1485" t="s">
        <v>28736</v>
      </c>
      <c r="L1485" t="s">
        <v>28737</v>
      </c>
      <c r="M1485" t="s">
        <v>28738</v>
      </c>
      <c r="N1485">
        <f>-666.97952183313 -4.52682940328395 -525.657755928022</f>
        <v>-1197.1641071644358</v>
      </c>
      <c r="O1485">
        <f>-680.436064958432 -156.552768899877 -493.343439776355</f>
        <v>-1330.332273634664</v>
      </c>
      <c r="P1485">
        <f>-709.095116611029 -167.241323173495 -212.909971183436</f>
        <v>-1089.2464109679599</v>
      </c>
      <c r="Q1485">
        <f>-485.370517969571 -136.214565162314 -267.068607880863</f>
        <v>-888.65369101274791</v>
      </c>
      <c r="R1485" t="s">
        <v>28739</v>
      </c>
      <c r="S1485" t="s">
        <v>28740</v>
      </c>
      <c r="T1485" t="s">
        <v>28741</v>
      </c>
      <c r="U1485" t="s">
        <v>28742</v>
      </c>
      <c r="V1485">
        <f>-591.599381845913 -51.9181235280173 -91.616881060469</f>
        <v>-735.13438643439929</v>
      </c>
      <c r="W1485" t="s">
        <v>28743</v>
      </c>
      <c r="X1485" t="s">
        <v>28744</v>
      </c>
      <c r="Y1485" t="s">
        <v>28745</v>
      </c>
    </row>
    <row r="1486" spans="1:25" x14ac:dyDescent="0.3">
      <c r="A1486">
        <v>74250</v>
      </c>
      <c r="B1486" t="s">
        <v>28746</v>
      </c>
      <c r="C1486" t="s">
        <v>28747</v>
      </c>
      <c r="D1486" t="s">
        <v>28748</v>
      </c>
      <c r="E1486" t="s">
        <v>28749</v>
      </c>
      <c r="F1486" t="s">
        <v>28750</v>
      </c>
      <c r="G1486" t="s">
        <v>28751</v>
      </c>
      <c r="H1486" t="s">
        <v>28752</v>
      </c>
      <c r="I1486" t="s">
        <v>28753</v>
      </c>
      <c r="J1486" t="s">
        <v>28754</v>
      </c>
      <c r="K1486" t="s">
        <v>28755</v>
      </c>
      <c r="L1486" t="s">
        <v>28756</v>
      </c>
      <c r="M1486" t="s">
        <v>28757</v>
      </c>
      <c r="N1486">
        <f>-667.263614452497 -4.52246946661762 -525.613724739179</f>
        <v>-1197.3998086582938</v>
      </c>
      <c r="O1486">
        <f>-680.809199006272 -156.542324524787 -493.294002170768</f>
        <v>-1330.645525701827</v>
      </c>
      <c r="P1486">
        <f>-709.422470654165 -167.097091775896 -212.850737541828</f>
        <v>-1089.3702999718889</v>
      </c>
      <c r="Q1486">
        <f>-485.658889929286 -136.085324044198 -266.856788707275</f>
        <v>-888.60100268075894</v>
      </c>
      <c r="R1486" t="s">
        <v>28758</v>
      </c>
      <c r="S1486" t="s">
        <v>28759</v>
      </c>
      <c r="T1486" t="s">
        <v>28760</v>
      </c>
      <c r="U1486" t="s">
        <v>28761</v>
      </c>
      <c r="V1486">
        <f>-591.764231285571 -51.9865608056029 -91.6145817164095</f>
        <v>-735.36537380758341</v>
      </c>
      <c r="W1486" t="s">
        <v>28762</v>
      </c>
      <c r="X1486" t="s">
        <v>28763</v>
      </c>
      <c r="Y1486" t="s">
        <v>28764</v>
      </c>
    </row>
    <row r="1487" spans="1:25" x14ac:dyDescent="0.3">
      <c r="A1487">
        <v>74300</v>
      </c>
      <c r="B1487" t="s">
        <v>28765</v>
      </c>
      <c r="C1487" t="s">
        <v>28766</v>
      </c>
      <c r="D1487" t="s">
        <v>28767</v>
      </c>
      <c r="E1487" t="s">
        <v>28768</v>
      </c>
      <c r="F1487" t="s">
        <v>28769</v>
      </c>
      <c r="G1487" t="s">
        <v>28770</v>
      </c>
      <c r="H1487" t="s">
        <v>28771</v>
      </c>
      <c r="I1487" t="s">
        <v>28772</v>
      </c>
      <c r="J1487" t="s">
        <v>28773</v>
      </c>
      <c r="K1487" t="s">
        <v>28774</v>
      </c>
      <c r="L1487" t="s">
        <v>28775</v>
      </c>
      <c r="M1487" t="s">
        <v>28776</v>
      </c>
      <c r="N1487">
        <f>-667.38504418563 -4.55749548208973 -525.67387136003</f>
        <v>-1197.6164110277498</v>
      </c>
      <c r="O1487">
        <f>-681.118026644658 -156.565044654626 -493.37820198572</f>
        <v>-1331.0612732850041</v>
      </c>
      <c r="P1487">
        <f>-709.982499720966 -167.22641102955 -212.964732487341</f>
        <v>-1090.173643237857</v>
      </c>
      <c r="Q1487">
        <f>-486.205211932422 -135.380573245975 -266.426047516186</f>
        <v>-888.01183269458306</v>
      </c>
      <c r="R1487" t="s">
        <v>28777</v>
      </c>
      <c r="S1487" t="s">
        <v>28778</v>
      </c>
      <c r="T1487" t="s">
        <v>28779</v>
      </c>
      <c r="U1487" t="s">
        <v>28780</v>
      </c>
      <c r="V1487">
        <f>-592.325168390273 -52.3398313265966 -91.6542897960376</f>
        <v>-736.31928951290718</v>
      </c>
      <c r="W1487" t="s">
        <v>28781</v>
      </c>
      <c r="X1487" t="s">
        <v>28782</v>
      </c>
      <c r="Y1487" t="s">
        <v>28783</v>
      </c>
    </row>
    <row r="1488" spans="1:25" x14ac:dyDescent="0.3">
      <c r="A1488">
        <v>74350</v>
      </c>
      <c r="B1488" t="s">
        <v>28784</v>
      </c>
      <c r="C1488" t="s">
        <v>28785</v>
      </c>
      <c r="D1488" t="s">
        <v>28786</v>
      </c>
      <c r="E1488" t="s">
        <v>28787</v>
      </c>
      <c r="F1488" t="s">
        <v>28788</v>
      </c>
      <c r="G1488" t="s">
        <v>28789</v>
      </c>
      <c r="H1488" t="s">
        <v>28790</v>
      </c>
      <c r="I1488" t="s">
        <v>28791</v>
      </c>
      <c r="J1488" t="s">
        <v>28792</v>
      </c>
      <c r="K1488" t="s">
        <v>28793</v>
      </c>
      <c r="L1488" t="s">
        <v>28794</v>
      </c>
      <c r="M1488" t="s">
        <v>28795</v>
      </c>
      <c r="N1488">
        <f>-667.169135425382 -4.60633604519103 -525.788598129185</f>
        <v>-1197.5640695997581</v>
      </c>
      <c r="O1488">
        <f>-681.029512966118 -156.626307522438 -493.60192465819</f>
        <v>-1331.2577451467459</v>
      </c>
      <c r="P1488">
        <f>-710.226182798955 -167.244660765853 -213.221149557721</f>
        <v>-1090.6919931225291</v>
      </c>
      <c r="Q1488">
        <f>-486.376961990719 -135.140554817109 -266.224795335164</f>
        <v>-887.74231214299198</v>
      </c>
      <c r="R1488" t="s">
        <v>28796</v>
      </c>
      <c r="S1488" t="s">
        <v>28797</v>
      </c>
      <c r="T1488" t="s">
        <v>28798</v>
      </c>
      <c r="U1488" t="s">
        <v>28799</v>
      </c>
      <c r="V1488">
        <f>-592.615495045337 -52.5116862371808 -91.691754517405</f>
        <v>-736.81893579992277</v>
      </c>
      <c r="W1488" t="s">
        <v>28800</v>
      </c>
      <c r="X1488" t="s">
        <v>28801</v>
      </c>
      <c r="Y1488" t="s">
        <v>28802</v>
      </c>
    </row>
    <row r="1489" spans="1:25" x14ac:dyDescent="0.3">
      <c r="A1489">
        <v>74400</v>
      </c>
      <c r="B1489" t="s">
        <v>28803</v>
      </c>
      <c r="C1489" t="s">
        <v>28804</v>
      </c>
      <c r="D1489" t="s">
        <v>28805</v>
      </c>
      <c r="E1489" t="s">
        <v>28806</v>
      </c>
      <c r="F1489" t="s">
        <v>28807</v>
      </c>
      <c r="G1489" t="s">
        <v>28808</v>
      </c>
      <c r="H1489" t="s">
        <v>28809</v>
      </c>
      <c r="I1489" t="s">
        <v>28810</v>
      </c>
      <c r="J1489" t="s">
        <v>28811</v>
      </c>
      <c r="K1489" t="s">
        <v>28812</v>
      </c>
      <c r="L1489" t="s">
        <v>28813</v>
      </c>
      <c r="M1489" t="s">
        <v>28814</v>
      </c>
      <c r="N1489">
        <f>-666.37625771991 -4.86765997078373 -525.997838369828</f>
        <v>-1197.2417560605218</v>
      </c>
      <c r="O1489">
        <f>-680.38477707009 -156.890206043579 -493.900860365899</f>
        <v>-1331.1758434795679</v>
      </c>
      <c r="P1489">
        <f>-710.626278761013 -167.728310021703 -213.63924641898</f>
        <v>-1091.9938352016961</v>
      </c>
      <c r="Q1489">
        <f>-486.502418101948 -135.109160787769 -265.147083417111</f>
        <v>-886.758662306828</v>
      </c>
      <c r="R1489" t="s">
        <v>28815</v>
      </c>
      <c r="S1489" t="s">
        <v>28816</v>
      </c>
      <c r="T1489" t="s">
        <v>28817</v>
      </c>
      <c r="U1489" t="s">
        <v>28818</v>
      </c>
      <c r="V1489">
        <f>-592.971330959414 -52.8745521726357 -91.7466423238079</f>
        <v>-737.59252545585764</v>
      </c>
      <c r="W1489" t="s">
        <v>28819</v>
      </c>
      <c r="X1489" t="s">
        <v>28820</v>
      </c>
      <c r="Y1489" t="s">
        <v>28821</v>
      </c>
    </row>
    <row r="1490" spans="1:25" x14ac:dyDescent="0.3">
      <c r="A1490">
        <v>74450</v>
      </c>
      <c r="B1490" t="s">
        <v>28822</v>
      </c>
      <c r="C1490" t="s">
        <v>28823</v>
      </c>
      <c r="D1490" t="s">
        <v>28824</v>
      </c>
      <c r="E1490" t="s">
        <v>28825</v>
      </c>
      <c r="F1490" t="s">
        <v>28826</v>
      </c>
      <c r="G1490" t="s">
        <v>28827</v>
      </c>
      <c r="H1490" t="s">
        <v>28828</v>
      </c>
      <c r="I1490" t="s">
        <v>28829</v>
      </c>
      <c r="J1490" t="s">
        <v>28830</v>
      </c>
      <c r="K1490" t="s">
        <v>28831</v>
      </c>
      <c r="L1490" t="s">
        <v>28832</v>
      </c>
      <c r="M1490" t="s">
        <v>28833</v>
      </c>
      <c r="N1490">
        <f>-665.85566329127 -5.0015083160938 -526.129444702527</f>
        <v>-1196.9866163098909</v>
      </c>
      <c r="O1490">
        <f>-679.855334231297 -157.034175706601 -494.061730097271</f>
        <v>-1330.9512400351689</v>
      </c>
      <c r="P1490">
        <f>-710.723046934639 -168.07640073778 -213.876494820278</f>
        <v>-1092.675942492697</v>
      </c>
      <c r="Q1490">
        <f>-486.427392355436 -135.223102327092 -264.479325585927</f>
        <v>-886.12982026845498</v>
      </c>
      <c r="R1490" t="s">
        <v>28834</v>
      </c>
      <c r="S1490" t="s">
        <v>28835</v>
      </c>
      <c r="T1490" t="s">
        <v>28836</v>
      </c>
      <c r="U1490" t="s">
        <v>28837</v>
      </c>
      <c r="V1490">
        <f>-593.05038433203 -53.0535588967414 -91.7864887098131</f>
        <v>-737.89043193858447</v>
      </c>
      <c r="W1490" t="s">
        <v>28838</v>
      </c>
      <c r="X1490" t="s">
        <v>28839</v>
      </c>
      <c r="Y1490" t="s">
        <v>28840</v>
      </c>
    </row>
    <row r="1491" spans="1:25" x14ac:dyDescent="0.3">
      <c r="A1491">
        <v>74500</v>
      </c>
      <c r="B1491" t="s">
        <v>28841</v>
      </c>
      <c r="C1491" t="s">
        <v>28842</v>
      </c>
      <c r="D1491" t="s">
        <v>28843</v>
      </c>
      <c r="E1491" t="s">
        <v>28844</v>
      </c>
      <c r="F1491" t="s">
        <v>28845</v>
      </c>
      <c r="G1491" t="s">
        <v>28846</v>
      </c>
      <c r="H1491" t="s">
        <v>28847</v>
      </c>
      <c r="I1491" t="s">
        <v>28848</v>
      </c>
      <c r="J1491" t="s">
        <v>28849</v>
      </c>
      <c r="K1491" t="s">
        <v>28850</v>
      </c>
      <c r="L1491" t="s">
        <v>28851</v>
      </c>
      <c r="M1491" t="s">
        <v>28852</v>
      </c>
      <c r="N1491">
        <f>-664.855447334263 -5.27730172952488 -526.442221920003</f>
        <v>-1196.574970983791</v>
      </c>
      <c r="O1491">
        <f>-678.87904975244 -157.331773817318 -494.487011628985</f>
        <v>-1330.697835198743</v>
      </c>
      <c r="P1491">
        <f>-710.918748566713 -168.152680470985 -214.424573905118</f>
        <v>-1093.4960029428159</v>
      </c>
      <c r="Q1491">
        <f>-486.184064928894 -135.484732835789 -263.165427808547</f>
        <v>-884.83422557323001</v>
      </c>
      <c r="R1491" t="s">
        <v>28853</v>
      </c>
      <c r="S1491" t="s">
        <v>28854</v>
      </c>
      <c r="T1491" t="s">
        <v>28855</v>
      </c>
      <c r="U1491" t="s">
        <v>28856</v>
      </c>
      <c r="V1491">
        <f>-593.195325573432 -53.4570839203384 -91.8694402763117</f>
        <v>-738.5218497700821</v>
      </c>
      <c r="W1491" t="s">
        <v>28857</v>
      </c>
      <c r="X1491" t="s">
        <v>28858</v>
      </c>
      <c r="Y1491" t="s">
        <v>28859</v>
      </c>
    </row>
    <row r="1492" spans="1:25" x14ac:dyDescent="0.3">
      <c r="A1492">
        <v>74550</v>
      </c>
      <c r="B1492" t="s">
        <v>28860</v>
      </c>
      <c r="C1492" t="s">
        <v>28861</v>
      </c>
      <c r="D1492" t="s">
        <v>28862</v>
      </c>
      <c r="E1492" t="s">
        <v>28863</v>
      </c>
      <c r="F1492" t="s">
        <v>28864</v>
      </c>
      <c r="G1492" t="s">
        <v>28865</v>
      </c>
      <c r="H1492" t="s">
        <v>28866</v>
      </c>
      <c r="I1492" t="s">
        <v>28867</v>
      </c>
      <c r="J1492" t="s">
        <v>28868</v>
      </c>
      <c r="K1492" t="s">
        <v>28869</v>
      </c>
      <c r="L1492" t="s">
        <v>28870</v>
      </c>
      <c r="M1492" t="s">
        <v>28871</v>
      </c>
      <c r="N1492">
        <f>-664.319197242241 -5.52824769538847 -526.578481015277</f>
        <v>-1196.4259259529065</v>
      </c>
      <c r="O1492">
        <f>-678.284881027577 -157.578374676418 -494.607439988069</f>
        <v>-1330.4706956920641</v>
      </c>
      <c r="P1492">
        <f>-710.924123033621 -168.344292935406 -214.61214375043</f>
        <v>-1093.8805597194569</v>
      </c>
      <c r="Q1492">
        <f>-486.080356586162 -135.53677310868 -262.752365276802</f>
        <v>-884.36949497164392</v>
      </c>
      <c r="R1492" t="s">
        <v>28872</v>
      </c>
      <c r="S1492" t="s">
        <v>28873</v>
      </c>
      <c r="T1492" t="s">
        <v>28874</v>
      </c>
      <c r="U1492" t="s">
        <v>28875</v>
      </c>
      <c r="V1492">
        <f>-593.319452870271 -53.5959862906586 -91.9111343266221</f>
        <v>-738.82657348755174</v>
      </c>
      <c r="W1492" t="s">
        <v>28876</v>
      </c>
      <c r="X1492" t="s">
        <v>28877</v>
      </c>
      <c r="Y1492" t="s">
        <v>28878</v>
      </c>
    </row>
    <row r="1493" spans="1:25" x14ac:dyDescent="0.3">
      <c r="A1493">
        <v>74600</v>
      </c>
      <c r="B1493" t="s">
        <v>28879</v>
      </c>
      <c r="C1493" t="s">
        <v>28880</v>
      </c>
      <c r="D1493" t="s">
        <v>28881</v>
      </c>
      <c r="E1493" t="s">
        <v>28882</v>
      </c>
      <c r="F1493" t="s">
        <v>28883</v>
      </c>
      <c r="G1493" t="s">
        <v>28884</v>
      </c>
      <c r="H1493" t="s">
        <v>28885</v>
      </c>
      <c r="I1493" t="s">
        <v>28886</v>
      </c>
      <c r="J1493" t="s">
        <v>28887</v>
      </c>
      <c r="K1493" t="s">
        <v>28888</v>
      </c>
      <c r="L1493" t="s">
        <v>28889</v>
      </c>
      <c r="M1493" t="s">
        <v>28890</v>
      </c>
      <c r="N1493">
        <f>-663.185775386886 -5.88920636178932 -526.792789886807</f>
        <v>-1195.8677716354823</v>
      </c>
      <c r="O1493">
        <f>-677.051584930795 -157.925007480431 -494.715747577064</f>
        <v>-1329.6923399882899</v>
      </c>
      <c r="P1493">
        <f>-710.241418530819 -168.592734956981 -214.781438756721</f>
        <v>-1093.6155922445209</v>
      </c>
      <c r="Q1493">
        <f>-485.390349567563 -135.089831155614 -262.405937092167</f>
        <v>-882.88611781534405</v>
      </c>
      <c r="R1493" t="s">
        <v>28891</v>
      </c>
      <c r="S1493" t="s">
        <v>28892</v>
      </c>
      <c r="T1493" t="s">
        <v>28893</v>
      </c>
      <c r="U1493" t="s">
        <v>28894</v>
      </c>
      <c r="V1493">
        <f>-593.304979939677 -53.5242763518306 -91.9417366732965</f>
        <v>-738.77099296480412</v>
      </c>
      <c r="W1493" t="s">
        <v>28895</v>
      </c>
      <c r="X1493" t="s">
        <v>28896</v>
      </c>
      <c r="Y1493" t="s">
        <v>28897</v>
      </c>
    </row>
    <row r="1494" spans="1:25" x14ac:dyDescent="0.3">
      <c r="A1494">
        <v>74650</v>
      </c>
      <c r="B1494" t="s">
        <v>28898</v>
      </c>
      <c r="C1494" t="s">
        <v>28899</v>
      </c>
      <c r="D1494" t="s">
        <v>28900</v>
      </c>
      <c r="E1494" t="s">
        <v>28901</v>
      </c>
      <c r="F1494" t="s">
        <v>28902</v>
      </c>
      <c r="G1494" t="s">
        <v>28903</v>
      </c>
      <c r="H1494" t="s">
        <v>28904</v>
      </c>
      <c r="I1494" t="s">
        <v>28905</v>
      </c>
      <c r="J1494" t="s">
        <v>28906</v>
      </c>
      <c r="K1494" t="s">
        <v>28907</v>
      </c>
      <c r="L1494" t="s">
        <v>28908</v>
      </c>
      <c r="M1494" t="s">
        <v>28909</v>
      </c>
      <c r="N1494">
        <f>-662.745378998603 -6.19147181169615 -526.84869447586</f>
        <v>-1195.785545286159</v>
      </c>
      <c r="O1494">
        <f>-676.469676460051 -158.205343673664 -494.635646508371</f>
        <v>-1329.3106666420858</v>
      </c>
      <c r="P1494">
        <f>-709.736418409499 -168.733609088181 -214.705109425207</f>
        <v>-1093.1751369228871</v>
      </c>
      <c r="Q1494">
        <f>-484.928614454709 -134.856733105081 -262.269170554207</f>
        <v>-882.05451811399701</v>
      </c>
      <c r="R1494" t="s">
        <v>28910</v>
      </c>
      <c r="S1494" t="s">
        <v>28911</v>
      </c>
      <c r="T1494" t="s">
        <v>28912</v>
      </c>
      <c r="U1494" t="s">
        <v>28913</v>
      </c>
      <c r="V1494">
        <f>-593.209043676235 -53.4657960255952 -91.9508539889114</f>
        <v>-738.62569369074151</v>
      </c>
      <c r="W1494" t="s">
        <v>28914</v>
      </c>
      <c r="X1494" t="s">
        <v>28915</v>
      </c>
      <c r="Y1494" t="s">
        <v>28916</v>
      </c>
    </row>
    <row r="1495" spans="1:25" x14ac:dyDescent="0.3">
      <c r="A1495">
        <v>74700</v>
      </c>
      <c r="B1495" t="s">
        <v>28917</v>
      </c>
      <c r="C1495" t="s">
        <v>28918</v>
      </c>
      <c r="D1495" t="s">
        <v>28919</v>
      </c>
      <c r="E1495" t="s">
        <v>28920</v>
      </c>
      <c r="F1495" t="s">
        <v>28921</v>
      </c>
      <c r="G1495" t="s">
        <v>28922</v>
      </c>
      <c r="H1495" t="s">
        <v>28923</v>
      </c>
      <c r="I1495" t="s">
        <v>28924</v>
      </c>
      <c r="J1495" t="s">
        <v>28925</v>
      </c>
      <c r="K1495" t="s">
        <v>28926</v>
      </c>
      <c r="L1495" t="s">
        <v>28927</v>
      </c>
      <c r="M1495" t="s">
        <v>28928</v>
      </c>
      <c r="N1495">
        <f>-662.090685360779 -6.96493661020213 -526.885189300517</f>
        <v>-1195.9408112714982</v>
      </c>
      <c r="O1495">
        <f>-675.458986078353 -158.935788505511 -494.269970650872</f>
        <v>-1328.6647452347361</v>
      </c>
      <c r="P1495">
        <f>-708.563019730234 -168.807753844724 -214.296262535538</f>
        <v>-1091.6670361104962</v>
      </c>
      <c r="Q1495">
        <f>-483.905782228266 -134.116518479884 -261.984539307588</f>
        <v>-880.00684001573791</v>
      </c>
      <c r="R1495" t="s">
        <v>28929</v>
      </c>
      <c r="S1495" t="s">
        <v>28930</v>
      </c>
      <c r="T1495" t="s">
        <v>28931</v>
      </c>
      <c r="U1495" t="s">
        <v>28932</v>
      </c>
      <c r="V1495">
        <f>-592.918867369578 -53.5705388435695 -91.9955795371695</f>
        <v>-738.48498575031704</v>
      </c>
      <c r="W1495" t="s">
        <v>28933</v>
      </c>
      <c r="X1495" t="s">
        <v>28934</v>
      </c>
      <c r="Y1495" t="s">
        <v>28935</v>
      </c>
    </row>
    <row r="1496" spans="1:25" x14ac:dyDescent="0.3">
      <c r="A1496">
        <v>74750</v>
      </c>
      <c r="B1496" t="s">
        <v>28936</v>
      </c>
      <c r="C1496" t="s">
        <v>28937</v>
      </c>
      <c r="D1496" t="s">
        <v>28938</v>
      </c>
      <c r="E1496" t="s">
        <v>28939</v>
      </c>
      <c r="F1496" t="s">
        <v>28940</v>
      </c>
      <c r="G1496" t="s">
        <v>28941</v>
      </c>
      <c r="H1496" t="s">
        <v>28942</v>
      </c>
      <c r="I1496" t="s">
        <v>28943</v>
      </c>
      <c r="J1496" t="s">
        <v>28944</v>
      </c>
      <c r="K1496" t="s">
        <v>28945</v>
      </c>
      <c r="L1496" t="s">
        <v>28946</v>
      </c>
      <c r="M1496" t="s">
        <v>28947</v>
      </c>
      <c r="N1496">
        <f>-661.780994490908 -7.38341353931787 -526.876631135202</f>
        <v>-1196.0410391654279</v>
      </c>
      <c r="O1496">
        <f>-674.969416648881 -159.317667035506 -494.022396300494</f>
        <v>-1328.3094799848809</v>
      </c>
      <c r="P1496">
        <f>-707.971888922988 -168.76915554143 -214.02218197566</f>
        <v>-1090.7632264400779</v>
      </c>
      <c r="Q1496">
        <f>-483.394732024319 -133.737854479039 -261.839120894841</f>
        <v>-878.97170739819899</v>
      </c>
      <c r="R1496" t="s">
        <v>28948</v>
      </c>
      <c r="S1496" t="s">
        <v>28949</v>
      </c>
      <c r="T1496" t="s">
        <v>28950</v>
      </c>
      <c r="U1496" t="s">
        <v>28951</v>
      </c>
      <c r="V1496">
        <f>-592.686336768562 -53.552557735838 -92.014040364871</f>
        <v>-738.25293486927103</v>
      </c>
      <c r="W1496" t="s">
        <v>28952</v>
      </c>
      <c r="X1496" t="s">
        <v>28953</v>
      </c>
      <c r="Y1496" t="s">
        <v>28954</v>
      </c>
    </row>
    <row r="1497" spans="1:25" x14ac:dyDescent="0.3">
      <c r="A1497">
        <v>74800</v>
      </c>
      <c r="B1497" t="s">
        <v>28955</v>
      </c>
      <c r="C1497" t="s">
        <v>28956</v>
      </c>
      <c r="D1497" t="s">
        <v>28957</v>
      </c>
      <c r="E1497" t="s">
        <v>28958</v>
      </c>
      <c r="F1497" t="s">
        <v>28959</v>
      </c>
      <c r="G1497" t="s">
        <v>28960</v>
      </c>
      <c r="H1497" t="s">
        <v>28961</v>
      </c>
      <c r="I1497" t="s">
        <v>28962</v>
      </c>
      <c r="J1497" t="s">
        <v>28963</v>
      </c>
      <c r="K1497" t="s">
        <v>28964</v>
      </c>
      <c r="L1497" t="s">
        <v>28965</v>
      </c>
      <c r="M1497" t="s">
        <v>28966</v>
      </c>
      <c r="N1497">
        <f>-661.235227239875 -8.04353239071997 -526.822528037052</f>
        <v>-1196.1012876676471</v>
      </c>
      <c r="O1497">
        <f>-674.146294953378 -159.915762344418 -493.544045134844</f>
        <v>-1327.60610243264</v>
      </c>
      <c r="P1497">
        <f>-706.808306507985 -168.714128645345 -213.482723620743</f>
        <v>-1089.0051587740729</v>
      </c>
      <c r="Q1497">
        <f>-482.388549754309 -132.797225840716 -261.381271181594</f>
        <v>-876.56704677661901</v>
      </c>
      <c r="R1497" t="s">
        <v>28967</v>
      </c>
      <c r="S1497" t="s">
        <v>28968</v>
      </c>
      <c r="T1497" t="s">
        <v>28969</v>
      </c>
      <c r="U1497" t="s">
        <v>28970</v>
      </c>
      <c r="V1497">
        <f>-592.09884565432 -53.4598848913752 -92.0289504237674</f>
        <v>-737.58768096946255</v>
      </c>
      <c r="W1497" t="s">
        <v>28971</v>
      </c>
      <c r="X1497" t="s">
        <v>28972</v>
      </c>
      <c r="Y1497" t="s">
        <v>28973</v>
      </c>
    </row>
    <row r="1498" spans="1:25" x14ac:dyDescent="0.3">
      <c r="A1498">
        <v>74850</v>
      </c>
      <c r="B1498" t="s">
        <v>28974</v>
      </c>
      <c r="C1498" t="s">
        <v>28975</v>
      </c>
      <c r="D1498" t="s">
        <v>28976</v>
      </c>
      <c r="E1498" t="s">
        <v>28977</v>
      </c>
      <c r="F1498" t="s">
        <v>28978</v>
      </c>
      <c r="G1498" t="s">
        <v>28979</v>
      </c>
      <c r="H1498" t="s">
        <v>28980</v>
      </c>
      <c r="I1498" t="s">
        <v>28981</v>
      </c>
      <c r="J1498" t="s">
        <v>28982</v>
      </c>
      <c r="K1498" t="s">
        <v>28983</v>
      </c>
      <c r="L1498" t="s">
        <v>28984</v>
      </c>
      <c r="M1498" t="s">
        <v>28985</v>
      </c>
      <c r="N1498">
        <f>-661.02500622936 -8.25511032633995 -526.779990291851</f>
        <v>-1196.060106847551</v>
      </c>
      <c r="O1498">
        <f>-673.832041135941 -160.0931177039 -493.300591474065</f>
        <v>-1327.225750313906</v>
      </c>
      <c r="P1498">
        <f>-706.277276699052 -168.421768948114 -213.199542293152</f>
        <v>-1087.8985879403181</v>
      </c>
      <c r="Q1498">
        <f>-481.908034474088 -132.210983043701 -261.113640121964</f>
        <v>-875.23265763975292</v>
      </c>
      <c r="R1498" t="s">
        <v>28986</v>
      </c>
      <c r="S1498" t="s">
        <v>28987</v>
      </c>
      <c r="T1498" t="s">
        <v>28988</v>
      </c>
      <c r="U1498" t="s">
        <v>28989</v>
      </c>
      <c r="V1498">
        <f>-591.763219983052 -53.4676397212543 -92.0262545987782</f>
        <v>-737.25711430308445</v>
      </c>
      <c r="W1498" t="s">
        <v>28990</v>
      </c>
      <c r="X1498" t="s">
        <v>28991</v>
      </c>
      <c r="Y1498" t="s">
        <v>28992</v>
      </c>
    </row>
    <row r="1499" spans="1:25" x14ac:dyDescent="0.3">
      <c r="A1499">
        <v>74900</v>
      </c>
      <c r="B1499" t="s">
        <v>28993</v>
      </c>
      <c r="C1499" t="s">
        <v>28994</v>
      </c>
      <c r="D1499" t="s">
        <v>28995</v>
      </c>
      <c r="E1499" t="s">
        <v>28996</v>
      </c>
      <c r="F1499" t="s">
        <v>28997</v>
      </c>
      <c r="G1499" t="s">
        <v>28998</v>
      </c>
      <c r="H1499" t="s">
        <v>28999</v>
      </c>
      <c r="I1499" t="s">
        <v>29000</v>
      </c>
      <c r="J1499" t="s">
        <v>29001</v>
      </c>
      <c r="K1499" t="s">
        <v>29002</v>
      </c>
      <c r="L1499" t="s">
        <v>29003</v>
      </c>
      <c r="M1499" t="s">
        <v>29004</v>
      </c>
      <c r="N1499">
        <f>-660.648080879095 -8.48446887717296 -526.680164610759</f>
        <v>-1195.812714367027</v>
      </c>
      <c r="O1499">
        <f>-673.378915566221 -160.237742394124 -492.815861242004</f>
        <v>-1326.4325192023491</v>
      </c>
      <c r="P1499">
        <f>-705.809977455001 -167.846886999353 -212.692918829195</f>
        <v>-1086.349783283549</v>
      </c>
      <c r="Q1499">
        <f>-481.53285108341 -131.147060997495 -260.666075086589</f>
        <v>-873.34598716749394</v>
      </c>
      <c r="R1499" t="s">
        <v>29005</v>
      </c>
      <c r="S1499" t="s">
        <v>29006</v>
      </c>
      <c r="T1499" t="s">
        <v>29007</v>
      </c>
      <c r="U1499" t="s">
        <v>29008</v>
      </c>
      <c r="V1499">
        <f>-591.210199768955 -53.3099680244063 -91.9877872144132</f>
        <v>-736.50795500777451</v>
      </c>
      <c r="W1499" t="s">
        <v>29009</v>
      </c>
      <c r="X1499" t="s">
        <v>29010</v>
      </c>
      <c r="Y1499" t="s">
        <v>29011</v>
      </c>
    </row>
    <row r="1500" spans="1:25" x14ac:dyDescent="0.3">
      <c r="A1500">
        <v>74950</v>
      </c>
      <c r="B1500" t="s">
        <v>29012</v>
      </c>
      <c r="C1500" t="s">
        <v>29013</v>
      </c>
      <c r="D1500" t="s">
        <v>29014</v>
      </c>
      <c r="E1500" t="s">
        <v>29015</v>
      </c>
      <c r="F1500" t="s">
        <v>29016</v>
      </c>
      <c r="G1500" t="s">
        <v>29017</v>
      </c>
      <c r="H1500" t="s">
        <v>29018</v>
      </c>
      <c r="I1500" t="s">
        <v>29019</v>
      </c>
      <c r="J1500" t="s">
        <v>29020</v>
      </c>
      <c r="K1500" t="s">
        <v>29021</v>
      </c>
      <c r="L1500" t="s">
        <v>29022</v>
      </c>
      <c r="M1500" t="s">
        <v>29023</v>
      </c>
      <c r="N1500">
        <f>-660.467513723506 -8.53356838242325 -526.640557143191</f>
        <v>-1195.6416392491203</v>
      </c>
      <c r="O1500">
        <f>-673.29687783194 -160.247114088122 -492.627041183937</f>
        <v>-1326.171033103999</v>
      </c>
      <c r="P1500">
        <f>-705.732541099167 -167.542508243965 -212.496202501919</f>
        <v>-1085.771251845051</v>
      </c>
      <c r="Q1500">
        <f>-481.48525989662 -130.674680146787 -260.479870247494</f>
        <v>-872.63981029090098</v>
      </c>
      <c r="R1500" t="s">
        <v>29024</v>
      </c>
      <c r="S1500" t="s">
        <v>29025</v>
      </c>
      <c r="T1500" t="s">
        <v>29026</v>
      </c>
      <c r="U1500" t="s">
        <v>29027</v>
      </c>
      <c r="V1500">
        <f>-590.998718319043 -53.1883221087912 -91.9648521795107</f>
        <v>-736.15189260734485</v>
      </c>
      <c r="W1500" t="s">
        <v>29028</v>
      </c>
      <c r="X1500" t="s">
        <v>29029</v>
      </c>
      <c r="Y1500" t="s">
        <v>29030</v>
      </c>
    </row>
    <row r="1501" spans="1:25" x14ac:dyDescent="0.3">
      <c r="A1501">
        <v>75000</v>
      </c>
      <c r="B1501" t="s">
        <v>29031</v>
      </c>
      <c r="C1501" t="s">
        <v>29032</v>
      </c>
      <c r="D1501" t="s">
        <v>29033</v>
      </c>
      <c r="E1501" t="s">
        <v>29034</v>
      </c>
      <c r="F1501" t="s">
        <v>29035</v>
      </c>
      <c r="G1501" t="s">
        <v>29036</v>
      </c>
      <c r="H1501" t="s">
        <v>29037</v>
      </c>
      <c r="I1501" t="s">
        <v>29038</v>
      </c>
      <c r="J1501" t="s">
        <v>29039</v>
      </c>
      <c r="K1501" t="s">
        <v>29040</v>
      </c>
      <c r="L1501" t="s">
        <v>29041</v>
      </c>
      <c r="M1501" t="s">
        <v>29042</v>
      </c>
      <c r="N1501">
        <f>-659.918565560345 -8.71801269292882 -526.613083559923</f>
        <v>-1195.2496618131968</v>
      </c>
      <c r="O1501">
        <f>-673.014610435736 -160.336150253923 -492.319625528083</f>
        <v>-1325.6703862177419</v>
      </c>
      <c r="P1501">
        <f>-705.910618526225 -167.040926312302 -212.227683692362</f>
        <v>-1085.1792285308888</v>
      </c>
      <c r="Q1501">
        <f>-481.637092162099 -130.213704153418 -260.119885721527</f>
        <v>-871.97068203704407</v>
      </c>
      <c r="R1501" t="s">
        <v>29043</v>
      </c>
      <c r="S1501" t="s">
        <v>29044</v>
      </c>
      <c r="T1501" t="s">
        <v>29045</v>
      </c>
      <c r="U1501" t="s">
        <v>29046</v>
      </c>
      <c r="V1501">
        <f>-590.808796412147 -53.0355344578672 -91.9323939087961</f>
        <v>-735.77672477881038</v>
      </c>
      <c r="W1501" t="s">
        <v>29047</v>
      </c>
      <c r="X1501" t="s">
        <v>29048</v>
      </c>
      <c r="Y1501" t="s">
        <v>29049</v>
      </c>
    </row>
    <row r="1502" spans="1:25" x14ac:dyDescent="0.3">
      <c r="A1502">
        <v>75050</v>
      </c>
      <c r="B1502" t="s">
        <v>29050</v>
      </c>
      <c r="C1502" t="s">
        <v>29051</v>
      </c>
      <c r="D1502" t="s">
        <v>29052</v>
      </c>
      <c r="E1502" t="s">
        <v>29053</v>
      </c>
      <c r="F1502" t="s">
        <v>29054</v>
      </c>
      <c r="G1502" t="s">
        <v>29055</v>
      </c>
      <c r="H1502" t="s">
        <v>29056</v>
      </c>
      <c r="I1502" t="s">
        <v>29057</v>
      </c>
      <c r="J1502" t="s">
        <v>29058</v>
      </c>
      <c r="K1502" t="s">
        <v>29059</v>
      </c>
      <c r="L1502" t="s">
        <v>29060</v>
      </c>
      <c r="M1502" t="s">
        <v>29061</v>
      </c>
      <c r="N1502">
        <f>-659.711062550652 -8.88765830698981 -526.62193532012</f>
        <v>-1195.2206561777616</v>
      </c>
      <c r="O1502">
        <f>-672.881635995562 -160.470242017609 -492.176213835492</f>
        <v>-1325.5280918486631</v>
      </c>
      <c r="P1502">
        <f>-706.144690539922 -166.976508951358 -212.123087916624</f>
        <v>-1085.244287407904</v>
      </c>
      <c r="Q1502">
        <f>-481.80582256429 -130.202767009441 -259.749668284765</f>
        <v>-871.75825785849599</v>
      </c>
      <c r="R1502" t="s">
        <v>29062</v>
      </c>
      <c r="S1502" t="s">
        <v>29063</v>
      </c>
      <c r="T1502" t="s">
        <v>29064</v>
      </c>
      <c r="U1502" t="s">
        <v>29065</v>
      </c>
      <c r="V1502">
        <f>-590.832189176831 -52.9909587203156 -91.9366355873597</f>
        <v>-735.75978348450622</v>
      </c>
      <c r="W1502" t="s">
        <v>29066</v>
      </c>
      <c r="X1502" t="s">
        <v>29067</v>
      </c>
      <c r="Y1502" t="s">
        <v>29068</v>
      </c>
    </row>
    <row r="1503" spans="1:25" x14ac:dyDescent="0.3">
      <c r="A1503">
        <v>75100</v>
      </c>
      <c r="B1503" t="s">
        <v>29069</v>
      </c>
      <c r="C1503" t="s">
        <v>29070</v>
      </c>
      <c r="D1503" t="s">
        <v>29071</v>
      </c>
      <c r="E1503" t="s">
        <v>29072</v>
      </c>
      <c r="F1503" t="s">
        <v>29073</v>
      </c>
      <c r="G1503" t="s">
        <v>29074</v>
      </c>
      <c r="H1503" t="s">
        <v>29075</v>
      </c>
      <c r="I1503" t="s">
        <v>29076</v>
      </c>
      <c r="J1503" t="s">
        <v>29077</v>
      </c>
      <c r="K1503" t="s">
        <v>29078</v>
      </c>
      <c r="L1503" t="s">
        <v>29079</v>
      </c>
      <c r="M1503" t="s">
        <v>29080</v>
      </c>
      <c r="N1503">
        <f>-659.469262547955 -9.20389462650837 -526.655286754801</f>
        <v>-1195.3284439292643</v>
      </c>
      <c r="O1503">
        <f>-672.859308604958 -160.700764928094 -491.936045525122</f>
        <v>-1325.4961190581739</v>
      </c>
      <c r="P1503">
        <f>-706.765226965661 -166.81278889668 -211.951086800274</f>
        <v>-1085.5291026626151</v>
      </c>
      <c r="Q1503">
        <f>-482.151559196175 -130.430581388188 -258.572526740572</f>
        <v>-871.15466732493508</v>
      </c>
      <c r="R1503" t="s">
        <v>29081</v>
      </c>
      <c r="S1503" t="s">
        <v>29082</v>
      </c>
      <c r="T1503" t="s">
        <v>29083</v>
      </c>
      <c r="U1503" t="s">
        <v>29084</v>
      </c>
      <c r="V1503">
        <f>-591.039473392149 -52.8701485568147 -91.9680797947934</f>
        <v>-735.87770174375714</v>
      </c>
      <c r="W1503" t="s">
        <v>29085</v>
      </c>
      <c r="X1503" t="s">
        <v>29086</v>
      </c>
      <c r="Y1503" t="s">
        <v>29087</v>
      </c>
    </row>
    <row r="1504" spans="1:25" x14ac:dyDescent="0.3">
      <c r="A1504">
        <v>75150</v>
      </c>
      <c r="B1504" t="s">
        <v>29088</v>
      </c>
      <c r="C1504" t="s">
        <v>29089</v>
      </c>
      <c r="D1504" t="s">
        <v>29090</v>
      </c>
      <c r="E1504" t="s">
        <v>29091</v>
      </c>
      <c r="F1504" t="s">
        <v>29092</v>
      </c>
      <c r="G1504" t="s">
        <v>29093</v>
      </c>
      <c r="H1504" t="s">
        <v>29094</v>
      </c>
      <c r="I1504" t="s">
        <v>29095</v>
      </c>
      <c r="J1504" t="s">
        <v>29096</v>
      </c>
      <c r="K1504" t="s">
        <v>29097</v>
      </c>
      <c r="L1504" t="s">
        <v>29098</v>
      </c>
      <c r="M1504" t="s">
        <v>29099</v>
      </c>
      <c r="N1504">
        <f>-659.291438531034 -9.41601795716906 -526.669028808776</f>
        <v>-1195.3764852969791</v>
      </c>
      <c r="O1504">
        <f>-672.794004287266 -160.871445468284 -491.782045188529</f>
        <v>-1325.4474949440792</v>
      </c>
      <c r="P1504">
        <f>-707.039751147407 -166.819439762399 -211.834789912293</f>
        <v>-1085.6939808220991</v>
      </c>
      <c r="Q1504">
        <f>-482.324056731005 -130.480912492115 -257.996395080081</f>
        <v>-870.80136430320101</v>
      </c>
      <c r="R1504" t="s">
        <v>29100</v>
      </c>
      <c r="S1504" t="s">
        <v>29101</v>
      </c>
      <c r="T1504" t="s">
        <v>29102</v>
      </c>
      <c r="U1504" t="s">
        <v>29103</v>
      </c>
      <c r="V1504">
        <f>-591.257387101639 -52.8789984254854 -91.9878622469723</f>
        <v>-736.12424777409672</v>
      </c>
      <c r="W1504" t="s">
        <v>29104</v>
      </c>
      <c r="X1504" t="s">
        <v>29105</v>
      </c>
      <c r="Y1504" t="s">
        <v>29106</v>
      </c>
    </row>
    <row r="1505" spans="1:25" x14ac:dyDescent="0.3">
      <c r="A1505">
        <v>75200</v>
      </c>
      <c r="B1505" t="s">
        <v>29107</v>
      </c>
      <c r="C1505" t="s">
        <v>29108</v>
      </c>
      <c r="D1505" t="s">
        <v>29109</v>
      </c>
      <c r="E1505" t="s">
        <v>29110</v>
      </c>
      <c r="F1505" t="s">
        <v>29111</v>
      </c>
      <c r="G1505" t="s">
        <v>29112</v>
      </c>
      <c r="H1505" t="s">
        <v>29113</v>
      </c>
      <c r="I1505" t="s">
        <v>29114</v>
      </c>
      <c r="J1505" t="s">
        <v>29115</v>
      </c>
      <c r="K1505" t="s">
        <v>29116</v>
      </c>
      <c r="L1505" t="s">
        <v>29117</v>
      </c>
      <c r="M1505" t="s">
        <v>29118</v>
      </c>
      <c r="N1505">
        <f>-659.048789041431 -9.76647244619448 -526.74910305648</f>
        <v>-1195.5643645441055</v>
      </c>
      <c r="O1505">
        <f>-672.797166749187 -161.158352055119 -491.673275937545</f>
        <v>-1325.6287947418509</v>
      </c>
      <c r="P1505">
        <f>-707.4608695745 -166.141276595882 -211.758678870096</f>
        <v>-1085.3608250404779</v>
      </c>
      <c r="Q1505">
        <f>-482.544416353078 -129.86191933783 -256.979561501528</f>
        <v>-869.385897192436</v>
      </c>
      <c r="R1505" t="s">
        <v>29119</v>
      </c>
      <c r="S1505" t="s">
        <v>29120</v>
      </c>
      <c r="T1505" t="s">
        <v>29121</v>
      </c>
      <c r="U1505" t="s">
        <v>29122</v>
      </c>
      <c r="V1505">
        <f>-591.752044924497 -52.9680406323037 -92.0440951883669</f>
        <v>-736.76418074516755</v>
      </c>
      <c r="W1505" t="s">
        <v>29123</v>
      </c>
      <c r="X1505" t="s">
        <v>29124</v>
      </c>
      <c r="Y1505" t="s">
        <v>29125</v>
      </c>
    </row>
    <row r="1506" spans="1:25" x14ac:dyDescent="0.3">
      <c r="A1506">
        <v>75250</v>
      </c>
      <c r="B1506" t="s">
        <v>29126</v>
      </c>
      <c r="C1506" t="s">
        <v>29127</v>
      </c>
      <c r="D1506" t="s">
        <v>29128</v>
      </c>
      <c r="E1506" t="s">
        <v>29129</v>
      </c>
      <c r="F1506" t="s">
        <v>29130</v>
      </c>
      <c r="G1506" t="s">
        <v>29131</v>
      </c>
      <c r="H1506" t="s">
        <v>29132</v>
      </c>
      <c r="I1506" t="s">
        <v>29133</v>
      </c>
      <c r="J1506" t="s">
        <v>29134</v>
      </c>
      <c r="K1506" t="s">
        <v>29135</v>
      </c>
      <c r="L1506" t="s">
        <v>29136</v>
      </c>
      <c r="M1506" t="s">
        <v>29137</v>
      </c>
      <c r="N1506">
        <f>-659.112429727168 -9.8739958696865 -526.744743133988</f>
        <v>-1195.7311687308425</v>
      </c>
      <c r="O1506">
        <f>-672.918015591982 -161.233437623818 -491.554569146701</f>
        <v>-1325.706022362501</v>
      </c>
      <c r="P1506">
        <f>-707.688903147992 -165.854271310245 -211.647021114003</f>
        <v>-1085.1901955722401</v>
      </c>
      <c r="Q1506">
        <f>-482.719249248972 -129.406649379321 -256.465907530986</f>
        <v>-868.59180615927903</v>
      </c>
      <c r="R1506" t="s">
        <v>29138</v>
      </c>
      <c r="S1506" t="s">
        <v>29139</v>
      </c>
      <c r="T1506" t="s">
        <v>29140</v>
      </c>
      <c r="U1506" t="s">
        <v>29141</v>
      </c>
      <c r="V1506">
        <f>-591.891719872871 -52.9101755019683 -92.0522344251409</f>
        <v>-736.85412979998023</v>
      </c>
      <c r="W1506" t="s">
        <v>29142</v>
      </c>
      <c r="X1506" t="s">
        <v>29143</v>
      </c>
      <c r="Y1506" t="s">
        <v>29144</v>
      </c>
    </row>
    <row r="1507" spans="1:25" x14ac:dyDescent="0.3">
      <c r="A1507">
        <v>75300</v>
      </c>
      <c r="B1507" t="s">
        <v>29145</v>
      </c>
      <c r="C1507" t="s">
        <v>29146</v>
      </c>
      <c r="D1507" t="s">
        <v>29147</v>
      </c>
      <c r="E1507" t="s">
        <v>29148</v>
      </c>
      <c r="F1507" t="s">
        <v>29149</v>
      </c>
      <c r="G1507" t="s">
        <v>29150</v>
      </c>
      <c r="H1507" t="s">
        <v>29151</v>
      </c>
      <c r="I1507" t="s">
        <v>29152</v>
      </c>
      <c r="J1507" t="s">
        <v>29153</v>
      </c>
      <c r="K1507" t="s">
        <v>29154</v>
      </c>
      <c r="L1507" t="s">
        <v>29155</v>
      </c>
      <c r="M1507" t="s">
        <v>29156</v>
      </c>
      <c r="N1507">
        <f>-659.343541670442 -9.86318763166582 -526.739619348491</f>
        <v>-1195.9463486505988</v>
      </c>
      <c r="O1507">
        <f>-673.134251054192 -161.186638501846 -491.409724560593</f>
        <v>-1325.7306141166309</v>
      </c>
      <c r="P1507">
        <f>-708.344017303392 -165.410715069668 -211.550652988591</f>
        <v>-1085.3053853616509</v>
      </c>
      <c r="Q1507">
        <f>-483.170622846836 -128.816460263311 -255.212308539077</f>
        <v>-867.19939164922403</v>
      </c>
      <c r="R1507" t="s">
        <v>29157</v>
      </c>
      <c r="S1507" t="s">
        <v>29158</v>
      </c>
      <c r="T1507" t="s">
        <v>29159</v>
      </c>
      <c r="U1507" t="s">
        <v>29160</v>
      </c>
      <c r="V1507">
        <f>-592.08345154673 -52.7681660601281 -92.0671455111558</f>
        <v>-736.91876311801389</v>
      </c>
      <c r="W1507" t="s">
        <v>29161</v>
      </c>
      <c r="X1507" t="s">
        <v>29162</v>
      </c>
      <c r="Y1507" t="s">
        <v>29163</v>
      </c>
    </row>
    <row r="1508" spans="1:25" x14ac:dyDescent="0.3">
      <c r="A1508">
        <v>75350</v>
      </c>
      <c r="B1508" t="s">
        <v>29164</v>
      </c>
      <c r="C1508" t="s">
        <v>29165</v>
      </c>
      <c r="D1508" t="s">
        <v>29166</v>
      </c>
      <c r="E1508" t="s">
        <v>29167</v>
      </c>
      <c r="F1508" t="s">
        <v>29168</v>
      </c>
      <c r="G1508" t="s">
        <v>29169</v>
      </c>
      <c r="H1508" t="s">
        <v>29170</v>
      </c>
      <c r="I1508" t="s">
        <v>29171</v>
      </c>
      <c r="J1508" t="s">
        <v>29172</v>
      </c>
      <c r="K1508" t="s">
        <v>29173</v>
      </c>
      <c r="L1508" t="s">
        <v>29174</v>
      </c>
      <c r="M1508" t="s">
        <v>29175</v>
      </c>
      <c r="N1508">
        <f>-659.515171669939 -9.86404514188553 -526.722727114205</f>
        <v>-1196.1019439260294</v>
      </c>
      <c r="O1508">
        <f>-673.310394052629 -161.180804150123 -491.35948253766</f>
        <v>-1325.8506807404119</v>
      </c>
      <c r="P1508">
        <f>-708.775325462735 -165.172818688135 -211.529293653431</f>
        <v>-1085.4774378043012</v>
      </c>
      <c r="Q1508">
        <f>-483.444449544171 -128.916191168784 -254.657088271867</f>
        <v>-867.01772898482204</v>
      </c>
      <c r="R1508" t="s">
        <v>29176</v>
      </c>
      <c r="S1508" t="s">
        <v>29177</v>
      </c>
      <c r="T1508" t="s">
        <v>29178</v>
      </c>
      <c r="U1508" t="s">
        <v>29179</v>
      </c>
      <c r="V1508">
        <f>-592.146425807689 -52.6667284871244 -92.0683987985755</f>
        <v>-736.88155309338879</v>
      </c>
      <c r="W1508" t="s">
        <v>29180</v>
      </c>
      <c r="X1508" t="s">
        <v>29181</v>
      </c>
      <c r="Y1508" t="s">
        <v>29182</v>
      </c>
    </row>
    <row r="1509" spans="1:25" x14ac:dyDescent="0.3">
      <c r="A1509">
        <v>75400</v>
      </c>
      <c r="B1509" t="s">
        <v>29183</v>
      </c>
      <c r="C1509" t="s">
        <v>29184</v>
      </c>
      <c r="D1509" t="s">
        <v>29185</v>
      </c>
      <c r="E1509" t="s">
        <v>29186</v>
      </c>
      <c r="F1509" t="s">
        <v>29187</v>
      </c>
      <c r="G1509" t="s">
        <v>29188</v>
      </c>
      <c r="H1509" t="s">
        <v>29189</v>
      </c>
      <c r="I1509" t="s">
        <v>29190</v>
      </c>
      <c r="J1509" t="s">
        <v>29191</v>
      </c>
      <c r="K1509" t="s">
        <v>29192</v>
      </c>
      <c r="L1509" t="s">
        <v>29193</v>
      </c>
      <c r="M1509" t="s">
        <v>29194</v>
      </c>
      <c r="N1509">
        <f>-660.100318210542 -9.96572906338088 -526.59533342462</f>
        <v>-1196.6613806985429</v>
      </c>
      <c r="O1509">
        <f>-673.899042340888 -161.252435569424 -491.118827296064</f>
        <v>-1326.270305206376</v>
      </c>
      <c r="P1509">
        <f>-709.583612106058 -165.105802672075 -211.314771501745</f>
        <v>-1086.004186279878</v>
      </c>
      <c r="Q1509">
        <f>-484.081426246673 -129.082524297418 -253.736648448109</f>
        <v>-866.9005989922</v>
      </c>
      <c r="R1509" t="s">
        <v>29195</v>
      </c>
      <c r="S1509" t="s">
        <v>29196</v>
      </c>
      <c r="T1509" t="s">
        <v>29197</v>
      </c>
      <c r="U1509" t="s">
        <v>29198</v>
      </c>
      <c r="V1509">
        <f>-592.325757110094 -52.5211781267346 -92.0556668687897</f>
        <v>-736.90260210561826</v>
      </c>
      <c r="W1509" t="s">
        <v>29199</v>
      </c>
      <c r="X1509" t="s">
        <v>29200</v>
      </c>
      <c r="Y1509" t="s">
        <v>29201</v>
      </c>
    </row>
    <row r="1510" spans="1:25" x14ac:dyDescent="0.3">
      <c r="A1510">
        <v>75450</v>
      </c>
      <c r="B1510" t="s">
        <v>29202</v>
      </c>
      <c r="C1510" t="s">
        <v>29203</v>
      </c>
      <c r="D1510" t="s">
        <v>29204</v>
      </c>
      <c r="E1510" t="s">
        <v>29205</v>
      </c>
      <c r="F1510" t="s">
        <v>29206</v>
      </c>
      <c r="G1510" t="s">
        <v>29207</v>
      </c>
      <c r="H1510" t="s">
        <v>29208</v>
      </c>
      <c r="I1510" t="s">
        <v>29209</v>
      </c>
      <c r="J1510" t="s">
        <v>29210</v>
      </c>
      <c r="K1510" t="s">
        <v>29211</v>
      </c>
      <c r="L1510" t="s">
        <v>29212</v>
      </c>
      <c r="M1510" t="s">
        <v>29213</v>
      </c>
      <c r="N1510">
        <f>-660.467726768284 -9.99183406780321 -526.519301225193</f>
        <v>-1196.9788620612803</v>
      </c>
      <c r="O1510">
        <f>-674.282670823596 -161.263489747578 -490.970875415838</f>
        <v>-1326.5170359870122</v>
      </c>
      <c r="P1510">
        <f>-709.830041127997 -165.010614827545 -211.147816182352</f>
        <v>-1085.988472137894</v>
      </c>
      <c r="Q1510">
        <f>-484.340686444211 -129.018814545477 -253.66475507923</f>
        <v>-867.02425606891791</v>
      </c>
      <c r="R1510" t="s">
        <v>29214</v>
      </c>
      <c r="S1510" t="s">
        <v>29215</v>
      </c>
      <c r="T1510" t="s">
        <v>29216</v>
      </c>
      <c r="U1510" t="s">
        <v>29217</v>
      </c>
      <c r="V1510">
        <f>-592.377556353397 -52.38122205842 -92.0518975401646</f>
        <v>-736.81067595198169</v>
      </c>
      <c r="W1510" t="s">
        <v>29218</v>
      </c>
      <c r="X1510" t="s">
        <v>29219</v>
      </c>
      <c r="Y1510" t="s">
        <v>29220</v>
      </c>
    </row>
    <row r="1511" spans="1:25" x14ac:dyDescent="0.3">
      <c r="A1511">
        <v>75500</v>
      </c>
      <c r="B1511" t="s">
        <v>29221</v>
      </c>
      <c r="C1511" t="s">
        <v>29222</v>
      </c>
      <c r="D1511" t="s">
        <v>29223</v>
      </c>
      <c r="E1511" t="s">
        <v>29224</v>
      </c>
      <c r="F1511" t="s">
        <v>29225</v>
      </c>
      <c r="G1511" t="s">
        <v>29226</v>
      </c>
      <c r="H1511" t="s">
        <v>29227</v>
      </c>
      <c r="I1511" t="s">
        <v>29228</v>
      </c>
      <c r="J1511" t="s">
        <v>29229</v>
      </c>
      <c r="K1511" t="s">
        <v>29230</v>
      </c>
      <c r="L1511" t="s">
        <v>29231</v>
      </c>
      <c r="M1511" t="s">
        <v>29232</v>
      </c>
      <c r="N1511">
        <f>-661.031118487967 -9.94457048094569 -526.329348565008</f>
        <v>-1197.3050375339208</v>
      </c>
      <c r="O1511">
        <f>-674.934670896985 -161.155753496518 -490.573427578523</f>
        <v>-1326.6638519720261</v>
      </c>
      <c r="P1511">
        <f>-710.166796241384 -164.402528004884 -210.704321728769</f>
        <v>-1085.273645975037</v>
      </c>
      <c r="Q1511">
        <f>-484.875544060479 -128.355116746996 -254.212572095652</f>
        <v>-867.44323290312707</v>
      </c>
      <c r="R1511" t="s">
        <v>29233</v>
      </c>
      <c r="S1511" t="s">
        <v>29234</v>
      </c>
      <c r="T1511" t="s">
        <v>29235</v>
      </c>
      <c r="U1511" t="s">
        <v>29236</v>
      </c>
      <c r="V1511">
        <f>-592.350388407872 -51.8454370450609 -92.0176039008726</f>
        <v>-736.2134293538054</v>
      </c>
      <c r="W1511" t="s">
        <v>29237</v>
      </c>
      <c r="X1511" t="s">
        <v>29238</v>
      </c>
      <c r="Y1511" t="s">
        <v>29239</v>
      </c>
    </row>
    <row r="1512" spans="1:25" x14ac:dyDescent="0.3">
      <c r="A1512">
        <v>75550</v>
      </c>
      <c r="B1512" t="s">
        <v>29240</v>
      </c>
      <c r="C1512" t="s">
        <v>29241</v>
      </c>
      <c r="D1512" t="s">
        <v>29242</v>
      </c>
      <c r="E1512" t="s">
        <v>29243</v>
      </c>
      <c r="F1512" t="s">
        <v>29244</v>
      </c>
      <c r="G1512" t="s">
        <v>29245</v>
      </c>
      <c r="H1512" t="s">
        <v>29246</v>
      </c>
      <c r="I1512" t="s">
        <v>29247</v>
      </c>
      <c r="J1512" t="s">
        <v>29248</v>
      </c>
      <c r="K1512" t="s">
        <v>29249</v>
      </c>
      <c r="L1512" t="s">
        <v>29250</v>
      </c>
      <c r="M1512" t="s">
        <v>29251</v>
      </c>
      <c r="N1512">
        <f>-661.230281014407 -9.90143288791614 -526.243902482186</f>
        <v>-1197.3756163845092</v>
      </c>
      <c r="O1512">
        <f>-675.25139618681 -161.074556848695 -490.361521877561</f>
        <v>-1326.6874749130661</v>
      </c>
      <c r="P1512">
        <f>-710.12607827205 -163.760935169005 -210.441612357568</f>
        <v>-1084.3286257986229</v>
      </c>
      <c r="Q1512">
        <f>-484.994221788048 -127.809382453722 -254.84499387112</f>
        <v>-867.64859811289</v>
      </c>
      <c r="R1512" t="s">
        <v>29252</v>
      </c>
      <c r="S1512" t="s">
        <v>29253</v>
      </c>
      <c r="T1512" t="s">
        <v>29254</v>
      </c>
      <c r="U1512" t="s">
        <v>29255</v>
      </c>
      <c r="V1512">
        <f>-592.303780399073 -51.6103996017262 -91.9967464347829</f>
        <v>-735.91092643558216</v>
      </c>
      <c r="W1512" t="s">
        <v>29256</v>
      </c>
      <c r="X1512" t="s">
        <v>29257</v>
      </c>
      <c r="Y1512" t="s">
        <v>29258</v>
      </c>
    </row>
    <row r="1513" spans="1:25" x14ac:dyDescent="0.3">
      <c r="A1513">
        <v>75600</v>
      </c>
      <c r="B1513" t="s">
        <v>29259</v>
      </c>
      <c r="C1513" t="s">
        <v>29260</v>
      </c>
      <c r="D1513" t="s">
        <v>29261</v>
      </c>
      <c r="E1513" t="s">
        <v>29262</v>
      </c>
      <c r="F1513" t="s">
        <v>29263</v>
      </c>
      <c r="G1513" t="s">
        <v>29264</v>
      </c>
      <c r="H1513" t="s">
        <v>29265</v>
      </c>
      <c r="I1513" t="s">
        <v>29266</v>
      </c>
      <c r="J1513" t="s">
        <v>29267</v>
      </c>
      <c r="K1513" t="s">
        <v>29268</v>
      </c>
      <c r="L1513" t="s">
        <v>29269</v>
      </c>
      <c r="M1513" t="s">
        <v>29270</v>
      </c>
      <c r="N1513">
        <f>-661.743786012375 -9.58174917967608 -526.043527465112</f>
        <v>-1197.3690626571631</v>
      </c>
      <c r="O1513">
        <f>-675.942011925221 -160.683666443959 -489.930783522021</f>
        <v>-1326.5564618912008</v>
      </c>
      <c r="P1513">
        <f>-710.046802863524 -162.991204957437 -209.91274712771</f>
        <v>-1082.9507549486709</v>
      </c>
      <c r="Q1513">
        <f>-485.168648077234 -127.036480058594 -255.581079697221</f>
        <v>-867.78620783304905</v>
      </c>
      <c r="R1513" t="s">
        <v>29271</v>
      </c>
      <c r="S1513" t="s">
        <v>29272</v>
      </c>
      <c r="T1513" t="s">
        <v>29273</v>
      </c>
      <c r="U1513" t="s">
        <v>29274</v>
      </c>
      <c r="V1513">
        <f>-592.319749626297 -51.151695446898 -91.9340166244717</f>
        <v>-735.40546169766674</v>
      </c>
      <c r="W1513" t="s">
        <v>29275</v>
      </c>
      <c r="X1513" t="s">
        <v>29276</v>
      </c>
      <c r="Y1513" t="s">
        <v>29277</v>
      </c>
    </row>
    <row r="1514" spans="1:25" x14ac:dyDescent="0.3">
      <c r="A1514">
        <v>75650</v>
      </c>
      <c r="B1514" t="s">
        <v>29278</v>
      </c>
      <c r="C1514" t="s">
        <v>29279</v>
      </c>
      <c r="D1514" t="s">
        <v>29280</v>
      </c>
      <c r="E1514" t="s">
        <v>29281</v>
      </c>
      <c r="F1514" t="s">
        <v>29282</v>
      </c>
      <c r="G1514" t="s">
        <v>29283</v>
      </c>
      <c r="H1514" t="s">
        <v>29284</v>
      </c>
      <c r="I1514" t="s">
        <v>29285</v>
      </c>
      <c r="J1514" t="s">
        <v>29286</v>
      </c>
      <c r="K1514" t="s">
        <v>29287</v>
      </c>
      <c r="L1514" t="s">
        <v>29288</v>
      </c>
      <c r="M1514" t="s">
        <v>29289</v>
      </c>
      <c r="N1514">
        <f>-661.945344188937 -9.410060763498 -525.943663975696</f>
        <v>-1197.299068928131</v>
      </c>
      <c r="O1514">
        <f>-676.142729401784 -160.497541065895 -489.760070231165</f>
        <v>-1326.400340698844</v>
      </c>
      <c r="P1514">
        <f>-710.00609179915 -163.124990252439 -209.715658187107</f>
        <v>-1082.8467402386959</v>
      </c>
      <c r="Q1514">
        <f>-485.363549148306 -126.543378009577 -256.040820990574</f>
        <v>-867.94774814845709</v>
      </c>
      <c r="R1514" t="s">
        <v>29290</v>
      </c>
      <c r="S1514" t="s">
        <v>29291</v>
      </c>
      <c r="T1514" t="s">
        <v>29292</v>
      </c>
      <c r="U1514" t="s">
        <v>29293</v>
      </c>
      <c r="V1514">
        <f>-592.305834342242 -50.8903766457129 -91.8961639230247</f>
        <v>-735.09237491097952</v>
      </c>
      <c r="W1514" t="s">
        <v>29294</v>
      </c>
      <c r="X1514" t="s">
        <v>29295</v>
      </c>
      <c r="Y1514" t="s">
        <v>29296</v>
      </c>
    </row>
    <row r="1515" spans="1:25" x14ac:dyDescent="0.3">
      <c r="A1515">
        <v>75700</v>
      </c>
      <c r="B1515" t="s">
        <v>29297</v>
      </c>
      <c r="C1515" t="s">
        <v>29298</v>
      </c>
      <c r="D1515" t="s">
        <v>29299</v>
      </c>
      <c r="E1515" t="s">
        <v>29300</v>
      </c>
      <c r="F1515" t="s">
        <v>29301</v>
      </c>
      <c r="G1515" t="s">
        <v>29302</v>
      </c>
      <c r="H1515" t="s">
        <v>29303</v>
      </c>
      <c r="I1515" t="s">
        <v>29304</v>
      </c>
      <c r="J1515" t="s">
        <v>29305</v>
      </c>
      <c r="K1515" t="s">
        <v>29306</v>
      </c>
      <c r="L1515" t="s">
        <v>29307</v>
      </c>
      <c r="M1515" t="s">
        <v>29308</v>
      </c>
      <c r="N1515">
        <f>-662.30728026668 -8.75245429110259 -525.802652526723</f>
        <v>-1196.8623870845056</v>
      </c>
      <c r="O1515">
        <f>-676.650095173247 -159.840814573847 -489.677245466433</f>
        <v>-1326.1681552135271</v>
      </c>
      <c r="P1515">
        <f>-709.78844430122 -162.638091713811 -209.547723699221</f>
        <v>-1081.974259714252</v>
      </c>
      <c r="Q1515">
        <f>-485.547471518145 -125.341870716685 -257.228967442699</f>
        <v>-868.11830967752894</v>
      </c>
      <c r="R1515" t="s">
        <v>29309</v>
      </c>
      <c r="S1515" t="s">
        <v>29310</v>
      </c>
      <c r="T1515" t="s">
        <v>29311</v>
      </c>
      <c r="U1515" t="s">
        <v>29312</v>
      </c>
      <c r="V1515">
        <f>-592.088670613012 -50.3023594560082 -91.7981250600607</f>
        <v>-734.18915512908086</v>
      </c>
      <c r="W1515" t="s">
        <v>29313</v>
      </c>
      <c r="X1515" t="s">
        <v>29314</v>
      </c>
      <c r="Y1515" t="s">
        <v>29315</v>
      </c>
    </row>
    <row r="1516" spans="1:25" x14ac:dyDescent="0.3">
      <c r="A1516">
        <v>75750</v>
      </c>
      <c r="B1516" t="s">
        <v>29316</v>
      </c>
      <c r="C1516" t="s">
        <v>29317</v>
      </c>
      <c r="D1516" t="s">
        <v>29318</v>
      </c>
      <c r="E1516" t="s">
        <v>29319</v>
      </c>
      <c r="F1516" t="s">
        <v>29320</v>
      </c>
      <c r="G1516" t="s">
        <v>29321</v>
      </c>
      <c r="H1516" t="s">
        <v>29322</v>
      </c>
      <c r="I1516" t="s">
        <v>29323</v>
      </c>
      <c r="J1516" t="s">
        <v>29324</v>
      </c>
      <c r="K1516" t="s">
        <v>29325</v>
      </c>
      <c r="L1516" t="s">
        <v>29326</v>
      </c>
      <c r="M1516" t="s">
        <v>29327</v>
      </c>
      <c r="N1516">
        <f>-662.514748843552 -8.43006582710245 -525.711148680138</f>
        <v>-1196.6559633507923</v>
      </c>
      <c r="O1516">
        <f>-676.96736096855 -159.502600910523 -489.59353202763</f>
        <v>-1326.0634939067031</v>
      </c>
      <c r="P1516">
        <f>-709.7237658171 -162.001629485585 -209.416215796066</f>
        <v>-1081.1416110987511</v>
      </c>
      <c r="Q1516">
        <f>-485.529795346739 -125.043050061224 -257.579109389279</f>
        <v>-868.15195479724196</v>
      </c>
      <c r="R1516" t="s">
        <v>29328</v>
      </c>
      <c r="S1516" t="s">
        <v>29329</v>
      </c>
      <c r="T1516" t="s">
        <v>29330</v>
      </c>
      <c r="U1516" t="s">
        <v>29331</v>
      </c>
      <c r="V1516">
        <f>-591.903157983652 -50.0550586387199 -91.7400848700062</f>
        <v>-733.69830149237805</v>
      </c>
      <c r="W1516" t="s">
        <v>29332</v>
      </c>
      <c r="X1516" t="s">
        <v>29333</v>
      </c>
      <c r="Y1516" t="s">
        <v>29334</v>
      </c>
    </row>
    <row r="1517" spans="1:25" x14ac:dyDescent="0.3">
      <c r="A1517">
        <v>75800</v>
      </c>
      <c r="B1517" t="s">
        <v>29335</v>
      </c>
      <c r="C1517" t="s">
        <v>29336</v>
      </c>
      <c r="D1517" t="s">
        <v>29337</v>
      </c>
      <c r="E1517" t="s">
        <v>29338</v>
      </c>
      <c r="F1517" t="s">
        <v>29339</v>
      </c>
      <c r="G1517" t="s">
        <v>29340</v>
      </c>
      <c r="H1517" t="s">
        <v>29341</v>
      </c>
      <c r="I1517" t="s">
        <v>29342</v>
      </c>
      <c r="J1517" t="s">
        <v>29343</v>
      </c>
      <c r="K1517" t="s">
        <v>29344</v>
      </c>
      <c r="L1517" t="s">
        <v>29345</v>
      </c>
      <c r="M1517" t="s">
        <v>29346</v>
      </c>
      <c r="N1517">
        <f>-662.793625864043 -7.95509157717652 -525.45544131194</f>
        <v>-1196.2041587531594</v>
      </c>
      <c r="O1517">
        <f>-677.407902970599 -158.988578704741 -489.223898975052</f>
        <v>-1325.620380650392</v>
      </c>
      <c r="P1517">
        <f>-709.762220078472 -160.804466863005 -208.994593004888</f>
        <v>-1079.5612799463649</v>
      </c>
      <c r="Q1517">
        <f>-485.166227658056 -125.139220245822 -256.25084884157</f>
        <v>-866.55629674544809</v>
      </c>
      <c r="R1517" t="s">
        <v>29347</v>
      </c>
      <c r="S1517" t="s">
        <v>29348</v>
      </c>
      <c r="T1517" t="s">
        <v>29349</v>
      </c>
      <c r="U1517" t="s">
        <v>29350</v>
      </c>
      <c r="V1517">
        <f>-591.477859487275 -49.649800121482 -91.597756372498</f>
        <v>-732.72541598125508</v>
      </c>
      <c r="W1517" t="s">
        <v>29351</v>
      </c>
      <c r="X1517" t="s">
        <v>29352</v>
      </c>
      <c r="Y1517" t="s">
        <v>29353</v>
      </c>
    </row>
    <row r="1518" spans="1:25" x14ac:dyDescent="0.3">
      <c r="A1518">
        <v>75850</v>
      </c>
      <c r="B1518" t="s">
        <v>29354</v>
      </c>
      <c r="C1518" t="s">
        <v>29355</v>
      </c>
      <c r="D1518" t="s">
        <v>29356</v>
      </c>
      <c r="E1518" t="s">
        <v>29357</v>
      </c>
      <c r="F1518" t="s">
        <v>29358</v>
      </c>
      <c r="G1518" t="s">
        <v>29359</v>
      </c>
      <c r="H1518" t="s">
        <v>29360</v>
      </c>
      <c r="I1518" t="s">
        <v>29361</v>
      </c>
      <c r="J1518" t="s">
        <v>29362</v>
      </c>
      <c r="K1518" t="s">
        <v>29363</v>
      </c>
      <c r="L1518" t="s">
        <v>29364</v>
      </c>
      <c r="M1518" t="s">
        <v>29365</v>
      </c>
      <c r="N1518">
        <f>-662.637712742058 -7.74109186085343 -525.346375971977</f>
        <v>-1195.7251805748883</v>
      </c>
      <c r="O1518">
        <f>-677.338888540305 -158.747088561903 -489.050522433851</f>
        <v>-1325.1364995360591</v>
      </c>
      <c r="P1518">
        <f>-709.886785261647 -160.254053407862 -208.841787159429</f>
        <v>-1078.9826258289379</v>
      </c>
      <c r="Q1518">
        <f>-484.534416650294 -126.55250583776 -253.886559337312</f>
        <v>-864.97348182536598</v>
      </c>
      <c r="R1518" t="s">
        <v>29366</v>
      </c>
      <c r="S1518" t="s">
        <v>29367</v>
      </c>
      <c r="T1518" t="s">
        <v>29368</v>
      </c>
      <c r="U1518" t="s">
        <v>29369</v>
      </c>
      <c r="V1518">
        <f>-591.133606516023 -49.3925826665472 -91.5262615177584</f>
        <v>-732.05245070032856</v>
      </c>
      <c r="W1518" t="s">
        <v>29370</v>
      </c>
      <c r="X1518" t="s">
        <v>29371</v>
      </c>
      <c r="Y1518" t="s">
        <v>29372</v>
      </c>
    </row>
    <row r="1519" spans="1:25" x14ac:dyDescent="0.3">
      <c r="A1519">
        <v>75900</v>
      </c>
      <c r="B1519" t="s">
        <v>29373</v>
      </c>
      <c r="C1519" t="s">
        <v>29374</v>
      </c>
      <c r="D1519" t="s">
        <v>29375</v>
      </c>
      <c r="E1519" t="s">
        <v>29376</v>
      </c>
      <c r="F1519" t="s">
        <v>29377</v>
      </c>
      <c r="G1519" t="s">
        <v>29378</v>
      </c>
      <c r="H1519" t="s">
        <v>29379</v>
      </c>
      <c r="I1519" t="s">
        <v>29380</v>
      </c>
      <c r="J1519" t="s">
        <v>29381</v>
      </c>
      <c r="K1519" t="s">
        <v>29382</v>
      </c>
      <c r="L1519" t="s">
        <v>29383</v>
      </c>
      <c r="M1519" t="s">
        <v>29384</v>
      </c>
      <c r="N1519">
        <f>-661.882576965344 -7.31119481385463 -525.161131675021</f>
        <v>-1194.3549034542198</v>
      </c>
      <c r="O1519">
        <f>-676.850455194096 -158.266751868404 -488.729022200455</f>
        <v>-1323.8462292629549</v>
      </c>
      <c r="P1519">
        <f>-710.895022501818 -158.977813325753 -208.695127274578</f>
        <v>-1078.567963102149</v>
      </c>
      <c r="Q1519">
        <f>-483.903598861583 -130.367418370834 -248.756071635664</f>
        <v>-863.02708886808114</v>
      </c>
      <c r="R1519" t="s">
        <v>29385</v>
      </c>
      <c r="S1519" t="s">
        <v>29386</v>
      </c>
      <c r="T1519" t="s">
        <v>29387</v>
      </c>
      <c r="U1519" t="s">
        <v>29388</v>
      </c>
      <c r="V1519">
        <f>-590.447781901555 -48.8943780356942 -91.3893796817133</f>
        <v>-730.73153961896253</v>
      </c>
      <c r="W1519" t="s">
        <v>29389</v>
      </c>
      <c r="X1519" t="s">
        <v>29390</v>
      </c>
      <c r="Y1519" t="s">
        <v>29391</v>
      </c>
    </row>
    <row r="1520" spans="1:25" x14ac:dyDescent="0.3">
      <c r="A1520">
        <v>75950</v>
      </c>
      <c r="B1520" t="s">
        <v>29392</v>
      </c>
      <c r="C1520" t="s">
        <v>29393</v>
      </c>
      <c r="D1520" t="s">
        <v>29394</v>
      </c>
      <c r="E1520" t="s">
        <v>29395</v>
      </c>
      <c r="F1520" t="s">
        <v>29396</v>
      </c>
      <c r="G1520" t="s">
        <v>29397</v>
      </c>
      <c r="H1520" t="s">
        <v>29398</v>
      </c>
      <c r="I1520" t="s">
        <v>29399</v>
      </c>
      <c r="J1520" t="s">
        <v>29400</v>
      </c>
      <c r="K1520" t="s">
        <v>29401</v>
      </c>
      <c r="L1520" t="s">
        <v>29402</v>
      </c>
      <c r="M1520" t="s">
        <v>29403</v>
      </c>
      <c r="N1520">
        <f>-661.409301883624 -7.11183559223673 -525.105806109432</f>
        <v>-1193.6269435852928</v>
      </c>
      <c r="O1520">
        <f>-676.785414583263 -158.022081835847 -488.64453231598</f>
        <v>-1323.4520287350899</v>
      </c>
      <c r="P1520">
        <f>-711.63602695938 -158.311920670436 -208.708949433578</f>
        <v>-1078.6568970633941</v>
      </c>
      <c r="Q1520">
        <f>-484.088228624892 -131.817851042915 -247.031288670999</f>
        <v>-862.93736833880598</v>
      </c>
      <c r="R1520" t="s">
        <v>29404</v>
      </c>
      <c r="S1520" t="s">
        <v>29405</v>
      </c>
      <c r="T1520" t="s">
        <v>29406</v>
      </c>
      <c r="U1520" t="s">
        <v>29407</v>
      </c>
      <c r="V1520">
        <f>-590.245720341475 -48.8025057068573 -91.3504214616388</f>
        <v>-730.39864750997117</v>
      </c>
      <c r="W1520" t="s">
        <v>29408</v>
      </c>
      <c r="X1520" t="s">
        <v>29409</v>
      </c>
      <c r="Y1520" t="s">
        <v>29410</v>
      </c>
    </row>
    <row r="1521" spans="1:25" x14ac:dyDescent="0.3">
      <c r="A1521">
        <v>76000</v>
      </c>
      <c r="B1521" t="s">
        <v>29411</v>
      </c>
      <c r="C1521" t="s">
        <v>29412</v>
      </c>
      <c r="D1521" t="s">
        <v>29413</v>
      </c>
      <c r="E1521" t="s">
        <v>29414</v>
      </c>
      <c r="F1521" t="s">
        <v>29415</v>
      </c>
      <c r="G1521" t="s">
        <v>29416</v>
      </c>
      <c r="H1521" t="s">
        <v>29417</v>
      </c>
      <c r="I1521" t="s">
        <v>29418</v>
      </c>
      <c r="J1521" t="s">
        <v>29419</v>
      </c>
      <c r="K1521" t="s">
        <v>29420</v>
      </c>
      <c r="L1521" t="s">
        <v>29421</v>
      </c>
      <c r="M1521" t="s">
        <v>29422</v>
      </c>
      <c r="N1521">
        <f>-660.721194655977 -6.81894813589861 -525.174387744216</f>
        <v>-1192.7145305360916</v>
      </c>
      <c r="O1521">
        <f>-676.998833981639 -157.609624567243 -488.635536694831</f>
        <v>-1323.243995243713</v>
      </c>
      <c r="P1521">
        <f>-713.011953790044 -156.795009718226 -208.848307289228</f>
        <v>-1078.6552707974979</v>
      </c>
      <c r="Q1521">
        <f>-484.405596431579 -134.330700549951 -243.243447993498</f>
        <v>-861.97974497502798</v>
      </c>
      <c r="R1521" t="s">
        <v>29423</v>
      </c>
      <c r="S1521" t="s">
        <v>29424</v>
      </c>
      <c r="T1521" t="s">
        <v>29425</v>
      </c>
      <c r="U1521" t="s">
        <v>29426</v>
      </c>
      <c r="V1521">
        <f>-590.483947200501 -48.9145895039028 -91.3509071317919</f>
        <v>-730.74944383619572</v>
      </c>
      <c r="W1521" t="s">
        <v>29427</v>
      </c>
      <c r="X1521" t="s">
        <v>29428</v>
      </c>
      <c r="Y1521" t="s">
        <v>29429</v>
      </c>
    </row>
    <row r="1522" spans="1:25" x14ac:dyDescent="0.3">
      <c r="A1522">
        <v>76050</v>
      </c>
      <c r="B1522" t="s">
        <v>29430</v>
      </c>
      <c r="C1522" t="s">
        <v>29431</v>
      </c>
      <c r="D1522" t="s">
        <v>29432</v>
      </c>
      <c r="E1522" t="s">
        <v>29433</v>
      </c>
      <c r="F1522" t="s">
        <v>29434</v>
      </c>
      <c r="G1522" t="s">
        <v>29435</v>
      </c>
      <c r="H1522" t="s">
        <v>29436</v>
      </c>
      <c r="I1522" t="s">
        <v>29437</v>
      </c>
      <c r="J1522" t="s">
        <v>29438</v>
      </c>
      <c r="K1522" t="s">
        <v>29439</v>
      </c>
      <c r="L1522" t="s">
        <v>29440</v>
      </c>
      <c r="M1522" t="s">
        <v>29441</v>
      </c>
      <c r="N1522">
        <f>-660.317314206013 -6.86961881803381 -525.277555221179</f>
        <v>-1192.4644882452258</v>
      </c>
      <c r="O1522">
        <f>-677.025990598791 -157.610973636792 -488.747450232434</f>
        <v>-1323.384414468017</v>
      </c>
      <c r="P1522">
        <f>-713.410134828465 -155.92730300777 -209.01209055612</f>
        <v>-1078.3495283923548</v>
      </c>
      <c r="Q1522">
        <f>-484.485562990886 -135.047164637959 -242.269783712237</f>
        <v>-861.80251134108198</v>
      </c>
      <c r="R1522" t="s">
        <v>29442</v>
      </c>
      <c r="S1522" t="s">
        <v>29443</v>
      </c>
      <c r="T1522" t="s">
        <v>29444</v>
      </c>
      <c r="U1522" t="s">
        <v>29445</v>
      </c>
      <c r="V1522">
        <f>-590.827352035175 -48.8706615727745 -91.3681428508293</f>
        <v>-731.06615645877866</v>
      </c>
      <c r="W1522" t="s">
        <v>29446</v>
      </c>
      <c r="X1522" t="s">
        <v>29447</v>
      </c>
      <c r="Y1522" t="s">
        <v>29448</v>
      </c>
    </row>
    <row r="1523" spans="1:25" x14ac:dyDescent="0.3">
      <c r="A1523">
        <v>76100</v>
      </c>
      <c r="B1523" t="s">
        <v>29449</v>
      </c>
      <c r="C1523" t="s">
        <v>29450</v>
      </c>
      <c r="D1523" t="s">
        <v>29451</v>
      </c>
      <c r="E1523" t="s">
        <v>29452</v>
      </c>
      <c r="F1523" t="s">
        <v>29453</v>
      </c>
      <c r="G1523" t="s">
        <v>29454</v>
      </c>
      <c r="H1523" t="s">
        <v>29455</v>
      </c>
      <c r="I1523" t="s">
        <v>29456</v>
      </c>
      <c r="J1523" t="s">
        <v>29457</v>
      </c>
      <c r="K1523" t="s">
        <v>29458</v>
      </c>
      <c r="L1523" t="s">
        <v>29459</v>
      </c>
      <c r="M1523" t="s">
        <v>29460</v>
      </c>
      <c r="N1523">
        <f>-659.546452624956 -7.41551869338605 -525.515122479266</f>
        <v>-1192.4770937976082</v>
      </c>
      <c r="O1523">
        <f>-677.07456892628 -157.998047769674 -488.71870936523</f>
        <v>-1323.791326061184</v>
      </c>
      <c r="P1523">
        <f>-713.498694935448 -155.090793476353 -208.998383074595</f>
        <v>-1077.5878714863961</v>
      </c>
      <c r="Q1523">
        <f>-484.432781442949 -136.519525549639 -242.6506116692</f>
        <v>-863.60291866178807</v>
      </c>
      <c r="R1523" t="s">
        <v>29461</v>
      </c>
      <c r="S1523" t="s">
        <v>29462</v>
      </c>
      <c r="T1523" t="s">
        <v>29463</v>
      </c>
      <c r="U1523" t="s">
        <v>29464</v>
      </c>
      <c r="V1523">
        <f>-591.605632705453 -48.9337029147673 -91.4572525454912</f>
        <v>-731.9965881657115</v>
      </c>
      <c r="W1523" t="s">
        <v>29465</v>
      </c>
      <c r="X1523" t="s">
        <v>29466</v>
      </c>
      <c r="Y1523" t="s">
        <v>29467</v>
      </c>
    </row>
    <row r="1524" spans="1:25" x14ac:dyDescent="0.3">
      <c r="A1524">
        <v>76150</v>
      </c>
      <c r="B1524" t="s">
        <v>29468</v>
      </c>
      <c r="C1524" t="s">
        <v>29469</v>
      </c>
      <c r="D1524" t="s">
        <v>29470</v>
      </c>
      <c r="E1524" t="s">
        <v>29471</v>
      </c>
      <c r="F1524" t="s">
        <v>29472</v>
      </c>
      <c r="G1524" t="s">
        <v>29473</v>
      </c>
      <c r="H1524" t="s">
        <v>29474</v>
      </c>
      <c r="I1524" t="s">
        <v>29475</v>
      </c>
      <c r="J1524" t="s">
        <v>29476</v>
      </c>
      <c r="K1524" t="s">
        <v>29477</v>
      </c>
      <c r="L1524" t="s">
        <v>29478</v>
      </c>
      <c r="M1524" t="s">
        <v>29479</v>
      </c>
      <c r="N1524">
        <f>-659.174071937986 -7.93800972246936 -525.644280347519</f>
        <v>-1192.7563620079745</v>
      </c>
      <c r="O1524">
        <f>-676.976820125338 -158.425600701959 -488.616019593127</f>
        <v>-1324.018440420424</v>
      </c>
      <c r="P1524">
        <f>-713.430465063674 -155.275045459831 -208.902311886902</f>
        <v>-1077.6078224104069</v>
      </c>
      <c r="Q1524">
        <f>-484.374320519753 -137.300398995388 -242.942465565625</f>
        <v>-864.61718508076592</v>
      </c>
      <c r="R1524" t="s">
        <v>29480</v>
      </c>
      <c r="S1524" t="s">
        <v>29481</v>
      </c>
      <c r="T1524" t="s">
        <v>29482</v>
      </c>
      <c r="U1524" t="s">
        <v>29483</v>
      </c>
      <c r="V1524">
        <f>-592.061938986702 -49.1030075024871 -91.5590506811293</f>
        <v>-732.7239971703184</v>
      </c>
      <c r="W1524" t="s">
        <v>29484</v>
      </c>
      <c r="X1524" t="s">
        <v>29485</v>
      </c>
      <c r="Y1524" t="s">
        <v>29486</v>
      </c>
    </row>
    <row r="1525" spans="1:25" x14ac:dyDescent="0.3">
      <c r="A1525">
        <v>76200</v>
      </c>
      <c r="B1525" t="s">
        <v>29487</v>
      </c>
      <c r="C1525" t="s">
        <v>29488</v>
      </c>
      <c r="D1525" t="s">
        <v>29489</v>
      </c>
      <c r="E1525" t="s">
        <v>29490</v>
      </c>
      <c r="F1525" t="s">
        <v>29491</v>
      </c>
      <c r="G1525" t="s">
        <v>29492</v>
      </c>
      <c r="H1525" t="s">
        <v>29493</v>
      </c>
      <c r="I1525" t="s">
        <v>29494</v>
      </c>
      <c r="J1525" t="s">
        <v>29495</v>
      </c>
      <c r="K1525" t="s">
        <v>29496</v>
      </c>
      <c r="L1525" t="s">
        <v>29497</v>
      </c>
      <c r="M1525" t="s">
        <v>29498</v>
      </c>
      <c r="N1525">
        <f>-658.617342432325 -9.15227169411401 -525.895192179957</f>
        <v>-1193.664806306396</v>
      </c>
      <c r="O1525">
        <f>-676.761751834231 -159.494114430545 -488.39414038713</f>
        <v>-1324.6500066519059</v>
      </c>
      <c r="P1525">
        <f>-713.139865273332 -155.380427773334 -208.683125317939</f>
        <v>-1077.2034183646049</v>
      </c>
      <c r="Q1525">
        <f>-484.110134589723 -138.011562887527 -243.212053571913</f>
        <v>-865.33375104916297</v>
      </c>
      <c r="R1525" t="s">
        <v>29499</v>
      </c>
      <c r="S1525" t="s">
        <v>29500</v>
      </c>
      <c r="T1525" t="s">
        <v>29501</v>
      </c>
      <c r="U1525" t="s">
        <v>29502</v>
      </c>
      <c r="V1525">
        <f>-592.742307127991 -49.400710067622 -91.7760981996194</f>
        <v>-733.91911539523232</v>
      </c>
      <c r="W1525" t="s">
        <v>29503</v>
      </c>
      <c r="X1525" t="s">
        <v>29504</v>
      </c>
      <c r="Y1525" t="s">
        <v>29505</v>
      </c>
    </row>
    <row r="1526" spans="1:25" x14ac:dyDescent="0.3">
      <c r="A1526">
        <v>76250</v>
      </c>
      <c r="B1526" t="s">
        <v>29506</v>
      </c>
      <c r="C1526" t="s">
        <v>29507</v>
      </c>
      <c r="D1526" t="s">
        <v>29508</v>
      </c>
      <c r="E1526" t="s">
        <v>29509</v>
      </c>
      <c r="F1526" t="s">
        <v>29510</v>
      </c>
      <c r="G1526" t="s">
        <v>29511</v>
      </c>
      <c r="H1526" t="s">
        <v>29512</v>
      </c>
      <c r="I1526" t="s">
        <v>29513</v>
      </c>
      <c r="J1526" t="s">
        <v>29514</v>
      </c>
      <c r="K1526" t="s">
        <v>29515</v>
      </c>
      <c r="L1526" t="s">
        <v>29516</v>
      </c>
      <c r="M1526" t="s">
        <v>29517</v>
      </c>
      <c r="N1526">
        <f>-658.474229917184 -9.84429370907878 -525.95648561653</f>
        <v>-1194.2750092427927</v>
      </c>
      <c r="O1526">
        <f>-676.71458849762 -160.098898076866 -488.15193461544</f>
        <v>-1324.965421189926</v>
      </c>
      <c r="P1526">
        <f>-712.959660432618 -155.386838459864 -208.433051732285</f>
        <v>-1076.7795506247671</v>
      </c>
      <c r="Q1526">
        <f>-484.01111567554 -137.753539127631 -243.363786973787</f>
        <v>-865.12844177695797</v>
      </c>
      <c r="R1526" t="s">
        <v>29518</v>
      </c>
      <c r="S1526" t="s">
        <v>29519</v>
      </c>
      <c r="T1526" t="s">
        <v>29520</v>
      </c>
      <c r="U1526" t="s">
        <v>29521</v>
      </c>
      <c r="V1526">
        <f>-592.961699612851 -49.5210733375964 -91.8586568834456</f>
        <v>-734.34142983389302</v>
      </c>
      <c r="W1526" t="s">
        <v>29522</v>
      </c>
      <c r="X1526" t="s">
        <v>29523</v>
      </c>
      <c r="Y1526" t="s">
        <v>29524</v>
      </c>
    </row>
    <row r="1527" spans="1:25" x14ac:dyDescent="0.3">
      <c r="A1527">
        <v>76300</v>
      </c>
      <c r="B1527" t="s">
        <v>29525</v>
      </c>
      <c r="C1527" t="s">
        <v>29526</v>
      </c>
      <c r="D1527" t="s">
        <v>29527</v>
      </c>
      <c r="E1527" t="s">
        <v>29528</v>
      </c>
      <c r="F1527" t="s">
        <v>29529</v>
      </c>
      <c r="G1527" t="s">
        <v>29530</v>
      </c>
      <c r="H1527" t="s">
        <v>29531</v>
      </c>
      <c r="I1527" t="s">
        <v>29532</v>
      </c>
      <c r="J1527" t="s">
        <v>29533</v>
      </c>
      <c r="K1527" t="s">
        <v>29534</v>
      </c>
      <c r="L1527" t="s">
        <v>29535</v>
      </c>
      <c r="M1527" t="s">
        <v>29536</v>
      </c>
      <c r="N1527">
        <f>-658.058012648211 -11.1691645107387 -526.046572224508</f>
        <v>-1195.2737493834579</v>
      </c>
      <c r="O1527">
        <f>-676.36414997499 -161.271000040426 -487.665290931211</f>
        <v>-1325.3004409466271</v>
      </c>
      <c r="P1527">
        <f>-712.461646201203 -155.717439107563 -207.942539771376</f>
        <v>-1076.1216250801422</v>
      </c>
      <c r="Q1527">
        <f>-483.820050513186 -136.926730081941 -244.253368659336</f>
        <v>-865.00014925446294</v>
      </c>
      <c r="R1527" t="s">
        <v>29537</v>
      </c>
      <c r="S1527" t="s">
        <v>29538</v>
      </c>
      <c r="T1527" t="s">
        <v>29539</v>
      </c>
      <c r="U1527" t="s">
        <v>29540</v>
      </c>
      <c r="V1527">
        <f>-593.040312248091 -49.7718320916351 -91.9697702870844</f>
        <v>-734.78191462681059</v>
      </c>
      <c r="W1527" t="s">
        <v>29541</v>
      </c>
      <c r="X1527" t="s">
        <v>29542</v>
      </c>
      <c r="Y1527" t="s">
        <v>29543</v>
      </c>
    </row>
    <row r="1528" spans="1:25" x14ac:dyDescent="0.3">
      <c r="A1528">
        <v>76350</v>
      </c>
      <c r="B1528" t="s">
        <v>29544</v>
      </c>
      <c r="C1528" t="s">
        <v>29545</v>
      </c>
      <c r="D1528" t="s">
        <v>29546</v>
      </c>
      <c r="E1528" t="s">
        <v>29547</v>
      </c>
      <c r="F1528" t="s">
        <v>29548</v>
      </c>
      <c r="G1528" t="s">
        <v>29549</v>
      </c>
      <c r="H1528" t="s">
        <v>29550</v>
      </c>
      <c r="I1528" t="s">
        <v>29551</v>
      </c>
      <c r="J1528" t="s">
        <v>29552</v>
      </c>
      <c r="K1528" t="s">
        <v>29553</v>
      </c>
      <c r="L1528" t="s">
        <v>29554</v>
      </c>
      <c r="M1528" t="s">
        <v>29555</v>
      </c>
      <c r="N1528">
        <f>-657.81084715972 -11.8001921042001 -526.070960219447</f>
        <v>-1195.681999483367</v>
      </c>
      <c r="O1528">
        <f>-676.026569345423 -161.843040136061 -487.426701532041</f>
        <v>-1325.2963110135252</v>
      </c>
      <c r="P1528">
        <f>-712.132184429915 -156.051584138577 -207.710085128131</f>
        <v>-1075.893853696623</v>
      </c>
      <c r="Q1528">
        <f>-483.577753365281 -136.980352698846 -244.420949937364</f>
        <v>-864.97905600149102</v>
      </c>
      <c r="R1528" t="s">
        <v>29556</v>
      </c>
      <c r="S1528" t="s">
        <v>29557</v>
      </c>
      <c r="T1528" t="s">
        <v>29558</v>
      </c>
      <c r="U1528" t="s">
        <v>29559</v>
      </c>
      <c r="V1528">
        <f>-592.907434892092 -49.8625638219476 -91.9977342517204</f>
        <v>-734.76773296576005</v>
      </c>
      <c r="W1528" t="s">
        <v>29560</v>
      </c>
      <c r="X1528" t="s">
        <v>29561</v>
      </c>
      <c r="Y1528" t="s">
        <v>29562</v>
      </c>
    </row>
    <row r="1529" spans="1:25" x14ac:dyDescent="0.3">
      <c r="A1529">
        <v>76400</v>
      </c>
      <c r="B1529" t="s">
        <v>29563</v>
      </c>
      <c r="C1529" t="s">
        <v>29564</v>
      </c>
      <c r="D1529" t="s">
        <v>29565</v>
      </c>
      <c r="E1529" t="s">
        <v>29566</v>
      </c>
      <c r="F1529" t="s">
        <v>29567</v>
      </c>
      <c r="G1529" t="s">
        <v>29568</v>
      </c>
      <c r="H1529" t="s">
        <v>29569</v>
      </c>
      <c r="I1529" t="s">
        <v>29570</v>
      </c>
      <c r="J1529" t="s">
        <v>29571</v>
      </c>
      <c r="K1529" t="s">
        <v>29572</v>
      </c>
      <c r="L1529" t="s">
        <v>29573</v>
      </c>
      <c r="M1529" t="s">
        <v>29574</v>
      </c>
      <c r="N1529">
        <f>-657.30939086289 -12.8945744848086 -526.067630753195</f>
        <v>-1196.2715961008935</v>
      </c>
      <c r="O1529">
        <f>-675.206941969294 -162.86267501032 -486.975324990442</f>
        <v>-1325.044941970056</v>
      </c>
      <c r="P1529">
        <f>-711.309079197042 -156.575703379457 -207.268849661127</f>
        <v>-1075.153632237626</v>
      </c>
      <c r="Q1529">
        <f>-482.83846198048 -137.28573016645 -244.38483487576</f>
        <v>-864.50902702269002</v>
      </c>
      <c r="R1529" t="s">
        <v>29575</v>
      </c>
      <c r="S1529" t="s">
        <v>29576</v>
      </c>
      <c r="T1529" t="s">
        <v>29577</v>
      </c>
      <c r="U1529" t="s">
        <v>29578</v>
      </c>
      <c r="V1529">
        <f>-592.387927085348 -50.1059263298057 -92.0321830970845</f>
        <v>-734.52603651223819</v>
      </c>
      <c r="W1529" t="s">
        <v>29579</v>
      </c>
      <c r="X1529" t="s">
        <v>29580</v>
      </c>
      <c r="Y1529" t="s">
        <v>29581</v>
      </c>
    </row>
    <row r="1530" spans="1:25" x14ac:dyDescent="0.3">
      <c r="A1530">
        <v>76450</v>
      </c>
      <c r="B1530" t="s">
        <v>29582</v>
      </c>
      <c r="C1530" t="s">
        <v>29583</v>
      </c>
      <c r="D1530" t="s">
        <v>29584</v>
      </c>
      <c r="E1530" t="s">
        <v>29585</v>
      </c>
      <c r="F1530" t="s">
        <v>29586</v>
      </c>
      <c r="G1530" t="s">
        <v>29587</v>
      </c>
      <c r="H1530" t="s">
        <v>29588</v>
      </c>
      <c r="I1530" t="s">
        <v>29589</v>
      </c>
      <c r="J1530" t="s">
        <v>29590</v>
      </c>
      <c r="K1530" t="s">
        <v>29591</v>
      </c>
      <c r="L1530" t="s">
        <v>29592</v>
      </c>
      <c r="M1530" t="s">
        <v>29593</v>
      </c>
      <c r="N1530">
        <f>-657.068935935156 -13.3424501604127 -526.049093479383</f>
        <v>-1196.4604795749517</v>
      </c>
      <c r="O1530">
        <f>-674.728959152375 -163.289934642678 -486.772544581562</f>
        <v>-1324.7914383766149</v>
      </c>
      <c r="P1530">
        <f>-710.813696161426 -156.76905514356 -207.069210755765</f>
        <v>-1074.651962060751</v>
      </c>
      <c r="Q1530">
        <f>-482.349897222561 -137.391506324961 -244.18184184671</f>
        <v>-863.92324539423203</v>
      </c>
      <c r="R1530" t="s">
        <v>29594</v>
      </c>
      <c r="S1530" t="s">
        <v>29595</v>
      </c>
      <c r="T1530" t="s">
        <v>29596</v>
      </c>
      <c r="U1530" t="s">
        <v>29597</v>
      </c>
      <c r="V1530">
        <f>-591.986002853984 -50.2281453458079 -92.0414109724736</f>
        <v>-734.25555917226552</v>
      </c>
      <c r="W1530" t="s">
        <v>29598</v>
      </c>
      <c r="X1530" t="s">
        <v>29599</v>
      </c>
      <c r="Y1530" t="s">
        <v>29600</v>
      </c>
    </row>
    <row r="1531" spans="1:25" x14ac:dyDescent="0.3">
      <c r="A1531">
        <v>76500</v>
      </c>
      <c r="B1531" t="s">
        <v>29601</v>
      </c>
      <c r="C1531" t="s">
        <v>29602</v>
      </c>
      <c r="D1531" t="s">
        <v>29603</v>
      </c>
      <c r="E1531" t="s">
        <v>29604</v>
      </c>
      <c r="F1531" t="s">
        <v>29605</v>
      </c>
      <c r="G1531" t="s">
        <v>29606</v>
      </c>
      <c r="H1531" t="s">
        <v>29607</v>
      </c>
      <c r="I1531" t="s">
        <v>29608</v>
      </c>
      <c r="J1531" t="s">
        <v>29609</v>
      </c>
      <c r="K1531" t="s">
        <v>29610</v>
      </c>
      <c r="L1531" t="s">
        <v>29611</v>
      </c>
      <c r="M1531" t="s">
        <v>29612</v>
      </c>
      <c r="N1531">
        <f>-656.474558446124 -14.1803330466273 -525.985140642901</f>
        <v>-1196.6400321356523</v>
      </c>
      <c r="O1531">
        <f>-673.70101057522 -164.114517560122 -486.481170330757</f>
        <v>-1324.2966984660989</v>
      </c>
      <c r="P1531">
        <f>-709.880781732997 -157.550272151252 -206.791213622176</f>
        <v>-1074.2222675064249</v>
      </c>
      <c r="Q1531">
        <f>-481.453579563463 -137.77327038303 -243.91842651668</f>
        <v>-863.14527646317299</v>
      </c>
      <c r="R1531" t="s">
        <v>29613</v>
      </c>
      <c r="S1531" t="s">
        <v>29614</v>
      </c>
      <c r="T1531" t="s">
        <v>29615</v>
      </c>
      <c r="U1531" t="s">
        <v>29616</v>
      </c>
      <c r="V1531">
        <f>-591.020043795269 -50.4969748708268 -92.0339628952086</f>
        <v>-733.5509815613043</v>
      </c>
      <c r="W1531" t="s">
        <v>29617</v>
      </c>
      <c r="X1531" t="s">
        <v>29618</v>
      </c>
      <c r="Y1531" t="s">
        <v>29619</v>
      </c>
    </row>
    <row r="1532" spans="1:25" x14ac:dyDescent="0.3">
      <c r="A1532">
        <v>76550</v>
      </c>
      <c r="B1532" t="s">
        <v>29620</v>
      </c>
      <c r="C1532" t="s">
        <v>29621</v>
      </c>
      <c r="D1532" t="s">
        <v>29622</v>
      </c>
      <c r="E1532" t="s">
        <v>29623</v>
      </c>
      <c r="F1532" t="s">
        <v>29624</v>
      </c>
      <c r="G1532" t="s">
        <v>29625</v>
      </c>
      <c r="H1532" t="s">
        <v>29626</v>
      </c>
      <c r="I1532" t="s">
        <v>29627</v>
      </c>
      <c r="J1532" t="s">
        <v>29628</v>
      </c>
      <c r="K1532" t="s">
        <v>29629</v>
      </c>
      <c r="L1532" t="s">
        <v>29630</v>
      </c>
      <c r="M1532" t="s">
        <v>29631</v>
      </c>
      <c r="N1532">
        <f>-656.193123450795 -14.5164333201726 -525.960378599738</f>
        <v>-1196.6699353707056</v>
      </c>
      <c r="O1532">
        <f>-673.238473792659 -164.452930644147 -486.381429501257</f>
        <v>-1324.072833938063</v>
      </c>
      <c r="P1532">
        <f>-709.398950476717 -158.023939437904 -206.6856684259</f>
        <v>-1074.1085583405211</v>
      </c>
      <c r="Q1532">
        <f>-481.004563421218 -137.960952392771 -243.86147961593</f>
        <v>-862.82699542991895</v>
      </c>
      <c r="R1532" t="s">
        <v>29632</v>
      </c>
      <c r="S1532" t="s">
        <v>29633</v>
      </c>
      <c r="T1532" t="s">
        <v>29634</v>
      </c>
      <c r="U1532" t="s">
        <v>29635</v>
      </c>
      <c r="V1532">
        <f>-590.473451775532 -50.6597720891277 -92.0228800769514</f>
        <v>-733.15610394161115</v>
      </c>
      <c r="W1532" t="s">
        <v>29636</v>
      </c>
      <c r="X1532" t="s">
        <v>29637</v>
      </c>
      <c r="Y1532" t="s">
        <v>29638</v>
      </c>
    </row>
    <row r="1533" spans="1:25" x14ac:dyDescent="0.3">
      <c r="A1533">
        <v>76600</v>
      </c>
      <c r="B1533" t="s">
        <v>29639</v>
      </c>
      <c r="C1533" t="s">
        <v>29640</v>
      </c>
      <c r="D1533" t="s">
        <v>29641</v>
      </c>
      <c r="E1533" t="s">
        <v>29642</v>
      </c>
      <c r="F1533" t="s">
        <v>29643</v>
      </c>
      <c r="G1533" t="s">
        <v>29644</v>
      </c>
      <c r="H1533" t="s">
        <v>29645</v>
      </c>
      <c r="I1533" t="s">
        <v>29646</v>
      </c>
      <c r="J1533" t="s">
        <v>29647</v>
      </c>
      <c r="K1533" t="s">
        <v>29648</v>
      </c>
      <c r="L1533" t="s">
        <v>29649</v>
      </c>
      <c r="M1533" t="s">
        <v>29650</v>
      </c>
      <c r="N1533">
        <f>-655.574391273441 -15.0333970378533 -525.942132012189</f>
        <v>-1196.5499203234833</v>
      </c>
      <c r="O1533">
        <f>-672.31411676679 -164.991423515566 -486.326296882844</f>
        <v>-1323.6318371652001</v>
      </c>
      <c r="P1533">
        <f>-708.408227065538 -158.819906435001 -206.616306084862</f>
        <v>-1073.844439585401</v>
      </c>
      <c r="Q1533">
        <f>-480.04098902629 -138.4274312424 -243.779296624387</f>
        <v>-862.24771689307704</v>
      </c>
      <c r="R1533" t="s">
        <v>29651</v>
      </c>
      <c r="S1533" t="s">
        <v>29652</v>
      </c>
      <c r="T1533" t="s">
        <v>29653</v>
      </c>
      <c r="U1533" t="s">
        <v>29654</v>
      </c>
      <c r="V1533">
        <f>-589.451283989408 -51.0098974344332 -91.9903643240542</f>
        <v>-732.45154574789547</v>
      </c>
      <c r="W1533" t="s">
        <v>29655</v>
      </c>
      <c r="X1533" t="s">
        <v>29656</v>
      </c>
      <c r="Y1533" t="s">
        <v>29657</v>
      </c>
    </row>
    <row r="1534" spans="1:25" x14ac:dyDescent="0.3">
      <c r="A1534">
        <v>76650</v>
      </c>
      <c r="B1534" t="s">
        <v>29658</v>
      </c>
      <c r="C1534" t="s">
        <v>29659</v>
      </c>
      <c r="D1534" t="s">
        <v>29660</v>
      </c>
      <c r="E1534" t="s">
        <v>29661</v>
      </c>
      <c r="F1534" t="s">
        <v>29662</v>
      </c>
      <c r="G1534" t="s">
        <v>29663</v>
      </c>
      <c r="H1534" t="s">
        <v>29664</v>
      </c>
      <c r="I1534" t="s">
        <v>29665</v>
      </c>
      <c r="J1534" t="s">
        <v>29666</v>
      </c>
      <c r="K1534" t="s">
        <v>29667</v>
      </c>
      <c r="L1534" t="s">
        <v>29668</v>
      </c>
      <c r="M1534" t="s">
        <v>29669</v>
      </c>
      <c r="N1534">
        <f>-655.186748982738 -15.2552377667234 -525.963823681505</f>
        <v>-1196.4058104309665</v>
      </c>
      <c r="O1534">
        <f>-671.749931147089 -165.242985288931 -486.36760487169</f>
        <v>-1323.3605213077099</v>
      </c>
      <c r="P1534">
        <f>-707.779876999884 -159.177893890608 -206.646872654315</f>
        <v>-1073.604643544807</v>
      </c>
      <c r="Q1534">
        <f>-479.426204370385 -138.72145734029 -243.858112549957</f>
        <v>-862.00577426063205</v>
      </c>
      <c r="R1534" t="s">
        <v>29670</v>
      </c>
      <c r="S1534" t="s">
        <v>29671</v>
      </c>
      <c r="T1534" t="s">
        <v>29672</v>
      </c>
      <c r="U1534" t="s">
        <v>29673</v>
      </c>
      <c r="V1534">
        <f>-589.011152789564 -51.2323386748596 -91.983085774044</f>
        <v>-732.2265772384676</v>
      </c>
      <c r="W1534" t="s">
        <v>29674</v>
      </c>
      <c r="X1534" t="s">
        <v>29675</v>
      </c>
      <c r="Y1534" t="s">
        <v>29676</v>
      </c>
    </row>
    <row r="1535" spans="1:25" x14ac:dyDescent="0.3">
      <c r="A1535">
        <v>76700</v>
      </c>
      <c r="B1535" t="s">
        <v>29677</v>
      </c>
      <c r="C1535" t="s">
        <v>29678</v>
      </c>
      <c r="D1535" t="s">
        <v>29679</v>
      </c>
      <c r="E1535" t="s">
        <v>29680</v>
      </c>
      <c r="F1535" t="s">
        <v>29681</v>
      </c>
      <c r="G1535" t="s">
        <v>29682</v>
      </c>
      <c r="H1535" t="s">
        <v>29683</v>
      </c>
      <c r="I1535" t="s">
        <v>29684</v>
      </c>
      <c r="J1535" t="s">
        <v>29685</v>
      </c>
      <c r="K1535" t="s">
        <v>29686</v>
      </c>
      <c r="L1535" t="s">
        <v>29687</v>
      </c>
      <c r="M1535" t="s">
        <v>29688</v>
      </c>
      <c r="N1535">
        <f>-654.293445306242 -15.598475416577 -526.028444693663</f>
        <v>-1195.9203654164821</v>
      </c>
      <c r="O1535">
        <f>-670.44256916655 -165.656713691682 -486.561289735466</f>
        <v>-1322.6605725936981</v>
      </c>
      <c r="P1535">
        <f>-706.665387160188 -160.241878110219 -206.852276814785</f>
        <v>-1073.7595420851919</v>
      </c>
      <c r="Q1535">
        <f>-478.251910352485 -139.102532873543 -243.306916089046</f>
        <v>-860.66135931507404</v>
      </c>
      <c r="R1535" t="s">
        <v>29689</v>
      </c>
      <c r="S1535" t="s">
        <v>29690</v>
      </c>
      <c r="T1535" t="s">
        <v>29691</v>
      </c>
      <c r="U1535" t="s">
        <v>29692</v>
      </c>
      <c r="V1535">
        <f>-588.190513818927 -51.5815808931025 -91.9615713850324</f>
        <v>-731.73366609706181</v>
      </c>
      <c r="W1535" t="s">
        <v>29693</v>
      </c>
      <c r="X1535" t="s">
        <v>29694</v>
      </c>
      <c r="Y1535" t="s">
        <v>29695</v>
      </c>
    </row>
    <row r="1536" spans="1:25" x14ac:dyDescent="0.3">
      <c r="A1536">
        <v>76750</v>
      </c>
      <c r="B1536" t="s">
        <v>29696</v>
      </c>
      <c r="C1536" t="s">
        <v>29697</v>
      </c>
      <c r="D1536" t="s">
        <v>29698</v>
      </c>
      <c r="E1536" t="s">
        <v>29699</v>
      </c>
      <c r="F1536" t="s">
        <v>29700</v>
      </c>
      <c r="G1536" t="s">
        <v>29701</v>
      </c>
      <c r="H1536" t="s">
        <v>29702</v>
      </c>
      <c r="I1536" t="s">
        <v>29703</v>
      </c>
      <c r="J1536" t="s">
        <v>29704</v>
      </c>
      <c r="K1536" t="s">
        <v>29705</v>
      </c>
      <c r="L1536" t="s">
        <v>29706</v>
      </c>
      <c r="M1536" t="s">
        <v>29707</v>
      </c>
      <c r="N1536">
        <f>-653.839773858237 -15.6832048925385 -526.058600940042</f>
        <v>-1195.5815796908173</v>
      </c>
      <c r="O1536">
        <f>-669.737558255798 -165.812667632016 -486.734355107899</f>
        <v>-1322.284580995713</v>
      </c>
      <c r="P1536">
        <f>-706.519689779525 -160.844388235375 -207.089953907074</f>
        <v>-1074.4540319219741</v>
      </c>
      <c r="Q1536">
        <f>-478.039675901091 -139.194762179167 -242.821034488134</f>
        <v>-860.05547256839191</v>
      </c>
      <c r="R1536" t="s">
        <v>29708</v>
      </c>
      <c r="S1536" t="s">
        <v>29709</v>
      </c>
      <c r="T1536" t="s">
        <v>29710</v>
      </c>
      <c r="U1536" t="s">
        <v>29711</v>
      </c>
      <c r="V1536">
        <f>-587.759311800458 -51.6811903677672 -91.9473882006064</f>
        <v>-731.38789036883156</v>
      </c>
      <c r="W1536" t="s">
        <v>29712</v>
      </c>
      <c r="X1536" t="s">
        <v>29713</v>
      </c>
      <c r="Y1536" t="s">
        <v>29714</v>
      </c>
    </row>
    <row r="1537" spans="1:25" x14ac:dyDescent="0.3">
      <c r="A1537">
        <v>76800</v>
      </c>
      <c r="B1537" t="s">
        <v>29715</v>
      </c>
      <c r="C1537" t="s">
        <v>29716</v>
      </c>
      <c r="D1537" t="s">
        <v>29717</v>
      </c>
      <c r="E1537" t="s">
        <v>29718</v>
      </c>
      <c r="F1537" t="s">
        <v>29719</v>
      </c>
      <c r="G1537" t="s">
        <v>29720</v>
      </c>
      <c r="H1537" t="s">
        <v>29721</v>
      </c>
      <c r="I1537" t="s">
        <v>29722</v>
      </c>
      <c r="J1537" t="s">
        <v>29723</v>
      </c>
      <c r="K1537" t="s">
        <v>29724</v>
      </c>
      <c r="L1537" t="s">
        <v>29725</v>
      </c>
      <c r="M1537" t="s">
        <v>29726</v>
      </c>
      <c r="N1537">
        <f>-652.948416998786 -15.651119169042 -526.14587850547</f>
        <v>-1194.745414673298</v>
      </c>
      <c r="O1537">
        <f>-668.445176213595 -165.935514408423 -487.252532973033</f>
        <v>-1321.6332235950508</v>
      </c>
      <c r="P1537">
        <f>-706.308577673616 -161.774782908347 -207.73928320596</f>
        <v>-1075.822643787923</v>
      </c>
      <c r="Q1537">
        <f>-478.19050004743 -138.939150691673 -245.011246364627</f>
        <v>-862.14089710373003</v>
      </c>
      <c r="R1537" t="s">
        <v>29727</v>
      </c>
      <c r="S1537" t="s">
        <v>29728</v>
      </c>
      <c r="T1537" t="s">
        <v>29729</v>
      </c>
      <c r="U1537" t="s">
        <v>29730</v>
      </c>
      <c r="V1537">
        <f>-586.951873654649 -51.9621336357209 -91.904781808558</f>
        <v>-730.81878909892794</v>
      </c>
      <c r="W1537" t="s">
        <v>29731</v>
      </c>
      <c r="X1537" t="s">
        <v>29732</v>
      </c>
      <c r="Y1537" t="s">
        <v>29733</v>
      </c>
    </row>
    <row r="1538" spans="1:25" x14ac:dyDescent="0.3">
      <c r="A1538">
        <v>76850</v>
      </c>
      <c r="B1538" t="s">
        <v>29734</v>
      </c>
      <c r="C1538" t="s">
        <v>29735</v>
      </c>
      <c r="D1538" t="s">
        <v>29736</v>
      </c>
      <c r="E1538" t="s">
        <v>29737</v>
      </c>
      <c r="F1538" t="s">
        <v>29738</v>
      </c>
      <c r="G1538" t="s">
        <v>29739</v>
      </c>
      <c r="H1538" t="s">
        <v>29740</v>
      </c>
      <c r="I1538" t="s">
        <v>29741</v>
      </c>
      <c r="J1538" t="s">
        <v>29742</v>
      </c>
      <c r="K1538" t="s">
        <v>29743</v>
      </c>
      <c r="L1538" t="s">
        <v>29744</v>
      </c>
      <c r="M1538" t="s">
        <v>29745</v>
      </c>
      <c r="N1538">
        <f>-652.475412569755 -15.5504672569564 -526.21434695668</f>
        <v>-1194.2402267833913</v>
      </c>
      <c r="O1538">
        <f>-667.800939052026 -165.913222713287 -487.565279932936</f>
        <v>-1321.279441698249</v>
      </c>
      <c r="P1538">
        <f>-706.236965460994 -162.35957576089 -208.121910211969</f>
        <v>-1076.718451433853</v>
      </c>
      <c r="Q1538">
        <f>-478.472588234334 -138.244409906417 -246.727419710273</f>
        <v>-863.44441785102401</v>
      </c>
      <c r="R1538" t="s">
        <v>29746</v>
      </c>
      <c r="S1538" t="s">
        <v>29747</v>
      </c>
      <c r="T1538" t="s">
        <v>29748</v>
      </c>
      <c r="U1538" t="s">
        <v>29749</v>
      </c>
      <c r="V1538">
        <f>-586.594027927852 -52.1344185912094 -91.8783805200399</f>
        <v>-730.60682703910129</v>
      </c>
      <c r="W1538" t="s">
        <v>29750</v>
      </c>
      <c r="X1538" t="s">
        <v>29751</v>
      </c>
      <c r="Y1538" t="s">
        <v>29752</v>
      </c>
    </row>
    <row r="1539" spans="1:25" x14ac:dyDescent="0.3">
      <c r="A1539">
        <v>76900</v>
      </c>
      <c r="B1539" t="s">
        <v>29753</v>
      </c>
      <c r="C1539" t="s">
        <v>29754</v>
      </c>
      <c r="D1539" t="s">
        <v>29755</v>
      </c>
      <c r="E1539" t="s">
        <v>29756</v>
      </c>
      <c r="F1539" t="s">
        <v>29757</v>
      </c>
      <c r="G1539" t="s">
        <v>29758</v>
      </c>
      <c r="H1539" t="s">
        <v>29759</v>
      </c>
      <c r="I1539" t="s">
        <v>29760</v>
      </c>
      <c r="J1539" t="s">
        <v>29761</v>
      </c>
      <c r="K1539" t="s">
        <v>29762</v>
      </c>
      <c r="L1539" t="s">
        <v>29763</v>
      </c>
      <c r="M1539" t="s">
        <v>29764</v>
      </c>
      <c r="N1539">
        <f>-651.279120883604 -15.3827681075725 -526.358598091218</f>
        <v>-1193.0204870823945</v>
      </c>
      <c r="O1539">
        <f>-666.524770242018 -165.886986645302 -488.222273976142</f>
        <v>-1320.6340308634622</v>
      </c>
      <c r="P1539">
        <f>-705.259506152681 -163.27342523129 -208.80966215237</f>
        <v>-1077.3425935363409</v>
      </c>
      <c r="Q1539">
        <f>-478.170643523182 -137.679974039474 -250.332634936852</f>
        <v>-866.18325249950794</v>
      </c>
      <c r="R1539" t="s">
        <v>29765</v>
      </c>
      <c r="S1539" t="s">
        <v>29766</v>
      </c>
      <c r="T1539" t="s">
        <v>29767</v>
      </c>
      <c r="U1539" t="s">
        <v>29768</v>
      </c>
      <c r="V1539">
        <f>-585.878377098423 -52.3499113303924 -91.8053298899745</f>
        <v>-730.03361831878988</v>
      </c>
      <c r="W1539" t="s">
        <v>29769</v>
      </c>
      <c r="X1539" t="s">
        <v>29770</v>
      </c>
      <c r="Y1539" t="s">
        <v>29771</v>
      </c>
    </row>
    <row r="1540" spans="1:25" x14ac:dyDescent="0.3">
      <c r="A1540">
        <v>76950</v>
      </c>
      <c r="B1540" t="s">
        <v>29772</v>
      </c>
      <c r="C1540" t="s">
        <v>29773</v>
      </c>
      <c r="D1540" t="s">
        <v>29774</v>
      </c>
      <c r="E1540" t="s">
        <v>29775</v>
      </c>
      <c r="F1540" t="s">
        <v>29776</v>
      </c>
      <c r="G1540" t="s">
        <v>29777</v>
      </c>
      <c r="H1540" t="s">
        <v>29778</v>
      </c>
      <c r="I1540" t="s">
        <v>29779</v>
      </c>
      <c r="J1540" t="s">
        <v>29780</v>
      </c>
      <c r="K1540" t="s">
        <v>29781</v>
      </c>
      <c r="L1540" t="s">
        <v>29782</v>
      </c>
      <c r="M1540" t="s">
        <v>29783</v>
      </c>
      <c r="N1540">
        <f>-650.624241242535 -15.2865351505641 -526.435513097386</f>
        <v>-1192.3462894904851</v>
      </c>
      <c r="O1540">
        <f>-665.887104398675 -165.842158941232 -488.528621507839</f>
        <v>-1320.257884847746</v>
      </c>
      <c r="P1540">
        <f>-704.411375665186 -163.945690351822 -209.081299610008</f>
        <v>-1077.4383656270161</v>
      </c>
      <c r="Q1540">
        <f>-477.48199969793 -137.994706013792 -251.249367516949</f>
        <v>-866.72607322867111</v>
      </c>
      <c r="R1540" t="s">
        <v>29784</v>
      </c>
      <c r="S1540" t="s">
        <v>29785</v>
      </c>
      <c r="T1540" t="s">
        <v>29786</v>
      </c>
      <c r="U1540" t="s">
        <v>29787</v>
      </c>
      <c r="V1540">
        <f>-585.573503765544 -52.5123367829544 -91.7800673830498</f>
        <v>-729.86590793154824</v>
      </c>
      <c r="W1540" t="s">
        <v>29788</v>
      </c>
      <c r="X1540" t="s">
        <v>29789</v>
      </c>
      <c r="Y1540" t="s">
        <v>29790</v>
      </c>
    </row>
    <row r="1541" spans="1:25" x14ac:dyDescent="0.3">
      <c r="A1541">
        <v>77000</v>
      </c>
      <c r="B1541" t="s">
        <v>29791</v>
      </c>
      <c r="C1541" t="s">
        <v>29792</v>
      </c>
      <c r="D1541" t="s">
        <v>29793</v>
      </c>
      <c r="E1541" t="s">
        <v>29794</v>
      </c>
      <c r="F1541" t="s">
        <v>29795</v>
      </c>
      <c r="G1541" t="s">
        <v>29796</v>
      </c>
      <c r="H1541" t="s">
        <v>29797</v>
      </c>
      <c r="I1541" t="s">
        <v>29798</v>
      </c>
      <c r="J1541" t="s">
        <v>29799</v>
      </c>
      <c r="K1541" t="s">
        <v>29800</v>
      </c>
      <c r="L1541" t="s">
        <v>29801</v>
      </c>
      <c r="M1541" t="s">
        <v>29802</v>
      </c>
      <c r="N1541">
        <f>-649.468588378715 -14.8158812419292 -526.642554243462</f>
        <v>-1190.9270238641061</v>
      </c>
      <c r="O1541">
        <f>-664.670837996555 -165.541888063648 -489.390467126014</f>
        <v>-1319.6031931862169</v>
      </c>
      <c r="P1541">
        <f>-702.69797784204 -165.30069178037 -209.868546935351</f>
        <v>-1077.8672165577609</v>
      </c>
      <c r="Q1541">
        <f>-475.99942699093 -138.435798392682 -252.70074136052</f>
        <v>-867.13596674413202</v>
      </c>
      <c r="R1541" t="s">
        <v>29803</v>
      </c>
      <c r="S1541" t="s">
        <v>29804</v>
      </c>
      <c r="T1541" t="s">
        <v>29805</v>
      </c>
      <c r="U1541" t="s">
        <v>29806</v>
      </c>
      <c r="V1541">
        <f>-584.964767671711 -52.9044733520054 -91.7578599403907</f>
        <v>-729.62710096410717</v>
      </c>
      <c r="W1541" t="s">
        <v>29807</v>
      </c>
      <c r="X1541" t="s">
        <v>29808</v>
      </c>
      <c r="Y1541" t="s">
        <v>29809</v>
      </c>
    </row>
    <row r="1542" spans="1:25" x14ac:dyDescent="0.3">
      <c r="A1542">
        <v>77050</v>
      </c>
      <c r="B1542" t="s">
        <v>29810</v>
      </c>
      <c r="C1542" t="s">
        <v>29811</v>
      </c>
      <c r="D1542" t="s">
        <v>29812</v>
      </c>
      <c r="E1542" t="s">
        <v>29813</v>
      </c>
      <c r="F1542" t="s">
        <v>29814</v>
      </c>
      <c r="G1542" t="s">
        <v>29815</v>
      </c>
      <c r="H1542" t="s">
        <v>29816</v>
      </c>
      <c r="I1542" t="s">
        <v>29817</v>
      </c>
      <c r="J1542" t="s">
        <v>29818</v>
      </c>
      <c r="K1542" t="s">
        <v>29819</v>
      </c>
      <c r="L1542" t="s">
        <v>29820</v>
      </c>
      <c r="M1542" t="s">
        <v>29821</v>
      </c>
      <c r="N1542">
        <f>-648.960379094315 -14.5061603301558 -526.731774051638</f>
        <v>-1190.198313476109</v>
      </c>
      <c r="O1542">
        <f>-664.103142414352 -165.322085808408 -489.807138107219</f>
        <v>-1319.232366329979</v>
      </c>
      <c r="P1542">
        <f>-702.004908446945 -165.523259818207 -210.268169792979</f>
        <v>-1077.7963380581311</v>
      </c>
      <c r="Q1542">
        <f>-475.404947891977 -138.43786792365 -253.48143021991</f>
        <v>-867.32424603553704</v>
      </c>
      <c r="R1542" t="s">
        <v>29822</v>
      </c>
      <c r="S1542" t="s">
        <v>29823</v>
      </c>
      <c r="T1542" t="s">
        <v>29824</v>
      </c>
      <c r="U1542" t="s">
        <v>29825</v>
      </c>
      <c r="V1542">
        <f>-584.584656252972 -53.1055835074565 -91.7379474944611</f>
        <v>-729.42818725488951</v>
      </c>
      <c r="W1542" t="s">
        <v>29826</v>
      </c>
      <c r="X1542" t="s">
        <v>29827</v>
      </c>
      <c r="Y1542" t="s">
        <v>29828</v>
      </c>
    </row>
    <row r="1543" spans="1:25" x14ac:dyDescent="0.3">
      <c r="A1543">
        <v>77100</v>
      </c>
      <c r="B1543" t="s">
        <v>29829</v>
      </c>
      <c r="C1543" t="s">
        <v>29830</v>
      </c>
      <c r="D1543" t="s">
        <v>29831</v>
      </c>
      <c r="E1543" t="s">
        <v>29832</v>
      </c>
      <c r="F1543" t="s">
        <v>29833</v>
      </c>
      <c r="G1543" t="s">
        <v>29834</v>
      </c>
      <c r="H1543" t="s">
        <v>29835</v>
      </c>
      <c r="I1543" t="s">
        <v>29836</v>
      </c>
      <c r="J1543" t="s">
        <v>29837</v>
      </c>
      <c r="K1543" t="s">
        <v>29838</v>
      </c>
      <c r="L1543" t="s">
        <v>29839</v>
      </c>
      <c r="M1543" t="s">
        <v>29840</v>
      </c>
      <c r="N1543">
        <f>-648.106847058784 -14.0085914518136 -526.856828517411</f>
        <v>-1188.9722670280084</v>
      </c>
      <c r="O1543">
        <f>-663.205714435202 -164.968606677682 -490.525597645002</f>
        <v>-1318.6999187578861</v>
      </c>
      <c r="P1543">
        <f>-700.814090628954 -165.967268375945 -210.94894445546</f>
        <v>-1077.730303460359</v>
      </c>
      <c r="Q1543">
        <f>-474.365287143544 -138.067419919433 -254.435341092951</f>
        <v>-866.86804815592802</v>
      </c>
      <c r="R1543" t="s">
        <v>29841</v>
      </c>
      <c r="S1543" t="s">
        <v>29842</v>
      </c>
      <c r="T1543" t="s">
        <v>29843</v>
      </c>
      <c r="U1543" t="s">
        <v>29844</v>
      </c>
      <c r="V1543">
        <f>-583.809058845808 -53.5179561554448 -91.6581532953546</f>
        <v>-728.98516829660741</v>
      </c>
      <c r="W1543" t="s">
        <v>29845</v>
      </c>
      <c r="X1543" t="s">
        <v>29846</v>
      </c>
      <c r="Y1543" t="s">
        <v>29847</v>
      </c>
    </row>
    <row r="1544" spans="1:25" x14ac:dyDescent="0.3">
      <c r="A1544">
        <v>77150</v>
      </c>
      <c r="B1544" t="s">
        <v>29848</v>
      </c>
      <c r="C1544" t="s">
        <v>29849</v>
      </c>
      <c r="D1544" t="s">
        <v>29850</v>
      </c>
      <c r="E1544" t="s">
        <v>29851</v>
      </c>
      <c r="F1544" t="s">
        <v>29852</v>
      </c>
      <c r="G1544" t="s">
        <v>29853</v>
      </c>
      <c r="H1544" t="s">
        <v>29854</v>
      </c>
      <c r="I1544" t="s">
        <v>29855</v>
      </c>
      <c r="J1544" t="s">
        <v>29856</v>
      </c>
      <c r="K1544" t="s">
        <v>29857</v>
      </c>
      <c r="L1544" t="s">
        <v>29858</v>
      </c>
      <c r="M1544" t="s">
        <v>29859</v>
      </c>
      <c r="N1544">
        <f>-647.737876446397 -13.7907820142882 -526.874061024228</f>
        <v>-1188.4027194849132</v>
      </c>
      <c r="O1544">
        <f>-662.725274766531 -164.836632656558 -490.846417187587</f>
        <v>-1318.4083246106761</v>
      </c>
      <c r="P1544">
        <f>-700.413222716501 -166.397035749931 -211.282960239095</f>
        <v>-1078.0932187055269</v>
      </c>
      <c r="Q1544">
        <f>-474.009144658491 -137.701205232785 -254.483116832223</f>
        <v>-866.193466723499</v>
      </c>
      <c r="R1544" t="s">
        <v>29860</v>
      </c>
      <c r="S1544" t="s">
        <v>29861</v>
      </c>
      <c r="T1544" t="s">
        <v>29862</v>
      </c>
      <c r="U1544" t="s">
        <v>29863</v>
      </c>
      <c r="V1544">
        <f>-583.428783138424 -53.6515684301667 -91.6036676485745</f>
        <v>-728.6840192171652</v>
      </c>
      <c r="W1544" t="s">
        <v>29864</v>
      </c>
      <c r="X1544" t="s">
        <v>29865</v>
      </c>
      <c r="Y1544" t="s">
        <v>29866</v>
      </c>
    </row>
    <row r="1545" spans="1:25" x14ac:dyDescent="0.3">
      <c r="A1545">
        <v>77200</v>
      </c>
      <c r="B1545" t="s">
        <v>29867</v>
      </c>
      <c r="C1545" t="s">
        <v>29868</v>
      </c>
      <c r="D1545" t="s">
        <v>29869</v>
      </c>
      <c r="E1545" t="s">
        <v>29870</v>
      </c>
      <c r="F1545" t="s">
        <v>29871</v>
      </c>
      <c r="G1545" t="s">
        <v>29872</v>
      </c>
      <c r="H1545" t="s">
        <v>29873</v>
      </c>
      <c r="I1545" t="s">
        <v>29874</v>
      </c>
      <c r="J1545" t="s">
        <v>29875</v>
      </c>
      <c r="K1545" t="s">
        <v>29876</v>
      </c>
      <c r="L1545" t="s">
        <v>29877</v>
      </c>
      <c r="M1545" t="s">
        <v>29878</v>
      </c>
      <c r="N1545">
        <f>-647.055200171708 -13.3349572303696 -526.909898381028</f>
        <v>-1187.3000557831056</v>
      </c>
      <c r="O1545">
        <f>-661.658314782853 -164.557276395697 -491.463182207302</f>
        <v>-1317.6787733858521</v>
      </c>
      <c r="P1545">
        <f>-699.717677165488 -167.028557906325 -211.956512980052</f>
        <v>-1078.702748051865</v>
      </c>
      <c r="Q1545">
        <f>-473.197898131089 -137.222643427757 -253.776497482686</f>
        <v>-864.19703904153198</v>
      </c>
      <c r="R1545" t="s">
        <v>29879</v>
      </c>
      <c r="S1545" t="s">
        <v>29880</v>
      </c>
      <c r="T1545" t="s">
        <v>29881</v>
      </c>
      <c r="U1545" t="s">
        <v>29882</v>
      </c>
      <c r="V1545">
        <f>-582.669376475859 -53.8579128839747 -91.5188071769107</f>
        <v>-728.04609653674447</v>
      </c>
      <c r="W1545" t="s">
        <v>29883</v>
      </c>
      <c r="X1545" t="s">
        <v>29884</v>
      </c>
      <c r="Y1545" t="s">
        <v>29885</v>
      </c>
    </row>
    <row r="1546" spans="1:25" x14ac:dyDescent="0.3">
      <c r="A1546">
        <v>77250</v>
      </c>
      <c r="B1546" t="s">
        <v>29886</v>
      </c>
      <c r="C1546" t="s">
        <v>29887</v>
      </c>
      <c r="D1546" t="s">
        <v>29888</v>
      </c>
      <c r="E1546" t="s">
        <v>29889</v>
      </c>
      <c r="F1546" t="s">
        <v>29890</v>
      </c>
      <c r="G1546" t="s">
        <v>29891</v>
      </c>
      <c r="H1546" t="s">
        <v>29892</v>
      </c>
      <c r="I1546" t="s">
        <v>29893</v>
      </c>
      <c r="J1546" t="s">
        <v>29894</v>
      </c>
      <c r="K1546" t="s">
        <v>29895</v>
      </c>
      <c r="L1546" t="s">
        <v>29896</v>
      </c>
      <c r="M1546" t="s">
        <v>29897</v>
      </c>
      <c r="N1546">
        <f>-646.833437534853 -13.1090625296356 -526.92927096277</f>
        <v>-1186.8717710272585</v>
      </c>
      <c r="O1546">
        <f>-661.249630084166 -164.403104858498 -491.714103619403</f>
        <v>-1317.366838562067</v>
      </c>
      <c r="P1546">
        <f>-699.439671656319 -167.139609438853 -212.227671834152</f>
        <v>-1078.8069529293239</v>
      </c>
      <c r="Q1546">
        <f>-472.615457387648 -137.635488175336 -252.586341068119</f>
        <v>-862.8372866311031</v>
      </c>
      <c r="R1546" t="s">
        <v>29898</v>
      </c>
      <c r="S1546" t="s">
        <v>29899</v>
      </c>
      <c r="T1546" t="s">
        <v>29900</v>
      </c>
      <c r="U1546" t="s">
        <v>29901</v>
      </c>
      <c r="V1546">
        <f>-582.377823568432 -53.9543108890446 -91.4875434991222</f>
        <v>-727.81967795659875</v>
      </c>
      <c r="W1546" t="s">
        <v>29902</v>
      </c>
      <c r="X1546" t="s">
        <v>29903</v>
      </c>
      <c r="Y1546" t="s">
        <v>29904</v>
      </c>
    </row>
    <row r="1547" spans="1:25" x14ac:dyDescent="0.3">
      <c r="A1547">
        <v>77300</v>
      </c>
      <c r="B1547" t="s">
        <v>29905</v>
      </c>
      <c r="C1547" t="s">
        <v>29906</v>
      </c>
      <c r="D1547" t="s">
        <v>29907</v>
      </c>
      <c r="E1547" t="s">
        <v>29908</v>
      </c>
      <c r="F1547" t="s">
        <v>29909</v>
      </c>
      <c r="G1547" t="s">
        <v>29910</v>
      </c>
      <c r="H1547" t="s">
        <v>29911</v>
      </c>
      <c r="I1547" t="s">
        <v>29912</v>
      </c>
      <c r="J1547" t="s">
        <v>29913</v>
      </c>
      <c r="K1547" t="s">
        <v>29914</v>
      </c>
      <c r="L1547" t="s">
        <v>29915</v>
      </c>
      <c r="M1547" t="s">
        <v>29916</v>
      </c>
      <c r="N1547">
        <f>-646.577815972356 -12.6408318389335 -526.939614702221</f>
        <v>-1186.1582625135106</v>
      </c>
      <c r="O1547">
        <f>-660.634065169361 -164.057513852744 -492.113525445886</f>
        <v>-1316.805104467991</v>
      </c>
      <c r="P1547">
        <f>-698.94226245084 -167.236018534147 -212.647973889764</f>
        <v>-1078.8262548747509</v>
      </c>
      <c r="Q1547">
        <f>-471.575002668601 -138.518151949462 -250.435977047214</f>
        <v>-860.52913166527696</v>
      </c>
      <c r="R1547" t="s">
        <v>29917</v>
      </c>
      <c r="S1547" t="s">
        <v>29918</v>
      </c>
      <c r="T1547" t="s">
        <v>29919</v>
      </c>
      <c r="U1547" t="s">
        <v>29920</v>
      </c>
      <c r="V1547">
        <f>-581.927422743057 -53.8931697769483 -91.426333905253</f>
        <v>-727.24692642525838</v>
      </c>
      <c r="W1547" t="s">
        <v>29921</v>
      </c>
      <c r="X1547" t="s">
        <v>29922</v>
      </c>
      <c r="Y1547" t="s">
        <v>29923</v>
      </c>
    </row>
    <row r="1548" spans="1:25" x14ac:dyDescent="0.3">
      <c r="A1548">
        <v>77350</v>
      </c>
      <c r="B1548" t="s">
        <v>29924</v>
      </c>
      <c r="C1548" t="s">
        <v>29925</v>
      </c>
      <c r="D1548" t="s">
        <v>29926</v>
      </c>
      <c r="E1548" t="s">
        <v>29927</v>
      </c>
      <c r="F1548" t="s">
        <v>29928</v>
      </c>
      <c r="G1548" t="s">
        <v>29929</v>
      </c>
      <c r="H1548" t="s">
        <v>29930</v>
      </c>
      <c r="I1548" t="s">
        <v>29931</v>
      </c>
      <c r="J1548" t="s">
        <v>29932</v>
      </c>
      <c r="K1548" t="s">
        <v>29933</v>
      </c>
      <c r="L1548" t="s">
        <v>29934</v>
      </c>
      <c r="M1548" t="s">
        <v>29935</v>
      </c>
      <c r="N1548">
        <f>-646.555220993242 -12.4465603569085 -526.936227597473</f>
        <v>-1185.9380089476235</v>
      </c>
      <c r="O1548">
        <f>-660.379433550067 -163.919948207376 -492.255659758279</f>
        <v>-1316.555041515722</v>
      </c>
      <c r="P1548">
        <f>-698.815074597143 -167.550270186357 -212.813234390824</f>
        <v>-1079.1785791743241</v>
      </c>
      <c r="Q1548">
        <f>-471.239561609551 -139.027693995294 -249.479191575259</f>
        <v>-859.74644718010404</v>
      </c>
      <c r="R1548" t="s">
        <v>29936</v>
      </c>
      <c r="S1548" t="s">
        <v>29937</v>
      </c>
      <c r="T1548" t="s">
        <v>29938</v>
      </c>
      <c r="U1548" t="s">
        <v>29939</v>
      </c>
      <c r="V1548">
        <f>-581.826070222372 -53.849201246838 -91.4112776156396</f>
        <v>-727.08654908484959</v>
      </c>
      <c r="W1548" t="s">
        <v>29940</v>
      </c>
      <c r="X1548" t="s">
        <v>29941</v>
      </c>
      <c r="Y1548" t="s">
        <v>29942</v>
      </c>
    </row>
    <row r="1549" spans="1:25" x14ac:dyDescent="0.3">
      <c r="A1549">
        <v>77400</v>
      </c>
      <c r="B1549" t="s">
        <v>29943</v>
      </c>
      <c r="C1549" t="s">
        <v>29944</v>
      </c>
      <c r="D1549" t="s">
        <v>29945</v>
      </c>
      <c r="E1549" t="s">
        <v>29946</v>
      </c>
      <c r="F1549" t="s">
        <v>29947</v>
      </c>
      <c r="G1549" t="s">
        <v>29948</v>
      </c>
      <c r="H1549" t="s">
        <v>29949</v>
      </c>
      <c r="I1549" t="s">
        <v>29950</v>
      </c>
      <c r="J1549" t="s">
        <v>29951</v>
      </c>
      <c r="K1549" t="s">
        <v>29952</v>
      </c>
      <c r="L1549" t="s">
        <v>29953</v>
      </c>
      <c r="M1549" t="s">
        <v>29954</v>
      </c>
      <c r="N1549">
        <f>-646.81491140312 -11.902186453711 -526.983328325386</f>
        <v>-1185.7004261822171</v>
      </c>
      <c r="O1549">
        <f>-660.120385112736 -163.491900812819 -492.616657472602</f>
        <v>-1316.2289433981571</v>
      </c>
      <c r="P1549">
        <f>-699.263692469821 -168.126348212699 -213.287248154062</f>
        <v>-1080.677288836582</v>
      </c>
      <c r="Q1549">
        <f>-471.405996848294 -138.94346145869 -247.605693942475</f>
        <v>-857.95515224945905</v>
      </c>
      <c r="R1549" t="s">
        <v>29955</v>
      </c>
      <c r="S1549" t="s">
        <v>29956</v>
      </c>
      <c r="T1549" t="s">
        <v>29957</v>
      </c>
      <c r="U1549" t="s">
        <v>29958</v>
      </c>
      <c r="V1549">
        <f>-581.982248276447 -53.5839872505326 -91.4339819817048</f>
        <v>-727.00021750868439</v>
      </c>
      <c r="W1549" t="s">
        <v>29959</v>
      </c>
      <c r="X1549" t="s">
        <v>29960</v>
      </c>
      <c r="Y1549" t="s">
        <v>29961</v>
      </c>
    </row>
    <row r="1550" spans="1:25" x14ac:dyDescent="0.3">
      <c r="A1550">
        <v>77450</v>
      </c>
      <c r="B1550" t="s">
        <v>29962</v>
      </c>
      <c r="C1550" t="s">
        <v>29963</v>
      </c>
      <c r="D1550" t="s">
        <v>29964</v>
      </c>
      <c r="E1550" t="s">
        <v>29965</v>
      </c>
      <c r="F1550" t="s">
        <v>29966</v>
      </c>
      <c r="G1550" t="s">
        <v>29967</v>
      </c>
      <c r="H1550" t="s">
        <v>29968</v>
      </c>
      <c r="I1550" t="s">
        <v>29969</v>
      </c>
      <c r="J1550" t="s">
        <v>29970</v>
      </c>
      <c r="K1550" t="s">
        <v>29971</v>
      </c>
      <c r="L1550" t="s">
        <v>29972</v>
      </c>
      <c r="M1550" t="s">
        <v>29973</v>
      </c>
      <c r="N1550">
        <f>-646.9057972077 -11.6030702928977 -527.033516932228</f>
        <v>-1185.5423844328257</v>
      </c>
      <c r="O1550">
        <f>-660.032020221017 -163.240587422921 -492.813794897362</f>
        <v>-1316.0864025413</v>
      </c>
      <c r="P1550">
        <f>-699.503555609877 -168.0209405964 -213.533010980256</f>
        <v>-1081.057507186533</v>
      </c>
      <c r="Q1550">
        <f>-471.613746710059 -138.182892892312 -247.065720414442</f>
        <v>-856.862360016813</v>
      </c>
      <c r="R1550" t="s">
        <v>29974</v>
      </c>
      <c r="S1550" t="s">
        <v>29975</v>
      </c>
      <c r="T1550" t="s">
        <v>29976</v>
      </c>
      <c r="U1550" t="s">
        <v>29977</v>
      </c>
      <c r="V1550">
        <f>-582.126921415238 -53.4054142033874 -91.4556452577526</f>
        <v>-726.98798087637806</v>
      </c>
      <c r="W1550" t="s">
        <v>29978</v>
      </c>
      <c r="X1550" t="s">
        <v>29979</v>
      </c>
      <c r="Y1550" t="s">
        <v>29980</v>
      </c>
    </row>
    <row r="1551" spans="1:25" x14ac:dyDescent="0.3">
      <c r="A1551">
        <v>77500</v>
      </c>
      <c r="B1551" t="s">
        <v>29981</v>
      </c>
      <c r="C1551" t="s">
        <v>29982</v>
      </c>
      <c r="D1551" t="s">
        <v>29983</v>
      </c>
      <c r="E1551" t="s">
        <v>29984</v>
      </c>
      <c r="F1551" t="s">
        <v>29985</v>
      </c>
      <c r="G1551" t="s">
        <v>29986</v>
      </c>
      <c r="H1551" t="s">
        <v>29987</v>
      </c>
      <c r="I1551" t="s">
        <v>29988</v>
      </c>
      <c r="J1551" t="s">
        <v>29989</v>
      </c>
      <c r="K1551" t="s">
        <v>29990</v>
      </c>
      <c r="L1551" t="s">
        <v>29991</v>
      </c>
      <c r="M1551" t="s">
        <v>29992</v>
      </c>
      <c r="N1551">
        <f>-647.240232386701 -11.292013428822 -527.067300681743</f>
        <v>-1185.5995464972659</v>
      </c>
      <c r="O1551">
        <f>-660.212699414336 -162.961202965968 -492.966661814589</f>
        <v>-1316.1405641948932</v>
      </c>
      <c r="P1551">
        <f>-699.619674663315 -167.703343132939 -213.676115449642</f>
        <v>-1080.999133245896</v>
      </c>
      <c r="Q1551">
        <f>-471.824587870038 -137.15492223772 -247.212715798716</f>
        <v>-856.19222590647394</v>
      </c>
      <c r="R1551" t="s">
        <v>29993</v>
      </c>
      <c r="S1551" t="s">
        <v>29994</v>
      </c>
      <c r="T1551" t="s">
        <v>29995</v>
      </c>
      <c r="U1551" t="s">
        <v>29996</v>
      </c>
      <c r="V1551">
        <f>-582.504143479732 -53.0257254351832 -91.4791018039409</f>
        <v>-727.00897071885606</v>
      </c>
      <c r="W1551" t="s">
        <v>29997</v>
      </c>
      <c r="X1551" t="s">
        <v>29998</v>
      </c>
      <c r="Y1551" t="s">
        <v>29999</v>
      </c>
    </row>
    <row r="1552" spans="1:25" x14ac:dyDescent="0.3">
      <c r="A1552">
        <v>77550</v>
      </c>
      <c r="B1552" t="s">
        <v>30000</v>
      </c>
      <c r="C1552" t="s">
        <v>30001</v>
      </c>
      <c r="D1552" t="s">
        <v>30002</v>
      </c>
      <c r="E1552" t="s">
        <v>30003</v>
      </c>
      <c r="F1552" t="s">
        <v>30004</v>
      </c>
      <c r="G1552" t="s">
        <v>30005</v>
      </c>
      <c r="H1552" t="s">
        <v>30006</v>
      </c>
      <c r="I1552" t="s">
        <v>30007</v>
      </c>
      <c r="J1552" t="s">
        <v>30008</v>
      </c>
      <c r="K1552" t="s">
        <v>30009</v>
      </c>
      <c r="L1552" t="s">
        <v>30010</v>
      </c>
      <c r="M1552" t="s">
        <v>30011</v>
      </c>
      <c r="N1552">
        <f>-647.55736390567 -11.2647296604803 -527.04723306612</f>
        <v>-1185.8693266322703</v>
      </c>
      <c r="O1552">
        <f>-660.597927389152 -162.934903820468 -492.959463348129</f>
        <v>-1316.4922945577491</v>
      </c>
      <c r="P1552">
        <f>-699.596510040767 -167.714841265157 -213.612376894586</f>
        <v>-1080.9237282005101</v>
      </c>
      <c r="Q1552">
        <f>-471.920028844768 -137.025718395289 -247.819775365207</f>
        <v>-856.76552260526398</v>
      </c>
      <c r="R1552" t="s">
        <v>30012</v>
      </c>
      <c r="S1552" t="s">
        <v>30013</v>
      </c>
      <c r="T1552" t="s">
        <v>30014</v>
      </c>
      <c r="U1552" t="s">
        <v>30015</v>
      </c>
      <c r="V1552">
        <f>-582.745968824013 -52.8561385253809 -91.4995335023868</f>
        <v>-727.10164085178064</v>
      </c>
      <c r="W1552" t="s">
        <v>30016</v>
      </c>
      <c r="X1552" t="s">
        <v>30017</v>
      </c>
      <c r="Y1552" t="s">
        <v>30018</v>
      </c>
    </row>
    <row r="1553" spans="1:25" x14ac:dyDescent="0.3">
      <c r="A1553">
        <v>77600</v>
      </c>
      <c r="B1553" t="s">
        <v>30019</v>
      </c>
      <c r="C1553" t="s">
        <v>30020</v>
      </c>
      <c r="D1553" t="s">
        <v>30021</v>
      </c>
      <c r="E1553" t="s">
        <v>30022</v>
      </c>
      <c r="F1553" t="s">
        <v>30023</v>
      </c>
      <c r="G1553" t="s">
        <v>30024</v>
      </c>
      <c r="H1553" t="s">
        <v>30025</v>
      </c>
      <c r="I1553" t="s">
        <v>30026</v>
      </c>
      <c r="J1553" t="s">
        <v>30027</v>
      </c>
      <c r="K1553" t="s">
        <v>30028</v>
      </c>
      <c r="L1553" t="s">
        <v>30029</v>
      </c>
      <c r="M1553" t="s">
        <v>30030</v>
      </c>
      <c r="N1553">
        <f>-648.64006103161 -11.1093222303191 -527.000243581209</f>
        <v>-1186.7496268431382</v>
      </c>
      <c r="O1553">
        <f>-661.876896005445 -162.803496301357 -493.015970252603</f>
        <v>-1317.6963625594049</v>
      </c>
      <c r="P1553">
        <f>-698.98175105857 -167.524484090381 -213.409904186662</f>
        <v>-1079.916139335613</v>
      </c>
      <c r="Q1553">
        <f>-471.749509341726 -137.083776822427 -250.657819661698</f>
        <v>-859.49110582585104</v>
      </c>
      <c r="R1553" t="s">
        <v>30031</v>
      </c>
      <c r="S1553" t="s">
        <v>30032</v>
      </c>
      <c r="T1553" t="s">
        <v>30033</v>
      </c>
      <c r="U1553" t="s">
        <v>30034</v>
      </c>
      <c r="V1553">
        <f>-583.355833396746 -52.6365040588307 -91.5482800085096</f>
        <v>-727.54061746408627</v>
      </c>
      <c r="W1553" t="s">
        <v>30035</v>
      </c>
      <c r="X1553" t="s">
        <v>30036</v>
      </c>
      <c r="Y1553" t="s">
        <v>30037</v>
      </c>
    </row>
    <row r="1554" spans="1:25" x14ac:dyDescent="0.3">
      <c r="A1554">
        <v>77650</v>
      </c>
      <c r="B1554" t="s">
        <v>30038</v>
      </c>
      <c r="C1554" t="s">
        <v>30039</v>
      </c>
      <c r="D1554" t="s">
        <v>30040</v>
      </c>
      <c r="E1554" t="s">
        <v>30041</v>
      </c>
      <c r="F1554" t="s">
        <v>30042</v>
      </c>
      <c r="G1554" t="s">
        <v>30043</v>
      </c>
      <c r="H1554" t="s">
        <v>30044</v>
      </c>
      <c r="I1554" t="s">
        <v>30045</v>
      </c>
      <c r="J1554" t="s">
        <v>30046</v>
      </c>
      <c r="K1554" t="s">
        <v>30047</v>
      </c>
      <c r="L1554" t="s">
        <v>30048</v>
      </c>
      <c r="M1554" t="s">
        <v>30049</v>
      </c>
      <c r="N1554">
        <f>-649.081440114897 -10.8322071711762 -527.024208061591</f>
        <v>-1186.937855347664</v>
      </c>
      <c r="O1554">
        <f>-662.469722893863 -162.550169505607 -493.222221032223</f>
        <v>-1318.242113431693</v>
      </c>
      <c r="P1554">
        <f>-698.156972273412 -167.551005036333 -213.436610392265</f>
        <v>-1079.1445877020099</v>
      </c>
      <c r="Q1554">
        <f>-471.300383089558 -137.086454465088 -252.889203195818</f>
        <v>-861.27604075046406</v>
      </c>
      <c r="R1554" t="s">
        <v>30050</v>
      </c>
      <c r="S1554" t="s">
        <v>30051</v>
      </c>
      <c r="T1554" t="s">
        <v>30052</v>
      </c>
      <c r="U1554" t="s">
        <v>30053</v>
      </c>
      <c r="V1554">
        <f>-583.698940153967 -52.5738186671847 -91.5655564200322</f>
        <v>-727.83831524118386</v>
      </c>
      <c r="W1554" t="s">
        <v>30054</v>
      </c>
      <c r="X1554" t="s">
        <v>30055</v>
      </c>
      <c r="Y1554" t="s">
        <v>30056</v>
      </c>
    </row>
    <row r="1555" spans="1:25" x14ac:dyDescent="0.3">
      <c r="A1555">
        <v>77700</v>
      </c>
      <c r="B1555" t="s">
        <v>30057</v>
      </c>
      <c r="C1555" t="s">
        <v>30058</v>
      </c>
      <c r="D1555" t="s">
        <v>30059</v>
      </c>
      <c r="E1555" t="s">
        <v>30060</v>
      </c>
      <c r="F1555" t="s">
        <v>30061</v>
      </c>
      <c r="G1555" t="s">
        <v>30062</v>
      </c>
      <c r="H1555" t="s">
        <v>30063</v>
      </c>
      <c r="I1555" t="s">
        <v>30064</v>
      </c>
      <c r="J1555" t="s">
        <v>30065</v>
      </c>
      <c r="K1555" t="s">
        <v>30066</v>
      </c>
      <c r="L1555" t="s">
        <v>30067</v>
      </c>
      <c r="M1555" t="s">
        <v>30068</v>
      </c>
      <c r="N1555">
        <f>-649.651370141267 -10.1041537461685 -527.164529915355</f>
        <v>-1186.9200538027906</v>
      </c>
      <c r="O1555">
        <f>-663.079829301833 -161.934385671552 -493.922630867318</f>
        <v>-1318.936845840703</v>
      </c>
      <c r="P1555">
        <f>-695.929531132164 -168.194986979385 -213.814926524539</f>
        <v>-1077.939444636088</v>
      </c>
      <c r="Q1555">
        <f>-470.232211052055 -137.644198784535 -259.376784036735</f>
        <v>-867.25319387332502</v>
      </c>
      <c r="R1555" t="s">
        <v>30069</v>
      </c>
      <c r="S1555" t="s">
        <v>30070</v>
      </c>
      <c r="T1555" t="s">
        <v>30071</v>
      </c>
      <c r="U1555" t="s">
        <v>30072</v>
      </c>
      <c r="V1555">
        <f>-584.35472808704 -52.3851019306369 -91.5930054005549</f>
        <v>-728.33283541823187</v>
      </c>
      <c r="W1555" t="s">
        <v>30073</v>
      </c>
      <c r="X1555" t="s">
        <v>30074</v>
      </c>
      <c r="Y1555" t="s">
        <v>30075</v>
      </c>
    </row>
    <row r="1556" spans="1:25" x14ac:dyDescent="0.3">
      <c r="A1556">
        <v>77750</v>
      </c>
      <c r="B1556" t="s">
        <v>30076</v>
      </c>
      <c r="C1556" t="s">
        <v>30077</v>
      </c>
      <c r="D1556" t="s">
        <v>30078</v>
      </c>
      <c r="E1556" t="s">
        <v>30079</v>
      </c>
      <c r="F1556" t="s">
        <v>30080</v>
      </c>
      <c r="G1556" t="s">
        <v>30081</v>
      </c>
      <c r="H1556" t="s">
        <v>30082</v>
      </c>
      <c r="I1556" t="s">
        <v>30083</v>
      </c>
      <c r="J1556" t="s">
        <v>30084</v>
      </c>
      <c r="K1556" t="s">
        <v>30085</v>
      </c>
      <c r="L1556" t="s">
        <v>30086</v>
      </c>
      <c r="M1556" t="s">
        <v>30087</v>
      </c>
      <c r="N1556">
        <f>-649.921728956736 -9.64407434414443 -527.247076207346</f>
        <v>-1186.8128795082266</v>
      </c>
      <c r="O1556">
        <f>-663.301075732586 -161.55883348837 -494.368196538563</f>
        <v>-1319.2281057595192</v>
      </c>
      <c r="P1556">
        <f>-694.797709697271 -168.828160995248 -214.129564791645</f>
        <v>-1077.7554354841641</v>
      </c>
      <c r="Q1556">
        <f>-470.122470175727 -137.931863716997 -264.279169650614</f>
        <v>-872.333503543338</v>
      </c>
      <c r="R1556" t="s">
        <v>30088</v>
      </c>
      <c r="S1556" t="s">
        <v>30089</v>
      </c>
      <c r="T1556" t="s">
        <v>30090</v>
      </c>
      <c r="U1556" t="s">
        <v>30091</v>
      </c>
      <c r="V1556">
        <f>-584.554897148808 -52.3105425287806 -91.6123895699524</f>
        <v>-728.47782924754097</v>
      </c>
      <c r="W1556" t="s">
        <v>30092</v>
      </c>
      <c r="X1556" t="s">
        <v>30093</v>
      </c>
      <c r="Y1556" t="s">
        <v>30094</v>
      </c>
    </row>
    <row r="1557" spans="1:25" x14ac:dyDescent="0.3">
      <c r="A1557">
        <v>77800</v>
      </c>
      <c r="B1557" t="s">
        <v>30095</v>
      </c>
      <c r="C1557" t="s">
        <v>30096</v>
      </c>
      <c r="D1557" t="s">
        <v>30097</v>
      </c>
      <c r="E1557" t="s">
        <v>30098</v>
      </c>
      <c r="F1557" t="s">
        <v>30099</v>
      </c>
      <c r="G1557" t="s">
        <v>30100</v>
      </c>
      <c r="H1557" t="s">
        <v>30101</v>
      </c>
      <c r="I1557" t="s">
        <v>30102</v>
      </c>
      <c r="J1557" t="s">
        <v>30103</v>
      </c>
      <c r="K1557" t="s">
        <v>30104</v>
      </c>
      <c r="L1557" t="s">
        <v>30105</v>
      </c>
      <c r="M1557" t="s">
        <v>30106</v>
      </c>
      <c r="N1557">
        <f>-650.256964066492 -8.47100303949674 -527.448248707183</f>
        <v>-1186.1762158131717</v>
      </c>
      <c r="O1557">
        <f>-663.449369696107 -160.603241930295 -495.525437822067</f>
        <v>-1319.5780494484691</v>
      </c>
      <c r="P1557">
        <f>-692.214026815915 -170.602139002128 -215.07713568026</f>
        <v>-1077.8933014983029</v>
      </c>
      <c r="Q1557">
        <f>-470.620008999296 -135.336812117099 -275.08514128632</f>
        <v>-881.04196240271494</v>
      </c>
      <c r="R1557" t="s">
        <v>30107</v>
      </c>
      <c r="S1557" t="s">
        <v>30108</v>
      </c>
      <c r="T1557" t="s">
        <v>30109</v>
      </c>
      <c r="U1557" t="s">
        <v>30110</v>
      </c>
      <c r="V1557">
        <f>-584.454978140335 -52.4197114906153 -91.6372245302983</f>
        <v>-728.51191416124868</v>
      </c>
      <c r="W1557" t="s">
        <v>30111</v>
      </c>
      <c r="X1557" t="s">
        <v>30112</v>
      </c>
      <c r="Y1557" t="s">
        <v>30113</v>
      </c>
    </row>
    <row r="1558" spans="1:25" x14ac:dyDescent="0.3">
      <c r="A1558">
        <v>77850</v>
      </c>
      <c r="B1558" t="s">
        <v>30114</v>
      </c>
      <c r="C1558" t="s">
        <v>30115</v>
      </c>
      <c r="D1558" t="s">
        <v>30116</v>
      </c>
      <c r="E1558" t="s">
        <v>30117</v>
      </c>
      <c r="F1558" t="s">
        <v>30118</v>
      </c>
      <c r="G1558" t="s">
        <v>30119</v>
      </c>
      <c r="H1558" t="s">
        <v>30120</v>
      </c>
      <c r="I1558" t="s">
        <v>30121</v>
      </c>
      <c r="J1558" t="s">
        <v>30122</v>
      </c>
      <c r="K1558" t="s">
        <v>30123</v>
      </c>
      <c r="L1558" t="s">
        <v>30124</v>
      </c>
      <c r="M1558" t="s">
        <v>30125</v>
      </c>
      <c r="N1558">
        <f>-650.423392275015 -7.79733240901396 -527.545138977155</f>
        <v>-1185.7658636611841</v>
      </c>
      <c r="O1558">
        <f>-663.407384340008 -160.069587698658 -496.196778481512</f>
        <v>-1319.6737505201779</v>
      </c>
      <c r="P1558">
        <f>-691.118446248906 -171.301930088733 -215.689202620698</f>
        <v>-1078.1095789583371</v>
      </c>
      <c r="Q1558">
        <f>-470.876937127455 -134.353672290858 -279.540838413605</f>
        <v>-884.77144783191795</v>
      </c>
      <c r="R1558" t="s">
        <v>30126</v>
      </c>
      <c r="S1558" t="s">
        <v>30127</v>
      </c>
      <c r="T1558" t="s">
        <v>30128</v>
      </c>
      <c r="U1558" t="s">
        <v>30129</v>
      </c>
      <c r="V1558">
        <f>-584.247816026158 -52.5404635949844 -91.6418209155848</f>
        <v>-728.43010053672731</v>
      </c>
      <c r="W1558" t="s">
        <v>30130</v>
      </c>
      <c r="X1558" t="s">
        <v>30131</v>
      </c>
      <c r="Y1558" t="s">
        <v>30132</v>
      </c>
    </row>
    <row r="1559" spans="1:25" x14ac:dyDescent="0.3">
      <c r="A1559">
        <v>77900</v>
      </c>
      <c r="B1559" t="s">
        <v>30133</v>
      </c>
      <c r="C1559" t="s">
        <v>30134</v>
      </c>
      <c r="D1559" t="s">
        <v>30135</v>
      </c>
      <c r="E1559" t="s">
        <v>30136</v>
      </c>
      <c r="F1559" t="s">
        <v>30137</v>
      </c>
      <c r="G1559" t="s">
        <v>30138</v>
      </c>
      <c r="H1559" t="s">
        <v>30139</v>
      </c>
      <c r="I1559" t="s">
        <v>30140</v>
      </c>
      <c r="J1559" t="s">
        <v>30141</v>
      </c>
      <c r="K1559" t="s">
        <v>30142</v>
      </c>
      <c r="L1559" t="s">
        <v>30143</v>
      </c>
      <c r="M1559" t="s">
        <v>30144</v>
      </c>
      <c r="N1559">
        <f>-650.472216705486 -6.48275918674631 -527.699416257108</f>
        <v>-1184.6543921493403</v>
      </c>
      <c r="O1559">
        <f>-662.974309111878 -159.035155880145 -497.525930829332</f>
        <v>-1319.535395821355</v>
      </c>
      <c r="P1559">
        <f>-689.578187747173 -172.230291247302 -216.996664112035</f>
        <v>-1078.8051431065101</v>
      </c>
      <c r="Q1559">
        <f>-470.910488787872 -134.822854009977 -285.798060626799</f>
        <v>-891.53140342464803</v>
      </c>
      <c r="R1559" t="s">
        <v>30145</v>
      </c>
      <c r="S1559" t="s">
        <v>30146</v>
      </c>
      <c r="T1559" t="s">
        <v>30147</v>
      </c>
      <c r="U1559" t="s">
        <v>30148</v>
      </c>
      <c r="V1559">
        <f>-583.590239944067 -52.8710977810422 -91.6228214719243</f>
        <v>-728.0841591970335</v>
      </c>
      <c r="W1559" t="s">
        <v>30149</v>
      </c>
      <c r="X1559" t="s">
        <v>30150</v>
      </c>
      <c r="Y1559" t="s">
        <v>30151</v>
      </c>
    </row>
    <row r="1560" spans="1:25" x14ac:dyDescent="0.3">
      <c r="A1560">
        <v>77950</v>
      </c>
      <c r="B1560" t="s">
        <v>30152</v>
      </c>
      <c r="C1560" t="s">
        <v>30153</v>
      </c>
      <c r="D1560" t="s">
        <v>30154</v>
      </c>
      <c r="E1560" t="s">
        <v>30155</v>
      </c>
      <c r="F1560" t="s">
        <v>30156</v>
      </c>
      <c r="G1560" t="s">
        <v>30157</v>
      </c>
      <c r="H1560" t="s">
        <v>30158</v>
      </c>
      <c r="I1560" t="s">
        <v>30159</v>
      </c>
      <c r="J1560" t="s">
        <v>30160</v>
      </c>
      <c r="K1560" t="s">
        <v>30161</v>
      </c>
      <c r="L1560" t="s">
        <v>30162</v>
      </c>
      <c r="M1560" t="s">
        <v>30163</v>
      </c>
      <c r="N1560">
        <f>-650.340013855013 -5.89351797889594 -527.767292893162</f>
        <v>-1184.0008247270709</v>
      </c>
      <c r="O1560">
        <f>-662.579455664502 -158.571946024303 -498.148135284897</f>
        <v>-1319.2995369737021</v>
      </c>
      <c r="P1560">
        <f>-688.885284795822 -173.313141265421 -217.667659286725</f>
        <v>-1079.866085347968</v>
      </c>
      <c r="Q1560">
        <f>-470.803589816086 -135.510079697806 -288.093754426355</f>
        <v>-894.4074239402471</v>
      </c>
      <c r="R1560" t="s">
        <v>30164</v>
      </c>
      <c r="S1560" t="s">
        <v>30165</v>
      </c>
      <c r="T1560" t="s">
        <v>30166</v>
      </c>
      <c r="U1560" t="s">
        <v>30167</v>
      </c>
      <c r="V1560">
        <f>-583.157322557425 -53.0640609373936 -91.6053807176201</f>
        <v>-727.82676421243866</v>
      </c>
      <c r="W1560" t="s">
        <v>30168</v>
      </c>
      <c r="X1560" t="s">
        <v>30169</v>
      </c>
      <c r="Y1560" t="s">
        <v>30170</v>
      </c>
    </row>
    <row r="1561" spans="1:25" x14ac:dyDescent="0.3">
      <c r="A1561">
        <v>78000</v>
      </c>
      <c r="B1561" t="s">
        <v>30171</v>
      </c>
      <c r="C1561" t="s">
        <v>30172</v>
      </c>
      <c r="D1561" t="s">
        <v>30173</v>
      </c>
      <c r="E1561" t="s">
        <v>30174</v>
      </c>
      <c r="F1561" t="s">
        <v>30175</v>
      </c>
      <c r="G1561" t="s">
        <v>30176</v>
      </c>
      <c r="H1561" t="s">
        <v>30177</v>
      </c>
      <c r="I1561" t="s">
        <v>30178</v>
      </c>
      <c r="J1561" t="s">
        <v>30179</v>
      </c>
      <c r="K1561" t="s">
        <v>30180</v>
      </c>
      <c r="L1561" t="s">
        <v>30181</v>
      </c>
      <c r="M1561" t="s">
        <v>30182</v>
      </c>
      <c r="N1561">
        <f>-649.903378950752 -4.62605877873625 -527.892909226049</f>
        <v>-1182.4223469555373</v>
      </c>
      <c r="O1561">
        <f>-661.810797020354 -157.550726763347 -499.412083614421</f>
        <v>-1318.7736073981221</v>
      </c>
      <c r="P1561">
        <f>-686.990750687451 -175.233784362641 -218.998342247763</f>
        <v>-1081.2228772978551</v>
      </c>
      <c r="Q1561">
        <f>-470.513107885666 -136.176012073596 -293.567106141507</f>
        <v>-900.25622610076903</v>
      </c>
      <c r="R1561" t="s">
        <v>30183</v>
      </c>
      <c r="S1561" t="s">
        <v>30184</v>
      </c>
      <c r="T1561" t="s">
        <v>30185</v>
      </c>
      <c r="U1561" t="s">
        <v>30186</v>
      </c>
      <c r="V1561">
        <f>-582.198782629395 -53.3689313208076 -91.5656984557646</f>
        <v>-727.13341240596731</v>
      </c>
      <c r="W1561" t="s">
        <v>30187</v>
      </c>
      <c r="X1561" t="s">
        <v>30188</v>
      </c>
      <c r="Y1561" t="s">
        <v>30189</v>
      </c>
    </row>
    <row r="1562" spans="1:25" x14ac:dyDescent="0.3">
      <c r="A1562">
        <v>78050</v>
      </c>
      <c r="B1562" t="s">
        <v>30190</v>
      </c>
      <c r="C1562" t="s">
        <v>30191</v>
      </c>
      <c r="D1562" t="s">
        <v>30192</v>
      </c>
      <c r="E1562" t="s">
        <v>30193</v>
      </c>
      <c r="F1562" t="s">
        <v>30194</v>
      </c>
      <c r="G1562" t="s">
        <v>30195</v>
      </c>
      <c r="H1562" t="s">
        <v>30196</v>
      </c>
      <c r="I1562" t="s">
        <v>30197</v>
      </c>
      <c r="J1562" t="s">
        <v>30198</v>
      </c>
      <c r="K1562" t="s">
        <v>30199</v>
      </c>
      <c r="L1562" t="s">
        <v>30200</v>
      </c>
      <c r="M1562" t="s">
        <v>30201</v>
      </c>
      <c r="N1562">
        <f>-649.718164293178 -4.0128930504693 -527.950881979241</f>
        <v>-1181.6819393228884</v>
      </c>
      <c r="O1562">
        <f>-661.558958665889 -157.037523419893 -500.015116393552</f>
        <v>-1318.6115984793339</v>
      </c>
      <c r="P1562">
        <f>-685.684674660359 -175.808811079124 -219.579390781654</f>
        <v>-1081.072876521137</v>
      </c>
      <c r="Q1562">
        <f>-470.009409036003 -136.09151005221 -296.099058497981</f>
        <v>-902.199977586194</v>
      </c>
      <c r="R1562" t="s">
        <v>30202</v>
      </c>
      <c r="S1562" t="s">
        <v>30203</v>
      </c>
      <c r="T1562" t="s">
        <v>30204</v>
      </c>
      <c r="U1562" t="s">
        <v>30205</v>
      </c>
      <c r="V1562">
        <f>-581.719242957187 -53.6066560818401 -91.539019577436</f>
        <v>-726.86491861646311</v>
      </c>
      <c r="W1562" t="s">
        <v>30206</v>
      </c>
      <c r="X1562" t="s">
        <v>30207</v>
      </c>
      <c r="Y1562" t="s">
        <v>30208</v>
      </c>
    </row>
    <row r="1563" spans="1:25" x14ac:dyDescent="0.3">
      <c r="A1563">
        <v>78100</v>
      </c>
      <c r="B1563" t="s">
        <v>30209</v>
      </c>
      <c r="C1563" t="s">
        <v>30210</v>
      </c>
      <c r="D1563" t="s">
        <v>30211</v>
      </c>
      <c r="E1563" t="s">
        <v>30212</v>
      </c>
      <c r="F1563" t="s">
        <v>30213</v>
      </c>
      <c r="G1563" t="s">
        <v>30214</v>
      </c>
      <c r="H1563" t="s">
        <v>30215</v>
      </c>
      <c r="I1563" t="s">
        <v>30216</v>
      </c>
      <c r="J1563" t="s">
        <v>30217</v>
      </c>
      <c r="K1563" t="s">
        <v>30218</v>
      </c>
      <c r="L1563" t="s">
        <v>30219</v>
      </c>
      <c r="M1563" t="s">
        <v>30220</v>
      </c>
      <c r="N1563">
        <f>-649.564621632058 -2.99512145556537 -527.957878769162</f>
        <v>-1180.5176218567854</v>
      </c>
      <c r="O1563">
        <f>-661.148665385591 -156.199000566643 -500.88661982574</f>
        <v>-1318.234285777974</v>
      </c>
      <c r="P1563">
        <f>-682.924511025234 -177.055453222933 -220.406104349434</f>
        <v>-1080.386068597601</v>
      </c>
      <c r="Q1563">
        <f>-469.211248133278 -135.598146088926 -301.378120414886</f>
        <v>-906.18751463708998</v>
      </c>
      <c r="R1563" t="s">
        <v>30221</v>
      </c>
      <c r="S1563" t="s">
        <v>30222</v>
      </c>
      <c r="T1563" t="s">
        <v>30223</v>
      </c>
      <c r="U1563" t="s">
        <v>30224</v>
      </c>
      <c r="V1563">
        <f>-580.774520696383 -54.055867225421 -91.4901381165288</f>
        <v>-726.32052603833279</v>
      </c>
      <c r="W1563" t="s">
        <v>30225</v>
      </c>
      <c r="X1563" t="s">
        <v>30226</v>
      </c>
      <c r="Y1563" t="s">
        <v>30227</v>
      </c>
    </row>
    <row r="1564" spans="1:25" x14ac:dyDescent="0.3">
      <c r="A1564">
        <v>78150</v>
      </c>
      <c r="B1564" t="s">
        <v>30228</v>
      </c>
      <c r="C1564" t="s">
        <v>30229</v>
      </c>
      <c r="D1564" t="s">
        <v>30230</v>
      </c>
      <c r="E1564" t="s">
        <v>30231</v>
      </c>
      <c r="F1564" t="s">
        <v>30232</v>
      </c>
      <c r="G1564" t="s">
        <v>30233</v>
      </c>
      <c r="H1564" t="s">
        <v>30234</v>
      </c>
      <c r="I1564" t="s">
        <v>30235</v>
      </c>
      <c r="J1564" t="s">
        <v>30236</v>
      </c>
      <c r="K1564" t="s">
        <v>30237</v>
      </c>
      <c r="L1564" t="s">
        <v>30238</v>
      </c>
      <c r="M1564" t="s">
        <v>30239</v>
      </c>
      <c r="N1564">
        <f>-649.486554344339 -2.5172321761122 -527.959199580808</f>
        <v>-1179.962986101259</v>
      </c>
      <c r="O1564">
        <f>-660.937235228966 -155.79833089925 -501.307475498554</f>
        <v>-1318.04304162677</v>
      </c>
      <c r="P1564">
        <f>-681.618086910775 -177.787764284094 -220.830598939983</f>
        <v>-1080.236450134852</v>
      </c>
      <c r="Q1564">
        <f>-468.982933528641 -134.935616266956 -303.887803423049</f>
        <v>-907.80635321864611</v>
      </c>
      <c r="R1564" t="s">
        <v>30240</v>
      </c>
      <c r="S1564" t="s">
        <v>30241</v>
      </c>
      <c r="T1564" t="s">
        <v>30242</v>
      </c>
      <c r="U1564" t="s">
        <v>30243</v>
      </c>
      <c r="V1564">
        <f>-580.264097924844 -54.2835403411812 -91.4616681334841</f>
        <v>-726.00930639950923</v>
      </c>
      <c r="W1564" t="s">
        <v>30244</v>
      </c>
      <c r="X1564" t="s">
        <v>30245</v>
      </c>
      <c r="Y1564" t="s">
        <v>30246</v>
      </c>
    </row>
    <row r="1565" spans="1:25" x14ac:dyDescent="0.3">
      <c r="A1565">
        <v>78200</v>
      </c>
      <c r="B1565" t="s">
        <v>30247</v>
      </c>
      <c r="C1565" t="s">
        <v>30248</v>
      </c>
      <c r="D1565" t="s">
        <v>30249</v>
      </c>
      <c r="E1565" t="s">
        <v>30250</v>
      </c>
      <c r="F1565" t="s">
        <v>30251</v>
      </c>
      <c r="G1565" t="s">
        <v>30252</v>
      </c>
      <c r="H1565" t="s">
        <v>30253</v>
      </c>
      <c r="I1565" t="s">
        <v>30254</v>
      </c>
      <c r="J1565" t="s">
        <v>30255</v>
      </c>
      <c r="K1565" t="s">
        <v>30256</v>
      </c>
      <c r="L1565" t="s">
        <v>30257</v>
      </c>
      <c r="M1565" t="s">
        <v>30258</v>
      </c>
      <c r="N1565">
        <f>-649.340895644747 -1.75466046831616 -527.937942647257</f>
        <v>-1179.0334987603201</v>
      </c>
      <c r="O1565">
        <f>-660.543049105251 -155.191577180653 -502.073913553512</f>
        <v>-1317.808539839416</v>
      </c>
      <c r="P1565">
        <f>-679.034017957779 -178.966474603756 -221.589650029733</f>
        <v>-1079.5901425912682</v>
      </c>
      <c r="Q1565">
        <f>-468.546806591027 -133.037299101723 -308.389448202777</f>
        <v>-909.97355389552695</v>
      </c>
      <c r="R1565" t="s">
        <v>30259</v>
      </c>
      <c r="S1565" t="s">
        <v>30260</v>
      </c>
      <c r="T1565" t="s">
        <v>30261</v>
      </c>
      <c r="U1565" t="s">
        <v>30262</v>
      </c>
      <c r="V1565">
        <f>-579.359668705336 -54.8142533579257 -91.4068232890845</f>
        <v>-725.5807453523463</v>
      </c>
      <c r="W1565" t="s">
        <v>30263</v>
      </c>
      <c r="X1565" t="s">
        <v>30264</v>
      </c>
      <c r="Y1565" t="s">
        <v>30265</v>
      </c>
    </row>
    <row r="1566" spans="1:25" x14ac:dyDescent="0.3">
      <c r="A1566">
        <v>78250</v>
      </c>
      <c r="B1566" t="s">
        <v>30266</v>
      </c>
      <c r="C1566" t="s">
        <v>30267</v>
      </c>
      <c r="D1566" t="s">
        <v>30268</v>
      </c>
      <c r="E1566" t="s">
        <v>30269</v>
      </c>
      <c r="F1566" t="s">
        <v>30270</v>
      </c>
      <c r="G1566" t="s">
        <v>30271</v>
      </c>
      <c r="H1566" t="s">
        <v>30272</v>
      </c>
      <c r="I1566" t="s">
        <v>30273</v>
      </c>
      <c r="J1566" t="s">
        <v>30274</v>
      </c>
      <c r="K1566" t="s">
        <v>30275</v>
      </c>
      <c r="L1566" t="s">
        <v>30276</v>
      </c>
      <c r="M1566" t="s">
        <v>30277</v>
      </c>
      <c r="N1566">
        <f>-649.185187586914 -1.45422672734594 -527.912230657687</f>
        <v>-1178.5516449719471</v>
      </c>
      <c r="O1566">
        <f>-660.240088372355 -154.954159018571 -502.362393094012</f>
        <v>-1317.556640484938</v>
      </c>
      <c r="P1566">
        <f>-677.646275586264 -179.731392501101 -221.89547509186</f>
        <v>-1079.2731431792249</v>
      </c>
      <c r="Q1566">
        <f>-468.370121622414 -132.039557538781 -310.650762684996</f>
        <v>-911.060441846191</v>
      </c>
      <c r="R1566" t="s">
        <v>30278</v>
      </c>
      <c r="S1566" t="s">
        <v>30279</v>
      </c>
      <c r="T1566" t="s">
        <v>30280</v>
      </c>
      <c r="U1566" t="s">
        <v>30281</v>
      </c>
      <c r="V1566">
        <f>-578.915330983731 -55.0676434609777 -91.3712621628808</f>
        <v>-725.35423660758954</v>
      </c>
      <c r="W1566" t="s">
        <v>30282</v>
      </c>
      <c r="X1566" t="s">
        <v>30283</v>
      </c>
      <c r="Y1566" t="s">
        <v>30284</v>
      </c>
    </row>
    <row r="1567" spans="1:25" x14ac:dyDescent="0.3">
      <c r="A1567">
        <v>78300</v>
      </c>
      <c r="B1567" t="s">
        <v>30285</v>
      </c>
      <c r="C1567" t="s">
        <v>30286</v>
      </c>
      <c r="D1567" t="s">
        <v>30287</v>
      </c>
      <c r="E1567" t="s">
        <v>30288</v>
      </c>
      <c r="F1567" t="s">
        <v>30289</v>
      </c>
      <c r="G1567" t="s">
        <v>30290</v>
      </c>
      <c r="H1567" t="s">
        <v>30291</v>
      </c>
      <c r="I1567" t="s">
        <v>30292</v>
      </c>
      <c r="J1567" t="s">
        <v>30293</v>
      </c>
      <c r="K1567" t="s">
        <v>30294</v>
      </c>
      <c r="L1567" t="s">
        <v>30295</v>
      </c>
      <c r="M1567" t="s">
        <v>30296</v>
      </c>
      <c r="N1567">
        <f>-648.764600531894 -1.11308696039646 -527.885160710328</f>
        <v>-1177.7628482026184</v>
      </c>
      <c r="O1567">
        <f>-659.461244963388 -154.717823694677 -502.833885458295</f>
        <v>-1317.0129541163601</v>
      </c>
      <c r="P1567">
        <f>-674.381645491526 -181.79390453529 -222.436194133351</f>
        <v>-1078.6117441601671</v>
      </c>
      <c r="Q1567">
        <f>-468.030618820354 -130.045914681389 -315.655966474782</f>
        <v>-913.73249997652511</v>
      </c>
      <c r="R1567" t="s">
        <v>30297</v>
      </c>
      <c r="S1567" t="s">
        <v>30298</v>
      </c>
      <c r="T1567" t="s">
        <v>30299</v>
      </c>
      <c r="U1567" t="s">
        <v>30300</v>
      </c>
      <c r="V1567">
        <f>-578.119387244607 -55.4708233030042 -91.3085923352495</f>
        <v>-724.89880288286065</v>
      </c>
      <c r="W1567" t="s">
        <v>30301</v>
      </c>
      <c r="X1567" t="s">
        <v>30302</v>
      </c>
      <c r="Y1567" t="s">
        <v>30303</v>
      </c>
    </row>
    <row r="1568" spans="1:25" x14ac:dyDescent="0.3">
      <c r="A1568">
        <v>78350</v>
      </c>
      <c r="B1568" t="s">
        <v>30304</v>
      </c>
      <c r="C1568" t="s">
        <v>30305</v>
      </c>
      <c r="D1568" t="s">
        <v>30306</v>
      </c>
      <c r="E1568" t="s">
        <v>30307</v>
      </c>
      <c r="F1568" t="s">
        <v>30308</v>
      </c>
      <c r="G1568" t="s">
        <v>30309</v>
      </c>
      <c r="H1568" t="s">
        <v>30310</v>
      </c>
      <c r="I1568" t="s">
        <v>30311</v>
      </c>
      <c r="J1568" t="s">
        <v>30312</v>
      </c>
      <c r="K1568" t="s">
        <v>30313</v>
      </c>
      <c r="L1568" t="s">
        <v>30314</v>
      </c>
      <c r="M1568" t="s">
        <v>30315</v>
      </c>
      <c r="N1568">
        <f>-648.749854237856 -1.00969267130358 -527.855455514395</f>
        <v>-1177.6150024235544</v>
      </c>
      <c r="O1568">
        <f>-659.359053311418 -154.644867251257 -502.91205728621</f>
        <v>-1316.9159778488849</v>
      </c>
      <c r="P1568">
        <f>-672.222599414639 -182.473164210936 -222.486257282605</f>
        <v>-1077.18202090818</v>
      </c>
      <c r="Q1568">
        <f>-467.687568833425 -129.063181336638 -318.721914739814</f>
        <v>-915.47266490987704</v>
      </c>
      <c r="R1568" t="s">
        <v>30316</v>
      </c>
      <c r="S1568" t="s">
        <v>30317</v>
      </c>
      <c r="T1568" t="s">
        <v>30318</v>
      </c>
      <c r="U1568" t="s">
        <v>30319</v>
      </c>
      <c r="V1568">
        <f>-577.791309815799 -55.6484979690151 -91.2869450801318</f>
        <v>-724.72675286494587</v>
      </c>
      <c r="W1568" t="s">
        <v>30320</v>
      </c>
      <c r="X1568" t="s">
        <v>30321</v>
      </c>
      <c r="Y1568" t="s">
        <v>30322</v>
      </c>
    </row>
    <row r="1569" spans="1:25" x14ac:dyDescent="0.3">
      <c r="A1569">
        <v>78400</v>
      </c>
      <c r="B1569" t="s">
        <v>30323</v>
      </c>
      <c r="C1569" t="s">
        <v>30324</v>
      </c>
      <c r="D1569" t="s">
        <v>30325</v>
      </c>
      <c r="E1569" t="s">
        <v>30326</v>
      </c>
      <c r="F1569" t="s">
        <v>30327</v>
      </c>
      <c r="G1569" t="s">
        <v>30328</v>
      </c>
      <c r="H1569" t="s">
        <v>30329</v>
      </c>
      <c r="I1569" t="s">
        <v>30330</v>
      </c>
      <c r="J1569" t="s">
        <v>30331</v>
      </c>
      <c r="K1569" t="s">
        <v>30332</v>
      </c>
      <c r="L1569" t="s">
        <v>30333</v>
      </c>
      <c r="M1569" t="s">
        <v>30334</v>
      </c>
      <c r="N1569">
        <f>-648.977160043542 -0.920312878692357 -527.744619047518</f>
        <v>-1177.6420919697523</v>
      </c>
      <c r="O1569">
        <f>-659.544532842884 -154.575576810611 -502.914354211502</f>
        <v>-1317.034463864997</v>
      </c>
      <c r="P1569">
        <f>-667.098429929084 -183.797413742923 -222.436879848945</f>
        <v>-1073.332723520952</v>
      </c>
      <c r="Q1569">
        <f>-466.685707104787 -128.034347496818 -325.750762954682</f>
        <v>-920.47081755628687</v>
      </c>
      <c r="R1569" t="s">
        <v>30335</v>
      </c>
      <c r="S1569" t="s">
        <v>30336</v>
      </c>
      <c r="T1569" t="s">
        <v>30337</v>
      </c>
      <c r="U1569" t="s">
        <v>30338</v>
      </c>
      <c r="V1569">
        <f>-577.4035554855 -55.9500862617381 -91.2388833072816</f>
        <v>-724.59252505451968</v>
      </c>
      <c r="W1569" t="s">
        <v>30339</v>
      </c>
      <c r="X1569" t="s">
        <v>30340</v>
      </c>
      <c r="Y1569" t="s">
        <v>30341</v>
      </c>
    </row>
    <row r="1570" spans="1:25" x14ac:dyDescent="0.3">
      <c r="A1570">
        <v>78450</v>
      </c>
      <c r="B1570" t="s">
        <v>30342</v>
      </c>
      <c r="C1570" t="s">
        <v>30343</v>
      </c>
      <c r="D1570" t="s">
        <v>30344</v>
      </c>
      <c r="E1570" t="s">
        <v>30345</v>
      </c>
      <c r="F1570" t="s">
        <v>30346</v>
      </c>
      <c r="G1570" t="s">
        <v>30347</v>
      </c>
      <c r="H1570" t="s">
        <v>30348</v>
      </c>
      <c r="I1570" t="s">
        <v>30349</v>
      </c>
      <c r="J1570" t="s">
        <v>30350</v>
      </c>
      <c r="K1570" t="s">
        <v>30351</v>
      </c>
      <c r="L1570" t="s">
        <v>30352</v>
      </c>
      <c r="M1570" t="s">
        <v>30353</v>
      </c>
      <c r="N1570">
        <f>-648.953928627761 -0.812809441541503 -527.733515648809</f>
        <v>-1177.5002537181115</v>
      </c>
      <c r="O1570">
        <f>-659.519249733976 -154.482548723456 -502.935958041731</f>
        <v>-1316.937756499163</v>
      </c>
      <c r="P1570">
        <f>-664.031956197675 -184.338775236476 -222.459949138751</f>
        <v>-1070.8306805729019</v>
      </c>
      <c r="Q1570">
        <f>-466.088619117742 -127.651645186049 -329.947468996473</f>
        <v>-923.68773330026397</v>
      </c>
      <c r="R1570" t="s">
        <v>30354</v>
      </c>
      <c r="S1570" t="s">
        <v>30355</v>
      </c>
      <c r="T1570" t="s">
        <v>30356</v>
      </c>
      <c r="U1570" t="s">
        <v>30357</v>
      </c>
      <c r="V1570">
        <f>-577.328418705327 -55.9723133344671 -91.2148804832509</f>
        <v>-724.51561252304498</v>
      </c>
      <c r="W1570" t="s">
        <v>30358</v>
      </c>
      <c r="X1570" t="s">
        <v>30359</v>
      </c>
      <c r="Y1570" t="s">
        <v>30360</v>
      </c>
    </row>
    <row r="1571" spans="1:25" x14ac:dyDescent="0.3">
      <c r="A1571">
        <v>78500</v>
      </c>
      <c r="B1571" t="s">
        <v>30361</v>
      </c>
      <c r="C1571" t="s">
        <v>30362</v>
      </c>
      <c r="D1571" t="s">
        <v>30363</v>
      </c>
      <c r="E1571" t="s">
        <v>30364</v>
      </c>
      <c r="F1571" t="s">
        <v>30365</v>
      </c>
      <c r="G1571" t="s">
        <v>30366</v>
      </c>
      <c r="H1571" t="s">
        <v>30367</v>
      </c>
      <c r="I1571" t="s">
        <v>30368</v>
      </c>
      <c r="J1571" t="s">
        <v>30369</v>
      </c>
      <c r="K1571" t="s">
        <v>30370</v>
      </c>
      <c r="L1571" t="s">
        <v>30371</v>
      </c>
      <c r="M1571" t="s">
        <v>30372</v>
      </c>
      <c r="N1571">
        <f>-648.792307991858 -0.754141033453607 -527.802541147072</f>
        <v>-1177.3489901723838</v>
      </c>
      <c r="O1571">
        <f>-659.573346763611 -154.417066998358 -503.108797013004</f>
        <v>-1317.099210774973</v>
      </c>
      <c r="P1571">
        <f>-657.462141708686 -185.809357914108 -222.772252473969</f>
        <v>-1066.043752096763</v>
      </c>
      <c r="Q1571">
        <f>-465.403655602329 -127.230362062611 -339.52232574532</f>
        <v>-932.15634341026009</v>
      </c>
      <c r="R1571" t="s">
        <v>30373</v>
      </c>
      <c r="S1571" t="s">
        <v>30374</v>
      </c>
      <c r="T1571" t="s">
        <v>30375</v>
      </c>
      <c r="U1571" t="s">
        <v>30376</v>
      </c>
      <c r="V1571">
        <f>-577.370394691486 -56.1567173550966 -91.1941281092535</f>
        <v>-724.72124015583609</v>
      </c>
      <c r="W1571" t="s">
        <v>30377</v>
      </c>
      <c r="X1571" t="s">
        <v>30378</v>
      </c>
      <c r="Y1571" t="s">
        <v>30379</v>
      </c>
    </row>
    <row r="1572" spans="1:25" x14ac:dyDescent="0.3">
      <c r="A1572">
        <v>78550</v>
      </c>
      <c r="B1572" t="s">
        <v>30380</v>
      </c>
      <c r="C1572" t="s">
        <v>30381</v>
      </c>
      <c r="D1572" t="s">
        <v>30382</v>
      </c>
      <c r="E1572" t="s">
        <v>30383</v>
      </c>
      <c r="F1572" t="s">
        <v>30384</v>
      </c>
      <c r="G1572" t="s">
        <v>30385</v>
      </c>
      <c r="H1572" t="s">
        <v>30386</v>
      </c>
      <c r="I1572" t="s">
        <v>30387</v>
      </c>
      <c r="J1572" t="s">
        <v>30388</v>
      </c>
      <c r="K1572" t="s">
        <v>30389</v>
      </c>
      <c r="L1572" t="s">
        <v>30390</v>
      </c>
      <c r="M1572" t="s">
        <v>30391</v>
      </c>
      <c r="N1572">
        <f>-648.857774797273 -0.780605074927735 -527.797041724734</f>
        <v>-1177.4354215969347</v>
      </c>
      <c r="O1572">
        <f>-659.781035663544 -154.433405689755 -503.107005680394</f>
        <v>-1317.3214470336929</v>
      </c>
      <c r="P1572">
        <f>-654.078465962964 -186.67596935476 -222.916981243765</f>
        <v>-1063.671416561489</v>
      </c>
      <c r="Q1572">
        <f>-465.079812265048 -127.170575434127 -344.107364486925</f>
        <v>-936.35775218610002</v>
      </c>
      <c r="R1572" t="s">
        <v>30392</v>
      </c>
      <c r="S1572" t="s">
        <v>30393</v>
      </c>
      <c r="T1572" t="s">
        <v>30394</v>
      </c>
      <c r="U1572" t="s">
        <v>30395</v>
      </c>
      <c r="V1572">
        <f>-577.379257019194 -56.2371915916617 -91.188554992691</f>
        <v>-724.80500360354677</v>
      </c>
      <c r="W1572" t="s">
        <v>30396</v>
      </c>
      <c r="X1572" t="s">
        <v>30397</v>
      </c>
      <c r="Y1572" t="s">
        <v>30398</v>
      </c>
    </row>
    <row r="1573" spans="1:25" x14ac:dyDescent="0.3">
      <c r="A1573">
        <v>78600</v>
      </c>
      <c r="B1573" t="s">
        <v>30399</v>
      </c>
      <c r="C1573" t="s">
        <v>30400</v>
      </c>
      <c r="D1573" t="s">
        <v>30401</v>
      </c>
      <c r="E1573" t="s">
        <v>30402</v>
      </c>
      <c r="F1573" t="s">
        <v>30403</v>
      </c>
      <c r="G1573" t="s">
        <v>30404</v>
      </c>
      <c r="H1573" t="s">
        <v>30405</v>
      </c>
      <c r="I1573" t="s">
        <v>30406</v>
      </c>
      <c r="J1573" t="s">
        <v>30407</v>
      </c>
      <c r="K1573" t="s">
        <v>30408</v>
      </c>
      <c r="L1573" t="s">
        <v>30409</v>
      </c>
      <c r="M1573" t="s">
        <v>30410</v>
      </c>
      <c r="N1573">
        <f>-649.235266148648 -0.854134855213488 -527.786210376929</f>
        <v>-1177.8756113807904</v>
      </c>
      <c r="O1573">
        <f>-660.446986152217 -154.477320466596 -503.044054417541</f>
        <v>-1317.9683610363541</v>
      </c>
      <c r="P1573">
        <f>-647.188180518487 -188.13692881351 -223.276638812912</f>
        <v>-1058.6017481449092</v>
      </c>
      <c r="Q1573">
        <f>-464.142328229023 -126.753565524207 -352.407671897591</f>
        <v>-943.30356565082093</v>
      </c>
      <c r="R1573" t="s">
        <v>30411</v>
      </c>
      <c r="S1573" t="s">
        <v>30412</v>
      </c>
      <c r="T1573" t="s">
        <v>30413</v>
      </c>
      <c r="U1573" t="s">
        <v>30414</v>
      </c>
      <c r="V1573">
        <f>-577.421631593771 -56.3763321066551 -91.1805619736963</f>
        <v>-724.97852567412247</v>
      </c>
      <c r="W1573" t="s">
        <v>30415</v>
      </c>
      <c r="X1573" t="s">
        <v>30416</v>
      </c>
      <c r="Y1573" t="s">
        <v>30417</v>
      </c>
    </row>
    <row r="1574" spans="1:25" x14ac:dyDescent="0.3">
      <c r="A1574">
        <v>78650</v>
      </c>
      <c r="B1574" t="s">
        <v>30418</v>
      </c>
      <c r="C1574" t="s">
        <v>30419</v>
      </c>
      <c r="D1574" t="s">
        <v>30420</v>
      </c>
      <c r="E1574" t="s">
        <v>30421</v>
      </c>
      <c r="F1574" t="s">
        <v>30422</v>
      </c>
      <c r="G1574" t="s">
        <v>30423</v>
      </c>
      <c r="H1574" t="s">
        <v>30424</v>
      </c>
      <c r="I1574" t="s">
        <v>30425</v>
      </c>
      <c r="J1574" t="s">
        <v>30426</v>
      </c>
      <c r="K1574" t="s">
        <v>30427</v>
      </c>
      <c r="L1574" t="s">
        <v>30428</v>
      </c>
      <c r="M1574" t="s">
        <v>30429</v>
      </c>
      <c r="N1574">
        <f>-649.545260270703 -0.856510156523655 -527.774831703261</f>
        <v>-1178.1766021304877</v>
      </c>
      <c r="O1574">
        <f>-660.884323918468 -154.465692532729 -502.988981195786</f>
        <v>-1318.338997646983</v>
      </c>
      <c r="P1574">
        <f>-643.936652446932 -188.127506084096 -223.420908398142</f>
        <v>-1055.48506692917</v>
      </c>
      <c r="Q1574">
        <f>-463.650694065495 -126.113382196801 -356.085020889984</f>
        <v>-945.84909715227991</v>
      </c>
      <c r="R1574" t="s">
        <v>30430</v>
      </c>
      <c r="S1574" t="s">
        <v>30431</v>
      </c>
      <c r="T1574" t="s">
        <v>30432</v>
      </c>
      <c r="U1574" t="s">
        <v>30433</v>
      </c>
      <c r="V1574">
        <f>-577.417168564926 -56.4299003242406 -91.1817316466773</f>
        <v>-725.02880053584397</v>
      </c>
      <c r="W1574" t="s">
        <v>30434</v>
      </c>
      <c r="X1574" t="s">
        <v>30435</v>
      </c>
      <c r="Y1574" t="s">
        <v>30436</v>
      </c>
    </row>
    <row r="1575" spans="1:25" x14ac:dyDescent="0.3">
      <c r="A1575">
        <v>78700</v>
      </c>
      <c r="B1575" t="s">
        <v>30437</v>
      </c>
      <c r="C1575" t="s">
        <v>30438</v>
      </c>
      <c r="D1575" t="s">
        <v>30439</v>
      </c>
      <c r="E1575" t="s">
        <v>30440</v>
      </c>
      <c r="F1575" t="s">
        <v>30441</v>
      </c>
      <c r="G1575" t="s">
        <v>30442</v>
      </c>
      <c r="H1575" t="s">
        <v>30443</v>
      </c>
      <c r="I1575" t="s">
        <v>30444</v>
      </c>
      <c r="J1575" t="s">
        <v>30445</v>
      </c>
      <c r="K1575" t="s">
        <v>30446</v>
      </c>
      <c r="L1575" t="s">
        <v>30447</v>
      </c>
      <c r="M1575" t="s">
        <v>30448</v>
      </c>
      <c r="N1575">
        <f>-650.237780473583 -0.907722341016097 -527.704053919207</f>
        <v>-1178.8495567338061</v>
      </c>
      <c r="O1575">
        <f>-661.795953529215 -154.500454001944 -502.938317363979</f>
        <v>-1319.234724895138</v>
      </c>
      <c r="P1575">
        <f>-637.995343684993 -188.289424496377 -223.885660798037</f>
        <v>-1050.170428979407</v>
      </c>
      <c r="Q1575">
        <f>-462.712843214869 -124.313134941098 -362.20274276907</f>
        <v>-949.22872092503701</v>
      </c>
      <c r="R1575" t="s">
        <v>30449</v>
      </c>
      <c r="S1575" t="s">
        <v>30450</v>
      </c>
      <c r="T1575" t="s">
        <v>30451</v>
      </c>
      <c r="U1575" t="s">
        <v>30452</v>
      </c>
      <c r="V1575">
        <f>-577.352319151651 -56.5284445284774 -91.1985751456008</f>
        <v>-725.07933882572922</v>
      </c>
      <c r="W1575" t="s">
        <v>30453</v>
      </c>
      <c r="X1575" t="s">
        <v>30454</v>
      </c>
      <c r="Y1575" t="s">
        <v>30455</v>
      </c>
    </row>
    <row r="1576" spans="1:25" x14ac:dyDescent="0.3">
      <c r="A1576">
        <v>78750</v>
      </c>
      <c r="B1576" t="s">
        <v>30456</v>
      </c>
      <c r="C1576" t="s">
        <v>30457</v>
      </c>
      <c r="D1576" t="s">
        <v>30458</v>
      </c>
      <c r="E1576" t="s">
        <v>30459</v>
      </c>
      <c r="F1576" t="s">
        <v>30460</v>
      </c>
      <c r="G1576" t="s">
        <v>30461</v>
      </c>
      <c r="H1576" t="s">
        <v>30462</v>
      </c>
      <c r="I1576" t="s">
        <v>30463</v>
      </c>
      <c r="J1576" t="s">
        <v>30464</v>
      </c>
      <c r="K1576" t="s">
        <v>30465</v>
      </c>
      <c r="L1576" t="s">
        <v>30466</v>
      </c>
      <c r="M1576" t="s">
        <v>30467</v>
      </c>
      <c r="N1576">
        <f>-650.482996824348 -0.992173489629977 -527.701609951216</f>
        <v>-1179.1767802651939</v>
      </c>
      <c r="O1576">
        <f>-662.155737323051 -154.574402984613 -502.939457376234</f>
        <v>-1319.669597683898</v>
      </c>
      <c r="P1576">
        <f>-634.984137962937 -188.481851951809 -224.209285004421</f>
        <v>-1047.6752749191669</v>
      </c>
      <c r="Q1576">
        <f>-462.217085465003 -123.228651954237 -365.071246607844</f>
        <v>-950.51698402708394</v>
      </c>
      <c r="R1576" t="s">
        <v>30468</v>
      </c>
      <c r="S1576" t="s">
        <v>30469</v>
      </c>
      <c r="T1576" t="s">
        <v>30470</v>
      </c>
      <c r="U1576" t="s">
        <v>30471</v>
      </c>
      <c r="V1576">
        <f>-577.35056037335 -56.7275582654709 -91.2114920642947</f>
        <v>-725.28961070311561</v>
      </c>
      <c r="W1576" t="s">
        <v>30472</v>
      </c>
      <c r="X1576" t="s">
        <v>30473</v>
      </c>
      <c r="Y1576" t="s">
        <v>30474</v>
      </c>
    </row>
    <row r="1577" spans="1:25" x14ac:dyDescent="0.3">
      <c r="A1577">
        <v>78800</v>
      </c>
      <c r="B1577" t="s">
        <v>30475</v>
      </c>
      <c r="C1577" t="s">
        <v>30476</v>
      </c>
      <c r="D1577" t="s">
        <v>30477</v>
      </c>
      <c r="E1577" t="s">
        <v>30478</v>
      </c>
      <c r="F1577" t="s">
        <v>30479</v>
      </c>
      <c r="G1577" t="s">
        <v>30480</v>
      </c>
      <c r="H1577" t="s">
        <v>30481</v>
      </c>
      <c r="I1577" t="s">
        <v>30482</v>
      </c>
      <c r="J1577" t="s">
        <v>30483</v>
      </c>
      <c r="K1577" t="s">
        <v>30484</v>
      </c>
      <c r="L1577" t="s">
        <v>30485</v>
      </c>
      <c r="M1577" t="s">
        <v>30486</v>
      </c>
      <c r="N1577">
        <f>-651.013313522459 -1.17033117706842 -527.704388193168</f>
        <v>-1179.8880328926955</v>
      </c>
      <c r="O1577">
        <f>-662.709939576562 -154.761869369413 -502.958523476437</f>
        <v>-1320.430332422412</v>
      </c>
      <c r="P1577">
        <f>-629.416367525482 -188.665947208313 -224.892710047208</f>
        <v>-1042.975024781003</v>
      </c>
      <c r="Q1577">
        <f>-461.164668306444 -121.072248950097 -370.051086291165</f>
        <v>-952.28800354770601</v>
      </c>
      <c r="R1577" t="s">
        <v>30487</v>
      </c>
      <c r="S1577" t="s">
        <v>30488</v>
      </c>
      <c r="T1577" t="s">
        <v>30489</v>
      </c>
      <c r="U1577" t="s">
        <v>30490</v>
      </c>
      <c r="V1577">
        <f>-577.450344839733 -57.1100213628938 -91.2430203408493</f>
        <v>-725.80338654347611</v>
      </c>
      <c r="W1577" t="s">
        <v>30491</v>
      </c>
      <c r="X1577" t="s">
        <v>30492</v>
      </c>
      <c r="Y1577" t="s">
        <v>30493</v>
      </c>
    </row>
    <row r="1578" spans="1:25" x14ac:dyDescent="0.3">
      <c r="A1578">
        <v>78850</v>
      </c>
      <c r="B1578" t="s">
        <v>30494</v>
      </c>
      <c r="C1578" t="s">
        <v>30495</v>
      </c>
      <c r="D1578" t="s">
        <v>30496</v>
      </c>
      <c r="E1578" t="s">
        <v>30497</v>
      </c>
      <c r="F1578" t="s">
        <v>30498</v>
      </c>
      <c r="G1578" t="s">
        <v>30499</v>
      </c>
      <c r="H1578" t="s">
        <v>30500</v>
      </c>
      <c r="I1578" t="s">
        <v>30501</v>
      </c>
      <c r="J1578" t="s">
        <v>30502</v>
      </c>
      <c r="K1578" t="s">
        <v>30503</v>
      </c>
      <c r="L1578" t="s">
        <v>30504</v>
      </c>
      <c r="M1578" t="s">
        <v>30505</v>
      </c>
      <c r="N1578">
        <f>-651.196442870434 -1.16196926025873 -527.728738622578</f>
        <v>-1180.0871507532706</v>
      </c>
      <c r="O1578">
        <f>-662.845916042788 -154.764983213204 -503.033724765108</f>
        <v>-1320.6446240210998</v>
      </c>
      <c r="P1578">
        <f>-627.180177253324 -188.582921486746 -225.251570140355</f>
        <v>-1041.014668880425</v>
      </c>
      <c r="Q1578">
        <f>-460.599229472082 -120.324768506648 -372.01723264016</f>
        <v>-952.9412306188899</v>
      </c>
      <c r="R1578" t="s">
        <v>30506</v>
      </c>
      <c r="S1578" t="s">
        <v>30507</v>
      </c>
      <c r="T1578" t="s">
        <v>30508</v>
      </c>
      <c r="U1578" t="s">
        <v>30509</v>
      </c>
      <c r="V1578">
        <f>-577.552226234214 -57.2767936610167 -91.2601918481826</f>
        <v>-726.08921174341322</v>
      </c>
      <c r="W1578" t="s">
        <v>30510</v>
      </c>
      <c r="X1578" t="s">
        <v>30511</v>
      </c>
      <c r="Y1578" t="s">
        <v>30512</v>
      </c>
    </row>
    <row r="1579" spans="1:25" x14ac:dyDescent="0.3">
      <c r="A1579">
        <v>78900</v>
      </c>
      <c r="B1579" t="s">
        <v>30513</v>
      </c>
      <c r="C1579" t="s">
        <v>30514</v>
      </c>
      <c r="D1579" t="s">
        <v>30515</v>
      </c>
      <c r="E1579" t="s">
        <v>30516</v>
      </c>
      <c r="F1579" t="s">
        <v>30517</v>
      </c>
      <c r="G1579" t="s">
        <v>30518</v>
      </c>
      <c r="H1579" t="s">
        <v>30519</v>
      </c>
      <c r="I1579" t="s">
        <v>30520</v>
      </c>
      <c r="J1579" t="s">
        <v>30521</v>
      </c>
      <c r="K1579" t="s">
        <v>30522</v>
      </c>
      <c r="L1579" t="s">
        <v>30523</v>
      </c>
      <c r="M1579" t="s">
        <v>30524</v>
      </c>
      <c r="N1579">
        <f>-651.313233631355 -1.08776249377161 -527.797945192815</f>
        <v>-1180.1989413179417</v>
      </c>
      <c r="O1579">
        <f>-662.804956595267 -154.729267055451 -503.256076167102</f>
        <v>-1320.7902998178199</v>
      </c>
      <c r="P1579">
        <f>-623.265287869681 -187.904209499457 -225.921150328099</f>
        <v>-1037.090647697237</v>
      </c>
      <c r="Q1579">
        <f>-458.94761886233 -119.261825944005 -375.040082738348</f>
        <v>-953.24952754468302</v>
      </c>
      <c r="R1579" t="s">
        <v>30525</v>
      </c>
      <c r="S1579" t="s">
        <v>30526</v>
      </c>
      <c r="T1579" t="s">
        <v>30527</v>
      </c>
      <c r="U1579" t="s">
        <v>30528</v>
      </c>
      <c r="V1579">
        <f>-577.717742499285 -57.4800575008205 -91.2810300107848</f>
        <v>-726.47883001089031</v>
      </c>
      <c r="W1579" t="s">
        <v>30529</v>
      </c>
      <c r="X1579" t="s">
        <v>30530</v>
      </c>
      <c r="Y1579" t="s">
        <v>30531</v>
      </c>
    </row>
    <row r="1580" spans="1:25" x14ac:dyDescent="0.3">
      <c r="A1580">
        <v>78950</v>
      </c>
      <c r="B1580" t="s">
        <v>30532</v>
      </c>
      <c r="C1580" t="s">
        <v>30533</v>
      </c>
      <c r="D1580" t="s">
        <v>30534</v>
      </c>
      <c r="E1580" t="s">
        <v>30535</v>
      </c>
      <c r="F1580" t="s">
        <v>30536</v>
      </c>
      <c r="G1580" t="s">
        <v>30537</v>
      </c>
      <c r="H1580" t="s">
        <v>30538</v>
      </c>
      <c r="I1580" t="s">
        <v>30539</v>
      </c>
      <c r="J1580" t="s">
        <v>30540</v>
      </c>
      <c r="K1580" t="s">
        <v>30541</v>
      </c>
      <c r="L1580" t="s">
        <v>30542</v>
      </c>
      <c r="M1580" t="s">
        <v>30543</v>
      </c>
      <c r="N1580">
        <f>-651.308491407206 -0.913427892189929 -527.834622615917</f>
        <v>-1180.0565419153131</v>
      </c>
      <c r="O1580">
        <f>-662.709969271788 -154.568887268474 -503.364232121093</f>
        <v>-1320.643088661355</v>
      </c>
      <c r="P1580">
        <f>-621.771540135216 -187.488245392155 -226.201960088313</f>
        <v>-1035.4617456156841</v>
      </c>
      <c r="Q1580">
        <f>-457.825641951315 -118.905650985575 -375.756924252872</f>
        <v>-952.48821718976205</v>
      </c>
      <c r="R1580" t="s">
        <v>30544</v>
      </c>
      <c r="S1580" t="s">
        <v>30545</v>
      </c>
      <c r="T1580" t="s">
        <v>30546</v>
      </c>
      <c r="U1580" t="s">
        <v>30547</v>
      </c>
      <c r="V1580">
        <f>-577.783159069164 -57.4651698832818 -91.2834450644699</f>
        <v>-726.53177401691562</v>
      </c>
      <c r="W1580" t="s">
        <v>30548</v>
      </c>
      <c r="X1580" t="s">
        <v>30549</v>
      </c>
      <c r="Y1580" t="s">
        <v>30550</v>
      </c>
    </row>
    <row r="1581" spans="1:25" x14ac:dyDescent="0.3">
      <c r="A1581">
        <v>79000</v>
      </c>
      <c r="B1581" t="s">
        <v>30551</v>
      </c>
      <c r="C1581" t="s">
        <v>30552</v>
      </c>
      <c r="D1581" t="s">
        <v>30553</v>
      </c>
      <c r="E1581" t="s">
        <v>30554</v>
      </c>
      <c r="F1581" t="s">
        <v>30555</v>
      </c>
      <c r="G1581" t="s">
        <v>30556</v>
      </c>
      <c r="H1581" t="s">
        <v>30557</v>
      </c>
      <c r="I1581" t="s">
        <v>30558</v>
      </c>
      <c r="J1581" t="s">
        <v>30559</v>
      </c>
      <c r="K1581" t="s">
        <v>30560</v>
      </c>
      <c r="L1581" t="s">
        <v>30561</v>
      </c>
      <c r="M1581" t="s">
        <v>30562</v>
      </c>
      <c r="N1581">
        <f>-651.251279815345 -0.459235896352084 -527.826450037276</f>
        <v>-1179.5369657489732</v>
      </c>
      <c r="O1581">
        <f>-662.327893955668 -154.160958052149 -503.534280802947</f>
        <v>-1320.0231328107639</v>
      </c>
      <c r="P1581">
        <f>-619.760601902839 -186.845160626619 -226.589713832481</f>
        <v>-1033.195476361939</v>
      </c>
      <c r="Q1581">
        <f>-456.216784210833 -117.705495363837 -376.328232461882</f>
        <v>-950.25051203655198</v>
      </c>
      <c r="R1581" t="s">
        <v>30563</v>
      </c>
      <c r="S1581" t="s">
        <v>30564</v>
      </c>
      <c r="T1581" t="s">
        <v>30565</v>
      </c>
      <c r="U1581" t="s">
        <v>30566</v>
      </c>
      <c r="V1581">
        <f>-577.678021391264 -57.2095677560808 -91.23654440813</f>
        <v>-726.12413355547483</v>
      </c>
      <c r="W1581" t="s">
        <v>30567</v>
      </c>
      <c r="X1581" t="s">
        <v>30568</v>
      </c>
      <c r="Y1581" t="s">
        <v>30569</v>
      </c>
    </row>
    <row r="1582" spans="1:25" x14ac:dyDescent="0.3">
      <c r="A1582">
        <v>79050</v>
      </c>
      <c r="B1582" t="s">
        <v>30570</v>
      </c>
      <c r="C1582" t="s">
        <v>30571</v>
      </c>
      <c r="D1582" t="s">
        <v>30572</v>
      </c>
      <c r="E1582" t="s">
        <v>30573</v>
      </c>
      <c r="F1582" t="s">
        <v>30574</v>
      </c>
      <c r="G1582" t="s">
        <v>30575</v>
      </c>
      <c r="H1582" t="s">
        <v>30576</v>
      </c>
      <c r="I1582" t="s">
        <v>30577</v>
      </c>
      <c r="J1582" t="s">
        <v>30578</v>
      </c>
      <c r="K1582" t="s">
        <v>30579</v>
      </c>
      <c r="L1582" t="s">
        <v>30580</v>
      </c>
      <c r="M1582" t="s">
        <v>30581</v>
      </c>
      <c r="N1582">
        <f>-651.1290190822 -0.147955369984402 -527.8092420585</f>
        <v>-1179.0862165106844</v>
      </c>
      <c r="O1582">
        <f>-662.090410936466 -153.877900561248 -503.603859721344</f>
        <v>-1319.572171219058</v>
      </c>
      <c r="P1582">
        <f>-618.864871666862 -186.369654833768 -226.738552076079</f>
        <v>-1031.973078576709</v>
      </c>
      <c r="Q1582">
        <f>-456.055677200362 -116.308831651389 -376.84910698514</f>
        <v>-949.21361583689099</v>
      </c>
      <c r="R1582" t="s">
        <v>30582</v>
      </c>
      <c r="S1582" t="s">
        <v>30583</v>
      </c>
      <c r="T1582" t="s">
        <v>30584</v>
      </c>
      <c r="U1582" t="s">
        <v>30585</v>
      </c>
      <c r="V1582">
        <f>-577.53163848459 -57.0199316975034 -91.1913073024507</f>
        <v>-725.74287748454401</v>
      </c>
      <c r="W1582" t="s">
        <v>30586</v>
      </c>
      <c r="X1582" t="s">
        <v>30587</v>
      </c>
      <c r="Y1582" t="s">
        <v>30588</v>
      </c>
    </row>
    <row r="1583" spans="1:25" x14ac:dyDescent="0.3">
      <c r="A1583">
        <v>79100</v>
      </c>
      <c r="B1583" t="s">
        <v>30589</v>
      </c>
      <c r="C1583" t="s">
        <v>30590</v>
      </c>
      <c r="D1583" t="s">
        <v>30591</v>
      </c>
      <c r="E1583" t="s">
        <v>30592</v>
      </c>
      <c r="F1583" t="s">
        <v>30593</v>
      </c>
      <c r="G1583" t="s">
        <v>30594</v>
      </c>
      <c r="H1583" t="s">
        <v>30595</v>
      </c>
      <c r="I1583" t="s">
        <v>30596</v>
      </c>
      <c r="J1583" t="s">
        <v>30597</v>
      </c>
      <c r="K1583" t="s">
        <v>30598</v>
      </c>
      <c r="L1583" t="s">
        <v>30599</v>
      </c>
      <c r="M1583" t="s">
        <v>30600</v>
      </c>
      <c r="N1583" t="s">
        <v>30601</v>
      </c>
      <c r="O1583">
        <f>-661.795273770043 -153.281714352788 -503.77790996036</f>
        <v>-1318.8548980831908</v>
      </c>
      <c r="P1583">
        <f>-617.175444201646 -185.721405133369 -227.127660003105</f>
        <v>-1030.02450933812</v>
      </c>
      <c r="Q1583">
        <f>-456.301896453601 -113.203268586723 -378.155356250181</f>
        <v>-947.6605212905049</v>
      </c>
      <c r="R1583" t="s">
        <v>30602</v>
      </c>
      <c r="S1583" t="s">
        <v>30603</v>
      </c>
      <c r="T1583" t="s">
        <v>30604</v>
      </c>
      <c r="U1583" t="s">
        <v>30605</v>
      </c>
      <c r="V1583">
        <f>-577.198392402779 -56.6752748178947 -91.1266329470036</f>
        <v>-725.00030016767721</v>
      </c>
      <c r="W1583" t="s">
        <v>30606</v>
      </c>
      <c r="X1583" t="s">
        <v>30607</v>
      </c>
      <c r="Y1583" t="s">
        <v>30608</v>
      </c>
    </row>
    <row r="1584" spans="1:25" x14ac:dyDescent="0.3">
      <c r="A1584">
        <v>79150</v>
      </c>
      <c r="B1584" t="s">
        <v>30609</v>
      </c>
      <c r="C1584" t="s">
        <v>30610</v>
      </c>
      <c r="D1584" t="s">
        <v>30611</v>
      </c>
      <c r="E1584" t="s">
        <v>30612</v>
      </c>
      <c r="F1584" t="s">
        <v>30613</v>
      </c>
      <c r="G1584" t="s">
        <v>30614</v>
      </c>
      <c r="H1584" t="s">
        <v>30615</v>
      </c>
      <c r="I1584" t="s">
        <v>30616</v>
      </c>
      <c r="J1584" t="s">
        <v>30617</v>
      </c>
      <c r="K1584" t="s">
        <v>30618</v>
      </c>
      <c r="L1584" t="s">
        <v>30619</v>
      </c>
      <c r="M1584" t="s">
        <v>30620</v>
      </c>
      <c r="N1584" t="s">
        <v>30621</v>
      </c>
      <c r="O1584">
        <f>-661.82748576809 -152.995174513427 -503.794409223546</f>
        <v>-1318.617069505063</v>
      </c>
      <c r="P1584">
        <f>-616.638763362716 -185.332230470261 -227.224579384426</f>
        <v>-1029.1955732174031</v>
      </c>
      <c r="Q1584">
        <f>-456.455382300952 -112.015607762478 -378.599778405603</f>
        <v>-947.07076846903306</v>
      </c>
      <c r="R1584" t="s">
        <v>30622</v>
      </c>
      <c r="S1584" t="s">
        <v>30623</v>
      </c>
      <c r="T1584" t="s">
        <v>30624</v>
      </c>
      <c r="U1584" t="s">
        <v>30625</v>
      </c>
      <c r="V1584">
        <f>-576.993867228445 -56.5137617311327 -91.103878272948</f>
        <v>-724.6115072325257</v>
      </c>
      <c r="W1584" t="s">
        <v>30626</v>
      </c>
      <c r="X1584" t="s">
        <v>30627</v>
      </c>
      <c r="Y1584" t="s">
        <v>30628</v>
      </c>
    </row>
    <row r="1585" spans="1:25" x14ac:dyDescent="0.3">
      <c r="A1585">
        <v>79200</v>
      </c>
      <c r="B1585" t="s">
        <v>30629</v>
      </c>
      <c r="C1585" t="s">
        <v>30630</v>
      </c>
      <c r="D1585" t="s">
        <v>30631</v>
      </c>
      <c r="E1585" t="s">
        <v>30632</v>
      </c>
      <c r="F1585" t="s">
        <v>30633</v>
      </c>
      <c r="G1585" t="s">
        <v>30634</v>
      </c>
      <c r="H1585" t="s">
        <v>30635</v>
      </c>
      <c r="I1585" t="s">
        <v>30636</v>
      </c>
      <c r="J1585" t="s">
        <v>30637</v>
      </c>
      <c r="K1585" t="s">
        <v>30638</v>
      </c>
      <c r="L1585" t="s">
        <v>30639</v>
      </c>
      <c r="M1585" t="s">
        <v>30640</v>
      </c>
      <c r="N1585" t="s">
        <v>30641</v>
      </c>
      <c r="O1585">
        <f>-661.64416458795 -152.502626181363 -503.6967670098</f>
        <v>-1317.8435577791129</v>
      </c>
      <c r="P1585">
        <f>-615.659383665001 -184.569927362857 -227.2268278378</f>
        <v>-1027.456138865658</v>
      </c>
      <c r="Q1585">
        <f>-456.555673801552 -110.18482625444 -379.218273362048</f>
        <v>-945.95877341803998</v>
      </c>
      <c r="R1585" t="s">
        <v>30642</v>
      </c>
      <c r="S1585" t="s">
        <v>30643</v>
      </c>
      <c r="T1585" t="s">
        <v>30644</v>
      </c>
      <c r="U1585" t="s">
        <v>30645</v>
      </c>
      <c r="V1585">
        <f>-576.468288552722 -56.3375762946537 -91.0551294817388</f>
        <v>-723.86099432911453</v>
      </c>
      <c r="W1585" t="s">
        <v>30646</v>
      </c>
      <c r="X1585" t="s">
        <v>30647</v>
      </c>
      <c r="Y1585" t="s">
        <v>30648</v>
      </c>
    </row>
    <row r="1586" spans="1:25" x14ac:dyDescent="0.3">
      <c r="A1586">
        <v>79250</v>
      </c>
      <c r="B1586" t="s">
        <v>30649</v>
      </c>
      <c r="C1586" t="s">
        <v>30650</v>
      </c>
      <c r="D1586" t="s">
        <v>30651</v>
      </c>
      <c r="E1586" t="s">
        <v>30652</v>
      </c>
      <c r="F1586" t="s">
        <v>30653</v>
      </c>
      <c r="G1586" t="s">
        <v>30654</v>
      </c>
      <c r="H1586" t="s">
        <v>30655</v>
      </c>
      <c r="I1586" t="s">
        <v>30656</v>
      </c>
      <c r="J1586" t="s">
        <v>30657</v>
      </c>
      <c r="K1586" t="s">
        <v>30658</v>
      </c>
      <c r="L1586" t="s">
        <v>30659</v>
      </c>
      <c r="M1586" t="s">
        <v>30660</v>
      </c>
      <c r="N1586" t="s">
        <v>30661</v>
      </c>
      <c r="O1586">
        <f>-661.495826295709 -152.35635765247 -503.680962641674</f>
        <v>-1317.533146589853</v>
      </c>
      <c r="P1586">
        <f>-615.664817954535 -184.624875267532 -227.208802094274</f>
        <v>-1027.498495316341</v>
      </c>
      <c r="Q1586">
        <f>-456.508874287516 -109.859674178033 -378.958681239132</f>
        <v>-945.32722970468103</v>
      </c>
      <c r="R1586" t="s">
        <v>30662</v>
      </c>
      <c r="S1586" t="s">
        <v>30663</v>
      </c>
      <c r="T1586" t="s">
        <v>30664</v>
      </c>
      <c r="U1586" t="s">
        <v>30665</v>
      </c>
      <c r="V1586">
        <f>-576.275773909186 -56.4380035680472 -91.046270294573</f>
        <v>-723.76004777180617</v>
      </c>
      <c r="W1586" t="s">
        <v>30666</v>
      </c>
      <c r="X1586" t="s">
        <v>30667</v>
      </c>
      <c r="Y1586" t="s">
        <v>30668</v>
      </c>
    </row>
    <row r="1587" spans="1:25" x14ac:dyDescent="0.3">
      <c r="A1587">
        <v>79300</v>
      </c>
      <c r="B1587" t="s">
        <v>30669</v>
      </c>
      <c r="C1587" t="s">
        <v>30670</v>
      </c>
      <c r="D1587" t="s">
        <v>30671</v>
      </c>
      <c r="E1587" t="s">
        <v>30672</v>
      </c>
      <c r="F1587" t="s">
        <v>30673</v>
      </c>
      <c r="G1587" t="s">
        <v>30674</v>
      </c>
      <c r="H1587" t="s">
        <v>30675</v>
      </c>
      <c r="I1587" t="s">
        <v>30676</v>
      </c>
      <c r="J1587" t="s">
        <v>30677</v>
      </c>
      <c r="K1587" t="s">
        <v>30678</v>
      </c>
      <c r="L1587" t="s">
        <v>30679</v>
      </c>
      <c r="M1587" t="s">
        <v>30680</v>
      </c>
      <c r="N1587" t="s">
        <v>30681</v>
      </c>
      <c r="O1587">
        <f>-660.819707157409 -152.115099895765 -503.937367965591</f>
        <v>-1316.8721750187649</v>
      </c>
      <c r="P1587">
        <f>-616.076606630096 -184.486518766213 -227.299078945739</f>
        <v>-1027.862204342048</v>
      </c>
      <c r="Q1587">
        <f>-456.382676323991 -109.603300842698 -378.424543759467</f>
        <v>-944.4105209261561</v>
      </c>
      <c r="R1587" t="s">
        <v>30682</v>
      </c>
      <c r="S1587" t="s">
        <v>30683</v>
      </c>
      <c r="T1587" t="s">
        <v>30684</v>
      </c>
      <c r="U1587" t="s">
        <v>30685</v>
      </c>
      <c r="V1587">
        <f>-575.974483394076 -56.5386683458221 -91.036807686144</f>
        <v>-723.54995942604205</v>
      </c>
      <c r="W1587" t="s">
        <v>30686</v>
      </c>
      <c r="X1587" t="s">
        <v>30687</v>
      </c>
      <c r="Y1587" t="s">
        <v>30688</v>
      </c>
    </row>
    <row r="1588" spans="1:25" x14ac:dyDescent="0.3">
      <c r="A1588">
        <v>79350</v>
      </c>
      <c r="B1588" t="s">
        <v>30689</v>
      </c>
      <c r="C1588" t="s">
        <v>30690</v>
      </c>
      <c r="D1588" t="s">
        <v>30691</v>
      </c>
      <c r="E1588" t="s">
        <v>30692</v>
      </c>
      <c r="F1588" t="s">
        <v>30693</v>
      </c>
      <c r="G1588" t="s">
        <v>30694</v>
      </c>
      <c r="H1588" t="s">
        <v>30695</v>
      </c>
      <c r="I1588" t="s">
        <v>30696</v>
      </c>
      <c r="J1588" t="s">
        <v>30697</v>
      </c>
      <c r="K1588" t="s">
        <v>30698</v>
      </c>
      <c r="L1588" t="s">
        <v>30699</v>
      </c>
      <c r="M1588" t="s">
        <v>30700</v>
      </c>
      <c r="N1588" t="s">
        <v>30701</v>
      </c>
      <c r="O1588">
        <f>-660.485525197189 -152.027765528231 -503.973658469028</f>
        <v>-1316.4869491944478</v>
      </c>
      <c r="P1588">
        <f>-616.208289515588 -184.361100264672 -227.255875586463</f>
        <v>-1027.825265366723</v>
      </c>
      <c r="Q1588">
        <f>-456.317420572829 -109.57020041423 -378.218702229776</f>
        <v>-944.10632321683499</v>
      </c>
      <c r="R1588" t="s">
        <v>30702</v>
      </c>
      <c r="S1588" t="s">
        <v>30703</v>
      </c>
      <c r="T1588" t="s">
        <v>30704</v>
      </c>
      <c r="U1588" t="s">
        <v>30705</v>
      </c>
      <c r="V1588">
        <f>-575.851939605157 -56.5371792079452 -91.0455245446136</f>
        <v>-723.4346433577158</v>
      </c>
      <c r="W1588" t="s">
        <v>30706</v>
      </c>
      <c r="X1588" t="s">
        <v>30707</v>
      </c>
      <c r="Y1588" t="s">
        <v>30708</v>
      </c>
    </row>
    <row r="1589" spans="1:25" x14ac:dyDescent="0.3">
      <c r="A1589">
        <v>79400</v>
      </c>
      <c r="B1589" t="s">
        <v>30709</v>
      </c>
      <c r="C1589" t="s">
        <v>30710</v>
      </c>
      <c r="D1589" t="s">
        <v>30711</v>
      </c>
      <c r="E1589" t="s">
        <v>30712</v>
      </c>
      <c r="F1589" t="s">
        <v>30713</v>
      </c>
      <c r="G1589" t="s">
        <v>30714</v>
      </c>
      <c r="H1589" t="s">
        <v>30715</v>
      </c>
      <c r="I1589" t="s">
        <v>30716</v>
      </c>
      <c r="J1589" t="s">
        <v>30717</v>
      </c>
      <c r="K1589" t="s">
        <v>30718</v>
      </c>
      <c r="L1589" t="s">
        <v>30719</v>
      </c>
      <c r="M1589" t="s">
        <v>30720</v>
      </c>
      <c r="N1589" t="s">
        <v>30721</v>
      </c>
      <c r="O1589">
        <f>-660.006217767843 -151.829827492303 -503.904335979899</f>
        <v>-1315.7403812400451</v>
      </c>
      <c r="P1589">
        <f>-615.955669009567 -183.790323207229 -227.107338714731</f>
        <v>-1026.8533309315271</v>
      </c>
      <c r="Q1589">
        <f>-455.812922286341 -109.930006180216 -378.261146816372</f>
        <v>-944.00407528292908</v>
      </c>
      <c r="R1589" t="s">
        <v>30722</v>
      </c>
      <c r="S1589" t="s">
        <v>30723</v>
      </c>
      <c r="T1589" t="s">
        <v>30724</v>
      </c>
      <c r="U1589" t="s">
        <v>30725</v>
      </c>
      <c r="V1589">
        <f>-575.724383720466 -56.3315267417645 -91.080415774547</f>
        <v>-723.13632623677745</v>
      </c>
      <c r="W1589" t="s">
        <v>30726</v>
      </c>
      <c r="X1589" t="s">
        <v>30727</v>
      </c>
      <c r="Y1589" t="s">
        <v>30728</v>
      </c>
    </row>
    <row r="1590" spans="1:25" x14ac:dyDescent="0.3">
      <c r="A1590">
        <v>79450</v>
      </c>
      <c r="B1590" t="s">
        <v>30729</v>
      </c>
      <c r="C1590" t="s">
        <v>30730</v>
      </c>
      <c r="D1590" t="s">
        <v>30731</v>
      </c>
      <c r="E1590" t="s">
        <v>30732</v>
      </c>
      <c r="F1590" t="s">
        <v>30733</v>
      </c>
      <c r="G1590" t="s">
        <v>30734</v>
      </c>
      <c r="H1590" t="s">
        <v>30735</v>
      </c>
      <c r="I1590" t="s">
        <v>30736</v>
      </c>
      <c r="J1590" t="s">
        <v>30737</v>
      </c>
      <c r="K1590" t="s">
        <v>30738</v>
      </c>
      <c r="L1590" t="s">
        <v>30739</v>
      </c>
      <c r="M1590" t="s">
        <v>30740</v>
      </c>
      <c r="N1590" t="s">
        <v>30741</v>
      </c>
      <c r="O1590">
        <f>-659.708079066281 -151.750086743713 -503.922809390294</f>
        <v>-1315.380975200288</v>
      </c>
      <c r="P1590">
        <f>-615.623788485766 -183.681763610953 -227.127694679622</f>
        <v>-1026.4332467763411</v>
      </c>
      <c r="Q1590">
        <f>-455.524569253386 -110.092793944867 -378.460050446256</f>
        <v>-944.07741364450897</v>
      </c>
      <c r="R1590" t="s">
        <v>30742</v>
      </c>
      <c r="S1590" t="s">
        <v>30743</v>
      </c>
      <c r="T1590" t="s">
        <v>30744</v>
      </c>
      <c r="U1590" t="s">
        <v>30745</v>
      </c>
      <c r="V1590">
        <f>-575.704919257301 -56.3657400412831 -91.1008482143053</f>
        <v>-723.17150751288932</v>
      </c>
      <c r="W1590" t="s">
        <v>30746</v>
      </c>
      <c r="X1590" t="s">
        <v>30747</v>
      </c>
      <c r="Y1590" t="s">
        <v>30748</v>
      </c>
    </row>
    <row r="1591" spans="1:25" x14ac:dyDescent="0.3">
      <c r="A1591">
        <v>79500</v>
      </c>
      <c r="B1591" t="s">
        <v>30749</v>
      </c>
      <c r="C1591" t="s">
        <v>30750</v>
      </c>
      <c r="D1591" t="s">
        <v>30751</v>
      </c>
      <c r="E1591" t="s">
        <v>30752</v>
      </c>
      <c r="F1591" t="s">
        <v>30753</v>
      </c>
      <c r="G1591" t="s">
        <v>30754</v>
      </c>
      <c r="H1591" t="s">
        <v>30755</v>
      </c>
      <c r="I1591" t="s">
        <v>30756</v>
      </c>
      <c r="J1591" t="s">
        <v>30757</v>
      </c>
      <c r="K1591" t="s">
        <v>30758</v>
      </c>
      <c r="L1591" t="s">
        <v>30759</v>
      </c>
      <c r="M1591" t="s">
        <v>30760</v>
      </c>
      <c r="N1591" t="s">
        <v>30761</v>
      </c>
      <c r="O1591">
        <f>-659.105500998844 -151.651133730106 -503.991732013367</f>
        <v>-1314.7483667423171</v>
      </c>
      <c r="P1591">
        <f>-615.197689808904 -183.882058317346 -227.203305269982</f>
        <v>-1026.2830533962319</v>
      </c>
      <c r="Q1591">
        <f>-454.817254435604 -110.90188264311 -378.532580319978</f>
        <v>-944.25171739869199</v>
      </c>
      <c r="R1591" t="s">
        <v>30762</v>
      </c>
      <c r="S1591" t="s">
        <v>30763</v>
      </c>
      <c r="T1591" t="s">
        <v>30764</v>
      </c>
      <c r="U1591" t="s">
        <v>30765</v>
      </c>
      <c r="V1591">
        <f>-575.656479677634 -56.4236986929434 -91.133503921851</f>
        <v>-723.21368229242842</v>
      </c>
      <c r="W1591" t="s">
        <v>30766</v>
      </c>
      <c r="X1591" t="s">
        <v>30767</v>
      </c>
      <c r="Y1591" t="s">
        <v>30768</v>
      </c>
    </row>
    <row r="1592" spans="1:25" x14ac:dyDescent="0.3">
      <c r="A1592">
        <v>79550</v>
      </c>
      <c r="B1592" t="s">
        <v>30769</v>
      </c>
      <c r="C1592" t="s">
        <v>30770</v>
      </c>
      <c r="D1592" t="s">
        <v>30771</v>
      </c>
      <c r="E1592" t="s">
        <v>30772</v>
      </c>
      <c r="F1592" t="s">
        <v>30773</v>
      </c>
      <c r="G1592" t="s">
        <v>30774</v>
      </c>
      <c r="H1592" t="s">
        <v>30775</v>
      </c>
      <c r="I1592" t="s">
        <v>30776</v>
      </c>
      <c r="J1592" t="s">
        <v>30777</v>
      </c>
      <c r="K1592" t="s">
        <v>30778</v>
      </c>
      <c r="L1592" t="s">
        <v>30779</v>
      </c>
      <c r="M1592" t="s">
        <v>30780</v>
      </c>
      <c r="N1592" t="s">
        <v>30781</v>
      </c>
      <c r="O1592">
        <f>-658.783471073781 -151.600204819136 -504.039171635319</f>
        <v>-1314.4228475282362</v>
      </c>
      <c r="P1592">
        <f>-614.987309954866 -183.810222464801 -227.230615127595</f>
        <v>-1026.0281475472621</v>
      </c>
      <c r="Q1592">
        <f>-454.312591079581 -111.120755573479 -378.387624185576</f>
        <v>-943.82097083863596</v>
      </c>
      <c r="R1592" t="s">
        <v>30782</v>
      </c>
      <c r="S1592" t="s">
        <v>30783</v>
      </c>
      <c r="T1592" t="s">
        <v>30784</v>
      </c>
      <c r="U1592" t="s">
        <v>30785</v>
      </c>
      <c r="V1592">
        <f>-575.652682847789 -56.4072787160674 -91.1454613786997</f>
        <v>-723.20542294255608</v>
      </c>
      <c r="W1592" t="s">
        <v>30786</v>
      </c>
      <c r="X1592" t="s">
        <v>30787</v>
      </c>
      <c r="Y1592" t="s">
        <v>30788</v>
      </c>
    </row>
    <row r="1593" spans="1:25" x14ac:dyDescent="0.3">
      <c r="A1593">
        <v>79600</v>
      </c>
      <c r="B1593" t="s">
        <v>30789</v>
      </c>
      <c r="C1593" t="s">
        <v>30790</v>
      </c>
      <c r="D1593" t="s">
        <v>30791</v>
      </c>
      <c r="E1593" t="s">
        <v>30792</v>
      </c>
      <c r="F1593" t="s">
        <v>30793</v>
      </c>
      <c r="G1593" t="s">
        <v>30794</v>
      </c>
      <c r="H1593" t="s">
        <v>30795</v>
      </c>
      <c r="I1593" t="s">
        <v>30796</v>
      </c>
      <c r="J1593" t="s">
        <v>30797</v>
      </c>
      <c r="K1593" t="s">
        <v>30798</v>
      </c>
      <c r="L1593" t="s">
        <v>30799</v>
      </c>
      <c r="M1593" t="s">
        <v>30800</v>
      </c>
      <c r="N1593" t="s">
        <v>30801</v>
      </c>
      <c r="O1593">
        <f>-658.178628750527 -151.486852866748 -504.121598270956</f>
        <v>-1313.7870798882309</v>
      </c>
      <c r="P1593">
        <f>-615.032170085512 -183.821003623937 -227.22548552032</f>
        <v>-1026.0786592297691</v>
      </c>
      <c r="Q1593">
        <f>-453.757697928456 -111.071446827387 -377.713250830345</f>
        <v>-942.54239558618792</v>
      </c>
      <c r="R1593" t="s">
        <v>30802</v>
      </c>
      <c r="S1593" t="s">
        <v>30803</v>
      </c>
      <c r="T1593" t="s">
        <v>30804</v>
      </c>
      <c r="U1593" t="s">
        <v>30805</v>
      </c>
      <c r="V1593">
        <f>-575.725642220508 -56.3535877427569 -91.1983489659168</f>
        <v>-723.27757892918169</v>
      </c>
      <c r="W1593" t="s">
        <v>30806</v>
      </c>
      <c r="X1593" t="s">
        <v>30807</v>
      </c>
      <c r="Y1593" t="s">
        <v>30808</v>
      </c>
    </row>
    <row r="1594" spans="1:25" x14ac:dyDescent="0.3">
      <c r="A1594">
        <v>79650</v>
      </c>
      <c r="B1594" t="s">
        <v>30809</v>
      </c>
      <c r="C1594" t="s">
        <v>30810</v>
      </c>
      <c r="D1594" t="s">
        <v>30811</v>
      </c>
      <c r="E1594" t="s">
        <v>30812</v>
      </c>
      <c r="F1594" t="s">
        <v>30813</v>
      </c>
      <c r="G1594" t="s">
        <v>30814</v>
      </c>
      <c r="H1594" t="s">
        <v>30815</v>
      </c>
      <c r="I1594" t="s">
        <v>30816</v>
      </c>
      <c r="J1594" t="s">
        <v>30817</v>
      </c>
      <c r="K1594" t="s">
        <v>30818</v>
      </c>
      <c r="L1594" t="s">
        <v>30819</v>
      </c>
      <c r="M1594" t="s">
        <v>30820</v>
      </c>
      <c r="N1594" t="s">
        <v>30821</v>
      </c>
      <c r="O1594">
        <f>-657.925284543905 -151.496802183477 -504.17345999074</f>
        <v>-1313.595546718122</v>
      </c>
      <c r="P1594">
        <f>-615.306608582832 -183.765854583241 -227.188040971972</f>
        <v>-1026.260504138045</v>
      </c>
      <c r="Q1594">
        <f>-453.747321387562 -110.98281840584 -377.353754253697</f>
        <v>-942.08389404709897</v>
      </c>
      <c r="R1594" t="s">
        <v>30822</v>
      </c>
      <c r="S1594" t="s">
        <v>30823</v>
      </c>
      <c r="T1594" t="s">
        <v>30824</v>
      </c>
      <c r="U1594" t="s">
        <v>30825</v>
      </c>
      <c r="V1594">
        <f>-575.790290174739 -56.3966773094339 -91.2209405005657</f>
        <v>-723.40790798473859</v>
      </c>
      <c r="W1594" t="s">
        <v>30826</v>
      </c>
      <c r="X1594" t="s">
        <v>30827</v>
      </c>
      <c r="Y1594" t="s">
        <v>30828</v>
      </c>
    </row>
    <row r="1595" spans="1:25" x14ac:dyDescent="0.3">
      <c r="A1595">
        <v>79700</v>
      </c>
      <c r="B1595" t="s">
        <v>30829</v>
      </c>
      <c r="C1595" t="s">
        <v>30830</v>
      </c>
      <c r="D1595" t="s">
        <v>30831</v>
      </c>
      <c r="E1595" t="s">
        <v>30832</v>
      </c>
      <c r="F1595" t="s">
        <v>30833</v>
      </c>
      <c r="G1595" t="s">
        <v>30834</v>
      </c>
      <c r="H1595" t="s">
        <v>30835</v>
      </c>
      <c r="I1595" t="s">
        <v>30836</v>
      </c>
      <c r="J1595" t="s">
        <v>30837</v>
      </c>
      <c r="K1595" t="s">
        <v>30838</v>
      </c>
      <c r="L1595" t="s">
        <v>30839</v>
      </c>
      <c r="M1595" t="s">
        <v>30840</v>
      </c>
      <c r="N1595" t="s">
        <v>30841</v>
      </c>
      <c r="O1595">
        <f>-657.679212964134 -151.373247881412 -504.296748153673</f>
        <v>-1313.3492089992189</v>
      </c>
      <c r="P1595">
        <f>-615.919515291813 -183.406543399266 -227.153159100436</f>
        <v>-1026.4792177915149</v>
      </c>
      <c r="Q1595">
        <f>-453.715635734523 -110.870852603141 -376.742534807015</f>
        <v>-941.32902314467901</v>
      </c>
      <c r="R1595" t="s">
        <v>30842</v>
      </c>
      <c r="S1595" t="s">
        <v>30843</v>
      </c>
      <c r="T1595" t="s">
        <v>30844</v>
      </c>
      <c r="U1595" t="s">
        <v>30845</v>
      </c>
      <c r="V1595">
        <f>-576.061478375346 -56.3404040049561 -91.277533192036</f>
        <v>-723.67941557233814</v>
      </c>
      <c r="W1595" t="s">
        <v>30846</v>
      </c>
      <c r="X1595" t="s">
        <v>30847</v>
      </c>
      <c r="Y1595" t="s">
        <v>30848</v>
      </c>
    </row>
    <row r="1596" spans="1:25" x14ac:dyDescent="0.3">
      <c r="A1596">
        <v>79750</v>
      </c>
      <c r="B1596" t="s">
        <v>30849</v>
      </c>
      <c r="C1596" t="s">
        <v>30850</v>
      </c>
      <c r="D1596" t="s">
        <v>30851</v>
      </c>
      <c r="E1596" t="s">
        <v>30852</v>
      </c>
      <c r="F1596" t="s">
        <v>30853</v>
      </c>
      <c r="G1596" t="s">
        <v>30854</v>
      </c>
      <c r="H1596" t="s">
        <v>30855</v>
      </c>
      <c r="I1596" t="s">
        <v>30856</v>
      </c>
      <c r="J1596" t="s">
        <v>30857</v>
      </c>
      <c r="K1596" t="s">
        <v>30858</v>
      </c>
      <c r="L1596" t="s">
        <v>30859</v>
      </c>
      <c r="M1596" t="s">
        <v>30860</v>
      </c>
      <c r="N1596" t="s">
        <v>30861</v>
      </c>
      <c r="O1596">
        <f>-657.4299127342 -151.264302588901 -504.373241473949</f>
        <v>-1313.06745679705</v>
      </c>
      <c r="P1596">
        <f>-616.120987694516 -183.302983129839 -227.162575942177</f>
        <v>-1026.5865467665319</v>
      </c>
      <c r="Q1596">
        <f>-453.567837748046 -111.027087898357 -376.498423238463</f>
        <v>-941.09334888486592</v>
      </c>
      <c r="R1596" t="s">
        <v>30862</v>
      </c>
      <c r="S1596" t="s">
        <v>30863</v>
      </c>
      <c r="T1596" t="s">
        <v>30864</v>
      </c>
      <c r="U1596" t="s">
        <v>30865</v>
      </c>
      <c r="V1596">
        <f>-576.22256668536 -56.2727516773696 -91.3104546198664</f>
        <v>-723.80577298259595</v>
      </c>
      <c r="W1596" t="s">
        <v>30866</v>
      </c>
      <c r="X1596" t="s">
        <v>30867</v>
      </c>
      <c r="Y1596" t="s">
        <v>30868</v>
      </c>
    </row>
    <row r="1597" spans="1:25" x14ac:dyDescent="0.3">
      <c r="A1597">
        <v>79800</v>
      </c>
      <c r="B1597" t="s">
        <v>30869</v>
      </c>
      <c r="C1597" t="s">
        <v>30870</v>
      </c>
      <c r="D1597" t="s">
        <v>30871</v>
      </c>
      <c r="E1597" t="s">
        <v>30872</v>
      </c>
      <c r="F1597" t="s">
        <v>30873</v>
      </c>
      <c r="G1597" t="s">
        <v>30874</v>
      </c>
      <c r="H1597" t="s">
        <v>30875</v>
      </c>
      <c r="I1597" t="s">
        <v>30876</v>
      </c>
      <c r="J1597" t="s">
        <v>30877</v>
      </c>
      <c r="K1597" t="s">
        <v>30878</v>
      </c>
      <c r="L1597" t="s">
        <v>30879</v>
      </c>
      <c r="M1597" t="s">
        <v>30880</v>
      </c>
      <c r="N1597" t="s">
        <v>30881</v>
      </c>
      <c r="O1597">
        <f>-657.077316945816 -151.122766161209 -504.437767543156</f>
        <v>-1312.637850650181</v>
      </c>
      <c r="P1597">
        <f>-616.802986503497 -183.114065678963 -227.069559685618</f>
        <v>-1026.9866118680779</v>
      </c>
      <c r="Q1597">
        <f>-453.5904750085 -111.558687037274 -376.032584441135</f>
        <v>-941.18174648690899</v>
      </c>
      <c r="R1597" t="s">
        <v>30882</v>
      </c>
      <c r="S1597" t="s">
        <v>30883</v>
      </c>
      <c r="T1597" t="s">
        <v>30884</v>
      </c>
      <c r="U1597" t="s">
        <v>30885</v>
      </c>
      <c r="V1597">
        <f>-576.581889699073 -56.0555898093178 -91.3625804268261</f>
        <v>-724.00005993521688</v>
      </c>
      <c r="W1597" t="s">
        <v>30886</v>
      </c>
      <c r="X1597" t="s">
        <v>30887</v>
      </c>
      <c r="Y1597" t="s">
        <v>30888</v>
      </c>
    </row>
    <row r="1598" spans="1:25" x14ac:dyDescent="0.3">
      <c r="A1598">
        <v>79850</v>
      </c>
      <c r="B1598" t="s">
        <v>30889</v>
      </c>
      <c r="C1598" t="s">
        <v>30890</v>
      </c>
      <c r="D1598" t="s">
        <v>30891</v>
      </c>
      <c r="E1598" t="s">
        <v>30892</v>
      </c>
      <c r="F1598" t="s">
        <v>30893</v>
      </c>
      <c r="G1598" t="s">
        <v>30894</v>
      </c>
      <c r="H1598" t="s">
        <v>30895</v>
      </c>
      <c r="I1598" t="s">
        <v>30896</v>
      </c>
      <c r="J1598" t="s">
        <v>30897</v>
      </c>
      <c r="K1598" t="s">
        <v>30898</v>
      </c>
      <c r="L1598" t="s">
        <v>30899</v>
      </c>
      <c r="M1598" t="s">
        <v>30900</v>
      </c>
      <c r="N1598" t="s">
        <v>30901</v>
      </c>
      <c r="O1598">
        <f>-657.072819903171 -151.084378948217 -504.423589152625</f>
        <v>-1312.5807880040129</v>
      </c>
      <c r="P1598">
        <f>-617.255913180851 -182.839684683205 -226.962320079878</f>
        <v>-1027.0579179439342</v>
      </c>
      <c r="Q1598">
        <f>-453.70409816928 -111.738796922273 -375.770813563263</f>
        <v>-941.21370865481595</v>
      </c>
      <c r="R1598" t="s">
        <v>30902</v>
      </c>
      <c r="S1598" t="s">
        <v>30903</v>
      </c>
      <c r="T1598" t="s">
        <v>30904</v>
      </c>
      <c r="U1598" t="s">
        <v>30905</v>
      </c>
      <c r="V1598">
        <f>-576.868129723086 -56.0183300489971 -91.3941744100197</f>
        <v>-724.28063418210274</v>
      </c>
      <c r="W1598" t="s">
        <v>30906</v>
      </c>
      <c r="X1598" t="s">
        <v>30907</v>
      </c>
      <c r="Y1598" t="s">
        <v>30908</v>
      </c>
    </row>
    <row r="1599" spans="1:25" x14ac:dyDescent="0.3">
      <c r="A1599">
        <v>79900</v>
      </c>
      <c r="B1599" t="s">
        <v>30909</v>
      </c>
      <c r="C1599" t="s">
        <v>30910</v>
      </c>
      <c r="D1599" t="s">
        <v>30911</v>
      </c>
      <c r="E1599" t="s">
        <v>30912</v>
      </c>
      <c r="F1599" t="s">
        <v>30913</v>
      </c>
      <c r="G1599" t="s">
        <v>30914</v>
      </c>
      <c r="H1599" t="s">
        <v>30915</v>
      </c>
      <c r="I1599" t="s">
        <v>30916</v>
      </c>
      <c r="J1599" t="s">
        <v>30917</v>
      </c>
      <c r="K1599" t="s">
        <v>30918</v>
      </c>
      <c r="L1599" t="s">
        <v>30919</v>
      </c>
      <c r="M1599" t="s">
        <v>30920</v>
      </c>
      <c r="N1599" t="s">
        <v>30921</v>
      </c>
      <c r="O1599">
        <f>-657.240973944785 -151.102833385625 -504.308155145339</f>
        <v>-1312.6519624757489</v>
      </c>
      <c r="P1599">
        <f>-618.269255641445 -182.527390185602 -226.689073232661</f>
        <v>-1027.4857190597081</v>
      </c>
      <c r="Q1599">
        <f>-454.13970026227 -112.049714021765 -375.15774519599</f>
        <v>-941.34715948002508</v>
      </c>
      <c r="R1599" t="s">
        <v>30922</v>
      </c>
      <c r="S1599" t="s">
        <v>30923</v>
      </c>
      <c r="T1599" t="s">
        <v>30924</v>
      </c>
      <c r="U1599" t="s">
        <v>30925</v>
      </c>
      <c r="V1599">
        <f>-577.458564625746 -55.9023331559199 -91.4606188006652</f>
        <v>-724.82151658233113</v>
      </c>
      <c r="W1599" t="s">
        <v>30926</v>
      </c>
      <c r="X1599" t="s">
        <v>30927</v>
      </c>
      <c r="Y1599" t="s">
        <v>30928</v>
      </c>
    </row>
    <row r="1600" spans="1:25" x14ac:dyDescent="0.3">
      <c r="A1600">
        <v>79950</v>
      </c>
      <c r="B1600" t="s">
        <v>30929</v>
      </c>
      <c r="C1600" t="s">
        <v>30930</v>
      </c>
      <c r="D1600" t="s">
        <v>30931</v>
      </c>
      <c r="E1600" t="s">
        <v>30932</v>
      </c>
      <c r="F1600" t="s">
        <v>30933</v>
      </c>
      <c r="G1600" t="s">
        <v>30934</v>
      </c>
      <c r="H1600" t="s">
        <v>30935</v>
      </c>
      <c r="I1600" t="s">
        <v>30936</v>
      </c>
      <c r="J1600" t="s">
        <v>30937</v>
      </c>
      <c r="K1600" t="s">
        <v>30938</v>
      </c>
      <c r="L1600" t="s">
        <v>30939</v>
      </c>
      <c r="M1600" t="s">
        <v>30940</v>
      </c>
      <c r="N1600" t="s">
        <v>30941</v>
      </c>
      <c r="O1600">
        <f>-657.440111043275 -151.080739787377 -504.212421727997</f>
        <v>-1312.7332725586491</v>
      </c>
      <c r="P1600">
        <f>-618.870016677818 -182.3896227189 -226.524338245884</f>
        <v>-1027.7839776426019</v>
      </c>
      <c r="Q1600">
        <f>-454.46074333113 -112.166704862338 -374.804007529475</f>
        <v>-941.43145572294293</v>
      </c>
      <c r="R1600" t="s">
        <v>30942</v>
      </c>
      <c r="S1600" t="s">
        <v>30943</v>
      </c>
      <c r="T1600" t="s">
        <v>30944</v>
      </c>
      <c r="U1600" t="s">
        <v>30945</v>
      </c>
      <c r="V1600">
        <f>-577.726711176421 -55.778049999099 -91.4911207411607</f>
        <v>-724.99588191668067</v>
      </c>
      <c r="W1600" t="s">
        <v>30946</v>
      </c>
      <c r="X1600" t="s">
        <v>30947</v>
      </c>
      <c r="Y1600" t="s">
        <v>30948</v>
      </c>
    </row>
    <row r="1601" spans="1:25" x14ac:dyDescent="0.3">
      <c r="A1601">
        <v>80000</v>
      </c>
      <c r="B1601" t="s">
        <v>30949</v>
      </c>
      <c r="C1601" t="s">
        <v>30950</v>
      </c>
      <c r="D1601" t="s">
        <v>30951</v>
      </c>
      <c r="E1601" t="s">
        <v>30952</v>
      </c>
      <c r="F1601" t="s">
        <v>30953</v>
      </c>
      <c r="G1601" t="s">
        <v>30954</v>
      </c>
      <c r="H1601" t="s">
        <v>30955</v>
      </c>
      <c r="I1601" t="s">
        <v>30956</v>
      </c>
      <c r="J1601" t="s">
        <v>30957</v>
      </c>
      <c r="K1601" t="s">
        <v>30958</v>
      </c>
      <c r="L1601" t="s">
        <v>30959</v>
      </c>
      <c r="M1601" t="s">
        <v>30960</v>
      </c>
      <c r="N1601" t="s">
        <v>30961</v>
      </c>
      <c r="O1601">
        <f>-658.154540243289 -150.927182469856 -503.946355431882</f>
        <v>-1313.0280781450269</v>
      </c>
      <c r="P1601">
        <f>-620.085314876251 -181.672889512893 -226.126228494497</f>
        <v>-1027.884432883641</v>
      </c>
      <c r="Q1601">
        <f>-455.069637007799 -112.266514911272 -374.116606637045</f>
        <v>-941.4527585561159</v>
      </c>
      <c r="R1601" t="s">
        <v>30962</v>
      </c>
      <c r="S1601" t="s">
        <v>30963</v>
      </c>
      <c r="T1601" t="s">
        <v>30964</v>
      </c>
      <c r="U1601" t="s">
        <v>30965</v>
      </c>
      <c r="V1601">
        <f>-578.202097146575 -55.4961376231929 -91.5411993576025</f>
        <v>-725.23943412737049</v>
      </c>
      <c r="W1601" t="s">
        <v>30966</v>
      </c>
      <c r="X1601" t="s">
        <v>30967</v>
      </c>
      <c r="Y1601" t="s">
        <v>30968</v>
      </c>
    </row>
    <row r="1602" spans="1:25" x14ac:dyDescent="0.3">
      <c r="A1602">
        <v>80050</v>
      </c>
      <c r="B1602" t="s">
        <v>30969</v>
      </c>
      <c r="C1602" t="s">
        <v>30970</v>
      </c>
      <c r="D1602" t="s">
        <v>30971</v>
      </c>
      <c r="E1602" t="s">
        <v>30972</v>
      </c>
      <c r="F1602" t="s">
        <v>30973</v>
      </c>
      <c r="G1602" t="s">
        <v>30974</v>
      </c>
      <c r="H1602" t="s">
        <v>30975</v>
      </c>
      <c r="I1602" t="s">
        <v>30976</v>
      </c>
      <c r="J1602" t="s">
        <v>30977</v>
      </c>
      <c r="K1602" t="s">
        <v>30978</v>
      </c>
      <c r="L1602" t="s">
        <v>30979</v>
      </c>
      <c r="M1602" t="s">
        <v>30980</v>
      </c>
      <c r="N1602" t="s">
        <v>30981</v>
      </c>
      <c r="O1602">
        <f>-658.390787400845 -150.85688396638 -503.811892838949</f>
        <v>-1313.0595642061739</v>
      </c>
      <c r="P1602">
        <f>-620.516444287117 -181.385686141989 -225.941256714198</f>
        <v>-1027.843387143304</v>
      </c>
      <c r="Q1602">
        <f>-455.382260136664 -112.310887287986 -373.954438938446</f>
        <v>-941.64758636309602</v>
      </c>
      <c r="R1602" t="s">
        <v>30982</v>
      </c>
      <c r="S1602" t="s">
        <v>30983</v>
      </c>
      <c r="T1602" t="s">
        <v>30984</v>
      </c>
      <c r="U1602" t="s">
        <v>30985</v>
      </c>
      <c r="V1602">
        <f>-578.390934320823 -55.3515326739439 -91.5557862220294</f>
        <v>-725.2982532167963</v>
      </c>
      <c r="W1602" t="s">
        <v>30986</v>
      </c>
      <c r="X1602" t="s">
        <v>30987</v>
      </c>
      <c r="Y1602" t="s">
        <v>30988</v>
      </c>
    </row>
    <row r="1603" spans="1:25" x14ac:dyDescent="0.3">
      <c r="A1603">
        <v>80100</v>
      </c>
      <c r="B1603" t="s">
        <v>30989</v>
      </c>
      <c r="C1603" t="s">
        <v>30990</v>
      </c>
      <c r="D1603" t="s">
        <v>30991</v>
      </c>
      <c r="E1603" t="s">
        <v>30992</v>
      </c>
      <c r="F1603" t="s">
        <v>30993</v>
      </c>
      <c r="G1603" t="s">
        <v>30994</v>
      </c>
      <c r="H1603" t="s">
        <v>30995</v>
      </c>
      <c r="I1603" t="s">
        <v>30996</v>
      </c>
      <c r="J1603" t="s">
        <v>30997</v>
      </c>
      <c r="K1603" t="s">
        <v>30998</v>
      </c>
      <c r="L1603" t="s">
        <v>30999</v>
      </c>
      <c r="M1603" t="s">
        <v>31000</v>
      </c>
      <c r="N1603" t="s">
        <v>31001</v>
      </c>
      <c r="O1603">
        <f>-658.471730905476 -150.682819121954 -503.627231874007</f>
        <v>-1312.7817819014369</v>
      </c>
      <c r="P1603">
        <f>-620.689051366585 -180.833789629819 -225.702869914357</f>
        <v>-1027.2257109107609</v>
      </c>
      <c r="Q1603">
        <f>-455.503238423281 -112.244481667562 -373.884144402956</f>
        <v>-941.63186449379896</v>
      </c>
      <c r="R1603" t="s">
        <v>31002</v>
      </c>
      <c r="S1603" t="s">
        <v>31003</v>
      </c>
      <c r="T1603" t="s">
        <v>31004</v>
      </c>
      <c r="U1603" t="s">
        <v>31005</v>
      </c>
      <c r="V1603">
        <f>-578.550331749957 -54.7960879200359 -91.5503972753751</f>
        <v>-724.89681694536796</v>
      </c>
      <c r="W1603" t="s">
        <v>31006</v>
      </c>
      <c r="X1603" t="s">
        <v>31007</v>
      </c>
      <c r="Y1603" t="s">
        <v>31008</v>
      </c>
    </row>
    <row r="1604" spans="1:25" x14ac:dyDescent="0.3">
      <c r="A1604">
        <v>80150</v>
      </c>
      <c r="B1604" t="s">
        <v>31009</v>
      </c>
      <c r="C1604" t="s">
        <v>31010</v>
      </c>
      <c r="D1604" t="s">
        <v>31011</v>
      </c>
      <c r="E1604" t="s">
        <v>31012</v>
      </c>
      <c r="F1604" t="s">
        <v>31013</v>
      </c>
      <c r="G1604" t="s">
        <v>31014</v>
      </c>
      <c r="H1604" t="s">
        <v>31015</v>
      </c>
      <c r="I1604" t="s">
        <v>31016</v>
      </c>
      <c r="J1604" t="s">
        <v>31017</v>
      </c>
      <c r="K1604" t="s">
        <v>31018</v>
      </c>
      <c r="L1604" t="s">
        <v>31019</v>
      </c>
      <c r="M1604" t="s">
        <v>31020</v>
      </c>
      <c r="N1604" t="s">
        <v>31021</v>
      </c>
      <c r="O1604">
        <f>-658.551993471021 -150.557954097201 -503.449091039678</f>
        <v>-1312.5590386079</v>
      </c>
      <c r="P1604">
        <f>-620.517389650639 -180.566921043649 -225.543718522444</f>
        <v>-1026.6280292167321</v>
      </c>
      <c r="Q1604">
        <f>-455.476561795367 -112.134090242432 -373.958636520745</f>
        <v>-941.56928855854403</v>
      </c>
      <c r="R1604" t="s">
        <v>31022</v>
      </c>
      <c r="S1604" t="s">
        <v>31023</v>
      </c>
      <c r="T1604" t="s">
        <v>31024</v>
      </c>
      <c r="U1604" t="s">
        <v>31025</v>
      </c>
      <c r="V1604">
        <f>-578.469807285512 -54.4590975288422 -91.5288153088507</f>
        <v>-724.45772012320492</v>
      </c>
      <c r="W1604" t="s">
        <v>31026</v>
      </c>
      <c r="X1604" t="s">
        <v>31027</v>
      </c>
      <c r="Y1604" t="s">
        <v>31028</v>
      </c>
    </row>
    <row r="1605" spans="1:25" x14ac:dyDescent="0.3">
      <c r="A1605">
        <v>80200</v>
      </c>
      <c r="B1605" t="s">
        <v>31029</v>
      </c>
      <c r="C1605" t="s">
        <v>31030</v>
      </c>
      <c r="D1605" t="s">
        <v>31031</v>
      </c>
      <c r="E1605" t="s">
        <v>31032</v>
      </c>
      <c r="F1605" t="s">
        <v>31033</v>
      </c>
      <c r="G1605" t="s">
        <v>31034</v>
      </c>
      <c r="H1605" t="s">
        <v>31035</v>
      </c>
      <c r="I1605" t="s">
        <v>31036</v>
      </c>
      <c r="J1605" t="s">
        <v>31037</v>
      </c>
      <c r="K1605" t="s">
        <v>31038</v>
      </c>
      <c r="L1605" t="s">
        <v>31039</v>
      </c>
      <c r="M1605" t="s">
        <v>31040</v>
      </c>
      <c r="N1605" t="s">
        <v>31041</v>
      </c>
      <c r="O1605">
        <f>-658.740469956015 -150.346458175433 -503.129508548308</f>
        <v>-1312.216436679756</v>
      </c>
      <c r="P1605">
        <f>-620.019497579104 -180.032572390298 -225.284347025071</f>
        <v>-1025.336416994473</v>
      </c>
      <c r="Q1605">
        <f>-455.334833781728 -111.939362852414 -374.250092326216</f>
        <v>-941.52428896035804</v>
      </c>
      <c r="R1605" t="s">
        <v>31042</v>
      </c>
      <c r="S1605" t="s">
        <v>31043</v>
      </c>
      <c r="T1605" t="s">
        <v>31044</v>
      </c>
      <c r="U1605" t="s">
        <v>31045</v>
      </c>
      <c r="V1605">
        <f>-578.12402220165 -53.9055715094312 -91.4668678868662</f>
        <v>-723.49646159794736</v>
      </c>
      <c r="W1605" t="s">
        <v>31046</v>
      </c>
      <c r="X1605" t="s">
        <v>31047</v>
      </c>
      <c r="Y1605" t="s">
        <v>31048</v>
      </c>
    </row>
    <row r="1606" spans="1:25" x14ac:dyDescent="0.3">
      <c r="A1606">
        <v>80250</v>
      </c>
      <c r="B1606" t="s">
        <v>31049</v>
      </c>
      <c r="C1606" t="s">
        <v>31050</v>
      </c>
      <c r="D1606" t="s">
        <v>31051</v>
      </c>
      <c r="E1606" t="s">
        <v>31052</v>
      </c>
      <c r="F1606" t="s">
        <v>31053</v>
      </c>
      <c r="G1606" t="s">
        <v>31054</v>
      </c>
      <c r="H1606" t="s">
        <v>31055</v>
      </c>
      <c r="I1606" t="s">
        <v>31056</v>
      </c>
      <c r="J1606" t="s">
        <v>31057</v>
      </c>
      <c r="K1606" t="s">
        <v>31058</v>
      </c>
      <c r="L1606" t="s">
        <v>31059</v>
      </c>
      <c r="M1606" t="s">
        <v>31060</v>
      </c>
      <c r="N1606" t="s">
        <v>31061</v>
      </c>
      <c r="O1606">
        <f>-658.820605181937 -150.217223144839 -503.007804359289</f>
        <v>-1312.0456326860649</v>
      </c>
      <c r="P1606">
        <f>-619.696866784009 -179.804864672381 -225.20856607351</f>
        <v>-1024.7102975298999</v>
      </c>
      <c r="Q1606">
        <f>-455.189037995661 -111.821190824706 -374.419595124124</f>
        <v>-941.42982394449109</v>
      </c>
      <c r="R1606" t="s">
        <v>31062</v>
      </c>
      <c r="S1606" t="s">
        <v>31063</v>
      </c>
      <c r="T1606" t="s">
        <v>31064</v>
      </c>
      <c r="U1606" t="s">
        <v>31065</v>
      </c>
      <c r="V1606">
        <f>-577.88289575083 -53.7137475279749 -91.4190689811774</f>
        <v>-723.01571225998225</v>
      </c>
      <c r="W1606" t="s">
        <v>31066</v>
      </c>
      <c r="X1606" t="s">
        <v>31067</v>
      </c>
      <c r="Y1606" t="s">
        <v>31068</v>
      </c>
    </row>
    <row r="1607" spans="1:25" x14ac:dyDescent="0.3">
      <c r="A1607">
        <v>80300</v>
      </c>
      <c r="B1607" t="s">
        <v>31069</v>
      </c>
      <c r="C1607" t="s">
        <v>31070</v>
      </c>
      <c r="D1607" t="s">
        <v>31071</v>
      </c>
      <c r="E1607" t="s">
        <v>31072</v>
      </c>
      <c r="F1607" t="s">
        <v>31073</v>
      </c>
      <c r="G1607" t="s">
        <v>31074</v>
      </c>
      <c r="H1607" t="s">
        <v>31075</v>
      </c>
      <c r="I1607" t="s">
        <v>31076</v>
      </c>
      <c r="J1607" t="s">
        <v>31077</v>
      </c>
      <c r="K1607" t="s">
        <v>31078</v>
      </c>
      <c r="L1607" t="s">
        <v>31079</v>
      </c>
      <c r="M1607" t="s">
        <v>31080</v>
      </c>
      <c r="N1607" t="s">
        <v>31081</v>
      </c>
      <c r="O1607">
        <f>-658.792265025474 -150.069888327994 -502.811036852447</f>
        <v>-1311.673190205915</v>
      </c>
      <c r="P1607">
        <f>-618.752908570756 -179.602058820361 -225.136293845039</f>
        <v>-1023.4912612361559</v>
      </c>
      <c r="Q1607">
        <f>-454.75771435661 -111.562983437934 -374.885342927523</f>
        <v>-941.20604072206697</v>
      </c>
      <c r="R1607" t="s">
        <v>31082</v>
      </c>
      <c r="S1607" t="s">
        <v>31083</v>
      </c>
      <c r="T1607" t="s">
        <v>31084</v>
      </c>
      <c r="U1607" t="s">
        <v>31085</v>
      </c>
      <c r="V1607">
        <f>-577.283282652897 -53.5257672070807 -91.318396825472</f>
        <v>-722.12744668544974</v>
      </c>
      <c r="W1607" t="s">
        <v>31086</v>
      </c>
      <c r="X1607" t="s">
        <v>31087</v>
      </c>
      <c r="Y1607" t="s">
        <v>31088</v>
      </c>
    </row>
    <row r="1608" spans="1:25" x14ac:dyDescent="0.3">
      <c r="A1608">
        <v>80350</v>
      </c>
      <c r="B1608" t="s">
        <v>31089</v>
      </c>
      <c r="C1608" t="s">
        <v>31090</v>
      </c>
      <c r="D1608" t="s">
        <v>31091</v>
      </c>
      <c r="E1608" t="s">
        <v>31092</v>
      </c>
      <c r="F1608" t="s">
        <v>31093</v>
      </c>
      <c r="G1608" t="s">
        <v>31094</v>
      </c>
      <c r="H1608" t="s">
        <v>31095</v>
      </c>
      <c r="I1608" t="s">
        <v>31096</v>
      </c>
      <c r="J1608" t="s">
        <v>31097</v>
      </c>
      <c r="K1608" t="s">
        <v>31098</v>
      </c>
      <c r="L1608" t="s">
        <v>31099</v>
      </c>
      <c r="M1608" t="s">
        <v>31100</v>
      </c>
      <c r="N1608" t="s">
        <v>31101</v>
      </c>
      <c r="O1608">
        <f>-658.662437873992 -149.985800126041 -502.781216127876</f>
        <v>-1311.4294541279089</v>
      </c>
      <c r="P1608">
        <f>-618.137407675663 -179.63000208376 -225.188885915965</f>
        <v>-1022.956295675388</v>
      </c>
      <c r="Q1608">
        <f>-454.446617305849 -111.468966788177 -375.215079965822</f>
        <v>-941.13066405984796</v>
      </c>
      <c r="R1608" t="s">
        <v>31102</v>
      </c>
      <c r="S1608" t="s">
        <v>31103</v>
      </c>
      <c r="T1608" t="s">
        <v>31104</v>
      </c>
      <c r="U1608" t="s">
        <v>31105</v>
      </c>
      <c r="V1608">
        <f>-576.954919644242 -53.4629183729487 -91.2657936388654</f>
        <v>-721.68363165605604</v>
      </c>
      <c r="W1608" t="s">
        <v>31106</v>
      </c>
      <c r="X1608" t="s">
        <v>31107</v>
      </c>
      <c r="Y1608" t="s">
        <v>31108</v>
      </c>
    </row>
    <row r="1609" spans="1:25" x14ac:dyDescent="0.3">
      <c r="A1609">
        <v>80400</v>
      </c>
      <c r="B1609" t="s">
        <v>31109</v>
      </c>
      <c r="C1609" t="s">
        <v>31110</v>
      </c>
      <c r="D1609" t="s">
        <v>31111</v>
      </c>
      <c r="E1609" t="s">
        <v>31112</v>
      </c>
      <c r="F1609" t="s">
        <v>31113</v>
      </c>
      <c r="G1609" t="s">
        <v>31114</v>
      </c>
      <c r="H1609" t="s">
        <v>31115</v>
      </c>
      <c r="I1609" t="s">
        <v>31116</v>
      </c>
      <c r="J1609" t="s">
        <v>31117</v>
      </c>
      <c r="K1609" t="s">
        <v>31118</v>
      </c>
      <c r="L1609" t="s">
        <v>31119</v>
      </c>
      <c r="M1609" t="s">
        <v>31120</v>
      </c>
      <c r="N1609" t="s">
        <v>31121</v>
      </c>
      <c r="O1609">
        <f>-658.059292435242 -149.924000452122 -502.734401291957</f>
        <v>-1310.7176941793209</v>
      </c>
      <c r="P1609">
        <f>-616.184771118575 -179.696449619089 -225.356171019356</f>
        <v>-1021.23739175702</v>
      </c>
      <c r="Q1609">
        <f>-453.364410065503 -111.418299871071 -376.273855811791</f>
        <v>-941.05656574836507</v>
      </c>
      <c r="R1609" t="s">
        <v>31122</v>
      </c>
      <c r="S1609" t="s">
        <v>31123</v>
      </c>
      <c r="T1609" t="s">
        <v>31124</v>
      </c>
      <c r="U1609" t="s">
        <v>31125</v>
      </c>
      <c r="V1609">
        <f>-576.154903209721 -53.4285376822943 -91.1425941420345</f>
        <v>-720.7260350340498</v>
      </c>
      <c r="W1609" t="s">
        <v>31126</v>
      </c>
      <c r="X1609" t="s">
        <v>31127</v>
      </c>
      <c r="Y1609" t="s">
        <v>31128</v>
      </c>
    </row>
    <row r="1610" spans="1:25" x14ac:dyDescent="0.3">
      <c r="A1610">
        <v>80450</v>
      </c>
      <c r="B1610" t="s">
        <v>31129</v>
      </c>
      <c r="C1610" t="s">
        <v>31130</v>
      </c>
      <c r="D1610" t="s">
        <v>31131</v>
      </c>
      <c r="E1610" t="s">
        <v>31132</v>
      </c>
      <c r="F1610" t="s">
        <v>31133</v>
      </c>
      <c r="G1610" t="s">
        <v>31134</v>
      </c>
      <c r="H1610" t="s">
        <v>31135</v>
      </c>
      <c r="I1610" t="s">
        <v>31136</v>
      </c>
      <c r="J1610" t="s">
        <v>31137</v>
      </c>
      <c r="K1610" t="s">
        <v>31138</v>
      </c>
      <c r="L1610" t="s">
        <v>31139</v>
      </c>
      <c r="M1610" t="s">
        <v>31140</v>
      </c>
      <c r="N1610" t="s">
        <v>31141</v>
      </c>
      <c r="O1610">
        <f>-657.728962972972 -149.888299568273 -502.728121641807</f>
        <v>-1310.3453841830519</v>
      </c>
      <c r="P1610">
        <f>-614.686076637025 -179.825107112645 -225.546517543242</f>
        <v>-1020.057701292912</v>
      </c>
      <c r="Q1610">
        <f>-452.637965271674 -111.373957216502 -377.215092431696</f>
        <v>-941.22701491987198</v>
      </c>
      <c r="R1610" t="s">
        <v>31142</v>
      </c>
      <c r="S1610" t="s">
        <v>31143</v>
      </c>
      <c r="T1610" t="s">
        <v>31144</v>
      </c>
      <c r="U1610" t="s">
        <v>31145</v>
      </c>
      <c r="V1610">
        <f>-575.737181402304 -53.4575416159871 -91.0762703961419</f>
        <v>-720.27099341443306</v>
      </c>
      <c r="W1610" t="s">
        <v>31146</v>
      </c>
      <c r="X1610" t="s">
        <v>31147</v>
      </c>
      <c r="Y1610" t="s">
        <v>31148</v>
      </c>
    </row>
    <row r="1611" spans="1:25" x14ac:dyDescent="0.3">
      <c r="A1611">
        <v>80500</v>
      </c>
      <c r="B1611" t="s">
        <v>31149</v>
      </c>
      <c r="C1611" t="s">
        <v>31150</v>
      </c>
      <c r="D1611" t="s">
        <v>31151</v>
      </c>
      <c r="E1611" t="s">
        <v>31152</v>
      </c>
      <c r="F1611" t="s">
        <v>31153</v>
      </c>
      <c r="G1611" t="s">
        <v>31154</v>
      </c>
      <c r="H1611" t="s">
        <v>31155</v>
      </c>
      <c r="I1611" t="s">
        <v>31156</v>
      </c>
      <c r="J1611" t="s">
        <v>31157</v>
      </c>
      <c r="K1611" t="s">
        <v>31158</v>
      </c>
      <c r="L1611" t="s">
        <v>31159</v>
      </c>
      <c r="M1611" t="s">
        <v>31160</v>
      </c>
      <c r="N1611" t="s">
        <v>31161</v>
      </c>
      <c r="O1611">
        <f>-657.369931523674 -149.676197940474 -502.851165117688</f>
        <v>-1309.8972945818361</v>
      </c>
      <c r="P1611">
        <f>-610.887292757052 -180.085117889955 -226.276972677451</f>
        <v>-1017.249383324458</v>
      </c>
      <c r="Q1611">
        <f>-451.006585278241 -111.018869398458 -379.953722581373</f>
        <v>-941.97917725807201</v>
      </c>
      <c r="R1611" t="s">
        <v>31162</v>
      </c>
      <c r="S1611" t="s">
        <v>31163</v>
      </c>
      <c r="T1611" t="s">
        <v>31164</v>
      </c>
      <c r="U1611" t="s">
        <v>31165</v>
      </c>
      <c r="V1611">
        <f>-574.911532226821 -53.5270018875353 -90.9679260403593</f>
        <v>-719.40646015471566</v>
      </c>
      <c r="W1611" t="s">
        <v>31166</v>
      </c>
      <c r="X1611" t="s">
        <v>31167</v>
      </c>
      <c r="Y1611" t="s">
        <v>31168</v>
      </c>
    </row>
    <row r="1612" spans="1:25" x14ac:dyDescent="0.3">
      <c r="A1612">
        <v>80550</v>
      </c>
      <c r="B1612" t="s">
        <v>31169</v>
      </c>
      <c r="C1612" t="s">
        <v>31170</v>
      </c>
      <c r="D1612" t="s">
        <v>31171</v>
      </c>
      <c r="E1612" t="s">
        <v>31172</v>
      </c>
      <c r="F1612" t="s">
        <v>31173</v>
      </c>
      <c r="G1612" t="s">
        <v>31174</v>
      </c>
      <c r="H1612" t="s">
        <v>31175</v>
      </c>
      <c r="I1612" t="s">
        <v>31176</v>
      </c>
      <c r="J1612" t="s">
        <v>31177</v>
      </c>
      <c r="K1612" t="s">
        <v>31178</v>
      </c>
      <c r="L1612" t="s">
        <v>31179</v>
      </c>
      <c r="M1612" t="s">
        <v>31180</v>
      </c>
      <c r="N1612" t="s">
        <v>31181</v>
      </c>
      <c r="O1612">
        <f>-657.192572221565 -149.552275778893 -502.968273667728</f>
        <v>-1309.713121668186</v>
      </c>
      <c r="P1612">
        <f>-608.489153638064 -180.268987178651 -226.810550494168</f>
        <v>-1015.568691310883</v>
      </c>
      <c r="Q1612">
        <f>-449.970218888174 -110.761357375241 -381.69429597404</f>
        <v>-942.425872237455</v>
      </c>
      <c r="R1612" t="s">
        <v>31182</v>
      </c>
      <c r="S1612" t="s">
        <v>31183</v>
      </c>
      <c r="T1612" t="s">
        <v>31184</v>
      </c>
      <c r="U1612" t="s">
        <v>31185</v>
      </c>
      <c r="V1612">
        <f>-574.527315711862 -53.6607055093752 -90.9155918542979</f>
        <v>-719.10361307553512</v>
      </c>
      <c r="W1612" t="s">
        <v>31186</v>
      </c>
      <c r="X1612" t="s">
        <v>31187</v>
      </c>
      <c r="Y1612" t="s">
        <v>31188</v>
      </c>
    </row>
    <row r="1613" spans="1:25" x14ac:dyDescent="0.3">
      <c r="A1613">
        <v>80600</v>
      </c>
      <c r="B1613" t="s">
        <v>31189</v>
      </c>
      <c r="C1613" t="s">
        <v>31190</v>
      </c>
      <c r="D1613" t="s">
        <v>31191</v>
      </c>
      <c r="E1613" t="s">
        <v>31192</v>
      </c>
      <c r="F1613" t="s">
        <v>31193</v>
      </c>
      <c r="G1613" t="s">
        <v>31194</v>
      </c>
      <c r="H1613" t="s">
        <v>31195</v>
      </c>
      <c r="I1613" t="s">
        <v>31196</v>
      </c>
      <c r="J1613" t="s">
        <v>31197</v>
      </c>
      <c r="K1613" t="s">
        <v>31198</v>
      </c>
      <c r="L1613" t="s">
        <v>31199</v>
      </c>
      <c r="M1613" t="s">
        <v>31200</v>
      </c>
      <c r="N1613" t="s">
        <v>31201</v>
      </c>
      <c r="O1613">
        <f>-656.611298309817 -149.25754600356 -503.246129016845</f>
        <v>-1309.114973330222</v>
      </c>
      <c r="P1613">
        <f>-603.517826017234 -180.320143827081 -227.937735727872</f>
        <v>-1011.775705572187</v>
      </c>
      <c r="Q1613">
        <f>-447.6808819038 -110.556651268492 -385.40648047324</f>
        <v>-943.64401364553203</v>
      </c>
      <c r="R1613" t="s">
        <v>31202</v>
      </c>
      <c r="S1613" t="s">
        <v>31203</v>
      </c>
      <c r="T1613" t="s">
        <v>31204</v>
      </c>
      <c r="U1613" t="s">
        <v>31205</v>
      </c>
      <c r="V1613">
        <f>-573.771360530668 -53.7954004211458 -90.8026698810315</f>
        <v>-718.3694308328453</v>
      </c>
      <c r="W1613" t="s">
        <v>31206</v>
      </c>
      <c r="X1613" t="s">
        <v>31207</v>
      </c>
      <c r="Y1613" t="s">
        <v>31208</v>
      </c>
    </row>
    <row r="1614" spans="1:25" x14ac:dyDescent="0.3">
      <c r="A1614">
        <v>80650</v>
      </c>
      <c r="B1614" t="s">
        <v>31209</v>
      </c>
      <c r="C1614" t="s">
        <v>31210</v>
      </c>
      <c r="D1614" t="s">
        <v>31211</v>
      </c>
      <c r="E1614" t="s">
        <v>31212</v>
      </c>
      <c r="F1614" t="s">
        <v>31213</v>
      </c>
      <c r="G1614" t="s">
        <v>31214</v>
      </c>
      <c r="H1614" t="s">
        <v>31215</v>
      </c>
      <c r="I1614" t="s">
        <v>31216</v>
      </c>
      <c r="J1614" t="s">
        <v>31217</v>
      </c>
      <c r="K1614" t="s">
        <v>31218</v>
      </c>
      <c r="L1614" t="s">
        <v>31219</v>
      </c>
      <c r="M1614" t="s">
        <v>31220</v>
      </c>
      <c r="N1614" t="s">
        <v>31221</v>
      </c>
      <c r="O1614">
        <f>-656.33949340703 -149.130899089444 -503.42109704428</f>
        <v>-1308.891489540754</v>
      </c>
      <c r="P1614">
        <f>-601.32842068969 -180.366307346806 -228.508923164279</f>
        <v>-1010.2036512007751</v>
      </c>
      <c r="Q1614">
        <f>-446.802530451012 -110.543872205565 -387.238556678202</f>
        <v>-944.58495933477889</v>
      </c>
      <c r="R1614" t="s">
        <v>31222</v>
      </c>
      <c r="S1614" t="s">
        <v>31223</v>
      </c>
      <c r="T1614" t="s">
        <v>31224</v>
      </c>
      <c r="U1614" t="s">
        <v>31225</v>
      </c>
      <c r="V1614">
        <f>-573.485104425478 -53.9257888543787 -90.7574401356923</f>
        <v>-718.16833341554889</v>
      </c>
      <c r="W1614" t="s">
        <v>31226</v>
      </c>
      <c r="X1614" t="s">
        <v>31227</v>
      </c>
      <c r="Y1614" t="s">
        <v>31228</v>
      </c>
    </row>
    <row r="1615" spans="1:25" x14ac:dyDescent="0.3">
      <c r="A1615">
        <v>80700</v>
      </c>
      <c r="B1615" t="s">
        <v>31229</v>
      </c>
      <c r="C1615" t="s">
        <v>31230</v>
      </c>
      <c r="D1615" t="s">
        <v>31231</v>
      </c>
      <c r="E1615" t="s">
        <v>31232</v>
      </c>
      <c r="F1615" t="s">
        <v>31233</v>
      </c>
      <c r="G1615" t="s">
        <v>31234</v>
      </c>
      <c r="H1615" t="s">
        <v>31235</v>
      </c>
      <c r="I1615" t="s">
        <v>31236</v>
      </c>
      <c r="J1615" t="s">
        <v>31237</v>
      </c>
      <c r="K1615" t="s">
        <v>31238</v>
      </c>
      <c r="L1615" t="s">
        <v>31239</v>
      </c>
      <c r="M1615" t="s">
        <v>31240</v>
      </c>
      <c r="N1615" t="s">
        <v>31241</v>
      </c>
      <c r="O1615">
        <f>-655.502476229135 -149.139164240145 -503.789928530768</f>
        <v>-1308.4315690000481</v>
      </c>
      <c r="P1615">
        <f>-597.376044876492 -180.552430501892 -229.539783722426</f>
        <v>-1007.46825910081</v>
      </c>
      <c r="Q1615">
        <f>-445.537216107535 -110.528252410305 -390.754440116483</f>
        <v>-946.81990863432304</v>
      </c>
      <c r="R1615" t="s">
        <v>31242</v>
      </c>
      <c r="S1615" t="s">
        <v>31243</v>
      </c>
      <c r="T1615" t="s">
        <v>31244</v>
      </c>
      <c r="U1615" t="s">
        <v>31245</v>
      </c>
      <c r="V1615">
        <f>-573.040108452452 -54.391257438313 -90.6957706382551</f>
        <v>-718.12713652902016</v>
      </c>
      <c r="W1615" t="s">
        <v>31246</v>
      </c>
      <c r="X1615" t="s">
        <v>31247</v>
      </c>
      <c r="Y1615" t="s">
        <v>31248</v>
      </c>
    </row>
    <row r="1616" spans="1:25" x14ac:dyDescent="0.3">
      <c r="A1616">
        <v>80750</v>
      </c>
      <c r="B1616" t="s">
        <v>31249</v>
      </c>
      <c r="C1616" t="s">
        <v>31250</v>
      </c>
      <c r="D1616" t="s">
        <v>31251</v>
      </c>
      <c r="E1616" t="s">
        <v>31252</v>
      </c>
      <c r="F1616" t="s">
        <v>31253</v>
      </c>
      <c r="G1616" t="s">
        <v>31254</v>
      </c>
      <c r="H1616" t="s">
        <v>31255</v>
      </c>
      <c r="I1616" t="s">
        <v>31256</v>
      </c>
      <c r="J1616" t="s">
        <v>31257</v>
      </c>
      <c r="K1616" t="s">
        <v>31258</v>
      </c>
      <c r="L1616" t="s">
        <v>31259</v>
      </c>
      <c r="M1616" t="s">
        <v>31260</v>
      </c>
      <c r="N1616" t="s">
        <v>31261</v>
      </c>
      <c r="O1616">
        <f>-654.969686517258 -149.287317790066 -503.973172224357</f>
        <v>-1308.2301765316811</v>
      </c>
      <c r="P1616">
        <f>-595.593750313553 -180.908099438899 -230.014659483298</f>
        <v>-1006.51650923575</v>
      </c>
      <c r="Q1616">
        <f>-445.237877357054 -110.688497295236 -392.528827011657</f>
        <v>-948.45520166394692</v>
      </c>
      <c r="R1616" t="s">
        <v>31262</v>
      </c>
      <c r="S1616" t="s">
        <v>31263</v>
      </c>
      <c r="T1616" t="s">
        <v>31264</v>
      </c>
      <c r="U1616" t="s">
        <v>31265</v>
      </c>
      <c r="V1616">
        <f>-572.908631246341 -54.687202818998 -90.6861146815688</f>
        <v>-718.2819487469078</v>
      </c>
      <c r="W1616" t="s">
        <v>31266</v>
      </c>
      <c r="X1616" t="s">
        <v>31267</v>
      </c>
      <c r="Y1616" t="s">
        <v>31268</v>
      </c>
    </row>
    <row r="1617" spans="1:25" x14ac:dyDescent="0.3">
      <c r="A1617">
        <v>80800</v>
      </c>
      <c r="B1617" t="s">
        <v>31269</v>
      </c>
      <c r="C1617" t="s">
        <v>31270</v>
      </c>
      <c r="D1617" t="s">
        <v>31271</v>
      </c>
      <c r="E1617" t="s">
        <v>31272</v>
      </c>
      <c r="F1617" t="s">
        <v>31273</v>
      </c>
      <c r="G1617" t="s">
        <v>31274</v>
      </c>
      <c r="H1617" t="s">
        <v>31275</v>
      </c>
      <c r="I1617" t="s">
        <v>31276</v>
      </c>
      <c r="J1617" t="s">
        <v>31277</v>
      </c>
      <c r="K1617" t="s">
        <v>31278</v>
      </c>
      <c r="L1617" t="s">
        <v>31279</v>
      </c>
      <c r="M1617" t="s">
        <v>31280</v>
      </c>
      <c r="N1617" t="s">
        <v>31281</v>
      </c>
      <c r="O1617">
        <f>-653.981920761907 -149.587329658397 -504.443758681659</f>
        <v>-1308.013009101963</v>
      </c>
      <c r="P1617">
        <f>-592.329679524495 -181.707963439244 -231.046805973446</f>
        <v>-1005.084448937185</v>
      </c>
      <c r="Q1617">
        <f>-444.920036011606 -110.791459861735 -395.940042727577</f>
        <v>-951.651538600918</v>
      </c>
      <c r="R1617" t="s">
        <v>31282</v>
      </c>
      <c r="S1617" t="s">
        <v>31283</v>
      </c>
      <c r="T1617" t="s">
        <v>31284</v>
      </c>
      <c r="U1617" t="s">
        <v>31285</v>
      </c>
      <c r="V1617">
        <f>-572.765909152746 -55.3267360771654 -90.6877074438452</f>
        <v>-718.78035267375651</v>
      </c>
      <c r="W1617" t="s">
        <v>31286</v>
      </c>
      <c r="X1617" t="s">
        <v>31287</v>
      </c>
      <c r="Y1617" t="s">
        <v>31288</v>
      </c>
    </row>
    <row r="1618" spans="1:25" x14ac:dyDescent="0.3">
      <c r="A1618">
        <v>80850</v>
      </c>
      <c r="B1618" t="s">
        <v>31289</v>
      </c>
      <c r="C1618" t="s">
        <v>31290</v>
      </c>
      <c r="D1618" t="s">
        <v>31291</v>
      </c>
      <c r="E1618" t="s">
        <v>31292</v>
      </c>
      <c r="F1618" t="s">
        <v>31293</v>
      </c>
      <c r="G1618" t="s">
        <v>31294</v>
      </c>
      <c r="H1618" t="s">
        <v>31295</v>
      </c>
      <c r="I1618" t="s">
        <v>31296</v>
      </c>
      <c r="J1618" t="s">
        <v>31297</v>
      </c>
      <c r="K1618" t="s">
        <v>31298</v>
      </c>
      <c r="L1618" t="s">
        <v>31299</v>
      </c>
      <c r="M1618" t="s">
        <v>31300</v>
      </c>
      <c r="N1618" t="s">
        <v>31301</v>
      </c>
      <c r="O1618">
        <f>-653.724563574679 -149.558689977229 -504.652117101629</f>
        <v>-1307.9353706535371</v>
      </c>
      <c r="P1618">
        <f>-590.812497706718 -181.823591278509 -231.559330840094</f>
        <v>-1004.1954198253209</v>
      </c>
      <c r="Q1618">
        <f>-445.000083230145 -110.347731583769 -397.626969370136</f>
        <v>-952.97478418404989</v>
      </c>
      <c r="R1618" t="s">
        <v>31302</v>
      </c>
      <c r="S1618" t="s">
        <v>31303</v>
      </c>
      <c r="T1618" t="s">
        <v>31304</v>
      </c>
      <c r="U1618" t="s">
        <v>31305</v>
      </c>
      <c r="V1618">
        <f>-572.72470246864 -55.6001567192959 -90.6863823037251</f>
        <v>-719.01124149166094</v>
      </c>
      <c r="W1618" t="s">
        <v>31306</v>
      </c>
      <c r="X1618" t="s">
        <v>31307</v>
      </c>
      <c r="Y1618" t="s">
        <v>31308</v>
      </c>
    </row>
    <row r="1619" spans="1:25" x14ac:dyDescent="0.3">
      <c r="A1619">
        <v>80900</v>
      </c>
      <c r="B1619" t="s">
        <v>31309</v>
      </c>
      <c r="C1619" t="s">
        <v>31310</v>
      </c>
      <c r="D1619" t="s">
        <v>31311</v>
      </c>
      <c r="E1619" t="s">
        <v>31312</v>
      </c>
      <c r="F1619" t="s">
        <v>31313</v>
      </c>
      <c r="G1619" t="s">
        <v>31314</v>
      </c>
      <c r="H1619" t="s">
        <v>31315</v>
      </c>
      <c r="I1619" t="s">
        <v>31316</v>
      </c>
      <c r="J1619" t="s">
        <v>31317</v>
      </c>
      <c r="K1619" t="s">
        <v>31318</v>
      </c>
      <c r="L1619" t="s">
        <v>31319</v>
      </c>
      <c r="M1619" t="s">
        <v>31320</v>
      </c>
      <c r="N1619" t="s">
        <v>31321</v>
      </c>
      <c r="O1619">
        <f>-652.913816283963 -149.409707394957 -505.211784039548</f>
        <v>-1307.5353077184679</v>
      </c>
      <c r="P1619">
        <f>-587.763134103916 -182.360276822852 -232.726387325567</f>
        <v>-1002.8497982523349</v>
      </c>
      <c r="Q1619">
        <f>-445.06774076663 -109.253719455703 -400.780005433621</f>
        <v>-955.10146565595403</v>
      </c>
      <c r="R1619" t="s">
        <v>31322</v>
      </c>
      <c r="S1619" t="s">
        <v>31323</v>
      </c>
      <c r="T1619" t="s">
        <v>31324</v>
      </c>
      <c r="U1619" t="s">
        <v>31325</v>
      </c>
      <c r="V1619">
        <f>-572.949743487815 -56.0467217920668 -90.7310902867716</f>
        <v>-719.72755556665345</v>
      </c>
      <c r="W1619" t="s">
        <v>31326</v>
      </c>
      <c r="X1619" t="s">
        <v>31327</v>
      </c>
      <c r="Y1619" t="s">
        <v>31328</v>
      </c>
    </row>
    <row r="1620" spans="1:25" x14ac:dyDescent="0.3">
      <c r="A1620">
        <v>80950</v>
      </c>
      <c r="B1620" t="s">
        <v>31329</v>
      </c>
      <c r="C1620" t="s">
        <v>31330</v>
      </c>
      <c r="D1620" t="s">
        <v>31331</v>
      </c>
      <c r="E1620" t="s">
        <v>31332</v>
      </c>
      <c r="F1620" t="s">
        <v>31333</v>
      </c>
      <c r="G1620" t="s">
        <v>31334</v>
      </c>
      <c r="H1620" t="s">
        <v>31335</v>
      </c>
      <c r="I1620" t="s">
        <v>31336</v>
      </c>
      <c r="J1620" t="s">
        <v>31337</v>
      </c>
      <c r="K1620" t="s">
        <v>31338</v>
      </c>
      <c r="L1620" t="s">
        <v>31339</v>
      </c>
      <c r="M1620" t="s">
        <v>31340</v>
      </c>
      <c r="N1620" t="s">
        <v>31341</v>
      </c>
      <c r="O1620">
        <f>-652.44966026206 -149.380866488862 -505.622863289818</f>
        <v>-1307.45339004074</v>
      </c>
      <c r="P1620">
        <f>-586.596393181917 -182.916378528435 -233.377926197335</f>
        <v>-1002.890697907687</v>
      </c>
      <c r="Q1620">
        <f>-445.249330563921 -108.811188909037 -402.131999384601</f>
        <v>-956.19251885755898</v>
      </c>
      <c r="R1620" t="s">
        <v>31342</v>
      </c>
      <c r="S1620" t="s">
        <v>31343</v>
      </c>
      <c r="T1620" t="s">
        <v>31344</v>
      </c>
      <c r="U1620" t="s">
        <v>31345</v>
      </c>
      <c r="V1620">
        <f>-573.088589093667 -56.224461889032 -90.7620972508429</f>
        <v>-720.07514823354188</v>
      </c>
      <c r="W1620" t="s">
        <v>31346</v>
      </c>
      <c r="X1620" t="s">
        <v>31347</v>
      </c>
      <c r="Y1620" t="s">
        <v>31348</v>
      </c>
    </row>
    <row r="1621" spans="1:25" x14ac:dyDescent="0.3">
      <c r="A1621">
        <v>81000</v>
      </c>
      <c r="B1621" t="s">
        <v>31349</v>
      </c>
      <c r="C1621" t="s">
        <v>31350</v>
      </c>
      <c r="D1621" t="s">
        <v>31351</v>
      </c>
      <c r="E1621" t="s">
        <v>31352</v>
      </c>
      <c r="F1621" t="s">
        <v>31353</v>
      </c>
      <c r="G1621" t="s">
        <v>31354</v>
      </c>
      <c r="H1621" t="s">
        <v>31355</v>
      </c>
      <c r="I1621" t="s">
        <v>31356</v>
      </c>
      <c r="J1621" t="s">
        <v>31357</v>
      </c>
      <c r="K1621" t="s">
        <v>31358</v>
      </c>
      <c r="L1621" t="s">
        <v>31359</v>
      </c>
      <c r="M1621" t="s">
        <v>31360</v>
      </c>
      <c r="N1621" t="s">
        <v>31361</v>
      </c>
      <c r="O1621">
        <f>-651.931130415482 -149.305336220315 -506.160018713588</f>
        <v>-1307.3964853493849</v>
      </c>
      <c r="P1621">
        <f>-584.770590355948 -183.328517109051 -234.295239491519</f>
        <v>-1002.3943469565179</v>
      </c>
      <c r="Q1621">
        <f>-445.473641199686 -107.972650660267 -404.196298003883</f>
        <v>-957.64258986383606</v>
      </c>
      <c r="R1621" t="s">
        <v>31362</v>
      </c>
      <c r="S1621" t="s">
        <v>31363</v>
      </c>
      <c r="T1621" t="s">
        <v>31364</v>
      </c>
      <c r="U1621" t="s">
        <v>31365</v>
      </c>
      <c r="V1621">
        <f>-573.237661940124 -56.520813240403 -90.8229012909869</f>
        <v>-720.58137647151386</v>
      </c>
      <c r="W1621" t="s">
        <v>31366</v>
      </c>
      <c r="X1621" t="s">
        <v>31367</v>
      </c>
      <c r="Y1621" t="s">
        <v>31368</v>
      </c>
    </row>
    <row r="1622" spans="1:25" x14ac:dyDescent="0.3">
      <c r="A1622">
        <v>81050</v>
      </c>
      <c r="B1622" t="s">
        <v>31369</v>
      </c>
      <c r="C1622" t="s">
        <v>31370</v>
      </c>
      <c r="D1622" t="s">
        <v>31371</v>
      </c>
      <c r="E1622" t="s">
        <v>31372</v>
      </c>
      <c r="F1622" t="s">
        <v>31373</v>
      </c>
      <c r="G1622" t="s">
        <v>31374</v>
      </c>
      <c r="H1622" t="s">
        <v>31375</v>
      </c>
      <c r="I1622" t="s">
        <v>31376</v>
      </c>
      <c r="J1622" t="s">
        <v>31377</v>
      </c>
      <c r="K1622" t="s">
        <v>31378</v>
      </c>
      <c r="L1622" t="s">
        <v>31379</v>
      </c>
      <c r="M1622" t="s">
        <v>31380</v>
      </c>
      <c r="N1622" t="s">
        <v>31381</v>
      </c>
      <c r="O1622">
        <f>-651.780703274609 -149.27893601465 -506.325610272565</f>
        <v>-1307.3852495618239</v>
      </c>
      <c r="P1622">
        <f>-584.360799040489 -183.245768642451 -234.517942665402</f>
        <v>-1002.124510348342</v>
      </c>
      <c r="Q1622">
        <f>-445.459839576939 -107.804517124549 -404.705004238923</f>
        <v>-957.96936094041098</v>
      </c>
      <c r="R1622" t="s">
        <v>31382</v>
      </c>
      <c r="S1622" t="s">
        <v>31383</v>
      </c>
      <c r="T1622" t="s">
        <v>31384</v>
      </c>
      <c r="U1622" t="s">
        <v>31385</v>
      </c>
      <c r="V1622">
        <f>-573.270551170228 -56.6747356429796 -90.8592917062276</f>
        <v>-720.80457851943527</v>
      </c>
      <c r="W1622" t="s">
        <v>31386</v>
      </c>
      <c r="X1622" t="s">
        <v>31387</v>
      </c>
      <c r="Y1622" t="s">
        <v>31388</v>
      </c>
    </row>
    <row r="1623" spans="1:25" x14ac:dyDescent="0.3">
      <c r="A1623">
        <v>81100</v>
      </c>
      <c r="B1623" t="s">
        <v>31389</v>
      </c>
      <c r="C1623" t="s">
        <v>31390</v>
      </c>
      <c r="D1623" t="s">
        <v>31391</v>
      </c>
      <c r="E1623" t="s">
        <v>31392</v>
      </c>
      <c r="F1623" t="s">
        <v>31393</v>
      </c>
      <c r="G1623" t="s">
        <v>31394</v>
      </c>
      <c r="H1623" t="s">
        <v>31395</v>
      </c>
      <c r="I1623" t="s">
        <v>31396</v>
      </c>
      <c r="J1623" t="s">
        <v>31397</v>
      </c>
      <c r="K1623" t="s">
        <v>31398</v>
      </c>
      <c r="L1623" t="s">
        <v>31399</v>
      </c>
      <c r="M1623" t="s">
        <v>31400</v>
      </c>
      <c r="N1623" t="s">
        <v>31401</v>
      </c>
      <c r="O1623">
        <f>-651.232313474567 -149.122750168613 -506.714029058214</f>
        <v>-1307.0690927013941</v>
      </c>
      <c r="P1623">
        <f>-584.459910443369 -183.423047006001 -234.788480391664</f>
        <v>-1002.671437841034</v>
      </c>
      <c r="Q1623">
        <f>-445.411104036692 -107.688403728705 -404.724325683737</f>
        <v>-957.82383344913399</v>
      </c>
      <c r="R1623" t="s">
        <v>31402</v>
      </c>
      <c r="S1623" t="s">
        <v>31403</v>
      </c>
      <c r="T1623" t="s">
        <v>31404</v>
      </c>
      <c r="U1623" t="s">
        <v>31405</v>
      </c>
      <c r="V1623">
        <f>-573.178679100771 -56.885045351713 -90.898359599002</f>
        <v>-720.96208405148593</v>
      </c>
      <c r="W1623" t="s">
        <v>31406</v>
      </c>
      <c r="X1623" t="s">
        <v>31407</v>
      </c>
      <c r="Y1623" t="s">
        <v>31408</v>
      </c>
    </row>
    <row r="1624" spans="1:25" x14ac:dyDescent="0.3">
      <c r="A1624">
        <v>81150</v>
      </c>
      <c r="B1624" t="s">
        <v>31409</v>
      </c>
      <c r="C1624" t="s">
        <v>31410</v>
      </c>
      <c r="D1624" t="s">
        <v>31411</v>
      </c>
      <c r="E1624" t="s">
        <v>31412</v>
      </c>
      <c r="F1624" t="s">
        <v>31413</v>
      </c>
      <c r="G1624" t="s">
        <v>31414</v>
      </c>
      <c r="H1624" t="s">
        <v>31415</v>
      </c>
      <c r="I1624" t="s">
        <v>31416</v>
      </c>
      <c r="J1624" t="s">
        <v>31417</v>
      </c>
      <c r="K1624" t="s">
        <v>31418</v>
      </c>
      <c r="L1624" t="s">
        <v>31419</v>
      </c>
      <c r="M1624" t="s">
        <v>31420</v>
      </c>
      <c r="N1624" t="s">
        <v>31421</v>
      </c>
      <c r="O1624">
        <f>-650.924036172904 -148.974022112195 -506.8783480928</f>
        <v>-1306.7764063778991</v>
      </c>
      <c r="P1624">
        <f>-584.796857247083 -183.508009243415 -234.824726795079</f>
        <v>-1003.129593285577</v>
      </c>
      <c r="Q1624">
        <f>-445.381517759041 -107.46528714999 -404.322232473836</f>
        <v>-957.16903738286692</v>
      </c>
      <c r="R1624" t="s">
        <v>31422</v>
      </c>
      <c r="S1624" t="s">
        <v>31423</v>
      </c>
      <c r="T1624" t="s">
        <v>31424</v>
      </c>
      <c r="U1624" t="s">
        <v>31425</v>
      </c>
      <c r="V1624">
        <f>-573.024098423419 -56.9413893881379 -90.8884568965672</f>
        <v>-720.853944708124</v>
      </c>
      <c r="W1624" t="s">
        <v>31426</v>
      </c>
      <c r="X1624" t="s">
        <v>31427</v>
      </c>
      <c r="Y1624" t="s">
        <v>31428</v>
      </c>
    </row>
    <row r="1625" spans="1:25" x14ac:dyDescent="0.3">
      <c r="A1625">
        <v>81200</v>
      </c>
      <c r="B1625" t="s">
        <v>31429</v>
      </c>
      <c r="C1625" t="s">
        <v>31430</v>
      </c>
      <c r="D1625" t="s">
        <v>31431</v>
      </c>
      <c r="E1625" t="s">
        <v>31432</v>
      </c>
      <c r="F1625" t="s">
        <v>31433</v>
      </c>
      <c r="G1625" t="s">
        <v>31434</v>
      </c>
      <c r="H1625" t="s">
        <v>31435</v>
      </c>
      <c r="I1625" t="s">
        <v>31436</v>
      </c>
      <c r="J1625" t="s">
        <v>31437</v>
      </c>
      <c r="K1625" t="s">
        <v>31438</v>
      </c>
      <c r="L1625" t="s">
        <v>31439</v>
      </c>
      <c r="M1625" t="s">
        <v>31440</v>
      </c>
      <c r="N1625" t="s">
        <v>31441</v>
      </c>
      <c r="O1625">
        <f>-650.296406087586 -148.443304147161 -507.047756494942</f>
        <v>-1305.787466729689</v>
      </c>
      <c r="P1625">
        <f>-585.646930330145 -183.358647109704 -234.68785108327</f>
        <v>-1003.6934285231191</v>
      </c>
      <c r="Q1625">
        <f>-445.12128605002 -106.60443838559 -402.943225525307</f>
        <v>-954.66894996091696</v>
      </c>
      <c r="R1625" t="s">
        <v>31442</v>
      </c>
      <c r="S1625" t="s">
        <v>31443</v>
      </c>
      <c r="T1625" t="s">
        <v>31444</v>
      </c>
      <c r="U1625" t="s">
        <v>31445</v>
      </c>
      <c r="V1625">
        <f>-572.530012917887 -56.967503498126 -90.7501582557735</f>
        <v>-720.24767467178651</v>
      </c>
      <c r="W1625" t="s">
        <v>31446</v>
      </c>
      <c r="X1625" t="s">
        <v>31447</v>
      </c>
      <c r="Y1625" t="s">
        <v>31448</v>
      </c>
    </row>
    <row r="1626" spans="1:25" x14ac:dyDescent="0.3">
      <c r="A1626">
        <v>81250</v>
      </c>
      <c r="B1626" t="s">
        <v>31449</v>
      </c>
      <c r="C1626" t="s">
        <v>31450</v>
      </c>
      <c r="D1626" t="s">
        <v>31451</v>
      </c>
      <c r="E1626" t="s">
        <v>31452</v>
      </c>
      <c r="F1626" t="s">
        <v>31453</v>
      </c>
      <c r="G1626" t="s">
        <v>31454</v>
      </c>
      <c r="H1626" t="s">
        <v>31455</v>
      </c>
      <c r="I1626" t="s">
        <v>31456</v>
      </c>
      <c r="J1626" t="s">
        <v>31457</v>
      </c>
      <c r="K1626" t="s">
        <v>31458</v>
      </c>
      <c r="L1626" t="s">
        <v>31459</v>
      </c>
      <c r="M1626" t="s">
        <v>31460</v>
      </c>
      <c r="N1626" t="s">
        <v>31461</v>
      </c>
      <c r="O1626">
        <f>-650.058849680264 -148.122700997176 -507.065961014016</f>
        <v>-1305.2475116914561</v>
      </c>
      <c r="P1626">
        <f>-586.021844165658 -183.108203105191 -234.570412787718</f>
        <v>-1003.7004600585669</v>
      </c>
      <c r="Q1626">
        <f>-444.917101282112 -106.020315404206 -402.187425625165</f>
        <v>-953.12484231148301</v>
      </c>
      <c r="R1626" t="s">
        <v>31462</v>
      </c>
      <c r="S1626" t="s">
        <v>31463</v>
      </c>
      <c r="T1626" t="s">
        <v>31464</v>
      </c>
      <c r="U1626" t="s">
        <v>31465</v>
      </c>
      <c r="V1626">
        <f>-572.324700443942 -56.8009129479567 -90.6478318377925</f>
        <v>-719.77344522969122</v>
      </c>
      <c r="W1626" t="s">
        <v>31466</v>
      </c>
      <c r="X1626" t="s">
        <v>31467</v>
      </c>
      <c r="Y1626" t="s">
        <v>31468</v>
      </c>
    </row>
    <row r="1627" spans="1:25" x14ac:dyDescent="0.3">
      <c r="A1627">
        <v>81300</v>
      </c>
      <c r="B1627" t="s">
        <v>31469</v>
      </c>
      <c r="C1627" t="s">
        <v>31470</v>
      </c>
      <c r="D1627" t="s">
        <v>31471</v>
      </c>
      <c r="E1627" t="s">
        <v>31472</v>
      </c>
      <c r="F1627" t="s">
        <v>31473</v>
      </c>
      <c r="G1627" t="s">
        <v>31474</v>
      </c>
      <c r="H1627" t="s">
        <v>31475</v>
      </c>
      <c r="I1627" t="s">
        <v>31476</v>
      </c>
      <c r="J1627" t="s">
        <v>31477</v>
      </c>
      <c r="K1627" t="s">
        <v>31478</v>
      </c>
      <c r="L1627" t="s">
        <v>31479</v>
      </c>
      <c r="M1627" t="s">
        <v>31480</v>
      </c>
      <c r="N1627" t="s">
        <v>31481</v>
      </c>
      <c r="O1627">
        <f>-649.747889379197 -147.367492058229 -507.084388929901</f>
        <v>-1304.1997703673269</v>
      </c>
      <c r="P1627">
        <f>-586.359985866162 -182.542904173338 -234.461456980159</f>
        <v>-1003.364347019659</v>
      </c>
      <c r="Q1627">
        <f>-444.756080905111 -104.666485658285 -401.291049636464</f>
        <v>-950.71361619985998</v>
      </c>
      <c r="R1627" t="s">
        <v>31482</v>
      </c>
      <c r="S1627" t="s">
        <v>31483</v>
      </c>
      <c r="T1627" t="s">
        <v>31484</v>
      </c>
      <c r="U1627" t="s">
        <v>31485</v>
      </c>
      <c r="V1627">
        <f>-571.982123997201 -56.4250760160294 -90.4640795124416</f>
        <v>-718.87127952567198</v>
      </c>
      <c r="W1627" t="s">
        <v>31486</v>
      </c>
      <c r="X1627" t="s">
        <v>31487</v>
      </c>
      <c r="Y1627" t="s">
        <v>31488</v>
      </c>
    </row>
    <row r="1628" spans="1:25" x14ac:dyDescent="0.3">
      <c r="A1628">
        <v>81350</v>
      </c>
      <c r="B1628" t="s">
        <v>31489</v>
      </c>
      <c r="C1628" t="s">
        <v>31490</v>
      </c>
      <c r="D1628" t="s">
        <v>31491</v>
      </c>
      <c r="E1628" t="s">
        <v>31492</v>
      </c>
      <c r="F1628" t="s">
        <v>31493</v>
      </c>
      <c r="G1628" t="s">
        <v>31494</v>
      </c>
      <c r="H1628" t="s">
        <v>31495</v>
      </c>
      <c r="I1628" t="s">
        <v>31496</v>
      </c>
      <c r="J1628" t="s">
        <v>31497</v>
      </c>
      <c r="K1628" t="s">
        <v>31498</v>
      </c>
      <c r="L1628" t="s">
        <v>31499</v>
      </c>
      <c r="M1628" t="s">
        <v>31500</v>
      </c>
      <c r="N1628" t="s">
        <v>31501</v>
      </c>
      <c r="O1628">
        <f>-649.616669139386 -146.951701084733 -507.098513559008</f>
        <v>-1303.6668837831271</v>
      </c>
      <c r="P1628">
        <f>-586.266208350359 -182.175062746947 -234.472980532372</f>
        <v>-1002.9142516296779</v>
      </c>
      <c r="Q1628">
        <f>-444.648382560487 -104.151602332619 -401.222099871976</f>
        <v>-950.02208476508213</v>
      </c>
      <c r="R1628" t="s">
        <v>31502</v>
      </c>
      <c r="S1628" t="s">
        <v>31503</v>
      </c>
      <c r="T1628" t="s">
        <v>31504</v>
      </c>
      <c r="U1628" t="s">
        <v>31505</v>
      </c>
      <c r="V1628">
        <f>-571.873512869415 -56.1865088225068 -90.3904932364194</f>
        <v>-718.45051492834114</v>
      </c>
      <c r="W1628" t="s">
        <v>31506</v>
      </c>
      <c r="X1628" t="s">
        <v>31507</v>
      </c>
      <c r="Y1628" t="s">
        <v>31508</v>
      </c>
    </row>
    <row r="1629" spans="1:25" x14ac:dyDescent="0.3">
      <c r="A1629">
        <v>81400</v>
      </c>
      <c r="B1629" t="s">
        <v>31509</v>
      </c>
      <c r="C1629" t="s">
        <v>31510</v>
      </c>
      <c r="D1629" t="s">
        <v>31511</v>
      </c>
      <c r="E1629" t="s">
        <v>31512</v>
      </c>
      <c r="F1629" t="s">
        <v>31513</v>
      </c>
      <c r="G1629" t="s">
        <v>31514</v>
      </c>
      <c r="H1629" t="s">
        <v>31515</v>
      </c>
      <c r="I1629" t="s">
        <v>31516</v>
      </c>
      <c r="J1629" t="s">
        <v>31517</v>
      </c>
      <c r="K1629" t="s">
        <v>31518</v>
      </c>
      <c r="L1629" t="s">
        <v>31519</v>
      </c>
      <c r="M1629" t="s">
        <v>31520</v>
      </c>
      <c r="N1629" t="s">
        <v>31521</v>
      </c>
      <c r="O1629">
        <f>-649.676366410498 -146.049957938719 -507.186984757402</f>
        <v>-1302.913309106619</v>
      </c>
      <c r="P1629">
        <f>-585.907320310652 -181.393500195513 -234.67479898953</f>
        <v>-1001.9756194956951</v>
      </c>
      <c r="Q1629">
        <f>-444.402926525847 -103.107180426927 -401.396926051045</f>
        <v>-948.90703300381892</v>
      </c>
      <c r="R1629" t="s">
        <v>31522</v>
      </c>
      <c r="S1629" t="s">
        <v>31523</v>
      </c>
      <c r="T1629" t="s">
        <v>31524</v>
      </c>
      <c r="U1629" t="s">
        <v>31525</v>
      </c>
      <c r="V1629">
        <f>-572.03926494538 -55.7057035209468 -90.3295447814145</f>
        <v>-718.07451324774127</v>
      </c>
      <c r="W1629" t="s">
        <v>31526</v>
      </c>
      <c r="X1629" t="s">
        <v>31527</v>
      </c>
      <c r="Y1629" t="s">
        <v>31528</v>
      </c>
    </row>
    <row r="1630" spans="1:25" x14ac:dyDescent="0.3">
      <c r="A1630">
        <v>81450</v>
      </c>
      <c r="B1630" t="s">
        <v>31529</v>
      </c>
      <c r="C1630" t="s">
        <v>31530</v>
      </c>
      <c r="D1630" t="s">
        <v>31531</v>
      </c>
      <c r="E1630" t="s">
        <v>31532</v>
      </c>
      <c r="F1630" t="s">
        <v>31533</v>
      </c>
      <c r="G1630" t="s">
        <v>31534</v>
      </c>
      <c r="H1630" t="s">
        <v>31535</v>
      </c>
      <c r="I1630" t="s">
        <v>31536</v>
      </c>
      <c r="J1630" t="s">
        <v>31537</v>
      </c>
      <c r="K1630" t="s">
        <v>31538</v>
      </c>
      <c r="L1630" t="s">
        <v>31539</v>
      </c>
      <c r="M1630" t="s">
        <v>31540</v>
      </c>
      <c r="N1630" t="s">
        <v>31541</v>
      </c>
      <c r="O1630">
        <f>-649.847875969306 -145.668299387421 -507.235760306499</f>
        <v>-1302.751935663226</v>
      </c>
      <c r="P1630">
        <f>-585.920664458461 -181.105681640522 -234.772872685634</f>
        <v>-1001.7992187846171</v>
      </c>
      <c r="Q1630">
        <f>-444.457075302104 -102.637335759722 -401.44413570006</f>
        <v>-948.53854676188598</v>
      </c>
      <c r="R1630" t="s">
        <v>31542</v>
      </c>
      <c r="S1630" t="s">
        <v>31543</v>
      </c>
      <c r="T1630" t="s">
        <v>31544</v>
      </c>
      <c r="U1630" t="s">
        <v>31545</v>
      </c>
      <c r="V1630">
        <f>-572.281282839508 -55.4732478635005 -90.3417300237509</f>
        <v>-718.0962607267594</v>
      </c>
      <c r="W1630" t="s">
        <v>31546</v>
      </c>
      <c r="X1630" t="s">
        <v>31547</v>
      </c>
      <c r="Y1630" t="s">
        <v>31548</v>
      </c>
    </row>
    <row r="1631" spans="1:25" x14ac:dyDescent="0.3">
      <c r="A1631">
        <v>81500</v>
      </c>
      <c r="B1631" t="s">
        <v>31549</v>
      </c>
      <c r="C1631" t="s">
        <v>31550</v>
      </c>
      <c r="D1631" t="s">
        <v>31551</v>
      </c>
      <c r="E1631" t="s">
        <v>31552</v>
      </c>
      <c r="F1631" t="s">
        <v>31553</v>
      </c>
      <c r="G1631" t="s">
        <v>31554</v>
      </c>
      <c r="H1631" t="s">
        <v>31555</v>
      </c>
      <c r="I1631" t="s">
        <v>31556</v>
      </c>
      <c r="J1631" t="s">
        <v>31557</v>
      </c>
      <c r="K1631" t="s">
        <v>31558</v>
      </c>
      <c r="L1631" t="s">
        <v>31559</v>
      </c>
      <c r="M1631" t="s">
        <v>31560</v>
      </c>
      <c r="N1631" t="s">
        <v>31561</v>
      </c>
      <c r="O1631">
        <f>-650.470985872847 -144.946744928611 -507.369666747773</f>
        <v>-1302.7873975492309</v>
      </c>
      <c r="P1631">
        <f>-586.599828783111 -180.526056934703 -234.911985389111</f>
        <v>-1002.037871106925</v>
      </c>
      <c r="Q1631">
        <f>-445.284125975123 -101.561928684061 -401.47460065275</f>
        <v>-948.32065531193393</v>
      </c>
      <c r="R1631" t="s">
        <v>31562</v>
      </c>
      <c r="S1631" t="s">
        <v>31563</v>
      </c>
      <c r="T1631" t="s">
        <v>31564</v>
      </c>
      <c r="U1631" t="s">
        <v>31565</v>
      </c>
      <c r="V1631">
        <f>-573.112874526536 -54.8524430068505 -90.4690687851214</f>
        <v>-718.4343863185079</v>
      </c>
      <c r="W1631" t="s">
        <v>31566</v>
      </c>
      <c r="X1631" t="s">
        <v>31567</v>
      </c>
      <c r="Y1631" t="s">
        <v>31568</v>
      </c>
    </row>
    <row r="1632" spans="1:25" x14ac:dyDescent="0.3">
      <c r="A1632">
        <v>81550</v>
      </c>
      <c r="B1632" t="s">
        <v>31569</v>
      </c>
      <c r="C1632" t="s">
        <v>31570</v>
      </c>
      <c r="D1632" t="s">
        <v>31571</v>
      </c>
      <c r="E1632" t="s">
        <v>31572</v>
      </c>
      <c r="F1632" t="s">
        <v>31573</v>
      </c>
      <c r="G1632" t="s">
        <v>31574</v>
      </c>
      <c r="H1632" t="s">
        <v>31575</v>
      </c>
      <c r="I1632" t="s">
        <v>31576</v>
      </c>
      <c r="J1632" t="s">
        <v>31577</v>
      </c>
      <c r="K1632" t="s">
        <v>31578</v>
      </c>
      <c r="L1632" t="s">
        <v>31579</v>
      </c>
      <c r="M1632" t="s">
        <v>31580</v>
      </c>
      <c r="N1632" t="s">
        <v>31581</v>
      </c>
      <c r="O1632">
        <f>-650.884267465703 -144.532803716917 -507.475904831612</f>
        <v>-1302.8929760142321</v>
      </c>
      <c r="P1632">
        <f>-587.160096417676 -179.95669921603 -234.963610490847</f>
        <v>-1002.080406124553</v>
      </c>
      <c r="Q1632">
        <f>-445.727364606248 -101.017430362095 -401.438438839408</f>
        <v>-948.18323380775087</v>
      </c>
      <c r="R1632" t="s">
        <v>31582</v>
      </c>
      <c r="S1632" t="s">
        <v>31583</v>
      </c>
      <c r="T1632" t="s">
        <v>31584</v>
      </c>
      <c r="U1632" t="s">
        <v>31585</v>
      </c>
      <c r="V1632">
        <f>-573.639691913295 -54.5435486148799 -90.5751897333323</f>
        <v>-718.75843026150721</v>
      </c>
      <c r="W1632" t="s">
        <v>31586</v>
      </c>
      <c r="X1632" t="s">
        <v>31587</v>
      </c>
      <c r="Y1632" t="s">
        <v>31588</v>
      </c>
    </row>
    <row r="1633" spans="1:25" x14ac:dyDescent="0.3">
      <c r="A1633">
        <v>81600</v>
      </c>
      <c r="B1633" t="s">
        <v>31589</v>
      </c>
      <c r="C1633" t="s">
        <v>31590</v>
      </c>
      <c r="D1633" t="s">
        <v>31591</v>
      </c>
      <c r="E1633" t="s">
        <v>31592</v>
      </c>
      <c r="F1633" t="s">
        <v>31593</v>
      </c>
      <c r="G1633" t="s">
        <v>31594</v>
      </c>
      <c r="H1633" t="s">
        <v>31595</v>
      </c>
      <c r="I1633" t="s">
        <v>31596</v>
      </c>
      <c r="J1633" t="s">
        <v>31597</v>
      </c>
      <c r="K1633" t="s">
        <v>31598</v>
      </c>
      <c r="L1633" t="s">
        <v>31599</v>
      </c>
      <c r="M1633" t="s">
        <v>31600</v>
      </c>
      <c r="N1633" t="s">
        <v>31601</v>
      </c>
      <c r="O1633">
        <f>-651.670518244206 -143.922839607891 -507.70988342911</f>
        <v>-1303.303241281207</v>
      </c>
      <c r="P1633">
        <f>-588.227701024028 -179.331540064866 -235.129970601333</f>
        <v>-1002.689211690227</v>
      </c>
      <c r="Q1633">
        <f>-446.404397867081 -100.409530185673 -401.280560789809</f>
        <v>-948.09448884256301</v>
      </c>
      <c r="R1633" t="s">
        <v>31602</v>
      </c>
      <c r="S1633" t="s">
        <v>31603</v>
      </c>
      <c r="T1633" t="s">
        <v>31604</v>
      </c>
      <c r="U1633" t="s">
        <v>31605</v>
      </c>
      <c r="V1633">
        <f>-574.584264093782 -54.0747666992495 -90.8256643917255</f>
        <v>-719.48469518475702</v>
      </c>
      <c r="W1633" t="s">
        <v>31606</v>
      </c>
      <c r="X1633" t="s">
        <v>31607</v>
      </c>
      <c r="Y1633" t="s">
        <v>31608</v>
      </c>
    </row>
    <row r="1634" spans="1:25" x14ac:dyDescent="0.3">
      <c r="A1634">
        <v>81650</v>
      </c>
      <c r="B1634" t="s">
        <v>31609</v>
      </c>
      <c r="C1634" t="s">
        <v>31610</v>
      </c>
      <c r="D1634" t="s">
        <v>31611</v>
      </c>
      <c r="E1634" t="s">
        <v>31612</v>
      </c>
      <c r="F1634" t="s">
        <v>31613</v>
      </c>
      <c r="G1634" t="s">
        <v>31614</v>
      </c>
      <c r="H1634" t="s">
        <v>31615</v>
      </c>
      <c r="I1634" t="s">
        <v>31616</v>
      </c>
      <c r="J1634" t="s">
        <v>31617</v>
      </c>
      <c r="K1634" t="s">
        <v>31618</v>
      </c>
      <c r="L1634" t="s">
        <v>31619</v>
      </c>
      <c r="M1634" t="s">
        <v>31620</v>
      </c>
      <c r="N1634" t="s">
        <v>31621</v>
      </c>
      <c r="O1634">
        <f>-652.034302862131 -143.572738669712 -507.8514807518</f>
        <v>-1303.4585222836429</v>
      </c>
      <c r="P1634">
        <f>-588.858461169483 -179.11620561432 -235.227059907969</f>
        <v>-1003.201726691772</v>
      </c>
      <c r="Q1634">
        <f>-446.776389663207 -100.138160603169 -401.129769074876</f>
        <v>-948.04431934125193</v>
      </c>
      <c r="R1634" t="s">
        <v>31622</v>
      </c>
      <c r="S1634" t="s">
        <v>31623</v>
      </c>
      <c r="T1634" t="s">
        <v>31624</v>
      </c>
      <c r="U1634" t="s">
        <v>31625</v>
      </c>
      <c r="V1634">
        <f>-574.974481276115 -53.8371749313242 -90.937017096095</f>
        <v>-719.74867330353413</v>
      </c>
      <c r="W1634" t="s">
        <v>31626</v>
      </c>
      <c r="X1634" t="s">
        <v>31627</v>
      </c>
      <c r="Y1634" t="s">
        <v>31628</v>
      </c>
    </row>
    <row r="1635" spans="1:25" x14ac:dyDescent="0.3">
      <c r="A1635">
        <v>81700</v>
      </c>
      <c r="B1635" t="s">
        <v>31629</v>
      </c>
      <c r="C1635" t="s">
        <v>31630</v>
      </c>
      <c r="D1635" t="s">
        <v>31631</v>
      </c>
      <c r="E1635" t="s">
        <v>31632</v>
      </c>
      <c r="F1635" t="s">
        <v>31633</v>
      </c>
      <c r="G1635" t="s">
        <v>31634</v>
      </c>
      <c r="H1635" t="s">
        <v>31635</v>
      </c>
      <c r="I1635" t="s">
        <v>31636</v>
      </c>
      <c r="J1635" t="s">
        <v>31637</v>
      </c>
      <c r="K1635" t="s">
        <v>31638</v>
      </c>
      <c r="L1635" t="s">
        <v>31639</v>
      </c>
      <c r="M1635" t="s">
        <v>31640</v>
      </c>
      <c r="N1635" t="s">
        <v>31641</v>
      </c>
      <c r="O1635">
        <f>-652.767354701611 -142.839414855694 -508.122219016961</f>
        <v>-1303.7289885742662</v>
      </c>
      <c r="P1635">
        <f>-590.200850449217 -178.529210833259 -235.376411083278</f>
        <v>-1004.1064723657539</v>
      </c>
      <c r="Q1635">
        <f>-447.456558301829 -99.5671050575443 -400.717356103932</f>
        <v>-947.74101946330529</v>
      </c>
      <c r="R1635" t="s">
        <v>31642</v>
      </c>
      <c r="S1635" t="s">
        <v>31643</v>
      </c>
      <c r="T1635" t="s">
        <v>31644</v>
      </c>
      <c r="U1635" t="s">
        <v>31645</v>
      </c>
      <c r="V1635">
        <f>-575.598167214269 -53.4420969133805 -91.0932343268121</f>
        <v>-720.13349845446157</v>
      </c>
      <c r="W1635" t="s">
        <v>31646</v>
      </c>
      <c r="X1635" t="s">
        <v>31647</v>
      </c>
      <c r="Y1635" t="s">
        <v>31648</v>
      </c>
    </row>
    <row r="1636" spans="1:25" x14ac:dyDescent="0.3">
      <c r="A1636">
        <v>81750</v>
      </c>
      <c r="B1636" t="s">
        <v>31649</v>
      </c>
      <c r="C1636" t="s">
        <v>31650</v>
      </c>
      <c r="D1636" t="s">
        <v>31651</v>
      </c>
      <c r="E1636" t="s">
        <v>31652</v>
      </c>
      <c r="F1636" t="s">
        <v>31653</v>
      </c>
      <c r="G1636" t="s">
        <v>31654</v>
      </c>
      <c r="H1636" t="s">
        <v>31655</v>
      </c>
      <c r="I1636" t="s">
        <v>31656</v>
      </c>
      <c r="J1636" t="s">
        <v>31657</v>
      </c>
      <c r="K1636" t="s">
        <v>31658</v>
      </c>
      <c r="L1636" t="s">
        <v>31659</v>
      </c>
      <c r="M1636" t="s">
        <v>31660</v>
      </c>
      <c r="N1636" t="s">
        <v>31661</v>
      </c>
      <c r="O1636">
        <f>-652.986669531915 -142.504868152931 -508.224988266212</f>
        <v>-1303.716525951058</v>
      </c>
      <c r="P1636">
        <f>-590.63617561487 -178.206945794819 -235.431257153568</f>
        <v>-1004.2743785632571</v>
      </c>
      <c r="Q1636">
        <f>-447.632450912735 -99.1180514914208 -400.487095818357</f>
        <v>-947.23759822251282</v>
      </c>
      <c r="R1636" t="s">
        <v>31662</v>
      </c>
      <c r="S1636" t="s">
        <v>31663</v>
      </c>
      <c r="T1636" t="s">
        <v>31664</v>
      </c>
      <c r="U1636" t="s">
        <v>31665</v>
      </c>
      <c r="V1636">
        <f>-575.859165261802 -53.2865747269561 -91.1388605911793</f>
        <v>-720.28460057993743</v>
      </c>
      <c r="W1636" t="s">
        <v>31666</v>
      </c>
      <c r="X1636" t="s">
        <v>31667</v>
      </c>
      <c r="Y1636" t="s">
        <v>31668</v>
      </c>
    </row>
    <row r="1637" spans="1:25" x14ac:dyDescent="0.3">
      <c r="A1637">
        <v>81800</v>
      </c>
      <c r="B1637" t="s">
        <v>31669</v>
      </c>
      <c r="C1637" t="s">
        <v>31670</v>
      </c>
      <c r="D1637" t="s">
        <v>31671</v>
      </c>
      <c r="E1637" t="s">
        <v>31672</v>
      </c>
      <c r="F1637" t="s">
        <v>31673</v>
      </c>
      <c r="G1637" t="s">
        <v>31674</v>
      </c>
      <c r="H1637" t="s">
        <v>31675</v>
      </c>
      <c r="I1637" t="s">
        <v>31676</v>
      </c>
      <c r="J1637" t="s">
        <v>31677</v>
      </c>
      <c r="K1637" t="s">
        <v>31678</v>
      </c>
      <c r="L1637" t="s">
        <v>31679</v>
      </c>
      <c r="M1637" t="s">
        <v>31680</v>
      </c>
      <c r="N1637" t="s">
        <v>31681</v>
      </c>
      <c r="O1637">
        <f>-653.241975097353 -142.042723125438 -508.453873105135</f>
        <v>-1303.7385713279259</v>
      </c>
      <c r="P1637">
        <f>-591.38008530098 -178.007386369489 -235.583509856152</f>
        <v>-1004.970981526621</v>
      </c>
      <c r="Q1637">
        <f>-447.938271370304 -98.3148593912001 -399.96733950958</f>
        <v>-946.22047027108397</v>
      </c>
      <c r="R1637" t="s">
        <v>31682</v>
      </c>
      <c r="S1637" t="s">
        <v>31683</v>
      </c>
      <c r="T1637" t="s">
        <v>31684</v>
      </c>
      <c r="U1637" t="s">
        <v>31685</v>
      </c>
      <c r="V1637">
        <f>-576.317977963049 -52.9463386096195 -91.1874599668192</f>
        <v>-720.4517765394877</v>
      </c>
      <c r="W1637" t="s">
        <v>31686</v>
      </c>
      <c r="X1637" t="s">
        <v>31687</v>
      </c>
      <c r="Y1637" t="s">
        <v>31688</v>
      </c>
    </row>
    <row r="1638" spans="1:25" x14ac:dyDescent="0.3">
      <c r="A1638">
        <v>81850</v>
      </c>
      <c r="B1638" t="s">
        <v>31689</v>
      </c>
      <c r="C1638" t="s">
        <v>31690</v>
      </c>
      <c r="D1638" t="s">
        <v>31691</v>
      </c>
      <c r="E1638" t="s">
        <v>31692</v>
      </c>
      <c r="F1638" t="s">
        <v>31693</v>
      </c>
      <c r="G1638" t="s">
        <v>31694</v>
      </c>
      <c r="H1638" t="s">
        <v>31695</v>
      </c>
      <c r="I1638" t="s">
        <v>31696</v>
      </c>
      <c r="J1638" t="s">
        <v>31697</v>
      </c>
      <c r="K1638" t="s">
        <v>31698</v>
      </c>
      <c r="L1638" t="s">
        <v>31699</v>
      </c>
      <c r="M1638" t="s">
        <v>31700</v>
      </c>
      <c r="N1638" t="s">
        <v>31701</v>
      </c>
      <c r="O1638">
        <f>-653.426232335729 -141.842906558922 -508.497153149066</f>
        <v>-1303.7662920437169</v>
      </c>
      <c r="P1638">
        <f>-591.70504193778 -177.918141609655 -235.609521901295</f>
        <v>-1005.23270544873</v>
      </c>
      <c r="Q1638">
        <f>-448.086338941958 -97.9289580562859 -399.69472385823</f>
        <v>-945.71002085647388</v>
      </c>
      <c r="R1638" t="s">
        <v>31702</v>
      </c>
      <c r="S1638" t="s">
        <v>31703</v>
      </c>
      <c r="T1638" t="s">
        <v>31704</v>
      </c>
      <c r="U1638" t="s">
        <v>31705</v>
      </c>
      <c r="V1638">
        <f>-576.495547703435 -52.8230895612235 -91.2115715102223</f>
        <v>-720.53020877488075</v>
      </c>
      <c r="W1638" t="s">
        <v>31706</v>
      </c>
      <c r="X1638" t="s">
        <v>31707</v>
      </c>
      <c r="Y1638" t="s">
        <v>31708</v>
      </c>
    </row>
    <row r="1639" spans="1:25" x14ac:dyDescent="0.3">
      <c r="A1639">
        <v>81900</v>
      </c>
      <c r="B1639" t="s">
        <v>31709</v>
      </c>
      <c r="C1639" t="s">
        <v>31710</v>
      </c>
      <c r="D1639" t="s">
        <v>31711</v>
      </c>
      <c r="E1639" t="s">
        <v>31712</v>
      </c>
      <c r="F1639" t="s">
        <v>31713</v>
      </c>
      <c r="G1639" t="s">
        <v>31714</v>
      </c>
      <c r="H1639" t="s">
        <v>31715</v>
      </c>
      <c r="I1639" t="s">
        <v>31716</v>
      </c>
      <c r="J1639" t="s">
        <v>31717</v>
      </c>
      <c r="K1639" t="s">
        <v>31718</v>
      </c>
      <c r="L1639" t="s">
        <v>31719</v>
      </c>
      <c r="M1639" t="s">
        <v>31720</v>
      </c>
      <c r="N1639" t="s">
        <v>31721</v>
      </c>
      <c r="O1639">
        <f>-653.896178293547 -141.548504950497 -508.533737000028</f>
        <v>-1303.9784202440719</v>
      </c>
      <c r="P1639">
        <f>-592.320896386758 -177.409193939873 -235.584787767612</f>
        <v>-1005.3148780942431</v>
      </c>
      <c r="Q1639">
        <f>-448.151945846976 -97.2626330466519 -399.109765812252</f>
        <v>-944.52434470587991</v>
      </c>
      <c r="R1639" t="s">
        <v>31722</v>
      </c>
      <c r="S1639" t="s">
        <v>31723</v>
      </c>
      <c r="T1639" t="s">
        <v>31724</v>
      </c>
      <c r="U1639" t="s">
        <v>31725</v>
      </c>
      <c r="V1639">
        <f>-576.724254255175 -52.6260050622122 -91.2528040551646</f>
        <v>-720.60306337255179</v>
      </c>
      <c r="W1639" t="s">
        <v>31726</v>
      </c>
      <c r="X1639" t="s">
        <v>31727</v>
      </c>
      <c r="Y1639" t="s">
        <v>31728</v>
      </c>
    </row>
    <row r="1640" spans="1:25" x14ac:dyDescent="0.3">
      <c r="A1640">
        <v>81950</v>
      </c>
      <c r="B1640" t="s">
        <v>31729</v>
      </c>
      <c r="C1640" t="s">
        <v>31730</v>
      </c>
      <c r="D1640" t="s">
        <v>31731</v>
      </c>
      <c r="E1640" t="s">
        <v>31732</v>
      </c>
      <c r="F1640" t="s">
        <v>31733</v>
      </c>
      <c r="G1640" t="s">
        <v>31734</v>
      </c>
      <c r="H1640" t="s">
        <v>31735</v>
      </c>
      <c r="I1640" t="s">
        <v>31736</v>
      </c>
      <c r="J1640" t="s">
        <v>31737</v>
      </c>
      <c r="K1640" t="s">
        <v>31738</v>
      </c>
      <c r="L1640" t="s">
        <v>31739</v>
      </c>
      <c r="M1640" t="s">
        <v>31740</v>
      </c>
      <c r="N1640" t="s">
        <v>31741</v>
      </c>
      <c r="O1640">
        <f>-654.159276297834 -141.523431646995 -508.528943414446</f>
        <v>-1304.211651359275</v>
      </c>
      <c r="P1640">
        <f>-592.726636222737 -177.281617808226 -235.534382293991</f>
        <v>-1005.5426363249541</v>
      </c>
      <c r="Q1640">
        <f>-448.313489714679 -97.0005772113382 -398.777574772018</f>
        <v>-944.09164169803512</v>
      </c>
      <c r="R1640" t="s">
        <v>31742</v>
      </c>
      <c r="S1640" t="s">
        <v>31743</v>
      </c>
      <c r="T1640" t="s">
        <v>31744</v>
      </c>
      <c r="U1640" t="s">
        <v>31745</v>
      </c>
      <c r="V1640">
        <f>-576.819986576059 -52.6261972706525 -91.2649712456317</f>
        <v>-720.71115509234323</v>
      </c>
      <c r="W1640" t="s">
        <v>31746</v>
      </c>
      <c r="X1640" t="s">
        <v>31747</v>
      </c>
      <c r="Y1640" t="s">
        <v>31748</v>
      </c>
    </row>
    <row r="1641" spans="1:25" x14ac:dyDescent="0.3">
      <c r="A1641">
        <v>82000</v>
      </c>
      <c r="B1641" t="s">
        <v>31749</v>
      </c>
      <c r="C1641" t="s">
        <v>31750</v>
      </c>
      <c r="D1641" t="s">
        <v>31751</v>
      </c>
      <c r="E1641" t="s">
        <v>31752</v>
      </c>
      <c r="F1641" t="s">
        <v>31753</v>
      </c>
      <c r="G1641" t="s">
        <v>31754</v>
      </c>
      <c r="H1641" t="s">
        <v>31755</v>
      </c>
      <c r="I1641" t="s">
        <v>31756</v>
      </c>
      <c r="J1641" t="s">
        <v>31757</v>
      </c>
      <c r="K1641" t="s">
        <v>31758</v>
      </c>
      <c r="L1641" t="s">
        <v>31759</v>
      </c>
      <c r="M1641" t="s">
        <v>31760</v>
      </c>
      <c r="N1641" t="s">
        <v>31761</v>
      </c>
      <c r="O1641">
        <f>-654.511030715499 -141.381455080897 -508.540278095861</f>
        <v>-1304.4327638922571</v>
      </c>
      <c r="P1641">
        <f>-593.473984490303 -177.129568434118 -235.455776621261</f>
        <v>-1006.059329545682</v>
      </c>
      <c r="Q1641">
        <f>-448.527627043069 -96.5376164777811 -398.072010366906</f>
        <v>-943.13725388775606</v>
      </c>
      <c r="R1641" t="s">
        <v>31762</v>
      </c>
      <c r="S1641" t="s">
        <v>31763</v>
      </c>
      <c r="T1641" t="s">
        <v>31764</v>
      </c>
      <c r="U1641" t="s">
        <v>31765</v>
      </c>
      <c r="V1641">
        <f>-576.968106572729 -52.5994943994606 -91.2814626012646</f>
        <v>-720.84906357345415</v>
      </c>
      <c r="W1641" t="s">
        <v>31766</v>
      </c>
      <c r="X1641" t="s">
        <v>31767</v>
      </c>
      <c r="Y1641" t="s">
        <v>31768</v>
      </c>
    </row>
    <row r="1642" spans="1:25" x14ac:dyDescent="0.3">
      <c r="A1642">
        <v>82050</v>
      </c>
      <c r="B1642" t="s">
        <v>31769</v>
      </c>
      <c r="C1642" t="s">
        <v>31770</v>
      </c>
      <c r="D1642" t="s">
        <v>31771</v>
      </c>
      <c r="E1642" t="s">
        <v>31772</v>
      </c>
      <c r="F1642" t="s">
        <v>31773</v>
      </c>
      <c r="G1642" t="s">
        <v>31774</v>
      </c>
      <c r="H1642" t="s">
        <v>31775</v>
      </c>
      <c r="I1642" t="s">
        <v>31776</v>
      </c>
      <c r="J1642" t="s">
        <v>31777</v>
      </c>
      <c r="K1642" t="s">
        <v>31778</v>
      </c>
      <c r="L1642" t="s">
        <v>31779</v>
      </c>
      <c r="M1642" t="s">
        <v>31780</v>
      </c>
      <c r="N1642" t="s">
        <v>31781</v>
      </c>
      <c r="O1642">
        <f>-654.617454939015 -141.343225251557 -508.559973977492</f>
        <v>-1304.5206541680641</v>
      </c>
      <c r="P1642">
        <f>-593.827012657287 -177.098075989877 -235.42148404687</f>
        <v>-1006.346572694034</v>
      </c>
      <c r="Q1642">
        <f>-448.473523691686 -96.4373300839441 -397.639673622063</f>
        <v>-942.55052739769314</v>
      </c>
      <c r="R1642" t="s">
        <v>31782</v>
      </c>
      <c r="S1642" t="s">
        <v>31783</v>
      </c>
      <c r="T1642" t="s">
        <v>31784</v>
      </c>
      <c r="U1642" t="s">
        <v>31785</v>
      </c>
      <c r="V1642">
        <f>-576.977561082067 -52.6346098919755 -91.2765484653237</f>
        <v>-720.88871943936624</v>
      </c>
      <c r="W1642" t="s">
        <v>31786</v>
      </c>
      <c r="X1642" t="s">
        <v>31787</v>
      </c>
      <c r="Y1642" t="s">
        <v>31788</v>
      </c>
    </row>
    <row r="1643" spans="1:25" x14ac:dyDescent="0.3">
      <c r="A1643">
        <v>82100</v>
      </c>
      <c r="B1643" t="s">
        <v>31789</v>
      </c>
      <c r="C1643" t="s">
        <v>31790</v>
      </c>
      <c r="D1643" t="s">
        <v>31791</v>
      </c>
      <c r="E1643" t="s">
        <v>31792</v>
      </c>
      <c r="F1643" t="s">
        <v>31793</v>
      </c>
      <c r="G1643" t="s">
        <v>31794</v>
      </c>
      <c r="H1643" t="s">
        <v>31795</v>
      </c>
      <c r="I1643" t="s">
        <v>31796</v>
      </c>
      <c r="J1643" t="s">
        <v>31797</v>
      </c>
      <c r="K1643" t="s">
        <v>31798</v>
      </c>
      <c r="L1643" t="s">
        <v>31799</v>
      </c>
      <c r="M1643" t="s">
        <v>31800</v>
      </c>
      <c r="N1643" t="s">
        <v>31801</v>
      </c>
      <c r="O1643">
        <f>-654.738074962013 -141.390100303341 -508.342019675102</f>
        <v>-1304.4701949404559</v>
      </c>
      <c r="P1643">
        <f>-594.29739383455 -176.845536329654 -235.086699654988</f>
        <v>-1006.229629819192</v>
      </c>
      <c r="Q1643">
        <f>-448.21875232843 -96.7541888390526 -396.935244550924</f>
        <v>-941.90818571840668</v>
      </c>
      <c r="R1643" t="s">
        <v>31802</v>
      </c>
      <c r="S1643" t="s">
        <v>31803</v>
      </c>
      <c r="T1643" t="s">
        <v>31804</v>
      </c>
      <c r="U1643" t="s">
        <v>31805</v>
      </c>
      <c r="V1643">
        <f>-576.592300450478 -52.657761319567 -91.1671419088476</f>
        <v>-720.41720367889263</v>
      </c>
      <c r="W1643" t="s">
        <v>31806</v>
      </c>
      <c r="X1643" t="s">
        <v>31807</v>
      </c>
      <c r="Y1643" t="s">
        <v>31808</v>
      </c>
    </row>
    <row r="1644" spans="1:25" x14ac:dyDescent="0.3">
      <c r="A1644">
        <v>82150</v>
      </c>
      <c r="B1644" t="s">
        <v>31809</v>
      </c>
      <c r="C1644" t="s">
        <v>31810</v>
      </c>
      <c r="D1644" t="s">
        <v>31811</v>
      </c>
      <c r="E1644" t="s">
        <v>31812</v>
      </c>
      <c r="F1644" t="s">
        <v>31813</v>
      </c>
      <c r="G1644" t="s">
        <v>31814</v>
      </c>
      <c r="H1644" t="s">
        <v>31815</v>
      </c>
      <c r="I1644" t="s">
        <v>31816</v>
      </c>
      <c r="J1644" t="s">
        <v>31817</v>
      </c>
      <c r="K1644" t="s">
        <v>31818</v>
      </c>
      <c r="L1644" t="s">
        <v>31819</v>
      </c>
      <c r="M1644" t="s">
        <v>31820</v>
      </c>
      <c r="N1644" t="s">
        <v>31821</v>
      </c>
      <c r="O1644">
        <f>-654.707709429157 -141.441976971603 -508.063363436973</f>
        <v>-1304.213049837733</v>
      </c>
      <c r="P1644">
        <f>-594.19091007458 -176.556764557593 -234.78089863438</f>
        <v>-1005.5285732665529</v>
      </c>
      <c r="Q1644">
        <f>-447.82714884817 -97.0425349813763 -396.656473794304</f>
        <v>-941.52615762385028</v>
      </c>
      <c r="R1644" t="s">
        <v>31822</v>
      </c>
      <c r="S1644" t="s">
        <v>31823</v>
      </c>
      <c r="T1644" t="s">
        <v>31824</v>
      </c>
      <c r="U1644" t="s">
        <v>31825</v>
      </c>
      <c r="V1644">
        <f>-576.148168567991 -52.5943803830735 -91.0140098912761</f>
        <v>-719.75655884234061</v>
      </c>
      <c r="W1644" t="s">
        <v>31826</v>
      </c>
      <c r="X1644" t="s">
        <v>31827</v>
      </c>
      <c r="Y1644" t="s">
        <v>31828</v>
      </c>
    </row>
    <row r="1645" spans="1:25" x14ac:dyDescent="0.3">
      <c r="A1645">
        <v>82200</v>
      </c>
      <c r="B1645" t="s">
        <v>31829</v>
      </c>
      <c r="C1645" t="s">
        <v>31830</v>
      </c>
      <c r="D1645" t="s">
        <v>31831</v>
      </c>
      <c r="E1645" t="s">
        <v>31832</v>
      </c>
      <c r="F1645" t="s">
        <v>31833</v>
      </c>
      <c r="G1645" t="s">
        <v>31834</v>
      </c>
      <c r="H1645" t="s">
        <v>31835</v>
      </c>
      <c r="I1645" t="s">
        <v>31836</v>
      </c>
      <c r="J1645" t="s">
        <v>31837</v>
      </c>
      <c r="K1645" t="s">
        <v>31838</v>
      </c>
      <c r="L1645" t="s">
        <v>31839</v>
      </c>
      <c r="M1645" t="s">
        <v>31840</v>
      </c>
      <c r="N1645" t="s">
        <v>31841</v>
      </c>
      <c r="O1645">
        <f>-654.776212167013 -141.625456221057 -507.313507021013</f>
        <v>-1303.715175409083</v>
      </c>
      <c r="P1645">
        <f>-594.136802944649 -176.175588657693 -233.986309872718</f>
        <v>-1004.2987014750601</v>
      </c>
      <c r="Q1645">
        <f>-447.460115783362 -97.699832064412 -396.085110378615</f>
        <v>-941.24505822638901</v>
      </c>
      <c r="R1645" t="s">
        <v>31842</v>
      </c>
      <c r="S1645" t="s">
        <v>31843</v>
      </c>
      <c r="T1645" t="s">
        <v>31844</v>
      </c>
      <c r="U1645" t="s">
        <v>31845</v>
      </c>
      <c r="V1645">
        <f>-575.392159000905 -52.3152825530574 -90.6240045976755</f>
        <v>-718.33144615163792</v>
      </c>
      <c r="W1645" t="s">
        <v>31846</v>
      </c>
      <c r="X1645" t="s">
        <v>31847</v>
      </c>
      <c r="Y1645" t="s">
        <v>31848</v>
      </c>
    </row>
    <row r="1646" spans="1:25" x14ac:dyDescent="0.3">
      <c r="A1646">
        <v>82250</v>
      </c>
      <c r="B1646" t="s">
        <v>31849</v>
      </c>
      <c r="C1646" t="s">
        <v>31850</v>
      </c>
      <c r="D1646" t="s">
        <v>31851</v>
      </c>
      <c r="E1646" t="s">
        <v>31852</v>
      </c>
      <c r="F1646" t="s">
        <v>31853</v>
      </c>
      <c r="G1646" t="s">
        <v>31854</v>
      </c>
      <c r="H1646" t="s">
        <v>31855</v>
      </c>
      <c r="I1646" t="s">
        <v>31856</v>
      </c>
      <c r="J1646" t="s">
        <v>31857</v>
      </c>
      <c r="K1646" t="s">
        <v>31858</v>
      </c>
      <c r="L1646" t="s">
        <v>31859</v>
      </c>
      <c r="M1646" t="s">
        <v>31860</v>
      </c>
      <c r="N1646" t="s">
        <v>31861</v>
      </c>
      <c r="O1646">
        <f>-655.046470875949 -141.754647336882 -506.930945122821</f>
        <v>-1303.7320633356519</v>
      </c>
      <c r="P1646">
        <f>-594.199184059831 -175.841811624562 -233.591890697624</f>
        <v>-1003.632886382017</v>
      </c>
      <c r="Q1646">
        <f>-447.505717849792 -97.8037755221503 -395.886711397696</f>
        <v>-941.19620476963826</v>
      </c>
      <c r="R1646" t="s">
        <v>31862</v>
      </c>
      <c r="S1646" t="s">
        <v>31863</v>
      </c>
      <c r="T1646" t="s">
        <v>31864</v>
      </c>
      <c r="U1646" t="s">
        <v>31865</v>
      </c>
      <c r="V1646">
        <f>-575.224517964347 -52.2059541142792 -90.4738180136906</f>
        <v>-717.90429009231673</v>
      </c>
      <c r="W1646" t="s">
        <v>31866</v>
      </c>
      <c r="X1646" t="s">
        <v>31867</v>
      </c>
      <c r="Y1646" t="s">
        <v>31868</v>
      </c>
    </row>
    <row r="1647" spans="1:25" x14ac:dyDescent="0.3">
      <c r="A1647">
        <v>82300</v>
      </c>
      <c r="B1647" t="s">
        <v>31869</v>
      </c>
      <c r="C1647" t="s">
        <v>31870</v>
      </c>
      <c r="D1647" t="s">
        <v>31871</v>
      </c>
      <c r="E1647" t="s">
        <v>31872</v>
      </c>
      <c r="F1647" t="s">
        <v>31873</v>
      </c>
      <c r="G1647" t="s">
        <v>31874</v>
      </c>
      <c r="H1647" t="s">
        <v>31875</v>
      </c>
      <c r="I1647" t="s">
        <v>31876</v>
      </c>
      <c r="J1647" t="s">
        <v>31877</v>
      </c>
      <c r="K1647" t="s">
        <v>31878</v>
      </c>
      <c r="L1647" t="s">
        <v>31879</v>
      </c>
      <c r="M1647" t="s">
        <v>31880</v>
      </c>
      <c r="N1647" t="s">
        <v>31881</v>
      </c>
      <c r="O1647">
        <f>-655.595071694066 -142.16886490407 -506.262900587798</f>
        <v>-1304.026837185934</v>
      </c>
      <c r="P1647">
        <f>-594.366693815271 -175.657895843616 -232.934903182702</f>
        <v>-1002.9594928415889</v>
      </c>
      <c r="Q1647">
        <f>-447.807798348538 -97.9638549437125 -395.516212167781</f>
        <v>-941.28786546003153</v>
      </c>
      <c r="R1647" t="s">
        <v>31882</v>
      </c>
      <c r="S1647" t="s">
        <v>31883</v>
      </c>
      <c r="T1647" t="s">
        <v>31884</v>
      </c>
      <c r="U1647" t="s">
        <v>31885</v>
      </c>
      <c r="V1647">
        <f>-575.207969692954 -52.1137999936852 -90.3417579371427</f>
        <v>-717.66352762378187</v>
      </c>
      <c r="W1647" t="s">
        <v>31886</v>
      </c>
      <c r="X1647" t="s">
        <v>31887</v>
      </c>
      <c r="Y1647" t="s">
        <v>31888</v>
      </c>
    </row>
    <row r="1648" spans="1:25" x14ac:dyDescent="0.3">
      <c r="A1648">
        <v>82350</v>
      </c>
      <c r="B1648" t="s">
        <v>31889</v>
      </c>
      <c r="C1648" t="s">
        <v>31890</v>
      </c>
      <c r="D1648" t="s">
        <v>31891</v>
      </c>
      <c r="E1648" t="s">
        <v>31892</v>
      </c>
      <c r="F1648" t="s">
        <v>31893</v>
      </c>
      <c r="G1648" t="s">
        <v>31894</v>
      </c>
      <c r="H1648" t="s">
        <v>31895</v>
      </c>
      <c r="I1648" t="s">
        <v>31896</v>
      </c>
      <c r="J1648" t="s">
        <v>31897</v>
      </c>
      <c r="K1648" t="s">
        <v>31898</v>
      </c>
      <c r="L1648" t="s">
        <v>31899</v>
      </c>
      <c r="M1648" t="s">
        <v>31900</v>
      </c>
      <c r="N1648" t="s">
        <v>31901</v>
      </c>
      <c r="O1648">
        <f>-655.92624326067 -142.471890072103 -505.972811128445</f>
        <v>-1304.3709444612182</v>
      </c>
      <c r="P1648">
        <f>-594.660742500756 -175.735498238655 -232.625711550111</f>
        <v>-1003.021952289522</v>
      </c>
      <c r="Q1648">
        <f>-448.162252783065 -98.1289722020401 -395.303084109328</f>
        <v>-941.59430909443313</v>
      </c>
      <c r="R1648" t="s">
        <v>31902</v>
      </c>
      <c r="S1648" t="s">
        <v>31903</v>
      </c>
      <c r="T1648" t="s">
        <v>31904</v>
      </c>
      <c r="U1648" t="s">
        <v>31905</v>
      </c>
      <c r="V1648">
        <f>-575.392662753766 -52.0874511103123 -90.3418122339672</f>
        <v>-717.82192609804542</v>
      </c>
      <c r="W1648" t="s">
        <v>31906</v>
      </c>
      <c r="X1648" t="s">
        <v>31907</v>
      </c>
      <c r="Y1648" t="s">
        <v>31908</v>
      </c>
    </row>
    <row r="1649" spans="1:25" x14ac:dyDescent="0.3">
      <c r="A1649">
        <v>82400</v>
      </c>
      <c r="B1649" t="s">
        <v>31909</v>
      </c>
      <c r="C1649" t="s">
        <v>31910</v>
      </c>
      <c r="D1649" t="s">
        <v>31911</v>
      </c>
      <c r="E1649" t="s">
        <v>31912</v>
      </c>
      <c r="F1649" t="s">
        <v>31913</v>
      </c>
      <c r="G1649" t="s">
        <v>31914</v>
      </c>
      <c r="H1649" t="s">
        <v>31915</v>
      </c>
      <c r="I1649" t="s">
        <v>31916</v>
      </c>
      <c r="J1649" t="s">
        <v>31917</v>
      </c>
      <c r="K1649" t="s">
        <v>31918</v>
      </c>
      <c r="L1649" t="s">
        <v>31919</v>
      </c>
      <c r="M1649" t="s">
        <v>31920</v>
      </c>
      <c r="N1649" t="s">
        <v>31921</v>
      </c>
      <c r="O1649">
        <f>-656.538893171229 -143.193943185265 -505.567966323952</f>
        <v>-1305.3008026804459</v>
      </c>
      <c r="P1649">
        <f>-595.294904170212 -175.543085063998 -232.106207217999</f>
        <v>-1002.944196452209</v>
      </c>
      <c r="Q1649">
        <f>-448.49560705028 -98.6361400716135 -394.844822960295</f>
        <v>-941.97657008218846</v>
      </c>
      <c r="R1649" t="s">
        <v>31922</v>
      </c>
      <c r="S1649" t="s">
        <v>31923</v>
      </c>
      <c r="T1649" t="s">
        <v>31924</v>
      </c>
      <c r="U1649" t="s">
        <v>31925</v>
      </c>
      <c r="V1649">
        <f>-576.042014245633 -52.293826926667 -90.4780513104517</f>
        <v>-718.81389248275173</v>
      </c>
      <c r="W1649" t="s">
        <v>31926</v>
      </c>
      <c r="X1649" t="s">
        <v>31927</v>
      </c>
      <c r="Y1649" t="s">
        <v>31928</v>
      </c>
    </row>
    <row r="1650" spans="1:25" x14ac:dyDescent="0.3">
      <c r="A1650">
        <v>82450</v>
      </c>
      <c r="B1650" t="s">
        <v>31929</v>
      </c>
      <c r="C1650" t="s">
        <v>31930</v>
      </c>
      <c r="D1650" t="s">
        <v>31931</v>
      </c>
      <c r="E1650" t="s">
        <v>31932</v>
      </c>
      <c r="F1650" t="s">
        <v>31933</v>
      </c>
      <c r="G1650" t="s">
        <v>31934</v>
      </c>
      <c r="H1650" t="s">
        <v>31935</v>
      </c>
      <c r="I1650" t="s">
        <v>31936</v>
      </c>
      <c r="J1650" t="s">
        <v>31937</v>
      </c>
      <c r="K1650" t="s">
        <v>31938</v>
      </c>
      <c r="L1650" t="s">
        <v>31939</v>
      </c>
      <c r="M1650" t="s">
        <v>31940</v>
      </c>
      <c r="N1650" t="s">
        <v>31941</v>
      </c>
      <c r="O1650">
        <f>-656.85903011117 -143.661477062534 -505.440290616402</f>
        <v>-1305.960797790106</v>
      </c>
      <c r="P1650">
        <f>-595.758357886599 -175.619376590644 -231.90048029233</f>
        <v>-1003.2782147695731</v>
      </c>
      <c r="Q1650">
        <f>-448.656387417439 -99.1758668824655 -394.583988098354</f>
        <v>-942.41624239825853</v>
      </c>
      <c r="R1650" t="s">
        <v>31942</v>
      </c>
      <c r="S1650" t="s">
        <v>31943</v>
      </c>
      <c r="T1650" t="s">
        <v>31944</v>
      </c>
      <c r="U1650" t="s">
        <v>31945</v>
      </c>
      <c r="V1650">
        <f>-576.492483246428 -52.5036908977941 -90.620116140539</f>
        <v>-719.61629028476113</v>
      </c>
      <c r="W1650" t="s">
        <v>31946</v>
      </c>
      <c r="X1650" t="s">
        <v>31947</v>
      </c>
      <c r="Y1650" t="s">
        <v>31948</v>
      </c>
    </row>
    <row r="1651" spans="1:25" x14ac:dyDescent="0.3">
      <c r="A1651">
        <v>82500</v>
      </c>
      <c r="B1651" t="s">
        <v>31949</v>
      </c>
      <c r="C1651" t="s">
        <v>31950</v>
      </c>
      <c r="D1651" t="s">
        <v>31951</v>
      </c>
      <c r="E1651" t="s">
        <v>31952</v>
      </c>
      <c r="F1651" t="s">
        <v>31953</v>
      </c>
      <c r="G1651" t="s">
        <v>31954</v>
      </c>
      <c r="H1651" t="s">
        <v>31955</v>
      </c>
      <c r="I1651" t="s">
        <v>31956</v>
      </c>
      <c r="J1651" t="s">
        <v>31957</v>
      </c>
      <c r="K1651" t="s">
        <v>31958</v>
      </c>
      <c r="L1651" t="s">
        <v>31959</v>
      </c>
      <c r="M1651" t="s">
        <v>31960</v>
      </c>
      <c r="N1651" t="s">
        <v>31961</v>
      </c>
      <c r="O1651">
        <f>-657.546867183543 -144.656751748118 -505.302278064259</f>
        <v>-1307.50589699592</v>
      </c>
      <c r="P1651">
        <f>-597.037253736141 -176.021365247092 -231.56264096549</f>
        <v>-1004.621259948723</v>
      </c>
      <c r="Q1651">
        <f>-449.343978487639 -100.569114777808 -394.173212703259</f>
        <v>-944.08630596870603</v>
      </c>
      <c r="R1651" t="s">
        <v>31962</v>
      </c>
      <c r="S1651" t="s">
        <v>31963</v>
      </c>
      <c r="T1651" t="s">
        <v>31964</v>
      </c>
      <c r="U1651" t="s">
        <v>31965</v>
      </c>
      <c r="V1651">
        <f>-577.418689969271 -53.0173577794533 -90.9344250487011</f>
        <v>-721.37047279742535</v>
      </c>
      <c r="W1651" t="s">
        <v>31966</v>
      </c>
      <c r="X1651" t="s">
        <v>31967</v>
      </c>
      <c r="Y1651" t="s">
        <v>31968</v>
      </c>
    </row>
    <row r="1652" spans="1:25" x14ac:dyDescent="0.3">
      <c r="A1652">
        <v>82550</v>
      </c>
      <c r="B1652" t="s">
        <v>31969</v>
      </c>
      <c r="C1652" t="s">
        <v>31970</v>
      </c>
      <c r="D1652" t="s">
        <v>31971</v>
      </c>
      <c r="E1652" t="s">
        <v>31972</v>
      </c>
      <c r="F1652" t="s">
        <v>31973</v>
      </c>
      <c r="G1652" t="s">
        <v>31974</v>
      </c>
      <c r="H1652" t="s">
        <v>31975</v>
      </c>
      <c r="I1652" t="s">
        <v>31976</v>
      </c>
      <c r="J1652" t="s">
        <v>31977</v>
      </c>
      <c r="K1652" t="s">
        <v>31978</v>
      </c>
      <c r="L1652" t="s">
        <v>31979</v>
      </c>
      <c r="M1652" t="s">
        <v>31980</v>
      </c>
      <c r="N1652" t="s">
        <v>31981</v>
      </c>
      <c r="O1652">
        <f>-657.944678598568 -145.052577334697 -505.247436195606</f>
        <v>-1308.2446921288711</v>
      </c>
      <c r="P1652">
        <f>-597.669791673886 -175.966021360427 -231.404802328722</f>
        <v>-1005.040615363035</v>
      </c>
      <c r="Q1652">
        <f>-449.766877874289 -101.192152797401 -394.138094210171</f>
        <v>-945.09712488186096</v>
      </c>
      <c r="R1652" t="s">
        <v>31982</v>
      </c>
      <c r="S1652" t="s">
        <v>31983</v>
      </c>
      <c r="T1652" t="s">
        <v>31984</v>
      </c>
      <c r="U1652" t="s">
        <v>31985</v>
      </c>
      <c r="V1652">
        <f>-577.748311082991 -53.2296288169043 -91.0797985734749</f>
        <v>-722.05773847337025</v>
      </c>
      <c r="W1652" t="s">
        <v>31986</v>
      </c>
      <c r="X1652" t="s">
        <v>31987</v>
      </c>
      <c r="Y1652" t="s">
        <v>31988</v>
      </c>
    </row>
    <row r="1653" spans="1:25" x14ac:dyDescent="0.3">
      <c r="A1653">
        <v>82600</v>
      </c>
      <c r="B1653" t="s">
        <v>31989</v>
      </c>
      <c r="C1653" t="s">
        <v>31990</v>
      </c>
      <c r="D1653" t="s">
        <v>31991</v>
      </c>
      <c r="E1653" t="s">
        <v>31992</v>
      </c>
      <c r="F1653" t="s">
        <v>31993</v>
      </c>
      <c r="G1653" t="s">
        <v>31994</v>
      </c>
      <c r="H1653" t="s">
        <v>31995</v>
      </c>
      <c r="I1653" t="s">
        <v>31996</v>
      </c>
      <c r="J1653" t="s">
        <v>31997</v>
      </c>
      <c r="K1653" t="s">
        <v>31998</v>
      </c>
      <c r="L1653" t="s">
        <v>31999</v>
      </c>
      <c r="M1653" t="s">
        <v>32000</v>
      </c>
      <c r="N1653" t="s">
        <v>32001</v>
      </c>
      <c r="O1653">
        <f>-658.323703760049 -145.682832579795 -505.318750384943</f>
        <v>-1309.325286724787</v>
      </c>
      <c r="P1653">
        <f>-598.127588476819 -176.104437195086 -231.403509549907</f>
        <v>-1005.635535221812</v>
      </c>
      <c r="Q1653">
        <f>-449.879174411174 -102.566215900784 -394.385308480694</f>
        <v>-946.83069879265202</v>
      </c>
      <c r="R1653" t="s">
        <v>32002</v>
      </c>
      <c r="S1653" t="s">
        <v>32003</v>
      </c>
      <c r="T1653" t="s">
        <v>32004</v>
      </c>
      <c r="U1653" t="s">
        <v>32005</v>
      </c>
      <c r="V1653">
        <f>-578.213631275194 -53.7096141048651 -91.3011322884646</f>
        <v>-723.22437766852363</v>
      </c>
      <c r="W1653" t="s">
        <v>32006</v>
      </c>
      <c r="X1653" t="s">
        <v>32007</v>
      </c>
      <c r="Y1653" t="s">
        <v>32008</v>
      </c>
    </row>
    <row r="1654" spans="1:25" x14ac:dyDescent="0.3">
      <c r="A1654">
        <v>82650</v>
      </c>
      <c r="B1654" t="s">
        <v>32009</v>
      </c>
      <c r="C1654" t="s">
        <v>32010</v>
      </c>
      <c r="D1654" t="s">
        <v>32011</v>
      </c>
      <c r="E1654" t="s">
        <v>32012</v>
      </c>
      <c r="F1654" t="s">
        <v>32013</v>
      </c>
      <c r="G1654" t="s">
        <v>32014</v>
      </c>
      <c r="H1654" t="s">
        <v>32015</v>
      </c>
      <c r="I1654" t="s">
        <v>32016</v>
      </c>
      <c r="J1654" t="s">
        <v>32017</v>
      </c>
      <c r="K1654" t="s">
        <v>32018</v>
      </c>
      <c r="L1654" t="s">
        <v>32019</v>
      </c>
      <c r="M1654" t="s">
        <v>32020</v>
      </c>
      <c r="N1654" t="s">
        <v>32021</v>
      </c>
      <c r="O1654">
        <f>-658.381929924229 -146.068028982662 -505.369258172418</f>
        <v>-1309.8192170793091</v>
      </c>
      <c r="P1654">
        <f>-598.055525272387 -176.4586577448 -231.479241688527</f>
        <v>-1005.993424705714</v>
      </c>
      <c r="Q1654">
        <f>-449.628970368076 -103.399410441139 -394.514341627653</f>
        <v>-947.54272243686796</v>
      </c>
      <c r="R1654" t="s">
        <v>32022</v>
      </c>
      <c r="S1654" t="s">
        <v>32023</v>
      </c>
      <c r="T1654" t="s">
        <v>32024</v>
      </c>
      <c r="U1654" t="s">
        <v>32025</v>
      </c>
      <c r="V1654">
        <f>-578.352568549524 -53.9723935730933 -91.3835143078563</f>
        <v>-723.70847643047364</v>
      </c>
      <c r="W1654" t="s">
        <v>32026</v>
      </c>
      <c r="X1654" t="s">
        <v>32027</v>
      </c>
      <c r="Y1654" t="s">
        <v>32028</v>
      </c>
    </row>
    <row r="1655" spans="1:25" x14ac:dyDescent="0.3">
      <c r="A1655">
        <v>82700</v>
      </c>
      <c r="B1655" t="s">
        <v>32029</v>
      </c>
      <c r="C1655" t="s">
        <v>32030</v>
      </c>
      <c r="D1655" t="s">
        <v>32031</v>
      </c>
      <c r="E1655" t="s">
        <v>32032</v>
      </c>
      <c r="F1655" t="s">
        <v>32033</v>
      </c>
      <c r="G1655" t="s">
        <v>32034</v>
      </c>
      <c r="H1655" t="s">
        <v>32035</v>
      </c>
      <c r="I1655" t="s">
        <v>32036</v>
      </c>
      <c r="J1655" t="s">
        <v>32037</v>
      </c>
      <c r="K1655" t="s">
        <v>32038</v>
      </c>
      <c r="L1655" t="s">
        <v>32039</v>
      </c>
      <c r="M1655" t="s">
        <v>32040</v>
      </c>
      <c r="N1655" t="s">
        <v>32041</v>
      </c>
      <c r="O1655">
        <f>-658.496198629347 -146.687310247353 -505.2513027618</f>
        <v>-1310.4348116384999</v>
      </c>
      <c r="P1655">
        <f>-597.876356615612 -176.708058310109 -231.385212193981</f>
        <v>-1005.9696271197021</v>
      </c>
      <c r="Q1655">
        <f>-449.148934264286 -104.692507147892 -394.610366247383</f>
        <v>-948.45180765956104</v>
      </c>
      <c r="R1655" t="s">
        <v>32042</v>
      </c>
      <c r="S1655" t="s">
        <v>32043</v>
      </c>
      <c r="T1655" t="s">
        <v>32044</v>
      </c>
      <c r="U1655" t="s">
        <v>32045</v>
      </c>
      <c r="V1655">
        <f>-578.443353654678 -54.4053640923007 -91.4802240538232</f>
        <v>-724.328941800802</v>
      </c>
      <c r="W1655" t="s">
        <v>32046</v>
      </c>
      <c r="X1655" t="s">
        <v>32047</v>
      </c>
      <c r="Y1655" t="s">
        <v>32048</v>
      </c>
    </row>
    <row r="1656" spans="1:25" x14ac:dyDescent="0.3">
      <c r="A1656">
        <v>82750</v>
      </c>
      <c r="B1656" t="s">
        <v>32049</v>
      </c>
      <c r="C1656" t="s">
        <v>32050</v>
      </c>
      <c r="D1656" t="s">
        <v>32051</v>
      </c>
      <c r="E1656" t="s">
        <v>32052</v>
      </c>
      <c r="F1656" t="s">
        <v>32053</v>
      </c>
      <c r="G1656" t="s">
        <v>32054</v>
      </c>
      <c r="H1656" t="s">
        <v>32055</v>
      </c>
      <c r="I1656" t="s">
        <v>32056</v>
      </c>
      <c r="J1656" t="s">
        <v>32057</v>
      </c>
      <c r="K1656" t="s">
        <v>32058</v>
      </c>
      <c r="L1656" t="s">
        <v>32059</v>
      </c>
      <c r="M1656" t="s">
        <v>32060</v>
      </c>
      <c r="N1656" t="s">
        <v>32061</v>
      </c>
      <c r="O1656">
        <f>-658.509045670286 -146.995545232473 -505.182605122636</f>
        <v>-1310.687196025395</v>
      </c>
      <c r="P1656">
        <f>-597.880436269944 -176.769316657913 -231.291693957871</f>
        <v>-1005.9414468857279</v>
      </c>
      <c r="Q1656">
        <f>-449.022572759833 -105.350137079326 -394.65969583285</f>
        <v>-949.03240567200896</v>
      </c>
      <c r="R1656" t="s">
        <v>32062</v>
      </c>
      <c r="S1656" t="s">
        <v>32063</v>
      </c>
      <c r="T1656" t="s">
        <v>32064</v>
      </c>
      <c r="U1656" t="s">
        <v>32065</v>
      </c>
      <c r="V1656">
        <f>-578.421410203756 -54.568004526677 -91.5108034911402</f>
        <v>-724.50021822157316</v>
      </c>
      <c r="W1656" t="s">
        <v>32066</v>
      </c>
      <c r="X1656" t="s">
        <v>32067</v>
      </c>
      <c r="Y1656" t="s">
        <v>32068</v>
      </c>
    </row>
    <row r="1657" spans="1:25" x14ac:dyDescent="0.3">
      <c r="A1657">
        <v>82800</v>
      </c>
      <c r="B1657" t="s">
        <v>32069</v>
      </c>
      <c r="C1657" t="s">
        <v>32070</v>
      </c>
      <c r="D1657" t="s">
        <v>32071</v>
      </c>
      <c r="E1657" t="s">
        <v>32072</v>
      </c>
      <c r="F1657" t="s">
        <v>32073</v>
      </c>
      <c r="G1657" t="s">
        <v>32074</v>
      </c>
      <c r="H1657" t="s">
        <v>32075</v>
      </c>
      <c r="I1657" t="s">
        <v>32076</v>
      </c>
      <c r="J1657" t="s">
        <v>32077</v>
      </c>
      <c r="K1657" t="s">
        <v>32078</v>
      </c>
      <c r="L1657" t="s">
        <v>32079</v>
      </c>
      <c r="M1657" t="s">
        <v>32080</v>
      </c>
      <c r="N1657" t="s">
        <v>32081</v>
      </c>
      <c r="O1657">
        <f>-658.557218982928 -147.624904122606 -505.060970717263</f>
        <v>-1311.2430938227972</v>
      </c>
      <c r="P1657">
        <f>-598.056593982584 -176.900776531126 -231.088061302815</f>
        <v>-1006.045431816525</v>
      </c>
      <c r="Q1657">
        <f>-448.896245420348 -106.455640577894 -394.603155882554</f>
        <v>-949.95504188079599</v>
      </c>
      <c r="R1657" t="s">
        <v>32082</v>
      </c>
      <c r="S1657" t="s">
        <v>32083</v>
      </c>
      <c r="T1657" t="s">
        <v>32084</v>
      </c>
      <c r="U1657" t="s">
        <v>32085</v>
      </c>
      <c r="V1657">
        <f>-578.374800335357 -54.9159441481183 -91.5705880041578</f>
        <v>-724.86133248763315</v>
      </c>
      <c r="W1657" t="s">
        <v>32086</v>
      </c>
      <c r="X1657" t="s">
        <v>32087</v>
      </c>
      <c r="Y1657" t="s">
        <v>32088</v>
      </c>
    </row>
    <row r="1658" spans="1:25" x14ac:dyDescent="0.3">
      <c r="A1658">
        <v>82850</v>
      </c>
      <c r="B1658" t="s">
        <v>32089</v>
      </c>
      <c r="C1658" t="s">
        <v>32090</v>
      </c>
      <c r="D1658" t="s">
        <v>32091</v>
      </c>
      <c r="E1658" t="s">
        <v>32092</v>
      </c>
      <c r="F1658" t="s">
        <v>32093</v>
      </c>
      <c r="G1658" t="s">
        <v>32094</v>
      </c>
      <c r="H1658" t="s">
        <v>32095</v>
      </c>
      <c r="I1658" t="s">
        <v>32096</v>
      </c>
      <c r="J1658" t="s">
        <v>32097</v>
      </c>
      <c r="K1658" t="s">
        <v>32098</v>
      </c>
      <c r="L1658" t="s">
        <v>32099</v>
      </c>
      <c r="M1658" t="s">
        <v>32100</v>
      </c>
      <c r="N1658" t="s">
        <v>32101</v>
      </c>
      <c r="O1658">
        <f>-658.601078140878 -147.955306577551 -504.948007056601</f>
        <v>-1311.5043917750299</v>
      </c>
      <c r="P1658">
        <f>-597.936180235364 -176.998360763206 -230.986521350726</f>
        <v>-1005.9210623492959</v>
      </c>
      <c r="Q1658">
        <f>-448.804453317736 -106.909346404495 -394.680814177525</f>
        <v>-950.394613899756</v>
      </c>
      <c r="R1658" t="s">
        <v>32102</v>
      </c>
      <c r="S1658" t="s">
        <v>32103</v>
      </c>
      <c r="T1658" t="s">
        <v>32104</v>
      </c>
      <c r="U1658" t="s">
        <v>32105</v>
      </c>
      <c r="V1658">
        <f>-578.331496626006 -55.059134058469 -91.5893152680077</f>
        <v>-724.97994595248269</v>
      </c>
      <c r="W1658" t="s">
        <v>32106</v>
      </c>
      <c r="X1658" t="s">
        <v>32107</v>
      </c>
      <c r="Y1658" t="s">
        <v>32108</v>
      </c>
    </row>
    <row r="1659" spans="1:25" x14ac:dyDescent="0.3">
      <c r="A1659">
        <v>82900</v>
      </c>
      <c r="B1659" t="s">
        <v>32109</v>
      </c>
      <c r="C1659" t="s">
        <v>32110</v>
      </c>
      <c r="D1659" t="s">
        <v>32111</v>
      </c>
      <c r="E1659" t="s">
        <v>32112</v>
      </c>
      <c r="F1659" t="s">
        <v>32113</v>
      </c>
      <c r="G1659" t="s">
        <v>32114</v>
      </c>
      <c r="H1659" t="s">
        <v>32115</v>
      </c>
      <c r="I1659" t="s">
        <v>32116</v>
      </c>
      <c r="J1659" t="s">
        <v>32117</v>
      </c>
      <c r="K1659" t="s">
        <v>32118</v>
      </c>
      <c r="L1659" t="s">
        <v>32119</v>
      </c>
      <c r="M1659" t="s">
        <v>32120</v>
      </c>
      <c r="N1659" t="s">
        <v>32121</v>
      </c>
      <c r="O1659">
        <f>-658.690685773521 -148.353016379156 -504.84438636949</f>
        <v>-1311.888088522167</v>
      </c>
      <c r="P1659">
        <f>-597.553011947702 -176.878841786271 -230.933917748226</f>
        <v>-1005.365771482199</v>
      </c>
      <c r="Q1659">
        <f>-448.84018326882 -107.788779964895 -395.431870051414</f>
        <v>-952.06083328512909</v>
      </c>
      <c r="R1659" t="s">
        <v>32122</v>
      </c>
      <c r="S1659" t="s">
        <v>32123</v>
      </c>
      <c r="T1659" t="s">
        <v>32124</v>
      </c>
      <c r="U1659" t="s">
        <v>32125</v>
      </c>
      <c r="V1659">
        <f>-578.193907198296 -55.2064429818874 -91.6003013405493</f>
        <v>-725.00065152073273</v>
      </c>
      <c r="W1659" t="s">
        <v>32126</v>
      </c>
      <c r="X1659" t="s">
        <v>32127</v>
      </c>
      <c r="Y1659" t="s">
        <v>32128</v>
      </c>
    </row>
    <row r="1660" spans="1:25" x14ac:dyDescent="0.3">
      <c r="A1660">
        <v>82950</v>
      </c>
      <c r="B1660" t="s">
        <v>32129</v>
      </c>
      <c r="C1660" t="s">
        <v>32130</v>
      </c>
      <c r="D1660" t="s">
        <v>32131</v>
      </c>
      <c r="E1660" t="s">
        <v>32132</v>
      </c>
      <c r="F1660" t="s">
        <v>32133</v>
      </c>
      <c r="G1660" t="s">
        <v>32134</v>
      </c>
      <c r="H1660" t="s">
        <v>32135</v>
      </c>
      <c r="I1660" t="s">
        <v>32136</v>
      </c>
      <c r="J1660" t="s">
        <v>32137</v>
      </c>
      <c r="K1660" t="s">
        <v>32138</v>
      </c>
      <c r="L1660" t="s">
        <v>32139</v>
      </c>
      <c r="M1660" t="s">
        <v>32140</v>
      </c>
      <c r="N1660" t="s">
        <v>32141</v>
      </c>
      <c r="O1660">
        <f>-658.802565604555 -148.538507562558 -504.766794226188</f>
        <v>-1312.1078673933009</v>
      </c>
      <c r="P1660">
        <f>-597.253413669699 -176.733384121626 -230.914093215712</f>
        <v>-1004.900891007037</v>
      </c>
      <c r="Q1660">
        <f>-448.615535723066 -108.353983884958 -395.776337482959</f>
        <v>-952.74585709098301</v>
      </c>
      <c r="R1660" t="s">
        <v>32142</v>
      </c>
      <c r="S1660" t="s">
        <v>32143</v>
      </c>
      <c r="T1660" t="s">
        <v>32144</v>
      </c>
      <c r="U1660" t="s">
        <v>32145</v>
      </c>
      <c r="V1660">
        <f>-578.162186479825 -55.2870376863409 -91.6127599928998</f>
        <v>-725.06198415906567</v>
      </c>
      <c r="W1660" t="s">
        <v>32146</v>
      </c>
      <c r="X1660" t="s">
        <v>32147</v>
      </c>
      <c r="Y1660" t="s">
        <v>32148</v>
      </c>
    </row>
    <row r="1661" spans="1:25" x14ac:dyDescent="0.3">
      <c r="A1661">
        <v>83000</v>
      </c>
      <c r="B1661" t="s">
        <v>32149</v>
      </c>
      <c r="C1661" t="s">
        <v>32150</v>
      </c>
      <c r="D1661" t="s">
        <v>32151</v>
      </c>
      <c r="E1661" t="s">
        <v>32152</v>
      </c>
      <c r="F1661" t="s">
        <v>32153</v>
      </c>
      <c r="G1661" t="s">
        <v>32154</v>
      </c>
      <c r="H1661" t="s">
        <v>32155</v>
      </c>
      <c r="I1661" t="s">
        <v>32156</v>
      </c>
      <c r="J1661" t="s">
        <v>32157</v>
      </c>
      <c r="K1661" t="s">
        <v>32158</v>
      </c>
      <c r="L1661" t="s">
        <v>32159</v>
      </c>
      <c r="M1661" t="s">
        <v>32160</v>
      </c>
      <c r="N1661" t="s">
        <v>32161</v>
      </c>
      <c r="O1661">
        <f>-659.0422945386 -148.796758186468 -504.544649428148</f>
        <v>-1312.3837021532158</v>
      </c>
      <c r="P1661">
        <f>-596.82692515326 -176.480280023352 -230.790389937047</f>
        <v>-1004.0975951136591</v>
      </c>
      <c r="Q1661">
        <f>-447.947530963792 -109.221342801642 -395.895310268355</f>
        <v>-953.06418403378893</v>
      </c>
      <c r="R1661" t="s">
        <v>32162</v>
      </c>
      <c r="S1661" t="s">
        <v>32163</v>
      </c>
      <c r="T1661" t="s">
        <v>32164</v>
      </c>
      <c r="U1661" t="s">
        <v>32165</v>
      </c>
      <c r="V1661">
        <f>-578.118776669553 -55.3371904118349 -91.6357171055777</f>
        <v>-725.09168418696549</v>
      </c>
      <c r="W1661" t="s">
        <v>32166</v>
      </c>
      <c r="X1661" t="s">
        <v>32167</v>
      </c>
      <c r="Y1661" t="s">
        <v>32168</v>
      </c>
    </row>
    <row r="1662" spans="1:25" x14ac:dyDescent="0.3">
      <c r="A1662">
        <v>83050</v>
      </c>
      <c r="B1662" t="s">
        <v>32169</v>
      </c>
      <c r="C1662" t="s">
        <v>32170</v>
      </c>
      <c r="D1662" t="s">
        <v>32171</v>
      </c>
      <c r="E1662" t="s">
        <v>32172</v>
      </c>
      <c r="F1662" t="s">
        <v>32173</v>
      </c>
      <c r="G1662" t="s">
        <v>32174</v>
      </c>
      <c r="H1662" t="s">
        <v>32175</v>
      </c>
      <c r="I1662" t="s">
        <v>32176</v>
      </c>
      <c r="J1662" t="s">
        <v>32177</v>
      </c>
      <c r="K1662" t="s">
        <v>32178</v>
      </c>
      <c r="L1662" t="s">
        <v>32179</v>
      </c>
      <c r="M1662" t="s">
        <v>32180</v>
      </c>
      <c r="N1662" t="s">
        <v>32181</v>
      </c>
      <c r="O1662">
        <f>-659.098912264275 -148.860735171078 -504.473420883202</f>
        <v>-1312.4330683185549</v>
      </c>
      <c r="P1662">
        <f>-596.837937890076 -176.446429857602 -230.719599866275</f>
        <v>-1004.0039676139529</v>
      </c>
      <c r="Q1662">
        <f>-447.839655106194 -109.285947975215 -395.757360774046</f>
        <v>-952.88296385545505</v>
      </c>
      <c r="R1662" t="s">
        <v>32182</v>
      </c>
      <c r="S1662" t="s">
        <v>32183</v>
      </c>
      <c r="T1662" t="s">
        <v>32184</v>
      </c>
      <c r="U1662" t="s">
        <v>32185</v>
      </c>
      <c r="V1662">
        <f>-578.048683602551 -55.3027843649641 -91.6372346316814</f>
        <v>-724.98870259919647</v>
      </c>
      <c r="W1662" t="s">
        <v>32186</v>
      </c>
      <c r="X1662" t="s">
        <v>32187</v>
      </c>
      <c r="Y1662" t="s">
        <v>32188</v>
      </c>
    </row>
    <row r="1663" spans="1:25" x14ac:dyDescent="0.3">
      <c r="A1663">
        <v>83100</v>
      </c>
      <c r="B1663" t="s">
        <v>32189</v>
      </c>
      <c r="C1663" t="s">
        <v>32190</v>
      </c>
      <c r="D1663" t="s">
        <v>32191</v>
      </c>
      <c r="E1663" t="s">
        <v>32192</v>
      </c>
      <c r="F1663" t="s">
        <v>32193</v>
      </c>
      <c r="G1663" t="s">
        <v>32194</v>
      </c>
      <c r="H1663" t="s">
        <v>32195</v>
      </c>
      <c r="I1663" t="s">
        <v>32196</v>
      </c>
      <c r="J1663" t="s">
        <v>32197</v>
      </c>
      <c r="K1663" t="s">
        <v>32198</v>
      </c>
      <c r="L1663" t="s">
        <v>32199</v>
      </c>
      <c r="M1663" t="s">
        <v>32200</v>
      </c>
      <c r="N1663" t="s">
        <v>32201</v>
      </c>
      <c r="O1663">
        <f>-659.297638300508 -148.931526724423 -504.361016921251</f>
        <v>-1312.5901819461819</v>
      </c>
      <c r="P1663">
        <f>-597.23270949107 -176.305681121882 -230.541364643077</f>
        <v>-1004.079755256029</v>
      </c>
      <c r="Q1663">
        <f>-447.827053207803 -109.228818944554 -395.244568719799</f>
        <v>-952.30044087215606</v>
      </c>
      <c r="R1663" t="s">
        <v>32202</v>
      </c>
      <c r="S1663" t="s">
        <v>32203</v>
      </c>
      <c r="T1663" t="s">
        <v>32204</v>
      </c>
      <c r="U1663" t="s">
        <v>32205</v>
      </c>
      <c r="V1663">
        <f>-577.919446591941 -55.1971223020325 -91.6219096943466</f>
        <v>-724.73847858832016</v>
      </c>
      <c r="W1663" t="s">
        <v>32206</v>
      </c>
      <c r="X1663" t="s">
        <v>32207</v>
      </c>
      <c r="Y1663" t="s">
        <v>32208</v>
      </c>
    </row>
    <row r="1664" spans="1:25" x14ac:dyDescent="0.3">
      <c r="A1664">
        <v>83150</v>
      </c>
      <c r="B1664" t="s">
        <v>32209</v>
      </c>
      <c r="C1664" t="s">
        <v>32210</v>
      </c>
      <c r="D1664" t="s">
        <v>32211</v>
      </c>
      <c r="E1664" t="s">
        <v>32212</v>
      </c>
      <c r="F1664" t="s">
        <v>32213</v>
      </c>
      <c r="G1664" t="s">
        <v>32214</v>
      </c>
      <c r="H1664" t="s">
        <v>32215</v>
      </c>
      <c r="I1664" t="s">
        <v>32216</v>
      </c>
      <c r="J1664" t="s">
        <v>32217</v>
      </c>
      <c r="K1664" t="s">
        <v>32218</v>
      </c>
      <c r="L1664" t="s">
        <v>32219</v>
      </c>
      <c r="M1664" t="s">
        <v>32220</v>
      </c>
      <c r="N1664" t="s">
        <v>32221</v>
      </c>
      <c r="O1664">
        <f>-659.428764731509 -148.946622935967 -504.27799274649</f>
        <v>-1312.6533804139658</v>
      </c>
      <c r="P1664">
        <f>-597.390654012617 -176.120692575526 -230.432353504032</f>
        <v>-1003.9437000921749</v>
      </c>
      <c r="Q1664">
        <f>-447.811507996954 -109.167194475959 -395.028400747307</f>
        <v>-952.00710322021996</v>
      </c>
      <c r="R1664" t="s">
        <v>32222</v>
      </c>
      <c r="S1664" t="s">
        <v>32223</v>
      </c>
      <c r="T1664" t="s">
        <v>32224</v>
      </c>
      <c r="U1664" t="s">
        <v>32225</v>
      </c>
      <c r="V1664">
        <f>-577.864291701521 -55.1766101483151 -91.6113864869344</f>
        <v>-724.65228833677054</v>
      </c>
      <c r="W1664" t="s">
        <v>32226</v>
      </c>
      <c r="X1664" t="s">
        <v>32227</v>
      </c>
      <c r="Y1664" t="s">
        <v>32228</v>
      </c>
    </row>
    <row r="1665" spans="1:25" x14ac:dyDescent="0.3">
      <c r="A1665">
        <v>83200</v>
      </c>
      <c r="B1665" t="s">
        <v>32229</v>
      </c>
      <c r="C1665" t="s">
        <v>32230</v>
      </c>
      <c r="D1665" t="s">
        <v>32231</v>
      </c>
      <c r="E1665" t="s">
        <v>32232</v>
      </c>
      <c r="F1665" t="s">
        <v>32233</v>
      </c>
      <c r="G1665" t="s">
        <v>32234</v>
      </c>
      <c r="H1665" t="s">
        <v>32235</v>
      </c>
      <c r="I1665" t="s">
        <v>32236</v>
      </c>
      <c r="J1665" t="s">
        <v>32237</v>
      </c>
      <c r="K1665" t="s">
        <v>32238</v>
      </c>
      <c r="L1665" t="s">
        <v>32239</v>
      </c>
      <c r="M1665" t="s">
        <v>32240</v>
      </c>
      <c r="N1665" t="s">
        <v>32241</v>
      </c>
      <c r="O1665">
        <f>-659.692243316586 -148.90013656886 -504.118171987255</f>
        <v>-1312.710551872701</v>
      </c>
      <c r="P1665">
        <f>-597.752424980384 -175.800013444601 -230.223253917107</f>
        <v>-1003.775692342092</v>
      </c>
      <c r="Q1665">
        <f>-447.493775758524 -109.489014201917 -394.459961127094</f>
        <v>-951.44275108753504</v>
      </c>
      <c r="R1665" t="s">
        <v>32242</v>
      </c>
      <c r="S1665" t="s">
        <v>32243</v>
      </c>
      <c r="T1665" t="s">
        <v>32244</v>
      </c>
      <c r="U1665" t="s">
        <v>32245</v>
      </c>
      <c r="V1665">
        <f>-577.787627573641 -55.0876018943193 -91.5945510535696</f>
        <v>-724.46978052152986</v>
      </c>
      <c r="W1665" t="s">
        <v>32246</v>
      </c>
      <c r="X1665" t="s">
        <v>32247</v>
      </c>
      <c r="Y1665" t="s">
        <v>32248</v>
      </c>
    </row>
    <row r="1666" spans="1:25" x14ac:dyDescent="0.3">
      <c r="A1666">
        <v>83250</v>
      </c>
      <c r="B1666" t="s">
        <v>32249</v>
      </c>
      <c r="C1666" t="s">
        <v>32250</v>
      </c>
      <c r="D1666" t="s">
        <v>32251</v>
      </c>
      <c r="E1666" t="s">
        <v>32252</v>
      </c>
      <c r="F1666" t="s">
        <v>32253</v>
      </c>
      <c r="G1666" t="s">
        <v>32254</v>
      </c>
      <c r="H1666" t="s">
        <v>32255</v>
      </c>
      <c r="I1666" t="s">
        <v>32256</v>
      </c>
      <c r="J1666" t="s">
        <v>32257</v>
      </c>
      <c r="K1666" t="s">
        <v>32258</v>
      </c>
      <c r="L1666" t="s">
        <v>32259</v>
      </c>
      <c r="M1666" t="s">
        <v>32260</v>
      </c>
      <c r="N1666" t="s">
        <v>32261</v>
      </c>
      <c r="O1666">
        <f>-659.831409060854 -148.767740375276 -504.065958274602</f>
        <v>-1312.6651077107319</v>
      </c>
      <c r="P1666">
        <f>-598.060430798253 -175.554072565925 -230.121727912036</f>
        <v>-1003.7362312762141</v>
      </c>
      <c r="Q1666">
        <f>-447.406791866202 -109.621536200138 -394.148692174942</f>
        <v>-951.17702024128198</v>
      </c>
      <c r="R1666" t="s">
        <v>32262</v>
      </c>
      <c r="S1666" t="s">
        <v>32263</v>
      </c>
      <c r="T1666" t="s">
        <v>32264</v>
      </c>
      <c r="U1666" t="s">
        <v>32265</v>
      </c>
      <c r="V1666">
        <f>-577.781902786776 -54.9458220924325 -91.5665673292725</f>
        <v>-724.29429220848101</v>
      </c>
      <c r="W1666" t="s">
        <v>32266</v>
      </c>
      <c r="X1666" t="s">
        <v>32267</v>
      </c>
      <c r="Y1666" t="s">
        <v>32268</v>
      </c>
    </row>
    <row r="1667" spans="1:25" x14ac:dyDescent="0.3">
      <c r="A1667">
        <v>83300</v>
      </c>
      <c r="B1667" t="s">
        <v>32269</v>
      </c>
      <c r="C1667" t="s">
        <v>32270</v>
      </c>
      <c r="D1667" t="s">
        <v>32271</v>
      </c>
      <c r="E1667" t="s">
        <v>32272</v>
      </c>
      <c r="F1667" t="s">
        <v>32273</v>
      </c>
      <c r="G1667" t="s">
        <v>32274</v>
      </c>
      <c r="H1667" t="s">
        <v>32275</v>
      </c>
      <c r="I1667" t="s">
        <v>32276</v>
      </c>
      <c r="J1667" t="s">
        <v>32277</v>
      </c>
      <c r="K1667" t="s">
        <v>32278</v>
      </c>
      <c r="L1667" t="s">
        <v>32279</v>
      </c>
      <c r="M1667" t="s">
        <v>32280</v>
      </c>
      <c r="N1667" t="s">
        <v>32281</v>
      </c>
      <c r="O1667">
        <f>-659.885475277568 -148.499280123426 -504.04435382464</f>
        <v>-1312.429109225634</v>
      </c>
      <c r="P1667">
        <f>-598.586885799945 -175.019275821985 -229.968182092008</f>
        <v>-1003.5743437139379</v>
      </c>
      <c r="Q1667">
        <f>-447.211661744004 -109.876229445641 -393.646028687443</f>
        <v>-950.73391987708806</v>
      </c>
      <c r="R1667" t="s">
        <v>32282</v>
      </c>
      <c r="S1667" t="s">
        <v>32283</v>
      </c>
      <c r="T1667" t="s">
        <v>32284</v>
      </c>
      <c r="U1667" t="s">
        <v>32285</v>
      </c>
      <c r="V1667">
        <f>-577.703804111915 -54.5756164576608 -91.5001989752923</f>
        <v>-723.77961954486807</v>
      </c>
      <c r="W1667" t="s">
        <v>32286</v>
      </c>
      <c r="X1667" t="s">
        <v>32287</v>
      </c>
      <c r="Y1667" t="s">
        <v>32288</v>
      </c>
    </row>
    <row r="1668" spans="1:25" x14ac:dyDescent="0.3">
      <c r="A1668">
        <v>83350</v>
      </c>
      <c r="B1668" t="s">
        <v>32289</v>
      </c>
      <c r="C1668" t="s">
        <v>32290</v>
      </c>
      <c r="D1668" t="s">
        <v>32291</v>
      </c>
      <c r="E1668" t="s">
        <v>32292</v>
      </c>
      <c r="F1668" t="s">
        <v>32293</v>
      </c>
      <c r="G1668" t="s">
        <v>32294</v>
      </c>
      <c r="H1668" t="s">
        <v>32295</v>
      </c>
      <c r="I1668" t="s">
        <v>32296</v>
      </c>
      <c r="J1668" t="s">
        <v>32297</v>
      </c>
      <c r="K1668" t="s">
        <v>32298</v>
      </c>
      <c r="L1668" t="s">
        <v>32299</v>
      </c>
      <c r="M1668" t="s">
        <v>32300</v>
      </c>
      <c r="N1668" t="s">
        <v>32301</v>
      </c>
      <c r="O1668">
        <f>-659.892503204632 -148.322794050172 -504.034732375906</f>
        <v>-1312.2500296307101</v>
      </c>
      <c r="P1668">
        <f>-598.8310950944 -174.771750948544 -229.898736167117</f>
        <v>-1003.501582210061</v>
      </c>
      <c r="Q1668">
        <f>-447.065224858648 -110.047763107706 -393.380969657072</f>
        <v>-950.49395762342601</v>
      </c>
      <c r="R1668" t="s">
        <v>32302</v>
      </c>
      <c r="S1668" t="s">
        <v>32303</v>
      </c>
      <c r="T1668" t="s">
        <v>32304</v>
      </c>
      <c r="U1668" t="s">
        <v>32305</v>
      </c>
      <c r="V1668">
        <f>-577.628236451003 -54.3471710487652 -91.4671191210962</f>
        <v>-723.44252662086433</v>
      </c>
      <c r="W1668" t="s">
        <v>32306</v>
      </c>
      <c r="X1668" t="s">
        <v>32307</v>
      </c>
      <c r="Y1668" t="s">
        <v>32308</v>
      </c>
    </row>
    <row r="1669" spans="1:25" x14ac:dyDescent="0.3">
      <c r="A1669">
        <v>83400</v>
      </c>
      <c r="B1669" t="s">
        <v>32309</v>
      </c>
      <c r="C1669" t="s">
        <v>32310</v>
      </c>
      <c r="D1669" t="s">
        <v>32311</v>
      </c>
      <c r="E1669" t="s">
        <v>32312</v>
      </c>
      <c r="F1669" t="s">
        <v>32313</v>
      </c>
      <c r="G1669" t="s">
        <v>32314</v>
      </c>
      <c r="H1669" t="s">
        <v>32315</v>
      </c>
      <c r="I1669" t="s">
        <v>32316</v>
      </c>
      <c r="J1669" t="s">
        <v>32317</v>
      </c>
      <c r="K1669" t="s">
        <v>32318</v>
      </c>
      <c r="L1669" t="s">
        <v>32319</v>
      </c>
      <c r="M1669" t="s">
        <v>32320</v>
      </c>
      <c r="N1669" t="s">
        <v>32321</v>
      </c>
      <c r="O1669">
        <f>-660.001922821958 -147.890953395629 -504.010417151711</f>
        <v>-1311.9032933692981</v>
      </c>
      <c r="P1669">
        <f>-599.146642601916 -174.258634741539 -229.820696519096</f>
        <v>-1003.2259738625511</v>
      </c>
      <c r="Q1669">
        <f>-446.934188115672 -110.045604540699 -393.089189609349</f>
        <v>-950.06898226572002</v>
      </c>
      <c r="R1669" t="s">
        <v>32322</v>
      </c>
      <c r="S1669" t="s">
        <v>32323</v>
      </c>
      <c r="T1669" t="s">
        <v>32324</v>
      </c>
      <c r="U1669" t="s">
        <v>32325</v>
      </c>
      <c r="V1669">
        <f>-577.578791193974 -54.0206201181959 -91.4198211785977</f>
        <v>-723.01923249076754</v>
      </c>
      <c r="W1669" t="s">
        <v>32326</v>
      </c>
      <c r="X1669" t="s">
        <v>32327</v>
      </c>
      <c r="Y1669" t="s">
        <v>32328</v>
      </c>
    </row>
    <row r="1670" spans="1:25" x14ac:dyDescent="0.3">
      <c r="A1670">
        <v>83450</v>
      </c>
      <c r="B1670" t="s">
        <v>32329</v>
      </c>
      <c r="C1670" t="s">
        <v>32330</v>
      </c>
      <c r="D1670" t="s">
        <v>32331</v>
      </c>
      <c r="E1670" t="s">
        <v>32332</v>
      </c>
      <c r="F1670" t="s">
        <v>32333</v>
      </c>
      <c r="G1670" t="s">
        <v>32334</v>
      </c>
      <c r="H1670" t="s">
        <v>32335</v>
      </c>
      <c r="I1670" t="s">
        <v>32336</v>
      </c>
      <c r="J1670" t="s">
        <v>32337</v>
      </c>
      <c r="K1670" t="s">
        <v>32338</v>
      </c>
      <c r="L1670" t="s">
        <v>32339</v>
      </c>
      <c r="M1670" t="s">
        <v>32340</v>
      </c>
      <c r="N1670" t="s">
        <v>32341</v>
      </c>
      <c r="O1670">
        <f>-659.867065694185 -147.709282611711 -504.068803385409</f>
        <v>-1311.645151691305</v>
      </c>
      <c r="P1670">
        <f>-599.046986950151 -174.087991665132 -229.872329725511</f>
        <v>-1003.007308340794</v>
      </c>
      <c r="Q1670">
        <f>-446.778242441865 -109.901184483747 -393.098653074288</f>
        <v>-949.7780799999</v>
      </c>
      <c r="R1670" t="s">
        <v>32342</v>
      </c>
      <c r="S1670" t="s">
        <v>32343</v>
      </c>
      <c r="T1670" t="s">
        <v>32344</v>
      </c>
      <c r="U1670" t="s">
        <v>32345</v>
      </c>
      <c r="V1670">
        <f>-577.56509822084 -53.9773865094837 -91.4116416706019</f>
        <v>-722.95412640092559</v>
      </c>
      <c r="W1670" t="s">
        <v>32346</v>
      </c>
      <c r="X1670" t="s">
        <v>32347</v>
      </c>
      <c r="Y1670" t="s">
        <v>32348</v>
      </c>
    </row>
    <row r="1671" spans="1:25" x14ac:dyDescent="0.3">
      <c r="A1671">
        <v>83500</v>
      </c>
      <c r="B1671" t="s">
        <v>32349</v>
      </c>
      <c r="C1671" t="s">
        <v>32350</v>
      </c>
      <c r="D1671" t="s">
        <v>32351</v>
      </c>
      <c r="E1671" t="s">
        <v>32352</v>
      </c>
      <c r="F1671" t="s">
        <v>32353</v>
      </c>
      <c r="G1671" t="s">
        <v>32354</v>
      </c>
      <c r="H1671" t="s">
        <v>32355</v>
      </c>
      <c r="I1671" t="s">
        <v>32356</v>
      </c>
      <c r="J1671" t="s">
        <v>32357</v>
      </c>
      <c r="K1671" t="s">
        <v>32358</v>
      </c>
      <c r="L1671" t="s">
        <v>32359</v>
      </c>
      <c r="M1671" t="s">
        <v>32360</v>
      </c>
      <c r="N1671" t="s">
        <v>32361</v>
      </c>
      <c r="O1671">
        <f>-659.426764347511 -147.723434593102 -504.277744623537</f>
        <v>-1311.4279435641502</v>
      </c>
      <c r="P1671">
        <f>-598.614519336911 -174.251688531064 -230.094085331936</f>
        <v>-1002.960293199911</v>
      </c>
      <c r="Q1671">
        <f>-446.330940500347 -109.679294799294 -393.154276996899</f>
        <v>-949.16451229654012</v>
      </c>
      <c r="R1671" t="s">
        <v>32362</v>
      </c>
      <c r="S1671" t="s">
        <v>32363</v>
      </c>
      <c r="T1671" t="s">
        <v>32364</v>
      </c>
      <c r="U1671" t="s">
        <v>32365</v>
      </c>
      <c r="V1671">
        <f>-577.523123287129 -54.1071717285733 -91.4003488143981</f>
        <v>-723.03064383010042</v>
      </c>
      <c r="W1671" t="s">
        <v>32366</v>
      </c>
      <c r="X1671" t="s">
        <v>32367</v>
      </c>
      <c r="Y1671" t="s">
        <v>32368</v>
      </c>
    </row>
    <row r="1672" spans="1:25" x14ac:dyDescent="0.3">
      <c r="A1672">
        <v>83550</v>
      </c>
      <c r="B1672" t="s">
        <v>32369</v>
      </c>
      <c r="C1672" t="s">
        <v>32370</v>
      </c>
      <c r="D1672" t="s">
        <v>32371</v>
      </c>
      <c r="E1672" t="s">
        <v>32372</v>
      </c>
      <c r="F1672" t="s">
        <v>32373</v>
      </c>
      <c r="G1672" t="s">
        <v>32374</v>
      </c>
      <c r="H1672" t="s">
        <v>32375</v>
      </c>
      <c r="I1672" t="s">
        <v>32376</v>
      </c>
      <c r="J1672" t="s">
        <v>32377</v>
      </c>
      <c r="K1672" t="s">
        <v>32378</v>
      </c>
      <c r="L1672" t="s">
        <v>32379</v>
      </c>
      <c r="M1672" t="s">
        <v>32380</v>
      </c>
      <c r="N1672" t="s">
        <v>32381</v>
      </c>
      <c r="O1672">
        <f>-659.230250700155 -147.743989431688 -504.311111544458</f>
        <v>-1311.2853516763009</v>
      </c>
      <c r="P1672">
        <f>-598.395764593995 -174.33381373413 -230.138333553563</f>
        <v>-1002.867911881688</v>
      </c>
      <c r="Q1672">
        <f>-446.008101774131 -109.668670212815 -393.064651151873</f>
        <v>-948.74142313881896</v>
      </c>
      <c r="R1672" t="s">
        <v>32382</v>
      </c>
      <c r="S1672" t="s">
        <v>32383</v>
      </c>
      <c r="T1672" t="s">
        <v>32384</v>
      </c>
      <c r="U1672" t="s">
        <v>32385</v>
      </c>
      <c r="V1672">
        <f>-577.485931086428 -54.1729284558733 -91.3974162403979</f>
        <v>-723.05627578269912</v>
      </c>
      <c r="W1672" t="s">
        <v>32386</v>
      </c>
      <c r="X1672" t="s">
        <v>32387</v>
      </c>
      <c r="Y1672" t="s">
        <v>32388</v>
      </c>
    </row>
    <row r="1673" spans="1:25" x14ac:dyDescent="0.3">
      <c r="A1673">
        <v>83600</v>
      </c>
      <c r="B1673" t="s">
        <v>32389</v>
      </c>
      <c r="C1673" t="s">
        <v>32390</v>
      </c>
      <c r="D1673" t="s">
        <v>32391</v>
      </c>
      <c r="E1673" t="s">
        <v>32392</v>
      </c>
      <c r="F1673" t="s">
        <v>32393</v>
      </c>
      <c r="G1673" t="s">
        <v>32394</v>
      </c>
      <c r="H1673" t="s">
        <v>32395</v>
      </c>
      <c r="I1673" t="s">
        <v>32396</v>
      </c>
      <c r="J1673" t="s">
        <v>32397</v>
      </c>
      <c r="K1673" t="s">
        <v>32398</v>
      </c>
      <c r="L1673" t="s">
        <v>32399</v>
      </c>
      <c r="M1673" t="s">
        <v>32400</v>
      </c>
      <c r="N1673" t="s">
        <v>32401</v>
      </c>
      <c r="O1673">
        <f>-658.859564685321 -147.887018307382 -504.345253176084</f>
        <v>-1311.091836168787</v>
      </c>
      <c r="P1673">
        <f>-598.040634124565 -174.259119033051 -230.1479232704</f>
        <v>-1002.4476764280161</v>
      </c>
      <c r="Q1673">
        <f>-445.278346021503 -109.8938228657 -392.841880190385</f>
        <v>-948.01404907758797</v>
      </c>
      <c r="R1673" t="s">
        <v>32402</v>
      </c>
      <c r="S1673" t="s">
        <v>32403</v>
      </c>
      <c r="T1673" t="s">
        <v>32404</v>
      </c>
      <c r="U1673" t="s">
        <v>32405</v>
      </c>
      <c r="V1673">
        <f>-577.297060972188 -54.3193155426243 -91.4045352673594</f>
        <v>-723.02091178217165</v>
      </c>
      <c r="W1673" t="s">
        <v>32406</v>
      </c>
      <c r="X1673" t="s">
        <v>32407</v>
      </c>
      <c r="Y1673" t="s">
        <v>32408</v>
      </c>
    </row>
    <row r="1674" spans="1:25" x14ac:dyDescent="0.3">
      <c r="A1674">
        <v>83650</v>
      </c>
      <c r="B1674" t="s">
        <v>32409</v>
      </c>
      <c r="C1674" t="s">
        <v>32410</v>
      </c>
      <c r="D1674" t="s">
        <v>32411</v>
      </c>
      <c r="E1674" t="s">
        <v>32412</v>
      </c>
      <c r="F1674" t="s">
        <v>32413</v>
      </c>
      <c r="G1674" t="s">
        <v>32414</v>
      </c>
      <c r="H1674" t="s">
        <v>32415</v>
      </c>
      <c r="I1674" t="s">
        <v>32416</v>
      </c>
      <c r="J1674" t="s">
        <v>32417</v>
      </c>
      <c r="K1674" t="s">
        <v>32418</v>
      </c>
      <c r="L1674" t="s">
        <v>32419</v>
      </c>
      <c r="M1674" t="s">
        <v>32420</v>
      </c>
      <c r="N1674" t="s">
        <v>32421</v>
      </c>
      <c r="O1674">
        <f>-658.657783500084 -147.925163429341 -504.411363653133</f>
        <v>-1310.9943105825578</v>
      </c>
      <c r="P1674">
        <f>-597.988740680202 -174.119621544993 -230.163771758063</f>
        <v>-1002.2721339832581</v>
      </c>
      <c r="Q1674">
        <f>-444.820983591256 -110.233127508113 -392.66508484232</f>
        <v>-947.71919594168912</v>
      </c>
      <c r="R1674" t="s">
        <v>32422</v>
      </c>
      <c r="S1674" t="s">
        <v>32423</v>
      </c>
      <c r="T1674" t="s">
        <v>32424</v>
      </c>
      <c r="U1674" t="s">
        <v>32425</v>
      </c>
      <c r="V1674">
        <f>-577.189502519494 -54.3864366209482 -91.4040892483108</f>
        <v>-722.980028388753</v>
      </c>
      <c r="W1674" t="s">
        <v>32426</v>
      </c>
      <c r="X1674" t="s">
        <v>32427</v>
      </c>
      <c r="Y1674" t="s">
        <v>32428</v>
      </c>
    </row>
    <row r="1675" spans="1:25" x14ac:dyDescent="0.3">
      <c r="A1675">
        <v>83700</v>
      </c>
      <c r="B1675" t="s">
        <v>32429</v>
      </c>
      <c r="C1675" t="s">
        <v>32430</v>
      </c>
      <c r="D1675" t="s">
        <v>32431</v>
      </c>
      <c r="E1675" t="s">
        <v>32432</v>
      </c>
      <c r="F1675" t="s">
        <v>32433</v>
      </c>
      <c r="G1675" t="s">
        <v>32434</v>
      </c>
      <c r="H1675" t="s">
        <v>32435</v>
      </c>
      <c r="I1675" t="s">
        <v>32436</v>
      </c>
      <c r="J1675" t="s">
        <v>32437</v>
      </c>
      <c r="K1675" t="s">
        <v>32438</v>
      </c>
      <c r="L1675" t="s">
        <v>32439</v>
      </c>
      <c r="M1675" t="s">
        <v>32440</v>
      </c>
      <c r="N1675" t="s">
        <v>32441</v>
      </c>
      <c r="O1675">
        <f>-658.099674569497 -147.920483223197 -504.551205876523</f>
        <v>-1310.5713636692171</v>
      </c>
      <c r="P1675">
        <f>-597.860135828492 -174.093104640521 -230.207033387926</f>
        <v>-1002.1602738569391</v>
      </c>
      <c r="Q1675">
        <f>-443.891856197658 -110.973219115541 -392.250749900582</f>
        <v>-947.11582521378091</v>
      </c>
      <c r="R1675" t="s">
        <v>32442</v>
      </c>
      <c r="S1675" t="s">
        <v>32443</v>
      </c>
      <c r="T1675" t="s">
        <v>32444</v>
      </c>
      <c r="U1675" t="s">
        <v>32445</v>
      </c>
      <c r="V1675">
        <f>-577.045995865898 -54.4151878353739 -91.3977720849743</f>
        <v>-722.85895578624627</v>
      </c>
      <c r="W1675" t="s">
        <v>32446</v>
      </c>
      <c r="X1675" t="s">
        <v>32447</v>
      </c>
      <c r="Y1675" t="s">
        <v>32448</v>
      </c>
    </row>
    <row r="1676" spans="1:25" x14ac:dyDescent="0.3">
      <c r="A1676">
        <v>83750</v>
      </c>
      <c r="B1676" t="s">
        <v>32449</v>
      </c>
      <c r="C1676" t="s">
        <v>32450</v>
      </c>
      <c r="D1676" t="s">
        <v>32451</v>
      </c>
      <c r="E1676" t="s">
        <v>32452</v>
      </c>
      <c r="F1676" t="s">
        <v>32453</v>
      </c>
      <c r="G1676" t="s">
        <v>32454</v>
      </c>
      <c r="H1676" t="s">
        <v>32455</v>
      </c>
      <c r="I1676" t="s">
        <v>32456</v>
      </c>
      <c r="J1676" t="s">
        <v>32457</v>
      </c>
      <c r="K1676" t="s">
        <v>32458</v>
      </c>
      <c r="L1676" t="s">
        <v>32459</v>
      </c>
      <c r="M1676" t="s">
        <v>32460</v>
      </c>
      <c r="N1676" t="s">
        <v>32461</v>
      </c>
      <c r="O1676">
        <f>-657.841133777108 -147.866091806763 -504.638664058099</f>
        <v>-1310.34588964197</v>
      </c>
      <c r="P1676">
        <f>-597.794226342517 -173.994395162069 -230.247911767764</f>
        <v>-1002.03653327235</v>
      </c>
      <c r="Q1676">
        <f>-443.559506766893 -111.103664553516 -392.12722290069</f>
        <v>-946.79039422109895</v>
      </c>
      <c r="R1676" t="s">
        <v>32462</v>
      </c>
      <c r="S1676" t="s">
        <v>32463</v>
      </c>
      <c r="T1676" t="s">
        <v>32464</v>
      </c>
      <c r="U1676" t="s">
        <v>32465</v>
      </c>
      <c r="V1676">
        <f>-577.019698884062 -54.4196045958356 -91.3968726075869</f>
        <v>-722.83617608748455</v>
      </c>
      <c r="W1676" t="s">
        <v>32466</v>
      </c>
      <c r="X1676" t="s">
        <v>32467</v>
      </c>
      <c r="Y1676" t="s">
        <v>32468</v>
      </c>
    </row>
    <row r="1677" spans="1:25" x14ac:dyDescent="0.3">
      <c r="A1677">
        <v>83800</v>
      </c>
      <c r="B1677" t="s">
        <v>32469</v>
      </c>
      <c r="C1677" t="s">
        <v>32470</v>
      </c>
      <c r="D1677" t="s">
        <v>32471</v>
      </c>
      <c r="E1677" t="s">
        <v>32472</v>
      </c>
      <c r="F1677" t="s">
        <v>32473</v>
      </c>
      <c r="G1677" t="s">
        <v>32474</v>
      </c>
      <c r="H1677" t="s">
        <v>32475</v>
      </c>
      <c r="I1677" t="s">
        <v>32476</v>
      </c>
      <c r="J1677" t="s">
        <v>32477</v>
      </c>
      <c r="K1677" t="s">
        <v>32478</v>
      </c>
      <c r="L1677" t="s">
        <v>32479</v>
      </c>
      <c r="M1677" t="s">
        <v>32480</v>
      </c>
      <c r="N1677" t="s">
        <v>32481</v>
      </c>
      <c r="O1677">
        <f>-657.427246002225 -147.720770643954 -504.755518490069</f>
        <v>-1309.9035351362481</v>
      </c>
      <c r="P1677">
        <f>-597.85915443037 -173.83784590844 -230.259239224735</f>
        <v>-1001.9562395635451</v>
      </c>
      <c r="Q1677">
        <f>-443.074308211811 -111.35363569748 -391.770675848577</f>
        <v>-946.19861975786807</v>
      </c>
      <c r="R1677" t="s">
        <v>32482</v>
      </c>
      <c r="S1677" t="s">
        <v>32483</v>
      </c>
      <c r="T1677" t="s">
        <v>32484</v>
      </c>
      <c r="U1677" t="s">
        <v>32485</v>
      </c>
      <c r="V1677">
        <f>-576.998197007308 -54.2841674196104 -91.4064894993163</f>
        <v>-722.68885392623474</v>
      </c>
      <c r="W1677" t="s">
        <v>32486</v>
      </c>
      <c r="X1677" t="s">
        <v>32487</v>
      </c>
      <c r="Y1677" t="s">
        <v>32488</v>
      </c>
    </row>
    <row r="1678" spans="1:25" x14ac:dyDescent="0.3">
      <c r="A1678">
        <v>83850</v>
      </c>
      <c r="B1678" t="s">
        <v>32489</v>
      </c>
      <c r="C1678" t="s">
        <v>32490</v>
      </c>
      <c r="D1678" t="s">
        <v>32491</v>
      </c>
      <c r="E1678" t="s">
        <v>32492</v>
      </c>
      <c r="F1678" t="s">
        <v>32493</v>
      </c>
      <c r="G1678" t="s">
        <v>32494</v>
      </c>
      <c r="H1678" t="s">
        <v>32495</v>
      </c>
      <c r="I1678" t="s">
        <v>32496</v>
      </c>
      <c r="J1678" t="s">
        <v>32497</v>
      </c>
      <c r="K1678" t="s">
        <v>32498</v>
      </c>
      <c r="L1678" t="s">
        <v>32499</v>
      </c>
      <c r="M1678" t="s">
        <v>32500</v>
      </c>
      <c r="N1678" t="s">
        <v>32501</v>
      </c>
      <c r="O1678">
        <f>-657.212852993085 -147.678784134856 -504.808875381612</f>
        <v>-1309.7005125095529</v>
      </c>
      <c r="P1678">
        <f>-597.956411681083 -173.752364992121 -230.241188774327</f>
        <v>-1001.949965447531</v>
      </c>
      <c r="Q1678">
        <f>-442.736001421936 -111.652924976483 -391.482444757907</f>
        <v>-945.87137115632595</v>
      </c>
      <c r="R1678" t="s">
        <v>32502</v>
      </c>
      <c r="S1678" t="s">
        <v>32503</v>
      </c>
      <c r="T1678" t="s">
        <v>32504</v>
      </c>
      <c r="U1678" t="s">
        <v>32505</v>
      </c>
      <c r="V1678">
        <f>-577.006039789164 -54.2848422899008 -91.4045495323687</f>
        <v>-722.69543161143349</v>
      </c>
      <c r="W1678" t="s">
        <v>32506</v>
      </c>
      <c r="X1678" t="s">
        <v>32507</v>
      </c>
      <c r="Y1678" t="s">
        <v>32508</v>
      </c>
    </row>
    <row r="1679" spans="1:25" x14ac:dyDescent="0.3">
      <c r="A1679">
        <v>83900</v>
      </c>
      <c r="B1679" t="s">
        <v>32509</v>
      </c>
      <c r="C1679" t="s">
        <v>32510</v>
      </c>
      <c r="D1679" t="s">
        <v>32511</v>
      </c>
      <c r="E1679" t="s">
        <v>32512</v>
      </c>
      <c r="F1679" t="s">
        <v>32513</v>
      </c>
      <c r="G1679" t="s">
        <v>32514</v>
      </c>
      <c r="H1679" t="s">
        <v>32515</v>
      </c>
      <c r="I1679" t="s">
        <v>32516</v>
      </c>
      <c r="J1679" t="s">
        <v>32517</v>
      </c>
      <c r="K1679" t="s">
        <v>32518</v>
      </c>
      <c r="L1679" t="s">
        <v>32519</v>
      </c>
      <c r="M1679" t="s">
        <v>32520</v>
      </c>
      <c r="N1679" t="s">
        <v>32521</v>
      </c>
      <c r="O1679">
        <f>-656.657096764722 -147.523418285632 -504.938263131333</f>
        <v>-1309.118778181687</v>
      </c>
      <c r="P1679">
        <f>-598.291409364994 -173.67508273218 -230.187262357256</f>
        <v>-1002.1537544544301</v>
      </c>
      <c r="Q1679">
        <f>-442.094706306227 -112.406478178257 -390.80260935617</f>
        <v>-945.30379384065407</v>
      </c>
      <c r="R1679" t="s">
        <v>32522</v>
      </c>
      <c r="S1679" t="s">
        <v>32523</v>
      </c>
      <c r="T1679" t="s">
        <v>32524</v>
      </c>
      <c r="U1679" t="s">
        <v>32525</v>
      </c>
      <c r="V1679">
        <f>-576.979663360889 -54.2806239041247 -91.4183421013328</f>
        <v>-722.67862936634651</v>
      </c>
      <c r="W1679" t="s">
        <v>32526</v>
      </c>
      <c r="X1679" t="s">
        <v>32527</v>
      </c>
      <c r="Y1679" t="s">
        <v>32528</v>
      </c>
    </row>
    <row r="1680" spans="1:25" x14ac:dyDescent="0.3">
      <c r="A1680">
        <v>83950</v>
      </c>
      <c r="B1680" t="s">
        <v>32529</v>
      </c>
      <c r="C1680" t="s">
        <v>32530</v>
      </c>
      <c r="D1680" t="s">
        <v>32531</v>
      </c>
      <c r="E1680" t="s">
        <v>32532</v>
      </c>
      <c r="F1680" t="s">
        <v>32533</v>
      </c>
      <c r="G1680" t="s">
        <v>32534</v>
      </c>
      <c r="H1680" t="s">
        <v>32535</v>
      </c>
      <c r="I1680" t="s">
        <v>32536</v>
      </c>
      <c r="J1680" t="s">
        <v>32537</v>
      </c>
      <c r="K1680" t="s">
        <v>32538</v>
      </c>
      <c r="L1680" t="s">
        <v>32539</v>
      </c>
      <c r="M1680" t="s">
        <v>32540</v>
      </c>
      <c r="N1680" t="s">
        <v>32541</v>
      </c>
      <c r="O1680">
        <f>-656.412872599705 -147.482517894219 -504.985793737946</f>
        <v>-1308.8811842318701</v>
      </c>
      <c r="P1680">
        <f>-598.467962638824 -173.573721475699 -230.139948926489</f>
        <v>-1002.181633041012</v>
      </c>
      <c r="Q1680">
        <f>-441.916454610613 -112.561384925846 -390.507178631264</f>
        <v>-944.98501816772296</v>
      </c>
      <c r="R1680" t="s">
        <v>32542</v>
      </c>
      <c r="S1680" t="s">
        <v>32543</v>
      </c>
      <c r="T1680" t="s">
        <v>32544</v>
      </c>
      <c r="U1680" t="s">
        <v>32545</v>
      </c>
      <c r="V1680">
        <f>-576.945355318064 -54.2816332359273 -91.4272747729304</f>
        <v>-722.65426332692175</v>
      </c>
      <c r="W1680" t="s">
        <v>32546</v>
      </c>
      <c r="X1680" t="s">
        <v>32547</v>
      </c>
      <c r="Y1680" t="s">
        <v>32548</v>
      </c>
    </row>
    <row r="1681" spans="1:25" x14ac:dyDescent="0.3">
      <c r="A1681">
        <v>84000</v>
      </c>
      <c r="B1681" t="s">
        <v>32549</v>
      </c>
      <c r="C1681" t="s">
        <v>32550</v>
      </c>
      <c r="D1681" t="s">
        <v>32551</v>
      </c>
      <c r="E1681" t="s">
        <v>32552</v>
      </c>
      <c r="F1681" t="s">
        <v>32553</v>
      </c>
      <c r="G1681" t="s">
        <v>32554</v>
      </c>
      <c r="H1681" t="s">
        <v>32555</v>
      </c>
      <c r="I1681" t="s">
        <v>32556</v>
      </c>
      <c r="J1681" t="s">
        <v>32557</v>
      </c>
      <c r="K1681" t="s">
        <v>32558</v>
      </c>
      <c r="L1681" t="s">
        <v>32559</v>
      </c>
      <c r="M1681" t="s">
        <v>32560</v>
      </c>
      <c r="N1681" t="s">
        <v>32561</v>
      </c>
      <c r="O1681">
        <f>-656.050450098433 -147.32820720619 -505.009677792995</f>
        <v>-1308.388335097618</v>
      </c>
      <c r="P1681">
        <f>-598.678264952152 -173.26715392974 -230.029388302474</f>
        <v>-1001.974807184366</v>
      </c>
      <c r="Q1681">
        <f>-441.67693258834 -112.644173981012 -390.104342359505</f>
        <v>-944.42544892885689</v>
      </c>
      <c r="R1681" t="s">
        <v>32562</v>
      </c>
      <c r="S1681" t="s">
        <v>32563</v>
      </c>
      <c r="T1681" t="s">
        <v>32564</v>
      </c>
      <c r="U1681" t="s">
        <v>32565</v>
      </c>
      <c r="V1681">
        <f>-576.865140817128 -54.1398781118628 -91.4381811055672</f>
        <v>-722.443200034558</v>
      </c>
      <c r="W1681" t="s">
        <v>32566</v>
      </c>
      <c r="X1681" t="s">
        <v>32567</v>
      </c>
      <c r="Y1681" t="s">
        <v>32568</v>
      </c>
    </row>
    <row r="1682" spans="1:25" x14ac:dyDescent="0.3">
      <c r="A1682">
        <v>84050</v>
      </c>
      <c r="B1682" t="s">
        <v>32569</v>
      </c>
      <c r="C1682" t="s">
        <v>32570</v>
      </c>
      <c r="D1682" t="s">
        <v>32571</v>
      </c>
      <c r="E1682" t="s">
        <v>32572</v>
      </c>
      <c r="F1682" t="s">
        <v>32573</v>
      </c>
      <c r="G1682" t="s">
        <v>32574</v>
      </c>
      <c r="H1682" t="s">
        <v>32575</v>
      </c>
      <c r="I1682" t="s">
        <v>32576</v>
      </c>
      <c r="J1682" t="s">
        <v>32577</v>
      </c>
      <c r="K1682" t="s">
        <v>32578</v>
      </c>
      <c r="L1682" t="s">
        <v>32579</v>
      </c>
      <c r="M1682" t="s">
        <v>32580</v>
      </c>
      <c r="N1682" t="s">
        <v>32581</v>
      </c>
      <c r="O1682">
        <f>-655.878137064782 -147.328235769372 -504.97293473441</f>
        <v>-1308.1793075685639</v>
      </c>
      <c r="P1682">
        <f>-598.637563996793 -173.214618565443 -229.960250477343</f>
        <v>-1001.8124330395791</v>
      </c>
      <c r="Q1682">
        <f>-441.564085591265 -112.690973803039 -390.001822867318</f>
        <v>-944.25688226162197</v>
      </c>
      <c r="R1682" t="s">
        <v>32582</v>
      </c>
      <c r="S1682" t="s">
        <v>32583</v>
      </c>
      <c r="T1682" t="s">
        <v>32584</v>
      </c>
      <c r="U1682" t="s">
        <v>32585</v>
      </c>
      <c r="V1682">
        <f>-576.789279972758 -54.0750143116281 -91.437711365216</f>
        <v>-722.30200564960217</v>
      </c>
      <c r="W1682" t="s">
        <v>32586</v>
      </c>
      <c r="X1682" t="s">
        <v>32587</v>
      </c>
      <c r="Y1682" t="s">
        <v>32588</v>
      </c>
    </row>
    <row r="1683" spans="1:25" x14ac:dyDescent="0.3">
      <c r="A1683">
        <v>84100</v>
      </c>
      <c r="B1683" t="s">
        <v>32589</v>
      </c>
      <c r="C1683" t="s">
        <v>32590</v>
      </c>
      <c r="D1683" t="s">
        <v>32591</v>
      </c>
      <c r="E1683" t="s">
        <v>32592</v>
      </c>
      <c r="F1683" t="s">
        <v>32593</v>
      </c>
      <c r="G1683" t="s">
        <v>32594</v>
      </c>
      <c r="H1683" t="s">
        <v>32595</v>
      </c>
      <c r="I1683" t="s">
        <v>32596</v>
      </c>
      <c r="J1683" t="s">
        <v>32597</v>
      </c>
      <c r="K1683" t="s">
        <v>32598</v>
      </c>
      <c r="L1683" t="s">
        <v>32599</v>
      </c>
      <c r="M1683" t="s">
        <v>32600</v>
      </c>
      <c r="N1683" t="s">
        <v>32601</v>
      </c>
      <c r="O1683">
        <f>-655.487711535493 -147.199037296728 -504.873292544925</f>
        <v>-1307.5600413771458</v>
      </c>
      <c r="P1683">
        <f>-598.436847517076 -172.995055362781 -229.812688893389</f>
        <v>-1001.244591773246</v>
      </c>
      <c r="Q1683">
        <f>-441.353917264498 -112.430821649797 -389.829924376736</f>
        <v>-943.61466329103109</v>
      </c>
      <c r="R1683" t="s">
        <v>32602</v>
      </c>
      <c r="S1683" t="s">
        <v>32603</v>
      </c>
      <c r="T1683" t="s">
        <v>32604</v>
      </c>
      <c r="U1683" t="s">
        <v>32605</v>
      </c>
      <c r="V1683">
        <f>-576.601677796055 -53.7622411009893 -91.4090776377078</f>
        <v>-721.77299653475211</v>
      </c>
      <c r="W1683" t="s">
        <v>32606</v>
      </c>
      <c r="X1683" t="s">
        <v>32607</v>
      </c>
      <c r="Y1683" t="s">
        <v>32608</v>
      </c>
    </row>
    <row r="1684" spans="1:25" x14ac:dyDescent="0.3">
      <c r="A1684">
        <v>84150</v>
      </c>
      <c r="B1684" t="s">
        <v>32609</v>
      </c>
      <c r="C1684" t="s">
        <v>32610</v>
      </c>
      <c r="D1684" t="s">
        <v>32611</v>
      </c>
      <c r="E1684" t="s">
        <v>32612</v>
      </c>
      <c r="F1684" t="s">
        <v>32613</v>
      </c>
      <c r="G1684" t="s">
        <v>32614</v>
      </c>
      <c r="H1684" t="s">
        <v>32615</v>
      </c>
      <c r="I1684" t="s">
        <v>32616</v>
      </c>
      <c r="J1684" t="s">
        <v>32617</v>
      </c>
      <c r="K1684" t="s">
        <v>32618</v>
      </c>
      <c r="L1684" t="s">
        <v>32619</v>
      </c>
      <c r="M1684" t="s">
        <v>32620</v>
      </c>
      <c r="N1684" t="s">
        <v>32621</v>
      </c>
      <c r="O1684">
        <f>-655.20195889996 -147.120537852973 -504.856725584517</f>
        <v>-1307.17922233745</v>
      </c>
      <c r="P1684">
        <f>-598.289786146538 -172.886380793023 -229.764521597161</f>
        <v>-1000.940688536722</v>
      </c>
      <c r="Q1684">
        <f>-441.098991550116 -112.299435163049 -389.667076127115</f>
        <v>-943.06550284028003</v>
      </c>
      <c r="R1684" t="s">
        <v>32622</v>
      </c>
      <c r="S1684" t="s">
        <v>32623</v>
      </c>
      <c r="T1684" t="s">
        <v>32624</v>
      </c>
      <c r="U1684" t="s">
        <v>32625</v>
      </c>
      <c r="V1684">
        <f>-576.505957573943 -53.5800243158126 -91.3992154755327</f>
        <v>-721.48519736528829</v>
      </c>
      <c r="W1684" t="s">
        <v>32626</v>
      </c>
      <c r="X1684" t="s">
        <v>32627</v>
      </c>
      <c r="Y1684" t="s">
        <v>32628</v>
      </c>
    </row>
    <row r="1685" spans="1:25" x14ac:dyDescent="0.3">
      <c r="A1685">
        <v>84200</v>
      </c>
      <c r="B1685" t="s">
        <v>32629</v>
      </c>
      <c r="C1685" t="s">
        <v>32630</v>
      </c>
      <c r="D1685" t="s">
        <v>32631</v>
      </c>
      <c r="E1685" t="s">
        <v>32632</v>
      </c>
      <c r="F1685" t="s">
        <v>32633</v>
      </c>
      <c r="G1685" t="s">
        <v>32634</v>
      </c>
      <c r="H1685" t="s">
        <v>32635</v>
      </c>
      <c r="I1685" t="s">
        <v>32636</v>
      </c>
      <c r="J1685" t="s">
        <v>32637</v>
      </c>
      <c r="K1685" t="s">
        <v>32638</v>
      </c>
      <c r="L1685" t="s">
        <v>32639</v>
      </c>
      <c r="M1685" t="s">
        <v>32640</v>
      </c>
      <c r="N1685" t="s">
        <v>32641</v>
      </c>
      <c r="O1685">
        <f>-654.640613982847 -147.162964053204 -504.770717577596</f>
        <v>-1306.5742956136469</v>
      </c>
      <c r="P1685">
        <f>-598.082981080668 -172.748494636646 -229.588665535183</f>
        <v>-1000.4201412524969</v>
      </c>
      <c r="Q1685">
        <f>-440.685691885037 -112.123349835401 -389.273332880045</f>
        <v>-942.08237460048304</v>
      </c>
      <c r="R1685" t="s">
        <v>32642</v>
      </c>
      <c r="S1685" t="s">
        <v>32643</v>
      </c>
      <c r="T1685" t="s">
        <v>32644</v>
      </c>
      <c r="U1685" t="s">
        <v>32645</v>
      </c>
      <c r="V1685">
        <f>-576.225973825003 -53.3991867628627 -91.3779809088053</f>
        <v>-721.00314149667099</v>
      </c>
      <c r="W1685" t="s">
        <v>32646</v>
      </c>
      <c r="X1685" t="s">
        <v>32647</v>
      </c>
      <c r="Y1685" t="s">
        <v>32648</v>
      </c>
    </row>
    <row r="1686" spans="1:25" x14ac:dyDescent="0.3">
      <c r="A1686">
        <v>84250</v>
      </c>
      <c r="B1686" t="s">
        <v>32649</v>
      </c>
      <c r="C1686" t="s">
        <v>32650</v>
      </c>
      <c r="D1686" t="s">
        <v>32651</v>
      </c>
      <c r="E1686" t="s">
        <v>32652</v>
      </c>
      <c r="F1686" t="s">
        <v>32653</v>
      </c>
      <c r="G1686" t="s">
        <v>32654</v>
      </c>
      <c r="H1686" t="s">
        <v>32655</v>
      </c>
      <c r="I1686" t="s">
        <v>32656</v>
      </c>
      <c r="J1686" t="s">
        <v>32657</v>
      </c>
      <c r="K1686" t="s">
        <v>32658</v>
      </c>
      <c r="L1686" t="s">
        <v>32659</v>
      </c>
      <c r="M1686" t="s">
        <v>32660</v>
      </c>
      <c r="N1686" t="s">
        <v>32661</v>
      </c>
      <c r="O1686">
        <f>-654.491157271489 -147.191352423989 -504.729062464584</f>
        <v>-1306.411572160062</v>
      </c>
      <c r="P1686">
        <f>-598.127806002938 -172.718877842899 -229.501684535539</f>
        <v>-1000.348368381376</v>
      </c>
      <c r="Q1686">
        <f>-440.679108908865 -112.006790480845 -389.102544587274</f>
        <v>-941.78844397698401</v>
      </c>
      <c r="R1686" t="s">
        <v>32662</v>
      </c>
      <c r="S1686" t="s">
        <v>32663</v>
      </c>
      <c r="T1686" t="s">
        <v>32664</v>
      </c>
      <c r="U1686" t="s">
        <v>32665</v>
      </c>
      <c r="V1686">
        <f>-576.095270231173 -53.3484961005411 -91.367352121193</f>
        <v>-720.81111845290707</v>
      </c>
      <c r="W1686" t="s">
        <v>32666</v>
      </c>
      <c r="X1686" t="s">
        <v>32667</v>
      </c>
      <c r="Y1686" t="s">
        <v>32668</v>
      </c>
    </row>
    <row r="1687" spans="1:25" x14ac:dyDescent="0.3">
      <c r="A1687">
        <v>84300</v>
      </c>
      <c r="B1687" t="s">
        <v>32669</v>
      </c>
      <c r="C1687" t="s">
        <v>32670</v>
      </c>
      <c r="D1687" t="s">
        <v>32671</v>
      </c>
      <c r="E1687" t="s">
        <v>32672</v>
      </c>
      <c r="F1687" t="s">
        <v>32673</v>
      </c>
      <c r="G1687" t="s">
        <v>32674</v>
      </c>
      <c r="H1687" t="s">
        <v>32675</v>
      </c>
      <c r="I1687" t="s">
        <v>32676</v>
      </c>
      <c r="J1687" t="s">
        <v>32677</v>
      </c>
      <c r="K1687" t="s">
        <v>32678</v>
      </c>
      <c r="L1687" t="s">
        <v>32679</v>
      </c>
      <c r="M1687" t="s">
        <v>32680</v>
      </c>
      <c r="N1687" t="s">
        <v>32681</v>
      </c>
      <c r="O1687">
        <f>-653.918397398978 -147.240819173026 -504.785500318161</f>
        <v>-1305.944716890165</v>
      </c>
      <c r="P1687">
        <f>-598.081313160728 -172.724706144061 -229.446841314687</f>
        <v>-1000.252860619476</v>
      </c>
      <c r="Q1687">
        <f>-440.361212206429 -111.666972810257 -388.647518944301</f>
        <v>-940.67570396098699</v>
      </c>
      <c r="R1687" t="s">
        <v>32682</v>
      </c>
      <c r="S1687" t="s">
        <v>32683</v>
      </c>
      <c r="T1687" t="s">
        <v>32684</v>
      </c>
      <c r="U1687" t="s">
        <v>32685</v>
      </c>
      <c r="V1687">
        <f>-576.017367511023 -53.3677921021529 -91.3747958765548</f>
        <v>-720.75995548973071</v>
      </c>
      <c r="W1687" t="s">
        <v>32686</v>
      </c>
      <c r="X1687" t="s">
        <v>32687</v>
      </c>
      <c r="Y1687" t="s">
        <v>32688</v>
      </c>
    </row>
    <row r="1688" spans="1:25" x14ac:dyDescent="0.3">
      <c r="A1688">
        <v>84350</v>
      </c>
      <c r="B1688" t="s">
        <v>32689</v>
      </c>
      <c r="C1688" t="s">
        <v>32690</v>
      </c>
      <c r="D1688" t="s">
        <v>32691</v>
      </c>
      <c r="E1688" t="s">
        <v>32692</v>
      </c>
      <c r="F1688" t="s">
        <v>32693</v>
      </c>
      <c r="G1688" t="s">
        <v>32694</v>
      </c>
      <c r="H1688" t="s">
        <v>32695</v>
      </c>
      <c r="I1688" t="s">
        <v>32696</v>
      </c>
      <c r="J1688" t="s">
        <v>32697</v>
      </c>
      <c r="K1688" t="s">
        <v>32698</v>
      </c>
      <c r="L1688" t="s">
        <v>32699</v>
      </c>
      <c r="M1688" t="s">
        <v>32700</v>
      </c>
      <c r="N1688" t="s">
        <v>32701</v>
      </c>
      <c r="O1688">
        <f>-653.520855050284 -147.316663426309 -504.915689088012</f>
        <v>-1305.753207564605</v>
      </c>
      <c r="P1688">
        <f>-598.042820185304 -172.969355666417 -229.520165499658</f>
        <v>-1000.5323413513789</v>
      </c>
      <c r="Q1688">
        <f>-440.152089184317 -111.639310310591 -388.446693922838</f>
        <v>-940.23809341774597</v>
      </c>
      <c r="R1688" t="s">
        <v>32702</v>
      </c>
      <c r="S1688" t="s">
        <v>32703</v>
      </c>
      <c r="T1688" t="s">
        <v>32704</v>
      </c>
      <c r="U1688" t="s">
        <v>32705</v>
      </c>
      <c r="V1688">
        <f>-576.074309405105 -53.3539923072044 -91.3768695944666</f>
        <v>-720.80517130677606</v>
      </c>
      <c r="W1688" t="s">
        <v>32706</v>
      </c>
      <c r="X1688" t="s">
        <v>32707</v>
      </c>
      <c r="Y1688" t="s">
        <v>32708</v>
      </c>
    </row>
    <row r="1689" spans="1:25" x14ac:dyDescent="0.3">
      <c r="A1689">
        <v>84400</v>
      </c>
      <c r="B1689" t="s">
        <v>32709</v>
      </c>
      <c r="C1689" t="s">
        <v>32710</v>
      </c>
      <c r="D1689" t="s">
        <v>32711</v>
      </c>
      <c r="E1689" t="s">
        <v>32712</v>
      </c>
      <c r="F1689" t="s">
        <v>32713</v>
      </c>
      <c r="G1689" t="s">
        <v>32714</v>
      </c>
      <c r="H1689" t="s">
        <v>32715</v>
      </c>
      <c r="I1689" t="s">
        <v>32716</v>
      </c>
      <c r="J1689" t="s">
        <v>32717</v>
      </c>
      <c r="K1689" t="s">
        <v>32718</v>
      </c>
      <c r="L1689" t="s">
        <v>32719</v>
      </c>
      <c r="M1689" t="s">
        <v>32720</v>
      </c>
      <c r="N1689" t="s">
        <v>32721</v>
      </c>
      <c r="O1689">
        <f>-652.617460493765 -147.367010281881 -505.206272722888</f>
        <v>-1305.1907434985339</v>
      </c>
      <c r="P1689">
        <f>-597.872743173673 -173.482562635741 -229.707359216017</f>
        <v>-1001.0626650254311</v>
      </c>
      <c r="Q1689">
        <f>-439.499901308979 -111.778312510899 -388.008276830342</f>
        <v>-939.28649065022</v>
      </c>
      <c r="R1689" t="s">
        <v>32722</v>
      </c>
      <c r="S1689" t="s">
        <v>32723</v>
      </c>
      <c r="T1689" t="s">
        <v>32724</v>
      </c>
      <c r="U1689" t="s">
        <v>32725</v>
      </c>
      <c r="V1689">
        <f>-576.126493368938 -53.3514552774247 -91.3804840629603</f>
        <v>-720.8584327093231</v>
      </c>
      <c r="W1689" t="s">
        <v>32726</v>
      </c>
      <c r="X1689" t="s">
        <v>32727</v>
      </c>
      <c r="Y1689" t="s">
        <v>32728</v>
      </c>
    </row>
    <row r="1690" spans="1:25" x14ac:dyDescent="0.3">
      <c r="A1690">
        <v>84450</v>
      </c>
      <c r="B1690" t="s">
        <v>32729</v>
      </c>
      <c r="C1690" t="s">
        <v>32730</v>
      </c>
      <c r="D1690" t="s">
        <v>32731</v>
      </c>
      <c r="E1690" t="s">
        <v>32732</v>
      </c>
      <c r="F1690" t="s">
        <v>32733</v>
      </c>
      <c r="G1690" t="s">
        <v>32734</v>
      </c>
      <c r="H1690" t="s">
        <v>32735</v>
      </c>
      <c r="I1690" t="s">
        <v>32736</v>
      </c>
      <c r="J1690" t="s">
        <v>32737</v>
      </c>
      <c r="K1690" t="s">
        <v>32738</v>
      </c>
      <c r="L1690" t="s">
        <v>32739</v>
      </c>
      <c r="M1690" t="s">
        <v>32740</v>
      </c>
      <c r="N1690" t="s">
        <v>32741</v>
      </c>
      <c r="O1690">
        <f>-652.105442389199 -147.414271984484 -505.359608677377</f>
        <v>-1304.8793230510601</v>
      </c>
      <c r="P1690">
        <f>-597.64984217913 -173.643989873234 -229.81445021348</f>
        <v>-1001.108282265844</v>
      </c>
      <c r="Q1690">
        <f>-439.037044618892 -112.10399435752 -387.938914541882</f>
        <v>-939.07995351829402</v>
      </c>
      <c r="R1690" t="s">
        <v>32742</v>
      </c>
      <c r="S1690" t="s">
        <v>32743</v>
      </c>
      <c r="T1690" t="s">
        <v>32744</v>
      </c>
      <c r="U1690" t="s">
        <v>32745</v>
      </c>
      <c r="V1690">
        <f>-576.130817923849 -53.390831112931 -91.38132659986</f>
        <v>-720.90297563664001</v>
      </c>
      <c r="W1690" t="s">
        <v>32746</v>
      </c>
      <c r="X1690" t="s">
        <v>32747</v>
      </c>
      <c r="Y1690" t="s">
        <v>32748</v>
      </c>
    </row>
    <row r="1691" spans="1:25" x14ac:dyDescent="0.3">
      <c r="A1691">
        <v>84500</v>
      </c>
      <c r="B1691" t="s">
        <v>32749</v>
      </c>
      <c r="C1691" t="s">
        <v>32750</v>
      </c>
      <c r="D1691" t="s">
        <v>32751</v>
      </c>
      <c r="E1691" t="s">
        <v>32752</v>
      </c>
      <c r="F1691" t="s">
        <v>32753</v>
      </c>
      <c r="G1691" t="s">
        <v>32754</v>
      </c>
      <c r="H1691" t="s">
        <v>32755</v>
      </c>
      <c r="I1691" t="s">
        <v>32756</v>
      </c>
      <c r="J1691" t="s">
        <v>32757</v>
      </c>
      <c r="K1691" t="s">
        <v>32758</v>
      </c>
      <c r="L1691" t="s">
        <v>32759</v>
      </c>
      <c r="M1691" t="s">
        <v>32760</v>
      </c>
      <c r="N1691" t="s">
        <v>32761</v>
      </c>
      <c r="O1691">
        <f>-651.516603522747 -147.459316644659 -505.606830207081</f>
        <v>-1304.582750374487</v>
      </c>
      <c r="P1691">
        <f>-597.353141488457 -173.680270250416 -230.003171746878</f>
        <v>-1001.0365834857511</v>
      </c>
      <c r="Q1691">
        <f>-438.761244287056 -112.306316458501 -388.213144196762</f>
        <v>-939.28070494231906</v>
      </c>
      <c r="R1691" t="s">
        <v>32762</v>
      </c>
      <c r="S1691" t="s">
        <v>32763</v>
      </c>
      <c r="T1691" t="s">
        <v>32764</v>
      </c>
      <c r="U1691" t="s">
        <v>32765</v>
      </c>
      <c r="V1691">
        <f>-576.16580445211 -53.4793534962819 -91.3857626514541</f>
        <v>-721.03092059984601</v>
      </c>
      <c r="W1691" t="s">
        <v>32766</v>
      </c>
      <c r="X1691" t="s">
        <v>32767</v>
      </c>
      <c r="Y1691" t="s">
        <v>32768</v>
      </c>
    </row>
    <row r="1692" spans="1:25" x14ac:dyDescent="0.3">
      <c r="A1692">
        <v>84550</v>
      </c>
      <c r="B1692" t="s">
        <v>32769</v>
      </c>
      <c r="C1692" t="s">
        <v>32770</v>
      </c>
      <c r="D1692" t="s">
        <v>32771</v>
      </c>
      <c r="E1692" t="s">
        <v>32772</v>
      </c>
      <c r="F1692" t="s">
        <v>32773</v>
      </c>
      <c r="G1692" t="s">
        <v>32774</v>
      </c>
      <c r="H1692" t="s">
        <v>32775</v>
      </c>
      <c r="I1692" t="s">
        <v>32776</v>
      </c>
      <c r="J1692" t="s">
        <v>32777</v>
      </c>
      <c r="K1692" t="s">
        <v>32778</v>
      </c>
      <c r="L1692" t="s">
        <v>32779</v>
      </c>
      <c r="M1692" t="s">
        <v>32780</v>
      </c>
      <c r="N1692" t="s">
        <v>32781</v>
      </c>
      <c r="O1692">
        <f>-651.341548738798 -147.525913418242 -505.718229794919</f>
        <v>-1304.585691951959</v>
      </c>
      <c r="P1692">
        <f>-597.100994337827 -173.838317690889 -230.13849140308</f>
        <v>-1001.077803431796</v>
      </c>
      <c r="Q1692">
        <f>-438.699143239565 -112.42854685941 -388.524747470979</f>
        <v>-939.65243756995392</v>
      </c>
      <c r="R1692" t="s">
        <v>32782</v>
      </c>
      <c r="S1692" t="s">
        <v>32783</v>
      </c>
      <c r="T1692" t="s">
        <v>32784</v>
      </c>
      <c r="U1692" t="s">
        <v>32785</v>
      </c>
      <c r="V1692">
        <f>-576.264744578551 -53.6333674075161 -91.4029207602838</f>
        <v>-721.30103274635087</v>
      </c>
      <c r="W1692" t="s">
        <v>32786</v>
      </c>
      <c r="X1692" t="s">
        <v>32787</v>
      </c>
      <c r="Y1692" t="s">
        <v>32788</v>
      </c>
    </row>
    <row r="1693" spans="1:25" x14ac:dyDescent="0.3">
      <c r="A1693">
        <v>84600</v>
      </c>
      <c r="B1693" t="s">
        <v>32789</v>
      </c>
      <c r="C1693" t="s">
        <v>32790</v>
      </c>
      <c r="D1693" t="s">
        <v>32791</v>
      </c>
      <c r="E1693" t="s">
        <v>32792</v>
      </c>
      <c r="F1693" t="s">
        <v>32793</v>
      </c>
      <c r="G1693" t="s">
        <v>32794</v>
      </c>
      <c r="H1693" t="s">
        <v>32795</v>
      </c>
      <c r="I1693" t="s">
        <v>32796</v>
      </c>
      <c r="J1693" t="s">
        <v>32797</v>
      </c>
      <c r="K1693" t="s">
        <v>32798</v>
      </c>
      <c r="L1693" t="s">
        <v>32799</v>
      </c>
      <c r="M1693" t="s">
        <v>32800</v>
      </c>
      <c r="N1693" t="s">
        <v>32801</v>
      </c>
      <c r="O1693">
        <f>-651.131769951844 -147.442776542634 -505.88361487993</f>
        <v>-1304.4581613744081</v>
      </c>
      <c r="P1693">
        <f>-596.700601590415 -174.058745849344 -230.37057031995</f>
        <v>-1001.1299177597091</v>
      </c>
      <c r="Q1693">
        <f>-438.771069962576 -112.40283283422 -389.132545892201</f>
        <v>-940.30644868899708</v>
      </c>
      <c r="R1693" t="s">
        <v>32802</v>
      </c>
      <c r="S1693" t="s">
        <v>32803</v>
      </c>
      <c r="T1693" t="s">
        <v>32804</v>
      </c>
      <c r="U1693" t="s">
        <v>32805</v>
      </c>
      <c r="V1693">
        <f>-576.358114270094 -53.7383521986426 -91.4277016619611</f>
        <v>-721.52416813069772</v>
      </c>
      <c r="W1693" t="s">
        <v>32806</v>
      </c>
      <c r="X1693" t="s">
        <v>32807</v>
      </c>
      <c r="Y1693" t="s">
        <v>32808</v>
      </c>
    </row>
    <row r="1694" spans="1:25" x14ac:dyDescent="0.3">
      <c r="A1694">
        <v>84650</v>
      </c>
      <c r="B1694" t="s">
        <v>32809</v>
      </c>
      <c r="C1694" t="s">
        <v>32810</v>
      </c>
      <c r="D1694" t="s">
        <v>32811</v>
      </c>
      <c r="E1694" t="s">
        <v>32812</v>
      </c>
      <c r="F1694" t="s">
        <v>32813</v>
      </c>
      <c r="G1694" t="s">
        <v>32814</v>
      </c>
      <c r="H1694" t="s">
        <v>32815</v>
      </c>
      <c r="I1694" t="s">
        <v>32816</v>
      </c>
      <c r="J1694" t="s">
        <v>32817</v>
      </c>
      <c r="K1694" t="s">
        <v>32818</v>
      </c>
      <c r="L1694" t="s">
        <v>32819</v>
      </c>
      <c r="M1694" t="s">
        <v>32820</v>
      </c>
      <c r="N1694" t="s">
        <v>32821</v>
      </c>
      <c r="O1694">
        <f>-651.123995542641 -147.382753138461 -505.911620789885</f>
        <v>-1304.4183694709868</v>
      </c>
      <c r="P1694">
        <f>-596.659530987651 -174.083558115583 -230.413430025106</f>
        <v>-1001.1565191283401</v>
      </c>
      <c r="Q1694">
        <f>-438.903225826316 -112.432878189041 -389.349442093612</f>
        <v>-940.68554610896899</v>
      </c>
      <c r="R1694" t="s">
        <v>32822</v>
      </c>
      <c r="S1694" t="s">
        <v>32823</v>
      </c>
      <c r="T1694" t="s">
        <v>32824</v>
      </c>
      <c r="U1694" t="s">
        <v>32825</v>
      </c>
      <c r="V1694">
        <f>-576.436136457092 -53.7232447500264 -91.4355463063416</f>
        <v>-721.59492751345999</v>
      </c>
      <c r="W1694" t="s">
        <v>32826</v>
      </c>
      <c r="X1694" t="s">
        <v>32827</v>
      </c>
      <c r="Y1694" t="s">
        <v>32828</v>
      </c>
    </row>
    <row r="1695" spans="1:25" x14ac:dyDescent="0.3">
      <c r="A1695">
        <v>84700</v>
      </c>
      <c r="B1695" t="s">
        <v>32829</v>
      </c>
      <c r="C1695" t="s">
        <v>32830</v>
      </c>
      <c r="D1695" t="s">
        <v>32831</v>
      </c>
      <c r="E1695" t="s">
        <v>32832</v>
      </c>
      <c r="F1695" t="s">
        <v>32833</v>
      </c>
      <c r="G1695" t="s">
        <v>32834</v>
      </c>
      <c r="H1695" t="s">
        <v>32835</v>
      </c>
      <c r="I1695" t="s">
        <v>32836</v>
      </c>
      <c r="J1695" t="s">
        <v>32837</v>
      </c>
      <c r="K1695" t="s">
        <v>32838</v>
      </c>
      <c r="L1695" t="s">
        <v>32839</v>
      </c>
      <c r="M1695" t="s">
        <v>32840</v>
      </c>
      <c r="N1695" t="s">
        <v>32841</v>
      </c>
      <c r="O1695">
        <f>-651.346834072605 -147.180054330409 -505.913669830798</f>
        <v>-1304.440558233812</v>
      </c>
      <c r="P1695">
        <f>-596.877191982462 -173.892265355372 -230.417580796004</f>
        <v>-1001.187038133838</v>
      </c>
      <c r="Q1695">
        <f>-439.179978459891 -112.520531962636 -389.520170500421</f>
        <v>-941.22068092294808</v>
      </c>
      <c r="R1695" t="s">
        <v>32842</v>
      </c>
      <c r="S1695" t="s">
        <v>32843</v>
      </c>
      <c r="T1695" t="s">
        <v>32844</v>
      </c>
      <c r="U1695" t="s">
        <v>32845</v>
      </c>
      <c r="V1695">
        <f>-576.499490535399 -53.6554647151863 -91.4594845403656</f>
        <v>-721.61443979095088</v>
      </c>
      <c r="W1695" t="s">
        <v>32846</v>
      </c>
      <c r="X1695" t="s">
        <v>32847</v>
      </c>
      <c r="Y1695" t="s">
        <v>32848</v>
      </c>
    </row>
    <row r="1696" spans="1:25" x14ac:dyDescent="0.3">
      <c r="A1696">
        <v>84750</v>
      </c>
      <c r="B1696" t="s">
        <v>32849</v>
      </c>
      <c r="C1696" t="s">
        <v>32850</v>
      </c>
      <c r="D1696" t="s">
        <v>32851</v>
      </c>
      <c r="E1696" t="s">
        <v>32852</v>
      </c>
      <c r="F1696" t="s">
        <v>32853</v>
      </c>
      <c r="G1696" t="s">
        <v>32854</v>
      </c>
      <c r="H1696" t="s">
        <v>32855</v>
      </c>
      <c r="I1696" t="s">
        <v>32856</v>
      </c>
      <c r="J1696" t="s">
        <v>32857</v>
      </c>
      <c r="K1696" t="s">
        <v>32858</v>
      </c>
      <c r="L1696" t="s">
        <v>32859</v>
      </c>
      <c r="M1696" t="s">
        <v>32860</v>
      </c>
      <c r="N1696" t="s">
        <v>32861</v>
      </c>
      <c r="O1696">
        <f>-651.537871209556 -147.116011621969 -505.868604704679</f>
        <v>-1304.5224875362039</v>
      </c>
      <c r="P1696">
        <f>-597.07578888171 -173.784149950737 -230.366729642185</f>
        <v>-1001.2266684746319</v>
      </c>
      <c r="Q1696">
        <f>-439.357473479935 -112.456456236775 -389.465438339257</f>
        <v>-941.27936805596687</v>
      </c>
      <c r="R1696" t="s">
        <v>32862</v>
      </c>
      <c r="S1696" t="s">
        <v>32863</v>
      </c>
      <c r="T1696" t="s">
        <v>32864</v>
      </c>
      <c r="U1696" t="s">
        <v>32865</v>
      </c>
      <c r="V1696">
        <f>-576.502730709376 -53.612492280206 -91.4670181551455</f>
        <v>-721.5822411447275</v>
      </c>
      <c r="W1696" t="s">
        <v>32866</v>
      </c>
      <c r="X1696" t="s">
        <v>32867</v>
      </c>
      <c r="Y1696" t="s">
        <v>32868</v>
      </c>
    </row>
    <row r="1697" spans="1:25" x14ac:dyDescent="0.3">
      <c r="A1697">
        <v>84800</v>
      </c>
      <c r="B1697" t="s">
        <v>32869</v>
      </c>
      <c r="C1697" t="s">
        <v>32870</v>
      </c>
      <c r="D1697" t="s">
        <v>32871</v>
      </c>
      <c r="E1697" t="s">
        <v>32872</v>
      </c>
      <c r="F1697" t="s">
        <v>32873</v>
      </c>
      <c r="G1697" t="s">
        <v>32874</v>
      </c>
      <c r="H1697" t="s">
        <v>32875</v>
      </c>
      <c r="I1697" t="s">
        <v>32876</v>
      </c>
      <c r="J1697" t="s">
        <v>32877</v>
      </c>
      <c r="K1697" t="s">
        <v>32878</v>
      </c>
      <c r="L1697" t="s">
        <v>32879</v>
      </c>
      <c r="M1697" t="s">
        <v>32880</v>
      </c>
      <c r="N1697" t="s">
        <v>32881</v>
      </c>
      <c r="O1697">
        <f>-651.96782314826 -146.949328776115 -505.781531352495</f>
        <v>-1304.69868327687</v>
      </c>
      <c r="P1697">
        <f>-597.603420096354 -173.605000503358 -230.259197746749</f>
        <v>-1001.467618346461</v>
      </c>
      <c r="Q1697">
        <f>-440.060743205982 -112.138093270082 -389.477959772797</f>
        <v>-941.67679624886102</v>
      </c>
      <c r="R1697" t="s">
        <v>32882</v>
      </c>
      <c r="S1697" t="s">
        <v>32883</v>
      </c>
      <c r="T1697" t="s">
        <v>32884</v>
      </c>
      <c r="U1697" t="s">
        <v>32885</v>
      </c>
      <c r="V1697">
        <f>-576.5534432137 -53.4737907920571 -91.4718088539298</f>
        <v>-721.49904285968694</v>
      </c>
      <c r="W1697" t="s">
        <v>32886</v>
      </c>
      <c r="X1697" t="s">
        <v>32887</v>
      </c>
      <c r="Y1697" t="s">
        <v>32888</v>
      </c>
    </row>
    <row r="1698" spans="1:25" x14ac:dyDescent="0.3">
      <c r="A1698">
        <v>84850</v>
      </c>
      <c r="B1698" t="s">
        <v>32889</v>
      </c>
      <c r="C1698" t="s">
        <v>32890</v>
      </c>
      <c r="D1698" t="s">
        <v>32891</v>
      </c>
      <c r="E1698" t="s">
        <v>32892</v>
      </c>
      <c r="F1698" t="s">
        <v>32893</v>
      </c>
      <c r="G1698" t="s">
        <v>32894</v>
      </c>
      <c r="H1698" t="s">
        <v>32895</v>
      </c>
      <c r="I1698" t="s">
        <v>32896</v>
      </c>
      <c r="J1698" t="s">
        <v>32897</v>
      </c>
      <c r="K1698" t="s">
        <v>32898</v>
      </c>
      <c r="L1698" t="s">
        <v>32899</v>
      </c>
      <c r="M1698" t="s">
        <v>32900</v>
      </c>
      <c r="N1698" t="s">
        <v>32901</v>
      </c>
      <c r="O1698">
        <f>-652.170113788097 -146.756860734551 -505.760589849513</f>
        <v>-1304.687564372161</v>
      </c>
      <c r="P1698">
        <f>-597.806197713459 -173.490578605888 -230.245619717162</f>
        <v>-1001.542396036509</v>
      </c>
      <c r="Q1698">
        <f>-440.510721144249 -111.724329096307 -389.593052309711</f>
        <v>-941.82810255026698</v>
      </c>
      <c r="R1698" t="s">
        <v>32902</v>
      </c>
      <c r="S1698" t="s">
        <v>32903</v>
      </c>
      <c r="T1698" t="s">
        <v>32904</v>
      </c>
      <c r="U1698" t="s">
        <v>32905</v>
      </c>
      <c r="V1698">
        <f>-576.562918919692 -53.2964739603844 -91.4700639297105</f>
        <v>-721.32945680978696</v>
      </c>
      <c r="W1698" t="s">
        <v>32906</v>
      </c>
      <c r="X1698" t="s">
        <v>32907</v>
      </c>
      <c r="Y1698" t="s">
        <v>32908</v>
      </c>
    </row>
    <row r="1699" spans="1:25" x14ac:dyDescent="0.3">
      <c r="A1699">
        <v>84900</v>
      </c>
      <c r="B1699" t="s">
        <v>32909</v>
      </c>
      <c r="C1699" t="s">
        <v>32910</v>
      </c>
      <c r="D1699" t="s">
        <v>32911</v>
      </c>
      <c r="E1699" t="s">
        <v>32912</v>
      </c>
      <c r="F1699" t="s">
        <v>32913</v>
      </c>
      <c r="G1699" t="s">
        <v>32914</v>
      </c>
      <c r="H1699" t="s">
        <v>32915</v>
      </c>
      <c r="I1699" t="s">
        <v>32916</v>
      </c>
      <c r="J1699" t="s">
        <v>32917</v>
      </c>
      <c r="K1699" t="s">
        <v>32918</v>
      </c>
      <c r="L1699" t="s">
        <v>32919</v>
      </c>
      <c r="M1699" t="s">
        <v>32920</v>
      </c>
      <c r="N1699" t="s">
        <v>32921</v>
      </c>
      <c r="O1699">
        <f>-652.513866734934 -146.527173819652 -505.792794680183</f>
        <v>-1304.8338352347691</v>
      </c>
      <c r="P1699">
        <f>-598.049290616352 -173.421210035903 -230.313471576708</f>
        <v>-1001.783972228963</v>
      </c>
      <c r="Q1699">
        <f>-441.435537539157 -111.009559669773 -390.080228413505</f>
        <v>-942.52532562243493</v>
      </c>
      <c r="R1699" t="s">
        <v>32922</v>
      </c>
      <c r="S1699" t="s">
        <v>32923</v>
      </c>
      <c r="T1699" t="s">
        <v>32924</v>
      </c>
      <c r="U1699" t="s">
        <v>32925</v>
      </c>
      <c r="V1699">
        <f>-576.586949077741 -53.0837714273912 -91.4750887907239</f>
        <v>-721.14580929585611</v>
      </c>
      <c r="W1699" t="s">
        <v>32926</v>
      </c>
      <c r="X1699" t="s">
        <v>32927</v>
      </c>
      <c r="Y1699" t="s">
        <v>32928</v>
      </c>
    </row>
    <row r="1700" spans="1:25" x14ac:dyDescent="0.3">
      <c r="A1700">
        <v>84950</v>
      </c>
      <c r="B1700" t="s">
        <v>32929</v>
      </c>
      <c r="C1700" t="s">
        <v>32930</v>
      </c>
      <c r="D1700" t="s">
        <v>32931</v>
      </c>
      <c r="E1700" t="s">
        <v>32932</v>
      </c>
      <c r="F1700" t="s">
        <v>32933</v>
      </c>
      <c r="G1700" t="s">
        <v>32934</v>
      </c>
      <c r="H1700" t="s">
        <v>32935</v>
      </c>
      <c r="I1700" t="s">
        <v>32936</v>
      </c>
      <c r="J1700" t="s">
        <v>32937</v>
      </c>
      <c r="K1700" t="s">
        <v>32938</v>
      </c>
      <c r="L1700" t="s">
        <v>32939</v>
      </c>
      <c r="M1700" t="s">
        <v>32940</v>
      </c>
      <c r="N1700" t="s">
        <v>32941</v>
      </c>
      <c r="O1700">
        <f>-652.571111328473 -146.435036253528 -505.818823917965</f>
        <v>-1304.8249714999661</v>
      </c>
      <c r="P1700">
        <f>-597.977256949875 -173.330030294588 -230.365132075084</f>
        <v>-1001.6724193195471</v>
      </c>
      <c r="Q1700">
        <f>-441.660858095914 -110.828581435302 -390.387846463436</f>
        <v>-942.87728599465208</v>
      </c>
      <c r="R1700" t="s">
        <v>32942</v>
      </c>
      <c r="S1700" t="s">
        <v>32943</v>
      </c>
      <c r="T1700" t="s">
        <v>32944</v>
      </c>
      <c r="U1700" t="s">
        <v>32945</v>
      </c>
      <c r="V1700">
        <f>-576.65506317547 -53.0399259146427 -91.480621225943</f>
        <v>-721.17561031605567</v>
      </c>
      <c r="W1700" t="s">
        <v>32946</v>
      </c>
      <c r="X1700" t="s">
        <v>32947</v>
      </c>
      <c r="Y1700" t="s">
        <v>32948</v>
      </c>
    </row>
    <row r="1701" spans="1:25" x14ac:dyDescent="0.3">
      <c r="A1701">
        <v>85000</v>
      </c>
      <c r="B1701" t="s">
        <v>32949</v>
      </c>
      <c r="C1701" t="s">
        <v>32950</v>
      </c>
      <c r="D1701" t="s">
        <v>32951</v>
      </c>
      <c r="E1701" t="s">
        <v>32952</v>
      </c>
      <c r="F1701" t="s">
        <v>32953</v>
      </c>
      <c r="G1701" t="s">
        <v>32954</v>
      </c>
      <c r="H1701" t="s">
        <v>32955</v>
      </c>
      <c r="I1701" t="s">
        <v>32956</v>
      </c>
      <c r="J1701" t="s">
        <v>32957</v>
      </c>
      <c r="K1701" t="s">
        <v>32958</v>
      </c>
      <c r="L1701" t="s">
        <v>32959</v>
      </c>
      <c r="M1701" t="s">
        <v>32960</v>
      </c>
      <c r="N1701" t="s">
        <v>32961</v>
      </c>
      <c r="O1701">
        <f>-652.50037179727 -146.473142749235 -505.900760671436</f>
        <v>-1304.874275217941</v>
      </c>
      <c r="P1701">
        <f>-597.651679530948 -173.492369860768 -230.509877112601</f>
        <v>-1001.6539265043169</v>
      </c>
      <c r="Q1701">
        <f>-441.69807971735 -110.946358603927 -390.868729848303</f>
        <v>-943.51316816958001</v>
      </c>
      <c r="R1701" t="s">
        <v>32962</v>
      </c>
      <c r="S1701" t="s">
        <v>32963</v>
      </c>
      <c r="T1701" t="s">
        <v>32964</v>
      </c>
      <c r="U1701" t="s">
        <v>32965</v>
      </c>
      <c r="V1701">
        <f>-576.731652323078 -53.1523212201682 -91.4882134875171</f>
        <v>-721.37218703076337</v>
      </c>
      <c r="W1701" t="s">
        <v>32966</v>
      </c>
      <c r="X1701" t="s">
        <v>32967</v>
      </c>
      <c r="Y1701" t="s">
        <v>32968</v>
      </c>
    </row>
    <row r="1702" spans="1:25" x14ac:dyDescent="0.3">
      <c r="A1702">
        <v>85050</v>
      </c>
      <c r="B1702" t="s">
        <v>32969</v>
      </c>
      <c r="C1702" t="s">
        <v>32970</v>
      </c>
      <c r="D1702" t="s">
        <v>32971</v>
      </c>
      <c r="E1702" t="s">
        <v>32972</v>
      </c>
      <c r="F1702" t="s">
        <v>32973</v>
      </c>
      <c r="G1702" t="s">
        <v>32974</v>
      </c>
      <c r="H1702" t="s">
        <v>32975</v>
      </c>
      <c r="I1702" t="s">
        <v>32976</v>
      </c>
      <c r="J1702" t="s">
        <v>32977</v>
      </c>
      <c r="K1702" t="s">
        <v>32978</v>
      </c>
      <c r="L1702" t="s">
        <v>32979</v>
      </c>
      <c r="M1702" t="s">
        <v>32980</v>
      </c>
      <c r="N1702" t="s">
        <v>32981</v>
      </c>
      <c r="O1702">
        <f>-652.437213681201 -146.486391760212 -505.947362439091</f>
        <v>-1304.8709678805039</v>
      </c>
      <c r="P1702">
        <f>-597.546408879299 -173.572812642761 -230.571460512165</f>
        <v>-1001.6906820342249</v>
      </c>
      <c r="Q1702">
        <f>-441.665817800768 -110.98964906461 -390.986827343519</f>
        <v>-943.64229420889706</v>
      </c>
      <c r="R1702" t="s">
        <v>32982</v>
      </c>
      <c r="S1702" t="s">
        <v>32983</v>
      </c>
      <c r="T1702" t="s">
        <v>32984</v>
      </c>
      <c r="U1702" t="s">
        <v>32985</v>
      </c>
      <c r="V1702">
        <f>-576.668519533482 -53.2028733561053 -91.4871083347861</f>
        <v>-721.35850122437341</v>
      </c>
      <c r="W1702" t="s">
        <v>32986</v>
      </c>
      <c r="X1702" t="s">
        <v>32987</v>
      </c>
      <c r="Y1702" t="s">
        <v>32988</v>
      </c>
    </row>
    <row r="1703" spans="1:25" x14ac:dyDescent="0.3">
      <c r="A1703">
        <v>85100</v>
      </c>
      <c r="B1703" t="s">
        <v>32989</v>
      </c>
      <c r="C1703" t="s">
        <v>32990</v>
      </c>
      <c r="D1703" t="s">
        <v>32991</v>
      </c>
      <c r="E1703" t="s">
        <v>32992</v>
      </c>
      <c r="F1703" t="s">
        <v>32993</v>
      </c>
      <c r="G1703" t="s">
        <v>32994</v>
      </c>
      <c r="H1703" t="s">
        <v>32995</v>
      </c>
      <c r="I1703" t="s">
        <v>32996</v>
      </c>
      <c r="J1703" t="s">
        <v>32997</v>
      </c>
      <c r="K1703" t="s">
        <v>32998</v>
      </c>
      <c r="L1703" t="s">
        <v>32999</v>
      </c>
      <c r="M1703" t="s">
        <v>33000</v>
      </c>
      <c r="N1703" t="s">
        <v>33001</v>
      </c>
      <c r="O1703">
        <f>-652.222586837247 -146.289547274218 -506.053502570856</f>
        <v>-1304.5656366823209</v>
      </c>
      <c r="P1703">
        <f>-597.558921469797 -173.332195184495 -230.62821338079</f>
        <v>-1001.519330035082</v>
      </c>
      <c r="Q1703">
        <f>-441.689958853048 -110.946942074006 -391.131933221654</f>
        <v>-943.76883414870792</v>
      </c>
      <c r="R1703" t="s">
        <v>33002</v>
      </c>
      <c r="S1703" t="s">
        <v>33003</v>
      </c>
      <c r="T1703" t="s">
        <v>33004</v>
      </c>
      <c r="U1703" t="s">
        <v>33005</v>
      </c>
      <c r="V1703">
        <f>-576.490187818265 -53.218899053893 -91.4968582612254</f>
        <v>-721.20594513338335</v>
      </c>
      <c r="W1703" t="s">
        <v>33006</v>
      </c>
      <c r="X1703" t="s">
        <v>33007</v>
      </c>
      <c r="Y1703" t="s">
        <v>33008</v>
      </c>
    </row>
    <row r="1704" spans="1:25" x14ac:dyDescent="0.3">
      <c r="A1704">
        <v>85150</v>
      </c>
      <c r="B1704" t="s">
        <v>33009</v>
      </c>
      <c r="C1704" t="s">
        <v>33010</v>
      </c>
      <c r="D1704" t="s">
        <v>33011</v>
      </c>
      <c r="E1704" t="s">
        <v>33012</v>
      </c>
      <c r="F1704" t="s">
        <v>33013</v>
      </c>
      <c r="G1704" t="s">
        <v>33014</v>
      </c>
      <c r="H1704" t="s">
        <v>33015</v>
      </c>
      <c r="I1704" t="s">
        <v>33016</v>
      </c>
      <c r="J1704" t="s">
        <v>33017</v>
      </c>
      <c r="K1704" t="s">
        <v>33018</v>
      </c>
      <c r="L1704" t="s">
        <v>33019</v>
      </c>
      <c r="M1704" t="s">
        <v>33020</v>
      </c>
      <c r="N1704" t="s">
        <v>33021</v>
      </c>
      <c r="O1704">
        <f>-651.831688180506 -146.12393875713 -506.148178537686</f>
        <v>-1304.1038054753221</v>
      </c>
      <c r="P1704">
        <f>-597.356151614349 -173.163765226914 -230.685228343238</f>
        <v>-1001.205145184501</v>
      </c>
      <c r="Q1704">
        <f>-441.374022884967 -110.958875178732 -391.149157095187</f>
        <v>-943.48205515888606</v>
      </c>
      <c r="R1704" t="s">
        <v>33022</v>
      </c>
      <c r="S1704" t="s">
        <v>33023</v>
      </c>
      <c r="T1704" t="s">
        <v>33024</v>
      </c>
      <c r="U1704" t="s">
        <v>33025</v>
      </c>
      <c r="V1704">
        <f>-576.325240794952 -53.1942534728978 -91.4905778219382</f>
        <v>-721.01007208978808</v>
      </c>
      <c r="W1704" t="s">
        <v>33026</v>
      </c>
      <c r="X1704" t="s">
        <v>33027</v>
      </c>
      <c r="Y1704" t="s">
        <v>33028</v>
      </c>
    </row>
    <row r="1705" spans="1:25" x14ac:dyDescent="0.3">
      <c r="A1705">
        <v>85200</v>
      </c>
      <c r="B1705" t="s">
        <v>33029</v>
      </c>
      <c r="C1705" t="s">
        <v>33030</v>
      </c>
      <c r="D1705" t="s">
        <v>33031</v>
      </c>
      <c r="E1705" t="s">
        <v>33032</v>
      </c>
      <c r="F1705" t="s">
        <v>33033</v>
      </c>
      <c r="G1705" t="s">
        <v>33034</v>
      </c>
      <c r="H1705" t="s">
        <v>33035</v>
      </c>
      <c r="I1705" t="s">
        <v>33036</v>
      </c>
      <c r="J1705" t="s">
        <v>33037</v>
      </c>
      <c r="K1705" t="s">
        <v>33038</v>
      </c>
      <c r="L1705" t="s">
        <v>33039</v>
      </c>
      <c r="M1705" t="s">
        <v>33040</v>
      </c>
      <c r="N1705" t="s">
        <v>33041</v>
      </c>
      <c r="O1705">
        <f>-650.979969728613 -146.013382413557 -506.344117005484</f>
        <v>-1303.337469147654</v>
      </c>
      <c r="P1705">
        <f>-596.755057019801 -173.272456271931 -230.853250609277</f>
        <v>-1000.880763901009</v>
      </c>
      <c r="Q1705">
        <f>-440.506295598873 -111.250346207689 -391.128499149859</f>
        <v>-942.88514095642108</v>
      </c>
      <c r="R1705" t="s">
        <v>33042</v>
      </c>
      <c r="S1705" t="s">
        <v>33043</v>
      </c>
      <c r="T1705" t="s">
        <v>33044</v>
      </c>
      <c r="U1705" t="s">
        <v>33045</v>
      </c>
      <c r="V1705">
        <f>-576.069866209371 -53.1988968061303 -91.4934010119021</f>
        <v>-720.76216402740329</v>
      </c>
      <c r="W1705" t="s">
        <v>33046</v>
      </c>
      <c r="X1705" t="s">
        <v>33047</v>
      </c>
      <c r="Y1705" t="s">
        <v>33048</v>
      </c>
    </row>
    <row r="1706" spans="1:25" x14ac:dyDescent="0.3">
      <c r="A1706">
        <v>85250</v>
      </c>
      <c r="B1706" t="s">
        <v>33049</v>
      </c>
      <c r="C1706" t="s">
        <v>33050</v>
      </c>
      <c r="D1706" t="s">
        <v>33051</v>
      </c>
      <c r="E1706" t="s">
        <v>33052</v>
      </c>
      <c r="F1706" t="s">
        <v>33053</v>
      </c>
      <c r="G1706" t="s">
        <v>33054</v>
      </c>
      <c r="H1706" t="s">
        <v>33055</v>
      </c>
      <c r="I1706" t="s">
        <v>33056</v>
      </c>
      <c r="J1706" t="s">
        <v>33057</v>
      </c>
      <c r="K1706" t="s">
        <v>33058</v>
      </c>
      <c r="L1706" t="s">
        <v>33059</v>
      </c>
      <c r="M1706" t="s">
        <v>33060</v>
      </c>
      <c r="N1706" t="s">
        <v>33061</v>
      </c>
      <c r="O1706">
        <f>-650.74027883931 -145.961691354797 -506.361451704783</f>
        <v>-1303.0634218988901</v>
      </c>
      <c r="P1706">
        <f>-596.511706446176 -173.249475518641 -230.874166464547</f>
        <v>-1000.6353484293641</v>
      </c>
      <c r="Q1706">
        <f>-440.187781508678 -111.351683609834 -391.124081567875</f>
        <v>-942.66354668638701</v>
      </c>
      <c r="R1706" t="s">
        <v>33062</v>
      </c>
      <c r="S1706" t="s">
        <v>33063</v>
      </c>
      <c r="T1706" t="s">
        <v>33064</v>
      </c>
      <c r="U1706" t="s">
        <v>33065</v>
      </c>
      <c r="V1706">
        <f>-575.910735952644 -53.1889237009561 -91.4860093176712</f>
        <v>-720.58566897127139</v>
      </c>
      <c r="W1706" t="s">
        <v>33066</v>
      </c>
      <c r="X1706" t="s">
        <v>33067</v>
      </c>
      <c r="Y1706" t="s">
        <v>33068</v>
      </c>
    </row>
    <row r="1707" spans="1:25" x14ac:dyDescent="0.3">
      <c r="A1707">
        <v>85300</v>
      </c>
      <c r="B1707" t="s">
        <v>33069</v>
      </c>
      <c r="C1707" t="s">
        <v>33070</v>
      </c>
      <c r="D1707" t="s">
        <v>33071</v>
      </c>
      <c r="E1707" t="s">
        <v>33072</v>
      </c>
      <c r="F1707" t="s">
        <v>33073</v>
      </c>
      <c r="G1707" t="s">
        <v>33074</v>
      </c>
      <c r="H1707" t="s">
        <v>33075</v>
      </c>
      <c r="I1707" t="s">
        <v>33076</v>
      </c>
      <c r="J1707" t="s">
        <v>33077</v>
      </c>
      <c r="K1707" t="s">
        <v>33078</v>
      </c>
      <c r="L1707" t="s">
        <v>33079</v>
      </c>
      <c r="M1707" t="s">
        <v>33080</v>
      </c>
      <c r="N1707" t="s">
        <v>33081</v>
      </c>
      <c r="O1707">
        <f>-650.488141609361 -145.956135401157 -506.336431275209</f>
        <v>-1302.7807082857271</v>
      </c>
      <c r="P1707">
        <f>-596.076163503163 -173.052098072275 -230.866468709771</f>
        <v>-999.99473028520902</v>
      </c>
      <c r="Q1707">
        <f>-439.698235170589 -111.671567064236 -391.26240177314</f>
        <v>-942.63220400796502</v>
      </c>
      <c r="R1707" t="s">
        <v>33082</v>
      </c>
      <c r="S1707" t="s">
        <v>33083</v>
      </c>
      <c r="T1707" t="s">
        <v>33084</v>
      </c>
      <c r="U1707" t="s">
        <v>33085</v>
      </c>
      <c r="V1707">
        <f>-575.642985645621 -53.4206814328436 -91.4844536696353</f>
        <v>-720.5481207480999</v>
      </c>
      <c r="W1707" t="s">
        <v>33086</v>
      </c>
      <c r="X1707" t="s">
        <v>33087</v>
      </c>
      <c r="Y1707" t="s">
        <v>33088</v>
      </c>
    </row>
    <row r="1708" spans="1:25" x14ac:dyDescent="0.3">
      <c r="A1708">
        <v>85350</v>
      </c>
      <c r="B1708" t="s">
        <v>33089</v>
      </c>
      <c r="C1708" t="s">
        <v>33090</v>
      </c>
      <c r="D1708" t="s">
        <v>33091</v>
      </c>
      <c r="E1708" t="s">
        <v>33092</v>
      </c>
      <c r="F1708" t="s">
        <v>33093</v>
      </c>
      <c r="G1708" t="s">
        <v>33094</v>
      </c>
      <c r="H1708" t="s">
        <v>33095</v>
      </c>
      <c r="I1708" t="s">
        <v>33096</v>
      </c>
      <c r="J1708" t="s">
        <v>33097</v>
      </c>
      <c r="K1708" t="s">
        <v>33098</v>
      </c>
      <c r="L1708" t="s">
        <v>33099</v>
      </c>
      <c r="M1708" t="s">
        <v>33100</v>
      </c>
      <c r="N1708" t="s">
        <v>33101</v>
      </c>
      <c r="O1708">
        <f>-650.459203388589 -145.888983823576 -506.327718918659</f>
        <v>-1302.6759061308239</v>
      </c>
      <c r="P1708">
        <f>-596.100318434783 -173.024959511169 -230.851258906189</f>
        <v>-999.97653685214095</v>
      </c>
      <c r="Q1708">
        <f>-439.73786073055 -111.825144604589 -391.331431954926</f>
        <v>-942.89443729006507</v>
      </c>
      <c r="R1708" t="s">
        <v>33102</v>
      </c>
      <c r="S1708" t="s">
        <v>33103</v>
      </c>
      <c r="T1708" t="s">
        <v>33104</v>
      </c>
      <c r="U1708" t="s">
        <v>33105</v>
      </c>
      <c r="V1708">
        <f>-575.57014603309 -53.4458733340437 -91.4846733400814</f>
        <v>-720.50069270721508</v>
      </c>
      <c r="W1708" t="s">
        <v>33106</v>
      </c>
      <c r="X1708" t="s">
        <v>33107</v>
      </c>
      <c r="Y1708" t="s">
        <v>33108</v>
      </c>
    </row>
    <row r="1709" spans="1:25" x14ac:dyDescent="0.3">
      <c r="A1709">
        <v>85400</v>
      </c>
      <c r="B1709" t="s">
        <v>33109</v>
      </c>
      <c r="C1709" t="s">
        <v>33110</v>
      </c>
      <c r="D1709" t="s">
        <v>33111</v>
      </c>
      <c r="E1709" t="s">
        <v>33112</v>
      </c>
      <c r="F1709" t="s">
        <v>33113</v>
      </c>
      <c r="G1709" t="s">
        <v>33114</v>
      </c>
      <c r="H1709" t="s">
        <v>33115</v>
      </c>
      <c r="I1709" t="s">
        <v>33116</v>
      </c>
      <c r="J1709" t="s">
        <v>33117</v>
      </c>
      <c r="K1709" t="s">
        <v>33118</v>
      </c>
      <c r="L1709" t="s">
        <v>33119</v>
      </c>
      <c r="M1709" t="s">
        <v>33120</v>
      </c>
      <c r="N1709" t="s">
        <v>33121</v>
      </c>
      <c r="O1709">
        <f>-650.513428152216 -145.66638725803 -506.315374693459</f>
        <v>-1302.495190103705</v>
      </c>
      <c r="P1709">
        <f>-596.353738312009 -173.087922851246 -230.827793329797</f>
        <v>-1000.2694544930521</v>
      </c>
      <c r="Q1709">
        <f>-440.040086866456 -112.010818656031 -391.402232066588</f>
        <v>-943.45313758907503</v>
      </c>
      <c r="R1709" t="s">
        <v>33122</v>
      </c>
      <c r="S1709" t="s">
        <v>33123</v>
      </c>
      <c r="T1709" t="s">
        <v>33124</v>
      </c>
      <c r="U1709" t="s">
        <v>33125</v>
      </c>
      <c r="V1709">
        <f>-575.499865810056 -53.3863432009014 -91.4651846751011</f>
        <v>-720.35139368605849</v>
      </c>
      <c r="W1709" t="s">
        <v>33126</v>
      </c>
      <c r="X1709" t="s">
        <v>33127</v>
      </c>
      <c r="Y1709" t="s">
        <v>33128</v>
      </c>
    </row>
    <row r="1710" spans="1:25" x14ac:dyDescent="0.3">
      <c r="A1710">
        <v>85450</v>
      </c>
      <c r="B1710" t="s">
        <v>33129</v>
      </c>
      <c r="C1710" t="s">
        <v>33130</v>
      </c>
      <c r="D1710" t="s">
        <v>33131</v>
      </c>
      <c r="E1710" t="s">
        <v>33132</v>
      </c>
      <c r="F1710" t="s">
        <v>33133</v>
      </c>
      <c r="G1710" t="s">
        <v>33134</v>
      </c>
      <c r="H1710" t="s">
        <v>33135</v>
      </c>
      <c r="I1710" t="s">
        <v>33136</v>
      </c>
      <c r="J1710" t="s">
        <v>33137</v>
      </c>
      <c r="K1710" t="s">
        <v>33138</v>
      </c>
      <c r="L1710" t="s">
        <v>33139</v>
      </c>
      <c r="M1710" t="s">
        <v>33140</v>
      </c>
      <c r="N1710" t="s">
        <v>33141</v>
      </c>
      <c r="O1710">
        <f>-650.646005894919 -145.518275276166 -506.33402900534</f>
        <v>-1302.4983101764251</v>
      </c>
      <c r="P1710">
        <f>-596.522831251521 -173.043123579871 -230.849736126349</f>
        <v>-1000.4156909577409</v>
      </c>
      <c r="Q1710">
        <f>-440.186115202127 -112.006063885516 -391.416916715751</f>
        <v>-943.60909580339398</v>
      </c>
      <c r="R1710" t="s">
        <v>33142</v>
      </c>
      <c r="S1710" t="s">
        <v>33143</v>
      </c>
      <c r="T1710" t="s">
        <v>33144</v>
      </c>
      <c r="U1710" t="s">
        <v>33145</v>
      </c>
      <c r="V1710">
        <f>-575.556014074021 -53.390128989628 -91.4682008142852</f>
        <v>-720.41434387793424</v>
      </c>
      <c r="W1710" t="s">
        <v>33146</v>
      </c>
      <c r="X1710" t="s">
        <v>33147</v>
      </c>
      <c r="Y1710" t="s">
        <v>33148</v>
      </c>
    </row>
    <row r="1711" spans="1:25" x14ac:dyDescent="0.3">
      <c r="A1711">
        <v>85500</v>
      </c>
      <c r="B1711" t="s">
        <v>33149</v>
      </c>
      <c r="C1711" t="s">
        <v>33150</v>
      </c>
      <c r="D1711" t="s">
        <v>33151</v>
      </c>
      <c r="E1711" t="s">
        <v>33152</v>
      </c>
      <c r="F1711" t="s">
        <v>33153</v>
      </c>
      <c r="G1711" t="s">
        <v>33154</v>
      </c>
      <c r="H1711" t="s">
        <v>33155</v>
      </c>
      <c r="I1711" t="s">
        <v>33156</v>
      </c>
      <c r="J1711" t="s">
        <v>33157</v>
      </c>
      <c r="K1711" t="s">
        <v>33158</v>
      </c>
      <c r="L1711" t="s">
        <v>33159</v>
      </c>
      <c r="M1711" t="s">
        <v>33160</v>
      </c>
      <c r="N1711" t="s">
        <v>33161</v>
      </c>
      <c r="O1711">
        <f>-651.031962262277 -145.453707820724 -506.367814721008</f>
        <v>-1302.853484804009</v>
      </c>
      <c r="P1711">
        <f>-597.185403580311 -173.157876699175 -230.847119432192</f>
        <v>-1001.190399711678</v>
      </c>
      <c r="Q1711">
        <f>-440.73827602414 -112.240636532705 -391.352309717443</f>
        <v>-944.33122227428794</v>
      </c>
      <c r="R1711" t="s">
        <v>33162</v>
      </c>
      <c r="S1711" t="s">
        <v>33163</v>
      </c>
      <c r="T1711" t="s">
        <v>33164</v>
      </c>
      <c r="U1711" t="s">
        <v>33165</v>
      </c>
      <c r="V1711">
        <f>-575.792325635567 -53.5053661869611 -91.5028871527237</f>
        <v>-720.80057897525171</v>
      </c>
      <c r="W1711" t="s">
        <v>33166</v>
      </c>
      <c r="X1711" t="s">
        <v>33167</v>
      </c>
      <c r="Y1711" t="s">
        <v>33168</v>
      </c>
    </row>
    <row r="1712" spans="1:25" x14ac:dyDescent="0.3">
      <c r="A1712">
        <v>85550</v>
      </c>
      <c r="B1712" t="s">
        <v>33169</v>
      </c>
      <c r="C1712" t="s">
        <v>33170</v>
      </c>
      <c r="D1712" t="s">
        <v>33171</v>
      </c>
      <c r="E1712" t="s">
        <v>33172</v>
      </c>
      <c r="F1712" t="s">
        <v>33173</v>
      </c>
      <c r="G1712" t="s">
        <v>33174</v>
      </c>
      <c r="H1712" t="s">
        <v>33175</v>
      </c>
      <c r="I1712" t="s">
        <v>33176</v>
      </c>
      <c r="J1712" t="s">
        <v>33177</v>
      </c>
      <c r="K1712" t="s">
        <v>33178</v>
      </c>
      <c r="L1712" t="s">
        <v>33179</v>
      </c>
      <c r="M1712" t="s">
        <v>33180</v>
      </c>
      <c r="N1712" t="s">
        <v>33181</v>
      </c>
      <c r="O1712">
        <f>-651.224043428511 -145.345970894571 -506.430199575562</f>
        <v>-1303.000213898644</v>
      </c>
      <c r="P1712">
        <f>-597.388968299685 -173.049857807985 -230.907277188952</f>
        <v>-1001.3461032966219</v>
      </c>
      <c r="Q1712">
        <f>-440.891320710863 -112.251158940984 -391.408162204646</f>
        <v>-944.55064185649303</v>
      </c>
      <c r="R1712" t="s">
        <v>33182</v>
      </c>
      <c r="S1712" t="s">
        <v>33183</v>
      </c>
      <c r="T1712" t="s">
        <v>33184</v>
      </c>
      <c r="U1712" t="s">
        <v>33185</v>
      </c>
      <c r="V1712">
        <f>-575.945706272678 -53.5349346893295 -91.5159882628382</f>
        <v>-720.99662922484561</v>
      </c>
      <c r="W1712" t="s">
        <v>33186</v>
      </c>
      <c r="X1712" t="s">
        <v>33187</v>
      </c>
      <c r="Y1712" t="s">
        <v>33188</v>
      </c>
    </row>
    <row r="1713" spans="1:25" x14ac:dyDescent="0.3">
      <c r="A1713">
        <v>85600</v>
      </c>
      <c r="B1713" t="s">
        <v>33189</v>
      </c>
      <c r="C1713" t="s">
        <v>33190</v>
      </c>
      <c r="D1713" t="s">
        <v>33191</v>
      </c>
      <c r="E1713" t="s">
        <v>33192</v>
      </c>
      <c r="F1713" t="s">
        <v>33193</v>
      </c>
      <c r="G1713" t="s">
        <v>33194</v>
      </c>
      <c r="H1713" t="s">
        <v>33195</v>
      </c>
      <c r="I1713" t="s">
        <v>33196</v>
      </c>
      <c r="J1713" t="s">
        <v>33197</v>
      </c>
      <c r="K1713" t="s">
        <v>33198</v>
      </c>
      <c r="L1713" t="s">
        <v>33199</v>
      </c>
      <c r="M1713" t="s">
        <v>33200</v>
      </c>
      <c r="N1713" t="s">
        <v>33201</v>
      </c>
      <c r="O1713">
        <f>-651.706742516618 -145.088519693449 -506.597757954749</f>
        <v>-1303.3930201648159</v>
      </c>
      <c r="P1713">
        <f>-597.775222596994 -173.020209663284 -231.116751811484</f>
        <v>-1001.9121840717619</v>
      </c>
      <c r="Q1713">
        <f>-441.353791409856 -112.214242065353 -391.689192865328</f>
        <v>-945.25722634053693</v>
      </c>
      <c r="R1713" t="s">
        <v>33202</v>
      </c>
      <c r="S1713" t="s">
        <v>33203</v>
      </c>
      <c r="T1713" t="s">
        <v>33204</v>
      </c>
      <c r="U1713" t="s">
        <v>33205</v>
      </c>
      <c r="V1713">
        <f>-576.272156737735 -53.4802988284887 -91.5502057267147</f>
        <v>-721.30266129293841</v>
      </c>
      <c r="W1713" t="s">
        <v>33206</v>
      </c>
      <c r="X1713" t="s">
        <v>33207</v>
      </c>
      <c r="Y1713" t="s">
        <v>33208</v>
      </c>
    </row>
    <row r="1714" spans="1:25" x14ac:dyDescent="0.3">
      <c r="A1714">
        <v>85650</v>
      </c>
      <c r="B1714" t="s">
        <v>33209</v>
      </c>
      <c r="C1714" t="s">
        <v>33210</v>
      </c>
      <c r="D1714" t="s">
        <v>33211</v>
      </c>
      <c r="E1714" t="s">
        <v>33212</v>
      </c>
      <c r="F1714" t="s">
        <v>33213</v>
      </c>
      <c r="G1714" t="s">
        <v>33214</v>
      </c>
      <c r="H1714" t="s">
        <v>33215</v>
      </c>
      <c r="I1714" t="s">
        <v>33216</v>
      </c>
      <c r="J1714" t="s">
        <v>33217</v>
      </c>
      <c r="K1714" t="s">
        <v>33218</v>
      </c>
      <c r="L1714" t="s">
        <v>33219</v>
      </c>
      <c r="M1714" t="s">
        <v>33220</v>
      </c>
      <c r="N1714" t="s">
        <v>33221</v>
      </c>
      <c r="O1714">
        <f>-651.949688179882 -144.870209795437 -506.69881878595</f>
        <v>-1303.5187167612689</v>
      </c>
      <c r="P1714">
        <f>-597.876119689702 -172.938474606191 -231.259517498767</f>
        <v>-1002.07411179466</v>
      </c>
      <c r="Q1714">
        <f>-441.6054449526 -112.011813582839 -391.932880220698</f>
        <v>-945.5501387561369</v>
      </c>
      <c r="R1714" t="s">
        <v>33222</v>
      </c>
      <c r="S1714" t="s">
        <v>33223</v>
      </c>
      <c r="T1714" t="s">
        <v>33224</v>
      </c>
      <c r="U1714" t="s">
        <v>33225</v>
      </c>
      <c r="V1714">
        <f>-576.3932742109 -53.3918662234639 -91.5618777974004</f>
        <v>-721.34701823176431</v>
      </c>
      <c r="W1714" t="s">
        <v>33226</v>
      </c>
      <c r="X1714" t="s">
        <v>33227</v>
      </c>
      <c r="Y1714" t="s">
        <v>33228</v>
      </c>
    </row>
    <row r="1715" spans="1:25" x14ac:dyDescent="0.3">
      <c r="A1715">
        <v>85700</v>
      </c>
      <c r="B1715" t="s">
        <v>33229</v>
      </c>
      <c r="C1715" t="s">
        <v>33230</v>
      </c>
      <c r="D1715" t="s">
        <v>33231</v>
      </c>
      <c r="E1715" t="s">
        <v>33232</v>
      </c>
      <c r="F1715" t="s">
        <v>33233</v>
      </c>
      <c r="G1715" t="s">
        <v>33234</v>
      </c>
      <c r="H1715" t="s">
        <v>33235</v>
      </c>
      <c r="I1715" t="s">
        <v>33236</v>
      </c>
      <c r="J1715" t="s">
        <v>33237</v>
      </c>
      <c r="K1715" t="s">
        <v>33238</v>
      </c>
      <c r="L1715" t="s">
        <v>33239</v>
      </c>
      <c r="M1715" t="s">
        <v>33240</v>
      </c>
      <c r="N1715" t="s">
        <v>33241</v>
      </c>
      <c r="O1715">
        <f>-652.535516132793 -144.468246262332 -506.808143220143</f>
        <v>-1303.811905615268</v>
      </c>
      <c r="P1715">
        <f>-598.027578500849 -172.739677454887 -231.47521669966</f>
        <v>-1002.242472655396</v>
      </c>
      <c r="Q1715">
        <f>-441.988552629642 -111.657213748362 -392.314486877744</f>
        <v>-945.96025325574806</v>
      </c>
      <c r="R1715" t="s">
        <v>33242</v>
      </c>
      <c r="S1715" t="s">
        <v>33243</v>
      </c>
      <c r="T1715" t="s">
        <v>33244</v>
      </c>
      <c r="U1715" t="s">
        <v>33245</v>
      </c>
      <c r="V1715">
        <f>-576.614605614079 -53.1459567021429 -91.5756030401075</f>
        <v>-721.33616535632939</v>
      </c>
      <c r="W1715" t="s">
        <v>33246</v>
      </c>
      <c r="X1715" t="s">
        <v>33247</v>
      </c>
      <c r="Y1715" t="s">
        <v>33248</v>
      </c>
    </row>
    <row r="1716" spans="1:25" x14ac:dyDescent="0.3">
      <c r="A1716">
        <v>85750</v>
      </c>
      <c r="B1716" t="s">
        <v>33249</v>
      </c>
      <c r="C1716" t="s">
        <v>33250</v>
      </c>
      <c r="D1716" t="s">
        <v>33251</v>
      </c>
      <c r="E1716" t="s">
        <v>33252</v>
      </c>
      <c r="F1716" t="s">
        <v>33253</v>
      </c>
      <c r="G1716" t="s">
        <v>33254</v>
      </c>
      <c r="H1716" t="s">
        <v>33255</v>
      </c>
      <c r="I1716" t="s">
        <v>33256</v>
      </c>
      <c r="J1716" t="s">
        <v>33257</v>
      </c>
      <c r="K1716" t="s">
        <v>33258</v>
      </c>
      <c r="L1716" t="s">
        <v>33259</v>
      </c>
      <c r="M1716" t="s">
        <v>33260</v>
      </c>
      <c r="N1716" t="s">
        <v>33261</v>
      </c>
      <c r="O1716">
        <f>-652.842466577059 -144.285372195914 -506.826929107929</f>
        <v>-1303.954767880902</v>
      </c>
      <c r="P1716">
        <f>-598.152003518122 -172.620163000775 -231.53670988951</f>
        <v>-1002.3088764084069</v>
      </c>
      <c r="Q1716">
        <f>-442.181572530379 -111.470367295229 -392.417012871348</f>
        <v>-946.06895269695599</v>
      </c>
      <c r="R1716" t="s">
        <v>33262</v>
      </c>
      <c r="S1716" t="s">
        <v>33263</v>
      </c>
      <c r="T1716" t="s">
        <v>33264</v>
      </c>
      <c r="U1716" t="s">
        <v>33265</v>
      </c>
      <c r="V1716">
        <f>-576.733542490588 -53.0365480889086 -91.5844423044115</f>
        <v>-721.35453288390806</v>
      </c>
      <c r="W1716" t="s">
        <v>33266</v>
      </c>
      <c r="X1716" t="s">
        <v>33267</v>
      </c>
      <c r="Y1716" t="s">
        <v>33268</v>
      </c>
    </row>
    <row r="1717" spans="1:25" x14ac:dyDescent="0.3">
      <c r="A1717">
        <v>85800</v>
      </c>
      <c r="B1717" t="s">
        <v>33269</v>
      </c>
      <c r="C1717" t="s">
        <v>33270</v>
      </c>
      <c r="D1717" t="s">
        <v>33271</v>
      </c>
      <c r="E1717" t="s">
        <v>33272</v>
      </c>
      <c r="F1717" t="s">
        <v>33273</v>
      </c>
      <c r="G1717" t="s">
        <v>33274</v>
      </c>
      <c r="H1717" t="s">
        <v>33275</v>
      </c>
      <c r="I1717" t="s">
        <v>33276</v>
      </c>
      <c r="J1717" t="s">
        <v>33277</v>
      </c>
      <c r="K1717" t="s">
        <v>33278</v>
      </c>
      <c r="L1717" t="s">
        <v>33279</v>
      </c>
      <c r="M1717" t="s">
        <v>33280</v>
      </c>
      <c r="N1717" t="s">
        <v>33281</v>
      </c>
      <c r="O1717">
        <f>-653.319871016799 -144.123459097401 -506.833015968227</f>
        <v>-1304.2763460824269</v>
      </c>
      <c r="P1717">
        <f>-598.365526748295 -172.466652973303 -231.596286217438</f>
        <v>-1002.428465939036</v>
      </c>
      <c r="Q1717">
        <f>-442.410034695798 -111.193398524825 -392.444015103428</f>
        <v>-946.04744832405095</v>
      </c>
      <c r="R1717" t="s">
        <v>33282</v>
      </c>
      <c r="S1717" t="s">
        <v>33283</v>
      </c>
      <c r="T1717" t="s">
        <v>33284</v>
      </c>
      <c r="U1717" t="s">
        <v>33285</v>
      </c>
      <c r="V1717">
        <f>-576.969490082784 -52.8430230169176 -91.5953394614783</f>
        <v>-721.40785256117988</v>
      </c>
      <c r="W1717" t="s">
        <v>33286</v>
      </c>
      <c r="X1717" t="s">
        <v>33287</v>
      </c>
      <c r="Y1717" t="s">
        <v>33288</v>
      </c>
    </row>
    <row r="1718" spans="1:25" x14ac:dyDescent="0.3">
      <c r="A1718">
        <v>85850</v>
      </c>
      <c r="B1718" t="s">
        <v>33289</v>
      </c>
      <c r="C1718" t="s">
        <v>33290</v>
      </c>
      <c r="D1718" t="s">
        <v>33291</v>
      </c>
      <c r="E1718" t="s">
        <v>33292</v>
      </c>
      <c r="F1718" t="s">
        <v>33293</v>
      </c>
      <c r="G1718" t="s">
        <v>33294</v>
      </c>
      <c r="H1718" t="s">
        <v>33295</v>
      </c>
      <c r="I1718" t="s">
        <v>33296</v>
      </c>
      <c r="J1718" t="s">
        <v>33297</v>
      </c>
      <c r="K1718" t="s">
        <v>33298</v>
      </c>
      <c r="L1718" t="s">
        <v>33299</v>
      </c>
      <c r="M1718" t="s">
        <v>33300</v>
      </c>
      <c r="N1718" t="s">
        <v>33301</v>
      </c>
      <c r="O1718">
        <f>-653.528452440435 -144.09348338181 -506.803244969614</f>
        <v>-1304.425180791859</v>
      </c>
      <c r="P1718">
        <f>-598.505259810882 -172.421503176895 -231.578699333157</f>
        <v>-1002.505462320934</v>
      </c>
      <c r="Q1718">
        <f>-442.533861560186 -111.106902781367 -392.395126635116</f>
        <v>-946.03589097666895</v>
      </c>
      <c r="R1718" t="s">
        <v>33302</v>
      </c>
      <c r="S1718" t="s">
        <v>33303</v>
      </c>
      <c r="T1718" t="s">
        <v>33304</v>
      </c>
      <c r="U1718" t="s">
        <v>33305</v>
      </c>
      <c r="V1718">
        <f>-577.059425574477 -52.7341303437352 -91.6036522463027</f>
        <v>-721.39720816451484</v>
      </c>
      <c r="W1718" t="s">
        <v>33306</v>
      </c>
      <c r="X1718" t="s">
        <v>33307</v>
      </c>
      <c r="Y1718" t="s">
        <v>33308</v>
      </c>
    </row>
    <row r="1719" spans="1:25" x14ac:dyDescent="0.3">
      <c r="A1719">
        <v>85900</v>
      </c>
      <c r="B1719" t="s">
        <v>33309</v>
      </c>
      <c r="C1719" t="s">
        <v>33310</v>
      </c>
      <c r="D1719" t="s">
        <v>33311</v>
      </c>
      <c r="E1719" t="s">
        <v>33312</v>
      </c>
      <c r="F1719" t="s">
        <v>33313</v>
      </c>
      <c r="G1719" t="s">
        <v>33314</v>
      </c>
      <c r="H1719" t="s">
        <v>33315</v>
      </c>
      <c r="I1719" t="s">
        <v>33316</v>
      </c>
      <c r="J1719" t="s">
        <v>33317</v>
      </c>
      <c r="K1719" t="s">
        <v>33318</v>
      </c>
      <c r="L1719" t="s">
        <v>33319</v>
      </c>
      <c r="M1719" t="s">
        <v>33320</v>
      </c>
      <c r="N1719" t="s">
        <v>33321</v>
      </c>
      <c r="O1719">
        <f>-654.050550949315 -143.896755455515 -506.666889870759</f>
        <v>-1304.6141962755889</v>
      </c>
      <c r="P1719">
        <f>-598.885644963262 -172.115898939992 -231.45948409134</f>
        <v>-1002.461027994594</v>
      </c>
      <c r="Q1719">
        <f>-442.972237405509 -110.793559655481 -392.329422043149</f>
        <v>-946.09521910413901</v>
      </c>
      <c r="R1719" t="s">
        <v>33322</v>
      </c>
      <c r="S1719" t="s">
        <v>33323</v>
      </c>
      <c r="T1719" t="s">
        <v>33324</v>
      </c>
      <c r="U1719" t="s">
        <v>33325</v>
      </c>
      <c r="V1719">
        <f>-577.11354249495 -52.3737144390989 -91.5967533431104</f>
        <v>-721.08401027715934</v>
      </c>
      <c r="W1719" t="s">
        <v>33326</v>
      </c>
      <c r="X1719" t="s">
        <v>33327</v>
      </c>
      <c r="Y1719" t="s">
        <v>33328</v>
      </c>
    </row>
    <row r="1720" spans="1:25" x14ac:dyDescent="0.3">
      <c r="A1720">
        <v>85950</v>
      </c>
      <c r="B1720" t="s">
        <v>33329</v>
      </c>
      <c r="C1720" t="s">
        <v>33330</v>
      </c>
      <c r="D1720" t="s">
        <v>33331</v>
      </c>
      <c r="E1720" t="s">
        <v>33332</v>
      </c>
      <c r="F1720" t="s">
        <v>33333</v>
      </c>
      <c r="G1720" t="s">
        <v>33334</v>
      </c>
      <c r="H1720" t="s">
        <v>33335</v>
      </c>
      <c r="I1720" t="s">
        <v>33336</v>
      </c>
      <c r="J1720" t="s">
        <v>33337</v>
      </c>
      <c r="K1720" t="s">
        <v>33338</v>
      </c>
      <c r="L1720" t="s">
        <v>33339</v>
      </c>
      <c r="M1720" t="s">
        <v>33340</v>
      </c>
      <c r="N1720" t="s">
        <v>33341</v>
      </c>
      <c r="O1720">
        <f>-654.234140467391 -143.702592231098 -506.632592381181</f>
        <v>-1304.5693250796699</v>
      </c>
      <c r="P1720">
        <f>-599.022663954006 -171.888952881148 -231.431279627426</f>
        <v>-1002.34289646258</v>
      </c>
      <c r="Q1720">
        <f>-443.112763612109 -110.592519391468 -392.314269081801</f>
        <v>-946.01955208537811</v>
      </c>
      <c r="R1720" t="s">
        <v>33342</v>
      </c>
      <c r="S1720" t="s">
        <v>33343</v>
      </c>
      <c r="T1720" t="s">
        <v>33344</v>
      </c>
      <c r="U1720" t="s">
        <v>33345</v>
      </c>
      <c r="V1720">
        <f>-577.040696557423 -52.1685782705972 -91.586956862345</f>
        <v>-720.79623169036518</v>
      </c>
      <c r="W1720" t="s">
        <v>33346</v>
      </c>
      <c r="X1720" t="s">
        <v>33347</v>
      </c>
      <c r="Y1720" t="s">
        <v>33348</v>
      </c>
    </row>
    <row r="1721" spans="1:25" x14ac:dyDescent="0.3">
      <c r="A1721">
        <v>86000</v>
      </c>
      <c r="B1721" t="s">
        <v>33349</v>
      </c>
      <c r="C1721" t="s">
        <v>33350</v>
      </c>
      <c r="D1721" t="s">
        <v>33351</v>
      </c>
      <c r="E1721" t="s">
        <v>33352</v>
      </c>
      <c r="F1721" t="s">
        <v>33353</v>
      </c>
      <c r="G1721" t="s">
        <v>33354</v>
      </c>
      <c r="H1721" t="s">
        <v>33355</v>
      </c>
      <c r="I1721" t="s">
        <v>33356</v>
      </c>
      <c r="J1721" t="s">
        <v>33357</v>
      </c>
      <c r="K1721" t="s">
        <v>33358</v>
      </c>
      <c r="L1721" t="s">
        <v>33359</v>
      </c>
      <c r="M1721" t="s">
        <v>33360</v>
      </c>
      <c r="N1721" t="s">
        <v>33361</v>
      </c>
      <c r="O1721">
        <f>-654.245335507378 -143.451706164993 -506.716155279135</f>
        <v>-1304.4131969515061</v>
      </c>
      <c r="P1721">
        <f>-598.876250303846 -171.725198043086 -231.555365770407</f>
        <v>-1002.156814117339</v>
      </c>
      <c r="Q1721">
        <f>-443.142465266626 -110.320942900004 -392.568010947254</f>
        <v>-946.03141911388389</v>
      </c>
      <c r="R1721" t="s">
        <v>33362</v>
      </c>
      <c r="S1721" t="s">
        <v>33363</v>
      </c>
      <c r="T1721" t="s">
        <v>33364</v>
      </c>
      <c r="U1721" t="s">
        <v>33365</v>
      </c>
      <c r="V1721">
        <f>-576.836519900911 -51.9588798463344 -91.5584019945048</f>
        <v>-720.3538017417502</v>
      </c>
      <c r="W1721" t="s">
        <v>33366</v>
      </c>
      <c r="X1721" t="s">
        <v>33367</v>
      </c>
      <c r="Y1721" t="s">
        <v>33368</v>
      </c>
    </row>
    <row r="1722" spans="1:25" x14ac:dyDescent="0.3">
      <c r="A1722">
        <v>86050</v>
      </c>
      <c r="B1722" t="s">
        <v>33369</v>
      </c>
      <c r="C1722" t="s">
        <v>33370</v>
      </c>
      <c r="D1722" t="s">
        <v>33371</v>
      </c>
      <c r="E1722" t="s">
        <v>33372</v>
      </c>
      <c r="F1722" t="s">
        <v>33373</v>
      </c>
      <c r="G1722" t="s">
        <v>33374</v>
      </c>
      <c r="H1722" t="s">
        <v>33375</v>
      </c>
      <c r="I1722" t="s">
        <v>33376</v>
      </c>
      <c r="J1722" t="s">
        <v>33377</v>
      </c>
      <c r="K1722" t="s">
        <v>33378</v>
      </c>
      <c r="L1722" t="s">
        <v>33379</v>
      </c>
      <c r="M1722" t="s">
        <v>33380</v>
      </c>
      <c r="N1722" t="s">
        <v>33381</v>
      </c>
      <c r="O1722">
        <f>-654.164851941633 -143.39000213584 -506.741733427415</f>
        <v>-1304.296587504889</v>
      </c>
      <c r="P1722">
        <f>-598.566042500478 -171.850709421173 -231.646590921674</f>
        <v>-1002.063342843325</v>
      </c>
      <c r="Q1722">
        <f>-443.033169395344 -110.335652005963 -392.811068186748</f>
        <v>-946.17988958805495</v>
      </c>
      <c r="R1722" t="s">
        <v>33382</v>
      </c>
      <c r="S1722" t="s">
        <v>33383</v>
      </c>
      <c r="T1722" t="s">
        <v>33384</v>
      </c>
      <c r="U1722" t="s">
        <v>33385</v>
      </c>
      <c r="V1722">
        <f>-576.657632754809 -51.8979722313147 -91.5372437997278</f>
        <v>-720.09284878585152</v>
      </c>
      <c r="W1722" t="s">
        <v>33386</v>
      </c>
      <c r="X1722" t="s">
        <v>33387</v>
      </c>
      <c r="Y1722" t="s">
        <v>33388</v>
      </c>
    </row>
    <row r="1723" spans="1:25" x14ac:dyDescent="0.3">
      <c r="A1723">
        <v>86100</v>
      </c>
      <c r="B1723" t="s">
        <v>33389</v>
      </c>
      <c r="C1723" t="s">
        <v>33390</v>
      </c>
      <c r="D1723" t="s">
        <v>33391</v>
      </c>
      <c r="E1723" t="s">
        <v>33392</v>
      </c>
      <c r="F1723" t="s">
        <v>33393</v>
      </c>
      <c r="G1723" t="s">
        <v>33394</v>
      </c>
      <c r="H1723" t="s">
        <v>33395</v>
      </c>
      <c r="I1723" t="s">
        <v>33396</v>
      </c>
      <c r="J1723" t="s">
        <v>33397</v>
      </c>
      <c r="K1723" t="s">
        <v>33398</v>
      </c>
      <c r="L1723" t="s">
        <v>33399</v>
      </c>
      <c r="M1723" t="s">
        <v>33400</v>
      </c>
      <c r="N1723" t="s">
        <v>33401</v>
      </c>
      <c r="O1723">
        <f>-654.080171048001 -143.23920800811 -506.747762699058</f>
        <v>-1304.0671417551691</v>
      </c>
      <c r="P1723">
        <f>-597.679401969123 -171.86473113971 -231.832888834055</f>
        <v>-1001.3770219428879</v>
      </c>
      <c r="Q1723">
        <f>-442.193692030808 -110.600817884605 -393.138403770013</f>
        <v>-945.932913685426</v>
      </c>
      <c r="R1723" t="s">
        <v>33402</v>
      </c>
      <c r="S1723" t="s">
        <v>33403</v>
      </c>
      <c r="T1723" t="s">
        <v>33404</v>
      </c>
      <c r="U1723" t="s">
        <v>33405</v>
      </c>
      <c r="V1723">
        <f>-576.082072288019 -51.859599920014 -91.475331054315</f>
        <v>-719.41700326234809</v>
      </c>
      <c r="W1723" t="s">
        <v>33406</v>
      </c>
      <c r="X1723" t="s">
        <v>33407</v>
      </c>
      <c r="Y1723" t="s">
        <v>33408</v>
      </c>
    </row>
    <row r="1724" spans="1:25" x14ac:dyDescent="0.3">
      <c r="A1724">
        <v>86150</v>
      </c>
      <c r="B1724" t="s">
        <v>33409</v>
      </c>
      <c r="C1724" t="s">
        <v>33410</v>
      </c>
      <c r="D1724" t="s">
        <v>33411</v>
      </c>
      <c r="E1724" t="s">
        <v>33412</v>
      </c>
      <c r="F1724" t="s">
        <v>33413</v>
      </c>
      <c r="G1724" t="s">
        <v>33414</v>
      </c>
      <c r="H1724" t="s">
        <v>33415</v>
      </c>
      <c r="I1724" t="s">
        <v>33416</v>
      </c>
      <c r="J1724" t="s">
        <v>33417</v>
      </c>
      <c r="K1724" t="s">
        <v>33418</v>
      </c>
      <c r="L1724" t="s">
        <v>33419</v>
      </c>
      <c r="M1724" t="s">
        <v>33420</v>
      </c>
      <c r="N1724" t="s">
        <v>33421</v>
      </c>
      <c r="O1724">
        <f>-653.939223096595 -143.22563753331 -506.776600018594</f>
        <v>-1303.9414606484991</v>
      </c>
      <c r="P1724">
        <f>-597.193197024242 -172.058001999893 -231.954634189976</f>
        <v>-1001.205833214111</v>
      </c>
      <c r="Q1724">
        <f>-441.57883640723 -110.774887922489 -393.12863687929</f>
        <v>-945.48236120900901</v>
      </c>
      <c r="R1724" t="s">
        <v>33422</v>
      </c>
      <c r="S1724" t="s">
        <v>33423</v>
      </c>
      <c r="T1724" t="s">
        <v>33424</v>
      </c>
      <c r="U1724" t="s">
        <v>33425</v>
      </c>
      <c r="V1724">
        <f>-575.704840028457 -51.8705318366806 -91.4343026302605</f>
        <v>-719.00967449539814</v>
      </c>
      <c r="W1724" t="s">
        <v>33426</v>
      </c>
      <c r="X1724" t="s">
        <v>33427</v>
      </c>
      <c r="Y1724" t="s">
        <v>33428</v>
      </c>
    </row>
    <row r="1725" spans="1:25" x14ac:dyDescent="0.3">
      <c r="A1725">
        <v>86200</v>
      </c>
      <c r="B1725" t="s">
        <v>33429</v>
      </c>
      <c r="C1725" t="s">
        <v>33430</v>
      </c>
      <c r="D1725" t="s">
        <v>33431</v>
      </c>
      <c r="E1725" t="s">
        <v>33432</v>
      </c>
      <c r="F1725" t="s">
        <v>33433</v>
      </c>
      <c r="G1725" t="s">
        <v>33434</v>
      </c>
      <c r="H1725" t="s">
        <v>33435</v>
      </c>
      <c r="I1725" t="s">
        <v>33436</v>
      </c>
      <c r="J1725" t="s">
        <v>33437</v>
      </c>
      <c r="K1725" t="s">
        <v>33438</v>
      </c>
      <c r="L1725" t="s">
        <v>33439</v>
      </c>
      <c r="M1725" t="s">
        <v>33440</v>
      </c>
      <c r="N1725" t="s">
        <v>33441</v>
      </c>
      <c r="O1725">
        <f>-653.656496975846 -143.087054392803 -506.867080782277</f>
        <v>-1303.610632150926</v>
      </c>
      <c r="P1725">
        <f>-596.248944217217 -172.032299923459 -232.194375782091</f>
        <v>-1000.4756199227669</v>
      </c>
      <c r="Q1725">
        <f>-440.39379163996 -111.278049394715 -393.335902128186</f>
        <v>-945.00774316286106</v>
      </c>
      <c r="R1725" t="s">
        <v>33442</v>
      </c>
      <c r="S1725" t="s">
        <v>33443</v>
      </c>
      <c r="T1725" t="s">
        <v>33444</v>
      </c>
      <c r="U1725" t="s">
        <v>33445</v>
      </c>
      <c r="V1725">
        <f>-574.979791137251 -51.9162073092459 -91.3637711071899</f>
        <v>-718.25976955368685</v>
      </c>
      <c r="W1725" t="s">
        <v>33446</v>
      </c>
      <c r="X1725" t="s">
        <v>33447</v>
      </c>
      <c r="Y1725" t="s">
        <v>33448</v>
      </c>
    </row>
    <row r="1726" spans="1:25" x14ac:dyDescent="0.3">
      <c r="A1726">
        <v>86250</v>
      </c>
      <c r="B1726" t="s">
        <v>33449</v>
      </c>
      <c r="C1726" t="s">
        <v>33450</v>
      </c>
      <c r="D1726" t="s">
        <v>33451</v>
      </c>
      <c r="E1726" t="s">
        <v>33452</v>
      </c>
      <c r="F1726" t="s">
        <v>33453</v>
      </c>
      <c r="G1726" t="s">
        <v>33454</v>
      </c>
      <c r="H1726" t="s">
        <v>33455</v>
      </c>
      <c r="I1726" t="s">
        <v>33456</v>
      </c>
      <c r="J1726" t="s">
        <v>33457</v>
      </c>
      <c r="K1726" t="s">
        <v>33458</v>
      </c>
      <c r="L1726" t="s">
        <v>33459</v>
      </c>
      <c r="M1726" t="s">
        <v>33460</v>
      </c>
      <c r="N1726" t="s">
        <v>33461</v>
      </c>
      <c r="O1726">
        <f>-653.418844790738 -142.996291539037 -506.92439604374</f>
        <v>-1303.3395323735149</v>
      </c>
      <c r="P1726">
        <f>-595.740943801842 -171.930521275431 -232.307102353826</f>
        <v>-999.97856743109901</v>
      </c>
      <c r="Q1726">
        <f>-439.521324401951 -111.947717279387 -393.384617493276</f>
        <v>-944.85365917461399</v>
      </c>
      <c r="R1726" t="s">
        <v>33462</v>
      </c>
      <c r="S1726" t="s">
        <v>33463</v>
      </c>
      <c r="T1726" t="s">
        <v>33464</v>
      </c>
      <c r="U1726" t="s">
        <v>33465</v>
      </c>
      <c r="V1726">
        <f>-574.525133282986 -51.9587292370718 -91.3252267586278</f>
        <v>-717.80908927868552</v>
      </c>
      <c r="W1726" t="s">
        <v>33466</v>
      </c>
      <c r="X1726" t="s">
        <v>33467</v>
      </c>
      <c r="Y1726" t="s">
        <v>33468</v>
      </c>
    </row>
    <row r="1727" spans="1:25" x14ac:dyDescent="0.3">
      <c r="A1727">
        <v>86300</v>
      </c>
      <c r="B1727" t="s">
        <v>33469</v>
      </c>
      <c r="C1727" t="s">
        <v>33470</v>
      </c>
      <c r="D1727" t="s">
        <v>33471</v>
      </c>
      <c r="E1727" t="s">
        <v>33472</v>
      </c>
      <c r="F1727" t="s">
        <v>33473</v>
      </c>
      <c r="G1727" t="s">
        <v>33474</v>
      </c>
      <c r="H1727" t="s">
        <v>33475</v>
      </c>
      <c r="I1727" t="s">
        <v>33476</v>
      </c>
      <c r="J1727" t="s">
        <v>33477</v>
      </c>
      <c r="K1727" t="s">
        <v>33478</v>
      </c>
      <c r="L1727" t="s">
        <v>33479</v>
      </c>
      <c r="M1727" t="s">
        <v>33480</v>
      </c>
      <c r="N1727" t="s">
        <v>33481</v>
      </c>
      <c r="O1727">
        <f>-652.690245444006 -142.96341748667 -507.062697761003</f>
        <v>-1302.716360691679</v>
      </c>
      <c r="P1727">
        <f>-594.706993811094 -172.297325277352 -232.552125640077</f>
        <v>-999.55644472852305</v>
      </c>
      <c r="Q1727">
        <f>-437.833414265116 -113.288828361588 -393.353921356436</f>
        <v>-944.47616398314005</v>
      </c>
      <c r="R1727" t="s">
        <v>33482</v>
      </c>
      <c r="S1727" t="s">
        <v>33483</v>
      </c>
      <c r="T1727" t="s">
        <v>33484</v>
      </c>
      <c r="U1727" t="s">
        <v>33485</v>
      </c>
      <c r="V1727">
        <f>-573.700269087359 -52.1010852100214 -91.2434825483286</f>
        <v>-717.04483684570903</v>
      </c>
      <c r="W1727" t="s">
        <v>33486</v>
      </c>
      <c r="X1727" t="s">
        <v>33487</v>
      </c>
      <c r="Y1727" t="s">
        <v>33488</v>
      </c>
    </row>
    <row r="1728" spans="1:25" x14ac:dyDescent="0.3">
      <c r="A1728">
        <v>86350</v>
      </c>
      <c r="B1728" t="s">
        <v>33489</v>
      </c>
      <c r="C1728" t="s">
        <v>33490</v>
      </c>
      <c r="D1728" t="s">
        <v>33491</v>
      </c>
      <c r="E1728" t="s">
        <v>33492</v>
      </c>
      <c r="F1728" t="s">
        <v>33493</v>
      </c>
      <c r="G1728" t="s">
        <v>33494</v>
      </c>
      <c r="H1728" t="s">
        <v>33495</v>
      </c>
      <c r="I1728" t="s">
        <v>33496</v>
      </c>
      <c r="J1728" t="s">
        <v>33497</v>
      </c>
      <c r="K1728" t="s">
        <v>33498</v>
      </c>
      <c r="L1728" t="s">
        <v>33499</v>
      </c>
      <c r="M1728" t="s">
        <v>33500</v>
      </c>
      <c r="N1728" t="s">
        <v>33501</v>
      </c>
      <c r="O1728">
        <f>-652.293442744856 -143.035582940877 -507.144566754328</f>
        <v>-1302.4735924400611</v>
      </c>
      <c r="P1728">
        <f>-594.249769403571 -172.497498109248 -232.660471735974</f>
        <v>-999.40773924879295</v>
      </c>
      <c r="Q1728">
        <f>-437.044574104091 -113.972159926221 -393.314831661714</f>
        <v>-944.33156569202606</v>
      </c>
      <c r="R1728" t="s">
        <v>33502</v>
      </c>
      <c r="S1728" t="s">
        <v>33503</v>
      </c>
      <c r="T1728" t="s">
        <v>33504</v>
      </c>
      <c r="U1728" t="s">
        <v>33505</v>
      </c>
      <c r="V1728">
        <f>-573.389335141067 -52.3425513398795 -91.2242607606049</f>
        <v>-716.95614724155143</v>
      </c>
      <c r="W1728" t="s">
        <v>33506</v>
      </c>
      <c r="X1728" t="s">
        <v>33507</v>
      </c>
      <c r="Y1728" t="s">
        <v>33508</v>
      </c>
    </row>
    <row r="1729" spans="1:25" x14ac:dyDescent="0.3">
      <c r="A1729">
        <v>86400</v>
      </c>
      <c r="B1729" t="s">
        <v>33509</v>
      </c>
      <c r="C1729" t="s">
        <v>33510</v>
      </c>
      <c r="D1729" t="s">
        <v>33511</v>
      </c>
      <c r="E1729" t="s">
        <v>33512</v>
      </c>
      <c r="F1729" t="s">
        <v>33513</v>
      </c>
      <c r="G1729" t="s">
        <v>33514</v>
      </c>
      <c r="H1729" t="s">
        <v>33515</v>
      </c>
      <c r="I1729" t="s">
        <v>33516</v>
      </c>
      <c r="J1729" t="s">
        <v>33517</v>
      </c>
      <c r="K1729" t="s">
        <v>33518</v>
      </c>
      <c r="L1729" t="s">
        <v>33519</v>
      </c>
      <c r="M1729" t="s">
        <v>33520</v>
      </c>
      <c r="N1729" t="s">
        <v>33521</v>
      </c>
      <c r="O1729">
        <f>-651.481295928553 -143.178070816393 -507.233367479179</f>
        <v>-1301.892734224125</v>
      </c>
      <c r="P1729">
        <f>-593.333628462498 -172.679730672415 -232.775516981409</f>
        <v>-998.78887611632194</v>
      </c>
      <c r="Q1729">
        <f>-435.905307330667 -114.781472512275 -393.438492983294</f>
        <v>-944.12527282623591</v>
      </c>
      <c r="R1729" t="s">
        <v>33522</v>
      </c>
      <c r="S1729" t="s">
        <v>33523</v>
      </c>
      <c r="T1729" t="s">
        <v>33524</v>
      </c>
      <c r="U1729" t="s">
        <v>33525</v>
      </c>
      <c r="V1729">
        <f>-572.748741890825 -52.6512794726245 -91.1551083946299</f>
        <v>-716.55512975807949</v>
      </c>
      <c r="W1729" t="s">
        <v>33526</v>
      </c>
      <c r="X1729" t="s">
        <v>33527</v>
      </c>
      <c r="Y1729" t="s">
        <v>33528</v>
      </c>
    </row>
    <row r="1730" spans="1:25" x14ac:dyDescent="0.3">
      <c r="A1730">
        <v>86450</v>
      </c>
      <c r="B1730" t="s">
        <v>33529</v>
      </c>
      <c r="C1730" t="s">
        <v>33530</v>
      </c>
      <c r="D1730" t="s">
        <v>33531</v>
      </c>
      <c r="E1730" t="s">
        <v>33532</v>
      </c>
      <c r="F1730" t="s">
        <v>33533</v>
      </c>
      <c r="G1730" t="s">
        <v>33534</v>
      </c>
      <c r="H1730" t="s">
        <v>33535</v>
      </c>
      <c r="I1730" t="s">
        <v>33536</v>
      </c>
      <c r="J1730" t="s">
        <v>33537</v>
      </c>
      <c r="K1730" t="s">
        <v>33538</v>
      </c>
      <c r="L1730" t="s">
        <v>33539</v>
      </c>
      <c r="M1730" t="s">
        <v>33540</v>
      </c>
      <c r="N1730" t="s">
        <v>33541</v>
      </c>
      <c r="O1730">
        <f>-651.022909404394 -143.183329098964 -507.27821320846</f>
        <v>-1301.4844517118181</v>
      </c>
      <c r="P1730">
        <f>-592.913466513904 -172.727579494043 -232.816765508739</f>
        <v>-998.45781151668598</v>
      </c>
      <c r="Q1730">
        <f>-435.492697350671 -114.820889394659 -393.48444853356</f>
        <v>-943.79803527888998</v>
      </c>
      <c r="R1730" t="s">
        <v>33542</v>
      </c>
      <c r="S1730" t="s">
        <v>33543</v>
      </c>
      <c r="T1730" t="s">
        <v>33544</v>
      </c>
      <c r="U1730" t="s">
        <v>33545</v>
      </c>
      <c r="V1730">
        <f>-572.449305491687 -52.6507526777982 -91.1187278300947</f>
        <v>-716.21878599957995</v>
      </c>
      <c r="W1730" t="s">
        <v>33546</v>
      </c>
      <c r="X1730" t="s">
        <v>33547</v>
      </c>
      <c r="Y1730" t="s">
        <v>33548</v>
      </c>
    </row>
    <row r="1731" spans="1:25" x14ac:dyDescent="0.3">
      <c r="A1731">
        <v>86500</v>
      </c>
      <c r="B1731" t="s">
        <v>33549</v>
      </c>
      <c r="C1731" t="s">
        <v>33550</v>
      </c>
      <c r="D1731" t="s">
        <v>33551</v>
      </c>
      <c r="E1731" t="s">
        <v>33552</v>
      </c>
      <c r="F1731" t="s">
        <v>33553</v>
      </c>
      <c r="G1731" t="s">
        <v>33554</v>
      </c>
      <c r="H1731" t="s">
        <v>33555</v>
      </c>
      <c r="I1731" t="s">
        <v>33556</v>
      </c>
      <c r="J1731" t="s">
        <v>33557</v>
      </c>
      <c r="K1731" t="s">
        <v>33558</v>
      </c>
      <c r="L1731" t="s">
        <v>33559</v>
      </c>
      <c r="M1731" t="s">
        <v>33560</v>
      </c>
      <c r="N1731" t="s">
        <v>33561</v>
      </c>
      <c r="O1731">
        <f>-650.114604769343 -143.257671157005 -507.359941580697</f>
        <v>-1300.7322175070451</v>
      </c>
      <c r="P1731">
        <f>-592.193446672185 -172.95146479236 -232.874946317185</f>
        <v>-998.01985778173002</v>
      </c>
      <c r="Q1731">
        <f>-434.947208012827 -114.461484254736 -393.502019937276</f>
        <v>-942.910712204839</v>
      </c>
      <c r="R1731" t="s">
        <v>33562</v>
      </c>
      <c r="S1731" t="s">
        <v>33563</v>
      </c>
      <c r="T1731" t="s">
        <v>33564</v>
      </c>
      <c r="U1731" t="s">
        <v>33565</v>
      </c>
      <c r="V1731">
        <f>-572.057300693838 -52.772945532367 -91.0941320970104</f>
        <v>-715.92437832321536</v>
      </c>
      <c r="W1731" t="s">
        <v>33566</v>
      </c>
      <c r="X1731" t="s">
        <v>33567</v>
      </c>
      <c r="Y1731" t="s">
        <v>33568</v>
      </c>
    </row>
    <row r="1732" spans="1:25" x14ac:dyDescent="0.3">
      <c r="A1732">
        <v>86550</v>
      </c>
      <c r="B1732" t="s">
        <v>33569</v>
      </c>
      <c r="C1732" t="s">
        <v>33570</v>
      </c>
      <c r="D1732" t="s">
        <v>33571</v>
      </c>
      <c r="E1732" t="s">
        <v>33572</v>
      </c>
      <c r="F1732" t="s">
        <v>33573</v>
      </c>
      <c r="G1732" t="s">
        <v>33574</v>
      </c>
      <c r="H1732" t="s">
        <v>33575</v>
      </c>
      <c r="I1732" t="s">
        <v>33576</v>
      </c>
      <c r="J1732" t="s">
        <v>33577</v>
      </c>
      <c r="K1732" t="s">
        <v>33578</v>
      </c>
      <c r="L1732" t="s">
        <v>33579</v>
      </c>
      <c r="M1732" t="s">
        <v>33580</v>
      </c>
      <c r="N1732" t="s">
        <v>33581</v>
      </c>
      <c r="O1732">
        <f>-649.693891285329 -143.314395321014 -507.366048901906</f>
        <v>-1300.374335508249</v>
      </c>
      <c r="P1732">
        <f>-591.852934147196 -172.886062092248 -232.850931676837</f>
        <v>-997.58992791628111</v>
      </c>
      <c r="Q1732">
        <f>-434.591634678238 -114.202219490567 -393.392727920667</f>
        <v>-942.18658208947204</v>
      </c>
      <c r="R1732" t="s">
        <v>33582</v>
      </c>
      <c r="S1732" t="s">
        <v>33583</v>
      </c>
      <c r="T1732" t="s">
        <v>33584</v>
      </c>
      <c r="U1732" t="s">
        <v>33585</v>
      </c>
      <c r="V1732">
        <f>-571.886691857689 -52.7475989989475 -91.0745655892243</f>
        <v>-715.70885644586087</v>
      </c>
      <c r="W1732" t="s">
        <v>33586</v>
      </c>
      <c r="X1732" t="s">
        <v>33587</v>
      </c>
      <c r="Y1732" t="s">
        <v>33588</v>
      </c>
    </row>
    <row r="1733" spans="1:25" x14ac:dyDescent="0.3">
      <c r="A1733">
        <v>86600</v>
      </c>
      <c r="B1733" t="s">
        <v>33589</v>
      </c>
      <c r="C1733" t="s">
        <v>33590</v>
      </c>
      <c r="D1733" t="s">
        <v>33591</v>
      </c>
      <c r="E1733" t="s">
        <v>33592</v>
      </c>
      <c r="F1733" t="s">
        <v>33593</v>
      </c>
      <c r="G1733" t="s">
        <v>33594</v>
      </c>
      <c r="H1733" t="s">
        <v>33595</v>
      </c>
      <c r="I1733" t="s">
        <v>33596</v>
      </c>
      <c r="J1733" t="s">
        <v>33597</v>
      </c>
      <c r="K1733" t="s">
        <v>33598</v>
      </c>
      <c r="L1733" t="s">
        <v>33599</v>
      </c>
      <c r="M1733" t="s">
        <v>33600</v>
      </c>
      <c r="N1733" t="s">
        <v>33601</v>
      </c>
      <c r="O1733">
        <f>-648.861403272302 -143.307998169041 -507.307079467555</f>
        <v>-1299.4764809088981</v>
      </c>
      <c r="P1733">
        <f>-591.128117575807 -172.605541741176 -232.740032546988</f>
        <v>-996.473691863971</v>
      </c>
      <c r="Q1733">
        <f>-433.663105130772 -113.710099787322 -393.004421105933</f>
        <v>-940.37762602402699</v>
      </c>
      <c r="R1733" t="s">
        <v>33602</v>
      </c>
      <c r="S1733" t="s">
        <v>33603</v>
      </c>
      <c r="T1733" t="s">
        <v>33604</v>
      </c>
      <c r="U1733" t="s">
        <v>33605</v>
      </c>
      <c r="V1733">
        <f>-571.609339501435 -52.5355968305357 -91.0400101294092</f>
        <v>-715.18494646137992</v>
      </c>
      <c r="W1733" t="s">
        <v>33606</v>
      </c>
      <c r="X1733" t="s">
        <v>33607</v>
      </c>
      <c r="Y1733" t="s">
        <v>33608</v>
      </c>
    </row>
    <row r="1734" spans="1:25" x14ac:dyDescent="0.3">
      <c r="A1734">
        <v>86650</v>
      </c>
      <c r="B1734" t="s">
        <v>33609</v>
      </c>
      <c r="C1734" t="s">
        <v>33610</v>
      </c>
      <c r="D1734" t="s">
        <v>33611</v>
      </c>
      <c r="E1734" t="s">
        <v>33612</v>
      </c>
      <c r="F1734" t="s">
        <v>33613</v>
      </c>
      <c r="G1734" t="s">
        <v>33614</v>
      </c>
      <c r="H1734" t="s">
        <v>33615</v>
      </c>
      <c r="I1734" t="s">
        <v>33616</v>
      </c>
      <c r="J1734" t="s">
        <v>33617</v>
      </c>
      <c r="K1734" t="s">
        <v>33618</v>
      </c>
      <c r="L1734" t="s">
        <v>33619</v>
      </c>
      <c r="M1734" t="s">
        <v>33620</v>
      </c>
      <c r="N1734" t="s">
        <v>33621</v>
      </c>
      <c r="O1734">
        <f>-648.430004373998 -143.246715377391 -507.28223024914</f>
        <v>-1298.9589500005291</v>
      </c>
      <c r="P1734">
        <f>-590.788433416403 -172.428232621143 -232.683532670218</f>
        <v>-995.90019870776405</v>
      </c>
      <c r="Q1734">
        <f>-433.06274270476 -113.559489545652 -392.701019573004</f>
        <v>-939.32325182341606</v>
      </c>
      <c r="R1734" t="s">
        <v>33622</v>
      </c>
      <c r="S1734" t="s">
        <v>33623</v>
      </c>
      <c r="T1734" t="s">
        <v>33624</v>
      </c>
      <c r="U1734" t="s">
        <v>33625</v>
      </c>
      <c r="V1734">
        <f>-571.49243622958 -52.346967489902 -91.017543682035</f>
        <v>-714.856947401517</v>
      </c>
      <c r="W1734" t="s">
        <v>33626</v>
      </c>
      <c r="X1734" t="s">
        <v>33627</v>
      </c>
      <c r="Y1734" t="s">
        <v>33628</v>
      </c>
    </row>
    <row r="1735" spans="1:25" x14ac:dyDescent="0.3">
      <c r="A1735">
        <v>86700</v>
      </c>
      <c r="B1735" t="s">
        <v>33629</v>
      </c>
      <c r="C1735" t="s">
        <v>33630</v>
      </c>
      <c r="D1735" t="s">
        <v>33631</v>
      </c>
      <c r="E1735" t="s">
        <v>33632</v>
      </c>
      <c r="F1735" t="s">
        <v>33633</v>
      </c>
      <c r="G1735" t="s">
        <v>33634</v>
      </c>
      <c r="H1735" t="s">
        <v>33635</v>
      </c>
      <c r="I1735" t="s">
        <v>33636</v>
      </c>
      <c r="J1735" t="s">
        <v>33637</v>
      </c>
      <c r="K1735" t="s">
        <v>33638</v>
      </c>
      <c r="L1735" t="s">
        <v>33639</v>
      </c>
      <c r="M1735" t="s">
        <v>33640</v>
      </c>
      <c r="N1735" t="s">
        <v>33641</v>
      </c>
      <c r="O1735">
        <f>-647.879368784132 -143.040976413472 -507.141304435892</f>
        <v>-1298.061649633496</v>
      </c>
      <c r="P1735">
        <f>-590.107139449844 -171.923309204876 -232.53834822367</f>
        <v>-994.56879687839</v>
      </c>
      <c r="Q1735">
        <f>-432.100281646969 -112.934576762849 -392.234179174315</f>
        <v>-937.269037584133</v>
      </c>
      <c r="R1735" t="s">
        <v>33642</v>
      </c>
      <c r="S1735" t="s">
        <v>33643</v>
      </c>
      <c r="T1735" t="s">
        <v>33644</v>
      </c>
      <c r="U1735" t="s">
        <v>33645</v>
      </c>
      <c r="V1735">
        <f>-571.319902048864 -51.8845030456287 -90.9941148142403</f>
        <v>-714.19851990873303</v>
      </c>
      <c r="W1735" t="s">
        <v>33646</v>
      </c>
      <c r="X1735" t="s">
        <v>33647</v>
      </c>
      <c r="Y1735" t="s">
        <v>33648</v>
      </c>
    </row>
    <row r="1736" spans="1:25" x14ac:dyDescent="0.3">
      <c r="A1736">
        <v>86750</v>
      </c>
      <c r="B1736" t="s">
        <v>33649</v>
      </c>
      <c r="C1736" t="s">
        <v>33650</v>
      </c>
      <c r="D1736" t="s">
        <v>33651</v>
      </c>
      <c r="E1736" t="s">
        <v>33652</v>
      </c>
      <c r="F1736" t="s">
        <v>33653</v>
      </c>
      <c r="G1736" t="s">
        <v>33654</v>
      </c>
      <c r="H1736" t="s">
        <v>33655</v>
      </c>
      <c r="I1736" t="s">
        <v>33656</v>
      </c>
      <c r="J1736" t="s">
        <v>33657</v>
      </c>
      <c r="K1736" t="s">
        <v>33658</v>
      </c>
      <c r="L1736" t="s">
        <v>33659</v>
      </c>
      <c r="M1736" t="s">
        <v>33660</v>
      </c>
      <c r="N1736" t="s">
        <v>33661</v>
      </c>
      <c r="O1736">
        <f>-647.649451004587 -142.91934466116 -507.101480269962</f>
        <v>-1297.670275935709</v>
      </c>
      <c r="P1736">
        <f>-589.89903016316 -171.779847711112 -232.491574963354</f>
        <v>-994.17045283762593</v>
      </c>
      <c r="Q1736">
        <f>-431.777846429697 -112.746217967613 -392.057364425637</f>
        <v>-936.58142882294692</v>
      </c>
      <c r="R1736" t="s">
        <v>33662</v>
      </c>
      <c r="S1736" t="s">
        <v>33663</v>
      </c>
      <c r="T1736" t="s">
        <v>33664</v>
      </c>
      <c r="U1736" t="s">
        <v>33665</v>
      </c>
      <c r="V1736">
        <f>-571.314052499808 -51.7126174916841 -90.9965604188635</f>
        <v>-714.02323041035561</v>
      </c>
      <c r="W1736" t="s">
        <v>33666</v>
      </c>
      <c r="X1736" t="s">
        <v>33667</v>
      </c>
      <c r="Y1736" t="s">
        <v>33668</v>
      </c>
    </row>
    <row r="1737" spans="1:25" x14ac:dyDescent="0.3">
      <c r="A1737">
        <v>86800</v>
      </c>
      <c r="B1737" t="s">
        <v>33669</v>
      </c>
      <c r="C1737" t="s">
        <v>33670</v>
      </c>
      <c r="D1737" t="s">
        <v>33671</v>
      </c>
      <c r="E1737" t="s">
        <v>33672</v>
      </c>
      <c r="F1737" t="s">
        <v>33673</v>
      </c>
      <c r="G1737" t="s">
        <v>33674</v>
      </c>
      <c r="H1737" t="s">
        <v>33675</v>
      </c>
      <c r="I1737" t="s">
        <v>33676</v>
      </c>
      <c r="J1737" t="s">
        <v>33677</v>
      </c>
      <c r="K1737" t="s">
        <v>33678</v>
      </c>
      <c r="L1737" t="s">
        <v>33679</v>
      </c>
      <c r="M1737" t="s">
        <v>33680</v>
      </c>
      <c r="N1737" t="s">
        <v>33681</v>
      </c>
      <c r="O1737">
        <f>-647.122928430704 -142.664410454176 -507.057924692756</f>
        <v>-1296.8452635776359</v>
      </c>
      <c r="P1737">
        <f>-589.724113137348 -171.101530192377 -232.330363579947</f>
        <v>-993.15600690967199</v>
      </c>
      <c r="Q1737">
        <f>-431.291076909284 -112.172534490271 -391.625189464042</f>
        <v>-935.08880086359704</v>
      </c>
      <c r="R1737" t="s">
        <v>33682</v>
      </c>
      <c r="S1737" t="s">
        <v>33683</v>
      </c>
      <c r="T1737" t="s">
        <v>33684</v>
      </c>
      <c r="U1737" t="s">
        <v>33685</v>
      </c>
      <c r="V1737">
        <f>-571.455257161186 -51.412798311155 -90.9956467342284</f>
        <v>-713.86370220656943</v>
      </c>
      <c r="W1737" t="s">
        <v>33686</v>
      </c>
      <c r="X1737" t="s">
        <v>33687</v>
      </c>
      <c r="Y1737" t="s">
        <v>33688</v>
      </c>
    </row>
    <row r="1738" spans="1:25" x14ac:dyDescent="0.3">
      <c r="A1738">
        <v>86850</v>
      </c>
      <c r="B1738" t="s">
        <v>33689</v>
      </c>
      <c r="C1738" t="s">
        <v>33690</v>
      </c>
      <c r="D1738" t="s">
        <v>33691</v>
      </c>
      <c r="E1738" t="s">
        <v>33692</v>
      </c>
      <c r="F1738" t="s">
        <v>33693</v>
      </c>
      <c r="G1738" t="s">
        <v>33694</v>
      </c>
      <c r="H1738" t="s">
        <v>33695</v>
      </c>
      <c r="I1738" t="s">
        <v>33696</v>
      </c>
      <c r="J1738" t="s">
        <v>33697</v>
      </c>
      <c r="K1738" t="s">
        <v>33698</v>
      </c>
      <c r="L1738" t="s">
        <v>33699</v>
      </c>
      <c r="M1738" t="s">
        <v>33700</v>
      </c>
      <c r="N1738" t="s">
        <v>33701</v>
      </c>
      <c r="O1738">
        <f>-646.779724469385 -142.564898733348 -507.073934745136</f>
        <v>-1296.418557947869</v>
      </c>
      <c r="P1738">
        <f>-589.727757840393 -170.796979267111 -232.252877260401</f>
        <v>-992.77761436790502</v>
      </c>
      <c r="Q1738">
        <f>-431.276809543197 -111.617281689356 -391.436910947333</f>
        <v>-934.33100217988601</v>
      </c>
      <c r="R1738" t="s">
        <v>33702</v>
      </c>
      <c r="S1738" t="s">
        <v>33703</v>
      </c>
      <c r="T1738" t="s">
        <v>33704</v>
      </c>
      <c r="U1738" t="s">
        <v>33705</v>
      </c>
      <c r="V1738">
        <f>-571.569447217579 -51.2845790556703 -91.0128695770409</f>
        <v>-713.86689585029012</v>
      </c>
      <c r="W1738" t="s">
        <v>33706</v>
      </c>
      <c r="X1738" t="s">
        <v>33707</v>
      </c>
      <c r="Y1738" t="s">
        <v>33708</v>
      </c>
    </row>
    <row r="1739" spans="1:25" x14ac:dyDescent="0.3">
      <c r="A1739">
        <v>86900</v>
      </c>
      <c r="B1739" t="s">
        <v>33709</v>
      </c>
      <c r="C1739" t="s">
        <v>33710</v>
      </c>
      <c r="D1739" t="s">
        <v>33711</v>
      </c>
      <c r="E1739" t="s">
        <v>33712</v>
      </c>
      <c r="F1739" t="s">
        <v>33713</v>
      </c>
      <c r="G1739" t="s">
        <v>33714</v>
      </c>
      <c r="H1739" t="s">
        <v>33715</v>
      </c>
      <c r="I1739" t="s">
        <v>33716</v>
      </c>
      <c r="J1739" t="s">
        <v>33717</v>
      </c>
      <c r="K1739" t="s">
        <v>33718</v>
      </c>
      <c r="L1739" t="s">
        <v>33719</v>
      </c>
      <c r="M1739" t="s">
        <v>33720</v>
      </c>
      <c r="N1739" t="s">
        <v>33721</v>
      </c>
      <c r="O1739">
        <f>-646.317454604546 -142.771575266054 -507.113999104291</f>
        <v>-1296.2030289748909</v>
      </c>
      <c r="P1739">
        <f>-590.736267931354 -171.066037178983 -231.998107362064</f>
        <v>-993.80041247240092</v>
      </c>
      <c r="Q1739">
        <f>-432.663897260058 -110.860542878926 -391.174039040016</f>
        <v>-934.69847917900006</v>
      </c>
      <c r="R1739" t="s">
        <v>33722</v>
      </c>
      <c r="S1739" t="s">
        <v>33723</v>
      </c>
      <c r="T1739" t="s">
        <v>33724</v>
      </c>
      <c r="U1739" t="s">
        <v>33725</v>
      </c>
      <c r="V1739">
        <f>-571.960614645713 -51.4602347175701 -91.0888092964775</f>
        <v>-714.50965865976059</v>
      </c>
      <c r="W1739" t="s">
        <v>33726</v>
      </c>
      <c r="X1739" t="s">
        <v>33727</v>
      </c>
      <c r="Y1739" t="s">
        <v>33728</v>
      </c>
    </row>
    <row r="1740" spans="1:25" x14ac:dyDescent="0.3">
      <c r="A1740">
        <v>86950</v>
      </c>
      <c r="B1740" t="s">
        <v>33729</v>
      </c>
      <c r="C1740" t="s">
        <v>33730</v>
      </c>
      <c r="D1740" t="s">
        <v>33731</v>
      </c>
      <c r="E1740" t="s">
        <v>33732</v>
      </c>
      <c r="F1740" t="s">
        <v>33733</v>
      </c>
      <c r="G1740" t="s">
        <v>33734</v>
      </c>
      <c r="H1740" t="s">
        <v>33735</v>
      </c>
      <c r="I1740" t="s">
        <v>33736</v>
      </c>
      <c r="J1740" t="s">
        <v>33737</v>
      </c>
      <c r="K1740" t="s">
        <v>33738</v>
      </c>
      <c r="L1740" t="s">
        <v>33739</v>
      </c>
      <c r="M1740" t="s">
        <v>33740</v>
      </c>
      <c r="N1740" t="s">
        <v>33741</v>
      </c>
      <c r="O1740">
        <f>-646.24248249036 -142.850009622235 -507.147815154183</f>
        <v>-1296.240307266778</v>
      </c>
      <c r="P1740">
        <f>-591.399445390988 -171.017230553739 -231.870805616841</f>
        <v>-994.28748156156814</v>
      </c>
      <c r="Q1740">
        <f>-433.425646297952 -110.744411192683 -391.118978295143</f>
        <v>-935.28903578577797</v>
      </c>
      <c r="R1740" t="s">
        <v>33742</v>
      </c>
      <c r="S1740" t="s">
        <v>33743</v>
      </c>
      <c r="T1740" t="s">
        <v>33744</v>
      </c>
      <c r="U1740" t="s">
        <v>33745</v>
      </c>
      <c r="V1740">
        <f>-572.199450930412 -51.5238133964788 -91.1241797885544</f>
        <v>-714.84744411544523</v>
      </c>
      <c r="W1740" t="s">
        <v>33746</v>
      </c>
      <c r="X1740" t="s">
        <v>33747</v>
      </c>
      <c r="Y1740" t="s">
        <v>33748</v>
      </c>
    </row>
    <row r="1741" spans="1:25" x14ac:dyDescent="0.3">
      <c r="A1741">
        <v>87000</v>
      </c>
      <c r="B1741" t="s">
        <v>33749</v>
      </c>
      <c r="C1741" t="s">
        <v>33750</v>
      </c>
      <c r="D1741" t="s">
        <v>33751</v>
      </c>
      <c r="E1741" t="s">
        <v>33752</v>
      </c>
      <c r="F1741" t="s">
        <v>33753</v>
      </c>
      <c r="G1741" t="s">
        <v>33754</v>
      </c>
      <c r="H1741" t="s">
        <v>33755</v>
      </c>
      <c r="I1741" t="s">
        <v>33756</v>
      </c>
      <c r="J1741" t="s">
        <v>33757</v>
      </c>
      <c r="K1741" t="s">
        <v>33758</v>
      </c>
      <c r="L1741" t="s">
        <v>33759</v>
      </c>
      <c r="M1741" t="s">
        <v>33760</v>
      </c>
      <c r="N1741" t="s">
        <v>33761</v>
      </c>
      <c r="O1741">
        <f>-646.514329196914 -142.932303171195 -507.159155066418</f>
        <v>-1296.605787434527</v>
      </c>
      <c r="P1741">
        <f>-593.007919264638 -171.300604579852 -231.639929038307</f>
        <v>-995.94845288279703</v>
      </c>
      <c r="Q1741">
        <f>-436.016688890582 -109.776604428676 -391.380734462124</f>
        <v>-937.17402778138194</v>
      </c>
      <c r="R1741" t="s">
        <v>33762</v>
      </c>
      <c r="S1741" t="s">
        <v>33763</v>
      </c>
      <c r="T1741" t="s">
        <v>33764</v>
      </c>
      <c r="U1741" t="s">
        <v>33765</v>
      </c>
      <c r="V1741">
        <f>-572.851014625169 -51.6256520604657 -91.1988706203318</f>
        <v>-715.67553730596649</v>
      </c>
      <c r="W1741" t="s">
        <v>33766</v>
      </c>
      <c r="X1741" t="s">
        <v>33767</v>
      </c>
      <c r="Y1741" t="s">
        <v>33768</v>
      </c>
    </row>
    <row r="1742" spans="1:25" x14ac:dyDescent="0.3">
      <c r="A1742">
        <v>87050</v>
      </c>
      <c r="B1742" t="s">
        <v>33769</v>
      </c>
      <c r="C1742" t="s">
        <v>33770</v>
      </c>
      <c r="D1742" t="s">
        <v>33771</v>
      </c>
      <c r="E1742" t="s">
        <v>33772</v>
      </c>
      <c r="F1742" t="s">
        <v>33773</v>
      </c>
      <c r="G1742" t="s">
        <v>33774</v>
      </c>
      <c r="H1742" t="s">
        <v>33775</v>
      </c>
      <c r="I1742" t="s">
        <v>33776</v>
      </c>
      <c r="J1742" t="s">
        <v>33777</v>
      </c>
      <c r="K1742" t="s">
        <v>33778</v>
      </c>
      <c r="L1742" t="s">
        <v>33779</v>
      </c>
      <c r="M1742" t="s">
        <v>33780</v>
      </c>
      <c r="N1742" t="s">
        <v>33781</v>
      </c>
      <c r="O1742">
        <f>-646.881547040965 -142.896349389856 -507.241647312046</f>
        <v>-1297.019543742867</v>
      </c>
      <c r="P1742">
        <f>-593.805867727753 -171.339323465838 -231.646778426963</f>
        <v>-996.79196962055403</v>
      </c>
      <c r="Q1742">
        <f>-437.13916503779 -109.252531834474 -391.488216682354</f>
        <v>-937.87991355461804</v>
      </c>
      <c r="R1742" t="s">
        <v>33782</v>
      </c>
      <c r="S1742" t="s">
        <v>33783</v>
      </c>
      <c r="T1742" t="s">
        <v>33784</v>
      </c>
      <c r="U1742" t="s">
        <v>33785</v>
      </c>
      <c r="V1742">
        <f>-573.258511254883 -51.6953224779445 -91.2438381776394</f>
        <v>-716.19767191046697</v>
      </c>
      <c r="W1742" t="s">
        <v>33786</v>
      </c>
      <c r="X1742" t="s">
        <v>33787</v>
      </c>
      <c r="Y1742" t="s">
        <v>33788</v>
      </c>
    </row>
    <row r="1743" spans="1:25" x14ac:dyDescent="0.3">
      <c r="A1743">
        <v>87100</v>
      </c>
      <c r="B1743" t="s">
        <v>33789</v>
      </c>
      <c r="C1743" t="s">
        <v>33790</v>
      </c>
      <c r="D1743" t="s">
        <v>33791</v>
      </c>
      <c r="E1743" t="s">
        <v>33792</v>
      </c>
      <c r="F1743" t="s">
        <v>33793</v>
      </c>
      <c r="G1743" t="s">
        <v>33794</v>
      </c>
      <c r="H1743" t="s">
        <v>33795</v>
      </c>
      <c r="I1743" t="s">
        <v>33796</v>
      </c>
      <c r="J1743" t="s">
        <v>33797</v>
      </c>
      <c r="K1743" t="s">
        <v>33798</v>
      </c>
      <c r="L1743" t="s">
        <v>33799</v>
      </c>
      <c r="M1743" t="s">
        <v>33800</v>
      </c>
      <c r="N1743" t="s">
        <v>33801</v>
      </c>
      <c r="O1743">
        <f>-647.891365481671 -142.895425911099 -507.371695405914</f>
        <v>-1298.158486798684</v>
      </c>
      <c r="P1743">
        <f>-595.030410042972 -171.521570216856 -231.754466548879</f>
        <v>-998.30644680870705</v>
      </c>
      <c r="Q1743">
        <f>-438.588224730521 -109.427775683999 -391.813043899523</f>
        <v>-939.82904431404302</v>
      </c>
      <c r="R1743" t="s">
        <v>33802</v>
      </c>
      <c r="S1743" t="s">
        <v>33803</v>
      </c>
      <c r="T1743" t="s">
        <v>33804</v>
      </c>
      <c r="U1743" t="s">
        <v>33805</v>
      </c>
      <c r="V1743">
        <f>-574.07651390455 -51.9827946922783 -91.3455689302447</f>
        <v>-717.40487752707293</v>
      </c>
      <c r="W1743" t="s">
        <v>33806</v>
      </c>
      <c r="X1743" t="s">
        <v>33807</v>
      </c>
      <c r="Y1743" t="s">
        <v>33808</v>
      </c>
    </row>
    <row r="1744" spans="1:25" x14ac:dyDescent="0.3">
      <c r="A1744">
        <v>87150</v>
      </c>
      <c r="B1744" t="s">
        <v>33809</v>
      </c>
      <c r="C1744" t="s">
        <v>33810</v>
      </c>
      <c r="D1744" t="s">
        <v>33811</v>
      </c>
      <c r="E1744" t="s">
        <v>33812</v>
      </c>
      <c r="F1744" t="s">
        <v>33813</v>
      </c>
      <c r="G1744" t="s">
        <v>33814</v>
      </c>
      <c r="H1744" t="s">
        <v>33815</v>
      </c>
      <c r="I1744" t="s">
        <v>33816</v>
      </c>
      <c r="J1744" t="s">
        <v>33817</v>
      </c>
      <c r="K1744" t="s">
        <v>33818</v>
      </c>
      <c r="L1744" t="s">
        <v>33819</v>
      </c>
      <c r="M1744" t="s">
        <v>33820</v>
      </c>
      <c r="N1744" t="s">
        <v>33821</v>
      </c>
      <c r="O1744">
        <f>-648.371832928993 -142.886228622325 -507.45971828101</f>
        <v>-1298.717779832328</v>
      </c>
      <c r="P1744">
        <f>-595.498252548962 -171.867024735084 -231.881923389972</f>
        <v>-999.24720067401802</v>
      </c>
      <c r="Q1744">
        <f>-439.182735698084 -109.59564314612 -391.995269262756</f>
        <v>-940.77364810695997</v>
      </c>
      <c r="R1744" t="s">
        <v>33822</v>
      </c>
      <c r="S1744" t="s">
        <v>33823</v>
      </c>
      <c r="T1744" t="s">
        <v>33824</v>
      </c>
      <c r="U1744" t="s">
        <v>33825</v>
      </c>
      <c r="V1744">
        <f>-574.441632267048 -52.0687355259811 -91.3889931975502</f>
        <v>-717.89936099057934</v>
      </c>
      <c r="W1744" t="s">
        <v>33826</v>
      </c>
      <c r="X1744" t="s">
        <v>33827</v>
      </c>
      <c r="Y1744" t="s">
        <v>33828</v>
      </c>
    </row>
    <row r="1745" spans="1:25" x14ac:dyDescent="0.3">
      <c r="A1745">
        <v>87200</v>
      </c>
      <c r="B1745" t="s">
        <v>33829</v>
      </c>
      <c r="C1745" t="s">
        <v>33830</v>
      </c>
      <c r="D1745" t="s">
        <v>33831</v>
      </c>
      <c r="E1745" t="s">
        <v>33832</v>
      </c>
      <c r="F1745" t="s">
        <v>33833</v>
      </c>
      <c r="G1745" t="s">
        <v>33834</v>
      </c>
      <c r="H1745" t="s">
        <v>33835</v>
      </c>
      <c r="I1745" t="s">
        <v>33836</v>
      </c>
      <c r="J1745" t="s">
        <v>33837</v>
      </c>
      <c r="K1745" t="s">
        <v>33838</v>
      </c>
      <c r="L1745" t="s">
        <v>33839</v>
      </c>
      <c r="M1745" t="s">
        <v>33840</v>
      </c>
      <c r="N1745" t="s">
        <v>33841</v>
      </c>
      <c r="O1745">
        <f>-649.493394401356 -142.73009774558 -507.637790127971</f>
        <v>-1299.8612822749069</v>
      </c>
      <c r="P1745">
        <f>-596.226716073559 -171.870077255903 -232.152561680014</f>
        <v>-1000.2493550094759</v>
      </c>
      <c r="Q1745">
        <f>-439.737726588525 -109.865991118878 -392.20019910613</f>
        <v>-941.80391681353308</v>
      </c>
      <c r="R1745" t="s">
        <v>33842</v>
      </c>
      <c r="S1745" t="s">
        <v>33843</v>
      </c>
      <c r="T1745" t="s">
        <v>33844</v>
      </c>
      <c r="U1745" t="s">
        <v>33845</v>
      </c>
      <c r="V1745">
        <f>-574.954240794436 -52.1876995825974 -91.4582858152667</f>
        <v>-718.60022619230006</v>
      </c>
      <c r="W1745" t="s">
        <v>33846</v>
      </c>
      <c r="X1745" t="s">
        <v>33847</v>
      </c>
      <c r="Y1745" t="s">
        <v>33848</v>
      </c>
    </row>
    <row r="1746" spans="1:25" x14ac:dyDescent="0.3">
      <c r="A1746">
        <v>87250</v>
      </c>
      <c r="B1746" t="s">
        <v>33849</v>
      </c>
      <c r="C1746" t="s">
        <v>33850</v>
      </c>
      <c r="D1746" t="s">
        <v>33851</v>
      </c>
      <c r="E1746" t="s">
        <v>33852</v>
      </c>
      <c r="F1746" t="s">
        <v>33853</v>
      </c>
      <c r="G1746" t="s">
        <v>33854</v>
      </c>
      <c r="H1746" t="s">
        <v>33855</v>
      </c>
      <c r="I1746" t="s">
        <v>33856</v>
      </c>
      <c r="J1746" t="s">
        <v>33857</v>
      </c>
      <c r="K1746" t="s">
        <v>33858</v>
      </c>
      <c r="L1746" t="s">
        <v>33859</v>
      </c>
      <c r="M1746" t="s">
        <v>33860</v>
      </c>
      <c r="N1746" t="s">
        <v>33861</v>
      </c>
      <c r="O1746">
        <f>-649.957538423391 -142.667586182803 -507.705692294384</f>
        <v>-1300.3308169005782</v>
      </c>
      <c r="P1746">
        <f>-596.603909770051 -172.103975412489 -232.26880398966</f>
        <v>-1000.9766891722001</v>
      </c>
      <c r="Q1746">
        <f>-440.126649418954 -110.068387341824 -392.315700972015</f>
        <v>-942.51073773279313</v>
      </c>
      <c r="R1746" t="s">
        <v>33862</v>
      </c>
      <c r="S1746" t="s">
        <v>33863</v>
      </c>
      <c r="T1746" t="s">
        <v>33864</v>
      </c>
      <c r="U1746" t="s">
        <v>33865</v>
      </c>
      <c r="V1746">
        <f>-575.138881224039 -52.2465668839272 -91.4842411215569</f>
        <v>-718.86968922952315</v>
      </c>
      <c r="W1746" t="s">
        <v>33866</v>
      </c>
      <c r="X1746" t="s">
        <v>33867</v>
      </c>
      <c r="Y1746" t="s">
        <v>33868</v>
      </c>
    </row>
    <row r="1747" spans="1:25" x14ac:dyDescent="0.3">
      <c r="A1747">
        <v>87300</v>
      </c>
      <c r="B1747" t="s">
        <v>33869</v>
      </c>
      <c r="C1747" t="s">
        <v>33870</v>
      </c>
      <c r="D1747" t="s">
        <v>33871</v>
      </c>
      <c r="E1747" t="s">
        <v>33872</v>
      </c>
      <c r="F1747" t="s">
        <v>33873</v>
      </c>
      <c r="G1747" t="s">
        <v>33874</v>
      </c>
      <c r="H1747" t="s">
        <v>33875</v>
      </c>
      <c r="I1747" t="s">
        <v>33876</v>
      </c>
      <c r="J1747" t="s">
        <v>33877</v>
      </c>
      <c r="K1747" t="s">
        <v>33878</v>
      </c>
      <c r="L1747" t="s">
        <v>33879</v>
      </c>
      <c r="M1747" t="s">
        <v>33880</v>
      </c>
      <c r="N1747" t="s">
        <v>33881</v>
      </c>
      <c r="O1747">
        <f>-650.805867758225 -142.367540046263 -507.886683801885</f>
        <v>-1301.0600916063729</v>
      </c>
      <c r="P1747">
        <f>-597.361478435695 -171.880887687786 -232.475646588214</f>
        <v>-1001.7180127116949</v>
      </c>
      <c r="Q1747">
        <f>-440.651041357926 -110.443940510555 -392.525240785673</f>
        <v>-943.62022265415408</v>
      </c>
      <c r="R1747" t="s">
        <v>33882</v>
      </c>
      <c r="S1747" t="s">
        <v>33883</v>
      </c>
      <c r="T1747" t="s">
        <v>33884</v>
      </c>
      <c r="U1747" t="s">
        <v>33885</v>
      </c>
      <c r="V1747">
        <f>-575.357773858317 -52.1315937730899 -91.5183750074541</f>
        <v>-719.00774263886103</v>
      </c>
      <c r="W1747" t="s">
        <v>33886</v>
      </c>
      <c r="X1747" t="s">
        <v>33887</v>
      </c>
      <c r="Y1747" t="s">
        <v>33888</v>
      </c>
    </row>
    <row r="1748" spans="1:25" x14ac:dyDescent="0.3">
      <c r="A1748">
        <v>87350</v>
      </c>
      <c r="B1748" t="s">
        <v>33889</v>
      </c>
      <c r="C1748" t="s">
        <v>33890</v>
      </c>
      <c r="D1748" t="s">
        <v>33891</v>
      </c>
      <c r="E1748" t="s">
        <v>33892</v>
      </c>
      <c r="F1748" t="s">
        <v>33893</v>
      </c>
      <c r="G1748" t="s">
        <v>33894</v>
      </c>
      <c r="H1748" t="s">
        <v>33895</v>
      </c>
      <c r="I1748" t="s">
        <v>33896</v>
      </c>
      <c r="J1748" t="s">
        <v>33897</v>
      </c>
      <c r="K1748" t="s">
        <v>33898</v>
      </c>
      <c r="L1748" t="s">
        <v>33899</v>
      </c>
      <c r="M1748" t="s">
        <v>33900</v>
      </c>
      <c r="N1748" t="s">
        <v>33901</v>
      </c>
      <c r="O1748">
        <f>-651.122102167111 -142.309423764928 -507.953904483672</f>
        <v>-1301.385430415711</v>
      </c>
      <c r="P1748">
        <f>-597.72795781115 -171.972952228958 -232.549296913726</f>
        <v>-1002.250206953834</v>
      </c>
      <c r="Q1748">
        <f>-440.838545738149 -110.76312862641 -392.510408107608</f>
        <v>-944.112082472167</v>
      </c>
      <c r="R1748" t="s">
        <v>33902</v>
      </c>
      <c r="S1748" t="s">
        <v>33903</v>
      </c>
      <c r="T1748" t="s">
        <v>33904</v>
      </c>
      <c r="U1748" t="s">
        <v>33905</v>
      </c>
      <c r="V1748">
        <f>-575.422781613483 -52.0821278979336 -91.5226870175126</f>
        <v>-719.02759652892917</v>
      </c>
      <c r="W1748" t="s">
        <v>33906</v>
      </c>
      <c r="X1748" t="s">
        <v>33907</v>
      </c>
      <c r="Y1748" t="s">
        <v>33908</v>
      </c>
    </row>
    <row r="1749" spans="1:25" x14ac:dyDescent="0.3">
      <c r="A1749">
        <v>87400</v>
      </c>
      <c r="B1749" t="s">
        <v>33909</v>
      </c>
      <c r="C1749" t="s">
        <v>33910</v>
      </c>
      <c r="D1749" t="s">
        <v>33911</v>
      </c>
      <c r="E1749" t="s">
        <v>33912</v>
      </c>
      <c r="F1749" t="s">
        <v>33913</v>
      </c>
      <c r="G1749" t="s">
        <v>33914</v>
      </c>
      <c r="H1749" t="s">
        <v>33915</v>
      </c>
      <c r="I1749" t="s">
        <v>33916</v>
      </c>
      <c r="J1749" t="s">
        <v>33917</v>
      </c>
      <c r="K1749" t="s">
        <v>33918</v>
      </c>
      <c r="L1749" t="s">
        <v>33919</v>
      </c>
      <c r="M1749" t="s">
        <v>33920</v>
      </c>
      <c r="N1749" t="s">
        <v>33921</v>
      </c>
      <c r="O1749">
        <f>-651.616662216527 -142.107555699875 -508.033309425189</f>
        <v>-1301.757527341591</v>
      </c>
      <c r="P1749">
        <f>-598.318717553494 -171.891235943059 -232.622895954358</f>
        <v>-1002.832849450911</v>
      </c>
      <c r="Q1749">
        <f>-441.326434235594 -110.812774990521 -392.533445329164</f>
        <v>-944.672654555279</v>
      </c>
      <c r="R1749" t="s">
        <v>33922</v>
      </c>
      <c r="S1749" t="s">
        <v>33923</v>
      </c>
      <c r="T1749" t="s">
        <v>33924</v>
      </c>
      <c r="U1749" t="s">
        <v>33925</v>
      </c>
      <c r="V1749">
        <f>-575.475281082725 -51.8521277881061 -91.5208470325667</f>
        <v>-718.8482559033979</v>
      </c>
      <c r="W1749" t="s">
        <v>33926</v>
      </c>
      <c r="X1749" t="s">
        <v>33927</v>
      </c>
      <c r="Y1749" t="s">
        <v>33928</v>
      </c>
    </row>
    <row r="1750" spans="1:25" x14ac:dyDescent="0.3">
      <c r="A1750">
        <v>87450</v>
      </c>
      <c r="B1750" t="s">
        <v>33929</v>
      </c>
      <c r="C1750" t="s">
        <v>33930</v>
      </c>
      <c r="D1750" t="s">
        <v>33931</v>
      </c>
      <c r="E1750" t="s">
        <v>33932</v>
      </c>
      <c r="F1750" t="s">
        <v>33933</v>
      </c>
      <c r="G1750" t="s">
        <v>33934</v>
      </c>
      <c r="H1750" t="s">
        <v>33935</v>
      </c>
      <c r="I1750" t="s">
        <v>33936</v>
      </c>
      <c r="J1750" t="s">
        <v>33937</v>
      </c>
      <c r="K1750" t="s">
        <v>33938</v>
      </c>
      <c r="L1750" t="s">
        <v>33939</v>
      </c>
      <c r="M1750" t="s">
        <v>33940</v>
      </c>
      <c r="N1750" t="s">
        <v>33941</v>
      </c>
      <c r="O1750">
        <f>-651.613525749311 -142.082183659262 -508.079123256235</f>
        <v>-1301.7748326648079</v>
      </c>
      <c r="P1750">
        <f>-598.37525545484 -171.792568321803 -232.649231479921</f>
        <v>-1002.817055256564</v>
      </c>
      <c r="Q1750">
        <f>-441.279321848764 -110.692090411497 -392.44957857034</f>
        <v>-944.420990830601</v>
      </c>
      <c r="R1750" t="s">
        <v>33942</v>
      </c>
      <c r="S1750" t="s">
        <v>33943</v>
      </c>
      <c r="T1750" t="s">
        <v>33944</v>
      </c>
      <c r="U1750" t="s">
        <v>33945</v>
      </c>
      <c r="V1750">
        <f>-575.473446457966 -51.748475624408 -91.5200815349294</f>
        <v>-718.74200361730345</v>
      </c>
      <c r="W1750" t="s">
        <v>33946</v>
      </c>
      <c r="X1750" t="s">
        <v>33947</v>
      </c>
      <c r="Y1750" t="s">
        <v>33948</v>
      </c>
    </row>
    <row r="1751" spans="1:25" x14ac:dyDescent="0.3">
      <c r="A1751">
        <v>87500</v>
      </c>
      <c r="B1751" t="s">
        <v>33949</v>
      </c>
      <c r="C1751" t="s">
        <v>33950</v>
      </c>
      <c r="D1751" t="s">
        <v>33951</v>
      </c>
      <c r="E1751" t="s">
        <v>33952</v>
      </c>
      <c r="F1751" t="s">
        <v>33953</v>
      </c>
      <c r="G1751" t="s">
        <v>33954</v>
      </c>
      <c r="H1751" t="s">
        <v>33955</v>
      </c>
      <c r="I1751" t="s">
        <v>33956</v>
      </c>
      <c r="J1751" t="s">
        <v>33957</v>
      </c>
      <c r="K1751" t="s">
        <v>33958</v>
      </c>
      <c r="L1751" t="s">
        <v>33959</v>
      </c>
      <c r="M1751" t="s">
        <v>33960</v>
      </c>
      <c r="N1751" t="s">
        <v>33961</v>
      </c>
      <c r="O1751">
        <f>-651.382314563479 -142.161553446824 -508.139879734429</f>
        <v>-1301.683747744732</v>
      </c>
      <c r="P1751">
        <f>-598.427563500856 -171.961953064508 -232.665139079529</f>
        <v>-1003.0546556448929</v>
      </c>
      <c r="Q1751">
        <f>-440.956897764975 -110.406192292514 -391.92094140288</f>
        <v>-943.28403146036896</v>
      </c>
      <c r="R1751" t="s">
        <v>33962</v>
      </c>
      <c r="S1751" t="s">
        <v>33963</v>
      </c>
      <c r="T1751" t="s">
        <v>33964</v>
      </c>
      <c r="U1751" t="s">
        <v>33965</v>
      </c>
      <c r="V1751">
        <f>-575.54594574513 -51.6975495081995 -91.5093224091922</f>
        <v>-718.75281766252169</v>
      </c>
      <c r="W1751" t="s">
        <v>33966</v>
      </c>
      <c r="X1751" t="s">
        <v>33967</v>
      </c>
      <c r="Y1751" t="s">
        <v>33968</v>
      </c>
    </row>
    <row r="1752" spans="1:25" x14ac:dyDescent="0.3">
      <c r="A1752">
        <v>87550</v>
      </c>
      <c r="B1752" t="s">
        <v>33969</v>
      </c>
      <c r="C1752" t="s">
        <v>33970</v>
      </c>
      <c r="D1752" t="s">
        <v>33971</v>
      </c>
      <c r="E1752" t="s">
        <v>33972</v>
      </c>
      <c r="F1752" t="s">
        <v>33973</v>
      </c>
      <c r="G1752" t="s">
        <v>33974</v>
      </c>
      <c r="H1752" t="s">
        <v>33975</v>
      </c>
      <c r="I1752" t="s">
        <v>33976</v>
      </c>
      <c r="J1752" t="s">
        <v>33977</v>
      </c>
      <c r="K1752" t="s">
        <v>33978</v>
      </c>
      <c r="L1752" t="s">
        <v>33979</v>
      </c>
      <c r="M1752" t="s">
        <v>33980</v>
      </c>
      <c r="N1752" t="s">
        <v>33981</v>
      </c>
      <c r="O1752">
        <f>-651.240993282242 -142.178303552763 -508.162247392323</f>
        <v>-1301.5815442273281</v>
      </c>
      <c r="P1752">
        <f>-598.510455282262 -171.983530815511 -232.644977056047</f>
        <v>-1003.13896315382</v>
      </c>
      <c r="Q1752">
        <f>-440.795526959792 -110.139530438819 -391.547119621484</f>
        <v>-942.48217702009492</v>
      </c>
      <c r="R1752" t="s">
        <v>33982</v>
      </c>
      <c r="S1752" t="s">
        <v>33983</v>
      </c>
      <c r="T1752" t="s">
        <v>33984</v>
      </c>
      <c r="U1752" t="s">
        <v>33985</v>
      </c>
      <c r="V1752">
        <f>-575.524312095724 -51.7229435066884 -91.4957130386196</f>
        <v>-718.74296864103189</v>
      </c>
      <c r="W1752" t="s">
        <v>33986</v>
      </c>
      <c r="X1752" t="s">
        <v>33987</v>
      </c>
      <c r="Y1752" t="s">
        <v>33988</v>
      </c>
    </row>
    <row r="1753" spans="1:25" x14ac:dyDescent="0.3">
      <c r="A1753">
        <v>87600</v>
      </c>
      <c r="B1753" t="s">
        <v>33989</v>
      </c>
      <c r="C1753" t="s">
        <v>33990</v>
      </c>
      <c r="D1753" t="s">
        <v>33991</v>
      </c>
      <c r="E1753" t="s">
        <v>33992</v>
      </c>
      <c r="F1753" t="s">
        <v>33993</v>
      </c>
      <c r="G1753" t="s">
        <v>33994</v>
      </c>
      <c r="H1753" t="s">
        <v>33995</v>
      </c>
      <c r="I1753" t="s">
        <v>33996</v>
      </c>
      <c r="J1753" t="s">
        <v>33997</v>
      </c>
      <c r="K1753" t="s">
        <v>33998</v>
      </c>
      <c r="L1753" t="s">
        <v>33999</v>
      </c>
      <c r="M1753" t="s">
        <v>34000</v>
      </c>
      <c r="N1753" t="s">
        <v>34001</v>
      </c>
      <c r="O1753">
        <f>-650.777994701035 -142.156173128549 -508.141945071213</f>
        <v>-1301.0761129007969</v>
      </c>
      <c r="P1753">
        <f>-598.397360792939 -171.758947134469 -232.536262259953</f>
        <v>-1002.6925701873611</v>
      </c>
      <c r="Q1753">
        <f>-440.169875082792 -109.515041289827 -390.771110992837</f>
        <v>-940.45602736545607</v>
      </c>
      <c r="R1753" t="s">
        <v>34002</v>
      </c>
      <c r="S1753" t="s">
        <v>34003</v>
      </c>
      <c r="T1753" t="s">
        <v>34004</v>
      </c>
      <c r="U1753" t="s">
        <v>34005</v>
      </c>
      <c r="V1753">
        <f>-575.288284915641 -51.7695019771488 -91.4471092096785</f>
        <v>-718.50489610246836</v>
      </c>
      <c r="W1753" t="s">
        <v>34006</v>
      </c>
      <c r="X1753" t="s">
        <v>34007</v>
      </c>
      <c r="Y1753" t="s">
        <v>34008</v>
      </c>
    </row>
    <row r="1754" spans="1:25" x14ac:dyDescent="0.3">
      <c r="A1754">
        <v>87650</v>
      </c>
      <c r="B1754" t="s">
        <v>34009</v>
      </c>
      <c r="C1754" t="s">
        <v>34010</v>
      </c>
      <c r="D1754" t="s">
        <v>34011</v>
      </c>
      <c r="E1754" t="s">
        <v>34012</v>
      </c>
      <c r="F1754" t="s">
        <v>34013</v>
      </c>
      <c r="G1754" t="s">
        <v>34014</v>
      </c>
      <c r="H1754" t="s">
        <v>34015</v>
      </c>
      <c r="I1754" t="s">
        <v>34016</v>
      </c>
      <c r="J1754" t="s">
        <v>34017</v>
      </c>
      <c r="K1754" t="s">
        <v>34018</v>
      </c>
      <c r="L1754" t="s">
        <v>34019</v>
      </c>
      <c r="M1754" t="s">
        <v>34020</v>
      </c>
      <c r="N1754" t="s">
        <v>34021</v>
      </c>
      <c r="O1754">
        <f>-650.309148466202 -142.141155073012 -508.155761996347</f>
        <v>-1300.6060655355609</v>
      </c>
      <c r="P1754">
        <f>-598.181490701009 -171.738151700971 -232.501549552586</f>
        <v>-1002.421191954566</v>
      </c>
      <c r="Q1754">
        <f>-439.557259378078 -109.255616100784 -390.244392345158</f>
        <v>-939.05726782402007</v>
      </c>
      <c r="R1754" t="s">
        <v>34022</v>
      </c>
      <c r="S1754" t="s">
        <v>34023</v>
      </c>
      <c r="T1754" t="s">
        <v>34024</v>
      </c>
      <c r="U1754" t="s">
        <v>34025</v>
      </c>
      <c r="V1754">
        <f>-575.093454718155 -51.7203521391848 -91.4163854880571</f>
        <v>-718.23019234539697</v>
      </c>
      <c r="W1754" t="s">
        <v>34026</v>
      </c>
      <c r="X1754" t="s">
        <v>34027</v>
      </c>
      <c r="Y1754" t="s">
        <v>34028</v>
      </c>
    </row>
    <row r="1755" spans="1:25" x14ac:dyDescent="0.3">
      <c r="A1755">
        <v>87700</v>
      </c>
      <c r="B1755" t="s">
        <v>34029</v>
      </c>
      <c r="C1755" t="s">
        <v>34030</v>
      </c>
      <c r="D1755" t="s">
        <v>34031</v>
      </c>
      <c r="E1755" t="s">
        <v>34032</v>
      </c>
      <c r="F1755" t="s">
        <v>34033</v>
      </c>
      <c r="G1755" t="s">
        <v>34034</v>
      </c>
      <c r="H1755" t="s">
        <v>34035</v>
      </c>
      <c r="I1755" t="s">
        <v>34036</v>
      </c>
      <c r="J1755" t="s">
        <v>34037</v>
      </c>
      <c r="K1755" t="s">
        <v>34038</v>
      </c>
      <c r="L1755" t="s">
        <v>34039</v>
      </c>
      <c r="M1755" t="s">
        <v>34040</v>
      </c>
      <c r="N1755" t="s">
        <v>34041</v>
      </c>
      <c r="O1755">
        <f>-649.482957639826 -142.245848712041 -508.125994196295</f>
        <v>-1299.8548005481621</v>
      </c>
      <c r="P1755">
        <f>-597.623862102251 -171.860221309235 -232.422997547464</f>
        <v>-1001.9070809589499</v>
      </c>
      <c r="Q1755">
        <f>-438.288165619651 -108.763439868902 -389.201366664614</f>
        <v>-936.25297215316709</v>
      </c>
      <c r="R1755" t="s">
        <v>34042</v>
      </c>
      <c r="S1755" t="s">
        <v>34043</v>
      </c>
      <c r="T1755" t="s">
        <v>34044</v>
      </c>
      <c r="U1755" t="s">
        <v>34045</v>
      </c>
      <c r="V1755">
        <f>-574.59994901155 -51.6029370220956 -91.3486479088624</f>
        <v>-717.55153394250806</v>
      </c>
      <c r="W1755" t="s">
        <v>34046</v>
      </c>
      <c r="X1755" t="s">
        <v>34047</v>
      </c>
      <c r="Y1755" t="s">
        <v>34048</v>
      </c>
    </row>
    <row r="1756" spans="1:25" x14ac:dyDescent="0.3">
      <c r="A1756">
        <v>87750</v>
      </c>
      <c r="B1756" t="s">
        <v>34049</v>
      </c>
      <c r="C1756" t="s">
        <v>34050</v>
      </c>
      <c r="D1756" t="s">
        <v>34051</v>
      </c>
      <c r="E1756" t="s">
        <v>34052</v>
      </c>
      <c r="F1756" t="s">
        <v>34053</v>
      </c>
      <c r="G1756" t="s">
        <v>34054</v>
      </c>
      <c r="H1756" t="s">
        <v>34055</v>
      </c>
      <c r="I1756" t="s">
        <v>34056</v>
      </c>
      <c r="J1756" t="s">
        <v>34057</v>
      </c>
      <c r="K1756" t="s">
        <v>34058</v>
      </c>
      <c r="L1756" t="s">
        <v>34059</v>
      </c>
      <c r="M1756" t="s">
        <v>34060</v>
      </c>
      <c r="N1756" t="s">
        <v>34061</v>
      </c>
      <c r="O1756">
        <f>-649.09052629387 -142.347327067877 -508.0806595328</f>
        <v>-1299.518512894547</v>
      </c>
      <c r="P1756">
        <f>-597.330684816658 -172.040936085141 -232.367373119069</f>
        <v>-1001.7389940208679</v>
      </c>
      <c r="Q1756">
        <f>-437.697353291245 -108.701212326858 -388.744580079725</f>
        <v>-935.143145697828</v>
      </c>
      <c r="R1756" t="s">
        <v>34062</v>
      </c>
      <c r="S1756" t="s">
        <v>34063</v>
      </c>
      <c r="T1756" t="s">
        <v>34064</v>
      </c>
      <c r="U1756" t="s">
        <v>34065</v>
      </c>
      <c r="V1756">
        <f>-574.367819244569 -51.6934781299854 -91.3235758661609</f>
        <v>-717.38487324071525</v>
      </c>
      <c r="W1756" t="s">
        <v>34066</v>
      </c>
      <c r="X1756" t="s">
        <v>34067</v>
      </c>
      <c r="Y1756" t="s">
        <v>34068</v>
      </c>
    </row>
    <row r="1757" spans="1:25" x14ac:dyDescent="0.3">
      <c r="A1757">
        <v>87800</v>
      </c>
      <c r="B1757" t="s">
        <v>34069</v>
      </c>
      <c r="C1757" t="s">
        <v>34070</v>
      </c>
      <c r="D1757" t="s">
        <v>34071</v>
      </c>
      <c r="E1757" t="s">
        <v>34072</v>
      </c>
      <c r="F1757" t="s">
        <v>34073</v>
      </c>
      <c r="G1757" t="s">
        <v>34074</v>
      </c>
      <c r="H1757" t="s">
        <v>34075</v>
      </c>
      <c r="I1757" t="s">
        <v>34076</v>
      </c>
      <c r="J1757" t="s">
        <v>34077</v>
      </c>
      <c r="K1757" t="s">
        <v>34078</v>
      </c>
      <c r="L1757" t="s">
        <v>34079</v>
      </c>
      <c r="M1757" t="s">
        <v>34080</v>
      </c>
      <c r="N1757" t="s">
        <v>34081</v>
      </c>
      <c r="O1757">
        <f>-648.530951541158 -142.625629531467 -507.94472401381</f>
        <v>-1299.1013050864349</v>
      </c>
      <c r="P1757">
        <f>-596.674812137407 -171.913421925684 -232.206100120716</f>
        <v>-1000.794334183807</v>
      </c>
      <c r="Q1757">
        <f>-436.842832700916 -108.584532377721 -388.384597316438</f>
        <v>-933.81196239507494</v>
      </c>
      <c r="R1757" t="s">
        <v>34082</v>
      </c>
      <c r="S1757" t="s">
        <v>34083</v>
      </c>
      <c r="T1757" t="s">
        <v>34084</v>
      </c>
      <c r="U1757" t="s">
        <v>34085</v>
      </c>
      <c r="V1757">
        <f>-574.069915474588 -51.8247271711623 -91.2848411676973</f>
        <v>-717.17948381344763</v>
      </c>
      <c r="W1757" t="s">
        <v>34086</v>
      </c>
      <c r="X1757" t="s">
        <v>34087</v>
      </c>
      <c r="Y1757" t="s">
        <v>34088</v>
      </c>
    </row>
    <row r="1758" spans="1:25" x14ac:dyDescent="0.3">
      <c r="A1758">
        <v>87850</v>
      </c>
      <c r="B1758" t="s">
        <v>34089</v>
      </c>
      <c r="C1758" t="s">
        <v>34090</v>
      </c>
      <c r="D1758" t="s">
        <v>34091</v>
      </c>
      <c r="E1758" t="s">
        <v>34092</v>
      </c>
      <c r="F1758" t="s">
        <v>34093</v>
      </c>
      <c r="G1758" t="s">
        <v>34094</v>
      </c>
      <c r="H1758" t="s">
        <v>34095</v>
      </c>
      <c r="I1758" t="s">
        <v>34096</v>
      </c>
      <c r="J1758" t="s">
        <v>34097</v>
      </c>
      <c r="K1758" t="s">
        <v>34098</v>
      </c>
      <c r="L1758" t="s">
        <v>34099</v>
      </c>
      <c r="M1758" t="s">
        <v>34100</v>
      </c>
      <c r="N1758" t="s">
        <v>34101</v>
      </c>
      <c r="O1758">
        <f>-648.368434691429 -142.787931729864 -507.87863005741</f>
        <v>-1299.0349964787031</v>
      </c>
      <c r="P1758">
        <f>-596.445067938087 -171.997275408678 -232.144392541782</f>
        <v>-1000.5867358885471</v>
      </c>
      <c r="Q1758">
        <f>-436.442622340807 -108.769823417203 -388.189404853905</f>
        <v>-933.40185061191505</v>
      </c>
      <c r="R1758" t="s">
        <v>34102</v>
      </c>
      <c r="S1758" t="s">
        <v>34103</v>
      </c>
      <c r="T1758" t="s">
        <v>34104</v>
      </c>
      <c r="U1758" t="s">
        <v>34105</v>
      </c>
      <c r="V1758">
        <f>-574.039380400465 -51.9792279341477 -91.283052793192</f>
        <v>-717.30166112780478</v>
      </c>
      <c r="W1758" t="s">
        <v>34106</v>
      </c>
      <c r="X1758" t="s">
        <v>34107</v>
      </c>
      <c r="Y1758" t="s">
        <v>34108</v>
      </c>
    </row>
    <row r="1759" spans="1:25" x14ac:dyDescent="0.3">
      <c r="A1759">
        <v>87900</v>
      </c>
      <c r="B1759" t="s">
        <v>34109</v>
      </c>
      <c r="C1759" t="s">
        <v>34110</v>
      </c>
      <c r="D1759" t="s">
        <v>34111</v>
      </c>
      <c r="E1759" t="s">
        <v>34112</v>
      </c>
      <c r="F1759" t="s">
        <v>34113</v>
      </c>
      <c r="G1759" t="s">
        <v>34114</v>
      </c>
      <c r="H1759" t="s">
        <v>34115</v>
      </c>
      <c r="I1759" t="s">
        <v>34116</v>
      </c>
      <c r="J1759" t="s">
        <v>34117</v>
      </c>
      <c r="K1759" t="s">
        <v>34118</v>
      </c>
      <c r="L1759" t="s">
        <v>34119</v>
      </c>
      <c r="M1759" t="s">
        <v>34120</v>
      </c>
      <c r="N1759" t="s">
        <v>34121</v>
      </c>
      <c r="O1759">
        <f>-648.087323347987 -143.018182995863 -507.819175459276</f>
        <v>-1298.9246818031258</v>
      </c>
      <c r="P1759">
        <f>-596.178207183344 -172.246087726398 -232.084109057724</f>
        <v>-1000.5084039674659</v>
      </c>
      <c r="Q1759">
        <f>-435.509543097458 -109.332187293262 -387.57037258136</f>
        <v>-932.41210297207999</v>
      </c>
      <c r="R1759" t="s">
        <v>34122</v>
      </c>
      <c r="S1759" t="s">
        <v>34123</v>
      </c>
      <c r="T1759" t="s">
        <v>34124</v>
      </c>
      <c r="U1759" t="s">
        <v>34125</v>
      </c>
      <c r="V1759">
        <f>-574.043135844736 -52.1518690095568 -91.2845717149195</f>
        <v>-717.47957656921221</v>
      </c>
      <c r="W1759" t="s">
        <v>34126</v>
      </c>
      <c r="X1759" t="s">
        <v>34127</v>
      </c>
      <c r="Y1759" t="s">
        <v>34128</v>
      </c>
    </row>
    <row r="1760" spans="1:25" x14ac:dyDescent="0.3">
      <c r="A1760">
        <v>87950</v>
      </c>
      <c r="B1760" t="s">
        <v>34129</v>
      </c>
      <c r="C1760" t="s">
        <v>34130</v>
      </c>
      <c r="D1760" t="s">
        <v>34131</v>
      </c>
      <c r="E1760" t="s">
        <v>34132</v>
      </c>
      <c r="F1760" t="s">
        <v>34133</v>
      </c>
      <c r="G1760" t="s">
        <v>34134</v>
      </c>
      <c r="H1760" t="s">
        <v>34135</v>
      </c>
      <c r="I1760" t="s">
        <v>34136</v>
      </c>
      <c r="J1760" t="s">
        <v>34137</v>
      </c>
      <c r="K1760" t="s">
        <v>34138</v>
      </c>
      <c r="L1760" t="s">
        <v>34139</v>
      </c>
      <c r="M1760" t="s">
        <v>34140</v>
      </c>
      <c r="N1760" t="s">
        <v>34141</v>
      </c>
      <c r="O1760">
        <f>-647.957354216407 -143.080639739282 -507.802032304689</f>
        <v>-1298.840026260378</v>
      </c>
      <c r="P1760">
        <f>-596.283437026875 -172.404923125065 -232.033180232486</f>
        <v>-1000.721540384426</v>
      </c>
      <c r="Q1760">
        <f>-435.388430202131 -109.422505443035 -387.257294491901</f>
        <v>-932.06823013706708</v>
      </c>
      <c r="R1760" t="s">
        <v>34142</v>
      </c>
      <c r="S1760" t="s">
        <v>34143</v>
      </c>
      <c r="T1760" t="s">
        <v>34144</v>
      </c>
      <c r="U1760" t="s">
        <v>34145</v>
      </c>
      <c r="V1760">
        <f>-574.044706048025 -52.1461492598835 -91.2908877189349</f>
        <v>-717.48174302684333</v>
      </c>
      <c r="W1760" t="s">
        <v>34146</v>
      </c>
      <c r="X1760" t="s">
        <v>34147</v>
      </c>
      <c r="Y1760" t="s">
        <v>34148</v>
      </c>
    </row>
    <row r="1761" spans="1:25" x14ac:dyDescent="0.3">
      <c r="A1761">
        <v>88000</v>
      </c>
      <c r="B1761" t="s">
        <v>34149</v>
      </c>
      <c r="C1761" t="s">
        <v>34150</v>
      </c>
      <c r="D1761" t="s">
        <v>34151</v>
      </c>
      <c r="E1761" t="s">
        <v>34152</v>
      </c>
      <c r="F1761" t="s">
        <v>34153</v>
      </c>
      <c r="G1761" t="s">
        <v>34154</v>
      </c>
      <c r="H1761" t="s">
        <v>34155</v>
      </c>
      <c r="I1761" t="s">
        <v>34156</v>
      </c>
      <c r="J1761" t="s">
        <v>34157</v>
      </c>
      <c r="K1761" t="s">
        <v>34158</v>
      </c>
      <c r="L1761" t="s">
        <v>34159</v>
      </c>
      <c r="M1761" t="s">
        <v>34160</v>
      </c>
      <c r="N1761" t="s">
        <v>34161</v>
      </c>
      <c r="O1761">
        <f>-647.810624878394 -143.010854907138 -507.813139333518</f>
        <v>-1298.6346191190501</v>
      </c>
      <c r="P1761">
        <f>-596.668978930064 -172.190156587838 -231.929650063969</f>
        <v>-1000.788785581871</v>
      </c>
      <c r="Q1761">
        <f>-435.543160288555 -109.15019326533 -386.890892472867</f>
        <v>-931.584246026752</v>
      </c>
      <c r="R1761" t="s">
        <v>34162</v>
      </c>
      <c r="S1761" t="s">
        <v>34163</v>
      </c>
      <c r="T1761" t="s">
        <v>34164</v>
      </c>
      <c r="U1761" t="s">
        <v>34165</v>
      </c>
      <c r="V1761">
        <f>-574.059946400533 -52.038447213017 -91.3222468152999</f>
        <v>-717.42064042884988</v>
      </c>
      <c r="W1761" t="s">
        <v>34166</v>
      </c>
      <c r="X1761" t="s">
        <v>34167</v>
      </c>
      <c r="Y1761" t="s">
        <v>34168</v>
      </c>
    </row>
    <row r="1762" spans="1:25" x14ac:dyDescent="0.3">
      <c r="A1762">
        <v>88050</v>
      </c>
      <c r="B1762" t="s">
        <v>34169</v>
      </c>
      <c r="C1762" t="s">
        <v>34170</v>
      </c>
      <c r="D1762" t="s">
        <v>34171</v>
      </c>
      <c r="E1762" t="s">
        <v>34172</v>
      </c>
      <c r="F1762" t="s">
        <v>34173</v>
      </c>
      <c r="G1762" t="s">
        <v>34174</v>
      </c>
      <c r="H1762" t="s">
        <v>34175</v>
      </c>
      <c r="I1762" t="s">
        <v>34176</v>
      </c>
      <c r="J1762" t="s">
        <v>34177</v>
      </c>
      <c r="K1762" t="s">
        <v>34178</v>
      </c>
      <c r="L1762" t="s">
        <v>34179</v>
      </c>
      <c r="M1762" t="s">
        <v>34180</v>
      </c>
      <c r="N1762" t="s">
        <v>34181</v>
      </c>
      <c r="O1762">
        <f>-647.957531784219 -143.002809053792 -507.755175836287</f>
        <v>-1298.715516674298</v>
      </c>
      <c r="P1762">
        <f>-596.75770857817 -171.982561068491 -231.86136332827</f>
        <v>-1000.6016329749309</v>
      </c>
      <c r="Q1762">
        <f>-435.599799976685 -108.910987909292 -386.776481510239</f>
        <v>-931.28726939621606</v>
      </c>
      <c r="R1762" t="s">
        <v>34182</v>
      </c>
      <c r="S1762" t="s">
        <v>34183</v>
      </c>
      <c r="T1762" t="s">
        <v>34184</v>
      </c>
      <c r="U1762" t="s">
        <v>34185</v>
      </c>
      <c r="V1762">
        <f>-574.145301259735 -52.0083691358359 -91.3389977474465</f>
        <v>-717.49266814301734</v>
      </c>
      <c r="W1762" t="s">
        <v>34186</v>
      </c>
      <c r="X1762" t="s">
        <v>34187</v>
      </c>
      <c r="Y1762" t="s">
        <v>34188</v>
      </c>
    </row>
    <row r="1763" spans="1:25" x14ac:dyDescent="0.3">
      <c r="A1763">
        <v>88100</v>
      </c>
      <c r="B1763" t="s">
        <v>34189</v>
      </c>
      <c r="C1763" t="s">
        <v>34190</v>
      </c>
      <c r="D1763" t="s">
        <v>34191</v>
      </c>
      <c r="E1763" t="s">
        <v>34192</v>
      </c>
      <c r="F1763" t="s">
        <v>34193</v>
      </c>
      <c r="G1763" t="s">
        <v>34194</v>
      </c>
      <c r="H1763" t="s">
        <v>34195</v>
      </c>
      <c r="I1763" t="s">
        <v>34196</v>
      </c>
      <c r="J1763" t="s">
        <v>34197</v>
      </c>
      <c r="K1763" t="s">
        <v>34198</v>
      </c>
      <c r="L1763" t="s">
        <v>34199</v>
      </c>
      <c r="M1763" t="s">
        <v>34200</v>
      </c>
      <c r="N1763" t="s">
        <v>34201</v>
      </c>
      <c r="O1763">
        <f>-648.11913864685 -142.942426865178 -507.708483911173</f>
        <v>-1298.770049423201</v>
      </c>
      <c r="P1763">
        <f>-596.985415632179 -172.037537117455 -231.814799339551</f>
        <v>-1000.837752089185</v>
      </c>
      <c r="Q1763">
        <f>-435.753113115777 -108.754146896412 -386.565901241369</f>
        <v>-931.07316125355806</v>
      </c>
      <c r="R1763" t="s">
        <v>34202</v>
      </c>
      <c r="S1763" t="s">
        <v>34203</v>
      </c>
      <c r="T1763" t="s">
        <v>34204</v>
      </c>
      <c r="U1763" t="s">
        <v>34205</v>
      </c>
      <c r="V1763">
        <f>-574.36515186316 -51.8896368265771 -91.3720292088418</f>
        <v>-717.62681789857891</v>
      </c>
      <c r="W1763" t="s">
        <v>34206</v>
      </c>
      <c r="X1763" t="s">
        <v>34207</v>
      </c>
      <c r="Y1763" t="s">
        <v>34208</v>
      </c>
    </row>
    <row r="1764" spans="1:25" x14ac:dyDescent="0.3">
      <c r="A1764">
        <v>88150</v>
      </c>
      <c r="B1764" t="s">
        <v>34209</v>
      </c>
      <c r="C1764" t="s">
        <v>34210</v>
      </c>
      <c r="D1764" t="s">
        <v>34211</v>
      </c>
      <c r="E1764" t="s">
        <v>34212</v>
      </c>
      <c r="F1764" t="s">
        <v>34213</v>
      </c>
      <c r="G1764" t="s">
        <v>34214</v>
      </c>
      <c r="H1764" t="s">
        <v>34215</v>
      </c>
      <c r="I1764" t="s">
        <v>34216</v>
      </c>
      <c r="J1764" t="s">
        <v>34217</v>
      </c>
      <c r="K1764" t="s">
        <v>34218</v>
      </c>
      <c r="L1764" t="s">
        <v>34219</v>
      </c>
      <c r="M1764" t="s">
        <v>34220</v>
      </c>
      <c r="N1764" t="s">
        <v>34221</v>
      </c>
      <c r="O1764">
        <f>-648.277265650835 -142.910175493275 -507.683219454278</f>
        <v>-1298.870660598388</v>
      </c>
      <c r="P1764">
        <f>-597.136313986599 -171.816649012994 -231.770933725706</f>
        <v>-1000.7238967252989</v>
      </c>
      <c r="Q1764">
        <f>-435.857276059831 -108.726248506192 -386.552190649265</f>
        <v>-931.13571521528797</v>
      </c>
      <c r="R1764" t="s">
        <v>34222</v>
      </c>
      <c r="S1764" t="s">
        <v>34223</v>
      </c>
      <c r="T1764" t="s">
        <v>34224</v>
      </c>
      <c r="U1764" t="s">
        <v>34225</v>
      </c>
      <c r="V1764">
        <f>-574.506904559732 -51.8162551196183 -91.3873778732794</f>
        <v>-717.71053755262972</v>
      </c>
      <c r="W1764" t="s">
        <v>34226</v>
      </c>
      <c r="X1764" t="s">
        <v>34227</v>
      </c>
      <c r="Y1764" t="s">
        <v>34228</v>
      </c>
    </row>
    <row r="1765" spans="1:25" x14ac:dyDescent="0.3">
      <c r="A1765">
        <v>88200</v>
      </c>
      <c r="B1765" t="s">
        <v>34229</v>
      </c>
      <c r="C1765" t="s">
        <v>34230</v>
      </c>
      <c r="D1765" t="s">
        <v>34231</v>
      </c>
      <c r="E1765" t="s">
        <v>34232</v>
      </c>
      <c r="F1765" t="s">
        <v>34233</v>
      </c>
      <c r="G1765" t="s">
        <v>34234</v>
      </c>
      <c r="H1765" t="s">
        <v>34235</v>
      </c>
      <c r="I1765" t="s">
        <v>34236</v>
      </c>
      <c r="J1765" t="s">
        <v>34237</v>
      </c>
      <c r="K1765" t="s">
        <v>34238</v>
      </c>
      <c r="L1765" t="s">
        <v>34239</v>
      </c>
      <c r="M1765" t="s">
        <v>34240</v>
      </c>
      <c r="N1765" t="s">
        <v>34241</v>
      </c>
      <c r="O1765">
        <f>-648.717927720787 -142.855130942838 -507.605264642479</f>
        <v>-1299.1783233061042</v>
      </c>
      <c r="P1765">
        <f>-597.643286287207 -171.449504726323 -231.648186637822</f>
        <v>-1000.7409776513521</v>
      </c>
      <c r="Q1765">
        <f>-436.111563569195 -108.933696406784 -386.398954431728</f>
        <v>-931.44421440770702</v>
      </c>
      <c r="R1765" t="s">
        <v>34242</v>
      </c>
      <c r="S1765" t="s">
        <v>34243</v>
      </c>
      <c r="T1765" t="s">
        <v>34244</v>
      </c>
      <c r="U1765" t="s">
        <v>34245</v>
      </c>
      <c r="V1765">
        <f>-574.74167160509 -51.7044335159387 -91.4161150674836</f>
        <v>-717.86222018851231</v>
      </c>
      <c r="W1765" t="s">
        <v>34246</v>
      </c>
      <c r="X1765" t="s">
        <v>34247</v>
      </c>
      <c r="Y1765" t="s">
        <v>34248</v>
      </c>
    </row>
    <row r="1766" spans="1:25" x14ac:dyDescent="0.3">
      <c r="A1766">
        <v>88250</v>
      </c>
      <c r="B1766" t="s">
        <v>34249</v>
      </c>
      <c r="C1766" t="s">
        <v>34250</v>
      </c>
      <c r="D1766" t="s">
        <v>34251</v>
      </c>
      <c r="E1766" t="s">
        <v>34252</v>
      </c>
      <c r="F1766" t="s">
        <v>34253</v>
      </c>
      <c r="G1766" t="s">
        <v>34254</v>
      </c>
      <c r="H1766" t="s">
        <v>34255</v>
      </c>
      <c r="I1766" t="s">
        <v>34256</v>
      </c>
      <c r="J1766" t="s">
        <v>34257</v>
      </c>
      <c r="K1766" t="s">
        <v>34258</v>
      </c>
      <c r="L1766" t="s">
        <v>34259</v>
      </c>
      <c r="M1766" t="s">
        <v>34260</v>
      </c>
      <c r="N1766" t="s">
        <v>34261</v>
      </c>
      <c r="O1766">
        <f>-648.849503959815 -142.878358633168 -507.595212757182</f>
        <v>-1299.323075350165</v>
      </c>
      <c r="P1766">
        <f>-597.896670655262 -171.508470766429 -231.619321732964</f>
        <v>-1001.024463154655</v>
      </c>
      <c r="Q1766">
        <f>-436.223607369567 -109.034410323897 -386.239365521613</f>
        <v>-931.49738321507698</v>
      </c>
      <c r="R1766" t="s">
        <v>34262</v>
      </c>
      <c r="S1766" t="s">
        <v>34263</v>
      </c>
      <c r="T1766" t="s">
        <v>34264</v>
      </c>
      <c r="U1766" t="s">
        <v>34265</v>
      </c>
      <c r="V1766">
        <f>-574.904754389331 -51.6366046580129 -91.4315602977899</f>
        <v>-717.97291934513373</v>
      </c>
      <c r="W1766" t="s">
        <v>34266</v>
      </c>
      <c r="X1766" t="s">
        <v>34267</v>
      </c>
      <c r="Y1766" t="s">
        <v>34268</v>
      </c>
    </row>
    <row r="1767" spans="1:25" x14ac:dyDescent="0.3">
      <c r="A1767">
        <v>88300</v>
      </c>
      <c r="B1767" t="s">
        <v>34269</v>
      </c>
      <c r="C1767" t="s">
        <v>34270</v>
      </c>
      <c r="D1767" t="s">
        <v>34271</v>
      </c>
      <c r="E1767" t="s">
        <v>34272</v>
      </c>
      <c r="F1767" t="s">
        <v>34273</v>
      </c>
      <c r="G1767" t="s">
        <v>34274</v>
      </c>
      <c r="H1767" t="s">
        <v>34275</v>
      </c>
      <c r="I1767" t="s">
        <v>34276</v>
      </c>
      <c r="J1767" t="s">
        <v>34277</v>
      </c>
      <c r="K1767" t="s">
        <v>34278</v>
      </c>
      <c r="L1767" t="s">
        <v>34279</v>
      </c>
      <c r="M1767" t="s">
        <v>34280</v>
      </c>
      <c r="N1767" t="s">
        <v>34281</v>
      </c>
      <c r="O1767">
        <f>-649.257396530609 -143.011348837544 -507.450034084879</f>
        <v>-1299.7187794530319</v>
      </c>
      <c r="P1767">
        <f>-598.483403223061 -171.386575077153 -231.414736231577</f>
        <v>-1001.284714531791</v>
      </c>
      <c r="Q1767">
        <f>-436.701565329357 -108.743443096573 -385.852472219175</f>
        <v>-931.297480645105</v>
      </c>
      <c r="R1767" t="s">
        <v>34282</v>
      </c>
      <c r="S1767" t="s">
        <v>34283</v>
      </c>
      <c r="T1767" t="s">
        <v>34284</v>
      </c>
      <c r="U1767" t="s">
        <v>34285</v>
      </c>
      <c r="V1767">
        <f>-575.306464954191 -51.6176528543147 -91.4716237194392</f>
        <v>-718.39574152794489</v>
      </c>
      <c r="W1767" t="s">
        <v>34286</v>
      </c>
      <c r="X1767" t="s">
        <v>34287</v>
      </c>
      <c r="Y1767" t="s">
        <v>34288</v>
      </c>
    </row>
    <row r="1768" spans="1:25" x14ac:dyDescent="0.3">
      <c r="A1768">
        <v>88350</v>
      </c>
      <c r="B1768" t="s">
        <v>34289</v>
      </c>
      <c r="C1768" t="s">
        <v>34290</v>
      </c>
      <c r="D1768" t="s">
        <v>34291</v>
      </c>
      <c r="E1768" t="s">
        <v>34292</v>
      </c>
      <c r="F1768" t="s">
        <v>34293</v>
      </c>
      <c r="G1768" t="s">
        <v>34294</v>
      </c>
      <c r="H1768" t="s">
        <v>34295</v>
      </c>
      <c r="I1768" t="s">
        <v>34296</v>
      </c>
      <c r="J1768" t="s">
        <v>34297</v>
      </c>
      <c r="K1768" t="s">
        <v>34298</v>
      </c>
      <c r="L1768" t="s">
        <v>34299</v>
      </c>
      <c r="M1768" t="s">
        <v>34300</v>
      </c>
      <c r="N1768" t="s">
        <v>34301</v>
      </c>
      <c r="O1768">
        <f>-649.578016186133 -143.080649864782 -507.314591346411</f>
        <v>-1299.9732573973261</v>
      </c>
      <c r="P1768">
        <f>-598.935591743449 -171.363296712242 -231.245677841425</f>
        <v>-1001.544566297116</v>
      </c>
      <c r="Q1768">
        <f>-437.166196798239 -108.52314847749 -385.616312664839</f>
        <v>-931.30565794056793</v>
      </c>
      <c r="R1768" t="s">
        <v>34302</v>
      </c>
      <c r="S1768" t="s">
        <v>34303</v>
      </c>
      <c r="T1768" t="s">
        <v>34304</v>
      </c>
      <c r="U1768" t="s">
        <v>34305</v>
      </c>
      <c r="V1768">
        <f>-575.482525033354 -51.5784996076184 -91.4916579704691</f>
        <v>-718.55268261144147</v>
      </c>
      <c r="W1768" t="s">
        <v>34306</v>
      </c>
      <c r="X1768" t="s">
        <v>34307</v>
      </c>
      <c r="Y1768" t="s">
        <v>34308</v>
      </c>
    </row>
    <row r="1769" spans="1:25" x14ac:dyDescent="0.3">
      <c r="A1769">
        <v>88400</v>
      </c>
      <c r="B1769" t="s">
        <v>34309</v>
      </c>
      <c r="C1769" t="s">
        <v>34310</v>
      </c>
      <c r="D1769" t="s">
        <v>34311</v>
      </c>
      <c r="E1769" t="s">
        <v>34312</v>
      </c>
      <c r="F1769" t="s">
        <v>34313</v>
      </c>
      <c r="G1769" t="s">
        <v>34314</v>
      </c>
      <c r="H1769" t="s">
        <v>34315</v>
      </c>
      <c r="I1769" t="s">
        <v>34316</v>
      </c>
      <c r="J1769" t="s">
        <v>34317</v>
      </c>
      <c r="K1769" t="s">
        <v>34318</v>
      </c>
      <c r="L1769" t="s">
        <v>34319</v>
      </c>
      <c r="M1769" t="s">
        <v>34320</v>
      </c>
      <c r="N1769" t="s">
        <v>34321</v>
      </c>
      <c r="O1769">
        <f>-650.270356610733 -143.072943146717 -507.166451337088</f>
        <v>-1300.5097510945379</v>
      </c>
      <c r="P1769">
        <f>-599.870207040388 -171.052153777131 -231.022437912694</f>
        <v>-1001.9447987302131</v>
      </c>
      <c r="Q1769">
        <f>-437.888850439374 -108.104334942574 -385.126733896814</f>
        <v>-931.11991927876204</v>
      </c>
      <c r="R1769" t="s">
        <v>34322</v>
      </c>
      <c r="S1769" t="s">
        <v>34323</v>
      </c>
      <c r="T1769" t="s">
        <v>34324</v>
      </c>
      <c r="U1769" t="s">
        <v>34325</v>
      </c>
      <c r="V1769">
        <f>-575.87303490473 -51.4244569481791 -91.5141511161488</f>
        <v>-718.81164296905797</v>
      </c>
      <c r="W1769" t="s">
        <v>34326</v>
      </c>
      <c r="X1769" t="s">
        <v>34327</v>
      </c>
      <c r="Y1769" t="s">
        <v>34328</v>
      </c>
    </row>
    <row r="1770" spans="1:25" x14ac:dyDescent="0.3">
      <c r="A1770">
        <v>88450</v>
      </c>
      <c r="B1770" t="s">
        <v>34329</v>
      </c>
      <c r="C1770" t="s">
        <v>34330</v>
      </c>
      <c r="D1770" t="s">
        <v>34331</v>
      </c>
      <c r="E1770" t="s">
        <v>34332</v>
      </c>
      <c r="F1770" t="s">
        <v>34333</v>
      </c>
      <c r="G1770" t="s">
        <v>34334</v>
      </c>
      <c r="H1770" t="s">
        <v>34335</v>
      </c>
      <c r="I1770" t="s">
        <v>34336</v>
      </c>
      <c r="J1770" t="s">
        <v>34337</v>
      </c>
      <c r="K1770" t="s">
        <v>34338</v>
      </c>
      <c r="L1770" t="s">
        <v>34339</v>
      </c>
      <c r="M1770" t="s">
        <v>34340</v>
      </c>
      <c r="N1770" t="s">
        <v>34341</v>
      </c>
      <c r="O1770">
        <f>-650.495071522679 -143.023419538952 -507.143558127636</f>
        <v>-1300.662049189267</v>
      </c>
      <c r="P1770">
        <f>-600.092697733794 -170.936719091449 -230.993167501223</f>
        <v>-1002.0225843264661</v>
      </c>
      <c r="Q1770">
        <f>-437.971751618078 -108.024862278538 -384.965353365539</f>
        <v>-930.96196726215499</v>
      </c>
      <c r="R1770" t="s">
        <v>34342</v>
      </c>
      <c r="S1770" t="s">
        <v>34343</v>
      </c>
      <c r="T1770" t="s">
        <v>34344</v>
      </c>
      <c r="U1770" t="s">
        <v>34345</v>
      </c>
      <c r="V1770">
        <f>-576.054618713808 -51.3267520819763 -91.5268690473995</f>
        <v>-718.90823984318388</v>
      </c>
      <c r="W1770" t="s">
        <v>34346</v>
      </c>
      <c r="X1770" t="s">
        <v>34347</v>
      </c>
      <c r="Y1770" t="s">
        <v>34348</v>
      </c>
    </row>
    <row r="1771" spans="1:25" x14ac:dyDescent="0.3">
      <c r="A1771">
        <v>88500</v>
      </c>
      <c r="B1771" t="s">
        <v>34349</v>
      </c>
      <c r="C1771" t="s">
        <v>34350</v>
      </c>
      <c r="D1771" t="s">
        <v>34351</v>
      </c>
      <c r="E1771" t="s">
        <v>34352</v>
      </c>
      <c r="F1771" t="s">
        <v>34353</v>
      </c>
      <c r="G1771" t="s">
        <v>34354</v>
      </c>
      <c r="H1771" t="s">
        <v>34355</v>
      </c>
      <c r="I1771" t="s">
        <v>34356</v>
      </c>
      <c r="J1771" t="s">
        <v>34357</v>
      </c>
      <c r="K1771" t="s">
        <v>34358</v>
      </c>
      <c r="L1771" t="s">
        <v>34359</v>
      </c>
      <c r="M1771" t="s">
        <v>34360</v>
      </c>
      <c r="N1771" t="s">
        <v>34361</v>
      </c>
      <c r="O1771">
        <f>-650.898189389889 -143.080034997198 -507.028390256682</f>
        <v>-1301.0066146437689</v>
      </c>
      <c r="P1771">
        <f>-600.278341698954 -171.151252017904 -230.93379276729</f>
        <v>-1002.363386484148</v>
      </c>
      <c r="Q1771">
        <f>-438.192137480962 -108.043623900114 -384.862504126715</f>
        <v>-931.09826550779098</v>
      </c>
      <c r="R1771" t="s">
        <v>34362</v>
      </c>
      <c r="S1771" t="s">
        <v>34363</v>
      </c>
      <c r="T1771" t="s">
        <v>34364</v>
      </c>
      <c r="U1771" t="s">
        <v>34365</v>
      </c>
      <c r="V1771">
        <f>-576.314987167638 -51.1568972257487 -91.5394506564403</f>
        <v>-719.01133504982704</v>
      </c>
      <c r="W1771" t="s">
        <v>34366</v>
      </c>
      <c r="X1771" t="s">
        <v>34367</v>
      </c>
      <c r="Y1771" t="s">
        <v>34368</v>
      </c>
    </row>
    <row r="1772" spans="1:25" x14ac:dyDescent="0.3">
      <c r="A1772">
        <v>88550</v>
      </c>
      <c r="B1772" t="s">
        <v>34369</v>
      </c>
      <c r="C1772" t="s">
        <v>34370</v>
      </c>
      <c r="D1772" t="s">
        <v>34371</v>
      </c>
      <c r="E1772" t="s">
        <v>34372</v>
      </c>
      <c r="F1772" t="s">
        <v>34373</v>
      </c>
      <c r="G1772" t="s">
        <v>34374</v>
      </c>
      <c r="H1772" t="s">
        <v>34375</v>
      </c>
      <c r="I1772" t="s">
        <v>34376</v>
      </c>
      <c r="J1772" t="s">
        <v>34377</v>
      </c>
      <c r="K1772" t="s">
        <v>34378</v>
      </c>
      <c r="L1772" t="s">
        <v>34379</v>
      </c>
      <c r="M1772" t="s">
        <v>34380</v>
      </c>
      <c r="N1772" t="s">
        <v>34381</v>
      </c>
      <c r="O1772">
        <f>-651.192879633834 -143.196657274409 -506.931551948571</f>
        <v>-1301.321088856814</v>
      </c>
      <c r="P1772">
        <f>-600.398429850784 -171.134748846816 -230.855468961577</f>
        <v>-1002.3886476591771</v>
      </c>
      <c r="Q1772">
        <f>-438.396186354211 -108.029642361268 -384.873431741758</f>
        <v>-931.2992604572371</v>
      </c>
      <c r="R1772" t="s">
        <v>34382</v>
      </c>
      <c r="S1772" t="s">
        <v>34383</v>
      </c>
      <c r="T1772" t="s">
        <v>34384</v>
      </c>
      <c r="U1772" t="s">
        <v>34385</v>
      </c>
      <c r="V1772">
        <f>-576.411127058546 -51.1892527766333 -91.5461755432432</f>
        <v>-719.14655537842248</v>
      </c>
      <c r="W1772" t="s">
        <v>34386</v>
      </c>
      <c r="X1772" t="s">
        <v>34387</v>
      </c>
      <c r="Y1772" t="s">
        <v>34388</v>
      </c>
    </row>
    <row r="1773" spans="1:25" x14ac:dyDescent="0.3">
      <c r="A1773">
        <v>88600</v>
      </c>
      <c r="B1773" t="s">
        <v>34389</v>
      </c>
      <c r="C1773" t="s">
        <v>34390</v>
      </c>
      <c r="D1773" t="s">
        <v>34391</v>
      </c>
      <c r="E1773" t="s">
        <v>34392</v>
      </c>
      <c r="F1773" t="s">
        <v>34393</v>
      </c>
      <c r="G1773" t="s">
        <v>34394</v>
      </c>
      <c r="H1773" t="s">
        <v>34395</v>
      </c>
      <c r="I1773" t="s">
        <v>34396</v>
      </c>
      <c r="J1773" t="s">
        <v>34397</v>
      </c>
      <c r="K1773" t="s">
        <v>34398</v>
      </c>
      <c r="L1773" t="s">
        <v>34399</v>
      </c>
      <c r="M1773" t="s">
        <v>34400</v>
      </c>
      <c r="N1773" t="s">
        <v>34401</v>
      </c>
      <c r="O1773">
        <f>-651.977356526524 -143.459756927618 -506.724953380786</f>
        <v>-1302.1620668349281</v>
      </c>
      <c r="P1773">
        <f>-600.700930400923 -171.035953598476 -230.701670711293</f>
        <v>-1002.438554710692</v>
      </c>
      <c r="Q1773">
        <f>-439.102281719149 -107.803520165034 -385.090944066559</f>
        <v>-931.99674595074202</v>
      </c>
      <c r="R1773" t="s">
        <v>34402</v>
      </c>
      <c r="S1773" t="s">
        <v>34403</v>
      </c>
      <c r="T1773" t="s">
        <v>34404</v>
      </c>
      <c r="U1773" t="s">
        <v>34405</v>
      </c>
      <c r="V1773">
        <f>-576.583583506138 -51.3604175517653 -91.574396952529</f>
        <v>-719.51839801043229</v>
      </c>
      <c r="W1773" t="s">
        <v>34406</v>
      </c>
      <c r="X1773" t="s">
        <v>34407</v>
      </c>
      <c r="Y1773" t="s">
        <v>34408</v>
      </c>
    </row>
    <row r="1774" spans="1:25" x14ac:dyDescent="0.3">
      <c r="A1774">
        <v>88650</v>
      </c>
      <c r="B1774" t="s">
        <v>34409</v>
      </c>
      <c r="C1774" t="s">
        <v>34410</v>
      </c>
      <c r="D1774" t="s">
        <v>34411</v>
      </c>
      <c r="E1774" t="s">
        <v>34412</v>
      </c>
      <c r="F1774" t="s">
        <v>34413</v>
      </c>
      <c r="G1774" t="s">
        <v>34414</v>
      </c>
      <c r="H1774" t="s">
        <v>34415</v>
      </c>
      <c r="I1774" t="s">
        <v>34416</v>
      </c>
      <c r="J1774" t="s">
        <v>34417</v>
      </c>
      <c r="K1774" t="s">
        <v>34418</v>
      </c>
      <c r="L1774" t="s">
        <v>34419</v>
      </c>
      <c r="M1774" t="s">
        <v>34420</v>
      </c>
      <c r="N1774" t="s">
        <v>34421</v>
      </c>
      <c r="O1774">
        <f>-652.410812120551 -143.618680249872 -506.630664105698</f>
        <v>-1302.6601564761208</v>
      </c>
      <c r="P1774">
        <f>-600.906192921587 -171.128720993246 -230.64323902883</f>
        <v>-1002.678152943663</v>
      </c>
      <c r="Q1774">
        <f>-439.52327288736 -107.722880587771 -385.186943413427</f>
        <v>-932.433096888558</v>
      </c>
      <c r="R1774" t="s">
        <v>34422</v>
      </c>
      <c r="S1774" t="s">
        <v>34423</v>
      </c>
      <c r="T1774" t="s">
        <v>34424</v>
      </c>
      <c r="U1774" t="s">
        <v>34425</v>
      </c>
      <c r="V1774">
        <f>-576.659036091808 -51.4261443486967 -91.5779144197714</f>
        <v>-719.66309486027615</v>
      </c>
      <c r="W1774" t="s">
        <v>34426</v>
      </c>
      <c r="X1774" t="s">
        <v>34427</v>
      </c>
      <c r="Y1774" t="s">
        <v>34428</v>
      </c>
    </row>
    <row r="1775" spans="1:25" x14ac:dyDescent="0.3">
      <c r="A1775">
        <v>88700</v>
      </c>
      <c r="B1775" t="s">
        <v>34429</v>
      </c>
      <c r="C1775" t="s">
        <v>34430</v>
      </c>
      <c r="D1775" t="s">
        <v>34431</v>
      </c>
      <c r="E1775" t="s">
        <v>34432</v>
      </c>
      <c r="F1775" t="s">
        <v>34433</v>
      </c>
      <c r="G1775" t="s">
        <v>34434</v>
      </c>
      <c r="H1775" t="s">
        <v>34435</v>
      </c>
      <c r="I1775" t="s">
        <v>34436</v>
      </c>
      <c r="J1775" t="s">
        <v>34437</v>
      </c>
      <c r="K1775" t="s">
        <v>34438</v>
      </c>
      <c r="L1775" t="s">
        <v>34439</v>
      </c>
      <c r="M1775" t="s">
        <v>34440</v>
      </c>
      <c r="N1775" t="s">
        <v>34441</v>
      </c>
      <c r="O1775">
        <f>-653.278285068382 -143.716280989336 -506.463203983994</f>
        <v>-1303.4577700417121</v>
      </c>
      <c r="P1775">
        <f>-601.152152255138 -171.185792708329 -230.588410868556</f>
        <v>-1002.9263558320231</v>
      </c>
      <c r="Q1775">
        <f>-440.09840256118 -107.582806803824 -385.394468894249</f>
        <v>-933.07567825925298</v>
      </c>
      <c r="R1775" t="s">
        <v>34442</v>
      </c>
      <c r="S1775" t="s">
        <v>34443</v>
      </c>
      <c r="T1775" t="s">
        <v>34444</v>
      </c>
      <c r="U1775" t="s">
        <v>34445</v>
      </c>
      <c r="V1775">
        <f>-576.730719261 -51.4575160650645 -91.5685347215054</f>
        <v>-719.75677004756994</v>
      </c>
      <c r="W1775" t="s">
        <v>34446</v>
      </c>
      <c r="X1775" t="s">
        <v>34447</v>
      </c>
      <c r="Y1775" t="s">
        <v>34448</v>
      </c>
    </row>
    <row r="1776" spans="1:25" x14ac:dyDescent="0.3">
      <c r="A1776">
        <v>88750</v>
      </c>
      <c r="B1776" t="s">
        <v>34449</v>
      </c>
      <c r="C1776" t="s">
        <v>34450</v>
      </c>
      <c r="D1776" t="s">
        <v>34451</v>
      </c>
      <c r="E1776" t="s">
        <v>34452</v>
      </c>
      <c r="F1776" t="s">
        <v>34453</v>
      </c>
      <c r="G1776" t="s">
        <v>34454</v>
      </c>
      <c r="H1776" t="s">
        <v>34455</v>
      </c>
      <c r="I1776" t="s">
        <v>34456</v>
      </c>
      <c r="J1776" t="s">
        <v>34457</v>
      </c>
      <c r="K1776" t="s">
        <v>34458</v>
      </c>
      <c r="L1776" t="s">
        <v>34459</v>
      </c>
      <c r="M1776" t="s">
        <v>34460</v>
      </c>
      <c r="N1776" t="s">
        <v>34461</v>
      </c>
      <c r="O1776">
        <f>-653.7325103784 -143.759362235085 -506.370528199486</f>
        <v>-1303.8624008129709</v>
      </c>
      <c r="P1776">
        <f>-601.269653806945 -171.193168743832 -230.556023341358</f>
        <v>-1003.018845892135</v>
      </c>
      <c r="Q1776">
        <f>-440.419505338085 -107.537082384871 -385.551875370434</f>
        <v>-933.50846309338999</v>
      </c>
      <c r="R1776" t="s">
        <v>34462</v>
      </c>
      <c r="S1776" t="s">
        <v>34463</v>
      </c>
      <c r="T1776" t="s">
        <v>34464</v>
      </c>
      <c r="U1776" t="s">
        <v>34465</v>
      </c>
      <c r="V1776">
        <f>-576.722820374776 -51.4338752299548 -91.5503886828668</f>
        <v>-719.70708428759758</v>
      </c>
      <c r="W1776" t="s">
        <v>34466</v>
      </c>
      <c r="X1776" t="s">
        <v>34467</v>
      </c>
      <c r="Y1776" t="s">
        <v>34468</v>
      </c>
    </row>
    <row r="1777" spans="1:25" x14ac:dyDescent="0.3">
      <c r="A1777">
        <v>88800</v>
      </c>
      <c r="B1777" t="s">
        <v>34469</v>
      </c>
      <c r="C1777" t="s">
        <v>34470</v>
      </c>
      <c r="D1777" t="s">
        <v>34471</v>
      </c>
      <c r="E1777" t="s">
        <v>34472</v>
      </c>
      <c r="F1777" t="s">
        <v>34473</v>
      </c>
      <c r="G1777" t="s">
        <v>34474</v>
      </c>
      <c r="H1777" t="s">
        <v>34475</v>
      </c>
      <c r="I1777" t="s">
        <v>34476</v>
      </c>
      <c r="J1777" t="s">
        <v>34477</v>
      </c>
      <c r="K1777" t="s">
        <v>34478</v>
      </c>
      <c r="L1777" t="s">
        <v>34479</v>
      </c>
      <c r="M1777" t="s">
        <v>34480</v>
      </c>
      <c r="N1777" t="s">
        <v>34481</v>
      </c>
      <c r="O1777">
        <f>-654.602450464228 -143.877254349737 -506.082260252261</f>
        <v>-1304.5619650662261</v>
      </c>
      <c r="P1777">
        <f>-601.562098524702 -171.206807265472 -230.367820246858</f>
        <v>-1003.1367260370321</v>
      </c>
      <c r="Q1777">
        <f>-441.053368147336 -107.65010004949 -385.757767832167</f>
        <v>-934.46123602899308</v>
      </c>
      <c r="R1777" t="s">
        <v>34482</v>
      </c>
      <c r="S1777" t="s">
        <v>34483</v>
      </c>
      <c r="T1777" t="s">
        <v>34484</v>
      </c>
      <c r="U1777" t="s">
        <v>34485</v>
      </c>
      <c r="V1777">
        <f>-576.573622745715 -51.3724776673857 -91.4960102881248</f>
        <v>-719.4421107012256</v>
      </c>
      <c r="W1777" t="s">
        <v>34486</v>
      </c>
      <c r="X1777" t="s">
        <v>34487</v>
      </c>
      <c r="Y1777" t="s">
        <v>34488</v>
      </c>
    </row>
    <row r="1778" spans="1:25" x14ac:dyDescent="0.3">
      <c r="A1778">
        <v>88850</v>
      </c>
      <c r="B1778" t="s">
        <v>34489</v>
      </c>
      <c r="C1778" t="s">
        <v>34490</v>
      </c>
      <c r="D1778" t="s">
        <v>34491</v>
      </c>
      <c r="E1778" t="s">
        <v>34492</v>
      </c>
      <c r="F1778" t="s">
        <v>34493</v>
      </c>
      <c r="G1778" t="s">
        <v>34494</v>
      </c>
      <c r="H1778" t="s">
        <v>34495</v>
      </c>
      <c r="I1778" t="s">
        <v>34496</v>
      </c>
      <c r="J1778" t="s">
        <v>34497</v>
      </c>
      <c r="K1778" t="s">
        <v>34498</v>
      </c>
      <c r="L1778" t="s">
        <v>34499</v>
      </c>
      <c r="M1778" t="s">
        <v>34500</v>
      </c>
      <c r="N1778" t="s">
        <v>34501</v>
      </c>
      <c r="O1778">
        <f>-655.046191402296 -143.923419491529 -505.908625062292</f>
        <v>-1304.8782359561169</v>
      </c>
      <c r="P1778">
        <f>-601.708933105548 -171.15081215673 -230.241264382157</f>
        <v>-1003.101009644435</v>
      </c>
      <c r="Q1778">
        <f>-441.326511497514 -107.696272895943 -385.803421860013</f>
        <v>-934.82620625346999</v>
      </c>
      <c r="R1778" t="s">
        <v>34502</v>
      </c>
      <c r="S1778" t="s">
        <v>34503</v>
      </c>
      <c r="T1778" t="s">
        <v>34504</v>
      </c>
      <c r="U1778" t="s">
        <v>34505</v>
      </c>
      <c r="V1778">
        <f>-576.413236617481 -51.3683013222533 -91.461518929336</f>
        <v>-719.24305686907019</v>
      </c>
      <c r="W1778" t="s">
        <v>34506</v>
      </c>
      <c r="X1778" t="s">
        <v>34507</v>
      </c>
      <c r="Y1778" t="s">
        <v>34508</v>
      </c>
    </row>
    <row r="1779" spans="1:25" x14ac:dyDescent="0.3">
      <c r="A1779">
        <v>88900</v>
      </c>
      <c r="B1779" t="s">
        <v>34509</v>
      </c>
      <c r="C1779" t="s">
        <v>34510</v>
      </c>
      <c r="D1779" t="s">
        <v>34511</v>
      </c>
      <c r="E1779" t="s">
        <v>34512</v>
      </c>
      <c r="F1779" t="s">
        <v>34513</v>
      </c>
      <c r="G1779" t="s">
        <v>34514</v>
      </c>
      <c r="H1779" t="s">
        <v>34515</v>
      </c>
      <c r="I1779" t="s">
        <v>34516</v>
      </c>
      <c r="J1779" t="s">
        <v>34517</v>
      </c>
      <c r="K1779" t="s">
        <v>34518</v>
      </c>
      <c r="L1779" t="s">
        <v>34519</v>
      </c>
      <c r="M1779" t="s">
        <v>34520</v>
      </c>
      <c r="N1779" t="s">
        <v>34521</v>
      </c>
      <c r="O1779">
        <f>-655.692227130557 -143.895524174557 -505.537416026096</f>
        <v>-1305.1251673312099</v>
      </c>
      <c r="P1779">
        <f>-601.906136735066 -170.95076659084 -229.940524218566</f>
        <v>-1002.7974275444719</v>
      </c>
      <c r="Q1779">
        <f>-441.862396762633 -107.679415877266 -385.925372188555</f>
        <v>-935.46718482845404</v>
      </c>
      <c r="R1779" t="s">
        <v>34522</v>
      </c>
      <c r="S1779" t="s">
        <v>34523</v>
      </c>
      <c r="T1779" t="s">
        <v>34524</v>
      </c>
      <c r="U1779" t="s">
        <v>34525</v>
      </c>
      <c r="V1779">
        <f>-575.796298678374 -51.2643670445186 -91.3676476254752</f>
        <v>-718.42831334836785</v>
      </c>
      <c r="W1779" t="s">
        <v>34526</v>
      </c>
      <c r="X1779" t="s">
        <v>34527</v>
      </c>
      <c r="Y1779" t="s">
        <v>34528</v>
      </c>
    </row>
    <row r="1780" spans="1:25" x14ac:dyDescent="0.3">
      <c r="A1780">
        <v>88950</v>
      </c>
      <c r="B1780" t="s">
        <v>34529</v>
      </c>
      <c r="C1780" t="s">
        <v>34530</v>
      </c>
      <c r="D1780" t="s">
        <v>34531</v>
      </c>
      <c r="E1780" t="s">
        <v>34532</v>
      </c>
      <c r="F1780" t="s">
        <v>34533</v>
      </c>
      <c r="G1780" t="s">
        <v>34534</v>
      </c>
      <c r="H1780" t="s">
        <v>34535</v>
      </c>
      <c r="I1780" t="s">
        <v>34536</v>
      </c>
      <c r="J1780" t="s">
        <v>34537</v>
      </c>
      <c r="K1780" t="s">
        <v>34538</v>
      </c>
      <c r="L1780" t="s">
        <v>34539</v>
      </c>
      <c r="M1780" t="s">
        <v>34540</v>
      </c>
      <c r="N1780" t="s">
        <v>34541</v>
      </c>
      <c r="O1780">
        <f>-655.995312320152 -143.870832324935 -505.351609573423</f>
        <v>-1305.21775421851</v>
      </c>
      <c r="P1780">
        <f>-601.973973912488 -170.823675355036 -229.790729209043</f>
        <v>-1002.588378476567</v>
      </c>
      <c r="Q1780">
        <f>-442.20221747119 -107.568312304368 -386.060628424121</f>
        <v>-935.83115819967895</v>
      </c>
      <c r="R1780" t="s">
        <v>34542</v>
      </c>
      <c r="S1780" t="s">
        <v>34543</v>
      </c>
      <c r="T1780" t="s">
        <v>34544</v>
      </c>
      <c r="U1780" t="s">
        <v>34545</v>
      </c>
      <c r="V1780">
        <f>-575.486615969397 -51.1750774065974 -91.3174197138434</f>
        <v>-717.97911308983782</v>
      </c>
      <c r="W1780" t="s">
        <v>34546</v>
      </c>
      <c r="X1780" t="s">
        <v>34547</v>
      </c>
      <c r="Y1780" t="s">
        <v>34548</v>
      </c>
    </row>
    <row r="1781" spans="1:25" x14ac:dyDescent="0.3">
      <c r="A1781">
        <v>89000</v>
      </c>
      <c r="B1781" t="s">
        <v>34549</v>
      </c>
      <c r="C1781" t="s">
        <v>34550</v>
      </c>
      <c r="D1781" t="s">
        <v>34551</v>
      </c>
      <c r="E1781" t="s">
        <v>34552</v>
      </c>
      <c r="F1781" t="s">
        <v>34553</v>
      </c>
      <c r="G1781" t="s">
        <v>34554</v>
      </c>
      <c r="H1781" t="s">
        <v>34555</v>
      </c>
      <c r="I1781" t="s">
        <v>34556</v>
      </c>
      <c r="J1781" t="s">
        <v>34557</v>
      </c>
      <c r="K1781" t="s">
        <v>34558</v>
      </c>
      <c r="L1781" t="s">
        <v>34559</v>
      </c>
      <c r="M1781" t="s">
        <v>34560</v>
      </c>
      <c r="N1781" t="s">
        <v>34561</v>
      </c>
      <c r="O1781">
        <f>-656.552660519914 -143.740364303241 -504.95118189484</f>
        <v>-1305.244206717995</v>
      </c>
      <c r="P1781">
        <f>-602.145600331714 -170.673324900592 -229.464255928231</f>
        <v>-1002.283181160537</v>
      </c>
      <c r="Q1781">
        <f>-443.007510050092 -107.226136229954 -386.301943915372</f>
        <v>-936.53559019541797</v>
      </c>
      <c r="R1781" t="s">
        <v>34562</v>
      </c>
      <c r="S1781" t="s">
        <v>34563</v>
      </c>
      <c r="T1781" t="s">
        <v>34564</v>
      </c>
      <c r="U1781" t="s">
        <v>34565</v>
      </c>
      <c r="V1781">
        <f>-574.878645076398 -50.8595835088245 -91.1958384371934</f>
        <v>-716.93406702241589</v>
      </c>
      <c r="W1781" t="s">
        <v>34566</v>
      </c>
      <c r="X1781" t="s">
        <v>34567</v>
      </c>
      <c r="Y1781" t="s">
        <v>34568</v>
      </c>
    </row>
    <row r="1782" spans="1:25" x14ac:dyDescent="0.3">
      <c r="A1782">
        <v>89050</v>
      </c>
      <c r="B1782" t="s">
        <v>34569</v>
      </c>
      <c r="C1782" t="s">
        <v>34570</v>
      </c>
      <c r="D1782" t="s">
        <v>34571</v>
      </c>
      <c r="E1782" t="s">
        <v>34572</v>
      </c>
      <c r="F1782" t="s">
        <v>34573</v>
      </c>
      <c r="G1782" t="s">
        <v>34574</v>
      </c>
      <c r="H1782" t="s">
        <v>34575</v>
      </c>
      <c r="I1782" t="s">
        <v>34576</v>
      </c>
      <c r="J1782" t="s">
        <v>34577</v>
      </c>
      <c r="K1782" t="s">
        <v>34578</v>
      </c>
      <c r="L1782" t="s">
        <v>34579</v>
      </c>
      <c r="M1782" t="s">
        <v>34580</v>
      </c>
      <c r="N1782" t="s">
        <v>34581</v>
      </c>
      <c r="O1782">
        <f>-656.639225815424 -143.682267929865 -504.809433560232</f>
        <v>-1305.130927305521</v>
      </c>
      <c r="P1782">
        <f>-602.11736042913 -170.406595436612 -229.324892401791</f>
        <v>-1001.848848267533</v>
      </c>
      <c r="Q1782">
        <f>-443.237002055161 -107.026439927132 -386.450671103801</f>
        <v>-936.71411308609402</v>
      </c>
      <c r="R1782" t="s">
        <v>34582</v>
      </c>
      <c r="S1782" t="s">
        <v>34583</v>
      </c>
      <c r="T1782" t="s">
        <v>34584</v>
      </c>
      <c r="U1782" t="s">
        <v>34585</v>
      </c>
      <c r="V1782">
        <f>-574.629754955564 -50.768101162636 -91.1442728977055</f>
        <v>-716.5421290159054</v>
      </c>
      <c r="W1782" t="s">
        <v>34586</v>
      </c>
      <c r="X1782" t="s">
        <v>34587</v>
      </c>
      <c r="Y1782" t="s">
        <v>34588</v>
      </c>
    </row>
    <row r="1783" spans="1:25" x14ac:dyDescent="0.3">
      <c r="A1783">
        <v>89100</v>
      </c>
      <c r="B1783" t="s">
        <v>34589</v>
      </c>
      <c r="C1783" t="s">
        <v>34590</v>
      </c>
      <c r="D1783" t="s">
        <v>34591</v>
      </c>
      <c r="E1783" t="s">
        <v>34592</v>
      </c>
      <c r="F1783" t="s">
        <v>34593</v>
      </c>
      <c r="G1783" t="s">
        <v>34594</v>
      </c>
      <c r="H1783" t="s">
        <v>34595</v>
      </c>
      <c r="I1783" t="s">
        <v>34596</v>
      </c>
      <c r="J1783" t="s">
        <v>34597</v>
      </c>
      <c r="K1783" t="s">
        <v>34598</v>
      </c>
      <c r="L1783" t="s">
        <v>34599</v>
      </c>
      <c r="M1783" t="s">
        <v>34600</v>
      </c>
      <c r="N1783" t="s">
        <v>34601</v>
      </c>
      <c r="O1783">
        <f>-656.414025001186 -143.640084627217 -504.589242749101</f>
        <v>-1304.643352377504</v>
      </c>
      <c r="P1783">
        <f>-601.766724644194 -170.249466133365 -229.11836628611</f>
        <v>-1001.134557063669</v>
      </c>
      <c r="Q1783">
        <f>-443.238825099325 -106.999787596273 -386.652123869578</f>
        <v>-936.89073656517598</v>
      </c>
      <c r="R1783" t="s">
        <v>34602</v>
      </c>
      <c r="S1783" t="s">
        <v>34603</v>
      </c>
      <c r="T1783" t="s">
        <v>34604</v>
      </c>
      <c r="U1783" t="s">
        <v>34605</v>
      </c>
      <c r="V1783">
        <f>-574.295892724608 -50.5085886511006 -91.0546325429439</f>
        <v>-715.8591139186525</v>
      </c>
      <c r="W1783" t="s">
        <v>34606</v>
      </c>
      <c r="X1783" t="s">
        <v>34607</v>
      </c>
      <c r="Y1783" t="s">
        <v>34608</v>
      </c>
    </row>
    <row r="1784" spans="1:25" x14ac:dyDescent="0.3">
      <c r="A1784">
        <v>89150</v>
      </c>
      <c r="B1784" t="s">
        <v>34609</v>
      </c>
      <c r="C1784" t="s">
        <v>34610</v>
      </c>
      <c r="D1784" t="s">
        <v>34611</v>
      </c>
      <c r="E1784" t="s">
        <v>34612</v>
      </c>
      <c r="F1784" t="s">
        <v>34613</v>
      </c>
      <c r="G1784" t="s">
        <v>34614</v>
      </c>
      <c r="H1784" t="s">
        <v>34615</v>
      </c>
      <c r="I1784" t="s">
        <v>34616</v>
      </c>
      <c r="J1784" t="s">
        <v>34617</v>
      </c>
      <c r="K1784" t="s">
        <v>34618</v>
      </c>
      <c r="L1784" t="s">
        <v>34619</v>
      </c>
      <c r="M1784" t="s">
        <v>34620</v>
      </c>
      <c r="N1784" t="s">
        <v>34621</v>
      </c>
      <c r="O1784">
        <f>-656.177750928986 -143.68815514774 -504.479397874081</f>
        <v>-1304.345303950807</v>
      </c>
      <c r="P1784">
        <f>-601.614929771275 -170.256358512198 -228.987881030486</f>
        <v>-1000.859169313959</v>
      </c>
      <c r="Q1784">
        <f>-443.113861887175 -107.083415773432 -386.579429614016</f>
        <v>-936.77670727462305</v>
      </c>
      <c r="R1784" t="s">
        <v>34622</v>
      </c>
      <c r="S1784" t="s">
        <v>34623</v>
      </c>
      <c r="T1784" t="s">
        <v>34624</v>
      </c>
      <c r="U1784" t="s">
        <v>34625</v>
      </c>
      <c r="V1784">
        <f>-574.203370667505 -50.5179646158758 -91.026236047036</f>
        <v>-715.74757133041692</v>
      </c>
      <c r="W1784" t="s">
        <v>34626</v>
      </c>
      <c r="X1784" t="s">
        <v>34627</v>
      </c>
      <c r="Y1784" t="s">
        <v>34628</v>
      </c>
    </row>
    <row r="1785" spans="1:25" x14ac:dyDescent="0.3">
      <c r="A1785">
        <v>89200</v>
      </c>
      <c r="B1785" t="s">
        <v>34629</v>
      </c>
      <c r="C1785" t="s">
        <v>34630</v>
      </c>
      <c r="D1785" t="s">
        <v>34631</v>
      </c>
      <c r="E1785" t="s">
        <v>34632</v>
      </c>
      <c r="F1785" t="s">
        <v>34633</v>
      </c>
      <c r="G1785" t="s">
        <v>34634</v>
      </c>
      <c r="H1785" t="s">
        <v>34635</v>
      </c>
      <c r="I1785" t="s">
        <v>34636</v>
      </c>
      <c r="J1785" t="s">
        <v>34637</v>
      </c>
      <c r="K1785" t="s">
        <v>34638</v>
      </c>
      <c r="L1785" t="s">
        <v>34639</v>
      </c>
      <c r="M1785" t="s">
        <v>34640</v>
      </c>
      <c r="N1785" t="s">
        <v>34641</v>
      </c>
      <c r="O1785">
        <f>-655.824685280851 -143.992333515802 -504.26157294511</f>
        <v>-1304.0785917417629</v>
      </c>
      <c r="P1785">
        <f>-601.530108217762 -170.074125853124 -228.670413905208</f>
        <v>-1000.2746479760939</v>
      </c>
      <c r="Q1785">
        <f>-443.035378121798 -107.138427157561 -386.363590981451</f>
        <v>-936.53739626080994</v>
      </c>
      <c r="R1785" t="s">
        <v>34642</v>
      </c>
      <c r="S1785" t="s">
        <v>34643</v>
      </c>
      <c r="T1785" t="s">
        <v>34644</v>
      </c>
      <c r="U1785" t="s">
        <v>34645</v>
      </c>
      <c r="V1785">
        <f>-573.996248134084 -50.725660653791 -90.9899160381577</f>
        <v>-715.71182482603274</v>
      </c>
      <c r="W1785" t="s">
        <v>34646</v>
      </c>
      <c r="X1785" t="s">
        <v>34647</v>
      </c>
      <c r="Y1785" t="s">
        <v>34648</v>
      </c>
    </row>
    <row r="1786" spans="1:25" x14ac:dyDescent="0.3">
      <c r="A1786">
        <v>89250</v>
      </c>
      <c r="B1786" t="s">
        <v>34649</v>
      </c>
      <c r="C1786" t="s">
        <v>34650</v>
      </c>
      <c r="D1786" t="s">
        <v>34651</v>
      </c>
      <c r="E1786" t="s">
        <v>34652</v>
      </c>
      <c r="F1786" t="s">
        <v>34653</v>
      </c>
      <c r="G1786" t="s">
        <v>34654</v>
      </c>
      <c r="H1786" t="s">
        <v>34655</v>
      </c>
      <c r="I1786" t="s">
        <v>34656</v>
      </c>
      <c r="J1786" t="s">
        <v>34657</v>
      </c>
      <c r="K1786" t="s">
        <v>34658</v>
      </c>
      <c r="L1786" t="s">
        <v>34659</v>
      </c>
      <c r="M1786" t="s">
        <v>34660</v>
      </c>
      <c r="N1786" t="s">
        <v>34661</v>
      </c>
      <c r="O1786">
        <f>-655.510034125504 -144.054086509987 -504.198851044381</f>
        <v>-1303.762971679872</v>
      </c>
      <c r="P1786">
        <f>-601.410299272474 -170.025634572975 -228.55897891775</f>
        <v>-999.99491276319907</v>
      </c>
      <c r="Q1786">
        <f>-442.997147722368 -106.947407213779 -386.27697674594</f>
        <v>-936.22153168208706</v>
      </c>
      <c r="R1786" t="s">
        <v>34662</v>
      </c>
      <c r="S1786" t="s">
        <v>34663</v>
      </c>
      <c r="T1786" t="s">
        <v>34664</v>
      </c>
      <c r="U1786" t="s">
        <v>34665</v>
      </c>
      <c r="V1786">
        <f>-573.897811642224 -50.721186210563 -90.9598039748175</f>
        <v>-715.57880182760459</v>
      </c>
      <c r="W1786" t="s">
        <v>34666</v>
      </c>
      <c r="X1786" t="s">
        <v>34667</v>
      </c>
      <c r="Y1786" t="s">
        <v>34668</v>
      </c>
    </row>
    <row r="1787" spans="1:25" x14ac:dyDescent="0.3">
      <c r="A1787">
        <v>89300</v>
      </c>
      <c r="B1787" t="s">
        <v>34669</v>
      </c>
      <c r="C1787" t="s">
        <v>34670</v>
      </c>
      <c r="D1787" t="s">
        <v>34671</v>
      </c>
      <c r="E1787" t="s">
        <v>34672</v>
      </c>
      <c r="F1787" t="s">
        <v>34673</v>
      </c>
      <c r="G1787" t="s">
        <v>34674</v>
      </c>
      <c r="H1787" t="s">
        <v>34675</v>
      </c>
      <c r="I1787" t="s">
        <v>34676</v>
      </c>
      <c r="J1787" t="s">
        <v>34677</v>
      </c>
      <c r="K1787" t="s">
        <v>34678</v>
      </c>
      <c r="L1787" t="s">
        <v>34679</v>
      </c>
      <c r="M1787" t="s">
        <v>34680</v>
      </c>
      <c r="N1787" t="s">
        <v>34681</v>
      </c>
      <c r="O1787">
        <f>-654.653680379447 -144.19697534863 -504.26096283278</f>
        <v>-1303.1116185608571</v>
      </c>
      <c r="P1787">
        <f>-600.935663857961 -170.454490411994 -228.57364721947</f>
        <v>-999.96380148942501</v>
      </c>
      <c r="Q1787">
        <f>-442.649942325492 -106.531186346506 -386.079099383629</f>
        <v>-935.26022805562707</v>
      </c>
      <c r="R1787" t="s">
        <v>34682</v>
      </c>
      <c r="S1787" t="s">
        <v>34683</v>
      </c>
      <c r="T1787" t="s">
        <v>34684</v>
      </c>
      <c r="U1787" t="s">
        <v>34685</v>
      </c>
      <c r="V1787">
        <f>-573.675961039513 -50.7628571759874 -90.8982394365444</f>
        <v>-715.33705765204479</v>
      </c>
      <c r="W1787" t="s">
        <v>34686</v>
      </c>
      <c r="X1787" t="s">
        <v>34687</v>
      </c>
      <c r="Y1787" t="s">
        <v>34688</v>
      </c>
    </row>
    <row r="1788" spans="1:25" x14ac:dyDescent="0.3">
      <c r="A1788">
        <v>89350</v>
      </c>
      <c r="B1788" t="s">
        <v>34689</v>
      </c>
      <c r="C1788" t="s">
        <v>34690</v>
      </c>
      <c r="D1788" t="s">
        <v>34691</v>
      </c>
      <c r="E1788" t="s">
        <v>34692</v>
      </c>
      <c r="F1788" t="s">
        <v>34693</v>
      </c>
      <c r="G1788" t="s">
        <v>34694</v>
      </c>
      <c r="H1788" t="s">
        <v>34695</v>
      </c>
      <c r="I1788" t="s">
        <v>34696</v>
      </c>
      <c r="J1788" t="s">
        <v>34697</v>
      </c>
      <c r="K1788" t="s">
        <v>34698</v>
      </c>
      <c r="L1788" t="s">
        <v>34699</v>
      </c>
      <c r="M1788" t="s">
        <v>34700</v>
      </c>
      <c r="N1788" t="s">
        <v>34701</v>
      </c>
      <c r="O1788">
        <f>-654.274789783787 -144.32001880949 -504.265944656901</f>
        <v>-1302.860753250178</v>
      </c>
      <c r="P1788">
        <f>-600.654910172849 -170.656032233261 -228.566930158431</f>
        <v>-999.87787256454089</v>
      </c>
      <c r="Q1788">
        <f>-442.487827864079 -106.374232531612 -386.045587885383</f>
        <v>-934.90764828107399</v>
      </c>
      <c r="R1788" t="s">
        <v>34702</v>
      </c>
      <c r="S1788" t="s">
        <v>34703</v>
      </c>
      <c r="T1788" t="s">
        <v>34704</v>
      </c>
      <c r="U1788" t="s">
        <v>34705</v>
      </c>
      <c r="V1788">
        <f>-573.491605461384 -50.8844782858309 -90.864935708878</f>
        <v>-715.24101945609289</v>
      </c>
      <c r="W1788" t="s">
        <v>34706</v>
      </c>
      <c r="X1788" t="s">
        <v>34707</v>
      </c>
      <c r="Y1788" t="s">
        <v>34708</v>
      </c>
    </row>
    <row r="1789" spans="1:25" x14ac:dyDescent="0.3">
      <c r="A1789">
        <v>89400</v>
      </c>
      <c r="B1789" t="s">
        <v>34709</v>
      </c>
      <c r="C1789" t="s">
        <v>34710</v>
      </c>
      <c r="D1789" t="s">
        <v>34711</v>
      </c>
      <c r="E1789" t="s">
        <v>34712</v>
      </c>
      <c r="F1789" t="s">
        <v>34713</v>
      </c>
      <c r="G1789" t="s">
        <v>34714</v>
      </c>
      <c r="H1789" t="s">
        <v>34715</v>
      </c>
      <c r="I1789" t="s">
        <v>34716</v>
      </c>
      <c r="J1789" t="s">
        <v>34717</v>
      </c>
      <c r="K1789" t="s">
        <v>34718</v>
      </c>
      <c r="L1789" t="s">
        <v>34719</v>
      </c>
      <c r="M1789" t="s">
        <v>34720</v>
      </c>
      <c r="N1789" t="s">
        <v>34721</v>
      </c>
      <c r="O1789">
        <f>-653.577915311799 -144.62393915584 -504.247565456763</f>
        <v>-1302.4494199244018</v>
      </c>
      <c r="P1789">
        <f>-599.875603091568 -170.852423102507 -228.55442293305</f>
        <v>-999.28244912712501</v>
      </c>
      <c r="Q1789">
        <f>-441.999623324975 -106.427515106999 -386.26661056343</f>
        <v>-934.69374899540389</v>
      </c>
      <c r="R1789" t="s">
        <v>34722</v>
      </c>
      <c r="S1789" t="s">
        <v>34723</v>
      </c>
      <c r="T1789" t="s">
        <v>34724</v>
      </c>
      <c r="U1789" t="s">
        <v>34725</v>
      </c>
      <c r="V1789">
        <f>-573.04377460117 -51.1387231907784 -90.7766324227546</f>
        <v>-714.9591302147029</v>
      </c>
      <c r="W1789" t="s">
        <v>34726</v>
      </c>
      <c r="X1789" t="s">
        <v>34727</v>
      </c>
      <c r="Y1789" t="s">
        <v>34728</v>
      </c>
    </row>
    <row r="1790" spans="1:25" x14ac:dyDescent="0.3">
      <c r="A1790">
        <v>89450</v>
      </c>
      <c r="B1790" t="s">
        <v>34729</v>
      </c>
      <c r="C1790" t="s">
        <v>34730</v>
      </c>
      <c r="D1790" t="s">
        <v>34731</v>
      </c>
      <c r="E1790" t="s">
        <v>34732</v>
      </c>
      <c r="F1790" t="s">
        <v>34733</v>
      </c>
      <c r="G1790" t="s">
        <v>34734</v>
      </c>
      <c r="H1790" t="s">
        <v>34735</v>
      </c>
      <c r="I1790" t="s">
        <v>34736</v>
      </c>
      <c r="J1790" t="s">
        <v>34737</v>
      </c>
      <c r="K1790" t="s">
        <v>34738</v>
      </c>
      <c r="L1790" t="s">
        <v>34739</v>
      </c>
      <c r="M1790" t="s">
        <v>34740</v>
      </c>
      <c r="N1790" t="s">
        <v>34741</v>
      </c>
      <c r="O1790">
        <f>-653.26776712686 -144.696203609991 -504.247108537705</f>
        <v>-1302.2110792745561</v>
      </c>
      <c r="P1790">
        <f>-599.44327608115 -170.978420455187 -228.582825912017</f>
        <v>-999.00452244835401</v>
      </c>
      <c r="Q1790">
        <f>-441.569003508411 -106.537043396741 -386.289979963967</f>
        <v>-934.39602686911894</v>
      </c>
      <c r="R1790" t="s">
        <v>34742</v>
      </c>
      <c r="S1790" t="s">
        <v>34743</v>
      </c>
      <c r="T1790" t="s">
        <v>34744</v>
      </c>
      <c r="U1790" t="s">
        <v>34745</v>
      </c>
      <c r="V1790">
        <f>-572.773670187755 -51.203194031606 -90.7232839041639</f>
        <v>-714.70014812352497</v>
      </c>
      <c r="W1790" t="s">
        <v>34746</v>
      </c>
      <c r="X1790" t="s">
        <v>34747</v>
      </c>
      <c r="Y1790" t="s">
        <v>34748</v>
      </c>
    </row>
    <row r="1791" spans="1:25" x14ac:dyDescent="0.3">
      <c r="A1791">
        <v>89500</v>
      </c>
      <c r="B1791" t="s">
        <v>34749</v>
      </c>
      <c r="C1791" t="s">
        <v>34750</v>
      </c>
      <c r="D1791" t="s">
        <v>34751</v>
      </c>
      <c r="E1791" t="s">
        <v>34752</v>
      </c>
      <c r="F1791" t="s">
        <v>34753</v>
      </c>
      <c r="G1791" t="s">
        <v>34754</v>
      </c>
      <c r="H1791" t="s">
        <v>34755</v>
      </c>
      <c r="I1791" t="s">
        <v>34756</v>
      </c>
      <c r="J1791" t="s">
        <v>34757</v>
      </c>
      <c r="K1791" t="s">
        <v>34758</v>
      </c>
      <c r="L1791" t="s">
        <v>34759</v>
      </c>
      <c r="M1791" t="s">
        <v>34760</v>
      </c>
      <c r="N1791" t="s">
        <v>34761</v>
      </c>
      <c r="O1791">
        <f>-652.730379816906 -144.821830455088 -504.28163525193</f>
        <v>-1301.8338455239241</v>
      </c>
      <c r="P1791">
        <f>-598.891625814764 -171.429707867484 -228.651442510695</f>
        <v>-998.972776192943</v>
      </c>
      <c r="Q1791">
        <f>-440.997342136916 -106.6441733576 -386.197376907042</f>
        <v>-933.83889240155804</v>
      </c>
      <c r="R1791" t="s">
        <v>34762</v>
      </c>
      <c r="S1791" t="s">
        <v>34763</v>
      </c>
      <c r="T1791" t="s">
        <v>34764</v>
      </c>
      <c r="U1791" t="s">
        <v>34765</v>
      </c>
      <c r="V1791">
        <f>-572.284444937586 -51.4165629751251 -90.6316823984791</f>
        <v>-714.33269031119028</v>
      </c>
      <c r="W1791" t="s">
        <v>34766</v>
      </c>
      <c r="X1791" t="s">
        <v>34767</v>
      </c>
      <c r="Y1791" t="s">
        <v>34768</v>
      </c>
    </row>
    <row r="1792" spans="1:25" x14ac:dyDescent="0.3">
      <c r="A1792">
        <v>89550</v>
      </c>
      <c r="B1792" t="s">
        <v>34769</v>
      </c>
      <c r="C1792" t="s">
        <v>34770</v>
      </c>
      <c r="D1792" t="s">
        <v>34771</v>
      </c>
      <c r="E1792" t="s">
        <v>34772</v>
      </c>
      <c r="F1792" t="s">
        <v>34773</v>
      </c>
      <c r="G1792" t="s">
        <v>34774</v>
      </c>
      <c r="H1792" t="s">
        <v>34775</v>
      </c>
      <c r="I1792" t="s">
        <v>34776</v>
      </c>
      <c r="J1792" t="s">
        <v>34777</v>
      </c>
      <c r="K1792" t="s">
        <v>34778</v>
      </c>
      <c r="L1792" t="s">
        <v>34779</v>
      </c>
      <c r="M1792" t="s">
        <v>34780</v>
      </c>
      <c r="N1792" t="s">
        <v>34781</v>
      </c>
      <c r="O1792">
        <f>-652.473877308419 -144.873484782474 -504.35250474823</f>
        <v>-1301.6998668391229</v>
      </c>
      <c r="P1792">
        <f>-598.63735442691 -171.600031445047 -228.733510082453</f>
        <v>-998.97089595440991</v>
      </c>
      <c r="Q1792">
        <f>-440.729222092222 -106.610932977389 -386.181776932169</f>
        <v>-933.52193200177999</v>
      </c>
      <c r="R1792" t="s">
        <v>34782</v>
      </c>
      <c r="S1792" t="s">
        <v>34783</v>
      </c>
      <c r="T1792" t="s">
        <v>34784</v>
      </c>
      <c r="U1792" t="s">
        <v>34785</v>
      </c>
      <c r="V1792">
        <f>-572.147556159307 -51.6252787212022 -90.6200686627171</f>
        <v>-714.39290354322634</v>
      </c>
      <c r="W1792" t="s">
        <v>34786</v>
      </c>
      <c r="X1792" t="s">
        <v>34787</v>
      </c>
      <c r="Y1792" t="s">
        <v>34788</v>
      </c>
    </row>
    <row r="1793" spans="1:25" x14ac:dyDescent="0.3">
      <c r="A1793">
        <v>89600</v>
      </c>
      <c r="B1793" t="s">
        <v>34789</v>
      </c>
      <c r="C1793" t="s">
        <v>34790</v>
      </c>
      <c r="D1793" t="s">
        <v>34791</v>
      </c>
      <c r="E1793" t="s">
        <v>34792</v>
      </c>
      <c r="F1793" t="s">
        <v>34793</v>
      </c>
      <c r="G1793" t="s">
        <v>34794</v>
      </c>
      <c r="H1793" t="s">
        <v>34795</v>
      </c>
      <c r="I1793" t="s">
        <v>34796</v>
      </c>
      <c r="J1793" t="s">
        <v>34797</v>
      </c>
      <c r="K1793" t="s">
        <v>34798</v>
      </c>
      <c r="L1793" t="s">
        <v>34799</v>
      </c>
      <c r="M1793" t="s">
        <v>34800</v>
      </c>
      <c r="N1793" t="s">
        <v>34801</v>
      </c>
      <c r="O1793">
        <f>-652.025843741597 -145.120680786591 -504.514241094409</f>
        <v>-1301.660765622597</v>
      </c>
      <c r="P1793">
        <f>-598.218795572829 -171.991112870213 -228.903288608073</f>
        <v>-999.11319705111498</v>
      </c>
      <c r="Q1793">
        <f>-440.143772697989 -106.770485387304 -386.088131553015</f>
        <v>-933.00238963830793</v>
      </c>
      <c r="R1793" t="s">
        <v>34802</v>
      </c>
      <c r="S1793" t="s">
        <v>34803</v>
      </c>
      <c r="T1793" t="s">
        <v>34804</v>
      </c>
      <c r="U1793" t="s">
        <v>34805</v>
      </c>
      <c r="V1793">
        <f>-572.07047912626 -52.0848553321271 -90.6397664943661</f>
        <v>-714.79510095275316</v>
      </c>
      <c r="W1793" t="s">
        <v>34806</v>
      </c>
      <c r="X1793" t="s">
        <v>34807</v>
      </c>
      <c r="Y1793" t="s">
        <v>34808</v>
      </c>
    </row>
    <row r="1794" spans="1:25" x14ac:dyDescent="0.3">
      <c r="A1794">
        <v>89650</v>
      </c>
      <c r="B1794" t="s">
        <v>34809</v>
      </c>
      <c r="C1794" t="s">
        <v>34810</v>
      </c>
      <c r="D1794" t="s">
        <v>34811</v>
      </c>
      <c r="E1794" t="s">
        <v>34812</v>
      </c>
      <c r="F1794" t="s">
        <v>34813</v>
      </c>
      <c r="G1794" t="s">
        <v>34814</v>
      </c>
      <c r="H1794" t="s">
        <v>34815</v>
      </c>
      <c r="I1794" t="s">
        <v>34816</v>
      </c>
      <c r="J1794" t="s">
        <v>34817</v>
      </c>
      <c r="K1794" t="s">
        <v>34818</v>
      </c>
      <c r="L1794" t="s">
        <v>34819</v>
      </c>
      <c r="M1794" t="s">
        <v>34820</v>
      </c>
      <c r="N1794" t="s">
        <v>34821</v>
      </c>
      <c r="O1794">
        <f>-651.781660397211 -145.245851486277 -504.639577489565</f>
        <v>-1301.6670893730529</v>
      </c>
      <c r="P1794">
        <f>-598.071457020208 -172.252551734454 -229.023014030279</f>
        <v>-999.34702278494092</v>
      </c>
      <c r="Q1794">
        <f>-439.914074640593 -106.85881609923 -386.053070736542</f>
        <v>-932.82596147636491</v>
      </c>
      <c r="R1794" t="s">
        <v>34822</v>
      </c>
      <c r="S1794" t="s">
        <v>34823</v>
      </c>
      <c r="T1794" t="s">
        <v>34824</v>
      </c>
      <c r="U1794" t="s">
        <v>34825</v>
      </c>
      <c r="V1794">
        <f>-572.098843313424 -52.2632208689029 -90.685187354826</f>
        <v>-715.04725153715287</v>
      </c>
      <c r="W1794" t="s">
        <v>34826</v>
      </c>
      <c r="X1794" t="s">
        <v>34827</v>
      </c>
      <c r="Y1794" t="s">
        <v>34828</v>
      </c>
    </row>
    <row r="1795" spans="1:25" x14ac:dyDescent="0.3">
      <c r="A1795">
        <v>89700</v>
      </c>
      <c r="B1795" t="s">
        <v>34829</v>
      </c>
      <c r="C1795" t="s">
        <v>34830</v>
      </c>
      <c r="D1795" t="s">
        <v>34831</v>
      </c>
      <c r="E1795" t="s">
        <v>34832</v>
      </c>
      <c r="F1795" t="s">
        <v>34833</v>
      </c>
      <c r="G1795" t="s">
        <v>34834</v>
      </c>
      <c r="H1795" t="s">
        <v>34835</v>
      </c>
      <c r="I1795" t="s">
        <v>34836</v>
      </c>
      <c r="J1795" t="s">
        <v>34837</v>
      </c>
      <c r="K1795" t="s">
        <v>34838</v>
      </c>
      <c r="L1795" t="s">
        <v>34839</v>
      </c>
      <c r="M1795" t="s">
        <v>34840</v>
      </c>
      <c r="N1795" t="s">
        <v>34841</v>
      </c>
      <c r="O1795">
        <f>-651.576017542448 -145.318695888733 -504.924046634922</f>
        <v>-1301.8187600661031</v>
      </c>
      <c r="P1795">
        <f>-598.142886515612 -172.452843522729 -229.266344280607</f>
        <v>-999.86207431894798</v>
      </c>
      <c r="Q1795">
        <f>-439.877439505336 -106.777372105776 -386.069779013908</f>
        <v>-932.72459062502003</v>
      </c>
      <c r="R1795" t="s">
        <v>34842</v>
      </c>
      <c r="S1795" t="s">
        <v>34843</v>
      </c>
      <c r="T1795" t="s">
        <v>34844</v>
      </c>
      <c r="U1795" t="s">
        <v>34845</v>
      </c>
      <c r="V1795">
        <f>-572.320989868976 -52.4821108584349 -90.8377590679208</f>
        <v>-715.64085979533172</v>
      </c>
      <c r="W1795" t="s">
        <v>34846</v>
      </c>
      <c r="X1795" t="s">
        <v>34847</v>
      </c>
      <c r="Y1795" t="s">
        <v>34848</v>
      </c>
    </row>
    <row r="1796" spans="1:25" x14ac:dyDescent="0.3">
      <c r="A1796">
        <v>89750</v>
      </c>
      <c r="B1796" t="s">
        <v>34849</v>
      </c>
      <c r="C1796" t="s">
        <v>34850</v>
      </c>
      <c r="D1796" t="s">
        <v>34851</v>
      </c>
      <c r="E1796" t="s">
        <v>34852</v>
      </c>
      <c r="F1796" t="s">
        <v>34853</v>
      </c>
      <c r="G1796" t="s">
        <v>34854</v>
      </c>
      <c r="H1796" t="s">
        <v>34855</v>
      </c>
      <c r="I1796" t="s">
        <v>34856</v>
      </c>
      <c r="J1796" t="s">
        <v>34857</v>
      </c>
      <c r="K1796" t="s">
        <v>34858</v>
      </c>
      <c r="L1796" t="s">
        <v>34859</v>
      </c>
      <c r="M1796" t="s">
        <v>34860</v>
      </c>
      <c r="N1796" t="s">
        <v>34861</v>
      </c>
      <c r="O1796">
        <f>-651.497127551934 -145.364333679596 -505.028932206833</f>
        <v>-1301.8903934383629</v>
      </c>
      <c r="P1796">
        <f>-598.162116769304 -172.547737461414 -229.357068706486</f>
        <v>-1000.066922937204</v>
      </c>
      <c r="Q1796">
        <f>-439.88577577322 -106.826675388632 -386.13022996977</f>
        <v>-932.84268113162193</v>
      </c>
      <c r="R1796" t="s">
        <v>34862</v>
      </c>
      <c r="S1796" t="s">
        <v>34863</v>
      </c>
      <c r="T1796" t="s">
        <v>34864</v>
      </c>
      <c r="U1796" t="s">
        <v>34865</v>
      </c>
      <c r="V1796">
        <f>-572.434756461416 -52.5803742477467 -90.9046325600523</f>
        <v>-715.91976326921497</v>
      </c>
      <c r="W1796" t="s">
        <v>34866</v>
      </c>
      <c r="X1796" t="s">
        <v>34867</v>
      </c>
      <c r="Y1796" t="s">
        <v>34868</v>
      </c>
    </row>
    <row r="1797" spans="1:25" x14ac:dyDescent="0.3">
      <c r="A1797">
        <v>89800</v>
      </c>
      <c r="B1797" t="s">
        <v>34869</v>
      </c>
      <c r="C1797" t="s">
        <v>34870</v>
      </c>
      <c r="D1797" t="s">
        <v>34871</v>
      </c>
      <c r="E1797" t="s">
        <v>34872</v>
      </c>
      <c r="F1797" t="s">
        <v>34873</v>
      </c>
      <c r="G1797" t="s">
        <v>34874</v>
      </c>
      <c r="H1797" t="s">
        <v>34875</v>
      </c>
      <c r="I1797" t="s">
        <v>34876</v>
      </c>
      <c r="J1797" t="s">
        <v>34877</v>
      </c>
      <c r="K1797" t="s">
        <v>34878</v>
      </c>
      <c r="L1797" t="s">
        <v>34879</v>
      </c>
      <c r="M1797" t="s">
        <v>34880</v>
      </c>
      <c r="N1797" t="s">
        <v>34881</v>
      </c>
      <c r="O1797">
        <f>-651.29001344675 -145.406630060715 -505.183953390471</f>
        <v>-1301.8805968979359</v>
      </c>
      <c r="P1797">
        <f>-598.118450430405 -172.658224855266 -229.487119840312</f>
        <v>-1000.2637951259831</v>
      </c>
      <c r="Q1797">
        <f>-439.72213217021 -106.862210502666 -386.107834193775</f>
        <v>-932.69217686665093</v>
      </c>
      <c r="R1797" t="s">
        <v>34882</v>
      </c>
      <c r="S1797" t="s">
        <v>34883</v>
      </c>
      <c r="T1797" t="s">
        <v>34884</v>
      </c>
      <c r="U1797" t="s">
        <v>34885</v>
      </c>
      <c r="V1797">
        <f>-572.559840604489 -52.594617766011 -90.9877623477561</f>
        <v>-716.142220718256</v>
      </c>
      <c r="W1797" t="s">
        <v>34886</v>
      </c>
      <c r="X1797" t="s">
        <v>34887</v>
      </c>
      <c r="Y1797" t="s">
        <v>34888</v>
      </c>
    </row>
    <row r="1798" spans="1:25" x14ac:dyDescent="0.3">
      <c r="A1798">
        <v>89850</v>
      </c>
      <c r="B1798" t="s">
        <v>34889</v>
      </c>
      <c r="C1798" t="s">
        <v>34890</v>
      </c>
      <c r="D1798" t="s">
        <v>34891</v>
      </c>
      <c r="E1798" t="s">
        <v>34892</v>
      </c>
      <c r="F1798" t="s">
        <v>34893</v>
      </c>
      <c r="G1798" t="s">
        <v>34894</v>
      </c>
      <c r="H1798" t="s">
        <v>34895</v>
      </c>
      <c r="I1798" t="s">
        <v>34896</v>
      </c>
      <c r="J1798" t="s">
        <v>34897</v>
      </c>
      <c r="K1798" t="s">
        <v>34898</v>
      </c>
      <c r="L1798" t="s">
        <v>34899</v>
      </c>
      <c r="M1798" t="s">
        <v>34900</v>
      </c>
      <c r="N1798" t="s">
        <v>34901</v>
      </c>
      <c r="O1798">
        <f>-651.141594780324 -145.390270312839 -505.230347391016</f>
        <v>-1301.7622124841789</v>
      </c>
      <c r="P1798">
        <f>-598.09657739741 -172.649804071386 -229.509837954473</f>
        <v>-1000.256219423269</v>
      </c>
      <c r="Q1798">
        <f>-439.682360013851 -106.793507538497 -386.087075796333</f>
        <v>-932.56294334868096</v>
      </c>
      <c r="R1798" t="s">
        <v>34902</v>
      </c>
      <c r="S1798" t="s">
        <v>34903</v>
      </c>
      <c r="T1798" t="s">
        <v>34904</v>
      </c>
      <c r="U1798" t="s">
        <v>34905</v>
      </c>
      <c r="V1798">
        <f>-572.541990211028 -52.5526099881845 -91.0088994820768</f>
        <v>-716.10349968128924</v>
      </c>
      <c r="W1798" t="s">
        <v>34906</v>
      </c>
      <c r="X1798" t="s">
        <v>34907</v>
      </c>
      <c r="Y1798" t="s">
        <v>34908</v>
      </c>
    </row>
    <row r="1799" spans="1:25" x14ac:dyDescent="0.3">
      <c r="A1799">
        <v>89900</v>
      </c>
      <c r="B1799" t="s">
        <v>34909</v>
      </c>
      <c r="C1799" t="s">
        <v>34910</v>
      </c>
      <c r="D1799" t="s">
        <v>34911</v>
      </c>
      <c r="E1799" t="s">
        <v>34912</v>
      </c>
      <c r="F1799" t="s">
        <v>34913</v>
      </c>
      <c r="G1799" t="s">
        <v>34914</v>
      </c>
      <c r="H1799" t="s">
        <v>34915</v>
      </c>
      <c r="I1799" t="s">
        <v>34916</v>
      </c>
      <c r="J1799" t="s">
        <v>34917</v>
      </c>
      <c r="K1799" t="s">
        <v>34918</v>
      </c>
      <c r="L1799" t="s">
        <v>34919</v>
      </c>
      <c r="M1799" t="s">
        <v>34920</v>
      </c>
      <c r="N1799" t="s">
        <v>34921</v>
      </c>
      <c r="O1799">
        <f>-650.826737233508 -145.346159482197 -505.238027614748</f>
        <v>-1301.4109243304529</v>
      </c>
      <c r="P1799">
        <f>-598.026185443041 -172.374391364939 -229.448033801956</f>
        <v>-999.84861060993603</v>
      </c>
      <c r="Q1799">
        <f>-439.56111019593 -106.564980107414 -385.993526163493</f>
        <v>-932.11961646683699</v>
      </c>
      <c r="R1799" t="s">
        <v>34922</v>
      </c>
      <c r="S1799" t="s">
        <v>34923</v>
      </c>
      <c r="T1799" t="s">
        <v>34924</v>
      </c>
      <c r="U1799" t="s">
        <v>34925</v>
      </c>
      <c r="V1799">
        <f>-572.461994463632 -52.3530781617123 -91.0227358921294</f>
        <v>-715.83780851747372</v>
      </c>
      <c r="W1799" t="s">
        <v>34926</v>
      </c>
      <c r="X1799" t="s">
        <v>34927</v>
      </c>
      <c r="Y1799" t="s">
        <v>34928</v>
      </c>
    </row>
    <row r="1800" spans="1:25" x14ac:dyDescent="0.3">
      <c r="A1800">
        <v>89950</v>
      </c>
      <c r="B1800" t="s">
        <v>34929</v>
      </c>
      <c r="C1800" t="s">
        <v>34930</v>
      </c>
      <c r="D1800" t="s">
        <v>34931</v>
      </c>
      <c r="E1800" t="s">
        <v>34932</v>
      </c>
      <c r="F1800" t="s">
        <v>34933</v>
      </c>
      <c r="G1800" t="s">
        <v>34934</v>
      </c>
      <c r="H1800" t="s">
        <v>34935</v>
      </c>
      <c r="I1800" t="s">
        <v>34936</v>
      </c>
      <c r="J1800" t="s">
        <v>34937</v>
      </c>
      <c r="K1800" t="s">
        <v>34938</v>
      </c>
      <c r="L1800" t="s">
        <v>34939</v>
      </c>
      <c r="M1800" t="s">
        <v>34940</v>
      </c>
      <c r="N1800" t="s">
        <v>34941</v>
      </c>
      <c r="O1800">
        <f>-650.512866201422 -145.318161249051 -505.259697399927</f>
        <v>-1301.0907248504</v>
      </c>
      <c r="P1800">
        <f>-597.96486862192 -172.425699862223 -229.429130462293</f>
        <v>-999.81969894643601</v>
      </c>
      <c r="Q1800">
        <f>-439.450751963626 -106.407196095555 -385.836778369327</f>
        <v>-931.69472642850803</v>
      </c>
      <c r="R1800" t="s">
        <v>34942</v>
      </c>
      <c r="S1800" t="s">
        <v>34943</v>
      </c>
      <c r="T1800" t="s">
        <v>34944</v>
      </c>
      <c r="U1800" t="s">
        <v>34945</v>
      </c>
      <c r="V1800">
        <f>-572.470833002483 -52.2590728212301 -91.0237444800814</f>
        <v>-715.75365030379453</v>
      </c>
      <c r="W1800" t="s">
        <v>34946</v>
      </c>
      <c r="X1800" t="s">
        <v>34947</v>
      </c>
      <c r="Y1800" t="s">
        <v>34948</v>
      </c>
    </row>
    <row r="1801" spans="1:25" x14ac:dyDescent="0.3">
      <c r="A1801">
        <v>90000</v>
      </c>
      <c r="B1801" t="s">
        <v>34949</v>
      </c>
      <c r="C1801" t="s">
        <v>34950</v>
      </c>
      <c r="D1801" t="s">
        <v>34951</v>
      </c>
      <c r="E1801" t="s">
        <v>34952</v>
      </c>
      <c r="F1801" t="s">
        <v>34953</v>
      </c>
      <c r="G1801" t="s">
        <v>34954</v>
      </c>
      <c r="H1801" t="s">
        <v>34955</v>
      </c>
      <c r="I1801" t="s">
        <v>34956</v>
      </c>
      <c r="J1801" t="s">
        <v>34957</v>
      </c>
      <c r="K1801" t="s">
        <v>34958</v>
      </c>
      <c r="L1801" t="s">
        <v>34959</v>
      </c>
      <c r="M1801" t="s">
        <v>34960</v>
      </c>
      <c r="N1801" t="s">
        <v>34961</v>
      </c>
      <c r="O1801">
        <f>-649.779266818796 -145.317296041219 -505.360493714352</f>
        <v>-1300.457056574367</v>
      </c>
      <c r="P1801">
        <f>-597.830953691324 -172.563167486906 -229.429965169256</f>
        <v>-999.82408634748595</v>
      </c>
      <c r="Q1801">
        <f>-439.042262977091 -106.159788750828 -385.395613508221</f>
        <v>-930.59766523614007</v>
      </c>
      <c r="R1801" t="s">
        <v>34962</v>
      </c>
      <c r="S1801" t="s">
        <v>34963</v>
      </c>
      <c r="T1801" t="s">
        <v>34964</v>
      </c>
      <c r="U1801" t="s">
        <v>34965</v>
      </c>
      <c r="V1801">
        <f>-572.456947455258 -52.060814883979 -91.0345677411212</f>
        <v>-715.55233008035827</v>
      </c>
      <c r="W1801" t="s">
        <v>34966</v>
      </c>
      <c r="X1801" t="s">
        <v>34967</v>
      </c>
      <c r="Y1801" t="s">
        <v>34968</v>
      </c>
    </row>
    <row r="1802" spans="1:25" x14ac:dyDescent="0.3">
      <c r="A1802">
        <v>90050</v>
      </c>
      <c r="B1802" t="s">
        <v>34969</v>
      </c>
      <c r="C1802" t="s">
        <v>34970</v>
      </c>
      <c r="D1802" t="s">
        <v>34971</v>
      </c>
      <c r="E1802" t="s">
        <v>34972</v>
      </c>
      <c r="F1802" t="s">
        <v>34973</v>
      </c>
      <c r="G1802" t="s">
        <v>34974</v>
      </c>
      <c r="H1802" t="s">
        <v>34975</v>
      </c>
      <c r="I1802" t="s">
        <v>34976</v>
      </c>
      <c r="J1802" t="s">
        <v>34977</v>
      </c>
      <c r="K1802" t="s">
        <v>34978</v>
      </c>
      <c r="L1802" t="s">
        <v>34979</v>
      </c>
      <c r="M1802" t="s">
        <v>34980</v>
      </c>
      <c r="N1802" t="s">
        <v>34981</v>
      </c>
      <c r="O1802">
        <f>-649.515795758854 -145.382821988449 -505.36089172473</f>
        <v>-1300.259509472033</v>
      </c>
      <c r="P1802">
        <f>-597.741588718804 -172.496022891008 -229.384754856469</f>
        <v>-999.62236646628094</v>
      </c>
      <c r="Q1802">
        <f>-438.811226055803 -105.962201936088 -385.150219070585</f>
        <v>-929.92364706247599</v>
      </c>
      <c r="R1802" t="s">
        <v>34982</v>
      </c>
      <c r="S1802" t="s">
        <v>34983</v>
      </c>
      <c r="T1802" t="s">
        <v>34984</v>
      </c>
      <c r="U1802" t="s">
        <v>34985</v>
      </c>
      <c r="V1802">
        <f>-572.455337482726 -52.0945823700597 -91.0471784956515</f>
        <v>-715.59709834843716</v>
      </c>
      <c r="W1802" t="s">
        <v>34986</v>
      </c>
      <c r="X1802" t="s">
        <v>34987</v>
      </c>
      <c r="Y1802" t="s">
        <v>34988</v>
      </c>
    </row>
    <row r="1803" spans="1:25" x14ac:dyDescent="0.3">
      <c r="A1803">
        <v>90100</v>
      </c>
      <c r="B1803" t="s">
        <v>34989</v>
      </c>
      <c r="C1803" t="s">
        <v>34990</v>
      </c>
      <c r="D1803" t="s">
        <v>34991</v>
      </c>
      <c r="E1803" t="s">
        <v>34992</v>
      </c>
      <c r="F1803" t="s">
        <v>34993</v>
      </c>
      <c r="G1803" t="s">
        <v>34994</v>
      </c>
      <c r="H1803" t="s">
        <v>34995</v>
      </c>
      <c r="I1803" t="s">
        <v>34996</v>
      </c>
      <c r="J1803" t="s">
        <v>34997</v>
      </c>
      <c r="K1803" t="s">
        <v>34998</v>
      </c>
      <c r="L1803" t="s">
        <v>34999</v>
      </c>
      <c r="M1803" t="s">
        <v>35000</v>
      </c>
      <c r="N1803" t="s">
        <v>35001</v>
      </c>
      <c r="O1803">
        <f>-648.997369095947 -145.570553422968 -505.485730934294</f>
        <v>-1300.0536534532089</v>
      </c>
      <c r="P1803">
        <f>-597.564667615632 -172.50375449389 -229.428013426165</f>
        <v>-999.49643553568694</v>
      </c>
      <c r="Q1803">
        <f>-438.279114707866 -106.026027538116 -384.854348287756</f>
        <v>-929.15949053373799</v>
      </c>
      <c r="R1803" t="s">
        <v>35002</v>
      </c>
      <c r="S1803" t="s">
        <v>35003</v>
      </c>
      <c r="T1803" t="s">
        <v>35004</v>
      </c>
      <c r="U1803" t="s">
        <v>35005</v>
      </c>
      <c r="V1803">
        <f>-572.587010964209 -52.2355706999469 -91.0847092341937</f>
        <v>-715.90729089834963</v>
      </c>
      <c r="W1803" t="s">
        <v>35006</v>
      </c>
      <c r="X1803" t="s">
        <v>35007</v>
      </c>
      <c r="Y1803" t="s">
        <v>35008</v>
      </c>
    </row>
    <row r="1804" spans="1:25" x14ac:dyDescent="0.3">
      <c r="A1804">
        <v>90150</v>
      </c>
      <c r="B1804" t="s">
        <v>35009</v>
      </c>
      <c r="C1804" t="s">
        <v>35010</v>
      </c>
      <c r="D1804" t="s">
        <v>35011</v>
      </c>
      <c r="E1804" t="s">
        <v>35012</v>
      </c>
      <c r="F1804" t="s">
        <v>35013</v>
      </c>
      <c r="G1804" t="s">
        <v>35014</v>
      </c>
      <c r="H1804" t="s">
        <v>35015</v>
      </c>
      <c r="I1804" t="s">
        <v>35016</v>
      </c>
      <c r="J1804" t="s">
        <v>35017</v>
      </c>
      <c r="K1804" t="s">
        <v>35018</v>
      </c>
      <c r="L1804" t="s">
        <v>35019</v>
      </c>
      <c r="M1804" t="s">
        <v>35020</v>
      </c>
      <c r="N1804" t="s">
        <v>35021</v>
      </c>
      <c r="O1804">
        <f>-648.609059303062 -145.781435091425 -505.626229186787</f>
        <v>-1300.0167235812742</v>
      </c>
      <c r="P1804">
        <f>-597.492741507282 -172.901181322186 -229.527977513665</f>
        <v>-999.92190034313307</v>
      </c>
      <c r="Q1804">
        <f>-437.929680385217 -106.584041018151 -384.738207940909</f>
        <v>-929.25192934427696</v>
      </c>
      <c r="R1804" t="s">
        <v>35022</v>
      </c>
      <c r="S1804" t="s">
        <v>35023</v>
      </c>
      <c r="T1804" t="s">
        <v>35024</v>
      </c>
      <c r="U1804" t="s">
        <v>35025</v>
      </c>
      <c r="V1804">
        <f>-572.793208773129 -52.4150820376688 -91.1229107264962</f>
        <v>-716.33120153729396</v>
      </c>
      <c r="W1804" t="s">
        <v>35026</v>
      </c>
      <c r="X1804" t="s">
        <v>35027</v>
      </c>
      <c r="Y1804" t="s">
        <v>35028</v>
      </c>
    </row>
    <row r="1805" spans="1:25" x14ac:dyDescent="0.3">
      <c r="A1805">
        <v>90200</v>
      </c>
      <c r="B1805" t="s">
        <v>35029</v>
      </c>
      <c r="C1805" t="s">
        <v>35030</v>
      </c>
      <c r="D1805" t="s">
        <v>35031</v>
      </c>
      <c r="E1805" t="s">
        <v>35032</v>
      </c>
      <c r="F1805" t="s">
        <v>35033</v>
      </c>
      <c r="G1805" t="s">
        <v>35034</v>
      </c>
      <c r="H1805" t="s">
        <v>35035</v>
      </c>
      <c r="I1805" t="s">
        <v>35036</v>
      </c>
      <c r="J1805" t="s">
        <v>35037</v>
      </c>
      <c r="K1805" t="s">
        <v>35038</v>
      </c>
      <c r="L1805" t="s">
        <v>35039</v>
      </c>
      <c r="M1805" t="s">
        <v>35040</v>
      </c>
      <c r="N1805" t="s">
        <v>35041</v>
      </c>
      <c r="O1805">
        <f>-648.170238689948 -146.056222928433 -505.850382053534</f>
        <v>-1300.076843671915</v>
      </c>
      <c r="P1805">
        <f>-597.645787379368 -173.278318308837 -229.653320393135</f>
        <v>-1000.57742608134</v>
      </c>
      <c r="Q1805">
        <f>-437.111829251776 -107.987422255145 -384.296339317638</f>
        <v>-929.39559082455889</v>
      </c>
      <c r="R1805" t="s">
        <v>35042</v>
      </c>
      <c r="S1805" t="s">
        <v>35043</v>
      </c>
      <c r="T1805" t="s">
        <v>35044</v>
      </c>
      <c r="U1805" t="s">
        <v>35045</v>
      </c>
      <c r="V1805">
        <f>-573.266377156233 -52.5474892947534 -91.2002176284634</f>
        <v>-717.01408407944984</v>
      </c>
      <c r="W1805" t="s">
        <v>35046</v>
      </c>
      <c r="X1805" t="s">
        <v>35047</v>
      </c>
      <c r="Y1805" t="s">
        <v>35048</v>
      </c>
    </row>
    <row r="1806" spans="1:25" x14ac:dyDescent="0.3">
      <c r="A1806">
        <v>90250</v>
      </c>
      <c r="B1806" t="s">
        <v>35049</v>
      </c>
      <c r="C1806" t="s">
        <v>35050</v>
      </c>
      <c r="D1806" t="s">
        <v>35051</v>
      </c>
      <c r="E1806" t="s">
        <v>35052</v>
      </c>
      <c r="F1806" t="s">
        <v>35053</v>
      </c>
      <c r="G1806" t="s">
        <v>35054</v>
      </c>
      <c r="H1806" t="s">
        <v>35055</v>
      </c>
      <c r="I1806" t="s">
        <v>35056</v>
      </c>
      <c r="J1806" t="s">
        <v>35057</v>
      </c>
      <c r="K1806" t="s">
        <v>35058</v>
      </c>
      <c r="L1806" t="s">
        <v>35059</v>
      </c>
      <c r="M1806" t="s">
        <v>35060</v>
      </c>
      <c r="N1806" t="s">
        <v>35061</v>
      </c>
      <c r="O1806">
        <f>-648.140988555272 -146.185902791968 -505.885503607736</f>
        <v>-1300.2123949549759</v>
      </c>
      <c r="P1806">
        <f>-597.724842389898 -173.424309515031 -229.670208468096</f>
        <v>-1000.819360373025</v>
      </c>
      <c r="Q1806">
        <f>-436.66826880109 -108.626380671525 -383.976858485304</f>
        <v>-929.27150795791897</v>
      </c>
      <c r="R1806" t="s">
        <v>35062</v>
      </c>
      <c r="S1806" t="s">
        <v>35063</v>
      </c>
      <c r="T1806" t="s">
        <v>35064</v>
      </c>
      <c r="U1806" t="s">
        <v>35065</v>
      </c>
      <c r="V1806">
        <f>-573.53295347183 -52.6053294542737 -91.2216855210377</f>
        <v>-717.35996844714134</v>
      </c>
      <c r="W1806" t="s">
        <v>35066</v>
      </c>
      <c r="X1806" t="s">
        <v>35067</v>
      </c>
      <c r="Y1806" t="s">
        <v>35068</v>
      </c>
    </row>
    <row r="1807" spans="1:25" x14ac:dyDescent="0.3">
      <c r="A1807">
        <v>90300</v>
      </c>
      <c r="B1807" t="s">
        <v>35069</v>
      </c>
      <c r="C1807" t="s">
        <v>35070</v>
      </c>
      <c r="D1807" t="s">
        <v>35071</v>
      </c>
      <c r="E1807" t="s">
        <v>35072</v>
      </c>
      <c r="F1807" t="s">
        <v>35073</v>
      </c>
      <c r="G1807" t="s">
        <v>35074</v>
      </c>
      <c r="H1807" t="s">
        <v>35075</v>
      </c>
      <c r="I1807" t="s">
        <v>35076</v>
      </c>
      <c r="J1807" t="s">
        <v>35077</v>
      </c>
      <c r="K1807" t="s">
        <v>35078</v>
      </c>
      <c r="L1807" t="s">
        <v>35079</v>
      </c>
      <c r="M1807" t="s">
        <v>35080</v>
      </c>
      <c r="N1807" t="s">
        <v>35081</v>
      </c>
      <c r="O1807">
        <f>-648.377395144574 -146.387506330928 -505.947462801532</f>
        <v>-1300.7123642770341</v>
      </c>
      <c r="P1807">
        <f>-598.316962979567 -173.622491659364 -229.667283758821</f>
        <v>-1001.606738397752</v>
      </c>
      <c r="Q1807">
        <f>-435.955957666118 -109.787557774158 -383.00523800405</f>
        <v>-928.74875344432598</v>
      </c>
      <c r="R1807" t="s">
        <v>35082</v>
      </c>
      <c r="S1807" t="s">
        <v>35083</v>
      </c>
      <c r="T1807" t="s">
        <v>35084</v>
      </c>
      <c r="U1807" t="s">
        <v>35085</v>
      </c>
      <c r="V1807">
        <f>-574.172504873685 -52.7282806489523 -91.2778924242389</f>
        <v>-718.17867794687618</v>
      </c>
      <c r="W1807" t="s">
        <v>35086</v>
      </c>
      <c r="X1807" t="s">
        <v>35087</v>
      </c>
      <c r="Y1807" t="s">
        <v>35088</v>
      </c>
    </row>
    <row r="1808" spans="1:25" x14ac:dyDescent="0.3">
      <c r="A1808">
        <v>90350</v>
      </c>
      <c r="B1808" t="s">
        <v>35089</v>
      </c>
      <c r="C1808" t="s">
        <v>35090</v>
      </c>
      <c r="D1808" t="s">
        <v>35091</v>
      </c>
      <c r="E1808" t="s">
        <v>35092</v>
      </c>
      <c r="F1808" t="s">
        <v>35093</v>
      </c>
      <c r="G1808" t="s">
        <v>35094</v>
      </c>
      <c r="H1808" t="s">
        <v>35095</v>
      </c>
      <c r="I1808" t="s">
        <v>35096</v>
      </c>
      <c r="J1808" t="s">
        <v>35097</v>
      </c>
      <c r="K1808" t="s">
        <v>35098</v>
      </c>
      <c r="L1808" t="s">
        <v>35099</v>
      </c>
      <c r="M1808" t="s">
        <v>35100</v>
      </c>
      <c r="N1808" t="s">
        <v>35101</v>
      </c>
      <c r="O1808">
        <f>-648.722834723056 -146.569932857422 -505.93985807756</f>
        <v>-1301.2326256580382</v>
      </c>
      <c r="P1808">
        <f>-598.986255131298 -173.854200744282 -229.605984677045</f>
        <v>-1002.4464405526251</v>
      </c>
      <c r="Q1808">
        <f>-435.944624847987 -110.277520880404 -382.327907785839</f>
        <v>-928.55005351422994</v>
      </c>
      <c r="R1808" t="s">
        <v>35102</v>
      </c>
      <c r="S1808" t="s">
        <v>35103</v>
      </c>
      <c r="T1808" t="s">
        <v>35104</v>
      </c>
      <c r="U1808" t="s">
        <v>35105</v>
      </c>
      <c r="V1808">
        <f>-574.587587124721 -52.9009250352924 -91.3272897878527</f>
        <v>-718.81580194786613</v>
      </c>
      <c r="W1808" t="s">
        <v>35106</v>
      </c>
      <c r="X1808" t="s">
        <v>35107</v>
      </c>
      <c r="Y1808" t="s">
        <v>35108</v>
      </c>
    </row>
    <row r="1809" spans="1:25" x14ac:dyDescent="0.3">
      <c r="A1809">
        <v>90400</v>
      </c>
      <c r="B1809" t="s">
        <v>35109</v>
      </c>
      <c r="C1809" t="s">
        <v>35110</v>
      </c>
      <c r="D1809" t="s">
        <v>35111</v>
      </c>
      <c r="E1809" t="s">
        <v>35112</v>
      </c>
      <c r="F1809" t="s">
        <v>35113</v>
      </c>
      <c r="G1809" t="s">
        <v>35114</v>
      </c>
      <c r="H1809" t="s">
        <v>35115</v>
      </c>
      <c r="I1809" t="s">
        <v>35116</v>
      </c>
      <c r="J1809" t="s">
        <v>35117</v>
      </c>
      <c r="K1809" t="s">
        <v>35118</v>
      </c>
      <c r="L1809" t="s">
        <v>35119</v>
      </c>
      <c r="M1809" t="s">
        <v>35120</v>
      </c>
      <c r="N1809" t="s">
        <v>35121</v>
      </c>
      <c r="O1809">
        <f>-649.588399933863 -146.949337761702 -505.866018068434</f>
        <v>-1302.403755763999</v>
      </c>
      <c r="P1809">
        <f>-600.750942018209 -174.046034084784 -229.353434983793</f>
        <v>-1004.150411086786</v>
      </c>
      <c r="Q1809">
        <f>-436.750689146045 -110.956656624733 -381.248654828209</f>
        <v>-928.95600059898698</v>
      </c>
      <c r="R1809" t="s">
        <v>35122</v>
      </c>
      <c r="S1809" t="s">
        <v>35123</v>
      </c>
      <c r="T1809" t="s">
        <v>35124</v>
      </c>
      <c r="U1809" t="s">
        <v>35125</v>
      </c>
      <c r="V1809">
        <f>-575.375228746453 -53.2073708235098 -91.4057318266467</f>
        <v>-719.98833139660951</v>
      </c>
      <c r="W1809" t="s">
        <v>35126</v>
      </c>
      <c r="X1809" t="s">
        <v>35127</v>
      </c>
      <c r="Y1809" t="s">
        <v>35128</v>
      </c>
    </row>
    <row r="1810" spans="1:25" x14ac:dyDescent="0.3">
      <c r="A1810">
        <v>90450</v>
      </c>
      <c r="B1810" t="s">
        <v>35129</v>
      </c>
      <c r="C1810" t="s">
        <v>35130</v>
      </c>
      <c r="D1810" t="s">
        <v>35131</v>
      </c>
      <c r="E1810" t="s">
        <v>35132</v>
      </c>
      <c r="F1810" t="s">
        <v>35133</v>
      </c>
      <c r="G1810" t="s">
        <v>35134</v>
      </c>
      <c r="H1810" t="s">
        <v>35135</v>
      </c>
      <c r="I1810" t="s">
        <v>35136</v>
      </c>
      <c r="J1810" t="s">
        <v>35137</v>
      </c>
      <c r="K1810" t="s">
        <v>35138</v>
      </c>
      <c r="L1810" t="s">
        <v>35139</v>
      </c>
      <c r="M1810" t="s">
        <v>35140</v>
      </c>
      <c r="N1810" t="s">
        <v>35141</v>
      </c>
      <c r="O1810">
        <f>-649.931951551534 -147.153066995337 -505.847085145286</f>
        <v>-1302.9321036921569</v>
      </c>
      <c r="P1810">
        <f>-601.675858599918 -173.966763270885 -229.204902101479</f>
        <v>-1004.8475239722819</v>
      </c>
      <c r="Q1810">
        <f>-437.273609383337 -111.315747879401 -380.846886875619</f>
        <v>-929.43624413835698</v>
      </c>
      <c r="R1810" t="s">
        <v>35142</v>
      </c>
      <c r="S1810" t="s">
        <v>35143</v>
      </c>
      <c r="T1810" t="s">
        <v>35144</v>
      </c>
      <c r="U1810" t="s">
        <v>35145</v>
      </c>
      <c r="V1810">
        <f>-575.754243181616 -53.2946269905194 -91.4474166089674</f>
        <v>-720.49628678110275</v>
      </c>
      <c r="W1810" t="s">
        <v>35146</v>
      </c>
      <c r="X1810" t="s">
        <v>35147</v>
      </c>
      <c r="Y1810" t="s">
        <v>35148</v>
      </c>
    </row>
    <row r="1811" spans="1:25" x14ac:dyDescent="0.3">
      <c r="A1811">
        <v>90500</v>
      </c>
      <c r="B1811" t="s">
        <v>35149</v>
      </c>
      <c r="C1811" t="s">
        <v>35150</v>
      </c>
      <c r="D1811" t="s">
        <v>35151</v>
      </c>
      <c r="E1811" t="s">
        <v>35152</v>
      </c>
      <c r="F1811" t="s">
        <v>35153</v>
      </c>
      <c r="G1811" t="s">
        <v>35154</v>
      </c>
      <c r="H1811" t="s">
        <v>35155</v>
      </c>
      <c r="I1811" t="s">
        <v>35156</v>
      </c>
      <c r="J1811" t="s">
        <v>35157</v>
      </c>
      <c r="K1811" t="s">
        <v>35158</v>
      </c>
      <c r="L1811" t="s">
        <v>35159</v>
      </c>
      <c r="M1811" t="s">
        <v>35160</v>
      </c>
      <c r="N1811" t="s">
        <v>35161</v>
      </c>
      <c r="O1811">
        <f>-650.852126536767 -147.588102431435 -505.723305668662</f>
        <v>-1304.1635346368639</v>
      </c>
      <c r="P1811">
        <f>-603.423829583522 -173.993830627364 -228.89880057268</f>
        <v>-1006.316460783566</v>
      </c>
      <c r="Q1811">
        <f>-438.250728171786 -112.345967310378 -380.113520542097</f>
        <v>-930.71021602426094</v>
      </c>
      <c r="R1811" t="s">
        <v>35162</v>
      </c>
      <c r="S1811" t="s">
        <v>35163</v>
      </c>
      <c r="T1811" t="s">
        <v>35164</v>
      </c>
      <c r="U1811" t="s">
        <v>35165</v>
      </c>
      <c r="V1811">
        <f>-576.547455322917 -53.5208193946321 -91.5504099482345</f>
        <v>-721.61868466578358</v>
      </c>
      <c r="W1811" t="s">
        <v>35166</v>
      </c>
      <c r="X1811" t="s">
        <v>35167</v>
      </c>
      <c r="Y1811" t="s">
        <v>35168</v>
      </c>
    </row>
    <row r="1812" spans="1:25" x14ac:dyDescent="0.3">
      <c r="A1812">
        <v>90550</v>
      </c>
      <c r="B1812" t="s">
        <v>35169</v>
      </c>
      <c r="C1812" t="s">
        <v>35170</v>
      </c>
      <c r="D1812" t="s">
        <v>35171</v>
      </c>
      <c r="E1812" t="s">
        <v>35172</v>
      </c>
      <c r="F1812" t="s">
        <v>35173</v>
      </c>
      <c r="G1812" t="s">
        <v>35174</v>
      </c>
      <c r="H1812" t="s">
        <v>35175</v>
      </c>
      <c r="I1812" t="s">
        <v>35176</v>
      </c>
      <c r="J1812" t="s">
        <v>35177</v>
      </c>
      <c r="K1812" t="s">
        <v>35178</v>
      </c>
      <c r="L1812" t="s">
        <v>35179</v>
      </c>
      <c r="M1812" t="s">
        <v>35180</v>
      </c>
      <c r="N1812" t="s">
        <v>35181</v>
      </c>
      <c r="O1812">
        <f>-651.384078365139 -147.870610787345 -505.668253461334</f>
        <v>-1304.9229426138179</v>
      </c>
      <c r="P1812">
        <f>-604.167560607993 -174.180569313282 -228.798366441916</f>
        <v>-1007.146496363191</v>
      </c>
      <c r="Q1812">
        <f>-438.74279475876 -112.974719186793 -379.917498905834</f>
        <v>-931.63501285138705</v>
      </c>
      <c r="R1812" t="s">
        <v>35182</v>
      </c>
      <c r="S1812" t="s">
        <v>35183</v>
      </c>
      <c r="T1812" t="s">
        <v>35184</v>
      </c>
      <c r="U1812" t="s">
        <v>35185</v>
      </c>
      <c r="V1812">
        <f>-576.945062406798 -53.6926078273973 -91.5990337498731</f>
        <v>-722.23670398406841</v>
      </c>
      <c r="W1812" t="s">
        <v>35186</v>
      </c>
      <c r="X1812" t="s">
        <v>35187</v>
      </c>
      <c r="Y1812" t="s">
        <v>35188</v>
      </c>
    </row>
    <row r="1813" spans="1:25" x14ac:dyDescent="0.3">
      <c r="A1813">
        <v>90600</v>
      </c>
      <c r="B1813" t="s">
        <v>35189</v>
      </c>
      <c r="C1813" t="s">
        <v>35190</v>
      </c>
      <c r="D1813" t="s">
        <v>35191</v>
      </c>
      <c r="E1813" t="s">
        <v>35192</v>
      </c>
      <c r="F1813" t="s">
        <v>35193</v>
      </c>
      <c r="G1813" t="s">
        <v>35194</v>
      </c>
      <c r="H1813" t="s">
        <v>35195</v>
      </c>
      <c r="I1813" t="s">
        <v>35196</v>
      </c>
      <c r="J1813" t="s">
        <v>35197</v>
      </c>
      <c r="K1813" t="s">
        <v>35198</v>
      </c>
      <c r="L1813" t="s">
        <v>35199</v>
      </c>
      <c r="M1813" t="s">
        <v>35200</v>
      </c>
      <c r="N1813" t="s">
        <v>35201</v>
      </c>
      <c r="O1813">
        <f>-652.34205894513 -148.152026215887 -505.629741992475</f>
        <v>-1306.1238271534919</v>
      </c>
      <c r="P1813">
        <f>-605.364010967438 -174.277927196213 -228.701767064135</f>
        <v>-1008.343705227786</v>
      </c>
      <c r="Q1813">
        <f>-439.654516718856 -113.624024535069 -379.73148103423</f>
        <v>-933.01002228815491</v>
      </c>
      <c r="R1813" t="s">
        <v>35202</v>
      </c>
      <c r="S1813" t="s">
        <v>35203</v>
      </c>
      <c r="T1813" t="s">
        <v>35204</v>
      </c>
      <c r="U1813" t="s">
        <v>35205</v>
      </c>
      <c r="V1813">
        <f>-577.649020813191 -53.8020576392369 -91.681665740158</f>
        <v>-723.13274419258585</v>
      </c>
      <c r="W1813" t="s">
        <v>35206</v>
      </c>
      <c r="X1813" t="s">
        <v>35207</v>
      </c>
      <c r="Y1813" t="s">
        <v>35208</v>
      </c>
    </row>
    <row r="1814" spans="1:25" x14ac:dyDescent="0.3">
      <c r="A1814">
        <v>90650</v>
      </c>
      <c r="B1814" t="s">
        <v>35209</v>
      </c>
      <c r="C1814" t="s">
        <v>35210</v>
      </c>
      <c r="D1814" t="s">
        <v>35211</v>
      </c>
      <c r="E1814" t="s">
        <v>35212</v>
      </c>
      <c r="F1814" t="s">
        <v>35213</v>
      </c>
      <c r="G1814" t="s">
        <v>35214</v>
      </c>
      <c r="H1814" t="s">
        <v>35215</v>
      </c>
      <c r="I1814" t="s">
        <v>35216</v>
      </c>
      <c r="J1814" t="s">
        <v>35217</v>
      </c>
      <c r="K1814" t="s">
        <v>35218</v>
      </c>
      <c r="L1814" t="s">
        <v>35219</v>
      </c>
      <c r="M1814" t="s">
        <v>35220</v>
      </c>
      <c r="N1814" t="s">
        <v>35221</v>
      </c>
      <c r="O1814">
        <f>-652.691615422207 -148.273026104549 -505.630090756142</f>
        <v>-1306.5947322828979</v>
      </c>
      <c r="P1814">
        <f>-605.723957552918 -174.319005677559 -228.692829706327</f>
        <v>-1008.7357929368039</v>
      </c>
      <c r="Q1814">
        <f>-440.148350428926 -113.620917388476 -379.85175491694</f>
        <v>-933.62102273434198</v>
      </c>
      <c r="R1814" t="s">
        <v>35222</v>
      </c>
      <c r="S1814" t="s">
        <v>35223</v>
      </c>
      <c r="T1814" t="s">
        <v>35224</v>
      </c>
      <c r="U1814" t="s">
        <v>35225</v>
      </c>
      <c r="V1814">
        <f>-577.941953154513 -53.8181368497401 -91.7072641429968</f>
        <v>-723.46735414724992</v>
      </c>
      <c r="W1814" t="s">
        <v>35226</v>
      </c>
      <c r="X1814" t="s">
        <v>35227</v>
      </c>
      <c r="Y1814" t="s">
        <v>35228</v>
      </c>
    </row>
    <row r="1815" spans="1:25" x14ac:dyDescent="0.3">
      <c r="A1815">
        <v>90700</v>
      </c>
      <c r="B1815" t="s">
        <v>35229</v>
      </c>
      <c r="C1815" t="s">
        <v>35230</v>
      </c>
      <c r="D1815" t="s">
        <v>35231</v>
      </c>
      <c r="E1815" t="s">
        <v>35232</v>
      </c>
      <c r="F1815" t="s">
        <v>35233</v>
      </c>
      <c r="G1815" t="s">
        <v>35234</v>
      </c>
      <c r="H1815" t="s">
        <v>35235</v>
      </c>
      <c r="I1815" t="s">
        <v>35236</v>
      </c>
      <c r="J1815" t="s">
        <v>35237</v>
      </c>
      <c r="K1815" t="s">
        <v>35238</v>
      </c>
      <c r="L1815" t="s">
        <v>35239</v>
      </c>
      <c r="M1815" t="s">
        <v>35240</v>
      </c>
      <c r="N1815" t="s">
        <v>35241</v>
      </c>
      <c r="O1815">
        <f>-653.445204196217 -148.389706346916 -505.656869045991</f>
        <v>-1307.491779589124</v>
      </c>
      <c r="P1815">
        <f>-606.351087593411 -174.514499962582 -228.748616064549</f>
        <v>-1009.614203620542</v>
      </c>
      <c r="Q1815">
        <f>-440.95631292694 -113.347844908512 -379.916448905036</f>
        <v>-934.22060674048794</v>
      </c>
      <c r="R1815" t="s">
        <v>35242</v>
      </c>
      <c r="S1815" t="s">
        <v>35243</v>
      </c>
      <c r="T1815" t="s">
        <v>35244</v>
      </c>
      <c r="U1815" t="s">
        <v>35245</v>
      </c>
      <c r="V1815">
        <f>-578.444238231531 -53.9017023310876 -91.7585992029813</f>
        <v>-724.10453976559984</v>
      </c>
      <c r="W1815" t="s">
        <v>35246</v>
      </c>
      <c r="X1815" t="s">
        <v>35247</v>
      </c>
      <c r="Y1815" t="s">
        <v>35248</v>
      </c>
    </row>
    <row r="1816" spans="1:25" x14ac:dyDescent="0.3">
      <c r="A1816">
        <v>90750</v>
      </c>
      <c r="B1816" t="s">
        <v>35249</v>
      </c>
      <c r="C1816" t="s">
        <v>35250</v>
      </c>
      <c r="D1816" t="s">
        <v>35251</v>
      </c>
      <c r="E1816" t="s">
        <v>35252</v>
      </c>
      <c r="F1816" t="s">
        <v>35253</v>
      </c>
      <c r="G1816" t="s">
        <v>35254</v>
      </c>
      <c r="H1816" t="s">
        <v>35255</v>
      </c>
      <c r="I1816" t="s">
        <v>35256</v>
      </c>
      <c r="J1816" t="s">
        <v>35257</v>
      </c>
      <c r="K1816" t="s">
        <v>35258</v>
      </c>
      <c r="L1816" t="s">
        <v>35259</v>
      </c>
      <c r="M1816" t="s">
        <v>35260</v>
      </c>
      <c r="N1816" t="s">
        <v>35261</v>
      </c>
      <c r="O1816">
        <f>-653.67722068744 -148.537948921047 -505.725415908193</f>
        <v>-1307.9405855166801</v>
      </c>
      <c r="P1816">
        <f>-606.667735040193 -174.661204099903 -228.802513876853</f>
        <v>-1010.131453016949</v>
      </c>
      <c r="Q1816">
        <f>-441.337381754166 -113.295119172966 -379.960012994842</f>
        <v>-934.59251392197393</v>
      </c>
      <c r="R1816" t="s">
        <v>35262</v>
      </c>
      <c r="S1816" t="s">
        <v>35263</v>
      </c>
      <c r="T1816" t="s">
        <v>35264</v>
      </c>
      <c r="U1816" t="s">
        <v>35265</v>
      </c>
      <c r="V1816">
        <f>-578.630835476153 -54.0426109058228 -91.7764353575309</f>
        <v>-724.44988173950674</v>
      </c>
      <c r="W1816" t="s">
        <v>35266</v>
      </c>
      <c r="X1816" t="s">
        <v>35267</v>
      </c>
      <c r="Y1816" t="s">
        <v>35268</v>
      </c>
    </row>
    <row r="1817" spans="1:25" x14ac:dyDescent="0.3">
      <c r="A1817">
        <v>90800</v>
      </c>
      <c r="B1817" t="s">
        <v>35269</v>
      </c>
      <c r="C1817" t="s">
        <v>35270</v>
      </c>
      <c r="D1817" t="s">
        <v>35271</v>
      </c>
      <c r="E1817" t="s">
        <v>35272</v>
      </c>
      <c r="F1817" t="s">
        <v>35273</v>
      </c>
      <c r="G1817" t="s">
        <v>35274</v>
      </c>
      <c r="H1817" t="s">
        <v>35275</v>
      </c>
      <c r="I1817" t="s">
        <v>35276</v>
      </c>
      <c r="J1817" t="s">
        <v>35277</v>
      </c>
      <c r="K1817" t="s">
        <v>35278</v>
      </c>
      <c r="L1817" t="s">
        <v>35279</v>
      </c>
      <c r="M1817" t="s">
        <v>35280</v>
      </c>
      <c r="N1817" t="s">
        <v>35281</v>
      </c>
      <c r="O1817">
        <f>-653.810808415419 -148.93111310761 -505.879271291848</f>
        <v>-1308.6211928148771</v>
      </c>
      <c r="P1817">
        <f>-606.991933826661 -175.172745738105 -228.935211773103</f>
        <v>-1011.0998913378689</v>
      </c>
      <c r="Q1817">
        <f>-441.802623280189 -113.493206961197 -380.119504296357</f>
        <v>-935.41533453774286</v>
      </c>
      <c r="R1817" t="s">
        <v>35282</v>
      </c>
      <c r="S1817" t="s">
        <v>35283</v>
      </c>
      <c r="T1817" t="s">
        <v>35284</v>
      </c>
      <c r="U1817" t="s">
        <v>35285</v>
      </c>
      <c r="V1817">
        <f>-578.897662512635 -54.3754494089844 -91.7945411551483</f>
        <v>-725.06765307676767</v>
      </c>
      <c r="W1817" t="s">
        <v>35286</v>
      </c>
      <c r="X1817" t="s">
        <v>35287</v>
      </c>
      <c r="Y1817" t="s">
        <v>35288</v>
      </c>
    </row>
    <row r="1818" spans="1:25" x14ac:dyDescent="0.3">
      <c r="A1818">
        <v>90850</v>
      </c>
      <c r="B1818" t="s">
        <v>35289</v>
      </c>
      <c r="C1818" t="s">
        <v>35290</v>
      </c>
      <c r="D1818" t="s">
        <v>35291</v>
      </c>
      <c r="E1818" t="s">
        <v>35292</v>
      </c>
      <c r="F1818" t="s">
        <v>35293</v>
      </c>
      <c r="G1818" t="s">
        <v>35294</v>
      </c>
      <c r="H1818" t="s">
        <v>35295</v>
      </c>
      <c r="I1818" t="s">
        <v>35296</v>
      </c>
      <c r="J1818" t="s">
        <v>35297</v>
      </c>
      <c r="K1818" t="s">
        <v>35298</v>
      </c>
      <c r="L1818" t="s">
        <v>35299</v>
      </c>
      <c r="M1818" t="s">
        <v>35300</v>
      </c>
      <c r="N1818" t="s">
        <v>35301</v>
      </c>
      <c r="O1818">
        <f>-653.858801069371 -149.081882683937 -505.967871002979</f>
        <v>-1308.908554756287</v>
      </c>
      <c r="P1818">
        <f>-607.008181730411 -175.407590641054 -229.03728563708</f>
        <v>-1011.453058008545</v>
      </c>
      <c r="Q1818">
        <f>-441.936137698438 -113.560538401413 -380.281194356369</f>
        <v>-935.77787045621994</v>
      </c>
      <c r="R1818" t="s">
        <v>35302</v>
      </c>
      <c r="S1818" t="s">
        <v>35303</v>
      </c>
      <c r="T1818" t="s">
        <v>35304</v>
      </c>
      <c r="U1818" t="s">
        <v>35305</v>
      </c>
      <c r="V1818">
        <f>-579.03996101955 -54.5147456826753 -91.8076111569109</f>
        <v>-725.36231785913617</v>
      </c>
      <c r="W1818" t="s">
        <v>35306</v>
      </c>
      <c r="X1818" t="s">
        <v>35307</v>
      </c>
      <c r="Y1818" t="s">
        <v>35308</v>
      </c>
    </row>
    <row r="1819" spans="1:25" x14ac:dyDescent="0.3">
      <c r="A1819">
        <v>90900</v>
      </c>
      <c r="B1819" t="s">
        <v>35309</v>
      </c>
      <c r="C1819" t="s">
        <v>35310</v>
      </c>
      <c r="D1819" t="s">
        <v>35311</v>
      </c>
      <c r="E1819" t="s">
        <v>35312</v>
      </c>
      <c r="F1819" t="s">
        <v>35313</v>
      </c>
      <c r="G1819" t="s">
        <v>35314</v>
      </c>
      <c r="H1819" t="s">
        <v>35315</v>
      </c>
      <c r="I1819" t="s">
        <v>35316</v>
      </c>
      <c r="J1819" t="s">
        <v>35317</v>
      </c>
      <c r="K1819" t="s">
        <v>35318</v>
      </c>
      <c r="L1819" t="s">
        <v>35319</v>
      </c>
      <c r="M1819" t="s">
        <v>35320</v>
      </c>
      <c r="N1819" t="s">
        <v>35321</v>
      </c>
      <c r="O1819">
        <f>-654.190868156901 -149.291464576391 -506.07858634877</f>
        <v>-1309.5609190820621</v>
      </c>
      <c r="P1819">
        <f>-607.129834571581 -175.860987761315 -229.2070708176</f>
        <v>-1012.1978931504959</v>
      </c>
      <c r="Q1819">
        <f>-442.43234169951 -113.544666718241 -380.666463597133</f>
        <v>-936.64347201488397</v>
      </c>
      <c r="R1819" t="s">
        <v>35322</v>
      </c>
      <c r="S1819" t="s">
        <v>35323</v>
      </c>
      <c r="T1819" t="s">
        <v>35324</v>
      </c>
      <c r="U1819" t="s">
        <v>35325</v>
      </c>
      <c r="V1819">
        <f>-579.335969879352 -54.7456779791205 -91.8343937129338</f>
        <v>-725.91604157140625</v>
      </c>
      <c r="W1819" t="s">
        <v>35326</v>
      </c>
      <c r="X1819" t="s">
        <v>35327</v>
      </c>
      <c r="Y1819" t="s">
        <v>35328</v>
      </c>
    </row>
    <row r="1820" spans="1:25" x14ac:dyDescent="0.3">
      <c r="A1820">
        <v>90950</v>
      </c>
      <c r="B1820" t="s">
        <v>35329</v>
      </c>
      <c r="C1820" t="s">
        <v>35330</v>
      </c>
      <c r="D1820" t="s">
        <v>35331</v>
      </c>
      <c r="E1820" t="s">
        <v>35332</v>
      </c>
      <c r="F1820" t="s">
        <v>35333</v>
      </c>
      <c r="G1820" t="s">
        <v>35334</v>
      </c>
      <c r="H1820" t="s">
        <v>35335</v>
      </c>
      <c r="I1820" t="s">
        <v>35336</v>
      </c>
      <c r="J1820" t="s">
        <v>35337</v>
      </c>
      <c r="K1820" t="s">
        <v>35338</v>
      </c>
      <c r="L1820" t="s">
        <v>35339</v>
      </c>
      <c r="M1820" t="s">
        <v>35340</v>
      </c>
      <c r="N1820" t="s">
        <v>35341</v>
      </c>
      <c r="O1820">
        <f>-654.259188138918 -149.306067634196 -506.177497310711</f>
        <v>-1309.7427530838249</v>
      </c>
      <c r="P1820">
        <f>-607.05534203379 -175.958189676468 -229.33803469839</f>
        <v>-1012.3515664086481</v>
      </c>
      <c r="Q1820">
        <f>-442.554078641907 -113.354345094458 -380.892035853204</f>
        <v>-936.80045958956896</v>
      </c>
      <c r="R1820" t="s">
        <v>35342</v>
      </c>
      <c r="S1820" t="s">
        <v>35343</v>
      </c>
      <c r="T1820" t="s">
        <v>35344</v>
      </c>
      <c r="U1820" t="s">
        <v>35345</v>
      </c>
      <c r="V1820">
        <f>-579.463559883262 -54.82643367016 -91.8409151804096</f>
        <v>-726.13090873383157</v>
      </c>
      <c r="W1820" t="s">
        <v>35346</v>
      </c>
      <c r="X1820" t="s">
        <v>35347</v>
      </c>
      <c r="Y1820" t="s">
        <v>35348</v>
      </c>
    </row>
    <row r="1821" spans="1:25" x14ac:dyDescent="0.3">
      <c r="A1821">
        <v>91000</v>
      </c>
      <c r="B1821" t="s">
        <v>35349</v>
      </c>
      <c r="C1821" t="s">
        <v>35350</v>
      </c>
      <c r="D1821" t="s">
        <v>35351</v>
      </c>
      <c r="E1821" t="s">
        <v>35352</v>
      </c>
      <c r="F1821" t="s">
        <v>35353</v>
      </c>
      <c r="G1821" t="s">
        <v>35354</v>
      </c>
      <c r="H1821" t="s">
        <v>35355</v>
      </c>
      <c r="I1821" t="s">
        <v>35356</v>
      </c>
      <c r="J1821" t="s">
        <v>35357</v>
      </c>
      <c r="K1821" t="s">
        <v>35358</v>
      </c>
      <c r="L1821" t="s">
        <v>35359</v>
      </c>
      <c r="M1821" t="s">
        <v>35360</v>
      </c>
      <c r="N1821" t="s">
        <v>35361</v>
      </c>
      <c r="O1821">
        <f>-654.290588082086 -149.487884429222 -506.410459192209</f>
        <v>-1310.1889317035168</v>
      </c>
      <c r="P1821">
        <f>-606.767476188825 -176.326380034693 -229.64370273486</f>
        <v>-1012.7375589583779</v>
      </c>
      <c r="Q1821">
        <f>-442.951504338702 -112.989078685882 -381.634570103566</f>
        <v>-937.57515312815008</v>
      </c>
      <c r="R1821" t="s">
        <v>35362</v>
      </c>
      <c r="S1821" t="s">
        <v>35363</v>
      </c>
      <c r="T1821" t="s">
        <v>35364</v>
      </c>
      <c r="U1821" t="s">
        <v>35365</v>
      </c>
      <c r="V1821">
        <f>-579.641492525353 -54.9681406833045 -91.8557968052858</f>
        <v>-726.46543001394321</v>
      </c>
      <c r="W1821" t="s">
        <v>35366</v>
      </c>
      <c r="X1821" t="s">
        <v>35367</v>
      </c>
      <c r="Y1821" t="s">
        <v>35368</v>
      </c>
    </row>
    <row r="1822" spans="1:25" x14ac:dyDescent="0.3">
      <c r="A1822">
        <v>91050</v>
      </c>
      <c r="B1822" t="s">
        <v>35369</v>
      </c>
      <c r="C1822" t="s">
        <v>35370</v>
      </c>
      <c r="D1822" t="s">
        <v>35371</v>
      </c>
      <c r="E1822" t="s">
        <v>35372</v>
      </c>
      <c r="F1822" t="s">
        <v>35373</v>
      </c>
      <c r="G1822" t="s">
        <v>35374</v>
      </c>
      <c r="H1822" t="s">
        <v>35375</v>
      </c>
      <c r="I1822" t="s">
        <v>35376</v>
      </c>
      <c r="J1822" t="s">
        <v>35377</v>
      </c>
      <c r="K1822" t="s">
        <v>35378</v>
      </c>
      <c r="L1822" t="s">
        <v>35379</v>
      </c>
      <c r="M1822" t="s">
        <v>35380</v>
      </c>
      <c r="N1822" t="s">
        <v>35381</v>
      </c>
      <c r="O1822">
        <f>-654.347139760758 -149.58990929155 -506.458896926374</f>
        <v>-1310.395945978682</v>
      </c>
      <c r="P1822">
        <f>-606.683542762542 -176.573826393272 -229.730520198406</f>
        <v>-1012.9878893542199</v>
      </c>
      <c r="Q1822">
        <f>-443.399289034627 -112.830635148593 -382.123367561131</f>
        <v>-938.35329174435094</v>
      </c>
      <c r="R1822" t="s">
        <v>35382</v>
      </c>
      <c r="S1822" t="s">
        <v>35383</v>
      </c>
      <c r="T1822" t="s">
        <v>35384</v>
      </c>
      <c r="U1822" t="s">
        <v>35385</v>
      </c>
      <c r="V1822">
        <f>-579.670189533029 -55.0122472802582 -91.8552445859229</f>
        <v>-726.5376813992101</v>
      </c>
      <c r="W1822" t="s">
        <v>35386</v>
      </c>
      <c r="X1822" t="s">
        <v>35387</v>
      </c>
      <c r="Y1822" t="s">
        <v>35388</v>
      </c>
    </row>
    <row r="1823" spans="1:25" x14ac:dyDescent="0.3">
      <c r="A1823">
        <v>91100</v>
      </c>
      <c r="B1823" t="s">
        <v>35389</v>
      </c>
      <c r="C1823" t="s">
        <v>35390</v>
      </c>
      <c r="D1823" t="s">
        <v>35391</v>
      </c>
      <c r="E1823" t="s">
        <v>35392</v>
      </c>
      <c r="F1823" t="s">
        <v>35393</v>
      </c>
      <c r="G1823" t="s">
        <v>35394</v>
      </c>
      <c r="H1823" t="s">
        <v>35395</v>
      </c>
      <c r="I1823" t="s">
        <v>35396</v>
      </c>
      <c r="J1823" t="s">
        <v>35397</v>
      </c>
      <c r="K1823" t="s">
        <v>35398</v>
      </c>
      <c r="L1823" t="s">
        <v>35399</v>
      </c>
      <c r="M1823" t="s">
        <v>35400</v>
      </c>
      <c r="N1823" t="s">
        <v>35401</v>
      </c>
      <c r="O1823">
        <f>-654.309671426286 -149.689649200858 -506.47878645101</f>
        <v>-1310.4781070781542</v>
      </c>
      <c r="P1823">
        <f>-606.218247282459 -177.060534407344 -229.862332108143</f>
        <v>-1013.141113797946</v>
      </c>
      <c r="Q1823">
        <f>-444.108707247864 -112.884072694625 -383.323850857233</f>
        <v>-940.31663079972213</v>
      </c>
      <c r="R1823" t="s">
        <v>35402</v>
      </c>
      <c r="S1823" t="s">
        <v>35403</v>
      </c>
      <c r="T1823" t="s">
        <v>35404</v>
      </c>
      <c r="U1823" t="s">
        <v>35405</v>
      </c>
      <c r="V1823">
        <f>-579.548493492392 -54.9988975513718 -91.8339815283139</f>
        <v>-726.38137257207768</v>
      </c>
      <c r="W1823" t="s">
        <v>35406</v>
      </c>
      <c r="X1823" t="s">
        <v>35407</v>
      </c>
      <c r="Y1823" t="s">
        <v>35408</v>
      </c>
    </row>
    <row r="1824" spans="1:25" x14ac:dyDescent="0.3">
      <c r="A1824">
        <v>91150</v>
      </c>
      <c r="B1824" t="s">
        <v>35409</v>
      </c>
      <c r="C1824" t="s">
        <v>35410</v>
      </c>
      <c r="D1824" t="s">
        <v>35411</v>
      </c>
      <c r="E1824" t="s">
        <v>35412</v>
      </c>
      <c r="F1824" t="s">
        <v>35413</v>
      </c>
      <c r="G1824" t="s">
        <v>35414</v>
      </c>
      <c r="H1824" t="s">
        <v>35415</v>
      </c>
      <c r="I1824" t="s">
        <v>35416</v>
      </c>
      <c r="J1824" t="s">
        <v>35417</v>
      </c>
      <c r="K1824" t="s">
        <v>35418</v>
      </c>
      <c r="L1824" t="s">
        <v>35419</v>
      </c>
      <c r="M1824" t="s">
        <v>35420</v>
      </c>
      <c r="N1824" t="s">
        <v>35421</v>
      </c>
      <c r="O1824">
        <f>-654.453767028699 -149.699272573077 -506.443704263122</f>
        <v>-1310.5967438648979</v>
      </c>
      <c r="P1824">
        <f>-605.812660707129 -177.05633809866 -229.922180321428</f>
        <v>-1012.791179127217</v>
      </c>
      <c r="Q1824">
        <f>-444.707191616068 -112.911388608782 -384.450407839343</f>
        <v>-942.06898806419304</v>
      </c>
      <c r="R1824" t="s">
        <v>35422</v>
      </c>
      <c r="S1824" t="s">
        <v>35423</v>
      </c>
      <c r="T1824" t="s">
        <v>35424</v>
      </c>
      <c r="U1824" t="s">
        <v>35425</v>
      </c>
      <c r="V1824">
        <f>-579.454529886757 -54.9781593202692 -91.8135792459924</f>
        <v>-726.24626845301862</v>
      </c>
      <c r="W1824" t="s">
        <v>35426</v>
      </c>
      <c r="X1824" t="s">
        <v>35427</v>
      </c>
      <c r="Y1824" t="s">
        <v>35428</v>
      </c>
    </row>
    <row r="1825" spans="1:25" x14ac:dyDescent="0.3">
      <c r="A1825">
        <v>91200</v>
      </c>
      <c r="B1825" t="s">
        <v>35429</v>
      </c>
      <c r="C1825" t="s">
        <v>35430</v>
      </c>
      <c r="D1825" t="s">
        <v>35431</v>
      </c>
      <c r="E1825" t="s">
        <v>35432</v>
      </c>
      <c r="F1825" t="s">
        <v>35433</v>
      </c>
      <c r="G1825" t="s">
        <v>35434</v>
      </c>
      <c r="H1825" t="s">
        <v>35435</v>
      </c>
      <c r="I1825" t="s">
        <v>35436</v>
      </c>
      <c r="J1825" t="s">
        <v>35437</v>
      </c>
      <c r="K1825" t="s">
        <v>35438</v>
      </c>
      <c r="L1825" t="s">
        <v>35439</v>
      </c>
      <c r="M1825" t="s">
        <v>35440</v>
      </c>
      <c r="N1825" t="s">
        <v>35441</v>
      </c>
      <c r="O1825">
        <f>-654.903855261574 -149.675810406605 -506.25884019856</f>
        <v>-1310.8385058667391</v>
      </c>
      <c r="P1825">
        <f>-604.267590087097 -177.236486944132 -230.115822672859</f>
        <v>-1011.6198997040881</v>
      </c>
      <c r="Q1825">
        <f>-446.104212216689 -113.13778369198 -387.672964357518</f>
        <v>-946.91496026618699</v>
      </c>
      <c r="R1825" t="s">
        <v>35442</v>
      </c>
      <c r="S1825" t="s">
        <v>35443</v>
      </c>
      <c r="T1825" t="s">
        <v>35444</v>
      </c>
      <c r="U1825" t="s">
        <v>35445</v>
      </c>
      <c r="V1825">
        <f>-579.114462508242 -54.8303263135297 -91.7078672628219</f>
        <v>-725.65265608459356</v>
      </c>
      <c r="W1825" t="s">
        <v>35446</v>
      </c>
      <c r="X1825" t="s">
        <v>35447</v>
      </c>
      <c r="Y1825" t="s">
        <v>35448</v>
      </c>
    </row>
    <row r="1826" spans="1:25" x14ac:dyDescent="0.3">
      <c r="A1826">
        <v>91250</v>
      </c>
      <c r="B1826" t="s">
        <v>35449</v>
      </c>
      <c r="C1826" t="s">
        <v>35450</v>
      </c>
      <c r="D1826" t="s">
        <v>35451</v>
      </c>
      <c r="E1826" t="s">
        <v>35452</v>
      </c>
      <c r="F1826" t="s">
        <v>35453</v>
      </c>
      <c r="G1826" t="s">
        <v>35454</v>
      </c>
      <c r="H1826" t="s">
        <v>35455</v>
      </c>
      <c r="I1826" t="s">
        <v>35456</v>
      </c>
      <c r="J1826" t="s">
        <v>35457</v>
      </c>
      <c r="K1826" t="s">
        <v>35458</v>
      </c>
      <c r="L1826" t="s">
        <v>35459</v>
      </c>
      <c r="M1826" t="s">
        <v>35460</v>
      </c>
      <c r="N1826" t="s">
        <v>35461</v>
      </c>
      <c r="O1826">
        <f>-655.111371326408 -149.570950836634 -506.168499934034</f>
        <v>-1310.8508220970759</v>
      </c>
      <c r="P1826">
        <f>-603.103014369012 -177.490417002433 -230.316727579644</f>
        <v>-1010.910158951089</v>
      </c>
      <c r="Q1826">
        <f>-446.722474621403 -113.165922814886 -389.552423537984</f>
        <v>-949.44082097427304</v>
      </c>
      <c r="R1826" t="s">
        <v>35462</v>
      </c>
      <c r="S1826" t="s">
        <v>35463</v>
      </c>
      <c r="T1826" t="s">
        <v>35464</v>
      </c>
      <c r="U1826" t="s">
        <v>35465</v>
      </c>
      <c r="V1826">
        <f>-578.904973523947 -54.7163087950894 -91.6391638985338</f>
        <v>-725.26044621757012</v>
      </c>
      <c r="W1826" t="s">
        <v>35466</v>
      </c>
      <c r="X1826" t="s">
        <v>35467</v>
      </c>
      <c r="Y1826" t="s">
        <v>35468</v>
      </c>
    </row>
    <row r="1827" spans="1:25" x14ac:dyDescent="0.3">
      <c r="A1827">
        <v>91300</v>
      </c>
      <c r="B1827" t="s">
        <v>35469</v>
      </c>
      <c r="C1827" t="s">
        <v>35470</v>
      </c>
      <c r="D1827" t="s">
        <v>35471</v>
      </c>
      <c r="E1827" t="s">
        <v>35472</v>
      </c>
      <c r="F1827" t="s">
        <v>35473</v>
      </c>
      <c r="G1827" t="s">
        <v>35474</v>
      </c>
      <c r="H1827" t="s">
        <v>35475</v>
      </c>
      <c r="I1827" t="s">
        <v>35476</v>
      </c>
      <c r="J1827" t="s">
        <v>35477</v>
      </c>
      <c r="K1827" t="s">
        <v>35478</v>
      </c>
      <c r="L1827" t="s">
        <v>35479</v>
      </c>
      <c r="M1827" t="s">
        <v>35480</v>
      </c>
      <c r="N1827" t="s">
        <v>35481</v>
      </c>
      <c r="O1827">
        <f>-655.782586397766 -149.368925431465 -505.921743497166</f>
        <v>-1311.073255326397</v>
      </c>
      <c r="P1827">
        <f>-600.641830670067 -177.874566396493 -230.739122182009</f>
        <v>-1009.255519248569</v>
      </c>
      <c r="Q1827">
        <f>-448.251016506014 -113.49534828638 -393.775497195357</f>
        <v>-955.52186198775098</v>
      </c>
      <c r="R1827" t="s">
        <v>35482</v>
      </c>
      <c r="S1827" t="s">
        <v>35483</v>
      </c>
      <c r="T1827" t="s">
        <v>35484</v>
      </c>
      <c r="U1827" t="s">
        <v>35485</v>
      </c>
      <c r="V1827">
        <f>-578.74965382084 -54.5236685934444 -91.5011492707355</f>
        <v>-724.77447168501988</v>
      </c>
      <c r="W1827" t="s">
        <v>35486</v>
      </c>
      <c r="X1827" t="s">
        <v>35487</v>
      </c>
      <c r="Y1827" t="s">
        <v>35488</v>
      </c>
    </row>
    <row r="1828" spans="1:25" x14ac:dyDescent="0.3">
      <c r="A1828">
        <v>91350</v>
      </c>
      <c r="B1828" t="s">
        <v>35489</v>
      </c>
      <c r="C1828" t="s">
        <v>35490</v>
      </c>
      <c r="D1828" t="s">
        <v>35491</v>
      </c>
      <c r="E1828" t="s">
        <v>35492</v>
      </c>
      <c r="F1828" t="s">
        <v>35493</v>
      </c>
      <c r="G1828" t="s">
        <v>35494</v>
      </c>
      <c r="H1828" t="s">
        <v>35495</v>
      </c>
      <c r="I1828" t="s">
        <v>35496</v>
      </c>
      <c r="J1828" t="s">
        <v>35497</v>
      </c>
      <c r="K1828" t="s">
        <v>35498</v>
      </c>
      <c r="L1828" t="s">
        <v>35499</v>
      </c>
      <c r="M1828" t="s">
        <v>35500</v>
      </c>
      <c r="N1828" t="s">
        <v>35501</v>
      </c>
      <c r="O1828">
        <f>-656.219299838465 -149.177831843987 -505.775894120462</f>
        <v>-1311.173025802914</v>
      </c>
      <c r="P1828">
        <f>-599.362804255006 -177.855186068113 -230.960472881699</f>
        <v>-1008.1784632048179</v>
      </c>
      <c r="Q1828">
        <f>-449.013519997732 -113.443658686002 -395.868858768305</f>
        <v>-958.32603745203903</v>
      </c>
      <c r="R1828" t="s">
        <v>35502</v>
      </c>
      <c r="S1828" t="s">
        <v>35503</v>
      </c>
      <c r="T1828" t="s">
        <v>35504</v>
      </c>
      <c r="U1828" t="s">
        <v>35505</v>
      </c>
      <c r="V1828">
        <f>-578.741050465394 -54.4763105892025 -91.4357729126765</f>
        <v>-724.65313396727299</v>
      </c>
      <c r="W1828" t="s">
        <v>35506</v>
      </c>
      <c r="X1828" t="s">
        <v>35507</v>
      </c>
      <c r="Y1828" t="s">
        <v>35508</v>
      </c>
    </row>
    <row r="1829" spans="1:25" x14ac:dyDescent="0.3">
      <c r="A1829">
        <v>91400</v>
      </c>
      <c r="B1829" t="s">
        <v>35509</v>
      </c>
      <c r="C1829" t="s">
        <v>35510</v>
      </c>
      <c r="D1829" t="s">
        <v>35511</v>
      </c>
      <c r="E1829" t="s">
        <v>35512</v>
      </c>
      <c r="F1829" t="s">
        <v>35513</v>
      </c>
      <c r="G1829" t="s">
        <v>35514</v>
      </c>
      <c r="H1829" t="s">
        <v>35515</v>
      </c>
      <c r="I1829" t="s">
        <v>35516</v>
      </c>
      <c r="J1829" t="s">
        <v>35517</v>
      </c>
      <c r="K1829" t="s">
        <v>35518</v>
      </c>
      <c r="L1829" t="s">
        <v>35519</v>
      </c>
      <c r="M1829" t="s">
        <v>35520</v>
      </c>
      <c r="N1829" t="s">
        <v>35521</v>
      </c>
      <c r="O1829">
        <f>-657.032401953432 -148.861432968272 -505.608344559231</f>
        <v>-1311.502179480935</v>
      </c>
      <c r="P1829">
        <f>-597.241713184148 -178.061078014677 -231.471492034483</f>
        <v>-1006.7742832333081</v>
      </c>
      <c r="Q1829">
        <f>-450.280230966899 -113.322972634325 -399.280382512647</f>
        <v>-962.88358611387093</v>
      </c>
      <c r="R1829" t="s">
        <v>35522</v>
      </c>
      <c r="S1829" t="s">
        <v>35523</v>
      </c>
      <c r="T1829" t="s">
        <v>35524</v>
      </c>
      <c r="U1829" t="s">
        <v>35525</v>
      </c>
      <c r="V1829">
        <f>-578.70991233427 -54.3401315219767 -91.3348041378937</f>
        <v>-724.38484799414039</v>
      </c>
      <c r="W1829" t="s">
        <v>35526</v>
      </c>
      <c r="X1829" t="s">
        <v>35527</v>
      </c>
      <c r="Y1829" t="s">
        <v>35528</v>
      </c>
    </row>
    <row r="1830" spans="1:25" x14ac:dyDescent="0.3">
      <c r="A1830">
        <v>91450</v>
      </c>
      <c r="B1830" t="s">
        <v>35529</v>
      </c>
      <c r="C1830" t="s">
        <v>35530</v>
      </c>
      <c r="D1830" t="s">
        <v>35531</v>
      </c>
      <c r="E1830" t="s">
        <v>35532</v>
      </c>
      <c r="F1830" t="s">
        <v>35533</v>
      </c>
      <c r="G1830" t="s">
        <v>35534</v>
      </c>
      <c r="H1830" t="s">
        <v>35535</v>
      </c>
      <c r="I1830" t="s">
        <v>35536</v>
      </c>
      <c r="J1830" t="s">
        <v>35537</v>
      </c>
      <c r="K1830" t="s">
        <v>35538</v>
      </c>
      <c r="L1830" t="s">
        <v>35539</v>
      </c>
      <c r="M1830" t="s">
        <v>35540</v>
      </c>
      <c r="N1830" t="s">
        <v>35541</v>
      </c>
      <c r="O1830">
        <f>-657.477309722979 -148.643354485979 -505.605819569117</f>
        <v>-1311.7264837780749</v>
      </c>
      <c r="P1830">
        <f>-596.509397448593 -178.072726710494 -231.752888299493</f>
        <v>-1006.33501245858</v>
      </c>
      <c r="Q1830">
        <f>-450.955071841668 -113.156887550856 -400.715667463009</f>
        <v>-964.82762685553303</v>
      </c>
      <c r="R1830" t="s">
        <v>35542</v>
      </c>
      <c r="S1830" t="s">
        <v>35543</v>
      </c>
      <c r="T1830" t="s">
        <v>35544</v>
      </c>
      <c r="U1830" t="s">
        <v>35545</v>
      </c>
      <c r="V1830">
        <f>-578.713423785367 -54.254252213668 -91.2971912469022</f>
        <v>-724.26486724593724</v>
      </c>
      <c r="W1830" t="s">
        <v>35546</v>
      </c>
      <c r="X1830" t="s">
        <v>35547</v>
      </c>
      <c r="Y1830" t="s">
        <v>35548</v>
      </c>
    </row>
    <row r="1831" spans="1:25" x14ac:dyDescent="0.3">
      <c r="A1831">
        <v>91500</v>
      </c>
      <c r="B1831" t="s">
        <v>35549</v>
      </c>
      <c r="C1831" t="s">
        <v>35550</v>
      </c>
      <c r="D1831" t="s">
        <v>35551</v>
      </c>
      <c r="E1831" t="s">
        <v>35552</v>
      </c>
      <c r="F1831" t="s">
        <v>35553</v>
      </c>
      <c r="G1831" t="s">
        <v>35554</v>
      </c>
      <c r="H1831" t="s">
        <v>35555</v>
      </c>
      <c r="I1831" t="s">
        <v>35556</v>
      </c>
      <c r="J1831" t="s">
        <v>35557</v>
      </c>
      <c r="K1831" t="s">
        <v>35558</v>
      </c>
      <c r="L1831" t="s">
        <v>35559</v>
      </c>
      <c r="M1831" t="s">
        <v>35560</v>
      </c>
      <c r="N1831" t="s">
        <v>35561</v>
      </c>
      <c r="O1831">
        <f>-658.403900213788 -148.209282533631 -505.533211493072</f>
        <v>-1312.146394240491</v>
      </c>
      <c r="P1831">
        <f>-595.375981810247 -178.356692506955 -232.225412590972</f>
        <v>-1005.9580869081741</v>
      </c>
      <c r="Q1831">
        <f>-452.342020019688 -112.718350561948 -403.051034362208</f>
        <v>-968.11140494384404</v>
      </c>
      <c r="R1831" t="s">
        <v>35562</v>
      </c>
      <c r="S1831" t="s">
        <v>35563</v>
      </c>
      <c r="T1831" t="s">
        <v>35564</v>
      </c>
      <c r="U1831" t="s">
        <v>35565</v>
      </c>
      <c r="V1831">
        <f>-578.778547425005 -54.1120242779011 -91.2275226909626</f>
        <v>-724.11809439386866</v>
      </c>
      <c r="W1831" t="s">
        <v>35566</v>
      </c>
      <c r="X1831" t="s">
        <v>35567</v>
      </c>
      <c r="Y1831" t="s">
        <v>35568</v>
      </c>
    </row>
    <row r="1832" spans="1:25" x14ac:dyDescent="0.3">
      <c r="A1832">
        <v>91550</v>
      </c>
      <c r="B1832" t="s">
        <v>35569</v>
      </c>
      <c r="C1832" t="s">
        <v>35570</v>
      </c>
      <c r="D1832" t="s">
        <v>35571</v>
      </c>
      <c r="E1832" t="s">
        <v>35572</v>
      </c>
      <c r="F1832" t="s">
        <v>35573</v>
      </c>
      <c r="G1832" t="s">
        <v>35574</v>
      </c>
      <c r="H1832" t="s">
        <v>35575</v>
      </c>
      <c r="I1832" t="s">
        <v>35576</v>
      </c>
      <c r="J1832" t="s">
        <v>35577</v>
      </c>
      <c r="K1832" t="s">
        <v>35578</v>
      </c>
      <c r="L1832" t="s">
        <v>35579</v>
      </c>
      <c r="M1832" t="s">
        <v>35580</v>
      </c>
      <c r="N1832" t="s">
        <v>35581</v>
      </c>
      <c r="O1832">
        <f>-658.85393716831 -147.96661079069 -505.463785833683</f>
        <v>-1312.2843337926829</v>
      </c>
      <c r="P1832">
        <f>-594.932259168435 -177.980482600869 -232.348701668195</f>
        <v>-1005.261443437499</v>
      </c>
      <c r="Q1832">
        <f>-452.681432266831 -112.213274056031 -403.777749297382</f>
        <v>-968.67245562024402</v>
      </c>
      <c r="R1832" t="s">
        <v>35582</v>
      </c>
      <c r="S1832" t="s">
        <v>35583</v>
      </c>
      <c r="T1832" t="s">
        <v>35584</v>
      </c>
      <c r="U1832" t="s">
        <v>35585</v>
      </c>
      <c r="V1832">
        <f>-578.80243344178 -54.0390378178133 -91.1989019743399</f>
        <v>-724.04037323393322</v>
      </c>
      <c r="W1832" t="s">
        <v>35586</v>
      </c>
      <c r="X1832" t="s">
        <v>35587</v>
      </c>
      <c r="Y1832" t="s">
        <v>35588</v>
      </c>
    </row>
    <row r="1833" spans="1:25" x14ac:dyDescent="0.3">
      <c r="A1833">
        <v>91600</v>
      </c>
      <c r="B1833" t="s">
        <v>35589</v>
      </c>
      <c r="C1833" t="s">
        <v>35590</v>
      </c>
      <c r="D1833" t="s">
        <v>35591</v>
      </c>
      <c r="E1833" t="s">
        <v>35592</v>
      </c>
      <c r="F1833" t="s">
        <v>35593</v>
      </c>
      <c r="G1833" t="s">
        <v>35594</v>
      </c>
      <c r="H1833" t="s">
        <v>35595</v>
      </c>
      <c r="I1833" t="s">
        <v>35596</v>
      </c>
      <c r="J1833" t="s">
        <v>35597</v>
      </c>
      <c r="K1833" t="s">
        <v>35598</v>
      </c>
      <c r="L1833" t="s">
        <v>35599</v>
      </c>
      <c r="M1833" t="s">
        <v>35600</v>
      </c>
      <c r="N1833" t="s">
        <v>35601</v>
      </c>
      <c r="O1833">
        <f>-659.301112014955 -147.444639337322 -505.387349853183</f>
        <v>-1312.13310120546</v>
      </c>
      <c r="P1833">
        <f>-594.144736669674 -177.075457583574 -232.522449369514</f>
        <v>-1003.742643622762</v>
      </c>
      <c r="Q1833">
        <f>-452.582569404873 -110.852081308047 -404.345432844249</f>
        <v>-967.78008355716906</v>
      </c>
      <c r="R1833" t="s">
        <v>35602</v>
      </c>
      <c r="S1833" t="s">
        <v>35603</v>
      </c>
      <c r="T1833" t="s">
        <v>35604</v>
      </c>
      <c r="U1833" t="s">
        <v>35605</v>
      </c>
      <c r="V1833">
        <f>-578.828753721767 -53.8236442497382 -91.1312147173546</f>
        <v>-723.78361268885988</v>
      </c>
      <c r="W1833" t="s">
        <v>35606</v>
      </c>
      <c r="X1833" t="s">
        <v>35607</v>
      </c>
      <c r="Y1833" t="s">
        <v>35608</v>
      </c>
    </row>
    <row r="1834" spans="1:25" x14ac:dyDescent="0.3">
      <c r="A1834">
        <v>91650</v>
      </c>
      <c r="B1834" t="s">
        <v>35609</v>
      </c>
      <c r="C1834" t="s">
        <v>35610</v>
      </c>
      <c r="D1834" t="s">
        <v>35611</v>
      </c>
      <c r="E1834" t="s">
        <v>35612</v>
      </c>
      <c r="F1834" t="s">
        <v>35613</v>
      </c>
      <c r="G1834" t="s">
        <v>35614</v>
      </c>
      <c r="H1834" t="s">
        <v>35615</v>
      </c>
      <c r="I1834" t="s">
        <v>35616</v>
      </c>
      <c r="J1834" t="s">
        <v>35617</v>
      </c>
      <c r="K1834" t="s">
        <v>35618</v>
      </c>
      <c r="L1834" t="s">
        <v>35619</v>
      </c>
      <c r="M1834" t="s">
        <v>35620</v>
      </c>
      <c r="N1834" t="s">
        <v>35621</v>
      </c>
      <c r="O1834">
        <f>-659.217524242696 -147.204048679378 -505.442450624816</f>
        <v>-1311.8640235468899</v>
      </c>
      <c r="P1834">
        <f>-593.89749042223 -177.010995810533 -232.63590549933</f>
        <v>-1003.544391732093</v>
      </c>
      <c r="Q1834">
        <f>-452.297041048544 -110.270411447386 -404.227024344039</f>
        <v>-966.79447683996898</v>
      </c>
      <c r="R1834" t="s">
        <v>35622</v>
      </c>
      <c r="S1834" t="s">
        <v>35623</v>
      </c>
      <c r="T1834" t="s">
        <v>35624</v>
      </c>
      <c r="U1834" t="s">
        <v>35625</v>
      </c>
      <c r="V1834">
        <f>-578.869925441292 -53.7050039566923 -91.0935743757949</f>
        <v>-723.66850377377921</v>
      </c>
      <c r="W1834" t="s">
        <v>35626</v>
      </c>
      <c r="X1834" t="s">
        <v>35627</v>
      </c>
      <c r="Y1834" t="s">
        <v>35628</v>
      </c>
    </row>
    <row r="1835" spans="1:25" x14ac:dyDescent="0.3">
      <c r="A1835">
        <v>91700</v>
      </c>
      <c r="B1835" t="s">
        <v>35629</v>
      </c>
      <c r="C1835" t="s">
        <v>35630</v>
      </c>
      <c r="D1835" t="s">
        <v>35631</v>
      </c>
      <c r="E1835" t="s">
        <v>35632</v>
      </c>
      <c r="F1835" t="s">
        <v>35633</v>
      </c>
      <c r="G1835" t="s">
        <v>35634</v>
      </c>
      <c r="H1835" t="s">
        <v>35635</v>
      </c>
      <c r="I1835" t="s">
        <v>35636</v>
      </c>
      <c r="J1835" t="s">
        <v>35637</v>
      </c>
      <c r="K1835" t="s">
        <v>35638</v>
      </c>
      <c r="L1835" t="s">
        <v>35639</v>
      </c>
      <c r="M1835" t="s">
        <v>35640</v>
      </c>
      <c r="N1835" t="s">
        <v>35641</v>
      </c>
      <c r="O1835">
        <f>-658.986797989992 -146.540853566086 -505.407567146078</f>
        <v>-1310.9352187021561</v>
      </c>
      <c r="P1835">
        <f>-593.782234047405 -176.104535153072 -232.546844713415</f>
        <v>-1002.433613913892</v>
      </c>
      <c r="Q1835">
        <f>-451.66708681631 -108.783050018777 -403.484326600304</f>
        <v>-963.93446343539108</v>
      </c>
      <c r="R1835" t="s">
        <v>35642</v>
      </c>
      <c r="S1835" t="s">
        <v>35643</v>
      </c>
      <c r="T1835" t="s">
        <v>35644</v>
      </c>
      <c r="U1835" t="s">
        <v>35645</v>
      </c>
      <c r="V1835">
        <f>-578.832942936666 -53.3424979491265 -90.9968687837251</f>
        <v>-723.17230966951752</v>
      </c>
      <c r="W1835" t="s">
        <v>35646</v>
      </c>
      <c r="X1835" t="s">
        <v>35647</v>
      </c>
      <c r="Y1835" t="s">
        <v>35648</v>
      </c>
    </row>
    <row r="1836" spans="1:25" x14ac:dyDescent="0.3">
      <c r="A1836">
        <v>91750</v>
      </c>
      <c r="B1836" t="s">
        <v>35649</v>
      </c>
      <c r="C1836" t="s">
        <v>35650</v>
      </c>
      <c r="D1836" t="s">
        <v>35651</v>
      </c>
      <c r="E1836" t="s">
        <v>35652</v>
      </c>
      <c r="F1836" t="s">
        <v>35653</v>
      </c>
      <c r="G1836" t="s">
        <v>35654</v>
      </c>
      <c r="H1836" t="s">
        <v>35655</v>
      </c>
      <c r="I1836" t="s">
        <v>35656</v>
      </c>
      <c r="J1836" t="s">
        <v>35657</v>
      </c>
      <c r="K1836" t="s">
        <v>35658</v>
      </c>
      <c r="L1836" t="s">
        <v>35659</v>
      </c>
      <c r="M1836" t="s">
        <v>35660</v>
      </c>
      <c r="N1836" t="s">
        <v>35661</v>
      </c>
      <c r="O1836">
        <f>-658.818162993663 -146.17240907177 -505.389098756916</f>
        <v>-1310.379670822349</v>
      </c>
      <c r="P1836">
        <f>-593.943040875455 -175.638217175419 -232.439347640285</f>
        <v>-1002.0206056911591</v>
      </c>
      <c r="Q1836">
        <f>-451.453055248131 -108.207417444327 -403.021409559007</f>
        <v>-962.68188225146503</v>
      </c>
      <c r="R1836" t="s">
        <v>35662</v>
      </c>
      <c r="S1836" t="s">
        <v>35663</v>
      </c>
      <c r="T1836" t="s">
        <v>35664</v>
      </c>
      <c r="U1836" t="s">
        <v>35665</v>
      </c>
      <c r="V1836">
        <f>-578.759392780238 -53.1409112355045 -90.932945097264</f>
        <v>-722.83324911300656</v>
      </c>
      <c r="W1836" t="s">
        <v>35666</v>
      </c>
      <c r="X1836" t="s">
        <v>35667</v>
      </c>
      <c r="Y1836" t="s">
        <v>35668</v>
      </c>
    </row>
    <row r="1837" spans="1:25" x14ac:dyDescent="0.3">
      <c r="A1837">
        <v>91800</v>
      </c>
      <c r="B1837" t="s">
        <v>35669</v>
      </c>
      <c r="C1837" t="s">
        <v>35670</v>
      </c>
      <c r="D1837" t="s">
        <v>35671</v>
      </c>
      <c r="E1837" t="s">
        <v>35672</v>
      </c>
      <c r="F1837" t="s">
        <v>35673</v>
      </c>
      <c r="G1837" t="s">
        <v>35674</v>
      </c>
      <c r="H1837" t="s">
        <v>35675</v>
      </c>
      <c r="I1837" t="s">
        <v>35676</v>
      </c>
      <c r="J1837" t="s">
        <v>35677</v>
      </c>
      <c r="K1837" t="s">
        <v>35678</v>
      </c>
      <c r="L1837" t="s">
        <v>35679</v>
      </c>
      <c r="M1837" t="s">
        <v>35680</v>
      </c>
      <c r="N1837" t="s">
        <v>35681</v>
      </c>
      <c r="O1837">
        <f>-657.990193822273 -145.620243329545 -505.486613337333</f>
        <v>-1309.0970504891511</v>
      </c>
      <c r="P1837">
        <f>-594.030517661812 -175.011667950427 -232.312910817545</f>
        <v>-1001.3550964297841</v>
      </c>
      <c r="Q1837">
        <f>-450.471080953494 -107.531638498397 -401.976376613765</f>
        <v>-959.97909606565599</v>
      </c>
      <c r="R1837" t="s">
        <v>35682</v>
      </c>
      <c r="S1837" t="s">
        <v>35683</v>
      </c>
      <c r="T1837" t="s">
        <v>35684</v>
      </c>
      <c r="U1837" t="s">
        <v>35685</v>
      </c>
      <c r="V1837">
        <f>-578.695633200978 -52.8984726303142 -90.839253479968</f>
        <v>-722.43335931126023</v>
      </c>
      <c r="W1837" t="s">
        <v>35686</v>
      </c>
      <c r="X1837" t="s">
        <v>35687</v>
      </c>
      <c r="Y1837" t="s">
        <v>35688</v>
      </c>
    </row>
    <row r="1838" spans="1:25" x14ac:dyDescent="0.3">
      <c r="A1838">
        <v>91850</v>
      </c>
      <c r="B1838" t="s">
        <v>35689</v>
      </c>
      <c r="C1838" t="s">
        <v>35690</v>
      </c>
      <c r="D1838" t="s">
        <v>35691</v>
      </c>
      <c r="E1838" t="s">
        <v>35692</v>
      </c>
      <c r="F1838" t="s">
        <v>35693</v>
      </c>
      <c r="G1838" t="s">
        <v>35694</v>
      </c>
      <c r="H1838" t="s">
        <v>35695</v>
      </c>
      <c r="I1838" t="s">
        <v>35696</v>
      </c>
      <c r="J1838" t="s">
        <v>35697</v>
      </c>
      <c r="K1838" t="s">
        <v>35698</v>
      </c>
      <c r="L1838" t="s">
        <v>35699</v>
      </c>
      <c r="M1838" t="s">
        <v>35700</v>
      </c>
      <c r="N1838" t="s">
        <v>35701</v>
      </c>
      <c r="O1838">
        <f>-657.356168088287 -145.349818561351 -505.568762598798</f>
        <v>-1308.2747492484359</v>
      </c>
      <c r="P1838">
        <f>-593.972014048215 -174.812690571292 -232.268618649791</f>
        <v>-1001.0533232692981</v>
      </c>
      <c r="Q1838">
        <f>-449.8555325496 -107.299173258728 -401.445681217593</f>
        <v>-958.60038702592101</v>
      </c>
      <c r="R1838" t="s">
        <v>35702</v>
      </c>
      <c r="S1838" t="s">
        <v>35703</v>
      </c>
      <c r="T1838" t="s">
        <v>35704</v>
      </c>
      <c r="U1838" t="s">
        <v>35705</v>
      </c>
      <c r="V1838">
        <f>-578.678329845983 -52.7515722037642 -90.8074619141275</f>
        <v>-722.23736396387471</v>
      </c>
      <c r="W1838" t="s">
        <v>35706</v>
      </c>
      <c r="X1838" t="s">
        <v>35707</v>
      </c>
      <c r="Y1838" t="s">
        <v>35708</v>
      </c>
    </row>
    <row r="1839" spans="1:25" x14ac:dyDescent="0.3">
      <c r="A1839">
        <v>91900</v>
      </c>
      <c r="B1839" t="s">
        <v>35709</v>
      </c>
      <c r="C1839" t="s">
        <v>35710</v>
      </c>
      <c r="D1839" t="s">
        <v>35711</v>
      </c>
      <c r="E1839" t="s">
        <v>35712</v>
      </c>
      <c r="F1839" t="s">
        <v>35713</v>
      </c>
      <c r="G1839" t="s">
        <v>35714</v>
      </c>
      <c r="H1839" t="s">
        <v>35715</v>
      </c>
      <c r="I1839" t="s">
        <v>35716</v>
      </c>
      <c r="J1839" t="s">
        <v>35717</v>
      </c>
      <c r="K1839" t="s">
        <v>35718</v>
      </c>
      <c r="L1839" t="s">
        <v>35719</v>
      </c>
      <c r="M1839" t="s">
        <v>35720</v>
      </c>
      <c r="N1839" t="s">
        <v>35721</v>
      </c>
      <c r="O1839">
        <f>-656.434734012257 -144.857799408783 -505.625066995721</f>
        <v>-1306.9176004167609</v>
      </c>
      <c r="P1839">
        <f>-594.083449931204 -174.346127313994 -232.090277099217</f>
        <v>-1000.519854344415</v>
      </c>
      <c r="Q1839">
        <f>-449.172670463685 -106.650516577276 -400.514403580816</f>
        <v>-956.33759062177705</v>
      </c>
      <c r="R1839" t="s">
        <v>35722</v>
      </c>
      <c r="S1839" t="s">
        <v>35723</v>
      </c>
      <c r="T1839" t="s">
        <v>35724</v>
      </c>
      <c r="U1839" t="s">
        <v>35725</v>
      </c>
      <c r="V1839">
        <f>-578.832122713075 -52.4561321192334 -90.7829092239667</f>
        <v>-722.07116405627517</v>
      </c>
      <c r="W1839" t="s">
        <v>35726</v>
      </c>
      <c r="X1839" t="s">
        <v>35727</v>
      </c>
      <c r="Y1839" t="s">
        <v>35728</v>
      </c>
    </row>
    <row r="1840" spans="1:25" x14ac:dyDescent="0.3">
      <c r="A1840">
        <v>91950</v>
      </c>
      <c r="B1840" t="s">
        <v>35729</v>
      </c>
      <c r="C1840" t="s">
        <v>35730</v>
      </c>
      <c r="D1840" t="s">
        <v>35731</v>
      </c>
      <c r="E1840" t="s">
        <v>35732</v>
      </c>
      <c r="F1840" t="s">
        <v>35733</v>
      </c>
      <c r="G1840" t="s">
        <v>35734</v>
      </c>
      <c r="H1840" t="s">
        <v>35735</v>
      </c>
      <c r="I1840" t="s">
        <v>35736</v>
      </c>
      <c r="J1840" t="s">
        <v>35737</v>
      </c>
      <c r="K1840" t="s">
        <v>35738</v>
      </c>
      <c r="L1840" t="s">
        <v>35739</v>
      </c>
      <c r="M1840" t="s">
        <v>35740</v>
      </c>
      <c r="N1840" t="s">
        <v>35741</v>
      </c>
      <c r="O1840">
        <f>-656.225896141185 -144.607355949397 -505.667068576702</f>
        <v>-1306.5003206672839</v>
      </c>
      <c r="P1840">
        <f>-594.419064410752 -174.048490615135 -232.003465764831</f>
        <v>-1000.4710207907178</v>
      </c>
      <c r="Q1840">
        <f>-449.085475931985 -106.399920956232 -400.082005257156</f>
        <v>-955.56740214537308</v>
      </c>
      <c r="R1840" t="s">
        <v>35742</v>
      </c>
      <c r="S1840" t="s">
        <v>35743</v>
      </c>
      <c r="T1840" t="s">
        <v>35744</v>
      </c>
      <c r="U1840" t="s">
        <v>35745</v>
      </c>
      <c r="V1840">
        <f>-579.070708124541 -52.3763613720482 -90.7989400810732</f>
        <v>-722.24600957766245</v>
      </c>
      <c r="W1840" t="s">
        <v>35746</v>
      </c>
      <c r="X1840" t="s">
        <v>35747</v>
      </c>
      <c r="Y1840" t="s">
        <v>35748</v>
      </c>
    </row>
    <row r="1841" spans="1:25" x14ac:dyDescent="0.3">
      <c r="A1841">
        <v>92000</v>
      </c>
      <c r="B1841" t="s">
        <v>35749</v>
      </c>
      <c r="C1841" t="s">
        <v>35750</v>
      </c>
      <c r="D1841" t="s">
        <v>35751</v>
      </c>
      <c r="E1841" t="s">
        <v>35752</v>
      </c>
      <c r="F1841" t="s">
        <v>35753</v>
      </c>
      <c r="G1841" t="s">
        <v>35754</v>
      </c>
      <c r="H1841" t="s">
        <v>35755</v>
      </c>
      <c r="I1841" t="s">
        <v>35756</v>
      </c>
      <c r="J1841" t="s">
        <v>35757</v>
      </c>
      <c r="K1841" t="s">
        <v>35758</v>
      </c>
      <c r="L1841" t="s">
        <v>35759</v>
      </c>
      <c r="M1841" t="s">
        <v>35760</v>
      </c>
      <c r="N1841" t="s">
        <v>35761</v>
      </c>
      <c r="O1841">
        <f>-656.095653859582 -144.226097277726 -505.811172045101</f>
        <v>-1306.1329231824088</v>
      </c>
      <c r="P1841">
        <f>-595.498788291864 -173.482897121208 -231.857485943929</f>
        <v>-1000.839171357001</v>
      </c>
      <c r="Q1841">
        <f>-449.158727733469 -106.309237077961 -399.251682838542</f>
        <v>-954.71964764997199</v>
      </c>
      <c r="R1841" t="s">
        <v>35762</v>
      </c>
      <c r="S1841" t="s">
        <v>35763</v>
      </c>
      <c r="T1841" t="s">
        <v>35764</v>
      </c>
      <c r="U1841" t="s">
        <v>35765</v>
      </c>
      <c r="V1841">
        <f>-579.801840071607 -52.1835137161891 -90.9075512937881</f>
        <v>-722.8929050815841</v>
      </c>
      <c r="W1841" t="s">
        <v>35766</v>
      </c>
      <c r="X1841" t="s">
        <v>35767</v>
      </c>
      <c r="Y1841" t="s">
        <v>35768</v>
      </c>
    </row>
    <row r="1842" spans="1:25" x14ac:dyDescent="0.3">
      <c r="A1842">
        <v>92050</v>
      </c>
      <c r="B1842" t="s">
        <v>35769</v>
      </c>
      <c r="C1842" t="s">
        <v>35770</v>
      </c>
      <c r="D1842" t="s">
        <v>35771</v>
      </c>
      <c r="E1842" t="s">
        <v>35772</v>
      </c>
      <c r="F1842" t="s">
        <v>35773</v>
      </c>
      <c r="G1842" t="s">
        <v>35774</v>
      </c>
      <c r="H1842" t="s">
        <v>35775</v>
      </c>
      <c r="I1842" t="s">
        <v>35776</v>
      </c>
      <c r="J1842" t="s">
        <v>35777</v>
      </c>
      <c r="K1842" t="s">
        <v>35778</v>
      </c>
      <c r="L1842" t="s">
        <v>35779</v>
      </c>
      <c r="M1842" t="s">
        <v>35780</v>
      </c>
      <c r="N1842" t="s">
        <v>35781</v>
      </c>
      <c r="O1842">
        <f>-656.256580517618 -144.022681402112 -505.856943539454</f>
        <v>-1306.1362054591839</v>
      </c>
      <c r="P1842">
        <f>-596.345499956051 -173.294174499984 -231.754066571842</f>
        <v>-1001.393741027877</v>
      </c>
      <c r="Q1842">
        <f>-449.460738352177 -106.39711180918 -398.781538364219</f>
        <v>-954.6393885255759</v>
      </c>
      <c r="R1842" t="s">
        <v>35782</v>
      </c>
      <c r="S1842" t="s">
        <v>35783</v>
      </c>
      <c r="T1842" t="s">
        <v>35784</v>
      </c>
      <c r="U1842" t="s">
        <v>35785</v>
      </c>
      <c r="V1842">
        <f>-580.260703441343 -52.0502654018037 -90.9985021598737</f>
        <v>-723.30947100302046</v>
      </c>
      <c r="W1842" t="s">
        <v>35786</v>
      </c>
      <c r="X1842" t="s">
        <v>35787</v>
      </c>
      <c r="Y1842" t="s">
        <v>35788</v>
      </c>
    </row>
    <row r="1843" spans="1:25" x14ac:dyDescent="0.3">
      <c r="A1843">
        <v>92100</v>
      </c>
      <c r="B1843" t="s">
        <v>35789</v>
      </c>
      <c r="C1843" t="s">
        <v>35790</v>
      </c>
      <c r="D1843" t="s">
        <v>35791</v>
      </c>
      <c r="E1843" t="s">
        <v>35792</v>
      </c>
      <c r="F1843" t="s">
        <v>35793</v>
      </c>
      <c r="G1843" t="s">
        <v>35794</v>
      </c>
      <c r="H1843" t="s">
        <v>35795</v>
      </c>
      <c r="I1843" t="s">
        <v>35796</v>
      </c>
      <c r="J1843" t="s">
        <v>35797</v>
      </c>
      <c r="K1843" t="s">
        <v>35798</v>
      </c>
      <c r="L1843" t="s">
        <v>35799</v>
      </c>
      <c r="M1843" t="s">
        <v>35800</v>
      </c>
      <c r="N1843" t="s">
        <v>35801</v>
      </c>
      <c r="O1843">
        <f>-656.668917728383 -143.564922451933 -506.050177664699</f>
        <v>-1306.2840178450151</v>
      </c>
      <c r="P1843">
        <f>-598.139441186404 -172.691030346911 -231.633530290927</f>
        <v>-1002.4640018242421</v>
      </c>
      <c r="Q1843">
        <f>-450.222107064676 -106.672252373392 -398.098213701522</f>
        <v>-954.99257313959004</v>
      </c>
      <c r="R1843" t="s">
        <v>35802</v>
      </c>
      <c r="S1843" t="s">
        <v>35803</v>
      </c>
      <c r="T1843" t="s">
        <v>35804</v>
      </c>
      <c r="U1843" t="s">
        <v>35805</v>
      </c>
      <c r="V1843">
        <f>-581.136851900755 -51.7123993256957 -91.2178708408479</f>
        <v>-724.06712206729867</v>
      </c>
      <c r="W1843" t="s">
        <v>35806</v>
      </c>
      <c r="X1843" t="s">
        <v>35807</v>
      </c>
      <c r="Y1843" t="s">
        <v>35808</v>
      </c>
    </row>
    <row r="1844" spans="1:25" x14ac:dyDescent="0.3">
      <c r="A1844">
        <v>92150</v>
      </c>
      <c r="B1844" t="s">
        <v>35809</v>
      </c>
      <c r="C1844" t="s">
        <v>35810</v>
      </c>
      <c r="D1844" t="s">
        <v>35811</v>
      </c>
      <c r="E1844" t="s">
        <v>35812</v>
      </c>
      <c r="F1844" t="s">
        <v>35813</v>
      </c>
      <c r="G1844" t="s">
        <v>35814</v>
      </c>
      <c r="H1844" t="s">
        <v>35815</v>
      </c>
      <c r="I1844" t="s">
        <v>35816</v>
      </c>
      <c r="J1844" t="s">
        <v>35817</v>
      </c>
      <c r="K1844" t="s">
        <v>35818</v>
      </c>
      <c r="L1844" t="s">
        <v>35819</v>
      </c>
      <c r="M1844" t="s">
        <v>35820</v>
      </c>
      <c r="N1844" t="s">
        <v>35821</v>
      </c>
      <c r="O1844">
        <f>-656.849060204319 -143.359808738448 -506.129652064391</f>
        <v>-1306.3385210071581</v>
      </c>
      <c r="P1844">
        <f>-598.839444641654 -172.370933701214 -231.590371389357</f>
        <v>-1002.800749732225</v>
      </c>
      <c r="Q1844">
        <f>-450.447444417898 -106.901483051816 -397.849545098763</f>
        <v>-955.19847256847697</v>
      </c>
      <c r="R1844" t="s">
        <v>35822</v>
      </c>
      <c r="S1844" t="s">
        <v>35823</v>
      </c>
      <c r="T1844" t="s">
        <v>35824</v>
      </c>
      <c r="U1844" t="s">
        <v>35825</v>
      </c>
      <c r="V1844">
        <f>-581.524351982547 -51.561998640103 -91.3160103847991</f>
        <v>-724.40236100744914</v>
      </c>
      <c r="W1844" t="s">
        <v>35826</v>
      </c>
      <c r="X1844" t="s">
        <v>35827</v>
      </c>
      <c r="Y1844" t="s">
        <v>35828</v>
      </c>
    </row>
    <row r="1845" spans="1:25" x14ac:dyDescent="0.3">
      <c r="A1845">
        <v>92200</v>
      </c>
      <c r="B1845" t="s">
        <v>35829</v>
      </c>
      <c r="C1845" t="s">
        <v>35830</v>
      </c>
      <c r="D1845" t="s">
        <v>35831</v>
      </c>
      <c r="E1845" t="s">
        <v>35832</v>
      </c>
      <c r="F1845" t="s">
        <v>35833</v>
      </c>
      <c r="G1845" t="s">
        <v>35834</v>
      </c>
      <c r="H1845" t="s">
        <v>35835</v>
      </c>
      <c r="I1845" t="s">
        <v>35836</v>
      </c>
      <c r="J1845" t="s">
        <v>35837</v>
      </c>
      <c r="K1845" t="s">
        <v>35838</v>
      </c>
      <c r="L1845" t="s">
        <v>35839</v>
      </c>
      <c r="M1845" t="s">
        <v>35840</v>
      </c>
      <c r="N1845" t="s">
        <v>35841</v>
      </c>
      <c r="O1845">
        <f>-657.439422831081 -143.237769719543 -506.234183732</f>
        <v>-1306.9113762826239</v>
      </c>
      <c r="P1845">
        <f>-599.99536671675 -172.049790278221 -231.555010260566</f>
        <v>-1003.6001672555369</v>
      </c>
      <c r="Q1845">
        <f>-450.857724426207 -107.570843563894 -397.53394186987</f>
        <v>-955.96250985997096</v>
      </c>
      <c r="R1845" t="s">
        <v>35842</v>
      </c>
      <c r="S1845" t="s">
        <v>35843</v>
      </c>
      <c r="T1845" t="s">
        <v>35844</v>
      </c>
      <c r="U1845" t="s">
        <v>35845</v>
      </c>
      <c r="V1845">
        <f>-582.322190454193 -51.7165897235718 -91.52700980419</f>
        <v>-725.56578998195482</v>
      </c>
      <c r="W1845" t="s">
        <v>35846</v>
      </c>
      <c r="X1845" t="s">
        <v>35847</v>
      </c>
      <c r="Y1845" t="s">
        <v>35848</v>
      </c>
    </row>
    <row r="1846" spans="1:25" x14ac:dyDescent="0.3">
      <c r="A1846">
        <v>92250</v>
      </c>
      <c r="B1846" t="s">
        <v>35849</v>
      </c>
      <c r="C1846" t="s">
        <v>35850</v>
      </c>
      <c r="D1846" t="s">
        <v>35851</v>
      </c>
      <c r="E1846" t="s">
        <v>35852</v>
      </c>
      <c r="F1846" t="s">
        <v>35853</v>
      </c>
      <c r="G1846" t="s">
        <v>35854</v>
      </c>
      <c r="H1846" t="s">
        <v>35855</v>
      </c>
      <c r="I1846" t="s">
        <v>35856</v>
      </c>
      <c r="J1846" t="s">
        <v>35857</v>
      </c>
      <c r="K1846" t="s">
        <v>35858</v>
      </c>
      <c r="L1846" t="s">
        <v>35859</v>
      </c>
      <c r="M1846" t="s">
        <v>35860</v>
      </c>
      <c r="N1846" t="s">
        <v>35861</v>
      </c>
      <c r="O1846">
        <f>-657.66726113227 -143.275914116851 -506.287114974809</f>
        <v>-1307.2302902239301</v>
      </c>
      <c r="P1846">
        <f>-600.388517964517 -172.006207963326 -231.56481785553</f>
        <v>-1003.959543783373</v>
      </c>
      <c r="Q1846">
        <f>-450.952308016567 -107.924121508853 -397.428910548053</f>
        <v>-956.30534007347296</v>
      </c>
      <c r="R1846" t="s">
        <v>35862</v>
      </c>
      <c r="S1846" t="s">
        <v>35863</v>
      </c>
      <c r="T1846" t="s">
        <v>35864</v>
      </c>
      <c r="U1846" t="s">
        <v>35865</v>
      </c>
      <c r="V1846">
        <f>-582.681866019773 -51.8009662229422 -91.6184963688784</f>
        <v>-726.10132861159354</v>
      </c>
      <c r="W1846" t="s">
        <v>35866</v>
      </c>
      <c r="X1846" t="s">
        <v>35867</v>
      </c>
      <c r="Y1846" t="s">
        <v>35868</v>
      </c>
    </row>
    <row r="1847" spans="1:25" x14ac:dyDescent="0.3">
      <c r="A1847">
        <v>92300</v>
      </c>
      <c r="B1847" t="s">
        <v>35869</v>
      </c>
      <c r="C1847" t="s">
        <v>35870</v>
      </c>
      <c r="D1847" t="s">
        <v>35871</v>
      </c>
      <c r="E1847" t="s">
        <v>35872</v>
      </c>
      <c r="F1847" t="s">
        <v>35873</v>
      </c>
      <c r="G1847" t="s">
        <v>35874</v>
      </c>
      <c r="H1847" t="s">
        <v>35875</v>
      </c>
      <c r="I1847" t="s">
        <v>35876</v>
      </c>
      <c r="J1847" t="s">
        <v>35877</v>
      </c>
      <c r="K1847" t="s">
        <v>35878</v>
      </c>
      <c r="L1847" t="s">
        <v>35879</v>
      </c>
      <c r="M1847" t="s">
        <v>35880</v>
      </c>
      <c r="N1847" t="s">
        <v>35881</v>
      </c>
      <c r="O1847">
        <f>-657.973268895287 -143.308884105138 -506.385824840616</f>
        <v>-1307.667977841041</v>
      </c>
      <c r="P1847">
        <f>-601.142819111448 -172.091318338548 -231.575969668085</f>
        <v>-1004.8101071180811</v>
      </c>
      <c r="Q1847">
        <f>-451.162961318455 -108.491646223242 -397.134498198548</f>
        <v>-956.78910574024508</v>
      </c>
      <c r="R1847" t="s">
        <v>35882</v>
      </c>
      <c r="S1847" t="s">
        <v>35883</v>
      </c>
      <c r="T1847" t="s">
        <v>35884</v>
      </c>
      <c r="U1847" t="s">
        <v>35885</v>
      </c>
      <c r="V1847">
        <f>-583.296382991778 -51.8177285221725 -91.7484855991663</f>
        <v>-726.86259711311686</v>
      </c>
      <c r="W1847" t="s">
        <v>35886</v>
      </c>
      <c r="X1847" t="s">
        <v>35887</v>
      </c>
      <c r="Y1847" t="s">
        <v>35888</v>
      </c>
    </row>
    <row r="1848" spans="1:25" x14ac:dyDescent="0.3">
      <c r="A1848">
        <v>92350</v>
      </c>
      <c r="B1848" t="s">
        <v>35889</v>
      </c>
      <c r="C1848" t="s">
        <v>35890</v>
      </c>
      <c r="D1848" t="s">
        <v>35891</v>
      </c>
      <c r="E1848" t="s">
        <v>35892</v>
      </c>
      <c r="F1848" t="s">
        <v>35893</v>
      </c>
      <c r="G1848" t="s">
        <v>35894</v>
      </c>
      <c r="H1848" t="s">
        <v>35895</v>
      </c>
      <c r="I1848" t="s">
        <v>35896</v>
      </c>
      <c r="J1848" t="s">
        <v>35897</v>
      </c>
      <c r="K1848" t="s">
        <v>35898</v>
      </c>
      <c r="L1848" t="s">
        <v>35899</v>
      </c>
      <c r="M1848" t="s">
        <v>35900</v>
      </c>
      <c r="N1848" t="s">
        <v>35901</v>
      </c>
      <c r="O1848">
        <f>-658.068317400575 -143.364935403856 -506.416567810622</f>
        <v>-1307.849820615053</v>
      </c>
      <c r="P1848">
        <f>-601.514161067958 -172.117119047916 -231.546602838344</f>
        <v>-1005.177882954218</v>
      </c>
      <c r="Q1848">
        <f>-451.274644700311 -108.733164259874 -396.952424282485</f>
        <v>-956.96023324267003</v>
      </c>
      <c r="R1848" t="s">
        <v>35902</v>
      </c>
      <c r="S1848" t="s">
        <v>35903</v>
      </c>
      <c r="T1848" t="s">
        <v>35904</v>
      </c>
      <c r="U1848" t="s">
        <v>35905</v>
      </c>
      <c r="V1848">
        <f>-583.56204492749 -51.9513400935884 -91.809921651532</f>
        <v>-727.32330667261044</v>
      </c>
      <c r="W1848" t="s">
        <v>35906</v>
      </c>
      <c r="X1848" t="s">
        <v>35907</v>
      </c>
      <c r="Y1848" t="s">
        <v>35908</v>
      </c>
    </row>
    <row r="1849" spans="1:25" x14ac:dyDescent="0.3">
      <c r="A1849">
        <v>92400</v>
      </c>
      <c r="B1849" t="s">
        <v>35909</v>
      </c>
      <c r="C1849" t="s">
        <v>35910</v>
      </c>
      <c r="D1849" t="s">
        <v>35911</v>
      </c>
      <c r="E1849" t="s">
        <v>35912</v>
      </c>
      <c r="F1849" t="s">
        <v>35913</v>
      </c>
      <c r="G1849" t="s">
        <v>35914</v>
      </c>
      <c r="H1849" t="s">
        <v>35915</v>
      </c>
      <c r="I1849" t="s">
        <v>35916</v>
      </c>
      <c r="J1849" t="s">
        <v>35917</v>
      </c>
      <c r="K1849" t="s">
        <v>35918</v>
      </c>
      <c r="L1849" t="s">
        <v>35919</v>
      </c>
      <c r="M1849" t="s">
        <v>35920</v>
      </c>
      <c r="N1849" t="s">
        <v>35921</v>
      </c>
      <c r="O1849">
        <f>-657.933395997366 -143.669365132589 -506.497300229259</f>
        <v>-1308.1000613592141</v>
      </c>
      <c r="P1849">
        <f>-602.085765878446 -172.319127704825 -231.472214703845</f>
        <v>-1005.8771082871159</v>
      </c>
      <c r="Q1849">
        <f>-451.204282335758 -109.528033715922 -396.519329374176</f>
        <v>-957.25164542585605</v>
      </c>
      <c r="R1849" t="s">
        <v>35922</v>
      </c>
      <c r="S1849" t="s">
        <v>35923</v>
      </c>
      <c r="T1849" t="s">
        <v>35924</v>
      </c>
      <c r="U1849" t="s">
        <v>35925</v>
      </c>
      <c r="V1849">
        <f>-583.947815494116 -52.2482743669266 -91.9293959315577</f>
        <v>-728.12548579260022</v>
      </c>
      <c r="W1849" t="s">
        <v>35926</v>
      </c>
      <c r="X1849" t="s">
        <v>35927</v>
      </c>
      <c r="Y1849" t="s">
        <v>35928</v>
      </c>
    </row>
    <row r="1850" spans="1:25" x14ac:dyDescent="0.3">
      <c r="A1850">
        <v>92450</v>
      </c>
      <c r="B1850" t="s">
        <v>35929</v>
      </c>
      <c r="C1850" t="s">
        <v>35930</v>
      </c>
      <c r="D1850" t="s">
        <v>35931</v>
      </c>
      <c r="E1850" t="s">
        <v>35932</v>
      </c>
      <c r="F1850" t="s">
        <v>35933</v>
      </c>
      <c r="G1850" t="s">
        <v>35934</v>
      </c>
      <c r="H1850" t="s">
        <v>35935</v>
      </c>
      <c r="I1850" t="s">
        <v>35936</v>
      </c>
      <c r="J1850" t="s">
        <v>35937</v>
      </c>
      <c r="K1850" t="s">
        <v>35938</v>
      </c>
      <c r="L1850" t="s">
        <v>35939</v>
      </c>
      <c r="M1850" t="s">
        <v>35940</v>
      </c>
      <c r="N1850" t="s">
        <v>35941</v>
      </c>
      <c r="O1850">
        <f>-657.879691520552 -143.818880602956 -506.507134004484</f>
        <v>-1308.205706127992</v>
      </c>
      <c r="P1850">
        <f>-602.348324408893 -172.389633349451 -231.409880792075</f>
        <v>-1006.147838550419</v>
      </c>
      <c r="Q1850">
        <f>-451.183942329939 -109.847970198189 -396.292914569008</f>
        <v>-957.32482709713599</v>
      </c>
      <c r="R1850" t="s">
        <v>35942</v>
      </c>
      <c r="S1850" t="s">
        <v>35943</v>
      </c>
      <c r="T1850" t="s">
        <v>35944</v>
      </c>
      <c r="U1850" t="s">
        <v>35945</v>
      </c>
      <c r="V1850">
        <f>-584.100994789052 -52.3317519782911 -91.9823630873912</f>
        <v>-728.41510985473428</v>
      </c>
      <c r="W1850" t="s">
        <v>35946</v>
      </c>
      <c r="X1850" t="s">
        <v>35947</v>
      </c>
      <c r="Y1850" t="s">
        <v>35948</v>
      </c>
    </row>
    <row r="1851" spans="1:25" x14ac:dyDescent="0.3">
      <c r="A1851">
        <v>92500</v>
      </c>
      <c r="B1851" t="s">
        <v>35949</v>
      </c>
      <c r="C1851" t="s">
        <v>35950</v>
      </c>
      <c r="D1851" t="s">
        <v>35951</v>
      </c>
      <c r="E1851" t="s">
        <v>35952</v>
      </c>
      <c r="F1851" t="s">
        <v>35953</v>
      </c>
      <c r="G1851" t="s">
        <v>35954</v>
      </c>
      <c r="H1851" t="s">
        <v>35955</v>
      </c>
      <c r="I1851" t="s">
        <v>35956</v>
      </c>
      <c r="J1851" t="s">
        <v>35957</v>
      </c>
      <c r="K1851" t="s">
        <v>35958</v>
      </c>
      <c r="L1851" t="s">
        <v>35959</v>
      </c>
      <c r="M1851" t="s">
        <v>35960</v>
      </c>
      <c r="N1851" t="s">
        <v>35961</v>
      </c>
      <c r="O1851">
        <f>-657.887920179015 -144.213775894326 -506.500138557664</f>
        <v>-1308.601834631005</v>
      </c>
      <c r="P1851">
        <f>-602.878887818317 -172.74850498674 -231.294121584838</f>
        <v>-1006.921514389895</v>
      </c>
      <c r="Q1851">
        <f>-451.17651732952 -110.392740480653 -395.752907634473</f>
        <v>-957.32216544464598</v>
      </c>
      <c r="R1851" t="s">
        <v>35962</v>
      </c>
      <c r="S1851" t="s">
        <v>35963</v>
      </c>
      <c r="T1851" t="s">
        <v>35964</v>
      </c>
      <c r="U1851" t="s">
        <v>35965</v>
      </c>
      <c r="V1851">
        <f>-584.377470318782 -52.5532647798516 -92.0706599918375</f>
        <v>-729.00139509047108</v>
      </c>
      <c r="W1851" t="s">
        <v>35966</v>
      </c>
      <c r="X1851" t="s">
        <v>35967</v>
      </c>
      <c r="Y1851" t="s">
        <v>35968</v>
      </c>
    </row>
    <row r="1852" spans="1:25" x14ac:dyDescent="0.3">
      <c r="A1852">
        <v>92550</v>
      </c>
      <c r="B1852" t="s">
        <v>35969</v>
      </c>
      <c r="C1852" t="s">
        <v>35970</v>
      </c>
      <c r="D1852" t="s">
        <v>35971</v>
      </c>
      <c r="E1852" t="s">
        <v>35972</v>
      </c>
      <c r="F1852" t="s">
        <v>35973</v>
      </c>
      <c r="G1852" t="s">
        <v>35974</v>
      </c>
      <c r="H1852" t="s">
        <v>35975</v>
      </c>
      <c r="I1852" t="s">
        <v>35976</v>
      </c>
      <c r="J1852" t="s">
        <v>35977</v>
      </c>
      <c r="K1852" t="s">
        <v>35978</v>
      </c>
      <c r="L1852" t="s">
        <v>35979</v>
      </c>
      <c r="M1852" t="s">
        <v>35980</v>
      </c>
      <c r="N1852" t="s">
        <v>35981</v>
      </c>
      <c r="O1852">
        <f>-658.020589188569 -144.459024463353 -506.471799447301</f>
        <v>-1308.9514130992229</v>
      </c>
      <c r="P1852">
        <f>-603.16763622233 -172.922296583492 -231.227251465698</f>
        <v>-1007.31718427152</v>
      </c>
      <c r="Q1852">
        <f>-451.290889277591 -110.595708346697 -395.536003969515</f>
        <v>-957.42260159380294</v>
      </c>
      <c r="R1852" t="s">
        <v>35982</v>
      </c>
      <c r="S1852" t="s">
        <v>35983</v>
      </c>
      <c r="T1852" t="s">
        <v>35984</v>
      </c>
      <c r="U1852" t="s">
        <v>35985</v>
      </c>
      <c r="V1852">
        <f>-584.448931953045 -52.7137774558457 -92.1001657376063</f>
        <v>-729.26287514649698</v>
      </c>
      <c r="W1852" t="s">
        <v>35986</v>
      </c>
      <c r="X1852" t="s">
        <v>35987</v>
      </c>
      <c r="Y1852" t="s">
        <v>35988</v>
      </c>
    </row>
    <row r="1853" spans="1:25" x14ac:dyDescent="0.3">
      <c r="A1853">
        <v>92600</v>
      </c>
      <c r="B1853" t="s">
        <v>35989</v>
      </c>
      <c r="C1853" t="s">
        <v>35990</v>
      </c>
      <c r="D1853" t="s">
        <v>35991</v>
      </c>
      <c r="E1853" t="s">
        <v>35992</v>
      </c>
      <c r="F1853" t="s">
        <v>35993</v>
      </c>
      <c r="G1853" t="s">
        <v>35994</v>
      </c>
      <c r="H1853" t="s">
        <v>35995</v>
      </c>
      <c r="I1853" t="s">
        <v>35996</v>
      </c>
      <c r="J1853" t="s">
        <v>35997</v>
      </c>
      <c r="K1853" t="s">
        <v>35998</v>
      </c>
      <c r="L1853" t="s">
        <v>35999</v>
      </c>
      <c r="M1853" t="s">
        <v>36000</v>
      </c>
      <c r="N1853" t="s">
        <v>36001</v>
      </c>
      <c r="O1853">
        <f>-658.43102898049 -144.828473964298 -506.340430442478</f>
        <v>-1309.599933387266</v>
      </c>
      <c r="P1853">
        <f>-603.446712437249 -172.962344203903 -231.088231983679</f>
        <v>-1007.4972886248308</v>
      </c>
      <c r="Q1853">
        <f>-451.444577131336 -110.744656003162 -395.322344153138</f>
        <v>-957.5115772876361</v>
      </c>
      <c r="R1853" t="s">
        <v>36002</v>
      </c>
      <c r="S1853" t="s">
        <v>36003</v>
      </c>
      <c r="T1853" t="s">
        <v>36004</v>
      </c>
      <c r="U1853" t="s">
        <v>36005</v>
      </c>
      <c r="V1853">
        <f>-584.529367637879 -52.8888737937725 -92.1454963449203</f>
        <v>-729.56373777657177</v>
      </c>
      <c r="W1853" t="s">
        <v>36006</v>
      </c>
      <c r="X1853" t="s">
        <v>36007</v>
      </c>
      <c r="Y1853" t="s">
        <v>36008</v>
      </c>
    </row>
    <row r="1854" spans="1:25" x14ac:dyDescent="0.3">
      <c r="A1854">
        <v>92650</v>
      </c>
      <c r="B1854" t="s">
        <v>36009</v>
      </c>
      <c r="C1854" t="s">
        <v>36010</v>
      </c>
      <c r="D1854" t="s">
        <v>36011</v>
      </c>
      <c r="E1854" t="s">
        <v>36012</v>
      </c>
      <c r="F1854" t="s">
        <v>36013</v>
      </c>
      <c r="G1854" t="s">
        <v>36014</v>
      </c>
      <c r="H1854" t="s">
        <v>36015</v>
      </c>
      <c r="I1854" t="s">
        <v>36016</v>
      </c>
      <c r="J1854" t="s">
        <v>36017</v>
      </c>
      <c r="K1854" t="s">
        <v>36018</v>
      </c>
      <c r="L1854" t="s">
        <v>36019</v>
      </c>
      <c r="M1854" t="s">
        <v>36020</v>
      </c>
      <c r="N1854" t="s">
        <v>36021</v>
      </c>
      <c r="O1854">
        <f>-658.565990200947 -145.085017445131 -506.282778568214</f>
        <v>-1309.933786214292</v>
      </c>
      <c r="P1854">
        <f>-603.444904379798 -173.046919384865 -231.040412560407</f>
        <v>-1007.53223632507</v>
      </c>
      <c r="Q1854">
        <f>-451.388519279154 -110.906914605294 -395.253753131464</f>
        <v>-957.54918701591203</v>
      </c>
      <c r="R1854" t="s">
        <v>36022</v>
      </c>
      <c r="S1854" t="s">
        <v>36023</v>
      </c>
      <c r="T1854" t="s">
        <v>36024</v>
      </c>
      <c r="U1854" t="s">
        <v>36025</v>
      </c>
      <c r="V1854">
        <f>-584.534852059987 -52.9252828054127 -92.1624376022994</f>
        <v>-729.62257246769911</v>
      </c>
      <c r="W1854" t="s">
        <v>36026</v>
      </c>
      <c r="X1854" t="s">
        <v>36027</v>
      </c>
      <c r="Y1854" t="s">
        <v>36028</v>
      </c>
    </row>
    <row r="1855" spans="1:25" x14ac:dyDescent="0.3">
      <c r="A1855">
        <v>92700</v>
      </c>
      <c r="B1855" t="s">
        <v>36029</v>
      </c>
      <c r="C1855" t="s">
        <v>36030</v>
      </c>
      <c r="D1855" t="s">
        <v>36031</v>
      </c>
      <c r="E1855" t="s">
        <v>36032</v>
      </c>
      <c r="F1855" t="s">
        <v>36033</v>
      </c>
      <c r="G1855" t="s">
        <v>36034</v>
      </c>
      <c r="H1855" t="s">
        <v>36035</v>
      </c>
      <c r="I1855" t="s">
        <v>36036</v>
      </c>
      <c r="J1855" t="s">
        <v>36037</v>
      </c>
      <c r="K1855" t="s">
        <v>36038</v>
      </c>
      <c r="L1855" t="s">
        <v>36039</v>
      </c>
      <c r="M1855" t="s">
        <v>36040</v>
      </c>
      <c r="N1855" t="s">
        <v>36041</v>
      </c>
      <c r="O1855">
        <f>-659.145981200125 -145.567280169853 -506.091781461264</f>
        <v>-1310.805042831242</v>
      </c>
      <c r="P1855">
        <f>-603.577526346209 -173.445226551167 -230.930753560028</f>
        <v>-1007.953506457404</v>
      </c>
      <c r="Q1855">
        <f>-451.61008924132 -111.165130217053 -395.173362946184</f>
        <v>-957.9485824045571</v>
      </c>
      <c r="R1855" t="s">
        <v>36042</v>
      </c>
      <c r="S1855" t="s">
        <v>36043</v>
      </c>
      <c r="T1855" t="s">
        <v>36044</v>
      </c>
      <c r="U1855" t="s">
        <v>36045</v>
      </c>
      <c r="V1855">
        <f>-584.437702192343 -52.9411047862031 -92.1630023867589</f>
        <v>-729.54180936530497</v>
      </c>
      <c r="W1855" t="s">
        <v>36046</v>
      </c>
      <c r="X1855" t="s">
        <v>36047</v>
      </c>
      <c r="Y1855" t="s">
        <v>36048</v>
      </c>
    </row>
    <row r="1856" spans="1:25" x14ac:dyDescent="0.3">
      <c r="A1856">
        <v>92750</v>
      </c>
      <c r="B1856" t="s">
        <v>36049</v>
      </c>
      <c r="C1856" t="s">
        <v>36050</v>
      </c>
      <c r="D1856" t="s">
        <v>36051</v>
      </c>
      <c r="E1856" t="s">
        <v>36052</v>
      </c>
      <c r="F1856" t="s">
        <v>36053</v>
      </c>
      <c r="G1856" t="s">
        <v>36054</v>
      </c>
      <c r="H1856" t="s">
        <v>36055</v>
      </c>
      <c r="I1856" t="s">
        <v>36056</v>
      </c>
      <c r="J1856" t="s">
        <v>36057</v>
      </c>
      <c r="K1856" t="s">
        <v>36058</v>
      </c>
      <c r="L1856" t="s">
        <v>36059</v>
      </c>
      <c r="M1856" t="s">
        <v>36060</v>
      </c>
      <c r="N1856" t="s">
        <v>36061</v>
      </c>
      <c r="O1856">
        <f>-659.600666199934 -145.754226802586 -505.969064231206</f>
        <v>-1311.3239572337261</v>
      </c>
      <c r="P1856">
        <f>-603.678250913354 -173.557881751833 -230.87219029618</f>
        <v>-1008.1083229613669</v>
      </c>
      <c r="Q1856">
        <f>-451.818243872379 -111.223352250434 -395.193502932912</f>
        <v>-958.23509905572496</v>
      </c>
      <c r="R1856" t="s">
        <v>36062</v>
      </c>
      <c r="S1856" t="s">
        <v>36063</v>
      </c>
      <c r="T1856" t="s">
        <v>36064</v>
      </c>
      <c r="U1856" t="s">
        <v>36065</v>
      </c>
      <c r="V1856">
        <f>-584.356381444004 -52.9526802291332 -92.1574363060342</f>
        <v>-729.46649797917144</v>
      </c>
      <c r="W1856" t="s">
        <v>36066</v>
      </c>
      <c r="X1856" t="s">
        <v>36067</v>
      </c>
      <c r="Y1856" t="s">
        <v>36068</v>
      </c>
    </row>
    <row r="1857" spans="1:25" x14ac:dyDescent="0.3">
      <c r="A1857">
        <v>92800</v>
      </c>
      <c r="B1857" t="s">
        <v>36069</v>
      </c>
      <c r="C1857" t="s">
        <v>36070</v>
      </c>
      <c r="D1857" t="s">
        <v>36071</v>
      </c>
      <c r="E1857" t="s">
        <v>36072</v>
      </c>
      <c r="F1857" t="s">
        <v>36073</v>
      </c>
      <c r="G1857" t="s">
        <v>36074</v>
      </c>
      <c r="H1857" t="s">
        <v>36075</v>
      </c>
      <c r="I1857" t="s">
        <v>36076</v>
      </c>
      <c r="J1857" t="s">
        <v>36077</v>
      </c>
      <c r="K1857" t="s">
        <v>36078</v>
      </c>
      <c r="L1857" t="s">
        <v>36079</v>
      </c>
      <c r="M1857" t="s">
        <v>36080</v>
      </c>
      <c r="N1857" t="s">
        <v>36081</v>
      </c>
      <c r="O1857">
        <f>-660.459297535232 -145.975760370045 -505.760278337489</f>
        <v>-1312.1953362427662</v>
      </c>
      <c r="P1857">
        <f>-603.93335473342 -173.565628526351 -230.765464474806</f>
        <v>-1008.2644477345769</v>
      </c>
      <c r="Q1857">
        <f>-452.399044622669 -111.147126926001 -395.355286353355</f>
        <v>-958.90145790202496</v>
      </c>
      <c r="R1857" t="s">
        <v>36082</v>
      </c>
      <c r="S1857" t="s">
        <v>36083</v>
      </c>
      <c r="T1857" t="s">
        <v>36084</v>
      </c>
      <c r="U1857" t="s">
        <v>36085</v>
      </c>
      <c r="V1857">
        <f>-584.156480311965 -52.7903030728303 -92.134418969168</f>
        <v>-729.08120235396325</v>
      </c>
      <c r="W1857" t="s">
        <v>36086</v>
      </c>
      <c r="X1857" t="s">
        <v>36087</v>
      </c>
      <c r="Y1857" t="s">
        <v>36088</v>
      </c>
    </row>
    <row r="1858" spans="1:25" x14ac:dyDescent="0.3">
      <c r="A1858">
        <v>92850</v>
      </c>
      <c r="B1858" t="s">
        <v>36089</v>
      </c>
      <c r="C1858" t="s">
        <v>36090</v>
      </c>
      <c r="D1858" t="s">
        <v>36091</v>
      </c>
      <c r="E1858" t="s">
        <v>36092</v>
      </c>
      <c r="F1858" t="s">
        <v>36093</v>
      </c>
      <c r="G1858" t="s">
        <v>36094</v>
      </c>
      <c r="H1858" t="s">
        <v>36095</v>
      </c>
      <c r="I1858" t="s">
        <v>36096</v>
      </c>
      <c r="J1858" t="s">
        <v>36097</v>
      </c>
      <c r="K1858" t="s">
        <v>36098</v>
      </c>
      <c r="L1858" t="s">
        <v>36099</v>
      </c>
      <c r="M1858" t="s">
        <v>36100</v>
      </c>
      <c r="N1858" t="s">
        <v>36101</v>
      </c>
      <c r="O1858">
        <f>-660.792588303062 -146.056280916287 -505.677878655691</f>
        <v>-1312.52674787504</v>
      </c>
      <c r="P1858">
        <f>-603.96711070719 -173.572007848129 -230.737249369168</f>
        <v>-1008.2763679244871</v>
      </c>
      <c r="Q1858">
        <f>-452.643807909261 -111.079306776764 -395.492929668101</f>
        <v>-959.2160443541261</v>
      </c>
      <c r="R1858" t="s">
        <v>36102</v>
      </c>
      <c r="S1858" t="s">
        <v>36103</v>
      </c>
      <c r="T1858" t="s">
        <v>36104</v>
      </c>
      <c r="U1858" t="s">
        <v>36105</v>
      </c>
      <c r="V1858">
        <f>-584.053532631982 -52.7132698212306 -92.107091126556</f>
        <v>-728.87389357976861</v>
      </c>
      <c r="W1858" t="s">
        <v>36106</v>
      </c>
      <c r="X1858" t="s">
        <v>36107</v>
      </c>
      <c r="Y1858" t="s">
        <v>36108</v>
      </c>
    </row>
    <row r="1859" spans="1:25" x14ac:dyDescent="0.3">
      <c r="A1859">
        <v>92900</v>
      </c>
      <c r="B1859" t="s">
        <v>36109</v>
      </c>
      <c r="C1859" t="s">
        <v>36110</v>
      </c>
      <c r="D1859" t="s">
        <v>36111</v>
      </c>
      <c r="E1859" t="s">
        <v>36112</v>
      </c>
      <c r="F1859" t="s">
        <v>36113</v>
      </c>
      <c r="G1859" t="s">
        <v>36114</v>
      </c>
      <c r="H1859" t="s">
        <v>36115</v>
      </c>
      <c r="I1859" t="s">
        <v>36116</v>
      </c>
      <c r="J1859" t="s">
        <v>36117</v>
      </c>
      <c r="K1859" t="s">
        <v>36118</v>
      </c>
      <c r="L1859" t="s">
        <v>36119</v>
      </c>
      <c r="M1859" t="s">
        <v>36120</v>
      </c>
      <c r="N1859" t="s">
        <v>36121</v>
      </c>
      <c r="O1859">
        <f>-661.117717027781 -146.064437013961 -505.59484276618</f>
        <v>-1312.7769968079219</v>
      </c>
      <c r="P1859">
        <f>-603.755142737876 -173.53836323086 -230.761727488645</f>
        <v>-1008.055233457381</v>
      </c>
      <c r="Q1859">
        <f>-452.875942961347 -110.906806892777 -395.871578605423</f>
        <v>-959.65432845954695</v>
      </c>
      <c r="R1859" t="s">
        <v>36122</v>
      </c>
      <c r="S1859" t="s">
        <v>36123</v>
      </c>
      <c r="T1859" t="s">
        <v>36124</v>
      </c>
      <c r="U1859" t="s">
        <v>36125</v>
      </c>
      <c r="V1859">
        <f>-583.895715829824 -52.5508452906392 -92.0625667053785</f>
        <v>-728.50912782584169</v>
      </c>
      <c r="W1859" t="s">
        <v>36126</v>
      </c>
      <c r="X1859" t="s">
        <v>36127</v>
      </c>
      <c r="Y1859" t="s">
        <v>36128</v>
      </c>
    </row>
    <row r="1860" spans="1:25" x14ac:dyDescent="0.3">
      <c r="A1860">
        <v>92950</v>
      </c>
      <c r="B1860" t="s">
        <v>36129</v>
      </c>
      <c r="C1860" t="s">
        <v>36130</v>
      </c>
      <c r="D1860" t="s">
        <v>36131</v>
      </c>
      <c r="E1860" t="s">
        <v>36132</v>
      </c>
      <c r="F1860" t="s">
        <v>36133</v>
      </c>
      <c r="G1860" t="s">
        <v>36134</v>
      </c>
      <c r="H1860" t="s">
        <v>36135</v>
      </c>
      <c r="I1860" t="s">
        <v>36136</v>
      </c>
      <c r="J1860" t="s">
        <v>36137</v>
      </c>
      <c r="K1860" t="s">
        <v>36138</v>
      </c>
      <c r="L1860" t="s">
        <v>36139</v>
      </c>
      <c r="M1860" t="s">
        <v>36140</v>
      </c>
      <c r="N1860" t="s">
        <v>36141</v>
      </c>
      <c r="O1860">
        <f>-661.197910639331 -146.121052026443 -505.59994427347</f>
        <v>-1312.9189069392442</v>
      </c>
      <c r="P1860">
        <f>-603.684870132189 -173.719972531153 -230.810576866196</f>
        <v>-1008.2154195295379</v>
      </c>
      <c r="Q1860">
        <f>-453.094827288079 -110.911492801464 -396.117097393825</f>
        <v>-960.12341748336803</v>
      </c>
      <c r="R1860" t="s">
        <v>36142</v>
      </c>
      <c r="S1860" t="s">
        <v>36143</v>
      </c>
      <c r="T1860" t="s">
        <v>36144</v>
      </c>
      <c r="U1860" t="s">
        <v>36145</v>
      </c>
      <c r="V1860">
        <f>-583.914829209931 -52.5341372964497 -92.0518602264161</f>
        <v>-728.50082673279678</v>
      </c>
      <c r="W1860" t="s">
        <v>36146</v>
      </c>
      <c r="X1860" t="s">
        <v>36147</v>
      </c>
      <c r="Y1860" t="s">
        <v>36148</v>
      </c>
    </row>
    <row r="1861" spans="1:25" x14ac:dyDescent="0.3">
      <c r="A1861">
        <v>93000</v>
      </c>
      <c r="B1861" t="s">
        <v>36149</v>
      </c>
      <c r="C1861" t="s">
        <v>36150</v>
      </c>
      <c r="D1861" t="s">
        <v>36151</v>
      </c>
      <c r="E1861" t="s">
        <v>36152</v>
      </c>
      <c r="F1861" t="s">
        <v>36153</v>
      </c>
      <c r="G1861" t="s">
        <v>36154</v>
      </c>
      <c r="H1861" t="s">
        <v>36155</v>
      </c>
      <c r="I1861" t="s">
        <v>36156</v>
      </c>
      <c r="J1861" t="s">
        <v>36157</v>
      </c>
      <c r="K1861" t="s">
        <v>36158</v>
      </c>
      <c r="L1861" t="s">
        <v>36159</v>
      </c>
      <c r="M1861" t="s">
        <v>36160</v>
      </c>
      <c r="N1861" t="s">
        <v>36161</v>
      </c>
      <c r="O1861">
        <f>-661.286319301548 -146.285186898176 -505.657726356974</f>
        <v>-1313.229232556698</v>
      </c>
      <c r="P1861">
        <f>-603.456285416916 -174.120727591061 -230.958819330883</f>
        <v>-1008.53583233886</v>
      </c>
      <c r="Q1861">
        <f>-453.505463218061 -110.907709895009 -396.691876473312</f>
        <v>-961.10504958638194</v>
      </c>
      <c r="R1861" t="s">
        <v>36162</v>
      </c>
      <c r="S1861" t="s">
        <v>36163</v>
      </c>
      <c r="T1861" t="s">
        <v>36164</v>
      </c>
      <c r="U1861" t="s">
        <v>36165</v>
      </c>
      <c r="V1861">
        <f>-584.009533274944 -52.6079029807684 -92.0360593973033</f>
        <v>-728.65349565301574</v>
      </c>
      <c r="W1861" t="s">
        <v>36166</v>
      </c>
      <c r="X1861" t="s">
        <v>36167</v>
      </c>
      <c r="Y1861" t="s">
        <v>36168</v>
      </c>
    </row>
    <row r="1862" spans="1:25" x14ac:dyDescent="0.3">
      <c r="A1862">
        <v>93050</v>
      </c>
      <c r="B1862" t="s">
        <v>36169</v>
      </c>
      <c r="C1862" t="s">
        <v>36170</v>
      </c>
      <c r="D1862" t="s">
        <v>36171</v>
      </c>
      <c r="E1862" t="s">
        <v>36172</v>
      </c>
      <c r="F1862" t="s">
        <v>36173</v>
      </c>
      <c r="G1862" t="s">
        <v>36174</v>
      </c>
      <c r="H1862" t="s">
        <v>36175</v>
      </c>
      <c r="I1862" t="s">
        <v>36176</v>
      </c>
      <c r="J1862" t="s">
        <v>36177</v>
      </c>
      <c r="K1862" t="s">
        <v>36178</v>
      </c>
      <c r="L1862" t="s">
        <v>36179</v>
      </c>
      <c r="M1862" t="s">
        <v>36180</v>
      </c>
      <c r="N1862" t="s">
        <v>36181</v>
      </c>
      <c r="O1862">
        <f>-661.279654497391 -146.329902279716 -505.663954147889</f>
        <v>-1313.2735109249959</v>
      </c>
      <c r="P1862">
        <f>-603.27728210774 -174.253783116332 -231.010576253635</f>
        <v>-1008.541641477707</v>
      </c>
      <c r="Q1862">
        <f>-453.732826336436 -110.876535385725 -397.047570923174</f>
        <v>-961.65693264533502</v>
      </c>
      <c r="R1862" t="s">
        <v>36182</v>
      </c>
      <c r="S1862" t="s">
        <v>36183</v>
      </c>
      <c r="T1862" t="s">
        <v>36184</v>
      </c>
      <c r="U1862" t="s">
        <v>36185</v>
      </c>
      <c r="V1862">
        <f>-584.081033389408 -52.6518762391527 -92.0359696849687</f>
        <v>-728.7688793135294</v>
      </c>
      <c r="W1862" t="s">
        <v>36186</v>
      </c>
      <c r="X1862" t="s">
        <v>36187</v>
      </c>
      <c r="Y1862" t="s">
        <v>36188</v>
      </c>
    </row>
    <row r="1863" spans="1:25" x14ac:dyDescent="0.3">
      <c r="A1863">
        <v>93100</v>
      </c>
      <c r="B1863" t="s">
        <v>36189</v>
      </c>
      <c r="C1863" t="s">
        <v>36190</v>
      </c>
      <c r="D1863" t="s">
        <v>36191</v>
      </c>
      <c r="E1863" t="s">
        <v>36192</v>
      </c>
      <c r="F1863" t="s">
        <v>36193</v>
      </c>
      <c r="G1863" t="s">
        <v>36194</v>
      </c>
      <c r="H1863" t="s">
        <v>36195</v>
      </c>
      <c r="I1863" t="s">
        <v>36196</v>
      </c>
      <c r="J1863" t="s">
        <v>36197</v>
      </c>
      <c r="K1863" t="s">
        <v>36198</v>
      </c>
      <c r="L1863" t="s">
        <v>36199</v>
      </c>
      <c r="M1863" t="s">
        <v>36200</v>
      </c>
      <c r="N1863" t="s">
        <v>36201</v>
      </c>
      <c r="O1863">
        <f>-660.909067843786 -146.415856463839 -505.767907075678</f>
        <v>-1313.0928313833031</v>
      </c>
      <c r="P1863">
        <f>-602.396290329638 -174.56824815808 -231.246034358243</f>
        <v>-1008.210572845961</v>
      </c>
      <c r="Q1863">
        <f>-453.756735936145 -110.996580863299 -398.019787985231</f>
        <v>-962.77310478467496</v>
      </c>
      <c r="R1863" t="s">
        <v>36202</v>
      </c>
      <c r="S1863" t="s">
        <v>36203</v>
      </c>
      <c r="T1863" t="s">
        <v>36204</v>
      </c>
      <c r="U1863" t="s">
        <v>36205</v>
      </c>
      <c r="V1863">
        <f>-584.108824039415 -52.7332005885869 -92.02134500341</f>
        <v>-728.86336963141196</v>
      </c>
      <c r="W1863" t="s">
        <v>36206</v>
      </c>
      <c r="X1863" t="s">
        <v>36207</v>
      </c>
      <c r="Y1863" t="s">
        <v>36208</v>
      </c>
    </row>
    <row r="1864" spans="1:25" x14ac:dyDescent="0.3">
      <c r="A1864">
        <v>93150</v>
      </c>
      <c r="B1864" t="s">
        <v>36209</v>
      </c>
      <c r="C1864" t="s">
        <v>36210</v>
      </c>
      <c r="D1864" t="s">
        <v>36211</v>
      </c>
      <c r="E1864" t="s">
        <v>36212</v>
      </c>
      <c r="F1864" t="s">
        <v>36213</v>
      </c>
      <c r="G1864" t="s">
        <v>36214</v>
      </c>
      <c r="H1864" t="s">
        <v>36215</v>
      </c>
      <c r="I1864" t="s">
        <v>36216</v>
      </c>
      <c r="J1864" t="s">
        <v>36217</v>
      </c>
      <c r="K1864" t="s">
        <v>36218</v>
      </c>
      <c r="L1864" t="s">
        <v>36219</v>
      </c>
      <c r="M1864" t="s">
        <v>36220</v>
      </c>
      <c r="N1864" t="s">
        <v>36221</v>
      </c>
      <c r="O1864">
        <f>-660.705083653731 -146.425546074849 -505.8539716349</f>
        <v>-1312.9846013634799</v>
      </c>
      <c r="P1864">
        <f>-601.867448959144 -174.699680832666 -231.414031273258</f>
        <v>-1007.9811610650679</v>
      </c>
      <c r="Q1864">
        <f>-453.606016488441 -111.034655090616 -398.488413424258</f>
        <v>-963.12908500331491</v>
      </c>
      <c r="R1864" t="s">
        <v>36222</v>
      </c>
      <c r="S1864" t="s">
        <v>36223</v>
      </c>
      <c r="T1864" t="s">
        <v>36224</v>
      </c>
      <c r="U1864" t="s">
        <v>36225</v>
      </c>
      <c r="V1864">
        <f>-584.09483479931 -52.7842025449304 -92.0143575127862</f>
        <v>-728.89339485702658</v>
      </c>
      <c r="W1864" t="s">
        <v>36226</v>
      </c>
      <c r="X1864" t="s">
        <v>36227</v>
      </c>
      <c r="Y1864" t="s">
        <v>36228</v>
      </c>
    </row>
    <row r="1865" spans="1:25" x14ac:dyDescent="0.3">
      <c r="A1865">
        <v>93200</v>
      </c>
      <c r="B1865" t="s">
        <v>36229</v>
      </c>
      <c r="C1865" t="s">
        <v>36230</v>
      </c>
      <c r="D1865" t="s">
        <v>36231</v>
      </c>
      <c r="E1865" t="s">
        <v>36232</v>
      </c>
      <c r="F1865" t="s">
        <v>36233</v>
      </c>
      <c r="G1865" t="s">
        <v>36234</v>
      </c>
      <c r="H1865" t="s">
        <v>36235</v>
      </c>
      <c r="I1865" t="s">
        <v>36236</v>
      </c>
      <c r="J1865" t="s">
        <v>36237</v>
      </c>
      <c r="K1865" t="s">
        <v>36238</v>
      </c>
      <c r="L1865" t="s">
        <v>36239</v>
      </c>
      <c r="M1865" t="s">
        <v>36240</v>
      </c>
      <c r="N1865" t="s">
        <v>36241</v>
      </c>
      <c r="O1865">
        <f>-660.229612689653 -146.41671421594 -506.033668858458</f>
        <v>-1312.679995764051</v>
      </c>
      <c r="P1865">
        <f>-600.960960701702 -175.054700807579 -231.724287303098</f>
        <v>-1007.739948812379</v>
      </c>
      <c r="Q1865">
        <f>-453.098136298439 -111.095133799295 -399.039226168137</f>
        <v>-963.23249626587096</v>
      </c>
      <c r="R1865" t="s">
        <v>36242</v>
      </c>
      <c r="S1865" t="s">
        <v>36243</v>
      </c>
      <c r="T1865" t="s">
        <v>36244</v>
      </c>
      <c r="U1865" t="s">
        <v>36245</v>
      </c>
      <c r="V1865">
        <f>-583.985138024533 -52.9236648112444 -91.9923657657508</f>
        <v>-728.90116860152818</v>
      </c>
      <c r="W1865" t="s">
        <v>36246</v>
      </c>
      <c r="X1865" t="s">
        <v>36247</v>
      </c>
      <c r="Y1865" t="s">
        <v>36248</v>
      </c>
    </row>
    <row r="1866" spans="1:25" x14ac:dyDescent="0.3">
      <c r="A1866">
        <v>93250</v>
      </c>
      <c r="B1866" t="s">
        <v>36249</v>
      </c>
      <c r="C1866" t="s">
        <v>36250</v>
      </c>
      <c r="D1866" t="s">
        <v>36251</v>
      </c>
      <c r="E1866" t="s">
        <v>36252</v>
      </c>
      <c r="F1866" t="s">
        <v>36253</v>
      </c>
      <c r="G1866" t="s">
        <v>36254</v>
      </c>
      <c r="H1866" t="s">
        <v>36255</v>
      </c>
      <c r="I1866" t="s">
        <v>36256</v>
      </c>
      <c r="J1866" t="s">
        <v>36257</v>
      </c>
      <c r="K1866" t="s">
        <v>36258</v>
      </c>
      <c r="L1866" t="s">
        <v>36259</v>
      </c>
      <c r="M1866" t="s">
        <v>36260</v>
      </c>
      <c r="N1866" t="s">
        <v>36261</v>
      </c>
      <c r="O1866">
        <f>-659.923034506997 -146.419161902112 -506.132292140775</f>
        <v>-1312.474488549884</v>
      </c>
      <c r="P1866">
        <f>-600.675831197377 -175.233916431728 -231.836906081055</f>
        <v>-1007.7466537101599</v>
      </c>
      <c r="Q1866">
        <f>-452.835975734264 -111.124805575808 -399.114739810553</f>
        <v>-963.0755211206249</v>
      </c>
      <c r="R1866" t="s">
        <v>36262</v>
      </c>
      <c r="S1866" t="s">
        <v>36263</v>
      </c>
      <c r="T1866" t="s">
        <v>36264</v>
      </c>
      <c r="U1866" t="s">
        <v>36265</v>
      </c>
      <c r="V1866">
        <f>-583.942581412412 -52.9985907615428 -91.9805386626001</f>
        <v>-728.92171083655489</v>
      </c>
      <c r="W1866" t="s">
        <v>36266</v>
      </c>
      <c r="X1866" t="s">
        <v>36267</v>
      </c>
      <c r="Y1866" t="s">
        <v>36268</v>
      </c>
    </row>
    <row r="1867" spans="1:25" x14ac:dyDescent="0.3">
      <c r="A1867">
        <v>93300</v>
      </c>
      <c r="B1867" t="s">
        <v>36269</v>
      </c>
      <c r="C1867" t="s">
        <v>36270</v>
      </c>
      <c r="D1867" t="s">
        <v>36271</v>
      </c>
      <c r="E1867" t="s">
        <v>36272</v>
      </c>
      <c r="F1867" t="s">
        <v>36273</v>
      </c>
      <c r="G1867" t="s">
        <v>36274</v>
      </c>
      <c r="H1867" t="s">
        <v>36275</v>
      </c>
      <c r="I1867" t="s">
        <v>36276</v>
      </c>
      <c r="J1867" t="s">
        <v>36277</v>
      </c>
      <c r="K1867" t="s">
        <v>36278</v>
      </c>
      <c r="L1867" t="s">
        <v>36279</v>
      </c>
      <c r="M1867" t="s">
        <v>36280</v>
      </c>
      <c r="N1867" t="s">
        <v>36281</v>
      </c>
      <c r="O1867">
        <f>-659.175698091989 -146.323239847761 -506.36039160935</f>
        <v>-1311.8593295491</v>
      </c>
      <c r="P1867">
        <f>-600.411895421835 -175.205045649501 -231.968037160123</f>
        <v>-1007.584978231459</v>
      </c>
      <c r="Q1867">
        <f>-452.261898521576 -110.835700152124 -398.871225924658</f>
        <v>-961.96882459835797</v>
      </c>
      <c r="R1867" t="s">
        <v>36282</v>
      </c>
      <c r="S1867" t="s">
        <v>36283</v>
      </c>
      <c r="T1867" t="s">
        <v>36284</v>
      </c>
      <c r="U1867" t="s">
        <v>36285</v>
      </c>
      <c r="V1867">
        <f>-583.737201193971 -53.0795680924548 -91.9550097596006</f>
        <v>-728.77177904602638</v>
      </c>
      <c r="W1867" t="s">
        <v>36286</v>
      </c>
      <c r="X1867" t="s">
        <v>36287</v>
      </c>
      <c r="Y1867" t="s">
        <v>36288</v>
      </c>
    </row>
    <row r="1868" spans="1:25" x14ac:dyDescent="0.3">
      <c r="A1868">
        <v>93350</v>
      </c>
      <c r="B1868" t="s">
        <v>36289</v>
      </c>
      <c r="C1868" t="s">
        <v>36290</v>
      </c>
      <c r="D1868" t="s">
        <v>36291</v>
      </c>
      <c r="E1868" t="s">
        <v>36292</v>
      </c>
      <c r="F1868" t="s">
        <v>36293</v>
      </c>
      <c r="G1868" t="s">
        <v>36294</v>
      </c>
      <c r="H1868" t="s">
        <v>36295</v>
      </c>
      <c r="I1868" t="s">
        <v>36296</v>
      </c>
      <c r="J1868" t="s">
        <v>36297</v>
      </c>
      <c r="K1868" t="s">
        <v>36298</v>
      </c>
      <c r="L1868" t="s">
        <v>36299</v>
      </c>
      <c r="M1868" t="s">
        <v>36300</v>
      </c>
      <c r="N1868" t="s">
        <v>36301</v>
      </c>
      <c r="O1868">
        <f>-658.759754213357 -146.365950438654 -506.425199146083</f>
        <v>-1311.5509037980942</v>
      </c>
      <c r="P1868">
        <f>-600.281873564328 -175.269845956008 -231.973930875406</f>
        <v>-1007.525650395742</v>
      </c>
      <c r="Q1868">
        <f>-451.888886440778 -110.889157380765 -398.65679755694</f>
        <v>-961.43484137848293</v>
      </c>
      <c r="R1868" t="s">
        <v>36302</v>
      </c>
      <c r="S1868" t="s">
        <v>36303</v>
      </c>
      <c r="T1868" t="s">
        <v>36304</v>
      </c>
      <c r="U1868" t="s">
        <v>36305</v>
      </c>
      <c r="V1868">
        <f>-583.573068086917 -53.1684768504056 -91.9436073262094</f>
        <v>-728.68515226353202</v>
      </c>
      <c r="W1868" t="s">
        <v>36306</v>
      </c>
      <c r="X1868" t="s">
        <v>36307</v>
      </c>
      <c r="Y1868" t="s">
        <v>36308</v>
      </c>
    </row>
    <row r="1869" spans="1:25" x14ac:dyDescent="0.3">
      <c r="A1869">
        <v>93400</v>
      </c>
      <c r="B1869" t="s">
        <v>36309</v>
      </c>
      <c r="C1869" t="s">
        <v>36310</v>
      </c>
      <c r="D1869" t="s">
        <v>36311</v>
      </c>
      <c r="E1869" t="s">
        <v>36312</v>
      </c>
      <c r="F1869" t="s">
        <v>36313</v>
      </c>
      <c r="G1869" t="s">
        <v>36314</v>
      </c>
      <c r="H1869" t="s">
        <v>36315</v>
      </c>
      <c r="I1869" t="s">
        <v>36316</v>
      </c>
      <c r="J1869" t="s">
        <v>36317</v>
      </c>
      <c r="K1869" t="s">
        <v>36318</v>
      </c>
      <c r="L1869" t="s">
        <v>36319</v>
      </c>
      <c r="M1869" t="s">
        <v>36320</v>
      </c>
      <c r="N1869" t="s">
        <v>36321</v>
      </c>
      <c r="O1869">
        <f>-658.119795445817 -146.397913843507 -506.510436977633</f>
        <v>-1311.028146266957</v>
      </c>
      <c r="P1869">
        <f>-600.030001720532 -175.257374203017 -231.972040060375</f>
        <v>-1007.259415983924</v>
      </c>
      <c r="Q1869">
        <f>-451.177002262346 -111.149147310381 -398.349590656704</f>
        <v>-960.67574022943097</v>
      </c>
      <c r="R1869" t="s">
        <v>36322</v>
      </c>
      <c r="S1869" t="s">
        <v>36323</v>
      </c>
      <c r="T1869" t="s">
        <v>36324</v>
      </c>
      <c r="U1869" t="s">
        <v>36325</v>
      </c>
      <c r="V1869">
        <f>-583.150872902917 -53.3312561407374 -91.9254902264614</f>
        <v>-728.40761927011579</v>
      </c>
      <c r="W1869" t="s">
        <v>36326</v>
      </c>
      <c r="X1869" t="s">
        <v>36327</v>
      </c>
      <c r="Y1869" t="s">
        <v>36328</v>
      </c>
    </row>
    <row r="1870" spans="1:25" x14ac:dyDescent="0.3">
      <c r="A1870">
        <v>93450</v>
      </c>
      <c r="B1870" t="s">
        <v>36329</v>
      </c>
      <c r="C1870" t="s">
        <v>36330</v>
      </c>
      <c r="D1870" t="s">
        <v>36331</v>
      </c>
      <c r="E1870" t="s">
        <v>36332</v>
      </c>
      <c r="F1870" t="s">
        <v>36333</v>
      </c>
      <c r="G1870" t="s">
        <v>36334</v>
      </c>
      <c r="H1870" t="s">
        <v>36335</v>
      </c>
      <c r="I1870" t="s">
        <v>36336</v>
      </c>
      <c r="J1870" t="s">
        <v>36337</v>
      </c>
      <c r="K1870" t="s">
        <v>36338</v>
      </c>
      <c r="L1870" t="s">
        <v>36339</v>
      </c>
      <c r="M1870" t="s">
        <v>36340</v>
      </c>
      <c r="N1870" t="s">
        <v>36341</v>
      </c>
      <c r="O1870">
        <f>-657.590461663162 -146.37858864231 -506.583042511067</f>
        <v>-1310.552092816539</v>
      </c>
      <c r="P1870">
        <f>-599.660633730013 -175.298652687311 -232.017294450694</f>
        <v>-1006.9765808680181</v>
      </c>
      <c r="Q1870">
        <f>-450.661226189579 -111.193450333243 -398.264754710732</f>
        <v>-960.119431233554</v>
      </c>
      <c r="R1870" t="s">
        <v>36342</v>
      </c>
      <c r="S1870" t="s">
        <v>36343</v>
      </c>
      <c r="T1870" t="s">
        <v>36344</v>
      </c>
      <c r="U1870" t="s">
        <v>36345</v>
      </c>
      <c r="V1870">
        <f>-582.901601553257 -53.3759345473343 -91.9119112555235</f>
        <v>-728.18944735611478</v>
      </c>
      <c r="W1870" t="s">
        <v>36346</v>
      </c>
      <c r="X1870" t="s">
        <v>36347</v>
      </c>
      <c r="Y1870" t="s">
        <v>36348</v>
      </c>
    </row>
    <row r="1871" spans="1:25" x14ac:dyDescent="0.3">
      <c r="A1871">
        <v>93500</v>
      </c>
      <c r="B1871" t="s">
        <v>36349</v>
      </c>
      <c r="C1871" t="s">
        <v>36350</v>
      </c>
      <c r="D1871" t="s">
        <v>36351</v>
      </c>
      <c r="E1871" t="s">
        <v>36352</v>
      </c>
      <c r="F1871" t="s">
        <v>36353</v>
      </c>
      <c r="G1871" t="s">
        <v>36354</v>
      </c>
      <c r="H1871" t="s">
        <v>36355</v>
      </c>
      <c r="I1871" t="s">
        <v>36356</v>
      </c>
      <c r="J1871" t="s">
        <v>36357</v>
      </c>
      <c r="K1871" t="s">
        <v>36358</v>
      </c>
      <c r="L1871" t="s">
        <v>36359</v>
      </c>
      <c r="M1871" t="s">
        <v>36360</v>
      </c>
      <c r="N1871" t="s">
        <v>36361</v>
      </c>
      <c r="O1871">
        <f>-656.245853156919 -146.461953727103 -506.72695807695</f>
        <v>-1309.434764960972</v>
      </c>
      <c r="P1871">
        <f>-598.481544699574 -175.545611520259 -232.143490896495</f>
        <v>-1006.1706471163279</v>
      </c>
      <c r="Q1871">
        <f>-449.429084480095 -111.108806461412 -398.215184740311</f>
        <v>-958.75307568181802</v>
      </c>
      <c r="R1871" t="s">
        <v>36362</v>
      </c>
      <c r="S1871" t="s">
        <v>36363</v>
      </c>
      <c r="T1871" t="s">
        <v>36364</v>
      </c>
      <c r="U1871" t="s">
        <v>36365</v>
      </c>
      <c r="V1871">
        <f>-582.438314212417 -53.4167484096852 -91.8792082924002</f>
        <v>-727.73427091450242</v>
      </c>
      <c r="W1871" t="s">
        <v>36366</v>
      </c>
      <c r="X1871" t="s">
        <v>36367</v>
      </c>
      <c r="Y1871" t="s">
        <v>36368</v>
      </c>
    </row>
    <row r="1872" spans="1:25" x14ac:dyDescent="0.3">
      <c r="A1872">
        <v>93550</v>
      </c>
      <c r="B1872" t="s">
        <v>36369</v>
      </c>
      <c r="C1872" t="s">
        <v>36370</v>
      </c>
      <c r="D1872" t="s">
        <v>36371</v>
      </c>
      <c r="E1872" t="s">
        <v>36372</v>
      </c>
      <c r="F1872" t="s">
        <v>36373</v>
      </c>
      <c r="G1872" t="s">
        <v>36374</v>
      </c>
      <c r="H1872" t="s">
        <v>36375</v>
      </c>
      <c r="I1872" t="s">
        <v>36376</v>
      </c>
      <c r="J1872" t="s">
        <v>36377</v>
      </c>
      <c r="K1872" t="s">
        <v>36378</v>
      </c>
      <c r="L1872" t="s">
        <v>36379</v>
      </c>
      <c r="M1872" t="s">
        <v>36380</v>
      </c>
      <c r="N1872" t="s">
        <v>36381</v>
      </c>
      <c r="O1872">
        <f>-655.72945767341 -146.537576950339 -506.739368469027</f>
        <v>-1309.0064030927761</v>
      </c>
      <c r="P1872">
        <f>-597.973084334375 -175.685425653989 -232.16126566257</f>
        <v>-1005.819775650934</v>
      </c>
      <c r="Q1872">
        <f>-448.875851949172 -111.064122317306 -398.120878785933</f>
        <v>-958.06085305241095</v>
      </c>
      <c r="R1872" t="s">
        <v>36382</v>
      </c>
      <c r="S1872" t="s">
        <v>36383</v>
      </c>
      <c r="T1872" t="s">
        <v>36384</v>
      </c>
      <c r="U1872" t="s">
        <v>36385</v>
      </c>
      <c r="V1872">
        <f>-582.153229863709 -53.4440234386086 -91.8632735929657</f>
        <v>-727.46052689528335</v>
      </c>
      <c r="W1872" t="s">
        <v>36386</v>
      </c>
      <c r="X1872" t="s">
        <v>36387</v>
      </c>
      <c r="Y1872" t="s">
        <v>36388</v>
      </c>
    </row>
    <row r="1873" spans="1:25" x14ac:dyDescent="0.3">
      <c r="A1873">
        <v>93600</v>
      </c>
      <c r="B1873" t="s">
        <v>36389</v>
      </c>
      <c r="C1873" t="s">
        <v>36390</v>
      </c>
      <c r="D1873" t="s">
        <v>36391</v>
      </c>
      <c r="E1873" t="s">
        <v>36392</v>
      </c>
      <c r="F1873" t="s">
        <v>36393</v>
      </c>
      <c r="G1873" t="s">
        <v>36394</v>
      </c>
      <c r="H1873" t="s">
        <v>36395</v>
      </c>
      <c r="I1873" t="s">
        <v>36396</v>
      </c>
      <c r="J1873" t="s">
        <v>36397</v>
      </c>
      <c r="K1873" t="s">
        <v>36398</v>
      </c>
      <c r="L1873" t="s">
        <v>36399</v>
      </c>
      <c r="M1873" t="s">
        <v>36400</v>
      </c>
      <c r="N1873" t="s">
        <v>36401</v>
      </c>
      <c r="O1873">
        <f>-654.782248344576 -146.764260588574 -506.766688100024</f>
        <v>-1308.313197033174</v>
      </c>
      <c r="P1873">
        <f>-597.074584783668 -175.694746406744 -232.155413031775</f>
        <v>-1004.924744222187</v>
      </c>
      <c r="Q1873">
        <f>-447.268237608933 -111.287033902937 -397.558628176374</f>
        <v>-956.11389968824403</v>
      </c>
      <c r="R1873" t="s">
        <v>36402</v>
      </c>
      <c r="S1873" t="s">
        <v>36403</v>
      </c>
      <c r="T1873" t="s">
        <v>36404</v>
      </c>
      <c r="U1873" t="s">
        <v>36405</v>
      </c>
      <c r="V1873">
        <f>-581.505196669224 -53.6496190227435 -91.8377073971081</f>
        <v>-726.99252308907569</v>
      </c>
      <c r="W1873" t="s">
        <v>36406</v>
      </c>
      <c r="X1873" t="s">
        <v>36407</v>
      </c>
      <c r="Y1873" t="s">
        <v>36408</v>
      </c>
    </row>
    <row r="1874" spans="1:25" x14ac:dyDescent="0.3">
      <c r="A1874">
        <v>93650</v>
      </c>
      <c r="B1874" t="s">
        <v>36409</v>
      </c>
      <c r="C1874" t="s">
        <v>36410</v>
      </c>
      <c r="D1874" t="s">
        <v>36411</v>
      </c>
      <c r="E1874" t="s">
        <v>36412</v>
      </c>
      <c r="F1874" t="s">
        <v>36413</v>
      </c>
      <c r="G1874" t="s">
        <v>36414</v>
      </c>
      <c r="H1874" t="s">
        <v>36415</v>
      </c>
      <c r="I1874" t="s">
        <v>36416</v>
      </c>
      <c r="J1874" t="s">
        <v>36417</v>
      </c>
      <c r="K1874" t="s">
        <v>36418</v>
      </c>
      <c r="L1874" t="s">
        <v>36419</v>
      </c>
      <c r="M1874" t="s">
        <v>36420</v>
      </c>
      <c r="N1874" t="s">
        <v>36421</v>
      </c>
      <c r="O1874">
        <f>-654.337113631328 -146.884473323847 -506.758048030178</f>
        <v>-1307.979634985353</v>
      </c>
      <c r="P1874">
        <f>-596.756249700529 -175.721132343771 -232.110055519768</f>
        <v>-1004.587437564068</v>
      </c>
      <c r="Q1874">
        <f>-446.489033701867 -111.576978550563 -397.197327725054</f>
        <v>-955.26333997748407</v>
      </c>
      <c r="R1874" t="s">
        <v>36422</v>
      </c>
      <c r="S1874" t="s">
        <v>36423</v>
      </c>
      <c r="T1874" t="s">
        <v>36424</v>
      </c>
      <c r="U1874" t="s">
        <v>36425</v>
      </c>
      <c r="V1874">
        <f>-581.155697475513 -53.8049131827211 -91.8329942173834</f>
        <v>-726.79360487561746</v>
      </c>
      <c r="W1874" t="s">
        <v>36426</v>
      </c>
      <c r="X1874" t="s">
        <v>36427</v>
      </c>
      <c r="Y1874" t="s">
        <v>36428</v>
      </c>
    </row>
    <row r="1875" spans="1:25" x14ac:dyDescent="0.3">
      <c r="A1875">
        <v>93700</v>
      </c>
      <c r="B1875" t="s">
        <v>36429</v>
      </c>
      <c r="C1875" t="s">
        <v>36430</v>
      </c>
      <c r="D1875" t="s">
        <v>36431</v>
      </c>
      <c r="E1875" t="s">
        <v>36432</v>
      </c>
      <c r="F1875" t="s">
        <v>36433</v>
      </c>
      <c r="G1875" t="s">
        <v>36434</v>
      </c>
      <c r="H1875" t="s">
        <v>36435</v>
      </c>
      <c r="I1875" t="s">
        <v>36436</v>
      </c>
      <c r="J1875" t="s">
        <v>36437</v>
      </c>
      <c r="K1875" t="s">
        <v>36438</v>
      </c>
      <c r="L1875" t="s">
        <v>36439</v>
      </c>
      <c r="M1875" t="s">
        <v>36440</v>
      </c>
      <c r="N1875" t="s">
        <v>36441</v>
      </c>
      <c r="O1875">
        <f>-653.52681786906 -147.296446953914 -506.753334529052</f>
        <v>-1307.5765993520261</v>
      </c>
      <c r="P1875">
        <f>-596.253283526927 -176.131626959083 -232.041001738591</f>
        <v>-1004.4259122246011</v>
      </c>
      <c r="Q1875">
        <f>-445.178411193937 -112.374073884858 -396.539939502457</f>
        <v>-954.09242458125209</v>
      </c>
      <c r="R1875" t="s">
        <v>36442</v>
      </c>
      <c r="S1875" t="s">
        <v>36443</v>
      </c>
      <c r="T1875" t="s">
        <v>36444</v>
      </c>
      <c r="U1875" t="s">
        <v>36445</v>
      </c>
      <c r="V1875">
        <f>-580.561706528022 -54.1684059736117 -91.8299699707842</f>
        <v>-726.56008247241789</v>
      </c>
      <c r="W1875" t="s">
        <v>36446</v>
      </c>
      <c r="X1875" t="s">
        <v>36447</v>
      </c>
      <c r="Y1875" t="s">
        <v>36448</v>
      </c>
    </row>
    <row r="1876" spans="1:25" x14ac:dyDescent="0.3">
      <c r="A1876">
        <v>93750</v>
      </c>
      <c r="B1876" t="s">
        <v>36449</v>
      </c>
      <c r="C1876" t="s">
        <v>36450</v>
      </c>
      <c r="D1876" t="s">
        <v>36451</v>
      </c>
      <c r="E1876" t="s">
        <v>36452</v>
      </c>
      <c r="F1876" t="s">
        <v>36453</v>
      </c>
      <c r="G1876" t="s">
        <v>36454</v>
      </c>
      <c r="H1876" t="s">
        <v>36455</v>
      </c>
      <c r="I1876" t="s">
        <v>36456</v>
      </c>
      <c r="J1876" t="s">
        <v>36457</v>
      </c>
      <c r="K1876" t="s">
        <v>36458</v>
      </c>
      <c r="L1876" t="s">
        <v>36459</v>
      </c>
      <c r="M1876" t="s">
        <v>36460</v>
      </c>
      <c r="N1876" t="s">
        <v>36461</v>
      </c>
      <c r="O1876">
        <f>-653.167319136194 -147.412778640462 -506.773808334473</f>
        <v>-1307.3539061111289</v>
      </c>
      <c r="P1876">
        <f>-595.974730638656 -176.122939340038 -232.031398165182</f>
        <v>-1004.1290681438759</v>
      </c>
      <c r="Q1876">
        <f>-444.518026037942 -112.742537166841 -396.324930321749</f>
        <v>-953.58549352653199</v>
      </c>
      <c r="R1876" t="s">
        <v>36462</v>
      </c>
      <c r="S1876" t="s">
        <v>36463</v>
      </c>
      <c r="T1876" t="s">
        <v>36464</v>
      </c>
      <c r="U1876" t="s">
        <v>36465</v>
      </c>
      <c r="V1876">
        <f>-580.33001518488 -54.2848259037221 -91.8277707224413</f>
        <v>-726.44261181104343</v>
      </c>
      <c r="W1876" t="s">
        <v>36466</v>
      </c>
      <c r="X1876" t="s">
        <v>36467</v>
      </c>
      <c r="Y1876" t="s">
        <v>36468</v>
      </c>
    </row>
    <row r="1877" spans="1:25" x14ac:dyDescent="0.3">
      <c r="A1877">
        <v>93800</v>
      </c>
      <c r="B1877" t="s">
        <v>36469</v>
      </c>
      <c r="C1877" t="s">
        <v>36470</v>
      </c>
      <c r="D1877" t="s">
        <v>36471</v>
      </c>
      <c r="E1877" t="s">
        <v>36472</v>
      </c>
      <c r="F1877" t="s">
        <v>36473</v>
      </c>
      <c r="G1877" t="s">
        <v>36474</v>
      </c>
      <c r="H1877" t="s">
        <v>36475</v>
      </c>
      <c r="I1877" t="s">
        <v>36476</v>
      </c>
      <c r="J1877" t="s">
        <v>36477</v>
      </c>
      <c r="K1877" t="s">
        <v>36478</v>
      </c>
      <c r="L1877" t="s">
        <v>36479</v>
      </c>
      <c r="M1877" t="s">
        <v>36480</v>
      </c>
      <c r="N1877" t="s">
        <v>36481</v>
      </c>
      <c r="O1877">
        <f>-652.433123203907 -147.783968106957 -506.736275152582</f>
        <v>-1306.9533664634459</v>
      </c>
      <c r="P1877">
        <f>-595.439048409388 -176.391348011287 -231.941909057704</f>
        <v>-1003.7723054783791</v>
      </c>
      <c r="Q1877">
        <f>-443.188678159927 -113.985308571409 -395.874432393683</f>
        <v>-953.04841912501911</v>
      </c>
      <c r="R1877" t="s">
        <v>36482</v>
      </c>
      <c r="S1877" t="s">
        <v>36483</v>
      </c>
      <c r="T1877" t="s">
        <v>36484</v>
      </c>
      <c r="U1877" t="s">
        <v>36485</v>
      </c>
      <c r="V1877">
        <f>-580.043800273308 -54.6215961746 -91.8330326386416</f>
        <v>-726.49842908654955</v>
      </c>
      <c r="W1877" t="s">
        <v>36486</v>
      </c>
      <c r="X1877" t="s">
        <v>36487</v>
      </c>
      <c r="Y1877" t="s">
        <v>36488</v>
      </c>
    </row>
    <row r="1878" spans="1:25" x14ac:dyDescent="0.3">
      <c r="A1878">
        <v>93850</v>
      </c>
      <c r="B1878" t="s">
        <v>36489</v>
      </c>
      <c r="C1878" t="s">
        <v>36490</v>
      </c>
      <c r="D1878" t="s">
        <v>36491</v>
      </c>
      <c r="E1878" t="s">
        <v>36492</v>
      </c>
      <c r="F1878" t="s">
        <v>36493</v>
      </c>
      <c r="G1878" t="s">
        <v>36494</v>
      </c>
      <c r="H1878" t="s">
        <v>36495</v>
      </c>
      <c r="I1878" t="s">
        <v>36496</v>
      </c>
      <c r="J1878" t="s">
        <v>36497</v>
      </c>
      <c r="K1878" t="s">
        <v>36498</v>
      </c>
      <c r="L1878" t="s">
        <v>36499</v>
      </c>
      <c r="M1878" t="s">
        <v>36500</v>
      </c>
      <c r="N1878" t="s">
        <v>36501</v>
      </c>
      <c r="O1878">
        <f>-652.099233208388 -147.952460365342 -506.767531973529</f>
        <v>-1306.8192255472591</v>
      </c>
      <c r="P1878">
        <f>-595.284246289625 -176.434202954438 -231.923057623451</f>
        <v>-1003.641506867514</v>
      </c>
      <c r="Q1878">
        <f>-442.653123750088 -114.635251168152 -395.731395155831</f>
        <v>-953.01977007407106</v>
      </c>
      <c r="R1878" t="s">
        <v>36502</v>
      </c>
      <c r="S1878" t="s">
        <v>36503</v>
      </c>
      <c r="T1878" t="s">
        <v>36504</v>
      </c>
      <c r="U1878" t="s">
        <v>36505</v>
      </c>
      <c r="V1878">
        <f>-579.97663771997 -54.80163676145 -91.8411253130874</f>
        <v>-726.61939979450744</v>
      </c>
      <c r="W1878" t="s">
        <v>36506</v>
      </c>
      <c r="X1878" t="s">
        <v>36507</v>
      </c>
      <c r="Y1878" t="s">
        <v>36508</v>
      </c>
    </row>
    <row r="1879" spans="1:25" x14ac:dyDescent="0.3">
      <c r="A1879">
        <v>93900</v>
      </c>
      <c r="B1879" t="s">
        <v>36509</v>
      </c>
      <c r="C1879" t="s">
        <v>36510</v>
      </c>
      <c r="D1879" t="s">
        <v>36511</v>
      </c>
      <c r="E1879" t="s">
        <v>36512</v>
      </c>
      <c r="F1879" t="s">
        <v>36513</v>
      </c>
      <c r="G1879" t="s">
        <v>36514</v>
      </c>
      <c r="H1879" t="s">
        <v>36515</v>
      </c>
      <c r="I1879" t="s">
        <v>36516</v>
      </c>
      <c r="J1879" t="s">
        <v>36517</v>
      </c>
      <c r="K1879" t="s">
        <v>36518</v>
      </c>
      <c r="L1879" t="s">
        <v>36519</v>
      </c>
      <c r="M1879" t="s">
        <v>36520</v>
      </c>
      <c r="N1879" t="s">
        <v>36521</v>
      </c>
      <c r="O1879">
        <f>-651.603322848468 -148.236080274109 -506.801273124129</f>
        <v>-1306.6406762467059</v>
      </c>
      <c r="P1879">
        <f>-595.061259283764 -176.542775255278 -231.882503099188</f>
        <v>-1003.4865376382299</v>
      </c>
      <c r="Q1879">
        <f>-442.064227476963 -115.533149084334 -395.645381439311</f>
        <v>-953.24275800060798</v>
      </c>
      <c r="R1879" t="s">
        <v>36522</v>
      </c>
      <c r="S1879" t="s">
        <v>36523</v>
      </c>
      <c r="T1879" t="s">
        <v>36524</v>
      </c>
      <c r="U1879" t="s">
        <v>36525</v>
      </c>
      <c r="V1879">
        <f>-579.933676376905 -55.0440540375348 -91.8488655738635</f>
        <v>-726.82659598830332</v>
      </c>
      <c r="W1879" t="s">
        <v>36526</v>
      </c>
      <c r="X1879" t="s">
        <v>36527</v>
      </c>
      <c r="Y1879" t="s">
        <v>36528</v>
      </c>
    </row>
    <row r="1880" spans="1:25" x14ac:dyDescent="0.3">
      <c r="A1880">
        <v>93950</v>
      </c>
      <c r="B1880" t="s">
        <v>36529</v>
      </c>
      <c r="C1880" t="s">
        <v>36530</v>
      </c>
      <c r="D1880" t="s">
        <v>36531</v>
      </c>
      <c r="E1880" t="s">
        <v>36532</v>
      </c>
      <c r="F1880" t="s">
        <v>36533</v>
      </c>
      <c r="G1880" t="s">
        <v>36534</v>
      </c>
      <c r="H1880" t="s">
        <v>36535</v>
      </c>
      <c r="I1880" t="s">
        <v>36536</v>
      </c>
      <c r="J1880" t="s">
        <v>36537</v>
      </c>
      <c r="K1880" t="s">
        <v>36538</v>
      </c>
      <c r="L1880" t="s">
        <v>36539</v>
      </c>
      <c r="M1880" t="s">
        <v>36540</v>
      </c>
      <c r="N1880" t="s">
        <v>36541</v>
      </c>
      <c r="O1880">
        <f>-651.402967814285 -148.354730432651 -506.806843687318</f>
        <v>-1306.5645419342541</v>
      </c>
      <c r="P1880">
        <f>-594.916591483306 -176.712910594729 -231.881938597835</f>
        <v>-1003.5114406758699</v>
      </c>
      <c r="Q1880">
        <f>-442.061394376644 -115.71508352945 -395.781547346605</f>
        <v>-953.55802525269905</v>
      </c>
      <c r="R1880" t="s">
        <v>36542</v>
      </c>
      <c r="S1880" t="s">
        <v>36543</v>
      </c>
      <c r="T1880" t="s">
        <v>36544</v>
      </c>
      <c r="U1880" t="s">
        <v>36545</v>
      </c>
      <c r="V1880">
        <f>-579.931395246837 -55.0794751059925 -91.8520514634706</f>
        <v>-726.86292181630017</v>
      </c>
      <c r="W1880" t="s">
        <v>36546</v>
      </c>
      <c r="X1880" t="s">
        <v>36547</v>
      </c>
      <c r="Y1880" t="s">
        <v>36548</v>
      </c>
    </row>
    <row r="1881" spans="1:25" x14ac:dyDescent="0.3">
      <c r="A1881">
        <v>94000</v>
      </c>
      <c r="B1881" t="s">
        <v>36549</v>
      </c>
      <c r="C1881" t="s">
        <v>36550</v>
      </c>
      <c r="D1881" t="s">
        <v>36551</v>
      </c>
      <c r="E1881" t="s">
        <v>36552</v>
      </c>
      <c r="F1881" t="s">
        <v>36553</v>
      </c>
      <c r="G1881" t="s">
        <v>36554</v>
      </c>
      <c r="H1881" t="s">
        <v>36555</v>
      </c>
      <c r="I1881" t="s">
        <v>36556</v>
      </c>
      <c r="J1881" t="s">
        <v>36557</v>
      </c>
      <c r="K1881" t="s">
        <v>36558</v>
      </c>
      <c r="L1881" t="s">
        <v>36559</v>
      </c>
      <c r="M1881" t="s">
        <v>36560</v>
      </c>
      <c r="N1881" t="s">
        <v>36561</v>
      </c>
      <c r="O1881">
        <f>-651.066276443586 -148.452928783337 -506.762940294431</f>
        <v>-1306.2821455213541</v>
      </c>
      <c r="P1881">
        <f>-593.84729443968 -176.882392079141 -231.997026445605</f>
        <v>-1002.726712964426</v>
      </c>
      <c r="Q1881">
        <f>-442.390901507621 -115.473129430498 -397.037460650149</f>
        <v>-954.90149158826796</v>
      </c>
      <c r="R1881" t="s">
        <v>36562</v>
      </c>
      <c r="S1881" t="s">
        <v>36563</v>
      </c>
      <c r="T1881" t="s">
        <v>36564</v>
      </c>
      <c r="U1881" t="s">
        <v>36565</v>
      </c>
      <c r="V1881">
        <f>-579.910266886186 -54.9600227680437 -91.8557669263164</f>
        <v>-726.72605658054613</v>
      </c>
      <c r="W1881" t="s">
        <v>36566</v>
      </c>
      <c r="X1881" t="s">
        <v>36567</v>
      </c>
      <c r="Y1881" t="s">
        <v>36568</v>
      </c>
    </row>
    <row r="1882" spans="1:25" x14ac:dyDescent="0.3">
      <c r="A1882">
        <v>94050</v>
      </c>
      <c r="B1882" t="s">
        <v>36569</v>
      </c>
      <c r="C1882" t="s">
        <v>36570</v>
      </c>
      <c r="D1882" t="s">
        <v>36571</v>
      </c>
      <c r="E1882" t="s">
        <v>36572</v>
      </c>
      <c r="F1882" t="s">
        <v>36573</v>
      </c>
      <c r="G1882" t="s">
        <v>36574</v>
      </c>
      <c r="H1882" t="s">
        <v>36575</v>
      </c>
      <c r="I1882" t="s">
        <v>36576</v>
      </c>
      <c r="J1882" t="s">
        <v>36577</v>
      </c>
      <c r="K1882" t="s">
        <v>36578</v>
      </c>
      <c r="L1882" t="s">
        <v>36579</v>
      </c>
      <c r="M1882" t="s">
        <v>36580</v>
      </c>
      <c r="N1882" t="s">
        <v>36581</v>
      </c>
      <c r="O1882">
        <f>-651.078436729068 -148.499436435839 -506.665345638646</f>
        <v>-1306.243218803553</v>
      </c>
      <c r="P1882">
        <f>-592.767465219976 -176.819338286776 -232.117792469139</f>
        <v>-1001.7045959758909</v>
      </c>
      <c r="Q1882">
        <f>-442.679096734041 -115.130122071911 -398.299728050094</f>
        <v>-956.10894685604603</v>
      </c>
      <c r="R1882" t="s">
        <v>36582</v>
      </c>
      <c r="S1882" t="s">
        <v>36583</v>
      </c>
      <c r="T1882" t="s">
        <v>36584</v>
      </c>
      <c r="U1882" t="s">
        <v>36585</v>
      </c>
      <c r="V1882">
        <f>-579.950843959999 -54.8812212804446 -91.8565171432306</f>
        <v>-726.6885823836742</v>
      </c>
      <c r="W1882" t="s">
        <v>36586</v>
      </c>
      <c r="X1882" t="s">
        <v>36587</v>
      </c>
      <c r="Y1882" t="s">
        <v>36588</v>
      </c>
    </row>
    <row r="1883" spans="1:25" x14ac:dyDescent="0.3">
      <c r="A1883">
        <v>94100</v>
      </c>
      <c r="B1883" t="s">
        <v>36589</v>
      </c>
      <c r="C1883" t="s">
        <v>36590</v>
      </c>
      <c r="D1883" t="s">
        <v>36591</v>
      </c>
      <c r="E1883" t="s">
        <v>36592</v>
      </c>
      <c r="F1883" t="s">
        <v>36593</v>
      </c>
      <c r="G1883" t="s">
        <v>36594</v>
      </c>
      <c r="H1883" t="s">
        <v>36595</v>
      </c>
      <c r="I1883" t="s">
        <v>36596</v>
      </c>
      <c r="J1883" t="s">
        <v>36597</v>
      </c>
      <c r="K1883" t="s">
        <v>36598</v>
      </c>
      <c r="L1883" t="s">
        <v>36599</v>
      </c>
      <c r="M1883" t="s">
        <v>36600</v>
      </c>
      <c r="N1883" t="s">
        <v>36601</v>
      </c>
      <c r="O1883">
        <f>-651.182996409461 -148.509270997225 -506.546112966984</f>
        <v>-1306.23838037367</v>
      </c>
      <c r="P1883">
        <f>-589.496446852206 -176.557405077646 -232.70924832807</f>
        <v>-998.76310025792191</v>
      </c>
      <c r="Q1883">
        <f>-443.027854962553 -114.677609915479 -402.020715218859</f>
        <v>-959.72618009689097</v>
      </c>
      <c r="R1883" t="s">
        <v>36602</v>
      </c>
      <c r="S1883" t="s">
        <v>36603</v>
      </c>
      <c r="T1883" t="s">
        <v>36604</v>
      </c>
      <c r="U1883" t="s">
        <v>36605</v>
      </c>
      <c r="V1883">
        <f>-580.166594480038 -54.6770431790274 -91.8584223355286</f>
        <v>-726.70205999459404</v>
      </c>
      <c r="W1883" t="s">
        <v>36606</v>
      </c>
      <c r="X1883" t="s">
        <v>36607</v>
      </c>
      <c r="Y1883" t="s">
        <v>36608</v>
      </c>
    </row>
    <row r="1884" spans="1:25" x14ac:dyDescent="0.3">
      <c r="A1884">
        <v>94150</v>
      </c>
      <c r="B1884" t="s">
        <v>36609</v>
      </c>
      <c r="C1884" t="s">
        <v>36610</v>
      </c>
      <c r="D1884" t="s">
        <v>36611</v>
      </c>
      <c r="E1884" t="s">
        <v>36612</v>
      </c>
      <c r="F1884" t="s">
        <v>36613</v>
      </c>
      <c r="G1884" t="s">
        <v>36614</v>
      </c>
      <c r="H1884" t="s">
        <v>36615</v>
      </c>
      <c r="I1884" t="s">
        <v>36616</v>
      </c>
      <c r="J1884" t="s">
        <v>36617</v>
      </c>
      <c r="K1884" t="s">
        <v>36618</v>
      </c>
      <c r="L1884" t="s">
        <v>36619</v>
      </c>
      <c r="M1884" t="s">
        <v>36620</v>
      </c>
      <c r="N1884" t="s">
        <v>36621</v>
      </c>
      <c r="O1884">
        <f>-651.16276871501 -148.557552498794 -506.506787506278</f>
        <v>-1306.227108720082</v>
      </c>
      <c r="P1884">
        <f>-587.460184789633 -176.705115357271 -233.141993920113</f>
        <v>-997.30729406701698</v>
      </c>
      <c r="Q1884">
        <f>-443.117796591657 -114.708465749865 -404.227442885095</f>
        <v>-962.05370522661701</v>
      </c>
      <c r="R1884" t="s">
        <v>36622</v>
      </c>
      <c r="S1884" t="s">
        <v>36623</v>
      </c>
      <c r="T1884" t="s">
        <v>36624</v>
      </c>
      <c r="U1884" t="s">
        <v>36625</v>
      </c>
      <c r="V1884">
        <f>-580.375615607158 -54.6183974583766 -91.8758868921884</f>
        <v>-726.86989995772308</v>
      </c>
      <c r="W1884" t="s">
        <v>36626</v>
      </c>
      <c r="X1884" t="s">
        <v>36627</v>
      </c>
      <c r="Y1884" t="s">
        <v>36628</v>
      </c>
    </row>
    <row r="1885" spans="1:25" x14ac:dyDescent="0.3">
      <c r="A1885">
        <v>94200</v>
      </c>
      <c r="B1885" t="s">
        <v>36629</v>
      </c>
      <c r="C1885" t="s">
        <v>36630</v>
      </c>
      <c r="D1885" t="s">
        <v>36631</v>
      </c>
      <c r="E1885" t="s">
        <v>36632</v>
      </c>
      <c r="F1885" t="s">
        <v>36633</v>
      </c>
      <c r="G1885" t="s">
        <v>36634</v>
      </c>
      <c r="H1885" t="s">
        <v>36635</v>
      </c>
      <c r="I1885" t="s">
        <v>36636</v>
      </c>
      <c r="J1885" t="s">
        <v>36637</v>
      </c>
      <c r="K1885" t="s">
        <v>36638</v>
      </c>
      <c r="L1885" t="s">
        <v>36639</v>
      </c>
      <c r="M1885" t="s">
        <v>36640</v>
      </c>
      <c r="N1885" t="s">
        <v>36641</v>
      </c>
      <c r="O1885">
        <f>-651.250599113212 -148.572635124394 -506.43321830917</f>
        <v>-1306.256452546776</v>
      </c>
      <c r="P1885">
        <f>-582.933634459836 -176.628028257301 -234.175517775276</f>
        <v>-993.73718049241302</v>
      </c>
      <c r="Q1885">
        <f>-443.284157581533 -114.40366702555 -409.031645443112</f>
        <v>-966.71947005019501</v>
      </c>
      <c r="R1885" t="s">
        <v>36642</v>
      </c>
      <c r="S1885" t="s">
        <v>36643</v>
      </c>
      <c r="T1885" t="s">
        <v>36644</v>
      </c>
      <c r="U1885" t="s">
        <v>36645</v>
      </c>
      <c r="V1885">
        <f>-580.669167268923 -54.3174900068266 -91.8875759327726</f>
        <v>-726.87423320852224</v>
      </c>
      <c r="W1885" t="s">
        <v>36646</v>
      </c>
      <c r="X1885" t="s">
        <v>36647</v>
      </c>
      <c r="Y1885" t="s">
        <v>36648</v>
      </c>
    </row>
    <row r="1886" spans="1:25" x14ac:dyDescent="0.3">
      <c r="A1886">
        <v>94250</v>
      </c>
      <c r="B1886" t="s">
        <v>36649</v>
      </c>
      <c r="C1886" t="s">
        <v>36650</v>
      </c>
      <c r="D1886" t="s">
        <v>36651</v>
      </c>
      <c r="E1886" t="s">
        <v>36652</v>
      </c>
      <c r="F1886" t="s">
        <v>36653</v>
      </c>
      <c r="G1886" t="s">
        <v>36654</v>
      </c>
      <c r="H1886" t="s">
        <v>36655</v>
      </c>
      <c r="I1886" t="s">
        <v>36656</v>
      </c>
      <c r="J1886" t="s">
        <v>36657</v>
      </c>
      <c r="K1886" t="s">
        <v>36658</v>
      </c>
      <c r="L1886" t="s">
        <v>36659</v>
      </c>
      <c r="M1886" t="s">
        <v>36660</v>
      </c>
      <c r="N1886" t="s">
        <v>36661</v>
      </c>
      <c r="O1886">
        <f>-651.370237224358 -148.546069517192 -506.347336281078</f>
        <v>-1306.263643022628</v>
      </c>
      <c r="P1886">
        <f>-580.765227345996 -176.483070637768 -234.661689286854</f>
        <v>-991.90998727061799</v>
      </c>
      <c r="Q1886">
        <f>-443.468879272213 -114.129575186361 -411.326077617081</f>
        <v>-968.92453207565495</v>
      </c>
      <c r="R1886" t="s">
        <v>36662</v>
      </c>
      <c r="S1886" t="s">
        <v>36663</v>
      </c>
      <c r="T1886" t="s">
        <v>36664</v>
      </c>
      <c r="U1886" t="s">
        <v>36665</v>
      </c>
      <c r="V1886">
        <f>-580.795158150796 -54.1967688538834 -91.8909467245414</f>
        <v>-726.88287372922093</v>
      </c>
      <c r="W1886" t="s">
        <v>36666</v>
      </c>
      <c r="X1886" t="s">
        <v>36667</v>
      </c>
      <c r="Y1886" t="s">
        <v>36668</v>
      </c>
    </row>
    <row r="1887" spans="1:25" x14ac:dyDescent="0.3">
      <c r="A1887">
        <v>94300</v>
      </c>
      <c r="B1887" t="s">
        <v>36669</v>
      </c>
      <c r="C1887" t="s">
        <v>36670</v>
      </c>
      <c r="D1887" t="s">
        <v>36671</v>
      </c>
      <c r="E1887" t="s">
        <v>36672</v>
      </c>
      <c r="F1887" t="s">
        <v>36673</v>
      </c>
      <c r="G1887" t="s">
        <v>36674</v>
      </c>
      <c r="H1887" t="s">
        <v>36675</v>
      </c>
      <c r="I1887" t="s">
        <v>36676</v>
      </c>
      <c r="J1887" t="s">
        <v>36677</v>
      </c>
      <c r="K1887" t="s">
        <v>36678</v>
      </c>
      <c r="L1887" t="s">
        <v>36679</v>
      </c>
      <c r="M1887" t="s">
        <v>36680</v>
      </c>
      <c r="N1887" t="s">
        <v>36681</v>
      </c>
      <c r="O1887">
        <f>-651.434250958253 -148.316974553055 -506.333709014813</f>
        <v>-1306.0849345261208</v>
      </c>
      <c r="P1887">
        <f>-577.3187452651 -175.904075498215 -235.548888397255</f>
        <v>-988.77170916057003</v>
      </c>
      <c r="Q1887">
        <f>-443.405688070136 -113.08483658768 -414.628611650261</f>
        <v>-971.11913630807703</v>
      </c>
      <c r="R1887" t="s">
        <v>36682</v>
      </c>
      <c r="S1887" t="s">
        <v>36683</v>
      </c>
      <c r="T1887" t="s">
        <v>36684</v>
      </c>
      <c r="U1887" t="s">
        <v>36685</v>
      </c>
      <c r="V1887">
        <f>-581.077997147803 -53.8730003508883 -91.890372615691</f>
        <v>-726.84137011438236</v>
      </c>
      <c r="W1887" t="s">
        <v>36686</v>
      </c>
      <c r="X1887" t="s">
        <v>36687</v>
      </c>
      <c r="Y1887" t="s">
        <v>36688</v>
      </c>
    </row>
    <row r="1888" spans="1:25" x14ac:dyDescent="0.3">
      <c r="A1888">
        <v>94350</v>
      </c>
      <c r="B1888" t="s">
        <v>36689</v>
      </c>
      <c r="C1888" t="s">
        <v>36690</v>
      </c>
      <c r="D1888" t="s">
        <v>36691</v>
      </c>
      <c r="E1888" t="s">
        <v>36692</v>
      </c>
      <c r="F1888" t="s">
        <v>36693</v>
      </c>
      <c r="G1888" t="s">
        <v>36694</v>
      </c>
      <c r="H1888" t="s">
        <v>36695</v>
      </c>
      <c r="I1888" t="s">
        <v>36696</v>
      </c>
      <c r="J1888" t="s">
        <v>36697</v>
      </c>
      <c r="K1888" t="s">
        <v>36698</v>
      </c>
      <c r="L1888" t="s">
        <v>36699</v>
      </c>
      <c r="M1888" t="s">
        <v>36700</v>
      </c>
      <c r="N1888" t="s">
        <v>36701</v>
      </c>
      <c r="O1888">
        <f>-651.300107728034 -148.24264900697 -506.383340711233</f>
        <v>-1305.9260974462372</v>
      </c>
      <c r="P1888">
        <f>-576.436778938036 -175.474845338955 -235.768447251594</f>
        <v>-987.68007152858502</v>
      </c>
      <c r="Q1888">
        <f>-443.448750927233 -112.062385825765 -415.327973376448</f>
        <v>-970.839110129446</v>
      </c>
      <c r="R1888" t="s">
        <v>36702</v>
      </c>
      <c r="S1888" t="s">
        <v>36703</v>
      </c>
      <c r="T1888" t="s">
        <v>36704</v>
      </c>
      <c r="U1888" t="s">
        <v>36705</v>
      </c>
      <c r="V1888">
        <f>-581.231360171254 -53.7031243557831 -91.8842735329763</f>
        <v>-726.81875806001335</v>
      </c>
      <c r="W1888" t="s">
        <v>36706</v>
      </c>
      <c r="X1888" t="s">
        <v>36707</v>
      </c>
      <c r="Y1888" t="s">
        <v>36708</v>
      </c>
    </row>
    <row r="1889" spans="1:25" x14ac:dyDescent="0.3">
      <c r="A1889">
        <v>94400</v>
      </c>
      <c r="B1889" t="s">
        <v>36709</v>
      </c>
      <c r="C1889" t="s">
        <v>36710</v>
      </c>
      <c r="D1889" t="s">
        <v>36711</v>
      </c>
      <c r="E1889" t="s">
        <v>36712</v>
      </c>
      <c r="F1889" t="s">
        <v>36713</v>
      </c>
      <c r="G1889" t="s">
        <v>36714</v>
      </c>
      <c r="H1889" t="s">
        <v>36715</v>
      </c>
      <c r="I1889" t="s">
        <v>36716</v>
      </c>
      <c r="J1889" t="s">
        <v>36717</v>
      </c>
      <c r="K1889" t="s">
        <v>36718</v>
      </c>
      <c r="L1889" t="s">
        <v>36719</v>
      </c>
      <c r="M1889" t="s">
        <v>36720</v>
      </c>
      <c r="N1889" t="s">
        <v>36721</v>
      </c>
      <c r="O1889">
        <f>-650.828587427342 -148.345290621221 -506.27891754765</f>
        <v>-1305.452795596213</v>
      </c>
      <c r="P1889">
        <f>-576.5512380668 -175.783393398744 -235.523305051587</f>
        <v>-987.85793651713107</v>
      </c>
      <c r="Q1889">
        <f>-442.843301010334 -111.311135317648 -414.168260903356</f>
        <v>-968.322697231338</v>
      </c>
      <c r="R1889" t="s">
        <v>36722</v>
      </c>
      <c r="S1889" t="s">
        <v>36723</v>
      </c>
      <c r="T1889" t="s">
        <v>36724</v>
      </c>
      <c r="U1889" t="s">
        <v>36725</v>
      </c>
      <c r="V1889">
        <f>-581.374702098932 -53.3895845741608 -91.8657816678877</f>
        <v>-726.63006834098053</v>
      </c>
      <c r="W1889" t="s">
        <v>36726</v>
      </c>
      <c r="X1889" t="s">
        <v>36727</v>
      </c>
      <c r="Y1889" t="s">
        <v>36728</v>
      </c>
    </row>
    <row r="1890" spans="1:25" x14ac:dyDescent="0.3">
      <c r="A1890">
        <v>94450</v>
      </c>
      <c r="B1890" t="s">
        <v>36729</v>
      </c>
      <c r="C1890" t="s">
        <v>36730</v>
      </c>
      <c r="D1890" t="s">
        <v>36731</v>
      </c>
      <c r="E1890" t="s">
        <v>36732</v>
      </c>
      <c r="F1890" t="s">
        <v>36733</v>
      </c>
      <c r="G1890" t="s">
        <v>36734</v>
      </c>
      <c r="H1890" t="s">
        <v>36735</v>
      </c>
      <c r="I1890" t="s">
        <v>36736</v>
      </c>
      <c r="J1890" t="s">
        <v>36737</v>
      </c>
      <c r="K1890" t="s">
        <v>36738</v>
      </c>
      <c r="L1890" t="s">
        <v>36739</v>
      </c>
      <c r="M1890" t="s">
        <v>36740</v>
      </c>
      <c r="N1890" t="s">
        <v>36741</v>
      </c>
      <c r="O1890">
        <f>-650.656694921316 -148.373190543291 -506.252597878915</f>
        <v>-1305.282483343522</v>
      </c>
      <c r="P1890">
        <f>-577.180365477032 -175.911931889148 -235.288765366675</f>
        <v>-988.38106273285496</v>
      </c>
      <c r="Q1890">
        <f>-442.648167100247 -111.079426451644 -413.182882365054</f>
        <v>-966.91047591694496</v>
      </c>
      <c r="R1890" t="s">
        <v>36742</v>
      </c>
      <c r="S1890" t="s">
        <v>36743</v>
      </c>
      <c r="T1890" t="s">
        <v>36744</v>
      </c>
      <c r="U1890" t="s">
        <v>36745</v>
      </c>
      <c r="V1890">
        <f>-581.336276282316 -53.2178547202968 -91.8562883830248</f>
        <v>-726.41041938563762</v>
      </c>
      <c r="W1890" t="s">
        <v>36746</v>
      </c>
      <c r="X1890" t="s">
        <v>36747</v>
      </c>
      <c r="Y1890" t="s">
        <v>36748</v>
      </c>
    </row>
    <row r="1891" spans="1:25" x14ac:dyDescent="0.3">
      <c r="A1891">
        <v>94500</v>
      </c>
      <c r="B1891" t="s">
        <v>36749</v>
      </c>
      <c r="C1891" t="s">
        <v>36750</v>
      </c>
      <c r="D1891" t="s">
        <v>36751</v>
      </c>
      <c r="E1891" t="s">
        <v>36752</v>
      </c>
      <c r="F1891" t="s">
        <v>36753</v>
      </c>
      <c r="G1891" t="s">
        <v>36754</v>
      </c>
      <c r="H1891" t="s">
        <v>36755</v>
      </c>
      <c r="I1891" t="s">
        <v>36756</v>
      </c>
      <c r="J1891" t="s">
        <v>36757</v>
      </c>
      <c r="K1891" t="s">
        <v>36758</v>
      </c>
      <c r="L1891" t="s">
        <v>36759</v>
      </c>
      <c r="M1891" t="s">
        <v>36760</v>
      </c>
      <c r="N1891" t="s">
        <v>36761</v>
      </c>
      <c r="O1891">
        <f>-650.653809876532 -148.520942056482 -506.041994684866</f>
        <v>-1305.2167466178801</v>
      </c>
      <c r="P1891">
        <f>-578.154689163366 -176.371897744527 -234.846769079076</f>
        <v>-989.37335598696905</v>
      </c>
      <c r="Q1891">
        <f>-443.239320339758 -109.843604650563 -411.822377806575</f>
        <v>-964.90530279689597</v>
      </c>
      <c r="R1891" t="s">
        <v>36762</v>
      </c>
      <c r="S1891" t="s">
        <v>36763</v>
      </c>
      <c r="T1891" t="s">
        <v>36764</v>
      </c>
      <c r="U1891" t="s">
        <v>36765</v>
      </c>
      <c r="V1891">
        <f>-581.026320926753 -52.8871133392108 -91.7668184296356</f>
        <v>-725.68025269559939</v>
      </c>
      <c r="W1891" t="s">
        <v>36766</v>
      </c>
      <c r="X1891" t="s">
        <v>36767</v>
      </c>
      <c r="Y1891" t="s">
        <v>36768</v>
      </c>
    </row>
    <row r="1892" spans="1:25" x14ac:dyDescent="0.3">
      <c r="A1892">
        <v>94550</v>
      </c>
      <c r="B1892" t="s">
        <v>36769</v>
      </c>
      <c r="C1892" t="s">
        <v>36770</v>
      </c>
      <c r="D1892" t="s">
        <v>36771</v>
      </c>
      <c r="E1892" t="s">
        <v>36772</v>
      </c>
      <c r="F1892" t="s">
        <v>36773</v>
      </c>
      <c r="G1892" t="s">
        <v>36774</v>
      </c>
      <c r="H1892" t="s">
        <v>36775</v>
      </c>
      <c r="I1892" t="s">
        <v>36776</v>
      </c>
      <c r="J1892" t="s">
        <v>36777</v>
      </c>
      <c r="K1892" t="s">
        <v>36778</v>
      </c>
      <c r="L1892" t="s">
        <v>36779</v>
      </c>
      <c r="M1892" t="s">
        <v>36780</v>
      </c>
      <c r="N1892" t="s">
        <v>36781</v>
      </c>
      <c r="O1892">
        <f>-650.812152863914 -148.512312258591 -505.877348229714</f>
        <v>-1305.201813352219</v>
      </c>
      <c r="P1892">
        <f>-578.553549105421 -176.671815255158 -234.649935951231</f>
        <v>-989.87530031180995</v>
      </c>
      <c r="Q1892">
        <f>-443.658738378526 -109.188822473028 -411.279267733851</f>
        <v>-964.12682858540506</v>
      </c>
      <c r="R1892" t="s">
        <v>36782</v>
      </c>
      <c r="S1892" t="s">
        <v>36783</v>
      </c>
      <c r="T1892" t="s">
        <v>36784</v>
      </c>
      <c r="U1892" t="s">
        <v>36785</v>
      </c>
      <c r="V1892">
        <f>-580.856862046466 -52.6736914900177 -91.6949888338569</f>
        <v>-725.22554237034058</v>
      </c>
      <c r="W1892" t="s">
        <v>36786</v>
      </c>
      <c r="X1892" t="s">
        <v>36787</v>
      </c>
      <c r="Y1892" t="s">
        <v>36788</v>
      </c>
    </row>
    <row r="1893" spans="1:25" x14ac:dyDescent="0.3">
      <c r="A1893">
        <v>94600</v>
      </c>
      <c r="B1893" t="s">
        <v>36789</v>
      </c>
      <c r="C1893" t="s">
        <v>36790</v>
      </c>
      <c r="D1893" t="s">
        <v>36791</v>
      </c>
      <c r="E1893" t="s">
        <v>36792</v>
      </c>
      <c r="F1893" t="s">
        <v>36793</v>
      </c>
      <c r="G1893" t="s">
        <v>36794</v>
      </c>
      <c r="H1893" t="s">
        <v>36795</v>
      </c>
      <c r="I1893" t="s">
        <v>36796</v>
      </c>
      <c r="J1893" t="s">
        <v>36797</v>
      </c>
      <c r="K1893" t="s">
        <v>36798</v>
      </c>
      <c r="L1893" t="s">
        <v>36799</v>
      </c>
      <c r="M1893" t="s">
        <v>36800</v>
      </c>
      <c r="N1893" t="s">
        <v>36801</v>
      </c>
      <c r="O1893">
        <f>-651.574283941036 -148.175623207379 -505.623860254016</f>
        <v>-1305.373767402431</v>
      </c>
      <c r="P1893">
        <f>-579.103387063572 -176.173239350182 -234.436286248241</f>
        <v>-989.71291266199501</v>
      </c>
      <c r="Q1893">
        <f>-444.137223524656 -107.498315023644 -410.551059172025</f>
        <v>-962.18659772032504</v>
      </c>
      <c r="R1893" t="s">
        <v>36802</v>
      </c>
      <c r="S1893" t="s">
        <v>36803</v>
      </c>
      <c r="T1893" t="s">
        <v>36804</v>
      </c>
      <c r="U1893" t="s">
        <v>36805</v>
      </c>
      <c r="V1893">
        <f>-580.551443088162 -52.2067683658479 -91.5545586107691</f>
        <v>-724.31277006477899</v>
      </c>
      <c r="W1893" t="s">
        <v>36806</v>
      </c>
      <c r="X1893" t="s">
        <v>36807</v>
      </c>
      <c r="Y1893" t="s">
        <v>36808</v>
      </c>
    </row>
    <row r="1894" spans="1:25" x14ac:dyDescent="0.3">
      <c r="A1894">
        <v>94650</v>
      </c>
      <c r="B1894" t="s">
        <v>36809</v>
      </c>
      <c r="C1894" t="s">
        <v>36810</v>
      </c>
      <c r="D1894" t="s">
        <v>36811</v>
      </c>
      <c r="E1894" t="s">
        <v>36812</v>
      </c>
      <c r="F1894" t="s">
        <v>36813</v>
      </c>
      <c r="G1894" t="s">
        <v>36814</v>
      </c>
      <c r="H1894" t="s">
        <v>36815</v>
      </c>
      <c r="I1894" t="s">
        <v>36816</v>
      </c>
      <c r="J1894" t="s">
        <v>36817</v>
      </c>
      <c r="K1894" t="s">
        <v>36818</v>
      </c>
      <c r="L1894" t="s">
        <v>36819</v>
      </c>
      <c r="M1894" t="s">
        <v>36820</v>
      </c>
      <c r="N1894" t="s">
        <v>36821</v>
      </c>
      <c r="O1894">
        <f>-652.014465951672 -147.852088033578 -505.569704208304</f>
        <v>-1305.4362581935541</v>
      </c>
      <c r="P1894">
        <f>-579.440751311847 -175.685956793573 -234.392774873593</f>
        <v>-989.51948297901299</v>
      </c>
      <c r="Q1894">
        <f>-444.268899096733 -107.1625295014 -410.408893243782</f>
        <v>-961.84032184191494</v>
      </c>
      <c r="R1894" t="s">
        <v>36822</v>
      </c>
      <c r="S1894" t="s">
        <v>36823</v>
      </c>
      <c r="T1894" t="s">
        <v>36824</v>
      </c>
      <c r="U1894" t="s">
        <v>36825</v>
      </c>
      <c r="V1894">
        <f>-580.439366137802 -52.0034575517177 -91.4876858038983</f>
        <v>-723.93050949341807</v>
      </c>
      <c r="W1894" t="s">
        <v>36826</v>
      </c>
      <c r="X1894" t="s">
        <v>36827</v>
      </c>
      <c r="Y1894" t="s">
        <v>36828</v>
      </c>
    </row>
    <row r="1895" spans="1:25" x14ac:dyDescent="0.3">
      <c r="A1895">
        <v>94700</v>
      </c>
      <c r="B1895" t="s">
        <v>36829</v>
      </c>
      <c r="C1895" t="s">
        <v>36830</v>
      </c>
      <c r="D1895" t="s">
        <v>36831</v>
      </c>
      <c r="E1895" t="s">
        <v>36832</v>
      </c>
      <c r="F1895" t="s">
        <v>36833</v>
      </c>
      <c r="G1895" t="s">
        <v>36834</v>
      </c>
      <c r="H1895" t="s">
        <v>36835</v>
      </c>
      <c r="I1895" t="s">
        <v>36836</v>
      </c>
      <c r="J1895" t="s">
        <v>36837</v>
      </c>
      <c r="K1895" t="s">
        <v>36838</v>
      </c>
      <c r="L1895" t="s">
        <v>36839</v>
      </c>
      <c r="M1895" t="s">
        <v>36840</v>
      </c>
      <c r="N1895" t="s">
        <v>36841</v>
      </c>
      <c r="O1895">
        <f>-652.837145012389 -147.216628033076 -505.58799348258</f>
        <v>-1305.6417665280451</v>
      </c>
      <c r="P1895">
        <f>-580.782901833907 -174.941567350613 -234.261416823331</f>
        <v>-989.98588600785092</v>
      </c>
      <c r="Q1895">
        <f>-445.083602834087 -107.615603216442 -410.333810230836</f>
        <v>-963.03301628136501</v>
      </c>
      <c r="R1895" t="s">
        <v>36842</v>
      </c>
      <c r="S1895" t="s">
        <v>36843</v>
      </c>
      <c r="T1895" t="s">
        <v>36844</v>
      </c>
      <c r="U1895" t="s">
        <v>36845</v>
      </c>
      <c r="V1895">
        <f>-580.185426963647 -51.6836397059094 -91.3489520925662</f>
        <v>-723.2180187621226</v>
      </c>
      <c r="W1895" t="s">
        <v>36846</v>
      </c>
      <c r="X1895" t="s">
        <v>36847</v>
      </c>
      <c r="Y1895" t="s">
        <v>36848</v>
      </c>
    </row>
    <row r="1896" spans="1:25" x14ac:dyDescent="0.3">
      <c r="A1896">
        <v>94750</v>
      </c>
      <c r="B1896" t="s">
        <v>36849</v>
      </c>
      <c r="C1896" t="s">
        <v>36850</v>
      </c>
      <c r="D1896" t="s">
        <v>36851</v>
      </c>
      <c r="E1896" t="s">
        <v>36852</v>
      </c>
      <c r="F1896" t="s">
        <v>36853</v>
      </c>
      <c r="G1896" t="s">
        <v>36854</v>
      </c>
      <c r="H1896" t="s">
        <v>36855</v>
      </c>
      <c r="I1896" t="s">
        <v>36856</v>
      </c>
      <c r="J1896" t="s">
        <v>36857</v>
      </c>
      <c r="K1896" t="s">
        <v>36858</v>
      </c>
      <c r="L1896" t="s">
        <v>36859</v>
      </c>
      <c r="M1896" t="s">
        <v>36860</v>
      </c>
      <c r="N1896" t="s">
        <v>36861</v>
      </c>
      <c r="O1896">
        <f>-653.357736420366 -146.926985789002 -505.630877607099</f>
        <v>-1305.915599816467</v>
      </c>
      <c r="P1896">
        <f>-581.758147535379 -174.04527191762 -234.122762370792</f>
        <v>-989.9261818237909</v>
      </c>
      <c r="Q1896">
        <f>-445.757353236592 -108.080292694208 -410.477430300713</f>
        <v>-964.3150762315131</v>
      </c>
      <c r="R1896" t="s">
        <v>36862</v>
      </c>
      <c r="S1896" t="s">
        <v>36863</v>
      </c>
      <c r="T1896" t="s">
        <v>36864</v>
      </c>
      <c r="U1896" t="s">
        <v>36865</v>
      </c>
      <c r="V1896">
        <f>-580.081327423893 -51.6453751032493 -91.2987865525436</f>
        <v>-723.02548907968583</v>
      </c>
      <c r="W1896" t="s">
        <v>36866</v>
      </c>
      <c r="X1896" t="s">
        <v>36867</v>
      </c>
      <c r="Y1896" t="s">
        <v>36868</v>
      </c>
    </row>
    <row r="1897" spans="1:25" x14ac:dyDescent="0.3">
      <c r="A1897">
        <v>94800</v>
      </c>
      <c r="B1897" t="s">
        <v>36869</v>
      </c>
      <c r="C1897" t="s">
        <v>36870</v>
      </c>
      <c r="D1897" t="s">
        <v>36871</v>
      </c>
      <c r="E1897" t="s">
        <v>36872</v>
      </c>
      <c r="F1897" t="s">
        <v>36873</v>
      </c>
      <c r="G1897" t="s">
        <v>36874</v>
      </c>
      <c r="H1897" t="s">
        <v>36875</v>
      </c>
      <c r="I1897" t="s">
        <v>36876</v>
      </c>
      <c r="J1897" t="s">
        <v>36877</v>
      </c>
      <c r="K1897" t="s">
        <v>36878</v>
      </c>
      <c r="L1897" t="s">
        <v>36879</v>
      </c>
      <c r="M1897" t="s">
        <v>36880</v>
      </c>
      <c r="N1897" t="s">
        <v>36881</v>
      </c>
      <c r="O1897">
        <f>-654.771473417494 -146.365024452579 -505.743158232613</f>
        <v>-1306.8796561026861</v>
      </c>
      <c r="P1897">
        <f>-583.942714109501 -171.913859732549 -233.880856029799</f>
        <v>-989.73742987184903</v>
      </c>
      <c r="Q1897">
        <f>-445.611246068524 -109.926981470105 -409.865401715551</f>
        <v>-965.40362925418003</v>
      </c>
      <c r="R1897" t="s">
        <v>36882</v>
      </c>
      <c r="S1897" t="s">
        <v>36883</v>
      </c>
      <c r="T1897" t="s">
        <v>36884</v>
      </c>
      <c r="U1897" t="s">
        <v>36885</v>
      </c>
      <c r="V1897">
        <f>-580.103471286387 -51.617617721814 -91.2339954863618</f>
        <v>-722.95508449456281</v>
      </c>
      <c r="W1897" t="s">
        <v>36886</v>
      </c>
      <c r="X1897" t="s">
        <v>36887</v>
      </c>
      <c r="Y1897" t="s">
        <v>36888</v>
      </c>
    </row>
    <row r="1898" spans="1:25" x14ac:dyDescent="0.3">
      <c r="A1898">
        <v>94850</v>
      </c>
      <c r="B1898" t="s">
        <v>36889</v>
      </c>
      <c r="C1898" t="s">
        <v>36890</v>
      </c>
      <c r="D1898" t="s">
        <v>36891</v>
      </c>
      <c r="E1898" t="s">
        <v>36892</v>
      </c>
      <c r="F1898" t="s">
        <v>36893</v>
      </c>
      <c r="G1898" t="s">
        <v>36894</v>
      </c>
      <c r="H1898" t="s">
        <v>36895</v>
      </c>
      <c r="I1898" t="s">
        <v>36896</v>
      </c>
      <c r="J1898" t="s">
        <v>36897</v>
      </c>
      <c r="K1898" t="s">
        <v>36898</v>
      </c>
      <c r="L1898" t="s">
        <v>36899</v>
      </c>
      <c r="M1898" t="s">
        <v>36900</v>
      </c>
      <c r="N1898" t="s">
        <v>36901</v>
      </c>
      <c r="O1898">
        <f>-655.470204650692 -146.154891118694 -505.760771360178</f>
        <v>-1307.3858671295641</v>
      </c>
      <c r="P1898">
        <f>-585.045374620586 -171.128509861566 -233.74017257096</f>
        <v>-989.91405705311206</v>
      </c>
      <c r="Q1898">
        <f>-444.880219724411 -111.294079229662 -409.017331886127</f>
        <v>-965.19163084020011</v>
      </c>
      <c r="R1898" t="s">
        <v>36902</v>
      </c>
      <c r="S1898" t="s">
        <v>36903</v>
      </c>
      <c r="T1898" t="s">
        <v>36904</v>
      </c>
      <c r="U1898" t="s">
        <v>36905</v>
      </c>
      <c r="V1898">
        <f>-580.230188374076 -51.7100727689151 -91.2216292218741</f>
        <v>-723.16189036486514</v>
      </c>
      <c r="W1898" t="s">
        <v>36906</v>
      </c>
      <c r="X1898" t="s">
        <v>36907</v>
      </c>
      <c r="Y1898" t="s">
        <v>36908</v>
      </c>
    </row>
    <row r="1899" spans="1:25" x14ac:dyDescent="0.3">
      <c r="A1899">
        <v>94900</v>
      </c>
      <c r="B1899" t="s">
        <v>36909</v>
      </c>
      <c r="C1899" t="s">
        <v>36910</v>
      </c>
      <c r="D1899" t="s">
        <v>36911</v>
      </c>
      <c r="E1899" t="s">
        <v>36912</v>
      </c>
      <c r="F1899" t="s">
        <v>36913</v>
      </c>
      <c r="G1899" t="s">
        <v>36914</v>
      </c>
      <c r="H1899" t="s">
        <v>36915</v>
      </c>
      <c r="I1899" t="s">
        <v>36916</v>
      </c>
      <c r="J1899" t="s">
        <v>36917</v>
      </c>
      <c r="K1899" t="s">
        <v>36918</v>
      </c>
      <c r="L1899" t="s">
        <v>36919</v>
      </c>
      <c r="M1899" t="s">
        <v>36920</v>
      </c>
      <c r="N1899" t="s">
        <v>36921</v>
      </c>
      <c r="O1899">
        <f>-656.422970376011 -145.828349654018 -505.948779265858</f>
        <v>-1308.200099295887</v>
      </c>
      <c r="P1899">
        <f>-587.587843187561 -170.508893883382 -233.494794083977</f>
        <v>-991.59153115492006</v>
      </c>
      <c r="Q1899">
        <f>-443.501733232916 -114.410175626281 -406.817292191151</f>
        <v>-964.72920105034814</v>
      </c>
      <c r="R1899" t="s">
        <v>36922</v>
      </c>
      <c r="S1899" t="s">
        <v>36923</v>
      </c>
      <c r="T1899" t="s">
        <v>36924</v>
      </c>
      <c r="U1899" t="s">
        <v>36925</v>
      </c>
      <c r="V1899">
        <f>-580.552430949361 -51.8798753965521 -91.2218021090409</f>
        <v>-723.65410845495398</v>
      </c>
      <c r="W1899" t="s">
        <v>36926</v>
      </c>
      <c r="X1899" t="s">
        <v>36927</v>
      </c>
      <c r="Y1899" t="s">
        <v>36928</v>
      </c>
    </row>
    <row r="1900" spans="1:25" x14ac:dyDescent="0.3">
      <c r="A1900">
        <v>94950</v>
      </c>
      <c r="B1900" t="s">
        <v>36929</v>
      </c>
      <c r="C1900" t="s">
        <v>36930</v>
      </c>
      <c r="D1900" t="s">
        <v>36931</v>
      </c>
      <c r="E1900" t="s">
        <v>36932</v>
      </c>
      <c r="F1900" t="s">
        <v>36933</v>
      </c>
      <c r="G1900" t="s">
        <v>36934</v>
      </c>
      <c r="H1900" t="s">
        <v>36935</v>
      </c>
      <c r="I1900" t="s">
        <v>36936</v>
      </c>
      <c r="J1900" t="s">
        <v>36937</v>
      </c>
      <c r="K1900" t="s">
        <v>36938</v>
      </c>
      <c r="L1900" t="s">
        <v>36939</v>
      </c>
      <c r="M1900" t="s">
        <v>36940</v>
      </c>
      <c r="N1900" t="s">
        <v>36941</v>
      </c>
      <c r="O1900">
        <f>-656.668770216686 -145.684941333777 -506.104115185445</f>
        <v>-1308.4578267359079</v>
      </c>
      <c r="P1900">
        <f>-588.737897275101 -170.268781494144 -233.414407720718</f>
        <v>-992.42108648996305</v>
      </c>
      <c r="Q1900">
        <f>-442.78795180851 -115.692432043764 -405.660106439759</f>
        <v>-964.14049029203306</v>
      </c>
      <c r="R1900" t="s">
        <v>36942</v>
      </c>
      <c r="S1900" t="s">
        <v>36943</v>
      </c>
      <c r="T1900" t="s">
        <v>36944</v>
      </c>
      <c r="U1900" t="s">
        <v>36945</v>
      </c>
      <c r="V1900">
        <f>-580.728951832185 -51.9535434947775 -91.2309409935473</f>
        <v>-723.91343632050973</v>
      </c>
      <c r="W1900" t="s">
        <v>36946</v>
      </c>
      <c r="X1900" t="s">
        <v>36947</v>
      </c>
      <c r="Y1900" t="s">
        <v>36948</v>
      </c>
    </row>
    <row r="1901" spans="1:25" x14ac:dyDescent="0.3">
      <c r="A1901">
        <v>95000</v>
      </c>
      <c r="B1901" t="s">
        <v>36949</v>
      </c>
      <c r="C1901" t="s">
        <v>36950</v>
      </c>
      <c r="D1901" t="s">
        <v>36951</v>
      </c>
      <c r="E1901" t="s">
        <v>36952</v>
      </c>
      <c r="F1901" t="s">
        <v>36953</v>
      </c>
      <c r="G1901" t="s">
        <v>36954</v>
      </c>
      <c r="H1901" t="s">
        <v>36955</v>
      </c>
      <c r="I1901" t="s">
        <v>36956</v>
      </c>
      <c r="J1901" t="s">
        <v>36957</v>
      </c>
      <c r="K1901" t="s">
        <v>36958</v>
      </c>
      <c r="L1901" t="s">
        <v>36959</v>
      </c>
      <c r="M1901" t="s">
        <v>36960</v>
      </c>
      <c r="N1901" t="s">
        <v>36961</v>
      </c>
      <c r="O1901">
        <f>-657.106580325583 -145.669138945579 -506.328922220459</f>
        <v>-1309.1046414916209</v>
      </c>
      <c r="P1901">
        <f>-590.358182053183 -170.038336208291 -233.328228459885</f>
        <v>-993.724746721359</v>
      </c>
      <c r="Q1901">
        <f>-441.071078562052 -117.632838958792 -403.374012308738</f>
        <v>-962.07792982958199</v>
      </c>
      <c r="R1901" t="s">
        <v>36962</v>
      </c>
      <c r="S1901" t="s">
        <v>36963</v>
      </c>
      <c r="T1901" t="s">
        <v>36964</v>
      </c>
      <c r="U1901" t="s">
        <v>36965</v>
      </c>
      <c r="V1901">
        <f>-581.275766241723 -52.4514450051302 -91.2964465472407</f>
        <v>-725.02365779409388</v>
      </c>
      <c r="W1901" t="s">
        <v>36966</v>
      </c>
      <c r="X1901" t="s">
        <v>36967</v>
      </c>
      <c r="Y1901" t="s">
        <v>36968</v>
      </c>
    </row>
    <row r="1902" spans="1:25" x14ac:dyDescent="0.3">
      <c r="A1902">
        <v>95050</v>
      </c>
      <c r="B1902" t="s">
        <v>36969</v>
      </c>
      <c r="C1902" t="s">
        <v>36970</v>
      </c>
      <c r="D1902" t="s">
        <v>36971</v>
      </c>
      <c r="E1902" t="s">
        <v>36972</v>
      </c>
      <c r="F1902" t="s">
        <v>36973</v>
      </c>
      <c r="G1902" t="s">
        <v>36974</v>
      </c>
      <c r="H1902" t="s">
        <v>36975</v>
      </c>
      <c r="I1902" t="s">
        <v>36976</v>
      </c>
      <c r="J1902" t="s">
        <v>36977</v>
      </c>
      <c r="K1902" t="s">
        <v>36978</v>
      </c>
      <c r="L1902" t="s">
        <v>36979</v>
      </c>
      <c r="M1902" t="s">
        <v>36980</v>
      </c>
      <c r="N1902" t="s">
        <v>36981</v>
      </c>
      <c r="O1902">
        <f>-657.268919217788 -145.841692169566 -506.417515306715</f>
        <v>-1309.5281266940692</v>
      </c>
      <c r="P1902">
        <f>-590.976756555821 -170.42697990787 -233.325105769754</f>
        <v>-994.72884223344499</v>
      </c>
      <c r="Q1902">
        <f>-440.497202402936 -118.636428433139 -402.505988700009</f>
        <v>-961.63961953608396</v>
      </c>
      <c r="R1902" t="s">
        <v>36982</v>
      </c>
      <c r="S1902" t="s">
        <v>36983</v>
      </c>
      <c r="T1902" t="s">
        <v>36984</v>
      </c>
      <c r="U1902" t="s">
        <v>36985</v>
      </c>
      <c r="V1902">
        <f>-581.619641534666 -52.777095718141 -91.3551655067887</f>
        <v>-725.75190275959574</v>
      </c>
      <c r="W1902" t="s">
        <v>36986</v>
      </c>
      <c r="X1902" t="s">
        <v>36987</v>
      </c>
      <c r="Y1902" t="s">
        <v>36988</v>
      </c>
    </row>
    <row r="1903" spans="1:25" x14ac:dyDescent="0.3">
      <c r="A1903">
        <v>95100</v>
      </c>
      <c r="B1903" t="s">
        <v>36989</v>
      </c>
      <c r="C1903" t="s">
        <v>36990</v>
      </c>
      <c r="D1903" t="s">
        <v>36991</v>
      </c>
      <c r="E1903" t="s">
        <v>36992</v>
      </c>
      <c r="F1903" t="s">
        <v>36993</v>
      </c>
      <c r="G1903" t="s">
        <v>36994</v>
      </c>
      <c r="H1903" t="s">
        <v>36995</v>
      </c>
      <c r="I1903" t="s">
        <v>36996</v>
      </c>
      <c r="J1903" t="s">
        <v>36997</v>
      </c>
      <c r="K1903" t="s">
        <v>36998</v>
      </c>
      <c r="L1903" t="s">
        <v>36999</v>
      </c>
      <c r="M1903" t="s">
        <v>37000</v>
      </c>
      <c r="N1903" t="s">
        <v>37001</v>
      </c>
      <c r="O1903">
        <f>-657.989648257452 -146.211484838034 -506.607506220442</f>
        <v>-1310.8086393159281</v>
      </c>
      <c r="P1903">
        <f>-592.089681263691 -170.823649746609 -233.422540322385</f>
        <v>-996.33587133268497</v>
      </c>
      <c r="Q1903">
        <f>-439.349890676506 -120.340169194476 -400.965003942626</f>
        <v>-960.65506381360797</v>
      </c>
      <c r="R1903" t="s">
        <v>37002</v>
      </c>
      <c r="S1903" t="s">
        <v>37003</v>
      </c>
      <c r="T1903" t="s">
        <v>37004</v>
      </c>
      <c r="U1903" t="s">
        <v>37005</v>
      </c>
      <c r="V1903">
        <f>-582.28314281719 -53.3305503791146 -91.4962436654829</f>
        <v>-727.10993686178745</v>
      </c>
      <c r="W1903" t="s">
        <v>37006</v>
      </c>
      <c r="X1903" t="s">
        <v>37007</v>
      </c>
      <c r="Y1903" t="s">
        <v>37008</v>
      </c>
    </row>
    <row r="1904" spans="1:25" x14ac:dyDescent="0.3">
      <c r="A1904">
        <v>95150</v>
      </c>
      <c r="B1904" t="s">
        <v>37009</v>
      </c>
      <c r="C1904" t="s">
        <v>37010</v>
      </c>
      <c r="D1904" t="s">
        <v>37011</v>
      </c>
      <c r="E1904" t="s">
        <v>37012</v>
      </c>
      <c r="F1904" t="s">
        <v>37013</v>
      </c>
      <c r="G1904" t="s">
        <v>37014</v>
      </c>
      <c r="H1904" t="s">
        <v>37015</v>
      </c>
      <c r="I1904" t="s">
        <v>37016</v>
      </c>
      <c r="J1904" t="s">
        <v>37017</v>
      </c>
      <c r="K1904" t="s">
        <v>37018</v>
      </c>
      <c r="L1904" t="s">
        <v>37019</v>
      </c>
      <c r="M1904" t="s">
        <v>37020</v>
      </c>
      <c r="N1904" t="s">
        <v>37021</v>
      </c>
      <c r="O1904">
        <f>-658.224973510639 -146.333835029313 -506.688298947726</f>
        <v>-1311.247107487678</v>
      </c>
      <c r="P1904">
        <f>-592.403575501644 -170.776592038823 -233.469290738992</f>
        <v>-996.64945827945894</v>
      </c>
      <c r="Q1904">
        <f>-438.46243511573 -120.954792102046 -400.10790297642</f>
        <v>-959.52513019419598</v>
      </c>
      <c r="R1904" t="s">
        <v>37022</v>
      </c>
      <c r="S1904" t="s">
        <v>37023</v>
      </c>
      <c r="T1904" t="s">
        <v>37024</v>
      </c>
      <c r="U1904" t="s">
        <v>37025</v>
      </c>
      <c r="V1904">
        <f>-582.509328267384 -53.5221593039605 -91.5465858858811</f>
        <v>-727.57807345722563</v>
      </c>
      <c r="W1904" t="s">
        <v>37026</v>
      </c>
      <c r="X1904" t="s">
        <v>37027</v>
      </c>
      <c r="Y1904" t="s">
        <v>37028</v>
      </c>
    </row>
    <row r="1905" spans="1:25" x14ac:dyDescent="0.3">
      <c r="A1905">
        <v>95200</v>
      </c>
      <c r="B1905" t="s">
        <v>37029</v>
      </c>
      <c r="C1905" t="s">
        <v>37030</v>
      </c>
      <c r="D1905" t="s">
        <v>37031</v>
      </c>
      <c r="E1905" t="s">
        <v>37032</v>
      </c>
      <c r="F1905" t="s">
        <v>37033</v>
      </c>
      <c r="G1905" t="s">
        <v>37034</v>
      </c>
      <c r="H1905" t="s">
        <v>37035</v>
      </c>
      <c r="I1905" t="s">
        <v>37036</v>
      </c>
      <c r="J1905" t="s">
        <v>37037</v>
      </c>
      <c r="K1905" t="s">
        <v>37038</v>
      </c>
      <c r="L1905" t="s">
        <v>37039</v>
      </c>
      <c r="M1905" t="s">
        <v>37040</v>
      </c>
      <c r="N1905" t="s">
        <v>37041</v>
      </c>
      <c r="O1905">
        <f>-657.878046151415 -146.637629489393 -506.922339191822</f>
        <v>-1311.43801483263</v>
      </c>
      <c r="P1905">
        <f>-592.474131471098 -170.867752110296 -233.58421527482</f>
        <v>-996.92609885621391</v>
      </c>
      <c r="Q1905">
        <f>-436.245984458117 -121.869505446474 -398.327737895773</f>
        <v>-956.44322780036396</v>
      </c>
      <c r="R1905" t="s">
        <v>37042</v>
      </c>
      <c r="S1905" t="s">
        <v>37043</v>
      </c>
      <c r="T1905" t="s">
        <v>37044</v>
      </c>
      <c r="U1905" t="s">
        <v>37045</v>
      </c>
      <c r="V1905">
        <f>-582.850770720893 -53.6009953704206 -91.6206398221856</f>
        <v>-728.07240591349921</v>
      </c>
      <c r="W1905" t="s">
        <v>37046</v>
      </c>
      <c r="X1905" t="s">
        <v>37047</v>
      </c>
      <c r="Y1905" t="s">
        <v>37048</v>
      </c>
    </row>
    <row r="1906" spans="1:25" x14ac:dyDescent="0.3">
      <c r="A1906">
        <v>95250</v>
      </c>
      <c r="B1906" t="s">
        <v>37049</v>
      </c>
      <c r="C1906" t="s">
        <v>37050</v>
      </c>
      <c r="D1906" t="s">
        <v>37051</v>
      </c>
      <c r="E1906" t="s">
        <v>37052</v>
      </c>
      <c r="F1906" t="s">
        <v>37053</v>
      </c>
      <c r="G1906" t="s">
        <v>37054</v>
      </c>
      <c r="H1906" t="s">
        <v>37055</v>
      </c>
      <c r="I1906" t="s">
        <v>37056</v>
      </c>
      <c r="J1906" t="s">
        <v>37057</v>
      </c>
      <c r="K1906" t="s">
        <v>37058</v>
      </c>
      <c r="L1906" t="s">
        <v>37059</v>
      </c>
      <c r="M1906" t="s">
        <v>37060</v>
      </c>
      <c r="N1906" t="s">
        <v>37061</v>
      </c>
      <c r="O1906">
        <f>-657.76764390298 -146.783544134744 -506.981159596775</f>
        <v>-1311.532347634499</v>
      </c>
      <c r="P1906">
        <f>-592.532813152122 -171.133891341353 -233.61317736174</f>
        <v>-997.27988185521497</v>
      </c>
      <c r="Q1906">
        <f>-435.559010745475 -122.225846515357 -397.673368455956</f>
        <v>-955.45822571678809</v>
      </c>
      <c r="R1906" t="s">
        <v>37062</v>
      </c>
      <c r="S1906" t="s">
        <v>37063</v>
      </c>
      <c r="T1906" t="s">
        <v>37064</v>
      </c>
      <c r="U1906" t="s">
        <v>37065</v>
      </c>
      <c r="V1906">
        <f>-582.980168376362 -53.5665147889056 -91.6537977139506</f>
        <v>-728.20048087921816</v>
      </c>
      <c r="W1906" t="s">
        <v>37066</v>
      </c>
      <c r="X1906" t="s">
        <v>37067</v>
      </c>
      <c r="Y1906" t="s">
        <v>37068</v>
      </c>
    </row>
    <row r="1907" spans="1:25" x14ac:dyDescent="0.3">
      <c r="A1907">
        <v>95300</v>
      </c>
      <c r="B1907" t="s">
        <v>37069</v>
      </c>
      <c r="C1907" t="s">
        <v>37070</v>
      </c>
      <c r="D1907" t="s">
        <v>37071</v>
      </c>
      <c r="E1907" t="s">
        <v>37072</v>
      </c>
      <c r="F1907" t="s">
        <v>37073</v>
      </c>
      <c r="G1907" t="s">
        <v>37074</v>
      </c>
      <c r="H1907" t="s">
        <v>37075</v>
      </c>
      <c r="I1907" t="s">
        <v>37076</v>
      </c>
      <c r="J1907" t="s">
        <v>37077</v>
      </c>
      <c r="K1907" t="s">
        <v>37078</v>
      </c>
      <c r="L1907" t="s">
        <v>37079</v>
      </c>
      <c r="M1907" t="s">
        <v>37080</v>
      </c>
      <c r="N1907" t="s">
        <v>37081</v>
      </c>
      <c r="O1907">
        <f>-657.86559517569 -147.031224857674 -507.094604749848</f>
        <v>-1311.9914247832121</v>
      </c>
      <c r="P1907">
        <f>-592.813918658029 -170.706983373693 -233.623795458853</f>
        <v>-997.14469749057503</v>
      </c>
      <c r="Q1907">
        <f>-434.437464830813 -121.643971514844 -396.283681232852</f>
        <v>-952.36511757850906</v>
      </c>
      <c r="R1907" t="s">
        <v>37082</v>
      </c>
      <c r="S1907" t="s">
        <v>37083</v>
      </c>
      <c r="T1907" t="s">
        <v>37084</v>
      </c>
      <c r="U1907" t="s">
        <v>37085</v>
      </c>
      <c r="V1907">
        <f>-583.360162099469 -53.5043863146543 -91.7071590425428</f>
        <v>-728.5717074566661</v>
      </c>
      <c r="W1907" t="s">
        <v>37086</v>
      </c>
      <c r="X1907" t="s">
        <v>37087</v>
      </c>
      <c r="Y1907" t="s">
        <v>37088</v>
      </c>
    </row>
    <row r="1908" spans="1:25" x14ac:dyDescent="0.3">
      <c r="A1908">
        <v>95350</v>
      </c>
      <c r="B1908" t="s">
        <v>37089</v>
      </c>
      <c r="C1908" t="s">
        <v>37090</v>
      </c>
      <c r="D1908" t="s">
        <v>37091</v>
      </c>
      <c r="E1908" t="s">
        <v>37092</v>
      </c>
      <c r="F1908" t="s">
        <v>37093</v>
      </c>
      <c r="G1908" t="s">
        <v>37094</v>
      </c>
      <c r="H1908" t="s">
        <v>37095</v>
      </c>
      <c r="I1908" t="s">
        <v>37096</v>
      </c>
      <c r="J1908" t="s">
        <v>37097</v>
      </c>
      <c r="K1908" t="s">
        <v>37098</v>
      </c>
      <c r="L1908" t="s">
        <v>37099</v>
      </c>
      <c r="M1908" t="s">
        <v>37100</v>
      </c>
      <c r="N1908" t="s">
        <v>37101</v>
      </c>
      <c r="O1908">
        <f>-658.007550752864 -147.13355697769 -507.100097520387</f>
        <v>-1312.241205250941</v>
      </c>
      <c r="P1908">
        <f>-593.095352860099 -170.358420295726 -233.557348086234</f>
        <v>-997.01112124205895</v>
      </c>
      <c r="Q1908">
        <f>-434.539033233163 -120.745073863191 -395.874686561278</f>
        <v>-951.15879365763203</v>
      </c>
      <c r="R1908" t="s">
        <v>37102</v>
      </c>
      <c r="S1908" t="s">
        <v>37103</v>
      </c>
      <c r="T1908" t="s">
        <v>37104</v>
      </c>
      <c r="U1908" t="s">
        <v>37105</v>
      </c>
      <c r="V1908">
        <f>-583.526181674907 -53.3550867183978 -91.7153880381368</f>
        <v>-728.5966564314416</v>
      </c>
      <c r="W1908" t="s">
        <v>37106</v>
      </c>
      <c r="X1908" t="s">
        <v>37107</v>
      </c>
      <c r="Y1908" t="s">
        <v>37108</v>
      </c>
    </row>
    <row r="1909" spans="1:25" x14ac:dyDescent="0.3">
      <c r="A1909">
        <v>95400</v>
      </c>
      <c r="B1909" t="s">
        <v>37109</v>
      </c>
      <c r="C1909" t="s">
        <v>37110</v>
      </c>
      <c r="D1909" t="s">
        <v>37111</v>
      </c>
      <c r="E1909" t="s">
        <v>37112</v>
      </c>
      <c r="F1909" t="s">
        <v>37113</v>
      </c>
      <c r="G1909" t="s">
        <v>37114</v>
      </c>
      <c r="H1909" t="s">
        <v>37115</v>
      </c>
      <c r="I1909" t="s">
        <v>37116</v>
      </c>
      <c r="J1909" t="s">
        <v>37117</v>
      </c>
      <c r="K1909" t="s">
        <v>37118</v>
      </c>
      <c r="L1909" t="s">
        <v>37119</v>
      </c>
      <c r="M1909" t="s">
        <v>37120</v>
      </c>
      <c r="N1909" t="s">
        <v>37121</v>
      </c>
      <c r="O1909">
        <f>-658.37134469267 -147.252052147308 -507.072274814468</f>
        <v>-1312.6956716544462</v>
      </c>
      <c r="P1909">
        <f>-593.29818826565 -170.143495034406 -233.539745944702</f>
        <v>-996.98142924475792</v>
      </c>
      <c r="Q1909">
        <f>-435.51820650706 -119.174828031612 -396.193421468857</f>
        <v>-950.88645600752898</v>
      </c>
      <c r="R1909" t="s">
        <v>37122</v>
      </c>
      <c r="S1909" t="s">
        <v>37123</v>
      </c>
      <c r="T1909" t="s">
        <v>37124</v>
      </c>
      <c r="U1909" t="s">
        <v>37125</v>
      </c>
      <c r="V1909">
        <f>-583.880957945763 -53.1633993722553 -91.7400487941748</f>
        <v>-728.7844061121931</v>
      </c>
      <c r="W1909" t="s">
        <v>37126</v>
      </c>
      <c r="X1909" t="s">
        <v>37127</v>
      </c>
      <c r="Y1909" t="s">
        <v>37128</v>
      </c>
    </row>
    <row r="1910" spans="1:25" x14ac:dyDescent="0.3">
      <c r="A1910">
        <v>95450</v>
      </c>
      <c r="B1910" t="s">
        <v>37129</v>
      </c>
      <c r="C1910" t="s">
        <v>37130</v>
      </c>
      <c r="D1910" t="s">
        <v>37131</v>
      </c>
      <c r="E1910" t="s">
        <v>37132</v>
      </c>
      <c r="F1910" t="s">
        <v>37133</v>
      </c>
      <c r="G1910" t="s">
        <v>37134</v>
      </c>
      <c r="H1910" t="s">
        <v>37135</v>
      </c>
      <c r="I1910" t="s">
        <v>37136</v>
      </c>
      <c r="J1910" t="s">
        <v>37137</v>
      </c>
      <c r="K1910" t="s">
        <v>37138</v>
      </c>
      <c r="L1910" t="s">
        <v>37139</v>
      </c>
      <c r="M1910" t="s">
        <v>37140</v>
      </c>
      <c r="N1910" t="s">
        <v>37141</v>
      </c>
      <c r="O1910">
        <f>-658.737994905053 -147.274827008479 -507.022252815341</f>
        <v>-1313.035074728873</v>
      </c>
      <c r="P1910">
        <f>-593.398278222773 -170.179668791741 -233.554303552054</f>
        <v>-997.1322505665679</v>
      </c>
      <c r="Q1910">
        <f>-435.781702927863 -118.908006515405 -396.271245336421</f>
        <v>-950.96095477968902</v>
      </c>
      <c r="R1910" t="s">
        <v>37142</v>
      </c>
      <c r="S1910" t="s">
        <v>37143</v>
      </c>
      <c r="T1910" t="s">
        <v>37144</v>
      </c>
      <c r="U1910" t="s">
        <v>37145</v>
      </c>
      <c r="V1910">
        <f>-584.032689890308 -53.0727285305832 -91.7530272016899</f>
        <v>-728.85844562258103</v>
      </c>
      <c r="W1910" t="s">
        <v>37146</v>
      </c>
      <c r="X1910" t="s">
        <v>37147</v>
      </c>
      <c r="Y1910" t="s">
        <v>37148</v>
      </c>
    </row>
    <row r="1911" spans="1:25" x14ac:dyDescent="0.3">
      <c r="A1911">
        <v>95500</v>
      </c>
      <c r="B1911" t="s">
        <v>37149</v>
      </c>
      <c r="C1911" t="s">
        <v>37150</v>
      </c>
      <c r="D1911" t="s">
        <v>37151</v>
      </c>
      <c r="E1911" t="s">
        <v>37152</v>
      </c>
      <c r="F1911" t="s">
        <v>37153</v>
      </c>
      <c r="G1911" t="s">
        <v>37154</v>
      </c>
      <c r="H1911" t="s">
        <v>37155</v>
      </c>
      <c r="I1911" t="s">
        <v>37156</v>
      </c>
      <c r="J1911" t="s">
        <v>37157</v>
      </c>
      <c r="K1911" t="s">
        <v>37158</v>
      </c>
      <c r="L1911" t="s">
        <v>37159</v>
      </c>
      <c r="M1911" t="s">
        <v>37160</v>
      </c>
      <c r="N1911" t="s">
        <v>37161</v>
      </c>
      <c r="O1911">
        <f>-659.523414165047 -147.512428774465 -506.859495908827</f>
        <v>-1313.895338848339</v>
      </c>
      <c r="P1911">
        <f>-594.128515829454 -170.320653754125 -233.396810907744</f>
        <v>-997.84598049132308</v>
      </c>
      <c r="Q1911">
        <f>-435.6183047806 -119.492566471266 -395.383102311734</f>
        <v>-950.49397356359998</v>
      </c>
      <c r="R1911" t="s">
        <v>37162</v>
      </c>
      <c r="S1911" t="s">
        <v>37163</v>
      </c>
      <c r="T1911" t="s">
        <v>37164</v>
      </c>
      <c r="U1911" t="s">
        <v>37165</v>
      </c>
      <c r="V1911">
        <f>-584.252139355912 -52.9871054295847 -91.7643103422887</f>
        <v>-729.00355512778549</v>
      </c>
      <c r="W1911" t="s">
        <v>37166</v>
      </c>
      <c r="X1911" t="s">
        <v>37167</v>
      </c>
      <c r="Y1911" t="s">
        <v>37168</v>
      </c>
    </row>
    <row r="1912" spans="1:25" x14ac:dyDescent="0.3">
      <c r="A1912">
        <v>95550</v>
      </c>
      <c r="B1912" t="s">
        <v>37169</v>
      </c>
      <c r="C1912" t="s">
        <v>37170</v>
      </c>
      <c r="D1912" t="s">
        <v>37171</v>
      </c>
      <c r="E1912" t="s">
        <v>37172</v>
      </c>
      <c r="F1912" t="s">
        <v>37173</v>
      </c>
      <c r="G1912" t="s">
        <v>37174</v>
      </c>
      <c r="H1912" t="s">
        <v>37175</v>
      </c>
      <c r="I1912" t="s">
        <v>37176</v>
      </c>
      <c r="J1912" t="s">
        <v>37177</v>
      </c>
      <c r="K1912" t="s">
        <v>37178</v>
      </c>
      <c r="L1912" t="s">
        <v>37179</v>
      </c>
      <c r="M1912" t="s">
        <v>37180</v>
      </c>
      <c r="N1912" t="s">
        <v>37181</v>
      </c>
      <c r="O1912">
        <f>-659.921184330229 -147.62210544527 -506.807731210534</f>
        <v>-1314.3510209860331</v>
      </c>
      <c r="P1912">
        <f>-594.588290734071 -170.572259059112 -233.342102804771</f>
        <v>-998.50265259795401</v>
      </c>
      <c r="Q1912">
        <f>-436.178093352523 -119.431429366303 -395.327769150139</f>
        <v>-950.93729186896485</v>
      </c>
      <c r="R1912" t="s">
        <v>37182</v>
      </c>
      <c r="S1912" t="s">
        <v>37183</v>
      </c>
      <c r="T1912" t="s">
        <v>37184</v>
      </c>
      <c r="U1912" t="s">
        <v>37185</v>
      </c>
      <c r="V1912">
        <f>-584.330427366692 -53.0398651895937 -91.770550000478</f>
        <v>-729.14084255676369</v>
      </c>
      <c r="W1912" t="s">
        <v>37186</v>
      </c>
      <c r="X1912" t="s">
        <v>37187</v>
      </c>
      <c r="Y1912" t="s">
        <v>37188</v>
      </c>
    </row>
    <row r="1913" spans="1:25" x14ac:dyDescent="0.3">
      <c r="A1913">
        <v>95600</v>
      </c>
      <c r="B1913" t="s">
        <v>37189</v>
      </c>
      <c r="C1913" t="s">
        <v>37190</v>
      </c>
      <c r="D1913" t="s">
        <v>37191</v>
      </c>
      <c r="E1913" t="s">
        <v>37192</v>
      </c>
      <c r="F1913" t="s">
        <v>37193</v>
      </c>
      <c r="G1913" t="s">
        <v>37194</v>
      </c>
      <c r="H1913" t="s">
        <v>37195</v>
      </c>
      <c r="I1913" t="s">
        <v>37196</v>
      </c>
      <c r="J1913" t="s">
        <v>37197</v>
      </c>
      <c r="K1913" t="s">
        <v>37198</v>
      </c>
      <c r="L1913" t="s">
        <v>37199</v>
      </c>
      <c r="M1913" t="s">
        <v>37200</v>
      </c>
      <c r="N1913" t="s">
        <v>37201</v>
      </c>
      <c r="O1913">
        <f>-660.670668483306 -147.87800456349 -506.833575728252</f>
        <v>-1315.3822487750481</v>
      </c>
      <c r="P1913">
        <f>-595.969305503717 -171.120481644895 -233.242465064279</f>
        <v>-1000.332252212891</v>
      </c>
      <c r="Q1913">
        <f>-437.560740132544 -118.98949934842 -394.913926562702</f>
        <v>-951.46416604366595</v>
      </c>
      <c r="R1913" t="s">
        <v>37202</v>
      </c>
      <c r="S1913" t="s">
        <v>37203</v>
      </c>
      <c r="T1913" t="s">
        <v>37204</v>
      </c>
      <c r="U1913" t="s">
        <v>37205</v>
      </c>
      <c r="V1913">
        <f>-584.456919416285 -53.2455536246823 -91.793670025412</f>
        <v>-729.49614306637932</v>
      </c>
      <c r="W1913" t="s">
        <v>37206</v>
      </c>
      <c r="X1913" t="s">
        <v>37207</v>
      </c>
      <c r="Y1913" t="s">
        <v>37208</v>
      </c>
    </row>
    <row r="1914" spans="1:25" x14ac:dyDescent="0.3">
      <c r="A1914">
        <v>95650</v>
      </c>
      <c r="B1914" t="s">
        <v>37209</v>
      </c>
      <c r="C1914" t="s">
        <v>37210</v>
      </c>
      <c r="D1914" t="s">
        <v>37211</v>
      </c>
      <c r="E1914" t="s">
        <v>37212</v>
      </c>
      <c r="F1914" t="s">
        <v>37213</v>
      </c>
      <c r="G1914" t="s">
        <v>37214</v>
      </c>
      <c r="H1914" t="s">
        <v>37215</v>
      </c>
      <c r="I1914" t="s">
        <v>37216</v>
      </c>
      <c r="J1914" t="s">
        <v>37217</v>
      </c>
      <c r="K1914" t="s">
        <v>37218</v>
      </c>
      <c r="L1914" t="s">
        <v>37219</v>
      </c>
      <c r="M1914" t="s">
        <v>37220</v>
      </c>
      <c r="N1914" t="s">
        <v>37221</v>
      </c>
      <c r="O1914">
        <f>-661.251596310625 -148.028215575515 -506.828303405869</f>
        <v>-1316.108115292009</v>
      </c>
      <c r="P1914">
        <f>-596.558939018929 -171.01171120653 -233.213154286826</f>
        <v>-1000.783804512285</v>
      </c>
      <c r="Q1914">
        <f>-438.261724157712 -118.81384928486 -394.971916391179</f>
        <v>-952.047489833751</v>
      </c>
      <c r="R1914" t="s">
        <v>37222</v>
      </c>
      <c r="S1914" t="s">
        <v>37223</v>
      </c>
      <c r="T1914" t="s">
        <v>37224</v>
      </c>
      <c r="U1914" t="s">
        <v>37225</v>
      </c>
      <c r="V1914">
        <f>-584.549991363721 -53.4282383259156 -91.8055071099665</f>
        <v>-729.78373679960305</v>
      </c>
      <c r="W1914" t="s">
        <v>37226</v>
      </c>
      <c r="X1914" t="s">
        <v>37227</v>
      </c>
      <c r="Y1914" t="s">
        <v>37228</v>
      </c>
    </row>
    <row r="1915" spans="1:25" x14ac:dyDescent="0.3">
      <c r="A1915">
        <v>95700</v>
      </c>
      <c r="B1915" t="s">
        <v>37229</v>
      </c>
      <c r="C1915" t="s">
        <v>37230</v>
      </c>
      <c r="D1915" t="s">
        <v>37231</v>
      </c>
      <c r="E1915" t="s">
        <v>37232</v>
      </c>
      <c r="F1915" t="s">
        <v>37233</v>
      </c>
      <c r="G1915" t="s">
        <v>37234</v>
      </c>
      <c r="H1915" t="s">
        <v>37235</v>
      </c>
      <c r="I1915" t="s">
        <v>37236</v>
      </c>
      <c r="J1915" t="s">
        <v>37237</v>
      </c>
      <c r="K1915" t="s">
        <v>37238</v>
      </c>
      <c r="L1915" t="s">
        <v>37239</v>
      </c>
      <c r="M1915" t="s">
        <v>37240</v>
      </c>
      <c r="N1915" t="s">
        <v>37241</v>
      </c>
      <c r="O1915">
        <f>-662.093135445515 -148.295412486882 -506.898183961219</f>
        <v>-1317.286731893616</v>
      </c>
      <c r="P1915">
        <f>-597.455324975575 -171.599405405915 -233.297241819893</f>
        <v>-1002.351972201383</v>
      </c>
      <c r="Q1915">
        <f>-439.113246403325 -119.23089406309 -394.956906067804</f>
        <v>-953.30104653421904</v>
      </c>
      <c r="R1915" t="s">
        <v>37242</v>
      </c>
      <c r="S1915" t="s">
        <v>37243</v>
      </c>
      <c r="T1915" t="s">
        <v>37244</v>
      </c>
      <c r="U1915" t="s">
        <v>37245</v>
      </c>
      <c r="V1915">
        <f>-584.716654743105 -53.7628559133382 -91.8085589969874</f>
        <v>-730.28806965343051</v>
      </c>
      <c r="W1915" t="s">
        <v>37246</v>
      </c>
      <c r="X1915" t="s">
        <v>37247</v>
      </c>
      <c r="Y1915" t="s">
        <v>37248</v>
      </c>
    </row>
    <row r="1916" spans="1:25" x14ac:dyDescent="0.3">
      <c r="A1916">
        <v>95750</v>
      </c>
      <c r="B1916" t="s">
        <v>37249</v>
      </c>
      <c r="C1916" t="s">
        <v>37250</v>
      </c>
      <c r="D1916" t="s">
        <v>37251</v>
      </c>
      <c r="E1916" t="s">
        <v>37252</v>
      </c>
      <c r="F1916" t="s">
        <v>37253</v>
      </c>
      <c r="G1916" t="s">
        <v>37254</v>
      </c>
      <c r="H1916" t="s">
        <v>37255</v>
      </c>
      <c r="I1916" t="s">
        <v>37256</v>
      </c>
      <c r="J1916" t="s">
        <v>37257</v>
      </c>
      <c r="K1916" t="s">
        <v>37258</v>
      </c>
      <c r="L1916" t="s">
        <v>37259</v>
      </c>
      <c r="M1916" t="s">
        <v>37260</v>
      </c>
      <c r="N1916" t="s">
        <v>37261</v>
      </c>
      <c r="O1916">
        <f>-662.182773529233 -148.26763610591 -507.098306228704</f>
        <v>-1317.5487158638471</v>
      </c>
      <c r="P1916">
        <f>-597.690967753627 -171.771043928036 -233.47994111336</f>
        <v>-1002.941952795023</v>
      </c>
      <c r="Q1916">
        <f>-439.45603337515 -119.195095122461 -395.177335468959</f>
        <v>-953.82846396656998</v>
      </c>
      <c r="R1916" t="s">
        <v>37262</v>
      </c>
      <c r="S1916" t="s">
        <v>37263</v>
      </c>
      <c r="T1916" t="s">
        <v>37264</v>
      </c>
      <c r="U1916" t="s">
        <v>37265</v>
      </c>
      <c r="V1916">
        <f>-584.702011155214 -53.8455634454299 -91.8069294258192</f>
        <v>-730.35450402646313</v>
      </c>
      <c r="W1916" t="s">
        <v>37266</v>
      </c>
      <c r="X1916" t="s">
        <v>37267</v>
      </c>
      <c r="Y1916" t="s">
        <v>37268</v>
      </c>
    </row>
    <row r="1917" spans="1:25" x14ac:dyDescent="0.3">
      <c r="A1917">
        <v>95800</v>
      </c>
      <c r="B1917" t="s">
        <v>37269</v>
      </c>
      <c r="C1917" t="s">
        <v>37270</v>
      </c>
      <c r="D1917" t="s">
        <v>37271</v>
      </c>
      <c r="E1917" t="s">
        <v>37272</v>
      </c>
      <c r="F1917" t="s">
        <v>37273</v>
      </c>
      <c r="G1917" t="s">
        <v>37274</v>
      </c>
      <c r="H1917" t="s">
        <v>37275</v>
      </c>
      <c r="I1917" t="s">
        <v>37276</v>
      </c>
      <c r="J1917" t="s">
        <v>37277</v>
      </c>
      <c r="K1917" t="s">
        <v>37278</v>
      </c>
      <c r="L1917" t="s">
        <v>37279</v>
      </c>
      <c r="M1917" t="s">
        <v>37280</v>
      </c>
      <c r="N1917" t="s">
        <v>37281</v>
      </c>
      <c r="O1917">
        <f>-662.260274282836 -148.177823316031 -507.572464491069</f>
        <v>-1318.010562089936</v>
      </c>
      <c r="P1917">
        <f>-597.767600251025 -172.333170170126 -234.011034415988</f>
        <v>-1004.1118048371389</v>
      </c>
      <c r="Q1917">
        <f>-440.099424304942 -119.032898248353 -396.024589071341</f>
        <v>-955.156911624636</v>
      </c>
      <c r="R1917" t="s">
        <v>37282</v>
      </c>
      <c r="S1917" t="s">
        <v>37283</v>
      </c>
      <c r="T1917" t="s">
        <v>37284</v>
      </c>
      <c r="U1917" t="s">
        <v>37285</v>
      </c>
      <c r="V1917">
        <f>-584.527377595672 -53.9724068282969 -91.8012601660888</f>
        <v>-730.3010445900577</v>
      </c>
      <c r="W1917" t="s">
        <v>37286</v>
      </c>
      <c r="X1917" t="s">
        <v>37287</v>
      </c>
      <c r="Y1917" t="s">
        <v>37288</v>
      </c>
    </row>
    <row r="1918" spans="1:25" x14ac:dyDescent="0.3">
      <c r="A1918">
        <v>95850</v>
      </c>
      <c r="B1918" t="s">
        <v>37289</v>
      </c>
      <c r="C1918" t="s">
        <v>37290</v>
      </c>
      <c r="D1918" t="s">
        <v>37291</v>
      </c>
      <c r="E1918" t="s">
        <v>37292</v>
      </c>
      <c r="F1918" t="s">
        <v>37293</v>
      </c>
      <c r="G1918" t="s">
        <v>37294</v>
      </c>
      <c r="H1918" t="s">
        <v>37295</v>
      </c>
      <c r="I1918" t="s">
        <v>37296</v>
      </c>
      <c r="J1918" t="s">
        <v>37297</v>
      </c>
      <c r="K1918" t="s">
        <v>37298</v>
      </c>
      <c r="L1918" t="s">
        <v>37299</v>
      </c>
      <c r="M1918" t="s">
        <v>37300</v>
      </c>
      <c r="N1918" t="s">
        <v>37301</v>
      </c>
      <c r="O1918">
        <f>-662.279377460755 -148.071443521693 -507.847102290816</f>
        <v>-1318.197923273264</v>
      </c>
      <c r="P1918">
        <f>-597.537706665414 -172.682179847733 -234.38527698602</f>
        <v>-1004.605163499167</v>
      </c>
      <c r="Q1918">
        <f>-440.216216538431 -118.85651598218 -396.561922316088</f>
        <v>-955.63465483669893</v>
      </c>
      <c r="R1918" t="s">
        <v>37302</v>
      </c>
      <c r="S1918" t="s">
        <v>37303</v>
      </c>
      <c r="T1918" t="s">
        <v>37304</v>
      </c>
      <c r="U1918" t="s">
        <v>37305</v>
      </c>
      <c r="V1918">
        <f>-584.441471049341 -54.0179289757277 -91.7955143352247</f>
        <v>-730.25491436029336</v>
      </c>
      <c r="W1918" t="s">
        <v>37306</v>
      </c>
      <c r="X1918" t="s">
        <v>37307</v>
      </c>
      <c r="Y1918" t="s">
        <v>37308</v>
      </c>
    </row>
    <row r="1919" spans="1:25" x14ac:dyDescent="0.3">
      <c r="A1919">
        <v>95900</v>
      </c>
      <c r="B1919" t="s">
        <v>37309</v>
      </c>
      <c r="C1919" t="s">
        <v>37310</v>
      </c>
      <c r="D1919" t="s">
        <v>37311</v>
      </c>
      <c r="E1919" t="s">
        <v>37312</v>
      </c>
      <c r="F1919" t="s">
        <v>37313</v>
      </c>
      <c r="G1919" t="s">
        <v>37314</v>
      </c>
      <c r="H1919" t="s">
        <v>37315</v>
      </c>
      <c r="I1919" t="s">
        <v>37316</v>
      </c>
      <c r="J1919" t="s">
        <v>37317</v>
      </c>
      <c r="K1919" t="s">
        <v>37318</v>
      </c>
      <c r="L1919" t="s">
        <v>37319</v>
      </c>
      <c r="M1919" t="s">
        <v>37320</v>
      </c>
      <c r="N1919" t="s">
        <v>37321</v>
      </c>
      <c r="O1919">
        <f>-662.407978648443 -147.806105624186 -508.394747185703</f>
        <v>-1318.6088314583319</v>
      </c>
      <c r="P1919">
        <f>-596.839262702701 -173.290522209903 -235.210146243522</f>
        <v>-1005.339931156126</v>
      </c>
      <c r="Q1919">
        <f>-440.235603079608 -118.327185177361 -397.699577689506</f>
        <v>-956.26236594647503</v>
      </c>
      <c r="R1919" t="s">
        <v>37322</v>
      </c>
      <c r="S1919" t="s">
        <v>37323</v>
      </c>
      <c r="T1919" t="s">
        <v>37324</v>
      </c>
      <c r="U1919" t="s">
        <v>37325</v>
      </c>
      <c r="V1919">
        <f>-584.365233834209 -54.242717967416 -91.790308124802</f>
        <v>-730.39825992642693</v>
      </c>
      <c r="W1919" t="s">
        <v>37326</v>
      </c>
      <c r="X1919" t="s">
        <v>37327</v>
      </c>
      <c r="Y1919" t="s">
        <v>37328</v>
      </c>
    </row>
    <row r="1920" spans="1:25" x14ac:dyDescent="0.3">
      <c r="A1920">
        <v>95950</v>
      </c>
      <c r="B1920" t="s">
        <v>37329</v>
      </c>
      <c r="C1920" t="s">
        <v>37330</v>
      </c>
      <c r="D1920" t="s">
        <v>37331</v>
      </c>
      <c r="E1920" t="s">
        <v>37332</v>
      </c>
      <c r="F1920" t="s">
        <v>37333</v>
      </c>
      <c r="G1920" t="s">
        <v>37334</v>
      </c>
      <c r="H1920" t="s">
        <v>37335</v>
      </c>
      <c r="I1920" t="s">
        <v>37336</v>
      </c>
      <c r="J1920" t="s">
        <v>37337</v>
      </c>
      <c r="K1920" t="s">
        <v>37338</v>
      </c>
      <c r="L1920" t="s">
        <v>37339</v>
      </c>
      <c r="M1920" t="s">
        <v>37340</v>
      </c>
      <c r="N1920" t="s">
        <v>37341</v>
      </c>
      <c r="O1920">
        <f>-662.425082920379 -147.514739792928 -508.697673894119</f>
        <v>-1318.6374966074261</v>
      </c>
      <c r="P1920">
        <f>-596.410623132546 -173.40492707759 -235.658517834406</f>
        <v>-1005.474068044542</v>
      </c>
      <c r="Q1920">
        <f>-440.217755861291 -117.820205704352 -398.332036278292</f>
        <v>-956.36999784393493</v>
      </c>
      <c r="R1920" t="s">
        <v>37342</v>
      </c>
      <c r="S1920" t="s">
        <v>37343</v>
      </c>
      <c r="T1920" t="s">
        <v>37344</v>
      </c>
      <c r="U1920" t="s">
        <v>37345</v>
      </c>
      <c r="V1920">
        <f>-584.369788714819 -54.2812665214492 -91.7876195557072</f>
        <v>-730.43867479197547</v>
      </c>
      <c r="W1920" t="s">
        <v>37346</v>
      </c>
      <c r="X1920" t="s">
        <v>37347</v>
      </c>
      <c r="Y1920" t="s">
        <v>37348</v>
      </c>
    </row>
    <row r="1921" spans="1:25" x14ac:dyDescent="0.3">
      <c r="A1921">
        <v>96000</v>
      </c>
      <c r="B1921" t="s">
        <v>37349</v>
      </c>
      <c r="C1921" t="s">
        <v>37350</v>
      </c>
      <c r="D1921" t="s">
        <v>37351</v>
      </c>
      <c r="E1921" t="s">
        <v>37352</v>
      </c>
      <c r="F1921" t="s">
        <v>37353</v>
      </c>
      <c r="G1921" t="s">
        <v>37354</v>
      </c>
      <c r="H1921" t="s">
        <v>37355</v>
      </c>
      <c r="I1921" t="s">
        <v>37356</v>
      </c>
      <c r="J1921" t="s">
        <v>37357</v>
      </c>
      <c r="K1921" t="s">
        <v>37358</v>
      </c>
      <c r="L1921" t="s">
        <v>37359</v>
      </c>
      <c r="M1921" t="s">
        <v>37360</v>
      </c>
      <c r="N1921" t="s">
        <v>37361</v>
      </c>
      <c r="O1921">
        <f>-662.291990016161 -146.880961284307 -509.470432360037</f>
        <v>-1318.6433836605049</v>
      </c>
      <c r="P1921">
        <f>-595.578510258817 -174.035473238621 -236.724180676003</f>
        <v>-1006.338164173441</v>
      </c>
      <c r="Q1921">
        <f>-440.178995342428 -116.700591330186 -399.550034323851</f>
        <v>-956.42962099646502</v>
      </c>
      <c r="R1921" t="s">
        <v>37362</v>
      </c>
      <c r="S1921" t="s">
        <v>37363</v>
      </c>
      <c r="T1921" t="s">
        <v>37364</v>
      </c>
      <c r="U1921" t="s">
        <v>37365</v>
      </c>
      <c r="V1921">
        <f>-584.401610163376 -54.3938320979557 -91.7754513426821</f>
        <v>-730.5708936040138</v>
      </c>
      <c r="W1921" t="s">
        <v>37366</v>
      </c>
      <c r="X1921" t="s">
        <v>37367</v>
      </c>
      <c r="Y1921" t="s">
        <v>37368</v>
      </c>
    </row>
    <row r="1922" spans="1:25" x14ac:dyDescent="0.3">
      <c r="A1922">
        <v>96050</v>
      </c>
      <c r="B1922" t="s">
        <v>37369</v>
      </c>
      <c r="C1922" t="s">
        <v>37370</v>
      </c>
      <c r="D1922" t="s">
        <v>37371</v>
      </c>
      <c r="E1922" t="s">
        <v>37372</v>
      </c>
      <c r="F1922" t="s">
        <v>37373</v>
      </c>
      <c r="G1922" t="s">
        <v>37374</v>
      </c>
      <c r="H1922" t="s">
        <v>37375</v>
      </c>
      <c r="I1922" t="s">
        <v>37376</v>
      </c>
      <c r="J1922" t="s">
        <v>37377</v>
      </c>
      <c r="K1922" t="s">
        <v>37378</v>
      </c>
      <c r="L1922" t="s">
        <v>37379</v>
      </c>
      <c r="M1922" t="s">
        <v>37380</v>
      </c>
      <c r="N1922" t="s">
        <v>37381</v>
      </c>
      <c r="O1922">
        <f>-662.236817495942 -146.559818725301 -509.860305608109</f>
        <v>-1318.656941829352</v>
      </c>
      <c r="P1922">
        <f>-595.193058168447 -174.376842108089 -237.261903431933</f>
        <v>-1006.831803708469</v>
      </c>
      <c r="Q1922">
        <f>-440.0876515717 -116.261797791842 -400.091394082569</f>
        <v>-956.4408434461111</v>
      </c>
      <c r="R1922" t="s">
        <v>37382</v>
      </c>
      <c r="S1922" t="s">
        <v>37383</v>
      </c>
      <c r="T1922" t="s">
        <v>37384</v>
      </c>
      <c r="U1922" t="s">
        <v>37385</v>
      </c>
      <c r="V1922">
        <f>-584.403363283705 -54.4769324772599 -91.7667636382129</f>
        <v>-730.64705939917769</v>
      </c>
      <c r="W1922" t="s">
        <v>37386</v>
      </c>
      <c r="X1922" t="s">
        <v>37387</v>
      </c>
      <c r="Y1922" t="s">
        <v>37388</v>
      </c>
    </row>
    <row r="1923" spans="1:25" x14ac:dyDescent="0.3">
      <c r="A1923">
        <v>96100</v>
      </c>
      <c r="B1923" t="s">
        <v>37389</v>
      </c>
      <c r="C1923" t="s">
        <v>37390</v>
      </c>
      <c r="D1923" t="s">
        <v>37391</v>
      </c>
      <c r="E1923" t="s">
        <v>37392</v>
      </c>
      <c r="F1923" t="s">
        <v>37393</v>
      </c>
      <c r="G1923" t="s">
        <v>37394</v>
      </c>
      <c r="H1923" t="s">
        <v>37395</v>
      </c>
      <c r="I1923" t="s">
        <v>37396</v>
      </c>
      <c r="J1923" t="s">
        <v>37397</v>
      </c>
      <c r="K1923" t="s">
        <v>37398</v>
      </c>
      <c r="L1923" t="s">
        <v>37399</v>
      </c>
      <c r="M1923" t="s">
        <v>37400</v>
      </c>
      <c r="N1923" t="s">
        <v>37401</v>
      </c>
      <c r="O1923">
        <f>-662.202459198308 -146.059669104204 -510.497817287209</f>
        <v>-1318.7599455897209</v>
      </c>
      <c r="P1923">
        <f>-594.364040603839 -175.118055295215 -238.225667569706</f>
        <v>-1007.70776346876</v>
      </c>
      <c r="Q1923">
        <f>-439.886879350798 -116.057543295326 -401.312134069435</f>
        <v>-957.25655671555887</v>
      </c>
      <c r="R1923" t="s">
        <v>37402</v>
      </c>
      <c r="S1923" t="s">
        <v>37403</v>
      </c>
      <c r="T1923" t="s">
        <v>37404</v>
      </c>
      <c r="U1923" t="s">
        <v>37405</v>
      </c>
      <c r="V1923">
        <f>-584.3565684358 -54.6777273079274 -91.7608089360178</f>
        <v>-730.79510467974524</v>
      </c>
      <c r="W1923" t="s">
        <v>37406</v>
      </c>
      <c r="X1923" t="s">
        <v>37407</v>
      </c>
      <c r="Y1923" t="s">
        <v>37408</v>
      </c>
    </row>
    <row r="1924" spans="1:25" x14ac:dyDescent="0.3">
      <c r="A1924">
        <v>96150</v>
      </c>
      <c r="B1924" t="s">
        <v>37409</v>
      </c>
      <c r="C1924" t="s">
        <v>37410</v>
      </c>
      <c r="D1924" t="s">
        <v>37411</v>
      </c>
      <c r="E1924" t="s">
        <v>37412</v>
      </c>
      <c r="F1924" t="s">
        <v>37413</v>
      </c>
      <c r="G1924" t="s">
        <v>37414</v>
      </c>
      <c r="H1924" t="s">
        <v>37415</v>
      </c>
      <c r="I1924" t="s">
        <v>37416</v>
      </c>
      <c r="J1924" t="s">
        <v>37417</v>
      </c>
      <c r="K1924" t="s">
        <v>37418</v>
      </c>
      <c r="L1924" t="s">
        <v>37419</v>
      </c>
      <c r="M1924" t="s">
        <v>37420</v>
      </c>
      <c r="N1924" t="s">
        <v>37421</v>
      </c>
      <c r="O1924">
        <f>-662.385022849967 -145.800603353802 -510.793440831785</f>
        <v>-1318.979067035554</v>
      </c>
      <c r="P1924">
        <f>-594.006202682067 -175.370524371741 -238.711569035185</f>
        <v>-1008.088296088993</v>
      </c>
      <c r="Q1924">
        <f>-439.847610976786 -116.02783614815 -401.996979736808</f>
        <v>-957.87242686174386</v>
      </c>
      <c r="R1924" t="s">
        <v>37422</v>
      </c>
      <c r="S1924" t="s">
        <v>37423</v>
      </c>
      <c r="T1924" t="s">
        <v>37424</v>
      </c>
      <c r="U1924" t="s">
        <v>37425</v>
      </c>
      <c r="V1924">
        <f>-584.403486678476 -54.8208411572416 -91.7591579347312</f>
        <v>-730.98348577044885</v>
      </c>
      <c r="W1924" t="s">
        <v>37426</v>
      </c>
      <c r="X1924" t="s">
        <v>37427</v>
      </c>
      <c r="Y1924" t="s">
        <v>37428</v>
      </c>
    </row>
    <row r="1925" spans="1:25" x14ac:dyDescent="0.3">
      <c r="A1925">
        <v>96200</v>
      </c>
      <c r="B1925" t="s">
        <v>37429</v>
      </c>
      <c r="C1925" t="s">
        <v>37430</v>
      </c>
      <c r="D1925" t="s">
        <v>37431</v>
      </c>
      <c r="E1925" t="s">
        <v>37432</v>
      </c>
      <c r="F1925" t="s">
        <v>37433</v>
      </c>
      <c r="G1925" t="s">
        <v>37434</v>
      </c>
      <c r="H1925" t="s">
        <v>37435</v>
      </c>
      <c r="I1925" t="s">
        <v>37436</v>
      </c>
      <c r="J1925" t="s">
        <v>37437</v>
      </c>
      <c r="K1925" t="s">
        <v>37438</v>
      </c>
      <c r="L1925" t="s">
        <v>37439</v>
      </c>
      <c r="M1925" t="s">
        <v>37440</v>
      </c>
      <c r="N1925" t="s">
        <v>37441</v>
      </c>
      <c r="O1925">
        <f>-662.699204145096 -145.174327851504 -511.453375423854</f>
        <v>-1319.3269074204541</v>
      </c>
      <c r="P1925">
        <f>-593.358892466743 -176.159176495849 -239.772657213258</f>
        <v>-1009.29072617585</v>
      </c>
      <c r="Q1925">
        <f>-439.99954189919 -116.111501030487 -403.552081110091</f>
        <v>-959.66312403976804</v>
      </c>
      <c r="R1925" t="s">
        <v>37442</v>
      </c>
      <c r="S1925" t="s">
        <v>37443</v>
      </c>
      <c r="T1925" t="s">
        <v>37444</v>
      </c>
      <c r="U1925" t="s">
        <v>37445</v>
      </c>
      <c r="V1925">
        <f>-584.638874390741 -55.095316430466 -91.7510134124551</f>
        <v>-731.4852042336621</v>
      </c>
      <c r="W1925" t="s">
        <v>37446</v>
      </c>
      <c r="X1925" t="s">
        <v>37447</v>
      </c>
      <c r="Y1925" t="s">
        <v>37448</v>
      </c>
    </row>
    <row r="1926" spans="1:25" x14ac:dyDescent="0.3">
      <c r="A1926">
        <v>96250</v>
      </c>
      <c r="B1926" t="s">
        <v>37449</v>
      </c>
      <c r="C1926" t="s">
        <v>37450</v>
      </c>
      <c r="D1926" t="s">
        <v>37451</v>
      </c>
      <c r="E1926" t="s">
        <v>37452</v>
      </c>
      <c r="F1926" t="s">
        <v>37453</v>
      </c>
      <c r="G1926" t="s">
        <v>37454</v>
      </c>
      <c r="H1926" t="s">
        <v>37455</v>
      </c>
      <c r="I1926" t="s">
        <v>37456</v>
      </c>
      <c r="J1926" t="s">
        <v>37457</v>
      </c>
      <c r="K1926" t="s">
        <v>37458</v>
      </c>
      <c r="L1926" t="s">
        <v>37459</v>
      </c>
      <c r="M1926" t="s">
        <v>37460</v>
      </c>
      <c r="N1926" t="s">
        <v>37461</v>
      </c>
      <c r="O1926">
        <f>-662.691275504912 -144.639632419489 -511.804658650447</f>
        <v>-1319.1355665748479</v>
      </c>
      <c r="P1926">
        <f>-592.909793431555 -176.427796956247 -240.329652545099</f>
        <v>-1009.667242932901</v>
      </c>
      <c r="Q1926">
        <f>-439.90335727525 -116.108118849814 -404.339072377888</f>
        <v>-960.35054850295205</v>
      </c>
      <c r="R1926" t="s">
        <v>37462</v>
      </c>
      <c r="S1926" t="s">
        <v>37463</v>
      </c>
      <c r="T1926" t="s">
        <v>37464</v>
      </c>
      <c r="U1926" t="s">
        <v>37465</v>
      </c>
      <c r="V1926">
        <f>-584.697298775647 -55.1971334920788 -91.7543670254312</f>
        <v>-731.64879929315703</v>
      </c>
      <c r="W1926" t="s">
        <v>37466</v>
      </c>
      <c r="X1926" t="s">
        <v>37467</v>
      </c>
      <c r="Y1926" t="s">
        <v>37468</v>
      </c>
    </row>
    <row r="1927" spans="1:25" x14ac:dyDescent="0.3">
      <c r="A1927">
        <v>96300</v>
      </c>
      <c r="B1927" t="s">
        <v>37469</v>
      </c>
      <c r="C1927" t="s">
        <v>37470</v>
      </c>
      <c r="D1927" t="s">
        <v>37471</v>
      </c>
      <c r="E1927" t="s">
        <v>37472</v>
      </c>
      <c r="F1927" t="s">
        <v>37473</v>
      </c>
      <c r="G1927" t="s">
        <v>37474</v>
      </c>
      <c r="H1927" t="s">
        <v>37475</v>
      </c>
      <c r="I1927" t="s">
        <v>37476</v>
      </c>
      <c r="J1927" t="s">
        <v>37477</v>
      </c>
      <c r="K1927" t="s">
        <v>37478</v>
      </c>
      <c r="L1927" t="s">
        <v>37479</v>
      </c>
      <c r="M1927" t="s">
        <v>37480</v>
      </c>
      <c r="N1927" t="s">
        <v>37481</v>
      </c>
      <c r="O1927">
        <f>-662.656054084852 -143.623966734571 -512.51098870627</f>
        <v>-1318.791009525693</v>
      </c>
      <c r="P1927">
        <f>-592.48915617698 -177.018024007491 -241.328406339833</f>
        <v>-1010.8355865243041</v>
      </c>
      <c r="Q1927">
        <f>-440.012436003954 -116.201720857139 -405.647522954383</f>
        <v>-961.86167981547601</v>
      </c>
      <c r="R1927" t="s">
        <v>37482</v>
      </c>
      <c r="S1927" t="s">
        <v>37483</v>
      </c>
      <c r="T1927" t="s">
        <v>37484</v>
      </c>
      <c r="U1927" t="s">
        <v>37485</v>
      </c>
      <c r="V1927">
        <f>-584.774332077676 -55.3059320750097 -91.772172607271</f>
        <v>-731.85243675995673</v>
      </c>
      <c r="W1927" t="s">
        <v>37486</v>
      </c>
      <c r="X1927" t="s">
        <v>37487</v>
      </c>
      <c r="Y1927" t="s">
        <v>37488</v>
      </c>
    </row>
    <row r="1928" spans="1:25" x14ac:dyDescent="0.3">
      <c r="A1928">
        <v>96350</v>
      </c>
      <c r="B1928" t="s">
        <v>37489</v>
      </c>
      <c r="C1928" t="s">
        <v>37490</v>
      </c>
      <c r="D1928" t="s">
        <v>37491</v>
      </c>
      <c r="E1928" t="s">
        <v>37492</v>
      </c>
      <c r="F1928" t="s">
        <v>37493</v>
      </c>
      <c r="G1928" t="s">
        <v>37494</v>
      </c>
      <c r="H1928" t="s">
        <v>37495</v>
      </c>
      <c r="I1928" t="s">
        <v>37496</v>
      </c>
      <c r="J1928" t="s">
        <v>37497</v>
      </c>
      <c r="K1928" t="s">
        <v>37498</v>
      </c>
      <c r="L1928" t="s">
        <v>37499</v>
      </c>
      <c r="M1928" t="s">
        <v>37500</v>
      </c>
      <c r="N1928" t="s">
        <v>37501</v>
      </c>
      <c r="O1928">
        <f>-662.634642846658 -143.118760938189 -512.830500402199</f>
        <v>-1318.5839041870461</v>
      </c>
      <c r="P1928">
        <f>-592.365572403761 -177.157145541755 -241.754396651542</f>
        <v>-1011.277114597058</v>
      </c>
      <c r="Q1928">
        <f>-440.135278414499 -116.100291309534 -406.21274941374</f>
        <v>-962.44831913777307</v>
      </c>
      <c r="R1928" t="s">
        <v>37502</v>
      </c>
      <c r="S1928" t="s">
        <v>37503</v>
      </c>
      <c r="T1928" t="s">
        <v>37504</v>
      </c>
      <c r="U1928" t="s">
        <v>37505</v>
      </c>
      <c r="V1928">
        <f>-584.790728770163 -55.3360725374919 -91.7673206174433</f>
        <v>-731.89412192509815</v>
      </c>
      <c r="W1928" t="s">
        <v>37506</v>
      </c>
      <c r="X1928" t="s">
        <v>37507</v>
      </c>
      <c r="Y1928" t="s">
        <v>37508</v>
      </c>
    </row>
    <row r="1929" spans="1:25" x14ac:dyDescent="0.3">
      <c r="A1929">
        <v>96400</v>
      </c>
      <c r="B1929" t="s">
        <v>37509</v>
      </c>
      <c r="C1929" t="s">
        <v>37510</v>
      </c>
      <c r="D1929" t="s">
        <v>37511</v>
      </c>
      <c r="E1929" t="s">
        <v>37512</v>
      </c>
      <c r="F1929" t="s">
        <v>37513</v>
      </c>
      <c r="G1929" t="s">
        <v>37514</v>
      </c>
      <c r="H1929" t="s">
        <v>37515</v>
      </c>
      <c r="I1929" t="s">
        <v>37516</v>
      </c>
      <c r="J1929" t="s">
        <v>37517</v>
      </c>
      <c r="K1929" t="s">
        <v>37518</v>
      </c>
      <c r="L1929" t="s">
        <v>37519</v>
      </c>
      <c r="M1929" t="s">
        <v>37520</v>
      </c>
      <c r="N1929" t="s">
        <v>37521</v>
      </c>
      <c r="O1929">
        <f>-662.596875371725 -142.091057490222 -513.322540995586</f>
        <v>-1318.010473857533</v>
      </c>
      <c r="P1929">
        <f>-591.833031537763 -176.834146910004 -242.464738004314</f>
        <v>-1011.1319164520809</v>
      </c>
      <c r="Q1929">
        <f>-440.138423202334 -115.119412057161 -407.172370448996</f>
        <v>-962.43020570849103</v>
      </c>
      <c r="R1929" t="s">
        <v>37522</v>
      </c>
      <c r="S1929" t="s">
        <v>37523</v>
      </c>
      <c r="T1929" t="s">
        <v>37524</v>
      </c>
      <c r="U1929" t="s">
        <v>37525</v>
      </c>
      <c r="V1929">
        <f>-584.649853301016 -55.1932972799846 -91.7468327701876</f>
        <v>-731.58998335118815</v>
      </c>
      <c r="W1929" t="s">
        <v>37526</v>
      </c>
      <c r="X1929" t="s">
        <v>37527</v>
      </c>
      <c r="Y1929" t="s">
        <v>37528</v>
      </c>
    </row>
    <row r="1930" spans="1:25" x14ac:dyDescent="0.3">
      <c r="A1930">
        <v>96450</v>
      </c>
      <c r="B1930" t="s">
        <v>37529</v>
      </c>
      <c r="C1930" t="s">
        <v>37530</v>
      </c>
      <c r="D1930" t="s">
        <v>37531</v>
      </c>
      <c r="E1930" t="s">
        <v>37532</v>
      </c>
      <c r="F1930" t="s">
        <v>37533</v>
      </c>
      <c r="G1930" t="s">
        <v>37534</v>
      </c>
      <c r="H1930" t="s">
        <v>37535</v>
      </c>
      <c r="I1930" t="s">
        <v>37536</v>
      </c>
      <c r="J1930" t="s">
        <v>37537</v>
      </c>
      <c r="K1930" t="s">
        <v>37538</v>
      </c>
      <c r="L1930" t="s">
        <v>37539</v>
      </c>
      <c r="M1930" t="s">
        <v>37540</v>
      </c>
      <c r="N1930" t="s">
        <v>37541</v>
      </c>
      <c r="O1930">
        <f>-662.599296796186 -141.630652072908 -513.517456359614</f>
        <v>-1317.747405228708</v>
      </c>
      <c r="P1930">
        <f>-591.61918436383 -176.767530785531 -242.7669492012</f>
        <v>-1011.1536643505609</v>
      </c>
      <c r="Q1930">
        <f>-440.360449217837 -114.568852735802 -407.693168443141</f>
        <v>-962.62247039678005</v>
      </c>
      <c r="R1930" t="s">
        <v>37542</v>
      </c>
      <c r="S1930" t="s">
        <v>37543</v>
      </c>
      <c r="T1930" t="s">
        <v>37544</v>
      </c>
      <c r="U1930" t="s">
        <v>37545</v>
      </c>
      <c r="V1930">
        <f>-584.593616135092 -55.1423271374144 -91.7411229050841</f>
        <v>-731.47706617759059</v>
      </c>
      <c r="W1930" t="s">
        <v>37546</v>
      </c>
      <c r="X1930" t="s">
        <v>37547</v>
      </c>
      <c r="Y1930" t="s">
        <v>37548</v>
      </c>
    </row>
    <row r="1931" spans="1:25" x14ac:dyDescent="0.3">
      <c r="A1931">
        <v>96500</v>
      </c>
      <c r="B1931" t="s">
        <v>37549</v>
      </c>
      <c r="C1931" t="s">
        <v>37550</v>
      </c>
      <c r="D1931" t="s">
        <v>37551</v>
      </c>
      <c r="E1931" t="s">
        <v>37552</v>
      </c>
      <c r="F1931" t="s">
        <v>37553</v>
      </c>
      <c r="G1931" t="s">
        <v>37554</v>
      </c>
      <c r="H1931" t="s">
        <v>37555</v>
      </c>
      <c r="I1931" t="s">
        <v>37556</v>
      </c>
      <c r="J1931" t="s">
        <v>37557</v>
      </c>
      <c r="K1931" t="s">
        <v>37558</v>
      </c>
      <c r="L1931" t="s">
        <v>37559</v>
      </c>
      <c r="M1931" t="s">
        <v>37560</v>
      </c>
      <c r="N1931" t="s">
        <v>37561</v>
      </c>
      <c r="O1931">
        <f>-662.603849308237 -140.679512205986 -513.98122414552</f>
        <v>-1317.264585659743</v>
      </c>
      <c r="P1931">
        <f>-591.263286953261 -176.647270827585 -243.434523975687</f>
        <v>-1011.3450817565329</v>
      </c>
      <c r="Q1931">
        <f>-440.77693703734 -113.406924596921 -408.670989899039</f>
        <v>-962.85485153330001</v>
      </c>
      <c r="R1931" t="s">
        <v>37562</v>
      </c>
      <c r="S1931" t="s">
        <v>37563</v>
      </c>
      <c r="T1931" t="s">
        <v>37564</v>
      </c>
      <c r="U1931" t="s">
        <v>37565</v>
      </c>
      <c r="V1931">
        <f>-584.409770172074 -54.8896547622305 -91.7259190147788</f>
        <v>-731.02534394908332</v>
      </c>
      <c r="W1931" t="s">
        <v>37566</v>
      </c>
      <c r="X1931" t="s">
        <v>37567</v>
      </c>
      <c r="Y1931" t="s">
        <v>37568</v>
      </c>
    </row>
    <row r="1932" spans="1:25" x14ac:dyDescent="0.3">
      <c r="A1932">
        <v>96550</v>
      </c>
      <c r="B1932" t="s">
        <v>37569</v>
      </c>
      <c r="C1932" t="s">
        <v>37570</v>
      </c>
      <c r="D1932" t="s">
        <v>37571</v>
      </c>
      <c r="E1932" t="s">
        <v>37572</v>
      </c>
      <c r="F1932" t="s">
        <v>37573</v>
      </c>
      <c r="G1932" t="s">
        <v>37574</v>
      </c>
      <c r="H1932" t="s">
        <v>37575</v>
      </c>
      <c r="I1932" t="s">
        <v>37576</v>
      </c>
      <c r="J1932" t="s">
        <v>37577</v>
      </c>
      <c r="K1932" t="s">
        <v>37578</v>
      </c>
      <c r="L1932" t="s">
        <v>37579</v>
      </c>
      <c r="M1932" t="s">
        <v>37580</v>
      </c>
      <c r="N1932" t="s">
        <v>37581</v>
      </c>
      <c r="O1932">
        <f>-662.523712872977 -140.192140610385 -514.238329545885</f>
        <v>-1316.9541830292469</v>
      </c>
      <c r="P1932">
        <f>-591.008028891901 -176.666203366945 -243.80585918179</f>
        <v>-1011.4800914406359</v>
      </c>
      <c r="Q1932">
        <f>-440.810748246133 -112.833042834876 -409.077241502779</f>
        <v>-962.72103258378797</v>
      </c>
      <c r="R1932" t="s">
        <v>37582</v>
      </c>
      <c r="S1932" t="s">
        <v>37583</v>
      </c>
      <c r="T1932" t="s">
        <v>37584</v>
      </c>
      <c r="U1932" t="s">
        <v>37585</v>
      </c>
      <c r="V1932">
        <f>-584.319778108277 -54.8111951991575 -91.712590667</f>
        <v>-730.84356397443446</v>
      </c>
      <c r="W1932" t="s">
        <v>37586</v>
      </c>
      <c r="X1932" t="s">
        <v>37587</v>
      </c>
      <c r="Y1932" t="s">
        <v>37588</v>
      </c>
    </row>
    <row r="1933" spans="1:25" x14ac:dyDescent="0.3">
      <c r="A1933">
        <v>96600</v>
      </c>
      <c r="B1933" t="s">
        <v>37589</v>
      </c>
      <c r="C1933" t="s">
        <v>37590</v>
      </c>
      <c r="D1933" t="s">
        <v>37591</v>
      </c>
      <c r="E1933" t="s">
        <v>37592</v>
      </c>
      <c r="F1933" t="s">
        <v>37593</v>
      </c>
      <c r="G1933" t="s">
        <v>37594</v>
      </c>
      <c r="H1933" t="s">
        <v>37595</v>
      </c>
      <c r="I1933" t="s">
        <v>37596</v>
      </c>
      <c r="J1933" t="s">
        <v>37597</v>
      </c>
      <c r="K1933" t="s">
        <v>37598</v>
      </c>
      <c r="L1933" t="s">
        <v>37599</v>
      </c>
      <c r="M1933" t="s">
        <v>37600</v>
      </c>
      <c r="N1933" t="s">
        <v>37601</v>
      </c>
      <c r="O1933">
        <f>-662.079725595006 -139.213811251757 -514.831329569698</f>
        <v>-1316.1248664164609</v>
      </c>
      <c r="P1933">
        <f>-590.153081390609 -176.601814165657 -244.632826573977</f>
        <v>-1011.3877221302431</v>
      </c>
      <c r="Q1933">
        <f>-440.462631767504 -111.429581229151 -409.841359275462</f>
        <v>-961.73357227211704</v>
      </c>
      <c r="R1933" t="s">
        <v>37602</v>
      </c>
      <c r="S1933" t="s">
        <v>37603</v>
      </c>
      <c r="T1933" t="s">
        <v>37604</v>
      </c>
      <c r="U1933" t="s">
        <v>37605</v>
      </c>
      <c r="V1933">
        <f>-584.108439909671 -54.5842176786509 -91.6756664562685</f>
        <v>-730.36832404459039</v>
      </c>
      <c r="W1933" t="s">
        <v>37606</v>
      </c>
      <c r="X1933" t="s">
        <v>37607</v>
      </c>
      <c r="Y1933" t="s">
        <v>37608</v>
      </c>
    </row>
    <row r="1934" spans="1:25" x14ac:dyDescent="0.3">
      <c r="A1934">
        <v>96650</v>
      </c>
      <c r="B1934" t="s">
        <v>37609</v>
      </c>
      <c r="C1934" t="s">
        <v>37610</v>
      </c>
      <c r="D1934" t="s">
        <v>37611</v>
      </c>
      <c r="E1934" t="s">
        <v>37612</v>
      </c>
      <c r="F1934" t="s">
        <v>37613</v>
      </c>
      <c r="G1934" t="s">
        <v>37614</v>
      </c>
      <c r="H1934" t="s">
        <v>37615</v>
      </c>
      <c r="I1934" t="s">
        <v>37616</v>
      </c>
      <c r="J1934" t="s">
        <v>37617</v>
      </c>
      <c r="K1934" t="s">
        <v>37618</v>
      </c>
      <c r="L1934" t="s">
        <v>37619</v>
      </c>
      <c r="M1934" t="s">
        <v>37620</v>
      </c>
      <c r="N1934" t="s">
        <v>37621</v>
      </c>
      <c r="O1934">
        <f>-661.753095668594 -138.706580981988 -515.157890349918</f>
        <v>-1315.6175670005</v>
      </c>
      <c r="P1934">
        <f>-589.697698891942 -176.515278819393 -245.052216392502</f>
        <v>-1011.265194103837</v>
      </c>
      <c r="Q1934">
        <f>-440.103307147629 -110.720573447403 -410.100923990282</f>
        <v>-960.92480458531395</v>
      </c>
      <c r="R1934" t="s">
        <v>37622</v>
      </c>
      <c r="S1934" t="s">
        <v>37623</v>
      </c>
      <c r="T1934" t="s">
        <v>37624</v>
      </c>
      <c r="U1934" t="s">
        <v>37625</v>
      </c>
      <c r="V1934">
        <f>-583.95753626387 -54.4700127785527 -91.6556257304543</f>
        <v>-730.08317477287699</v>
      </c>
      <c r="W1934" t="s">
        <v>37626</v>
      </c>
      <c r="X1934" t="s">
        <v>37627</v>
      </c>
      <c r="Y1934" t="s">
        <v>37628</v>
      </c>
    </row>
    <row r="1935" spans="1:25" x14ac:dyDescent="0.3">
      <c r="A1935">
        <v>96700</v>
      </c>
      <c r="B1935" t="s">
        <v>37629</v>
      </c>
      <c r="C1935" t="s">
        <v>37630</v>
      </c>
      <c r="D1935" t="s">
        <v>37631</v>
      </c>
      <c r="E1935" t="s">
        <v>37632</v>
      </c>
      <c r="F1935" t="s">
        <v>37633</v>
      </c>
      <c r="G1935" t="s">
        <v>37634</v>
      </c>
      <c r="H1935" t="s">
        <v>37635</v>
      </c>
      <c r="I1935" t="s">
        <v>37636</v>
      </c>
      <c r="J1935" t="s">
        <v>37637</v>
      </c>
      <c r="K1935" t="s">
        <v>37638</v>
      </c>
      <c r="L1935" t="s">
        <v>37639</v>
      </c>
      <c r="M1935" t="s">
        <v>37640</v>
      </c>
      <c r="N1935" t="s">
        <v>37641</v>
      </c>
      <c r="O1935">
        <f>-660.941763348489 -137.810514528712 -515.875102216221</f>
        <v>-1314.6273800934218</v>
      </c>
      <c r="P1935">
        <f>-589.084867921847 -176.349367530667 -245.819564482471</f>
        <v>-1011.2537999349851</v>
      </c>
      <c r="Q1935">
        <f>-439.510925403798 -109.279902863722 -410.373053873491</f>
        <v>-959.16388214101107</v>
      </c>
      <c r="R1935" t="s">
        <v>37642</v>
      </c>
      <c r="S1935" t="s">
        <v>37643</v>
      </c>
      <c r="T1935" t="s">
        <v>37644</v>
      </c>
      <c r="U1935" t="s">
        <v>37645</v>
      </c>
      <c r="V1935">
        <f>-583.53924492163 -54.3790466814773 -91.6281107886858</f>
        <v>-729.54640239179321</v>
      </c>
      <c r="W1935" t="s">
        <v>37646</v>
      </c>
      <c r="X1935" t="s">
        <v>37647</v>
      </c>
      <c r="Y1935" t="s">
        <v>37648</v>
      </c>
    </row>
    <row r="1936" spans="1:25" x14ac:dyDescent="0.3">
      <c r="A1936">
        <v>96750</v>
      </c>
      <c r="B1936" t="s">
        <v>37649</v>
      </c>
      <c r="C1936" t="s">
        <v>37650</v>
      </c>
      <c r="D1936" t="s">
        <v>37651</v>
      </c>
      <c r="E1936" t="s">
        <v>37652</v>
      </c>
      <c r="F1936" t="s">
        <v>37653</v>
      </c>
      <c r="G1936" t="s">
        <v>37654</v>
      </c>
      <c r="H1936" t="s">
        <v>37655</v>
      </c>
      <c r="I1936" t="s">
        <v>37656</v>
      </c>
      <c r="J1936" t="s">
        <v>37657</v>
      </c>
      <c r="K1936" t="s">
        <v>37658</v>
      </c>
      <c r="L1936" t="s">
        <v>37659</v>
      </c>
      <c r="M1936" t="s">
        <v>37660</v>
      </c>
      <c r="N1936" t="s">
        <v>37661</v>
      </c>
      <c r="O1936">
        <f>-660.393608045707 -137.343121611755 -516.277096935645</f>
        <v>-1314.0138265931068</v>
      </c>
      <c r="P1936">
        <f>-588.579995743457 -176.304259961147 -246.270706264003</f>
        <v>-1011.1549619686069</v>
      </c>
      <c r="Q1936">
        <f>-439.135992014446 -108.492146448255 -410.637896591857</f>
        <v>-958.26603505455796</v>
      </c>
      <c r="R1936" t="s">
        <v>37662</v>
      </c>
      <c r="S1936" t="s">
        <v>37663</v>
      </c>
      <c r="T1936" t="s">
        <v>37664</v>
      </c>
      <c r="U1936" t="s">
        <v>37665</v>
      </c>
      <c r="V1936">
        <f>-583.318146632269 -54.3703420194754 -91.6147894890672</f>
        <v>-729.30327814081159</v>
      </c>
      <c r="W1936" t="s">
        <v>37666</v>
      </c>
      <c r="X1936" t="s">
        <v>37667</v>
      </c>
      <c r="Y1936" t="s">
        <v>37668</v>
      </c>
    </row>
    <row r="1937" spans="1:25" x14ac:dyDescent="0.3">
      <c r="A1937">
        <v>96800</v>
      </c>
      <c r="B1937" t="s">
        <v>37669</v>
      </c>
      <c r="C1937" t="s">
        <v>37670</v>
      </c>
      <c r="D1937" t="s">
        <v>37671</v>
      </c>
      <c r="E1937" t="s">
        <v>37672</v>
      </c>
      <c r="F1937" t="s">
        <v>37673</v>
      </c>
      <c r="G1937" t="s">
        <v>37674</v>
      </c>
      <c r="H1937" t="s">
        <v>37675</v>
      </c>
      <c r="I1937" t="s">
        <v>37676</v>
      </c>
      <c r="J1937" t="s">
        <v>37677</v>
      </c>
      <c r="K1937" t="s">
        <v>37678</v>
      </c>
      <c r="L1937" t="s">
        <v>37679</v>
      </c>
      <c r="M1937" t="s">
        <v>37680</v>
      </c>
      <c r="N1937" t="s">
        <v>37681</v>
      </c>
      <c r="O1937">
        <f>-659.170515577652 -136.463886493193 -517.251548519162</f>
        <v>-1312.885950590007</v>
      </c>
      <c r="P1937">
        <f>-587.182415609552 -176.595914940659 -247.463245571384</f>
        <v>-1011.241576121595</v>
      </c>
      <c r="Q1937">
        <f>-437.93406634917 -106.976264632555 -411.251443440988</f>
        <v>-956.16177442271305</v>
      </c>
      <c r="R1937" t="s">
        <v>37682</v>
      </c>
      <c r="S1937" t="s">
        <v>37683</v>
      </c>
      <c r="T1937" t="s">
        <v>37684</v>
      </c>
      <c r="U1937" t="s">
        <v>37685</v>
      </c>
      <c r="V1937">
        <f>-582.920916196656 -54.5388853738496 -91.600729863737</f>
        <v>-729.06053143424253</v>
      </c>
      <c r="W1937" t="s">
        <v>37686</v>
      </c>
      <c r="X1937" t="s">
        <v>37687</v>
      </c>
      <c r="Y1937" t="s">
        <v>37688</v>
      </c>
    </row>
    <row r="1938" spans="1:25" x14ac:dyDescent="0.3">
      <c r="A1938">
        <v>96850</v>
      </c>
      <c r="B1938" t="s">
        <v>37689</v>
      </c>
      <c r="C1938" t="s">
        <v>37690</v>
      </c>
      <c r="D1938" t="s">
        <v>37691</v>
      </c>
      <c r="E1938" t="s">
        <v>37692</v>
      </c>
      <c r="F1938" t="s">
        <v>37693</v>
      </c>
      <c r="G1938" t="s">
        <v>37694</v>
      </c>
      <c r="H1938" t="s">
        <v>37695</v>
      </c>
      <c r="I1938" t="s">
        <v>37696</v>
      </c>
      <c r="J1938" t="s">
        <v>37697</v>
      </c>
      <c r="K1938" t="s">
        <v>37698</v>
      </c>
      <c r="L1938" t="s">
        <v>37699</v>
      </c>
      <c r="M1938" t="s">
        <v>37700</v>
      </c>
      <c r="N1938" t="s">
        <v>37701</v>
      </c>
      <c r="O1938">
        <f>-658.717304233386 -136.067712756462 -517.676466529582</f>
        <v>-1312.46148351943</v>
      </c>
      <c r="P1938">
        <f>-586.495328449763 -176.840675462196 -248.046733358568</f>
        <v>-1011.3827372705269</v>
      </c>
      <c r="Q1938">
        <f>-437.404129797351 -106.194510855512 -411.538294635031</f>
        <v>-955.13693528789395</v>
      </c>
      <c r="R1938" t="s">
        <v>37702</v>
      </c>
      <c r="S1938" t="s">
        <v>37703</v>
      </c>
      <c r="T1938" t="s">
        <v>37704</v>
      </c>
      <c r="U1938" t="s">
        <v>37705</v>
      </c>
      <c r="V1938">
        <f>-582.786080817358 -54.6988364329197 -91.6067903777123</f>
        <v>-729.09170762798999</v>
      </c>
      <c r="W1938" t="s">
        <v>37706</v>
      </c>
      <c r="X1938" t="s">
        <v>37707</v>
      </c>
      <c r="Y1938" t="s">
        <v>37708</v>
      </c>
    </row>
    <row r="1939" spans="1:25" x14ac:dyDescent="0.3">
      <c r="A1939">
        <v>96900</v>
      </c>
      <c r="B1939" t="s">
        <v>37709</v>
      </c>
      <c r="C1939" t="s">
        <v>37710</v>
      </c>
      <c r="D1939" t="s">
        <v>37711</v>
      </c>
      <c r="E1939" t="s">
        <v>37712</v>
      </c>
      <c r="F1939" t="s">
        <v>37713</v>
      </c>
      <c r="G1939" t="s">
        <v>37714</v>
      </c>
      <c r="H1939" t="s">
        <v>37715</v>
      </c>
      <c r="I1939" t="s">
        <v>37716</v>
      </c>
      <c r="J1939" t="s">
        <v>37717</v>
      </c>
      <c r="K1939" t="s">
        <v>37718</v>
      </c>
      <c r="L1939" t="s">
        <v>37719</v>
      </c>
      <c r="M1939" t="s">
        <v>37720</v>
      </c>
      <c r="N1939" t="s">
        <v>37721</v>
      </c>
      <c r="O1939">
        <f>-657.792215497647 -135.394372980885 -518.476032352548</f>
        <v>-1311.6626208310799</v>
      </c>
      <c r="P1939">
        <f>-585.247150579804 -177.287719366225 -249.105023106446</f>
        <v>-1011.639893052475</v>
      </c>
      <c r="Q1939">
        <f>-436.588610620751 -104.674196682052 -412.127940108018</f>
        <v>-953.39074741082095</v>
      </c>
      <c r="R1939" t="s">
        <v>37722</v>
      </c>
      <c r="S1939" t="s">
        <v>37723</v>
      </c>
      <c r="T1939" t="s">
        <v>37724</v>
      </c>
      <c r="U1939" t="s">
        <v>37725</v>
      </c>
      <c r="V1939">
        <f>-582.566349407387 -55.0704194713301 -91.6172487486015</f>
        <v>-729.25401762731849</v>
      </c>
      <c r="W1939" t="s">
        <v>37726</v>
      </c>
      <c r="X1939" t="s">
        <v>37727</v>
      </c>
      <c r="Y1939" t="s">
        <v>37728</v>
      </c>
    </row>
    <row r="1940" spans="1:25" x14ac:dyDescent="0.3">
      <c r="A1940">
        <v>96950</v>
      </c>
      <c r="B1940" t="s">
        <v>37729</v>
      </c>
      <c r="C1940" t="s">
        <v>37730</v>
      </c>
      <c r="D1940" t="s">
        <v>37731</v>
      </c>
      <c r="E1940" t="s">
        <v>37732</v>
      </c>
      <c r="F1940" t="s">
        <v>37733</v>
      </c>
      <c r="G1940" t="s">
        <v>37734</v>
      </c>
      <c r="H1940" t="s">
        <v>37735</v>
      </c>
      <c r="I1940" t="s">
        <v>37736</v>
      </c>
      <c r="J1940" t="s">
        <v>37737</v>
      </c>
      <c r="K1940" t="s">
        <v>37738</v>
      </c>
      <c r="L1940" t="s">
        <v>37739</v>
      </c>
      <c r="M1940" t="s">
        <v>37740</v>
      </c>
      <c r="N1940" t="s">
        <v>37741</v>
      </c>
      <c r="O1940">
        <f>-657.418077616029 -135.004294440774 -518.886553514134</f>
        <v>-1311.3089255709369</v>
      </c>
      <c r="P1940">
        <f>-584.804839705891 -177.412226319852 -249.61447200951</f>
        <v>-1011.8315380352531</v>
      </c>
      <c r="Q1940">
        <f>-436.283758017842 -103.927434766599 -412.371861358191</f>
        <v>-952.58305414263191</v>
      </c>
      <c r="R1940" t="s">
        <v>37742</v>
      </c>
      <c r="S1940" t="s">
        <v>37743</v>
      </c>
      <c r="T1940" t="s">
        <v>37744</v>
      </c>
      <c r="U1940" t="s">
        <v>37745</v>
      </c>
      <c r="V1940">
        <f>-582.505248741252 -55.2700283750257 -91.6316162259802</f>
        <v>-729.40689334225794</v>
      </c>
      <c r="W1940" t="s">
        <v>37746</v>
      </c>
      <c r="X1940" t="s">
        <v>37747</v>
      </c>
      <c r="Y1940" t="s">
        <v>37748</v>
      </c>
    </row>
    <row r="1941" spans="1:25" x14ac:dyDescent="0.3">
      <c r="A1941">
        <v>97000</v>
      </c>
      <c r="B1941" t="s">
        <v>37749</v>
      </c>
      <c r="C1941" t="s">
        <v>37750</v>
      </c>
      <c r="D1941" t="s">
        <v>37751</v>
      </c>
      <c r="E1941" t="s">
        <v>37752</v>
      </c>
      <c r="F1941" t="s">
        <v>37753</v>
      </c>
      <c r="G1941" t="s">
        <v>37754</v>
      </c>
      <c r="H1941" t="s">
        <v>37755</v>
      </c>
      <c r="I1941" t="s">
        <v>37756</v>
      </c>
      <c r="J1941" t="s">
        <v>37757</v>
      </c>
      <c r="K1941" t="s">
        <v>37758</v>
      </c>
      <c r="L1941" t="s">
        <v>37759</v>
      </c>
      <c r="M1941" t="s">
        <v>37760</v>
      </c>
      <c r="N1941" t="s">
        <v>37761</v>
      </c>
      <c r="O1941">
        <f>-656.766260566973 -134.061895932037 -519.59920040813</f>
        <v>-1310.4273569071399</v>
      </c>
      <c r="P1941">
        <f>-584.104164290512 -177.387544734102 -250.486395489069</f>
        <v>-1011.978104513683</v>
      </c>
      <c r="Q1941">
        <f>-435.808970078969 -102.605061628361 -412.858264399799</f>
        <v>-951.27229610712902</v>
      </c>
      <c r="R1941" t="s">
        <v>37762</v>
      </c>
      <c r="S1941" t="s">
        <v>37763</v>
      </c>
      <c r="T1941" t="s">
        <v>37764</v>
      </c>
      <c r="U1941" t="s">
        <v>37765</v>
      </c>
      <c r="V1941">
        <f>-582.432910765472 -55.2849816683602 -91.6492958584018</f>
        <v>-729.367188292234</v>
      </c>
      <c r="W1941" t="s">
        <v>37766</v>
      </c>
      <c r="X1941" t="s">
        <v>37767</v>
      </c>
      <c r="Y1941" t="s">
        <v>37768</v>
      </c>
    </row>
    <row r="1942" spans="1:25" x14ac:dyDescent="0.3">
      <c r="A1942">
        <v>97050</v>
      </c>
      <c r="B1942" t="s">
        <v>37769</v>
      </c>
      <c r="C1942" t="s">
        <v>37770</v>
      </c>
      <c r="D1942" t="s">
        <v>37771</v>
      </c>
      <c r="E1942" t="s">
        <v>37772</v>
      </c>
      <c r="F1942" t="s">
        <v>37773</v>
      </c>
      <c r="G1942" t="s">
        <v>37774</v>
      </c>
      <c r="H1942" t="s">
        <v>37775</v>
      </c>
      <c r="I1942" t="s">
        <v>37776</v>
      </c>
      <c r="J1942" t="s">
        <v>37777</v>
      </c>
      <c r="K1942" t="s">
        <v>37778</v>
      </c>
      <c r="L1942" t="s">
        <v>37779</v>
      </c>
      <c r="M1942" t="s">
        <v>37780</v>
      </c>
      <c r="N1942" t="s">
        <v>37781</v>
      </c>
      <c r="O1942">
        <f>-656.517068029302 -133.63848136595 -519.909646360177</f>
        <v>-1310.0651957554292</v>
      </c>
      <c r="P1942">
        <f>-583.897351841456 -177.319078439741 -250.84277665769</f>
        <v>-1012.0592069388871</v>
      </c>
      <c r="Q1942">
        <f>-435.747240406793 -102.051918901582 -413.123296566672</f>
        <v>-950.92245587504704</v>
      </c>
      <c r="R1942" t="s">
        <v>37782</v>
      </c>
      <c r="S1942" t="s">
        <v>37783</v>
      </c>
      <c r="T1942" t="s">
        <v>37784</v>
      </c>
      <c r="U1942" t="s">
        <v>37785</v>
      </c>
      <c r="V1942">
        <f>-582.47308689212 -55.2417952446706 -91.6601258568764</f>
        <v>-729.37500799366705</v>
      </c>
      <c r="W1942" t="s">
        <v>37786</v>
      </c>
      <c r="X1942" t="s">
        <v>37787</v>
      </c>
      <c r="Y1942" t="s">
        <v>37788</v>
      </c>
    </row>
    <row r="1943" spans="1:25" x14ac:dyDescent="0.3">
      <c r="A1943">
        <v>97100</v>
      </c>
      <c r="B1943" t="s">
        <v>37789</v>
      </c>
      <c r="C1943" t="s">
        <v>37790</v>
      </c>
      <c r="D1943" t="s">
        <v>37791</v>
      </c>
      <c r="E1943" t="s">
        <v>37792</v>
      </c>
      <c r="F1943" t="s">
        <v>37793</v>
      </c>
      <c r="G1943" t="s">
        <v>37794</v>
      </c>
      <c r="H1943" t="s">
        <v>37795</v>
      </c>
      <c r="I1943" t="s">
        <v>37796</v>
      </c>
      <c r="J1943" t="s">
        <v>37797</v>
      </c>
      <c r="K1943" t="s">
        <v>37798</v>
      </c>
      <c r="L1943" t="s">
        <v>37799</v>
      </c>
      <c r="M1943" t="s">
        <v>37800</v>
      </c>
      <c r="N1943" t="s">
        <v>37801</v>
      </c>
      <c r="O1943">
        <f>-656.381654731261 -132.989313386884 -520.366168033363</f>
        <v>-1309.7371361515079</v>
      </c>
      <c r="P1943">
        <f>-583.4511102039 -177.275183911242 -251.482320556627</f>
        <v>-1012.2086146717691</v>
      </c>
      <c r="Q1943">
        <f>-435.610652241533 -101.235345135667 -413.684989855501</f>
        <v>-950.53098723270091</v>
      </c>
      <c r="R1943" t="s">
        <v>37802</v>
      </c>
      <c r="S1943" t="s">
        <v>37803</v>
      </c>
      <c r="T1943" t="s">
        <v>37804</v>
      </c>
      <c r="U1943" t="s">
        <v>37805</v>
      </c>
      <c r="V1943">
        <f>-582.899630158239 -55.2344865665414 -91.7110721721997</f>
        <v>-729.84518889698006</v>
      </c>
      <c r="W1943" t="s">
        <v>37806</v>
      </c>
      <c r="X1943" t="s">
        <v>37807</v>
      </c>
      <c r="Y1943" t="s">
        <v>37808</v>
      </c>
    </row>
    <row r="1944" spans="1:25" x14ac:dyDescent="0.3">
      <c r="A1944">
        <v>97150</v>
      </c>
      <c r="B1944" t="s">
        <v>37809</v>
      </c>
      <c r="C1944" t="s">
        <v>37810</v>
      </c>
      <c r="D1944" t="s">
        <v>37811</v>
      </c>
      <c r="E1944" t="s">
        <v>37812</v>
      </c>
      <c r="F1944" t="s">
        <v>37813</v>
      </c>
      <c r="G1944" t="s">
        <v>37814</v>
      </c>
      <c r="H1944" t="s">
        <v>37815</v>
      </c>
      <c r="I1944" t="s">
        <v>37816</v>
      </c>
      <c r="J1944" t="s">
        <v>37817</v>
      </c>
      <c r="K1944" t="s">
        <v>37818</v>
      </c>
      <c r="L1944" t="s">
        <v>37819</v>
      </c>
      <c r="M1944" t="s">
        <v>37820</v>
      </c>
      <c r="N1944" t="s">
        <v>37821</v>
      </c>
      <c r="O1944">
        <f>-656.423129220221 -132.616354854679 -520.514087522664</f>
        <v>-1309.5535715975639</v>
      </c>
      <c r="P1944">
        <f>-583.281006033155 -177.069224943083 -251.715295496208</f>
        <v>-1012.065526472446</v>
      </c>
      <c r="Q1944">
        <f>-435.555378444747 -100.597701171481 -413.819414923363</f>
        <v>-949.97249453959103</v>
      </c>
      <c r="R1944" t="s">
        <v>37822</v>
      </c>
      <c r="S1944" t="s">
        <v>37823</v>
      </c>
      <c r="T1944" t="s">
        <v>37824</v>
      </c>
      <c r="U1944" t="s">
        <v>37825</v>
      </c>
      <c r="V1944">
        <f>-583.159024709075 -55.0876927503368 -91.7377254894733</f>
        <v>-729.98444294888509</v>
      </c>
      <c r="W1944" t="s">
        <v>37826</v>
      </c>
      <c r="X1944" t="s">
        <v>37827</v>
      </c>
      <c r="Y1944" t="s">
        <v>37828</v>
      </c>
    </row>
    <row r="1945" spans="1:25" x14ac:dyDescent="0.3">
      <c r="A1945">
        <v>97200</v>
      </c>
      <c r="B1945" t="s">
        <v>37829</v>
      </c>
      <c r="C1945" t="s">
        <v>37830</v>
      </c>
      <c r="D1945" t="s">
        <v>37831</v>
      </c>
      <c r="E1945" t="s">
        <v>37832</v>
      </c>
      <c r="F1945" t="s">
        <v>37833</v>
      </c>
      <c r="G1945" t="s">
        <v>37834</v>
      </c>
      <c r="H1945" t="s">
        <v>37835</v>
      </c>
      <c r="I1945" t="s">
        <v>37836</v>
      </c>
      <c r="J1945" t="s">
        <v>37837</v>
      </c>
      <c r="K1945" t="s">
        <v>37838</v>
      </c>
      <c r="L1945" t="s">
        <v>37839</v>
      </c>
      <c r="M1945" t="s">
        <v>37840</v>
      </c>
      <c r="N1945" t="s">
        <v>37841</v>
      </c>
      <c r="O1945">
        <f>-656.624953481851 -131.86058020445 -520.6743020604</f>
        <v>-1309.159835746701</v>
      </c>
      <c r="P1945">
        <f>-583.273863086911 -176.715973553705 -251.999320703799</f>
        <v>-1011.9891573444149</v>
      </c>
      <c r="Q1945">
        <f>-435.533857412485 -99.7126765203279 -413.838595614888</f>
        <v>-949.08512954770094</v>
      </c>
      <c r="R1945" t="s">
        <v>37842</v>
      </c>
      <c r="S1945" t="s">
        <v>37843</v>
      </c>
      <c r="T1945" t="s">
        <v>37844</v>
      </c>
      <c r="U1945" t="s">
        <v>37845</v>
      </c>
      <c r="V1945">
        <f>-583.640857466132 -54.6364706384077 -91.7782110451784</f>
        <v>-730.05553914971813</v>
      </c>
      <c r="W1945" t="s">
        <v>37846</v>
      </c>
      <c r="X1945" t="s">
        <v>37847</v>
      </c>
      <c r="Y1945" t="s">
        <v>37848</v>
      </c>
    </row>
    <row r="1946" spans="1:25" x14ac:dyDescent="0.3">
      <c r="A1946">
        <v>97250</v>
      </c>
      <c r="B1946" t="s">
        <v>37849</v>
      </c>
      <c r="C1946" t="s">
        <v>37850</v>
      </c>
      <c r="D1946" t="s">
        <v>37851</v>
      </c>
      <c r="E1946" t="s">
        <v>37852</v>
      </c>
      <c r="F1946" t="s">
        <v>37853</v>
      </c>
      <c r="G1946" t="s">
        <v>37854</v>
      </c>
      <c r="H1946" t="s">
        <v>37855</v>
      </c>
      <c r="I1946" t="s">
        <v>37856</v>
      </c>
      <c r="J1946" t="s">
        <v>37857</v>
      </c>
      <c r="K1946" t="s">
        <v>37858</v>
      </c>
      <c r="L1946" t="s">
        <v>37859</v>
      </c>
      <c r="M1946" t="s">
        <v>37860</v>
      </c>
      <c r="N1946" t="s">
        <v>37861</v>
      </c>
      <c r="O1946">
        <f>-656.831419117813 -131.502016052346 -520.717016031775</f>
        <v>-1309.0504512019338</v>
      </c>
      <c r="P1946">
        <f>-583.563922147003 -176.415062635141 -252.028909227801</f>
        <v>-1012.0078940099451</v>
      </c>
      <c r="Q1946">
        <f>-435.738450283185 -99.3512591847541 -413.761218417432</f>
        <v>-948.85092788537111</v>
      </c>
      <c r="R1946" t="s">
        <v>37862</v>
      </c>
      <c r="S1946" t="s">
        <v>37863</v>
      </c>
      <c r="T1946" t="s">
        <v>37864</v>
      </c>
      <c r="U1946" t="s">
        <v>37865</v>
      </c>
      <c r="V1946">
        <f>-583.880009158998 -54.3813226457246 -91.7946547538231</f>
        <v>-730.05598655854567</v>
      </c>
      <c r="W1946" t="s">
        <v>37866</v>
      </c>
      <c r="X1946" t="s">
        <v>37867</v>
      </c>
      <c r="Y1946" t="s">
        <v>37868</v>
      </c>
    </row>
    <row r="1947" spans="1:25" x14ac:dyDescent="0.3">
      <c r="A1947">
        <v>97300</v>
      </c>
      <c r="B1947" t="s">
        <v>37869</v>
      </c>
      <c r="C1947" t="s">
        <v>37870</v>
      </c>
      <c r="D1947" t="s">
        <v>37871</v>
      </c>
      <c r="E1947" t="s">
        <v>37872</v>
      </c>
      <c r="F1947" t="s">
        <v>37873</v>
      </c>
      <c r="G1947" t="s">
        <v>37874</v>
      </c>
      <c r="H1947" t="s">
        <v>37875</v>
      </c>
      <c r="I1947" t="s">
        <v>37876</v>
      </c>
      <c r="J1947" t="s">
        <v>37877</v>
      </c>
      <c r="K1947" t="s">
        <v>37878</v>
      </c>
      <c r="L1947" t="s">
        <v>37879</v>
      </c>
      <c r="M1947" t="s">
        <v>37880</v>
      </c>
      <c r="N1947" t="s">
        <v>37881</v>
      </c>
      <c r="O1947">
        <f>-657.364595094771 -130.743182521155 -520.788141957702</f>
        <v>-1308.8959195736279</v>
      </c>
      <c r="P1947">
        <f>-584.367332001044 -175.753684393547 -252.042884204012</f>
        <v>-1012.163900598603</v>
      </c>
      <c r="Q1947">
        <f>-436.364103032214 -98.645273823794 -413.591280111742</f>
        <v>-948.60065696774996</v>
      </c>
      <c r="R1947" t="s">
        <v>37882</v>
      </c>
      <c r="S1947" t="s">
        <v>37883</v>
      </c>
      <c r="T1947" t="s">
        <v>37884</v>
      </c>
      <c r="U1947" t="s">
        <v>37885</v>
      </c>
      <c r="V1947">
        <f>-584.350109931316 -53.8183302446776 -91.813537128702</f>
        <v>-729.98197730469553</v>
      </c>
      <c r="W1947" t="s">
        <v>37886</v>
      </c>
      <c r="X1947" t="s">
        <v>37887</v>
      </c>
      <c r="Y1947" t="s">
        <v>37888</v>
      </c>
    </row>
    <row r="1948" spans="1:25" x14ac:dyDescent="0.3">
      <c r="A1948">
        <v>97350</v>
      </c>
      <c r="B1948" t="s">
        <v>37889</v>
      </c>
      <c r="C1948" t="s">
        <v>37890</v>
      </c>
      <c r="D1948" t="s">
        <v>37891</v>
      </c>
      <c r="E1948" t="s">
        <v>37892</v>
      </c>
      <c r="F1948" t="s">
        <v>37893</v>
      </c>
      <c r="G1948" t="s">
        <v>37894</v>
      </c>
      <c r="H1948" t="s">
        <v>37895</v>
      </c>
      <c r="I1948" t="s">
        <v>37896</v>
      </c>
      <c r="J1948" t="s">
        <v>37897</v>
      </c>
      <c r="K1948" t="s">
        <v>37898</v>
      </c>
      <c r="L1948" t="s">
        <v>37899</v>
      </c>
      <c r="M1948" t="s">
        <v>37900</v>
      </c>
      <c r="N1948" t="s">
        <v>37901</v>
      </c>
      <c r="O1948">
        <f>-657.679281010702 -130.372602285636 -520.824924160276</f>
        <v>-1308.8768074566142</v>
      </c>
      <c r="P1948">
        <f>-584.812358656977 -175.501377837344 -252.06416070036</f>
        <v>-1012.3778971946811</v>
      </c>
      <c r="Q1948">
        <f>-436.68978333116 -98.4167442645798 -413.514247330023</f>
        <v>-948.62077492576282</v>
      </c>
      <c r="R1948" t="s">
        <v>37902</v>
      </c>
      <c r="S1948" t="s">
        <v>37903</v>
      </c>
      <c r="T1948" t="s">
        <v>37904</v>
      </c>
      <c r="U1948" t="s">
        <v>37905</v>
      </c>
      <c r="V1948">
        <f>-584.595574233964 -53.5832089682312 -91.8185805114058</f>
        <v>-729.99736371360109</v>
      </c>
      <c r="W1948" t="s">
        <v>37906</v>
      </c>
      <c r="X1948" t="s">
        <v>37907</v>
      </c>
      <c r="Y1948" t="s">
        <v>37908</v>
      </c>
    </row>
    <row r="1949" spans="1:25" x14ac:dyDescent="0.3">
      <c r="A1949">
        <v>97400</v>
      </c>
      <c r="B1949" t="s">
        <v>37909</v>
      </c>
      <c r="C1949" t="s">
        <v>37910</v>
      </c>
      <c r="D1949" t="s">
        <v>37911</v>
      </c>
      <c r="E1949" t="s">
        <v>37912</v>
      </c>
      <c r="F1949" t="s">
        <v>37913</v>
      </c>
      <c r="G1949" t="s">
        <v>37914</v>
      </c>
      <c r="H1949" t="s">
        <v>37915</v>
      </c>
      <c r="I1949" t="s">
        <v>37916</v>
      </c>
      <c r="J1949" t="s">
        <v>37917</v>
      </c>
      <c r="K1949" t="s">
        <v>37918</v>
      </c>
      <c r="L1949" t="s">
        <v>37919</v>
      </c>
      <c r="M1949" t="s">
        <v>37920</v>
      </c>
      <c r="N1949" t="s">
        <v>37921</v>
      </c>
      <c r="O1949">
        <f>-658.284218895694 -129.545052545621 -521.008481995862</f>
        <v>-1308.8377534371771</v>
      </c>
      <c r="P1949">
        <f>-585.45597631534 -175.049720306771 -252.300602632531</f>
        <v>-1012.8062992546419</v>
      </c>
      <c r="Q1949">
        <f>-437.232232522604 -98.0153462645792 -413.682010139773</f>
        <v>-948.92958892695628</v>
      </c>
      <c r="R1949" t="s">
        <v>37922</v>
      </c>
      <c r="S1949" t="s">
        <v>37923</v>
      </c>
      <c r="T1949" t="s">
        <v>37924</v>
      </c>
      <c r="U1949" t="s">
        <v>37925</v>
      </c>
      <c r="V1949">
        <f>-585.134947049646 -53.057437765485 -91.8440303717956</f>
        <v>-730.03641518692666</v>
      </c>
      <c r="W1949" t="s">
        <v>37926</v>
      </c>
      <c r="X1949" t="s">
        <v>37927</v>
      </c>
      <c r="Y1949" t="s">
        <v>37928</v>
      </c>
    </row>
    <row r="1950" spans="1:25" x14ac:dyDescent="0.3">
      <c r="A1950">
        <v>97450</v>
      </c>
      <c r="B1950" t="s">
        <v>37929</v>
      </c>
      <c r="C1950" t="s">
        <v>37930</v>
      </c>
      <c r="D1950" t="s">
        <v>37931</v>
      </c>
      <c r="E1950" t="s">
        <v>37932</v>
      </c>
      <c r="F1950" t="s">
        <v>37933</v>
      </c>
      <c r="G1950" t="s">
        <v>37934</v>
      </c>
      <c r="H1950" t="s">
        <v>37935</v>
      </c>
      <c r="I1950" t="s">
        <v>37936</v>
      </c>
      <c r="J1950" t="s">
        <v>37937</v>
      </c>
      <c r="K1950" t="s">
        <v>37938</v>
      </c>
      <c r="L1950" t="s">
        <v>37939</v>
      </c>
      <c r="M1950" t="s">
        <v>37940</v>
      </c>
      <c r="N1950" t="s">
        <v>37941</v>
      </c>
      <c r="O1950">
        <f>-658.705734246269 -129.086347356381 -521.098419796964</f>
        <v>-1308.8905013996141</v>
      </c>
      <c r="P1950">
        <f>-585.79344551612 -174.814664154641 -252.451185107308</f>
        <v>-1013.059294778069</v>
      </c>
      <c r="Q1950">
        <f>-437.612869997195 -97.7601908813376 -413.862608889031</f>
        <v>-949.23566976756354</v>
      </c>
      <c r="R1950" t="s">
        <v>37942</v>
      </c>
      <c r="S1950" t="s">
        <v>37943</v>
      </c>
      <c r="T1950" t="s">
        <v>37944</v>
      </c>
      <c r="U1950" t="s">
        <v>37945</v>
      </c>
      <c r="V1950">
        <f>-585.412375852163 -52.8332121487131 -91.8550217181315</f>
        <v>-730.10060971900759</v>
      </c>
      <c r="W1950" t="s">
        <v>37946</v>
      </c>
      <c r="X1950" t="s">
        <v>37947</v>
      </c>
      <c r="Y1950" t="s">
        <v>37948</v>
      </c>
    </row>
    <row r="1951" spans="1:25" x14ac:dyDescent="0.3">
      <c r="A1951">
        <v>97500</v>
      </c>
      <c r="B1951" t="s">
        <v>37949</v>
      </c>
      <c r="C1951" t="s">
        <v>37950</v>
      </c>
      <c r="D1951" t="s">
        <v>37951</v>
      </c>
      <c r="E1951" t="s">
        <v>37952</v>
      </c>
      <c r="F1951" t="s">
        <v>37953</v>
      </c>
      <c r="G1951" t="s">
        <v>37954</v>
      </c>
      <c r="H1951" t="s">
        <v>37955</v>
      </c>
      <c r="I1951" t="s">
        <v>37956</v>
      </c>
      <c r="J1951" t="s">
        <v>37957</v>
      </c>
      <c r="K1951" t="s">
        <v>37958</v>
      </c>
      <c r="L1951" t="s">
        <v>37959</v>
      </c>
      <c r="M1951" t="s">
        <v>37960</v>
      </c>
      <c r="N1951" t="s">
        <v>37961</v>
      </c>
      <c r="O1951">
        <f>-659.53968400676 -128.229967248366 -521.25341968141</f>
        <v>-1309.023070936536</v>
      </c>
      <c r="P1951">
        <f>-586.432632592912 -174.276325810242 -252.713478888472</f>
        <v>-1013.422437291626</v>
      </c>
      <c r="Q1951">
        <f>-438.287791456547 -97.1914425745031 -414.143212295051</f>
        <v>-949.622446326101</v>
      </c>
      <c r="R1951" t="s">
        <v>37962</v>
      </c>
      <c r="S1951" t="s">
        <v>37963</v>
      </c>
      <c r="T1951" t="s">
        <v>37964</v>
      </c>
      <c r="U1951" t="s">
        <v>37965</v>
      </c>
      <c r="V1951">
        <f>-585.926760691715 -52.5064884636849 -91.8701321111905</f>
        <v>-730.30338126659046</v>
      </c>
      <c r="W1951" t="s">
        <v>37966</v>
      </c>
      <c r="X1951" t="s">
        <v>37967</v>
      </c>
      <c r="Y1951" t="s">
        <v>37968</v>
      </c>
    </row>
    <row r="1952" spans="1:25" x14ac:dyDescent="0.3">
      <c r="A1952">
        <v>97550</v>
      </c>
      <c r="B1952" t="s">
        <v>37969</v>
      </c>
      <c r="C1952" t="s">
        <v>37970</v>
      </c>
      <c r="D1952" t="s">
        <v>37971</v>
      </c>
      <c r="E1952" t="s">
        <v>37972</v>
      </c>
      <c r="F1952" t="s">
        <v>37973</v>
      </c>
      <c r="G1952" t="s">
        <v>37974</v>
      </c>
      <c r="H1952" t="s">
        <v>37975</v>
      </c>
      <c r="I1952" t="s">
        <v>37976</v>
      </c>
      <c r="J1952" t="s">
        <v>37977</v>
      </c>
      <c r="K1952" t="s">
        <v>37978</v>
      </c>
      <c r="L1952" t="s">
        <v>37979</v>
      </c>
      <c r="M1952" t="s">
        <v>37980</v>
      </c>
      <c r="N1952" t="s">
        <v>37981</v>
      </c>
      <c r="O1952">
        <f>-659.87621129312 -127.84041252041 -521.387769009895</f>
        <v>-1309.1043928234251</v>
      </c>
      <c r="P1952">
        <f>-586.803421937733 -174.111098033859 -252.877075960877</f>
        <v>-1013.7915959324689</v>
      </c>
      <c r="Q1952">
        <f>-438.529622235689 -96.8640216114902 -414.110743732574</f>
        <v>-949.50438757975326</v>
      </c>
      <c r="R1952" t="s">
        <v>37982</v>
      </c>
      <c r="S1952" t="s">
        <v>37983</v>
      </c>
      <c r="T1952" t="s">
        <v>37984</v>
      </c>
      <c r="U1952" t="s">
        <v>37985</v>
      </c>
      <c r="V1952">
        <f>-586.241032119427 -52.4764372794282 -91.8780892972038</f>
        <v>-730.59555869605902</v>
      </c>
      <c r="W1952" t="s">
        <v>37986</v>
      </c>
      <c r="X1952" t="s">
        <v>37987</v>
      </c>
      <c r="Y1952" t="s">
        <v>37988</v>
      </c>
    </row>
    <row r="1953" spans="1:25" x14ac:dyDescent="0.3">
      <c r="A1953">
        <v>97600</v>
      </c>
      <c r="B1953" t="s">
        <v>37989</v>
      </c>
      <c r="C1953" t="s">
        <v>37990</v>
      </c>
      <c r="D1953" t="s">
        <v>37991</v>
      </c>
      <c r="E1953" t="s">
        <v>37992</v>
      </c>
      <c r="F1953" t="s">
        <v>37993</v>
      </c>
      <c r="G1953" t="s">
        <v>37994</v>
      </c>
      <c r="H1953" t="s">
        <v>37995</v>
      </c>
      <c r="I1953" t="s">
        <v>37996</v>
      </c>
      <c r="J1953" t="s">
        <v>37997</v>
      </c>
      <c r="K1953" t="s">
        <v>37998</v>
      </c>
      <c r="L1953" t="s">
        <v>37999</v>
      </c>
      <c r="M1953" t="s">
        <v>38000</v>
      </c>
      <c r="N1953" t="s">
        <v>38001</v>
      </c>
      <c r="O1953">
        <f>-660.312131573695 -127.108493435144 -521.66800022728</f>
        <v>-1309.0886252361188</v>
      </c>
      <c r="P1953">
        <f>-587.418204340908 -173.953817215039 -253.208382902027</f>
        <v>-1014.5804044579739</v>
      </c>
      <c r="Q1953">
        <f>-438.72759042923 -96.2520236469172 -413.838605055905</f>
        <v>-948.81821913205226</v>
      </c>
      <c r="R1953" t="s">
        <v>38002</v>
      </c>
      <c r="S1953" t="s">
        <v>38003</v>
      </c>
      <c r="T1953" t="s">
        <v>38004</v>
      </c>
      <c r="U1953" t="s">
        <v>38005</v>
      </c>
      <c r="V1953">
        <f>-586.814652048979 -52.4485220639715 -91.925193618051</f>
        <v>-731.18836773100156</v>
      </c>
      <c r="W1953" t="s">
        <v>38006</v>
      </c>
      <c r="X1953" t="s">
        <v>38007</v>
      </c>
      <c r="Y1953" t="s">
        <v>38008</v>
      </c>
    </row>
    <row r="1954" spans="1:25" x14ac:dyDescent="0.3">
      <c r="A1954">
        <v>97650</v>
      </c>
      <c r="B1954" t="s">
        <v>38009</v>
      </c>
      <c r="C1954" t="s">
        <v>38010</v>
      </c>
      <c r="D1954" t="s">
        <v>38011</v>
      </c>
      <c r="E1954" t="s">
        <v>38012</v>
      </c>
      <c r="F1954" t="s">
        <v>38013</v>
      </c>
      <c r="G1954" t="s">
        <v>38014</v>
      </c>
      <c r="H1954" t="s">
        <v>38015</v>
      </c>
      <c r="I1954" t="s">
        <v>38016</v>
      </c>
      <c r="J1954" t="s">
        <v>38017</v>
      </c>
      <c r="K1954" t="s">
        <v>38018</v>
      </c>
      <c r="L1954" t="s">
        <v>38019</v>
      </c>
      <c r="M1954" t="s">
        <v>38020</v>
      </c>
      <c r="N1954" t="s">
        <v>38021</v>
      </c>
      <c r="O1954">
        <f>-660.620373641052 -126.781824906346 -521.726416945534</f>
        <v>-1309.1286154929321</v>
      </c>
      <c r="P1954">
        <f>-587.788982890638 -173.745334572911 -253.270404124798</f>
        <v>-1014.804721588347</v>
      </c>
      <c r="Q1954">
        <f>-438.861300189494 -95.930511193005 -413.626009806944</f>
        <v>-948.41782118944298</v>
      </c>
      <c r="R1954" t="s">
        <v>38022</v>
      </c>
      <c r="S1954" t="s">
        <v>38023</v>
      </c>
      <c r="T1954" t="s">
        <v>38024</v>
      </c>
      <c r="U1954" t="s">
        <v>38025</v>
      </c>
      <c r="V1954">
        <f>-587.082490814057 -52.4109584854343 -91.9457086124394</f>
        <v>-731.43915791193069</v>
      </c>
      <c r="W1954" t="s">
        <v>38026</v>
      </c>
      <c r="X1954" t="s">
        <v>38027</v>
      </c>
      <c r="Y1954" t="s">
        <v>38028</v>
      </c>
    </row>
    <row r="1955" spans="1:25" x14ac:dyDescent="0.3">
      <c r="A1955">
        <v>97700</v>
      </c>
      <c r="B1955" t="s">
        <v>38029</v>
      </c>
      <c r="C1955" t="s">
        <v>38030</v>
      </c>
      <c r="D1955" t="s">
        <v>38031</v>
      </c>
      <c r="E1955" t="s">
        <v>38032</v>
      </c>
      <c r="F1955" t="s">
        <v>38033</v>
      </c>
      <c r="G1955" t="s">
        <v>38034</v>
      </c>
      <c r="H1955" t="s">
        <v>38035</v>
      </c>
      <c r="I1955" t="s">
        <v>38036</v>
      </c>
      <c r="J1955" t="s">
        <v>38037</v>
      </c>
      <c r="K1955" t="s">
        <v>38038</v>
      </c>
      <c r="L1955" t="s">
        <v>38039</v>
      </c>
      <c r="M1955" t="s">
        <v>38040</v>
      </c>
      <c r="N1955" t="s">
        <v>38041</v>
      </c>
      <c r="O1955">
        <f>-661.499834727024 -126.585801450957 -521.768037941895</f>
        <v>-1309.8536741198759</v>
      </c>
      <c r="P1955">
        <f>-588.517253229751 -173.521065557298 -253.348298564286</f>
        <v>-1015.386617351335</v>
      </c>
      <c r="Q1955">
        <f>-438.891232492677 -95.8301277557782 -413.112787437761</f>
        <v>-947.83414768621628</v>
      </c>
      <c r="R1955" t="s">
        <v>38042</v>
      </c>
      <c r="S1955" t="s">
        <v>38043</v>
      </c>
      <c r="T1955" t="s">
        <v>38044</v>
      </c>
      <c r="U1955" t="s">
        <v>38045</v>
      </c>
      <c r="V1955">
        <f>-587.433232121188 -52.3831593757668 -91.9726796353602</f>
        <v>-731.78907113231503</v>
      </c>
      <c r="W1955" t="s">
        <v>38046</v>
      </c>
      <c r="X1955" t="s">
        <v>38047</v>
      </c>
      <c r="Y1955" t="s">
        <v>38048</v>
      </c>
    </row>
    <row r="1956" spans="1:25" x14ac:dyDescent="0.3">
      <c r="A1956">
        <v>97750</v>
      </c>
      <c r="B1956" t="s">
        <v>38049</v>
      </c>
      <c r="C1956" t="s">
        <v>38050</v>
      </c>
      <c r="D1956" t="s">
        <v>38051</v>
      </c>
      <c r="E1956" t="s">
        <v>38052</v>
      </c>
      <c r="F1956" t="s">
        <v>38053</v>
      </c>
      <c r="G1956" t="s">
        <v>38054</v>
      </c>
      <c r="H1956" t="s">
        <v>38055</v>
      </c>
      <c r="I1956" t="s">
        <v>38056</v>
      </c>
      <c r="J1956" t="s">
        <v>38057</v>
      </c>
      <c r="K1956" t="s">
        <v>38058</v>
      </c>
      <c r="L1956" t="s">
        <v>38059</v>
      </c>
      <c r="M1956" t="s">
        <v>38060</v>
      </c>
      <c r="N1956" t="s">
        <v>38061</v>
      </c>
      <c r="O1956">
        <f>-661.878661745048 -126.552120867106 -521.798264229069</f>
        <v>-1310.229046841223</v>
      </c>
      <c r="P1956">
        <f>-588.996580276022 -173.481832190575 -253.350101549561</f>
        <v>-1015.828514016158</v>
      </c>
      <c r="Q1956">
        <f>-439.052722062443 -95.9104683225278 -412.874627454761</f>
        <v>-947.83781783973188</v>
      </c>
      <c r="R1956" t="s">
        <v>38062</v>
      </c>
      <c r="S1956" t="s">
        <v>38063</v>
      </c>
      <c r="T1956" t="s">
        <v>38064</v>
      </c>
      <c r="U1956" t="s">
        <v>38065</v>
      </c>
      <c r="V1956">
        <f>-587.589718854652 -52.3881236958682 -91.9783921683696</f>
        <v>-731.95623471888985</v>
      </c>
      <c r="W1956" t="s">
        <v>38066</v>
      </c>
      <c r="X1956" t="s">
        <v>38067</v>
      </c>
      <c r="Y1956" t="s">
        <v>38068</v>
      </c>
    </row>
    <row r="1957" spans="1:25" x14ac:dyDescent="0.3">
      <c r="A1957">
        <v>97800</v>
      </c>
      <c r="B1957" t="s">
        <v>38069</v>
      </c>
      <c r="C1957" t="s">
        <v>38070</v>
      </c>
      <c r="D1957" t="s">
        <v>38071</v>
      </c>
      <c r="E1957" t="s">
        <v>38072</v>
      </c>
      <c r="F1957" t="s">
        <v>38073</v>
      </c>
      <c r="G1957" t="s">
        <v>38074</v>
      </c>
      <c r="H1957" t="s">
        <v>38075</v>
      </c>
      <c r="I1957" t="s">
        <v>38076</v>
      </c>
      <c r="J1957" t="s">
        <v>38077</v>
      </c>
      <c r="K1957" t="s">
        <v>38078</v>
      </c>
      <c r="L1957" t="s">
        <v>38079</v>
      </c>
      <c r="M1957" t="s">
        <v>38080</v>
      </c>
      <c r="N1957" t="s">
        <v>38081</v>
      </c>
      <c r="O1957">
        <f>-662.469172069732 -126.131163369148 -521.833113864894</f>
        <v>-1310.4334493037741</v>
      </c>
      <c r="P1957">
        <f>-589.843455907029 -173.255889280421 -253.34972852627</f>
        <v>-1016.4490737137201</v>
      </c>
      <c r="Q1957">
        <f>-439.767915785032 -95.8337809344516 -412.822796349987</f>
        <v>-948.4244930694706</v>
      </c>
      <c r="R1957" t="s">
        <v>38082</v>
      </c>
      <c r="S1957" t="s">
        <v>38083</v>
      </c>
      <c r="T1957" t="s">
        <v>38084</v>
      </c>
      <c r="U1957" t="s">
        <v>38085</v>
      </c>
      <c r="V1957">
        <f>-587.946518491866 -52.2161812692104 -91.950756485138</f>
        <v>-732.11345624621435</v>
      </c>
      <c r="W1957" t="s">
        <v>38086</v>
      </c>
      <c r="X1957" t="s">
        <v>38087</v>
      </c>
      <c r="Y1957" t="s">
        <v>38088</v>
      </c>
    </row>
    <row r="1958" spans="1:25" x14ac:dyDescent="0.3">
      <c r="A1958">
        <v>97850</v>
      </c>
      <c r="B1958" t="s">
        <v>38089</v>
      </c>
      <c r="C1958" t="s">
        <v>38090</v>
      </c>
      <c r="D1958" t="s">
        <v>38091</v>
      </c>
      <c r="E1958" t="s">
        <v>38092</v>
      </c>
      <c r="F1958" t="s">
        <v>38093</v>
      </c>
      <c r="G1958" t="s">
        <v>38094</v>
      </c>
      <c r="H1958" t="s">
        <v>38095</v>
      </c>
      <c r="I1958" t="s">
        <v>38096</v>
      </c>
      <c r="J1958" t="s">
        <v>38097</v>
      </c>
      <c r="K1958" t="s">
        <v>38098</v>
      </c>
      <c r="L1958" t="s">
        <v>38099</v>
      </c>
      <c r="M1958" t="s">
        <v>38100</v>
      </c>
      <c r="N1958" t="s">
        <v>38101</v>
      </c>
      <c r="O1958">
        <f>-662.831318274793 -125.869948829328 -521.850783909329</f>
        <v>-1310.5520510134502</v>
      </c>
      <c r="P1958">
        <f>-590.051319576732 -173.222980763004 -253.449444051227</f>
        <v>-1016.723744390963</v>
      </c>
      <c r="Q1958">
        <f>-439.871094117189 -95.8383936138305 -412.842170676782</f>
        <v>-948.5516584078016</v>
      </c>
      <c r="R1958" t="s">
        <v>38102</v>
      </c>
      <c r="S1958" t="s">
        <v>38103</v>
      </c>
      <c r="T1958" t="s">
        <v>38104</v>
      </c>
      <c r="U1958" t="s">
        <v>38105</v>
      </c>
      <c r="V1958">
        <f>-588.081282258303 -52.1184252949793 -91.9309009478419</f>
        <v>-732.13060850112413</v>
      </c>
      <c r="W1958" t="s">
        <v>38106</v>
      </c>
      <c r="X1958" t="s">
        <v>38107</v>
      </c>
      <c r="Y1958" t="s">
        <v>38108</v>
      </c>
    </row>
    <row r="1959" spans="1:25" x14ac:dyDescent="0.3">
      <c r="A1959">
        <v>97900</v>
      </c>
      <c r="B1959" t="s">
        <v>38109</v>
      </c>
      <c r="C1959" t="s">
        <v>38110</v>
      </c>
      <c r="D1959" t="s">
        <v>38111</v>
      </c>
      <c r="E1959" t="s">
        <v>38112</v>
      </c>
      <c r="F1959" t="s">
        <v>38113</v>
      </c>
      <c r="G1959" t="s">
        <v>38114</v>
      </c>
      <c r="H1959" t="s">
        <v>38115</v>
      </c>
      <c r="I1959" t="s">
        <v>38116</v>
      </c>
      <c r="J1959" t="s">
        <v>38117</v>
      </c>
      <c r="K1959" t="s">
        <v>38118</v>
      </c>
      <c r="L1959" t="s">
        <v>38119</v>
      </c>
      <c r="M1959" t="s">
        <v>38120</v>
      </c>
      <c r="N1959" t="s">
        <v>38121</v>
      </c>
      <c r="O1959">
        <f>-663.538663810257 -125.459584426766 -521.848547881997</f>
        <v>-1310.8467961190199</v>
      </c>
      <c r="P1959">
        <f>-590.359271191897 -172.976491429722 -253.584720415131</f>
        <v>-1016.9204830367501</v>
      </c>
      <c r="Q1959">
        <f>-439.274419059645 -96.3422779629468 -412.484297757849</f>
        <v>-948.10099478044071</v>
      </c>
      <c r="R1959" t="s">
        <v>38122</v>
      </c>
      <c r="S1959" t="s">
        <v>38123</v>
      </c>
      <c r="T1959" t="s">
        <v>38124</v>
      </c>
      <c r="U1959" t="s">
        <v>38125</v>
      </c>
      <c r="V1959">
        <f>-588.177881117691 -51.8933459261782 -91.899053865928</f>
        <v>-731.97028090979711</v>
      </c>
      <c r="W1959" t="s">
        <v>38126</v>
      </c>
      <c r="X1959" t="s">
        <v>38127</v>
      </c>
      <c r="Y1959" t="s">
        <v>38128</v>
      </c>
    </row>
    <row r="1960" spans="1:25" x14ac:dyDescent="0.3">
      <c r="A1960">
        <v>97950</v>
      </c>
      <c r="B1960" t="s">
        <v>38129</v>
      </c>
      <c r="C1960" t="s">
        <v>38130</v>
      </c>
      <c r="D1960" t="s">
        <v>38131</v>
      </c>
      <c r="E1960" t="s">
        <v>38132</v>
      </c>
      <c r="F1960" t="s">
        <v>38133</v>
      </c>
      <c r="G1960" t="s">
        <v>38134</v>
      </c>
      <c r="H1960" t="s">
        <v>38135</v>
      </c>
      <c r="I1960" t="s">
        <v>38136</v>
      </c>
      <c r="J1960" t="s">
        <v>38137</v>
      </c>
      <c r="K1960" t="s">
        <v>38138</v>
      </c>
      <c r="L1960" t="s">
        <v>38139</v>
      </c>
      <c r="M1960" t="s">
        <v>38140</v>
      </c>
      <c r="N1960" t="s">
        <v>38141</v>
      </c>
      <c r="O1960">
        <f>-663.865068761284 -125.298261396816 -521.824464097592</f>
        <v>-1310.9877942556918</v>
      </c>
      <c r="P1960">
        <f>-590.482840116322 -172.733685622263 -253.601602680831</f>
        <v>-1016.818128419416</v>
      </c>
      <c r="Q1960">
        <f>-438.891811604483 -96.6105414651192 -412.264716419122</f>
        <v>-947.76706948872425</v>
      </c>
      <c r="R1960" t="s">
        <v>38142</v>
      </c>
      <c r="S1960" t="s">
        <v>38143</v>
      </c>
      <c r="T1960" t="s">
        <v>38144</v>
      </c>
      <c r="U1960" t="s">
        <v>38145</v>
      </c>
      <c r="V1960">
        <f>-588.172647844805 -51.8004867040156 -91.8795110192355</f>
        <v>-731.85264556805612</v>
      </c>
      <c r="W1960" t="s">
        <v>38146</v>
      </c>
      <c r="X1960" t="s">
        <v>38147</v>
      </c>
      <c r="Y1960" t="s">
        <v>38148</v>
      </c>
    </row>
    <row r="1961" spans="1:25" x14ac:dyDescent="0.3">
      <c r="A1961">
        <v>98000</v>
      </c>
      <c r="B1961" t="s">
        <v>38149</v>
      </c>
      <c r="C1961" t="s">
        <v>38150</v>
      </c>
      <c r="D1961" t="s">
        <v>38151</v>
      </c>
      <c r="E1961" t="s">
        <v>38152</v>
      </c>
      <c r="F1961" t="s">
        <v>38153</v>
      </c>
      <c r="G1961" t="s">
        <v>38154</v>
      </c>
      <c r="H1961" t="s">
        <v>38155</v>
      </c>
      <c r="I1961" t="s">
        <v>38156</v>
      </c>
      <c r="J1961" t="s">
        <v>38157</v>
      </c>
      <c r="K1961" t="s">
        <v>38158</v>
      </c>
      <c r="L1961" t="s">
        <v>38159</v>
      </c>
      <c r="M1961" t="s">
        <v>38160</v>
      </c>
      <c r="N1961" t="s">
        <v>38161</v>
      </c>
      <c r="O1961">
        <f>-664.639431426832 -124.965409029094 -521.715728455954</f>
        <v>-1311.3205689118799</v>
      </c>
      <c r="P1961">
        <f>-590.905152291177 -172.142401371237 -253.54385545491</f>
        <v>-1016.591409117324</v>
      </c>
      <c r="Q1961">
        <f>-438.578874944087 -96.5926930386047 -411.776121618491</f>
        <v>-946.94768960118267</v>
      </c>
      <c r="R1961" t="s">
        <v>38162</v>
      </c>
      <c r="S1961" t="s">
        <v>38163</v>
      </c>
      <c r="T1961" t="s">
        <v>38164</v>
      </c>
      <c r="U1961" t="s">
        <v>38165</v>
      </c>
      <c r="V1961">
        <f>-588.029404379374 -51.646584241468 -91.8338416930337</f>
        <v>-731.50983031387568</v>
      </c>
      <c r="W1961" t="s">
        <v>38166</v>
      </c>
      <c r="X1961" t="s">
        <v>38167</v>
      </c>
      <c r="Y1961" t="s">
        <v>38168</v>
      </c>
    </row>
    <row r="1962" spans="1:25" x14ac:dyDescent="0.3">
      <c r="A1962">
        <v>98050</v>
      </c>
      <c r="B1962" t="s">
        <v>38169</v>
      </c>
      <c r="C1962" t="s">
        <v>38170</v>
      </c>
      <c r="D1962" t="s">
        <v>38171</v>
      </c>
      <c r="E1962" t="s">
        <v>38172</v>
      </c>
      <c r="F1962" t="s">
        <v>38173</v>
      </c>
      <c r="G1962" t="s">
        <v>38174</v>
      </c>
      <c r="H1962" t="s">
        <v>38175</v>
      </c>
      <c r="I1962" t="s">
        <v>38176</v>
      </c>
      <c r="J1962" t="s">
        <v>38177</v>
      </c>
      <c r="K1962" t="s">
        <v>38178</v>
      </c>
      <c r="L1962" t="s">
        <v>38179</v>
      </c>
      <c r="M1962" t="s">
        <v>38180</v>
      </c>
      <c r="N1962" t="s">
        <v>38181</v>
      </c>
      <c r="O1962">
        <f>-664.990656673087 -124.883658365039 -521.65633466373</f>
        <v>-1311.530649701856</v>
      </c>
      <c r="P1962">
        <f>-591.090581538882 -172.044455792679 -253.527304686921</f>
        <v>-1016.6623420184821</v>
      </c>
      <c r="Q1962">
        <f>-438.621025039637 -96.4925920646997 -411.620578410651</f>
        <v>-946.73419551498773</v>
      </c>
      <c r="R1962" t="s">
        <v>38182</v>
      </c>
      <c r="S1962" t="s">
        <v>38183</v>
      </c>
      <c r="T1962" t="s">
        <v>38184</v>
      </c>
      <c r="U1962" t="s">
        <v>38185</v>
      </c>
      <c r="V1962">
        <f>-587.942139047875 -51.6146301495189 -91.8150675153813</f>
        <v>-731.37183671277523</v>
      </c>
      <c r="W1962" t="s">
        <v>38186</v>
      </c>
      <c r="X1962" t="s">
        <v>38187</v>
      </c>
      <c r="Y1962" t="s">
        <v>38188</v>
      </c>
    </row>
    <row r="1963" spans="1:25" x14ac:dyDescent="0.3">
      <c r="A1963">
        <v>98100</v>
      </c>
      <c r="B1963" t="s">
        <v>38189</v>
      </c>
      <c r="C1963" t="s">
        <v>38190</v>
      </c>
      <c r="D1963" t="s">
        <v>38191</v>
      </c>
      <c r="E1963" t="s">
        <v>38192</v>
      </c>
      <c r="F1963" t="s">
        <v>38193</v>
      </c>
      <c r="G1963" t="s">
        <v>38194</v>
      </c>
      <c r="H1963" t="s">
        <v>38195</v>
      </c>
      <c r="I1963" t="s">
        <v>38196</v>
      </c>
      <c r="J1963" t="s">
        <v>38197</v>
      </c>
      <c r="K1963" t="s">
        <v>38198</v>
      </c>
      <c r="L1963" t="s">
        <v>38199</v>
      </c>
      <c r="M1963" t="s">
        <v>38200</v>
      </c>
      <c r="N1963" t="s">
        <v>38201</v>
      </c>
      <c r="O1963">
        <f>-665.642719387084 -124.67754747052 -521.415234439844</f>
        <v>-1311.7355012974481</v>
      </c>
      <c r="P1963">
        <f>-591.287086104974 -171.719554166388 -253.391282635384</f>
        <v>-1016.397922906746</v>
      </c>
      <c r="Q1963">
        <f>-438.972091203346 -96.1568785071704 -411.628358369763</f>
        <v>-946.75732808027942</v>
      </c>
      <c r="R1963" t="s">
        <v>38202</v>
      </c>
      <c r="S1963" t="s">
        <v>38203</v>
      </c>
      <c r="T1963" t="s">
        <v>38204</v>
      </c>
      <c r="U1963" t="s">
        <v>38205</v>
      </c>
      <c r="V1963">
        <f>-587.779290616887 -51.5615932573903 -91.7497824350354</f>
        <v>-731.09066630931272</v>
      </c>
      <c r="W1963" t="s">
        <v>38206</v>
      </c>
      <c r="X1963" t="s">
        <v>38207</v>
      </c>
      <c r="Y1963" t="s">
        <v>38208</v>
      </c>
    </row>
    <row r="1964" spans="1:25" x14ac:dyDescent="0.3">
      <c r="A1964">
        <v>98150</v>
      </c>
      <c r="B1964" t="s">
        <v>38209</v>
      </c>
      <c r="C1964" t="s">
        <v>38210</v>
      </c>
      <c r="D1964" t="s">
        <v>38211</v>
      </c>
      <c r="E1964" t="s">
        <v>38212</v>
      </c>
      <c r="F1964" t="s">
        <v>38213</v>
      </c>
      <c r="G1964" t="s">
        <v>38214</v>
      </c>
      <c r="H1964" t="s">
        <v>38215</v>
      </c>
      <c r="I1964" t="s">
        <v>38216</v>
      </c>
      <c r="J1964" t="s">
        <v>38217</v>
      </c>
      <c r="K1964" t="s">
        <v>38218</v>
      </c>
      <c r="L1964" t="s">
        <v>38219</v>
      </c>
      <c r="M1964" t="s">
        <v>38220</v>
      </c>
      <c r="N1964" t="s">
        <v>38221</v>
      </c>
      <c r="O1964">
        <f>-665.85632042835 -124.60907005051 -521.324159926128</f>
        <v>-1311.7895504049879</v>
      </c>
      <c r="P1964">
        <f>-591.285235759772 -171.790153639625 -253.384370012362</f>
        <v>-1016.459759411759</v>
      </c>
      <c r="Q1964">
        <f>-439.255951591266 -96.0927902532558 -411.831621887377</f>
        <v>-947.18036373189875</v>
      </c>
      <c r="R1964" t="s">
        <v>38222</v>
      </c>
      <c r="S1964" t="s">
        <v>38223</v>
      </c>
      <c r="T1964" t="s">
        <v>38224</v>
      </c>
      <c r="U1964" t="s">
        <v>38225</v>
      </c>
      <c r="V1964">
        <f>-587.631960174424 -51.5471670356096 -91.7217439734927</f>
        <v>-730.90087118352631</v>
      </c>
      <c r="W1964" t="s">
        <v>38226</v>
      </c>
      <c r="X1964" t="s">
        <v>38227</v>
      </c>
      <c r="Y1964" t="s">
        <v>38228</v>
      </c>
    </row>
    <row r="1965" spans="1:25" x14ac:dyDescent="0.3">
      <c r="A1965">
        <v>98200</v>
      </c>
      <c r="B1965" t="s">
        <v>38229</v>
      </c>
      <c r="C1965" t="s">
        <v>38230</v>
      </c>
      <c r="D1965" t="s">
        <v>38231</v>
      </c>
      <c r="E1965" t="s">
        <v>38232</v>
      </c>
      <c r="F1965" t="s">
        <v>38233</v>
      </c>
      <c r="G1965" t="s">
        <v>38234</v>
      </c>
      <c r="H1965" t="s">
        <v>38235</v>
      </c>
      <c r="I1965" t="s">
        <v>38236</v>
      </c>
      <c r="J1965" t="s">
        <v>38237</v>
      </c>
      <c r="K1965" t="s">
        <v>38238</v>
      </c>
      <c r="L1965" t="s">
        <v>38239</v>
      </c>
      <c r="M1965" t="s">
        <v>38240</v>
      </c>
      <c r="N1965" t="s">
        <v>38241</v>
      </c>
      <c r="O1965">
        <f>-666.146757059245 -124.440142439345 -521.178848724976</f>
        <v>-1311.7657482235659</v>
      </c>
      <c r="P1965">
        <f>-591.224499909189 -171.59463211724 -253.33261842872</f>
        <v>-1016.1517504551491</v>
      </c>
      <c r="Q1965">
        <f>-439.355815999847 -96.0715339481358 -412.016688094391</f>
        <v>-947.44403804237368</v>
      </c>
      <c r="R1965" t="s">
        <v>38242</v>
      </c>
      <c r="S1965" t="s">
        <v>38243</v>
      </c>
      <c r="T1965" t="s">
        <v>38244</v>
      </c>
      <c r="U1965" t="s">
        <v>38245</v>
      </c>
      <c r="V1965">
        <f>-587.263698585859 -51.4644876484679 -91.6538525968249</f>
        <v>-730.3820388311517</v>
      </c>
      <c r="W1965" t="s">
        <v>38246</v>
      </c>
      <c r="X1965" t="s">
        <v>38247</v>
      </c>
      <c r="Y1965" t="s">
        <v>38248</v>
      </c>
    </row>
    <row r="1966" spans="1:25" x14ac:dyDescent="0.3">
      <c r="A1966">
        <v>98250</v>
      </c>
      <c r="B1966" t="s">
        <v>38249</v>
      </c>
      <c r="C1966" t="s">
        <v>38250</v>
      </c>
      <c r="D1966" t="s">
        <v>38251</v>
      </c>
      <c r="E1966" t="s">
        <v>38252</v>
      </c>
      <c r="F1966" t="s">
        <v>38253</v>
      </c>
      <c r="G1966" t="s">
        <v>38254</v>
      </c>
      <c r="H1966" t="s">
        <v>38255</v>
      </c>
      <c r="I1966" t="s">
        <v>38256</v>
      </c>
      <c r="J1966" t="s">
        <v>38257</v>
      </c>
      <c r="K1966" t="s">
        <v>38258</v>
      </c>
      <c r="L1966" t="s">
        <v>38259</v>
      </c>
      <c r="M1966" t="s">
        <v>38260</v>
      </c>
      <c r="N1966" t="s">
        <v>38261</v>
      </c>
      <c r="O1966">
        <f>-666.342730759426 -124.346558193133 -521.10244299471</f>
        <v>-1311.791731947269</v>
      </c>
      <c r="P1966">
        <f>-591.152946288479 -171.465586131038 -253.324706877979</f>
        <v>-1015.943239297496</v>
      </c>
      <c r="Q1966">
        <f>-439.429147042993 -95.9377215538607 -412.145438236254</f>
        <v>-947.51230683310769</v>
      </c>
      <c r="R1966" t="s">
        <v>38262</v>
      </c>
      <c r="S1966" t="s">
        <v>38263</v>
      </c>
      <c r="T1966" t="s">
        <v>38264</v>
      </c>
      <c r="U1966" t="s">
        <v>38265</v>
      </c>
      <c r="V1966">
        <f>-587.00378658555 -51.3196180670566 -91.6214473949877</f>
        <v>-729.94485204759428</v>
      </c>
      <c r="W1966" t="s">
        <v>38266</v>
      </c>
      <c r="X1966" t="s">
        <v>38267</v>
      </c>
      <c r="Y1966" t="s">
        <v>38268</v>
      </c>
    </row>
    <row r="1967" spans="1:25" x14ac:dyDescent="0.3">
      <c r="A1967">
        <v>98300</v>
      </c>
      <c r="B1967" t="s">
        <v>38269</v>
      </c>
      <c r="C1967" t="s">
        <v>38270</v>
      </c>
      <c r="D1967" t="s">
        <v>38271</v>
      </c>
      <c r="E1967" t="s">
        <v>38272</v>
      </c>
      <c r="F1967" t="s">
        <v>38273</v>
      </c>
      <c r="G1967" t="s">
        <v>38274</v>
      </c>
      <c r="H1967" t="s">
        <v>38275</v>
      </c>
      <c r="I1967" t="s">
        <v>38276</v>
      </c>
      <c r="J1967" t="s">
        <v>38277</v>
      </c>
      <c r="K1967" t="s">
        <v>38278</v>
      </c>
      <c r="L1967" t="s">
        <v>38279</v>
      </c>
      <c r="M1967" t="s">
        <v>38280</v>
      </c>
      <c r="N1967" t="s">
        <v>38281</v>
      </c>
      <c r="O1967">
        <f>-666.625261612396 -123.832225425281 -521.075558823341</f>
        <v>-1311.5330458610179</v>
      </c>
      <c r="P1967">
        <f>-590.704176359881 -171.237201700889 -253.554893160558</f>
        <v>-1015.4962712213279</v>
      </c>
      <c r="Q1967">
        <f>-439.331349958618 -95.2105547662359 -412.472304513238</f>
        <v>-947.01420923809189</v>
      </c>
      <c r="R1967" t="s">
        <v>38282</v>
      </c>
      <c r="S1967" t="s">
        <v>38283</v>
      </c>
      <c r="T1967" t="s">
        <v>38284</v>
      </c>
      <c r="U1967" t="s">
        <v>38285</v>
      </c>
      <c r="V1967">
        <f>-586.455368418307 -50.9499112264971 -91.6145087606481</f>
        <v>-729.01978840545212</v>
      </c>
      <c r="W1967" t="s">
        <v>38286</v>
      </c>
      <c r="X1967" t="s">
        <v>38287</v>
      </c>
      <c r="Y1967" t="s">
        <v>38288</v>
      </c>
    </row>
    <row r="1968" spans="1:25" x14ac:dyDescent="0.3">
      <c r="A1968">
        <v>98350</v>
      </c>
      <c r="B1968" t="s">
        <v>38289</v>
      </c>
      <c r="C1968" t="s">
        <v>38290</v>
      </c>
      <c r="D1968" t="s">
        <v>38291</v>
      </c>
      <c r="E1968" t="s">
        <v>38292</v>
      </c>
      <c r="F1968" t="s">
        <v>38293</v>
      </c>
      <c r="G1968" t="s">
        <v>38294</v>
      </c>
      <c r="H1968" t="s">
        <v>38295</v>
      </c>
      <c r="I1968" t="s">
        <v>38296</v>
      </c>
      <c r="J1968" t="s">
        <v>38297</v>
      </c>
      <c r="K1968" t="s">
        <v>38298</v>
      </c>
      <c r="L1968" t="s">
        <v>38299</v>
      </c>
      <c r="M1968" t="s">
        <v>38300</v>
      </c>
      <c r="N1968" t="s">
        <v>38301</v>
      </c>
      <c r="O1968">
        <f>-666.599252501953 -123.530489905049 -521.182922595458</f>
        <v>-1311.3126650024599</v>
      </c>
      <c r="P1968">
        <f>-590.245398161712 -171.201894153755 -253.832764898074</f>
        <v>-1015.2800572135411</v>
      </c>
      <c r="Q1968">
        <f>-439.267263761158 -94.5310846309844 -412.816255272109</f>
        <v>-946.61460366425149</v>
      </c>
      <c r="R1968" t="s">
        <v>38302</v>
      </c>
      <c r="S1968" t="s">
        <v>38303</v>
      </c>
      <c r="T1968" t="s">
        <v>38304</v>
      </c>
      <c r="U1968" t="s">
        <v>38305</v>
      </c>
      <c r="V1968">
        <f>-586.330614620257 -50.866436689256 -91.6308024388641</f>
        <v>-728.82785374837715</v>
      </c>
      <c r="W1968" t="s">
        <v>38306</v>
      </c>
      <c r="X1968" t="s">
        <v>38307</v>
      </c>
      <c r="Y1968" t="s">
        <v>38308</v>
      </c>
    </row>
    <row r="1969" spans="1:25" x14ac:dyDescent="0.3">
      <c r="A1969">
        <v>98400</v>
      </c>
      <c r="B1969" t="s">
        <v>38309</v>
      </c>
      <c r="C1969" t="s">
        <v>38310</v>
      </c>
      <c r="D1969" t="s">
        <v>38311</v>
      </c>
      <c r="E1969" t="s">
        <v>38312</v>
      </c>
      <c r="F1969" t="s">
        <v>38313</v>
      </c>
      <c r="G1969" t="s">
        <v>38314</v>
      </c>
      <c r="H1969" t="s">
        <v>38315</v>
      </c>
      <c r="I1969" t="s">
        <v>38316</v>
      </c>
      <c r="J1969" t="s">
        <v>38317</v>
      </c>
      <c r="K1969" t="s">
        <v>38318</v>
      </c>
      <c r="L1969" t="s">
        <v>38319</v>
      </c>
      <c r="M1969" t="s">
        <v>38320</v>
      </c>
      <c r="N1969" t="s">
        <v>38321</v>
      </c>
      <c r="O1969">
        <f>-666.34203888185 -122.998668830234 -521.552498599054</f>
        <v>-1310.8932063111381</v>
      </c>
      <c r="P1969">
        <f>-588.516889436101 -171.860657259949 -254.842190389855</f>
        <v>-1015.219737085905</v>
      </c>
      <c r="Q1969">
        <f>-439.12349863981 -92.6751014060253 -414.089865188382</f>
        <v>-945.88846523421739</v>
      </c>
      <c r="R1969" t="s">
        <v>38322</v>
      </c>
      <c r="S1969" t="s">
        <v>38323</v>
      </c>
      <c r="T1969" t="s">
        <v>38324</v>
      </c>
      <c r="U1969" t="s">
        <v>38325</v>
      </c>
      <c r="V1969">
        <f>-586.309261695138 -50.9375171012834 -91.6847337643032</f>
        <v>-728.93151256072474</v>
      </c>
      <c r="W1969" t="s">
        <v>38326</v>
      </c>
      <c r="X1969" t="s">
        <v>38327</v>
      </c>
      <c r="Y1969" t="s">
        <v>38328</v>
      </c>
    </row>
    <row r="1970" spans="1:25" x14ac:dyDescent="0.3">
      <c r="A1970">
        <v>98450</v>
      </c>
      <c r="B1970" t="s">
        <v>38329</v>
      </c>
      <c r="C1970" t="s">
        <v>38330</v>
      </c>
      <c r="D1970" t="s">
        <v>38331</v>
      </c>
      <c r="E1970" t="s">
        <v>38332</v>
      </c>
      <c r="F1970" t="s">
        <v>38333</v>
      </c>
      <c r="G1970" t="s">
        <v>38334</v>
      </c>
      <c r="H1970" t="s">
        <v>38335</v>
      </c>
      <c r="I1970" t="s">
        <v>38336</v>
      </c>
      <c r="J1970" t="s">
        <v>38337</v>
      </c>
      <c r="K1970" t="s">
        <v>38338</v>
      </c>
      <c r="L1970" t="s">
        <v>38339</v>
      </c>
      <c r="M1970" t="s">
        <v>38340</v>
      </c>
      <c r="N1970" t="s">
        <v>38341</v>
      </c>
      <c r="O1970">
        <f>-666.21530312971 -122.789115075971 -521.720389511488</f>
        <v>-1310.7248077171689</v>
      </c>
      <c r="P1970">
        <f>-587.330409601642 -172.621381764293 -255.501519629096</f>
        <v>-1015.4533109950311</v>
      </c>
      <c r="Q1970">
        <f>-439.338409555593 -91.4792184002195 -415.072504624946</f>
        <v>-945.89013258075852</v>
      </c>
      <c r="R1970" t="s">
        <v>38342</v>
      </c>
      <c r="S1970" t="s">
        <v>38343</v>
      </c>
      <c r="T1970" t="s">
        <v>38344</v>
      </c>
      <c r="U1970" t="s">
        <v>38345</v>
      </c>
      <c r="V1970">
        <f>-586.336400783111 -50.9858505569421 -91.7083246650412</f>
        <v>-729.0305760050943</v>
      </c>
      <c r="W1970" t="s">
        <v>38346</v>
      </c>
      <c r="X1970" t="s">
        <v>38347</v>
      </c>
      <c r="Y1970" t="s">
        <v>38348</v>
      </c>
    </row>
    <row r="1971" spans="1:25" x14ac:dyDescent="0.3">
      <c r="A1971">
        <v>98500</v>
      </c>
      <c r="B1971" t="s">
        <v>38349</v>
      </c>
      <c r="C1971" t="s">
        <v>38350</v>
      </c>
      <c r="D1971" t="s">
        <v>38351</v>
      </c>
      <c r="E1971" t="s">
        <v>38352</v>
      </c>
      <c r="F1971" t="s">
        <v>38353</v>
      </c>
      <c r="G1971" t="s">
        <v>38354</v>
      </c>
      <c r="H1971" t="s">
        <v>38355</v>
      </c>
      <c r="I1971" t="s">
        <v>38356</v>
      </c>
      <c r="J1971" t="s">
        <v>38357</v>
      </c>
      <c r="K1971" t="s">
        <v>38358</v>
      </c>
      <c r="L1971" t="s">
        <v>38359</v>
      </c>
      <c r="M1971" t="s">
        <v>38360</v>
      </c>
      <c r="N1971" t="s">
        <v>38361</v>
      </c>
      <c r="O1971">
        <f>-666.060117587051 -122.368248387188 -522.041172716707</f>
        <v>-1310.4695386909461</v>
      </c>
      <c r="P1971">
        <f>-584.173280405942 -174.350519373636 -257.14307444798</f>
        <v>-1015.666874227558</v>
      </c>
      <c r="Q1971">
        <f>-440.170184425552 -88.3704681147226 -417.826255376427</f>
        <v>-946.36690791670162</v>
      </c>
      <c r="R1971" t="s">
        <v>38362</v>
      </c>
      <c r="S1971" t="s">
        <v>38363</v>
      </c>
      <c r="T1971" t="s">
        <v>38364</v>
      </c>
      <c r="U1971" t="s">
        <v>38365</v>
      </c>
      <c r="V1971">
        <f>-586.558796519644 -51.1676005894033 -91.7726020933708</f>
        <v>-729.49899920241808</v>
      </c>
      <c r="W1971" t="s">
        <v>38366</v>
      </c>
      <c r="X1971" t="s">
        <v>38367</v>
      </c>
      <c r="Y1971" t="s">
        <v>38368</v>
      </c>
    </row>
    <row r="1972" spans="1:25" x14ac:dyDescent="0.3">
      <c r="A1972">
        <v>98550</v>
      </c>
      <c r="B1972" t="s">
        <v>38369</v>
      </c>
      <c r="C1972" t="s">
        <v>38370</v>
      </c>
      <c r="D1972" t="s">
        <v>38371</v>
      </c>
      <c r="E1972" t="s">
        <v>38372</v>
      </c>
      <c r="F1972" t="s">
        <v>38373</v>
      </c>
      <c r="G1972" t="s">
        <v>38374</v>
      </c>
      <c r="H1972" t="s">
        <v>38375</v>
      </c>
      <c r="I1972" t="s">
        <v>38376</v>
      </c>
      <c r="J1972" t="s">
        <v>38377</v>
      </c>
      <c r="K1972" t="s">
        <v>38378</v>
      </c>
      <c r="L1972" t="s">
        <v>38379</v>
      </c>
      <c r="M1972" t="s">
        <v>38380</v>
      </c>
      <c r="N1972" t="s">
        <v>38381</v>
      </c>
      <c r="O1972">
        <f>-665.895999645722 -122.080441014749 -522.204949329308</f>
        <v>-1310.1813899897788</v>
      </c>
      <c r="P1972">
        <f>-582.137168435957 -174.945442155073 -258.068039364499</f>
        <v>-1015.150649955529</v>
      </c>
      <c r="Q1972">
        <f>-440.761169991655 -86.156592992033 -419.554425306005</f>
        <v>-946.47218828969301</v>
      </c>
      <c r="R1972" t="s">
        <v>38382</v>
      </c>
      <c r="S1972" t="s">
        <v>38383</v>
      </c>
      <c r="T1972" t="s">
        <v>38384</v>
      </c>
      <c r="U1972" t="s">
        <v>38385</v>
      </c>
      <c r="V1972">
        <f>-586.686660290908 -51.1980806424938 -91.7895049208514</f>
        <v>-729.67424585425317</v>
      </c>
      <c r="W1972" t="s">
        <v>38386</v>
      </c>
      <c r="X1972" t="s">
        <v>38387</v>
      </c>
      <c r="Y1972" t="s">
        <v>38388</v>
      </c>
    </row>
    <row r="1973" spans="1:25" x14ac:dyDescent="0.3">
      <c r="A1973">
        <v>98600</v>
      </c>
      <c r="B1973" t="s">
        <v>38389</v>
      </c>
      <c r="C1973" t="s">
        <v>38390</v>
      </c>
      <c r="D1973" t="s">
        <v>38391</v>
      </c>
      <c r="E1973" t="s">
        <v>38392</v>
      </c>
      <c r="F1973" t="s">
        <v>38393</v>
      </c>
      <c r="G1973" t="s">
        <v>38394</v>
      </c>
      <c r="H1973" t="s">
        <v>38395</v>
      </c>
      <c r="I1973" t="s">
        <v>38396</v>
      </c>
      <c r="J1973" t="s">
        <v>38397</v>
      </c>
      <c r="K1973" t="s">
        <v>38398</v>
      </c>
      <c r="L1973" t="s">
        <v>38399</v>
      </c>
      <c r="M1973" t="s">
        <v>38400</v>
      </c>
      <c r="N1973" t="s">
        <v>38401</v>
      </c>
      <c r="O1973">
        <f>-665.077748911137 -121.410080260157 -522.542163353858</f>
        <v>-1309.029992525152</v>
      </c>
      <c r="P1973">
        <f>-577.156336057559 -176.235910022673 -260.163522466563</f>
        <v>-1013.555768546795</v>
      </c>
      <c r="Q1973">
        <f>-442.362301554802 -80.7373168986981 -423.439649731165</f>
        <v>-946.53926818466505</v>
      </c>
      <c r="R1973" t="s">
        <v>38402</v>
      </c>
      <c r="S1973" t="s">
        <v>38403</v>
      </c>
      <c r="T1973" t="s">
        <v>38404</v>
      </c>
      <c r="U1973" t="s">
        <v>38405</v>
      </c>
      <c r="V1973">
        <f>-586.890430617775 -51.1508373687391 -91.8010098989788</f>
        <v>-729.84227788549288</v>
      </c>
      <c r="W1973" t="s">
        <v>38406</v>
      </c>
      <c r="X1973" t="s">
        <v>38407</v>
      </c>
      <c r="Y1973" t="s">
        <v>38408</v>
      </c>
    </row>
    <row r="1974" spans="1:25" x14ac:dyDescent="0.3">
      <c r="A1974">
        <v>98650</v>
      </c>
      <c r="B1974" t="s">
        <v>38409</v>
      </c>
      <c r="C1974" t="s">
        <v>38410</v>
      </c>
      <c r="D1974" t="s">
        <v>38411</v>
      </c>
      <c r="E1974" t="s">
        <v>38412</v>
      </c>
      <c r="F1974" t="s">
        <v>38413</v>
      </c>
      <c r="G1974" t="s">
        <v>38414</v>
      </c>
      <c r="H1974" t="s">
        <v>38415</v>
      </c>
      <c r="I1974" t="s">
        <v>38416</v>
      </c>
      <c r="J1974" t="s">
        <v>38417</v>
      </c>
      <c r="K1974" t="s">
        <v>38418</v>
      </c>
      <c r="L1974" t="s">
        <v>38419</v>
      </c>
      <c r="M1974" t="s">
        <v>38420</v>
      </c>
      <c r="N1974" t="s">
        <v>38421</v>
      </c>
      <c r="O1974">
        <f>-664.718362497843 -121.043372905424 -522.713223079338</f>
        <v>-1308.474958482605</v>
      </c>
      <c r="P1974">
        <f>-574.411399185424 -176.969074085697 -261.379167981144</f>
        <v>-1012.7596412522651</v>
      </c>
      <c r="Q1974">
        <f>-443.643821357204 -77.3916303123112 -425.490824428013</f>
        <v>-946.52627609752813</v>
      </c>
      <c r="R1974" t="s">
        <v>38422</v>
      </c>
      <c r="S1974" t="s">
        <v>38423</v>
      </c>
      <c r="T1974" t="s">
        <v>38424</v>
      </c>
      <c r="U1974" t="s">
        <v>38425</v>
      </c>
      <c r="V1974">
        <f>-586.956460018858 -51.021723134038 -91.7939739465573</f>
        <v>-729.77215709945335</v>
      </c>
      <c r="W1974" t="s">
        <v>38426</v>
      </c>
      <c r="X1974" t="s">
        <v>38427</v>
      </c>
      <c r="Y1974" t="s">
        <v>38428</v>
      </c>
    </row>
    <row r="1975" spans="1:25" x14ac:dyDescent="0.3">
      <c r="A1975">
        <v>98700</v>
      </c>
      <c r="B1975" t="s">
        <v>38429</v>
      </c>
      <c r="C1975" t="s">
        <v>38430</v>
      </c>
      <c r="D1975" t="s">
        <v>38431</v>
      </c>
      <c r="E1975" t="s">
        <v>38432</v>
      </c>
      <c r="F1975" t="s">
        <v>38433</v>
      </c>
      <c r="G1975" t="s">
        <v>38434</v>
      </c>
      <c r="H1975" t="s">
        <v>38435</v>
      </c>
      <c r="I1975" t="s">
        <v>38436</v>
      </c>
      <c r="J1975" t="s">
        <v>38437</v>
      </c>
      <c r="K1975" t="s">
        <v>38438</v>
      </c>
      <c r="L1975" t="s">
        <v>38439</v>
      </c>
      <c r="M1975" t="s">
        <v>38440</v>
      </c>
      <c r="N1975" t="s">
        <v>38441</v>
      </c>
      <c r="O1975">
        <f>-664.204665206238 -120.348574724487 -522.979789968644</f>
        <v>-1307.533029899369</v>
      </c>
      <c r="P1975">
        <f>-568.288115502661 -177.740582033969 -263.972346080483</f>
        <v>-1010.0010436171129</v>
      </c>
      <c r="Q1975">
        <f>-446.135556042425 -69.5538876583585 -429.268958894998</f>
        <v>-944.95840259578154</v>
      </c>
      <c r="R1975" t="s">
        <v>38442</v>
      </c>
      <c r="S1975" t="s">
        <v>38443</v>
      </c>
      <c r="T1975" t="s">
        <v>38444</v>
      </c>
      <c r="U1975" t="s">
        <v>38445</v>
      </c>
      <c r="V1975">
        <f>-586.957827171539 -50.6685395273487 -91.7671767200547</f>
        <v>-729.39354341894239</v>
      </c>
      <c r="W1975" t="s">
        <v>38446</v>
      </c>
      <c r="X1975" t="s">
        <v>38447</v>
      </c>
      <c r="Y1975" t="s">
        <v>38448</v>
      </c>
    </row>
    <row r="1976" spans="1:25" x14ac:dyDescent="0.3">
      <c r="A1976">
        <v>98750</v>
      </c>
      <c r="B1976" t="s">
        <v>38449</v>
      </c>
      <c r="C1976" t="s">
        <v>38450</v>
      </c>
      <c r="D1976" t="s">
        <v>38451</v>
      </c>
      <c r="E1976" t="s">
        <v>38452</v>
      </c>
      <c r="F1976" t="s">
        <v>38453</v>
      </c>
      <c r="G1976" t="s">
        <v>38454</v>
      </c>
      <c r="H1976" t="s">
        <v>38455</v>
      </c>
      <c r="I1976" t="s">
        <v>38456</v>
      </c>
      <c r="J1976" t="s">
        <v>38457</v>
      </c>
      <c r="K1976" t="s">
        <v>38458</v>
      </c>
      <c r="L1976" t="s">
        <v>38459</v>
      </c>
      <c r="M1976" t="s">
        <v>38460</v>
      </c>
      <c r="N1976" t="s">
        <v>38461</v>
      </c>
      <c r="O1976">
        <f>-663.801486026943 -119.911411976616 -523.089466060319</f>
        <v>-1306.802364063878</v>
      </c>
      <c r="P1976">
        <f>-565.080581903874 -177.874600660191 -265.265822078446</f>
        <v>-1008.2210046425109</v>
      </c>
      <c r="Q1976">
        <f>-446.965930729584 -65.6811870946722 -430.825705751977</f>
        <v>-943.47282357623317</v>
      </c>
      <c r="R1976" t="s">
        <v>38462</v>
      </c>
      <c r="S1976" t="s">
        <v>38463</v>
      </c>
      <c r="T1976" t="s">
        <v>38464</v>
      </c>
      <c r="U1976" t="s">
        <v>38465</v>
      </c>
      <c r="V1976">
        <f>-586.981447127944 -50.508721259067 -91.7514369981536</f>
        <v>-729.24160538516458</v>
      </c>
      <c r="W1976" t="s">
        <v>38466</v>
      </c>
      <c r="X1976" t="s">
        <v>38467</v>
      </c>
      <c r="Y1976" t="s">
        <v>38468</v>
      </c>
    </row>
    <row r="1977" spans="1:25" x14ac:dyDescent="0.3">
      <c r="A1977">
        <v>98800</v>
      </c>
      <c r="B1977" t="s">
        <v>38469</v>
      </c>
      <c r="C1977" t="s">
        <v>38470</v>
      </c>
      <c r="D1977" t="s">
        <v>38471</v>
      </c>
      <c r="E1977" t="s">
        <v>38472</v>
      </c>
      <c r="F1977" t="s">
        <v>38473</v>
      </c>
      <c r="G1977" t="s">
        <v>38474</v>
      </c>
      <c r="H1977" t="s">
        <v>38475</v>
      </c>
      <c r="I1977" t="s">
        <v>38476</v>
      </c>
      <c r="J1977" t="s">
        <v>38477</v>
      </c>
      <c r="K1977" t="s">
        <v>38478</v>
      </c>
      <c r="L1977" t="s">
        <v>38479</v>
      </c>
      <c r="M1977" t="s">
        <v>38480</v>
      </c>
      <c r="N1977" t="s">
        <v>38481</v>
      </c>
      <c r="O1977">
        <f>-663.034844965493 -119.171604277531 -523.284475380245</f>
        <v>-1305.4909246232692</v>
      </c>
      <c r="P1977">
        <f>-559.103817093946 -177.162158280275 -267.522830381639</f>
        <v>-1003.7888057558599</v>
      </c>
      <c r="Q1977">
        <f>-447.535840367297 -58.136508627988 -432.852870066981</f>
        <v>-938.52521906226593</v>
      </c>
      <c r="R1977" t="s">
        <v>38482</v>
      </c>
      <c r="S1977" t="s">
        <v>38483</v>
      </c>
      <c r="T1977" t="s">
        <v>38484</v>
      </c>
      <c r="U1977" t="s">
        <v>38485</v>
      </c>
      <c r="V1977">
        <f>-586.987639264823 -50.2576659752397 -91.7436040622962</f>
        <v>-728.98890930235882</v>
      </c>
      <c r="W1977" t="s">
        <v>38486</v>
      </c>
      <c r="X1977" t="s">
        <v>38487</v>
      </c>
      <c r="Y1977" t="s">
        <v>38488</v>
      </c>
    </row>
    <row r="1978" spans="1:25" x14ac:dyDescent="0.3">
      <c r="A1978">
        <v>98850</v>
      </c>
      <c r="B1978" t="s">
        <v>38489</v>
      </c>
      <c r="C1978" t="s">
        <v>38490</v>
      </c>
      <c r="D1978" t="s">
        <v>38491</v>
      </c>
      <c r="E1978" t="s">
        <v>38492</v>
      </c>
      <c r="F1978" t="s">
        <v>38493</v>
      </c>
      <c r="G1978" t="s">
        <v>38494</v>
      </c>
      <c r="H1978" t="s">
        <v>38495</v>
      </c>
      <c r="I1978" t="s">
        <v>38496</v>
      </c>
      <c r="J1978" t="s">
        <v>38497</v>
      </c>
      <c r="K1978" t="s">
        <v>38498</v>
      </c>
      <c r="L1978" t="s">
        <v>38499</v>
      </c>
      <c r="M1978" t="s">
        <v>38500</v>
      </c>
      <c r="N1978" t="s">
        <v>38501</v>
      </c>
      <c r="O1978">
        <f>-662.748475893007 -118.794099508073 -523.372607722734</f>
        <v>-1304.9151831238141</v>
      </c>
      <c r="P1978">
        <f>-556.68709121897 -176.530870292791 -268.429327914791</f>
        <v>-1001.6472894265519</v>
      </c>
      <c r="Q1978">
        <f>-447.599474154259 -54.4785864566074 -433.207032505198</f>
        <v>-935.28509311606444</v>
      </c>
      <c r="R1978" t="s">
        <v>38502</v>
      </c>
      <c r="S1978" t="s">
        <v>38503</v>
      </c>
      <c r="T1978" t="s">
        <v>38504</v>
      </c>
      <c r="U1978" t="s">
        <v>38505</v>
      </c>
      <c r="V1978">
        <f>-586.962092636927 -50.0588184274477 -91.7337118435853</f>
        <v>-728.75462290795997</v>
      </c>
      <c r="W1978" t="s">
        <v>38506</v>
      </c>
      <c r="X1978" t="s">
        <v>38507</v>
      </c>
      <c r="Y1978" t="s">
        <v>38508</v>
      </c>
    </row>
    <row r="1979" spans="1:25" x14ac:dyDescent="0.3">
      <c r="A1979">
        <v>98900</v>
      </c>
      <c r="B1979" t="s">
        <v>38509</v>
      </c>
      <c r="C1979" t="s">
        <v>38510</v>
      </c>
      <c r="D1979" t="s">
        <v>38511</v>
      </c>
      <c r="E1979" t="s">
        <v>38512</v>
      </c>
      <c r="F1979" t="s">
        <v>38513</v>
      </c>
      <c r="G1979" t="s">
        <v>38514</v>
      </c>
      <c r="H1979" t="s">
        <v>38515</v>
      </c>
      <c r="I1979" t="s">
        <v>38516</v>
      </c>
      <c r="J1979" t="s">
        <v>38517</v>
      </c>
      <c r="K1979" t="s">
        <v>38518</v>
      </c>
      <c r="L1979" t="s">
        <v>38519</v>
      </c>
      <c r="M1979" t="s">
        <v>38520</v>
      </c>
      <c r="N1979" t="s">
        <v>38521</v>
      </c>
      <c r="O1979">
        <f>-661.761409730317 -117.988047469151 -523.534906093588</f>
        <v>-1303.284363293056</v>
      </c>
      <c r="P1979">
        <f>-553.235656823848 -175.245712708095 -269.52258676329</f>
        <v>-998.00395629523291</v>
      </c>
      <c r="Q1979">
        <f>-447.591805237571 -48.026704294819 -432.627564034969</f>
        <v>-928.24607356735896</v>
      </c>
      <c r="R1979" t="s">
        <v>38522</v>
      </c>
      <c r="S1979" t="s">
        <v>38523</v>
      </c>
      <c r="T1979" t="s">
        <v>38524</v>
      </c>
      <c r="U1979" t="s">
        <v>38525</v>
      </c>
      <c r="V1979">
        <f>-586.887199934717 -49.4266880712639 -91.7135177734375</f>
        <v>-728.02740577941847</v>
      </c>
      <c r="W1979" t="s">
        <v>38526</v>
      </c>
      <c r="X1979" t="s">
        <v>38527</v>
      </c>
      <c r="Y1979" t="s">
        <v>38528</v>
      </c>
    </row>
    <row r="1980" spans="1:25" x14ac:dyDescent="0.3">
      <c r="A1980">
        <v>98950</v>
      </c>
      <c r="B1980" t="s">
        <v>38529</v>
      </c>
      <c r="C1980" t="s">
        <v>38530</v>
      </c>
      <c r="D1980" t="s">
        <v>38531</v>
      </c>
      <c r="E1980" t="s">
        <v>38532</v>
      </c>
      <c r="F1980" t="s">
        <v>38533</v>
      </c>
      <c r="G1980" t="s">
        <v>38534</v>
      </c>
      <c r="H1980" t="s">
        <v>38535</v>
      </c>
      <c r="I1980" t="s">
        <v>38536</v>
      </c>
      <c r="J1980" t="s">
        <v>38537</v>
      </c>
      <c r="K1980" t="s">
        <v>38538</v>
      </c>
      <c r="L1980" t="s">
        <v>38539</v>
      </c>
      <c r="M1980" t="s">
        <v>38540</v>
      </c>
      <c r="N1980" t="s">
        <v>38541</v>
      </c>
      <c r="O1980">
        <f>-661.190589397497 -117.61461208563 -523.567633786337</f>
        <v>-1302.3728352694638</v>
      </c>
      <c r="P1980">
        <f>-552.341464466613 -174.944657292663 -269.709875956795</f>
        <v>-996.99599771607109</v>
      </c>
      <c r="Q1980">
        <f>-447.801715054544 -45.5096867957864 -431.779489536214</f>
        <v>-925.0908913865444</v>
      </c>
      <c r="R1980" t="s">
        <v>38542</v>
      </c>
      <c r="S1980" t="s">
        <v>38543</v>
      </c>
      <c r="T1980" t="s">
        <v>38544</v>
      </c>
      <c r="U1980" t="s">
        <v>38545</v>
      </c>
      <c r="V1980">
        <f>-586.816660061144 -49.0669819570335 -91.7166998744091</f>
        <v>-727.60034189258658</v>
      </c>
      <c r="W1980" t="s">
        <v>38546</v>
      </c>
      <c r="X1980" t="s">
        <v>38547</v>
      </c>
      <c r="Y1980" t="s">
        <v>38548</v>
      </c>
    </row>
    <row r="1981" spans="1:25" x14ac:dyDescent="0.3">
      <c r="A1981">
        <v>99000</v>
      </c>
      <c r="B1981" t="s">
        <v>38549</v>
      </c>
      <c r="C1981" t="s">
        <v>38550</v>
      </c>
      <c r="D1981" t="s">
        <v>38551</v>
      </c>
      <c r="E1981" t="s">
        <v>38552</v>
      </c>
      <c r="F1981" t="s">
        <v>38553</v>
      </c>
      <c r="G1981" t="s">
        <v>38554</v>
      </c>
      <c r="H1981" t="s">
        <v>38555</v>
      </c>
      <c r="I1981" t="s">
        <v>38556</v>
      </c>
      <c r="J1981" t="s">
        <v>38557</v>
      </c>
      <c r="K1981" t="s">
        <v>38558</v>
      </c>
      <c r="L1981" t="s">
        <v>38559</v>
      </c>
      <c r="M1981" t="s">
        <v>38560</v>
      </c>
      <c r="N1981" t="s">
        <v>38561</v>
      </c>
      <c r="O1981">
        <f>-659.680095226819 -117.208281963885 -523.693867812165</f>
        <v>-1300.5822450028691</v>
      </c>
      <c r="P1981">
        <f>-551.734966847936 -174.988244552879 -269.552353020064</f>
        <v>-996.27556442087894</v>
      </c>
      <c r="Q1981">
        <f>-448.296795570947 -41.9733926543993 -429.415158973555</f>
        <v>-919.68534719890124</v>
      </c>
      <c r="R1981" t="s">
        <v>38562</v>
      </c>
      <c r="S1981" t="s">
        <v>38563</v>
      </c>
      <c r="T1981" t="s">
        <v>38564</v>
      </c>
      <c r="U1981" t="s">
        <v>38565</v>
      </c>
      <c r="V1981">
        <f>-586.704579316831 -48.4158527447066 -91.7282034345071</f>
        <v>-726.84863549604472</v>
      </c>
      <c r="W1981" t="s">
        <v>38566</v>
      </c>
      <c r="X1981" t="s">
        <v>38567</v>
      </c>
      <c r="Y1981" t="s">
        <v>38568</v>
      </c>
    </row>
    <row r="1982" spans="1:25" x14ac:dyDescent="0.3">
      <c r="A1982">
        <v>99050</v>
      </c>
      <c r="B1982" t="s">
        <v>38569</v>
      </c>
      <c r="C1982" t="s">
        <v>38570</v>
      </c>
      <c r="D1982" t="s">
        <v>38571</v>
      </c>
      <c r="E1982" t="s">
        <v>38572</v>
      </c>
      <c r="F1982" t="s">
        <v>38573</v>
      </c>
      <c r="G1982" t="s">
        <v>38574</v>
      </c>
      <c r="H1982" t="s">
        <v>38575</v>
      </c>
      <c r="I1982" t="s">
        <v>38576</v>
      </c>
      <c r="J1982" t="s">
        <v>38577</v>
      </c>
      <c r="K1982" t="s">
        <v>38578</v>
      </c>
      <c r="L1982" t="s">
        <v>38579</v>
      </c>
      <c r="M1982" t="s">
        <v>38580</v>
      </c>
      <c r="N1982" t="s">
        <v>38581</v>
      </c>
      <c r="O1982">
        <f>-659.141618585955 -117.254596555981 -523.628103147286</f>
        <v>-1300.024318289222</v>
      </c>
      <c r="P1982">
        <f>-551.959494014778 -175.08450628728 -269.175125321894</f>
        <v>-996.21912562395187</v>
      </c>
      <c r="Q1982">
        <f>-448.734116366478 -40.9651179442205 -428.250697716766</f>
        <v>-917.94993202746446</v>
      </c>
      <c r="R1982" t="s">
        <v>38582</v>
      </c>
      <c r="S1982" t="s">
        <v>38583</v>
      </c>
      <c r="T1982" t="s">
        <v>38584</v>
      </c>
      <c r="U1982" t="s">
        <v>38585</v>
      </c>
      <c r="V1982">
        <f>-586.708634262255 -48.2194921934256 -91.7334051539705</f>
        <v>-726.66153160965109</v>
      </c>
      <c r="W1982" t="s">
        <v>38586</v>
      </c>
      <c r="X1982" t="s">
        <v>38587</v>
      </c>
      <c r="Y1982" t="s">
        <v>38588</v>
      </c>
    </row>
    <row r="1983" spans="1:25" x14ac:dyDescent="0.3">
      <c r="A1983">
        <v>99100</v>
      </c>
      <c r="B1983" t="s">
        <v>38589</v>
      </c>
      <c r="C1983" t="s">
        <v>38590</v>
      </c>
      <c r="D1983" t="s">
        <v>38591</v>
      </c>
      <c r="E1983" t="s">
        <v>38592</v>
      </c>
      <c r="F1983" t="s">
        <v>38593</v>
      </c>
      <c r="G1983" t="s">
        <v>38594</v>
      </c>
      <c r="H1983" t="s">
        <v>38595</v>
      </c>
      <c r="I1983" t="s">
        <v>38596</v>
      </c>
      <c r="J1983" t="s">
        <v>38597</v>
      </c>
      <c r="K1983" t="s">
        <v>38598</v>
      </c>
      <c r="L1983" t="s">
        <v>38599</v>
      </c>
      <c r="M1983" t="s">
        <v>38600</v>
      </c>
      <c r="N1983" t="s">
        <v>38601</v>
      </c>
      <c r="O1983">
        <f>-658.258331332991 -117.84424573592 -523.301121517817</f>
        <v>-1299.4036985867281</v>
      </c>
      <c r="P1983">
        <f>-553.15980742137 -175.839070613305 -268.018064735673</f>
        <v>-997.01694277034812</v>
      </c>
      <c r="Q1983">
        <f>-449.545954579441 -40.7404424697274 -426.008638512248</f>
        <v>-916.2950355614164</v>
      </c>
      <c r="R1983" t="s">
        <v>38602</v>
      </c>
      <c r="S1983" t="s">
        <v>38603</v>
      </c>
      <c r="T1983" t="s">
        <v>38604</v>
      </c>
      <c r="U1983" t="s">
        <v>38605</v>
      </c>
      <c r="V1983">
        <f>-586.802773547702 -47.9610327098028 -91.7315380137056</f>
        <v>-726.49534427121046</v>
      </c>
      <c r="W1983" t="s">
        <v>38606</v>
      </c>
      <c r="X1983" t="s">
        <v>38607</v>
      </c>
      <c r="Y1983" t="s">
        <v>38608</v>
      </c>
    </row>
    <row r="1984" spans="1:25" x14ac:dyDescent="0.3">
      <c r="A1984">
        <v>99150</v>
      </c>
      <c r="B1984" t="s">
        <v>38609</v>
      </c>
      <c r="C1984" t="s">
        <v>38610</v>
      </c>
      <c r="D1984" t="s">
        <v>38611</v>
      </c>
      <c r="E1984" t="s">
        <v>38612</v>
      </c>
      <c r="F1984" t="s">
        <v>38613</v>
      </c>
      <c r="G1984" t="s">
        <v>38614</v>
      </c>
      <c r="H1984" t="s">
        <v>38615</v>
      </c>
      <c r="I1984" t="s">
        <v>38616</v>
      </c>
      <c r="J1984" t="s">
        <v>38617</v>
      </c>
      <c r="K1984" t="s">
        <v>38618</v>
      </c>
      <c r="L1984" t="s">
        <v>38619</v>
      </c>
      <c r="M1984" t="s">
        <v>38620</v>
      </c>
      <c r="N1984" t="s">
        <v>38621</v>
      </c>
      <c r="O1984">
        <f>-658.094131306842 -118.334839496023 -522.978677758663</f>
        <v>-1299.407648561528</v>
      </c>
      <c r="P1984">
        <f>-553.998280907271 -175.911737773289 -267.190493453902</f>
        <v>-997.10051213446195</v>
      </c>
      <c r="Q1984">
        <f>-449.960967531898 -41.0523959194338 -425.107428021248</f>
        <v>-916.12079147257987</v>
      </c>
      <c r="R1984" t="s">
        <v>38622</v>
      </c>
      <c r="S1984" t="s">
        <v>38623</v>
      </c>
      <c r="T1984" t="s">
        <v>38624</v>
      </c>
      <c r="U1984" t="s">
        <v>38625</v>
      </c>
      <c r="V1984">
        <f>-586.924987492588 -47.8746550063213 -91.734691106308</f>
        <v>-726.53433360521728</v>
      </c>
      <c r="W1984" t="s">
        <v>38626</v>
      </c>
      <c r="X1984" t="s">
        <v>38627</v>
      </c>
      <c r="Y1984" t="s">
        <v>38628</v>
      </c>
    </row>
    <row r="1985" spans="1:25" x14ac:dyDescent="0.3">
      <c r="A1985">
        <v>99200</v>
      </c>
      <c r="B1985" t="s">
        <v>38629</v>
      </c>
      <c r="C1985" t="s">
        <v>38630</v>
      </c>
      <c r="D1985" t="s">
        <v>38631</v>
      </c>
      <c r="E1985" t="s">
        <v>38632</v>
      </c>
      <c r="F1985" t="s">
        <v>38633</v>
      </c>
      <c r="G1985" t="s">
        <v>38634</v>
      </c>
      <c r="H1985" t="s">
        <v>38635</v>
      </c>
      <c r="I1985" t="s">
        <v>38636</v>
      </c>
      <c r="J1985" t="s">
        <v>38637</v>
      </c>
      <c r="K1985" t="s">
        <v>38638</v>
      </c>
      <c r="L1985" t="s">
        <v>38639</v>
      </c>
      <c r="M1985" t="s">
        <v>38640</v>
      </c>
      <c r="N1985" t="s">
        <v>38641</v>
      </c>
      <c r="O1985">
        <f>-657.568570979763 -119.548995301449 -522.493827745864</f>
        <v>-1299.6113940270761</v>
      </c>
      <c r="P1985">
        <f>-555.740600586366 -176.237178297426 -265.596969084209</f>
        <v>-997.57474796800102</v>
      </c>
      <c r="Q1985">
        <f>-449.882510398445 -42.2969764109007 -423.085301315013</f>
        <v>-915.26478812435869</v>
      </c>
      <c r="R1985" t="s">
        <v>38642</v>
      </c>
      <c r="S1985" t="s">
        <v>38643</v>
      </c>
      <c r="T1985" t="s">
        <v>38644</v>
      </c>
      <c r="U1985" t="s">
        <v>38645</v>
      </c>
      <c r="V1985">
        <f>-587.266658844032 -47.8307783248742 -91.731337530567</f>
        <v>-726.82877469947323</v>
      </c>
      <c r="W1985" t="s">
        <v>38646</v>
      </c>
      <c r="X1985" t="s">
        <v>38647</v>
      </c>
      <c r="Y1985" t="s">
        <v>38648</v>
      </c>
    </row>
    <row r="1986" spans="1:25" x14ac:dyDescent="0.3">
      <c r="A1986">
        <v>99250</v>
      </c>
      <c r="B1986" t="s">
        <v>38649</v>
      </c>
      <c r="C1986" t="s">
        <v>38650</v>
      </c>
      <c r="D1986" t="s">
        <v>38651</v>
      </c>
      <c r="E1986" t="s">
        <v>38652</v>
      </c>
      <c r="F1986" t="s">
        <v>38653</v>
      </c>
      <c r="G1986" t="s">
        <v>38654</v>
      </c>
      <c r="H1986" t="s">
        <v>38655</v>
      </c>
      <c r="I1986" t="s">
        <v>38656</v>
      </c>
      <c r="J1986" t="s">
        <v>38657</v>
      </c>
      <c r="K1986" t="s">
        <v>38658</v>
      </c>
      <c r="L1986" t="s">
        <v>38659</v>
      </c>
      <c r="M1986" t="s">
        <v>38660</v>
      </c>
      <c r="N1986" t="s">
        <v>38661</v>
      </c>
      <c r="O1986">
        <f>-657.325436060083 -120.254666219102 -522.310988347582</f>
        <v>-1299.891090626767</v>
      </c>
      <c r="P1986">
        <f>-556.963403192777 -176.595908293282 -264.761569625421</f>
        <v>-998.32088111148005</v>
      </c>
      <c r="Q1986">
        <f>-449.713328471784 -43.2631130724974 -421.823212320462</f>
        <v>-914.79965386474339</v>
      </c>
      <c r="R1986" t="s">
        <v>38662</v>
      </c>
      <c r="S1986" t="s">
        <v>38663</v>
      </c>
      <c r="T1986" t="s">
        <v>38664</v>
      </c>
      <c r="U1986" t="s">
        <v>38665</v>
      </c>
      <c r="V1986">
        <f>-587.403868309539 -47.8080963579566 -91.7342444065119</f>
        <v>-726.94620907400758</v>
      </c>
      <c r="W1986" t="s">
        <v>38666</v>
      </c>
      <c r="X1986" t="s">
        <v>38667</v>
      </c>
      <c r="Y1986" t="s">
        <v>38668</v>
      </c>
    </row>
    <row r="1987" spans="1:25" x14ac:dyDescent="0.3">
      <c r="A1987">
        <v>99300</v>
      </c>
      <c r="B1987" t="s">
        <v>38669</v>
      </c>
      <c r="C1987" t="s">
        <v>38670</v>
      </c>
      <c r="D1987" t="s">
        <v>38671</v>
      </c>
      <c r="E1987" t="s">
        <v>38672</v>
      </c>
      <c r="F1987" t="s">
        <v>38673</v>
      </c>
      <c r="G1987" t="s">
        <v>38674</v>
      </c>
      <c r="H1987" t="s">
        <v>38675</v>
      </c>
      <c r="I1987" t="s">
        <v>38676</v>
      </c>
      <c r="J1987" t="s">
        <v>38677</v>
      </c>
      <c r="K1987" t="s">
        <v>38678</v>
      </c>
      <c r="L1987" t="s">
        <v>38679</v>
      </c>
      <c r="M1987" t="s">
        <v>38680</v>
      </c>
      <c r="N1987" t="s">
        <v>38681</v>
      </c>
      <c r="O1987">
        <f>-656.968267823894 -121.775011243552 -521.997028731505</f>
        <v>-1300.7403077989511</v>
      </c>
      <c r="P1987">
        <f>-559.898147005721 -177.615538489309 -263.080475366606</f>
        <v>-1000.5941608616358</v>
      </c>
      <c r="Q1987">
        <f>-449.105795128159 -45.7802170491043 -418.942891942366</f>
        <v>-913.82890411962921</v>
      </c>
      <c r="R1987" t="s">
        <v>38682</v>
      </c>
      <c r="S1987" t="s">
        <v>38683</v>
      </c>
      <c r="T1987" t="s">
        <v>38684</v>
      </c>
      <c r="U1987" t="s">
        <v>38685</v>
      </c>
      <c r="V1987">
        <f>-587.510554224922 -47.8473047445254 -91.7748885830774</f>
        <v>-727.13274755252485</v>
      </c>
      <c r="W1987" t="s">
        <v>38686</v>
      </c>
      <c r="X1987" t="s">
        <v>38687</v>
      </c>
      <c r="Y1987" t="s">
        <v>38688</v>
      </c>
    </row>
    <row r="1988" spans="1:25" x14ac:dyDescent="0.3">
      <c r="A1988">
        <v>99350</v>
      </c>
      <c r="B1988" t="s">
        <v>38689</v>
      </c>
      <c r="C1988" t="s">
        <v>38690</v>
      </c>
      <c r="D1988" t="s">
        <v>38691</v>
      </c>
      <c r="E1988" t="s">
        <v>38692</v>
      </c>
      <c r="F1988" t="s">
        <v>38693</v>
      </c>
      <c r="G1988" t="s">
        <v>38694</v>
      </c>
      <c r="H1988" t="s">
        <v>38695</v>
      </c>
      <c r="I1988" t="s">
        <v>38696</v>
      </c>
      <c r="J1988" t="s">
        <v>38697</v>
      </c>
      <c r="K1988" t="s">
        <v>38698</v>
      </c>
      <c r="L1988" t="s">
        <v>38699</v>
      </c>
      <c r="M1988" t="s">
        <v>38700</v>
      </c>
      <c r="N1988" t="s">
        <v>38701</v>
      </c>
      <c r="O1988">
        <f>-656.89658680412 -122.480037446689 -521.902904446229</f>
        <v>-1301.2795286970381</v>
      </c>
      <c r="P1988">
        <f>-561.65220660391 -178.268367972321 -262.297895340381</f>
        <v>-1002.2184699166121</v>
      </c>
      <c r="Q1988">
        <f>-448.758518443899 -47.0083893815136 -417.134601552049</f>
        <v>-912.90150937746159</v>
      </c>
      <c r="R1988" t="s">
        <v>38702</v>
      </c>
      <c r="S1988" t="s">
        <v>38703</v>
      </c>
      <c r="T1988" t="s">
        <v>38704</v>
      </c>
      <c r="U1988" t="s">
        <v>38705</v>
      </c>
      <c r="V1988">
        <f>-587.514171231523 -47.8826909615409 -91.7905149779258</f>
        <v>-727.18737717098975</v>
      </c>
      <c r="W1988" t="s">
        <v>38706</v>
      </c>
      <c r="X1988" t="s">
        <v>38707</v>
      </c>
      <c r="Y1988" t="s">
        <v>38708</v>
      </c>
    </row>
    <row r="1989" spans="1:25" x14ac:dyDescent="0.3">
      <c r="A1989">
        <v>99400</v>
      </c>
      <c r="B1989" t="s">
        <v>38709</v>
      </c>
      <c r="C1989" t="s">
        <v>38710</v>
      </c>
      <c r="D1989" t="s">
        <v>38711</v>
      </c>
      <c r="E1989" t="s">
        <v>38712</v>
      </c>
      <c r="F1989" t="s">
        <v>38713</v>
      </c>
      <c r="G1989" t="s">
        <v>38714</v>
      </c>
      <c r="H1989" t="s">
        <v>38715</v>
      </c>
      <c r="I1989" t="s">
        <v>38716</v>
      </c>
      <c r="J1989" t="s">
        <v>38717</v>
      </c>
      <c r="K1989" t="s">
        <v>38718</v>
      </c>
      <c r="L1989" t="s">
        <v>38719</v>
      </c>
      <c r="M1989" t="s">
        <v>38720</v>
      </c>
      <c r="N1989" t="s">
        <v>38721</v>
      </c>
      <c r="O1989">
        <f>-657.271731118601 -124.182159517272 -521.450299386341</f>
        <v>-1302.9041900222142</v>
      </c>
      <c r="P1989">
        <f>-565.291156010629 -178.894767920214 -260.443202866575</f>
        <v>-1004.6291267974181</v>
      </c>
      <c r="Q1989">
        <f>-449.089617721569 -48.6623570617571 -413.692250145164</f>
        <v>-911.44422492849014</v>
      </c>
      <c r="R1989" t="s">
        <v>38722</v>
      </c>
      <c r="S1989" t="s">
        <v>38723</v>
      </c>
      <c r="T1989" t="s">
        <v>38724</v>
      </c>
      <c r="U1989" t="s">
        <v>38725</v>
      </c>
      <c r="V1989">
        <f>-587.732061303407 -48.216394625902 -91.8211226664089</f>
        <v>-727.76957859571792</v>
      </c>
      <c r="W1989" t="s">
        <v>38726</v>
      </c>
      <c r="X1989" t="s">
        <v>38727</v>
      </c>
      <c r="Y1989" t="s">
        <v>38728</v>
      </c>
    </row>
    <row r="1990" spans="1:25" x14ac:dyDescent="0.3">
      <c r="A1990">
        <v>99450</v>
      </c>
      <c r="B1990" t="s">
        <v>38729</v>
      </c>
      <c r="C1990" t="s">
        <v>38730</v>
      </c>
      <c r="D1990" t="s">
        <v>38731</v>
      </c>
      <c r="E1990" t="s">
        <v>38732</v>
      </c>
      <c r="F1990" t="s">
        <v>38733</v>
      </c>
      <c r="G1990" t="s">
        <v>38734</v>
      </c>
      <c r="H1990" t="s">
        <v>38735</v>
      </c>
      <c r="I1990" t="s">
        <v>38736</v>
      </c>
      <c r="J1990" t="s">
        <v>38737</v>
      </c>
      <c r="K1990" t="s">
        <v>38738</v>
      </c>
      <c r="L1990" t="s">
        <v>38739</v>
      </c>
      <c r="M1990" t="s">
        <v>38740</v>
      </c>
      <c r="N1990" t="s">
        <v>38741</v>
      </c>
      <c r="O1990">
        <f>-657.563708451924 -124.819430038106 -521.178344760863</f>
        <v>-1303.5614832508929</v>
      </c>
      <c r="P1990">
        <f>-566.85587981393 -178.584498116142 -259.52971531217</f>
        <v>-1004.970093242242</v>
      </c>
      <c r="Q1990">
        <f>-449.697770580076 -48.7904024130144 -412.421748268128</f>
        <v>-910.90992126121841</v>
      </c>
      <c r="R1990" t="s">
        <v>38742</v>
      </c>
      <c r="S1990" t="s">
        <v>38743</v>
      </c>
      <c r="T1990" t="s">
        <v>38744</v>
      </c>
      <c r="U1990" t="s">
        <v>38745</v>
      </c>
      <c r="V1990">
        <f>-587.920549609911 -48.4934665205262 -91.833980340587</f>
        <v>-728.24799647102418</v>
      </c>
      <c r="W1990" t="s">
        <v>38746</v>
      </c>
      <c r="X1990" t="s">
        <v>38747</v>
      </c>
      <c r="Y1990" t="s">
        <v>38748</v>
      </c>
    </row>
    <row r="1991" spans="1:25" x14ac:dyDescent="0.3">
      <c r="A1991">
        <v>99500</v>
      </c>
      <c r="B1991" t="s">
        <v>38749</v>
      </c>
      <c r="C1991" t="s">
        <v>38750</v>
      </c>
      <c r="D1991" t="s">
        <v>38751</v>
      </c>
      <c r="E1991" t="s">
        <v>38752</v>
      </c>
      <c r="F1991" t="s">
        <v>38753</v>
      </c>
      <c r="G1991" t="s">
        <v>38754</v>
      </c>
      <c r="H1991" t="s">
        <v>38755</v>
      </c>
      <c r="I1991" t="s">
        <v>38756</v>
      </c>
      <c r="J1991" t="s">
        <v>38757</v>
      </c>
      <c r="K1991" t="s">
        <v>38758</v>
      </c>
      <c r="L1991" t="s">
        <v>38759</v>
      </c>
      <c r="M1991" t="s">
        <v>38760</v>
      </c>
      <c r="N1991" t="s">
        <v>38761</v>
      </c>
      <c r="O1991">
        <f>-658.292063427843 -126.272361395222 -520.665354686769</f>
        <v>-1305.2297795098339</v>
      </c>
      <c r="P1991">
        <f>-569.635835078614 -178.480574352586 -258.000218265142</f>
        <v>-1006.116627696342</v>
      </c>
      <c r="Q1991">
        <f>-451.209356023897 -49.4792197731615 -410.585863343173</f>
        <v>-911.27443914023149</v>
      </c>
      <c r="R1991" t="s">
        <v>38762</v>
      </c>
      <c r="S1991" t="s">
        <v>38763</v>
      </c>
      <c r="T1991" t="s">
        <v>38764</v>
      </c>
      <c r="U1991" t="s">
        <v>38765</v>
      </c>
      <c r="V1991">
        <f>-588.378155463442 -48.9689842258745 -91.905104398843</f>
        <v>-729.2522440881595</v>
      </c>
      <c r="W1991" t="s">
        <v>38766</v>
      </c>
      <c r="X1991" t="s">
        <v>38767</v>
      </c>
      <c r="Y1991" t="s">
        <v>38768</v>
      </c>
    </row>
    <row r="1992" spans="1:25" x14ac:dyDescent="0.3">
      <c r="A1992">
        <v>99550</v>
      </c>
      <c r="B1992" t="s">
        <v>38769</v>
      </c>
      <c r="C1992" t="s">
        <v>38770</v>
      </c>
      <c r="D1992" t="s">
        <v>38771</v>
      </c>
      <c r="E1992" t="s">
        <v>38772</v>
      </c>
      <c r="F1992" t="s">
        <v>38773</v>
      </c>
      <c r="G1992" t="s">
        <v>38774</v>
      </c>
      <c r="H1992" t="s">
        <v>38775</v>
      </c>
      <c r="I1992" t="s">
        <v>38776</v>
      </c>
      <c r="J1992" t="s">
        <v>38777</v>
      </c>
      <c r="K1992" t="s">
        <v>38778</v>
      </c>
      <c r="L1992" t="s">
        <v>38779</v>
      </c>
      <c r="M1992" t="s">
        <v>38780</v>
      </c>
      <c r="N1992" t="s">
        <v>38781</v>
      </c>
      <c r="O1992">
        <f>-658.826385449138 -126.928876819072 -520.384706489237</f>
        <v>-1306.1399687574471</v>
      </c>
      <c r="P1992">
        <f>-570.876282889723 -178.52524284273 -257.361494331796</f>
        <v>-1006.7630200642491</v>
      </c>
      <c r="Q1992">
        <f>-451.739268129126 -50.1692426334992 -409.938129952977</f>
        <v>-911.84664071560223</v>
      </c>
      <c r="R1992" t="s">
        <v>38782</v>
      </c>
      <c r="S1992" t="s">
        <v>38783</v>
      </c>
      <c r="T1992" t="s">
        <v>38784</v>
      </c>
      <c r="U1992" t="s">
        <v>38785</v>
      </c>
      <c r="V1992">
        <f>-588.719873111119 -49.2860832868664 -91.9485905093628</f>
        <v>-729.95454690734823</v>
      </c>
      <c r="W1992" t="s">
        <v>38786</v>
      </c>
      <c r="X1992" t="s">
        <v>38787</v>
      </c>
      <c r="Y1992" t="s">
        <v>38788</v>
      </c>
    </row>
    <row r="1993" spans="1:25" x14ac:dyDescent="0.3">
      <c r="A1993">
        <v>99600</v>
      </c>
      <c r="B1993" t="s">
        <v>38789</v>
      </c>
      <c r="C1993" t="s">
        <v>38790</v>
      </c>
      <c r="D1993" t="s">
        <v>38791</v>
      </c>
      <c r="E1993" t="s">
        <v>38792</v>
      </c>
      <c r="F1993" t="s">
        <v>38793</v>
      </c>
      <c r="G1993" t="s">
        <v>38794</v>
      </c>
      <c r="H1993" t="s">
        <v>38795</v>
      </c>
      <c r="I1993" t="s">
        <v>38796</v>
      </c>
      <c r="J1993" t="s">
        <v>38797</v>
      </c>
      <c r="K1993" t="s">
        <v>38798</v>
      </c>
      <c r="L1993" t="s">
        <v>38799</v>
      </c>
      <c r="M1993" t="s">
        <v>38800</v>
      </c>
      <c r="N1993" t="s">
        <v>38801</v>
      </c>
      <c r="O1993">
        <f>-659.80966301612 -128.099576363067 -519.927979101967</f>
        <v>-1307.8372184811542</v>
      </c>
      <c r="P1993">
        <f>-573.035575908315 -179.309873173199 -256.439233556388</f>
        <v>-1008.7846826379019</v>
      </c>
      <c r="Q1993">
        <f>-452.857201810286 -51.8347661141897 -408.937650265444</f>
        <v>-913.62961818991971</v>
      </c>
      <c r="R1993" t="s">
        <v>38802</v>
      </c>
      <c r="S1993" t="s">
        <v>38803</v>
      </c>
      <c r="T1993" t="s">
        <v>38804</v>
      </c>
      <c r="U1993" t="s">
        <v>38805</v>
      </c>
      <c r="V1993">
        <f>-589.483006158148 -49.9232808041472 -91.9923237986127</f>
        <v>-731.3986107609079</v>
      </c>
      <c r="W1993" t="s">
        <v>38806</v>
      </c>
      <c r="X1993" t="s">
        <v>38807</v>
      </c>
      <c r="Y1993" t="s">
        <v>38808</v>
      </c>
    </row>
    <row r="1994" spans="1:25" x14ac:dyDescent="0.3">
      <c r="A1994">
        <v>99650</v>
      </c>
      <c r="B1994" t="s">
        <v>38809</v>
      </c>
      <c r="C1994" t="s">
        <v>38810</v>
      </c>
      <c r="D1994" t="s">
        <v>38811</v>
      </c>
      <c r="E1994" t="s">
        <v>38812</v>
      </c>
      <c r="F1994" t="s">
        <v>38813</v>
      </c>
      <c r="G1994" t="s">
        <v>38814</v>
      </c>
      <c r="H1994" t="s">
        <v>38815</v>
      </c>
      <c r="I1994" t="s">
        <v>38816</v>
      </c>
      <c r="J1994" t="s">
        <v>38817</v>
      </c>
      <c r="K1994" t="s">
        <v>38818</v>
      </c>
      <c r="L1994" t="s">
        <v>38819</v>
      </c>
      <c r="M1994" t="s">
        <v>38820</v>
      </c>
      <c r="N1994" t="s">
        <v>38821</v>
      </c>
      <c r="O1994">
        <f>-660.338314729035 -128.480877348527 -519.80379736896</f>
        <v>-1308.6229894465218</v>
      </c>
      <c r="P1994">
        <f>-574.118937750533 -179.571700204286 -256.109815609221</f>
        <v>-1009.80045356404</v>
      </c>
      <c r="Q1994">
        <f>-453.66290961159 -52.3571282721227 -408.606808936204</f>
        <v>-914.62684681991664</v>
      </c>
      <c r="R1994" t="s">
        <v>38822</v>
      </c>
      <c r="S1994" t="s">
        <v>38823</v>
      </c>
      <c r="T1994" t="s">
        <v>38824</v>
      </c>
      <c r="U1994" t="s">
        <v>38825</v>
      </c>
      <c r="V1994">
        <f>-589.926886229272 -50.2089281541771 -92.0091214899853</f>
        <v>-732.14493587343441</v>
      </c>
      <c r="W1994" t="s">
        <v>38826</v>
      </c>
      <c r="X1994" t="s">
        <v>38827</v>
      </c>
      <c r="Y1994" t="s">
        <v>38828</v>
      </c>
    </row>
    <row r="1995" spans="1:25" x14ac:dyDescent="0.3">
      <c r="A1995">
        <v>99700</v>
      </c>
      <c r="B1995" t="s">
        <v>38829</v>
      </c>
      <c r="C1995" t="s">
        <v>38830</v>
      </c>
      <c r="D1995" t="s">
        <v>38831</v>
      </c>
      <c r="E1995" t="s">
        <v>38832</v>
      </c>
      <c r="F1995" t="s">
        <v>38833</v>
      </c>
      <c r="G1995" t="s">
        <v>38834</v>
      </c>
      <c r="H1995" t="s">
        <v>38835</v>
      </c>
      <c r="I1995" t="s">
        <v>38836</v>
      </c>
      <c r="J1995" t="s">
        <v>38837</v>
      </c>
      <c r="K1995" t="s">
        <v>38838</v>
      </c>
      <c r="L1995" t="s">
        <v>38839</v>
      </c>
      <c r="M1995" t="s">
        <v>38840</v>
      </c>
      <c r="N1995" t="s">
        <v>38841</v>
      </c>
      <c r="O1995">
        <f>-661.386361562118 -129.031263675605 -519.548353343723</f>
        <v>-1309.9659785814461</v>
      </c>
      <c r="P1995">
        <f>-576.249378061417 -179.567151660368 -255.396231962673</f>
        <v>-1011.2127616844581</v>
      </c>
      <c r="Q1995">
        <f>-455.02354299272 -52.8542033011236 -407.700781449083</f>
        <v>-915.57852774292667</v>
      </c>
      <c r="R1995" t="s">
        <v>38842</v>
      </c>
      <c r="S1995" t="s">
        <v>38843</v>
      </c>
      <c r="T1995" t="s">
        <v>38844</v>
      </c>
      <c r="U1995" t="s">
        <v>38845</v>
      </c>
      <c r="V1995">
        <f>-590.843774920402 -50.8326482176146 -92.0323552738387</f>
        <v>-733.70877841185529</v>
      </c>
      <c r="W1995" t="s">
        <v>38846</v>
      </c>
      <c r="X1995" t="s">
        <v>38847</v>
      </c>
      <c r="Y1995" t="s">
        <v>38848</v>
      </c>
    </row>
    <row r="1996" spans="1:25" x14ac:dyDescent="0.3">
      <c r="A1996">
        <v>99750</v>
      </c>
      <c r="B1996" t="s">
        <v>38849</v>
      </c>
      <c r="C1996" t="s">
        <v>38850</v>
      </c>
      <c r="D1996" t="s">
        <v>38851</v>
      </c>
      <c r="E1996" t="s">
        <v>38852</v>
      </c>
      <c r="F1996" t="s">
        <v>38853</v>
      </c>
      <c r="G1996" t="s">
        <v>38854</v>
      </c>
      <c r="H1996" t="s">
        <v>38855</v>
      </c>
      <c r="I1996" t="s">
        <v>38856</v>
      </c>
      <c r="J1996" t="s">
        <v>38857</v>
      </c>
      <c r="K1996" t="s">
        <v>38858</v>
      </c>
      <c r="L1996" t="s">
        <v>38859</v>
      </c>
      <c r="M1996" t="s">
        <v>38860</v>
      </c>
      <c r="N1996" t="s">
        <v>38861</v>
      </c>
      <c r="O1996">
        <f>-661.743908301035 -129.284855391765 -519.415674020462</f>
        <v>-1310.4444377132622</v>
      </c>
      <c r="P1996">
        <f>-577.241840338918 -179.493898319877 -254.997408576281</f>
        <v>-1011.733147235076</v>
      </c>
      <c r="Q1996">
        <f>-455.430711373802 -53.1239358834093 -407.119646414981</f>
        <v>-915.67429367219233</v>
      </c>
      <c r="R1996" t="s">
        <v>38862</v>
      </c>
      <c r="S1996" t="s">
        <v>38863</v>
      </c>
      <c r="T1996" t="s">
        <v>38864</v>
      </c>
      <c r="U1996" t="s">
        <v>38865</v>
      </c>
      <c r="V1996">
        <f>-591.311619068735 -51.1696797507659 -92.0272678520043</f>
        <v>-734.50856667150526</v>
      </c>
      <c r="W1996" t="s">
        <v>38866</v>
      </c>
      <c r="X1996" t="s">
        <v>38867</v>
      </c>
      <c r="Y1996" t="s">
        <v>38868</v>
      </c>
    </row>
    <row r="1997" spans="1:25" x14ac:dyDescent="0.3">
      <c r="A1997">
        <v>99800</v>
      </c>
      <c r="B1997" t="s">
        <v>38869</v>
      </c>
      <c r="C1997" t="s">
        <v>38870</v>
      </c>
      <c r="D1997" t="s">
        <v>38871</v>
      </c>
      <c r="E1997" t="s">
        <v>38872</v>
      </c>
      <c r="F1997" t="s">
        <v>38873</v>
      </c>
      <c r="G1997" t="s">
        <v>38874</v>
      </c>
      <c r="H1997" t="s">
        <v>38875</v>
      </c>
      <c r="I1997" t="s">
        <v>38876</v>
      </c>
      <c r="J1997" t="s">
        <v>38877</v>
      </c>
      <c r="K1997" t="s">
        <v>38878</v>
      </c>
      <c r="L1997" t="s">
        <v>38879</v>
      </c>
      <c r="M1997" t="s">
        <v>38880</v>
      </c>
      <c r="N1997" t="s">
        <v>38881</v>
      </c>
      <c r="O1997">
        <f>-661.892294651816 -129.674716902251 -519.32143172002</f>
        <v>-1310.888443274087</v>
      </c>
      <c r="P1997">
        <f>-578.92348023352 -179.703438293471 -254.384083907235</f>
        <v>-1013.0110024342259</v>
      </c>
      <c r="Q1997">
        <f>-455.478595245775 -54.028483622659 -405.763261328274</f>
        <v>-915.27034019670805</v>
      </c>
      <c r="R1997" t="s">
        <v>38882</v>
      </c>
      <c r="S1997" t="s">
        <v>38883</v>
      </c>
      <c r="T1997" t="s">
        <v>38884</v>
      </c>
      <c r="U1997" t="s">
        <v>38885</v>
      </c>
      <c r="V1997">
        <f>-592.168931919986 -51.6439945988043 -92.0164607068695</f>
        <v>-735.82938722565973</v>
      </c>
      <c r="W1997" t="s">
        <v>38886</v>
      </c>
      <c r="X1997" t="s">
        <v>38887</v>
      </c>
      <c r="Y1997" t="s">
        <v>38888</v>
      </c>
    </row>
    <row r="1998" spans="1:25" x14ac:dyDescent="0.3">
      <c r="A1998">
        <v>99850</v>
      </c>
      <c r="B1998" t="s">
        <v>38889</v>
      </c>
      <c r="C1998" t="s">
        <v>38890</v>
      </c>
      <c r="D1998" t="s">
        <v>38891</v>
      </c>
      <c r="E1998" t="s">
        <v>38892</v>
      </c>
      <c r="F1998" t="s">
        <v>38893</v>
      </c>
      <c r="G1998" t="s">
        <v>38894</v>
      </c>
      <c r="H1998" t="s">
        <v>38895</v>
      </c>
      <c r="I1998" t="s">
        <v>38896</v>
      </c>
      <c r="J1998" t="s">
        <v>38897</v>
      </c>
      <c r="K1998" t="s">
        <v>38898</v>
      </c>
      <c r="L1998" t="s">
        <v>38899</v>
      </c>
      <c r="M1998" t="s">
        <v>38900</v>
      </c>
      <c r="N1998" t="s">
        <v>38901</v>
      </c>
      <c r="O1998">
        <f>-661.91320020084 -129.817411642514 -519.292048416307</f>
        <v>-1311.0226602596611</v>
      </c>
      <c r="P1998">
        <f>-579.807315205772 -179.730167701297 -254.063956102258</f>
        <v>-1013.601439009327</v>
      </c>
      <c r="Q1998">
        <f>-455.567930631154 -54.3969746897092 -405.076215327046</f>
        <v>-915.04112064790911</v>
      </c>
      <c r="R1998" t="s">
        <v>38902</v>
      </c>
      <c r="S1998" t="s">
        <v>38903</v>
      </c>
      <c r="T1998" t="s">
        <v>38904</v>
      </c>
      <c r="U1998" t="s">
        <v>38905</v>
      </c>
      <c r="V1998">
        <f>-592.603667531566 -51.8567287406422 -92.0231397846286</f>
        <v>-736.48353605683678</v>
      </c>
      <c r="W1998" t="s">
        <v>38906</v>
      </c>
      <c r="X1998" t="s">
        <v>38907</v>
      </c>
      <c r="Y1998" t="s">
        <v>38908</v>
      </c>
    </row>
    <row r="1999" spans="1:25" x14ac:dyDescent="0.3">
      <c r="A1999">
        <v>99900</v>
      </c>
      <c r="B1999" t="s">
        <v>38909</v>
      </c>
      <c r="C1999" t="s">
        <v>38910</v>
      </c>
      <c r="D1999" t="s">
        <v>38911</v>
      </c>
      <c r="E1999" t="s">
        <v>38912</v>
      </c>
      <c r="F1999" t="s">
        <v>38913</v>
      </c>
      <c r="G1999" t="s">
        <v>38914</v>
      </c>
      <c r="H1999" t="s">
        <v>38915</v>
      </c>
      <c r="I1999" t="s">
        <v>38916</v>
      </c>
      <c r="J1999" t="s">
        <v>38917</v>
      </c>
      <c r="K1999" t="s">
        <v>38918</v>
      </c>
      <c r="L1999" t="s">
        <v>38919</v>
      </c>
      <c r="M1999" t="s">
        <v>38920</v>
      </c>
      <c r="N1999" t="s">
        <v>38921</v>
      </c>
      <c r="O1999">
        <f>-661.862995620973 -129.615256117493 -519.274423700268</f>
        <v>-1310.7526754387341</v>
      </c>
      <c r="P1999">
        <f>-581.170880547169 -179.055962406592 -253.524617148817</f>
        <v>-1013.751460102578</v>
      </c>
      <c r="Q1999">
        <f>-455.544290291599 -54.3461840565128 -403.903998171946</f>
        <v>-913.79447252005775</v>
      </c>
      <c r="R1999" t="s">
        <v>38922</v>
      </c>
      <c r="S1999" t="s">
        <v>38923</v>
      </c>
      <c r="T1999" t="s">
        <v>38924</v>
      </c>
      <c r="U1999" t="s">
        <v>38925</v>
      </c>
      <c r="V1999">
        <f>-593.27184517763 -51.9209982985608 -92.01154078683</f>
        <v>-737.20438426302076</v>
      </c>
      <c r="W1999" t="s">
        <v>38926</v>
      </c>
      <c r="X1999" t="s">
        <v>38927</v>
      </c>
      <c r="Y1999" t="s">
        <v>38928</v>
      </c>
    </row>
    <row r="2000" spans="1:25" x14ac:dyDescent="0.3">
      <c r="A2000">
        <v>99950</v>
      </c>
      <c r="B2000" t="s">
        <v>38929</v>
      </c>
      <c r="C2000" t="s">
        <v>38930</v>
      </c>
      <c r="D2000" t="s">
        <v>38931</v>
      </c>
      <c r="E2000" t="s">
        <v>38932</v>
      </c>
      <c r="F2000" t="s">
        <v>38933</v>
      </c>
      <c r="G2000" t="s">
        <v>38934</v>
      </c>
      <c r="H2000" t="s">
        <v>38935</v>
      </c>
      <c r="I2000" t="s">
        <v>38936</v>
      </c>
      <c r="J2000" t="s">
        <v>38937</v>
      </c>
      <c r="K2000" t="s">
        <v>38938</v>
      </c>
      <c r="L2000" t="s">
        <v>38939</v>
      </c>
      <c r="M2000" t="s">
        <v>38940</v>
      </c>
      <c r="N2000" t="s">
        <v>38941</v>
      </c>
      <c r="O2000">
        <f>-661.598676070411 -129.350630263405 -519.382733099407</f>
        <v>-1310.3320394332231</v>
      </c>
      <c r="P2000">
        <f>-581.491972625842 -178.747674159531 -253.4477368778</f>
        <v>-1013.687383663173</v>
      </c>
      <c r="Q2000">
        <f>-455.344902559792 -54.1433122473372 -403.47826491027</f>
        <v>-912.96647971739912</v>
      </c>
      <c r="R2000" t="s">
        <v>38942</v>
      </c>
      <c r="S2000" t="s">
        <v>38943</v>
      </c>
      <c r="T2000" t="s">
        <v>38944</v>
      </c>
      <c r="U2000" t="s">
        <v>38945</v>
      </c>
      <c r="V2000">
        <f>-593.46257680874 -51.7381788205591 -92.0528967608548</f>
        <v>-737.25365239015389</v>
      </c>
      <c r="W2000" t="s">
        <v>38946</v>
      </c>
      <c r="X2000" t="s">
        <v>38947</v>
      </c>
      <c r="Y2000" t="s">
        <v>38948</v>
      </c>
    </row>
    <row r="2001" spans="1:25" x14ac:dyDescent="0.3">
      <c r="A2001">
        <v>100000</v>
      </c>
      <c r="B2001" t="s">
        <v>38949</v>
      </c>
      <c r="C2001" t="s">
        <v>38950</v>
      </c>
      <c r="D2001" t="s">
        <v>38951</v>
      </c>
      <c r="E2001" t="s">
        <v>38952</v>
      </c>
      <c r="F2001" t="s">
        <v>38953</v>
      </c>
      <c r="G2001" t="s">
        <v>38954</v>
      </c>
      <c r="H2001" t="s">
        <v>38955</v>
      </c>
      <c r="I2001" t="s">
        <v>38956</v>
      </c>
      <c r="J2001" t="s">
        <v>38957</v>
      </c>
      <c r="K2001" t="s">
        <v>38958</v>
      </c>
      <c r="L2001" t="s">
        <v>38959</v>
      </c>
      <c r="M2001" t="s">
        <v>38960</v>
      </c>
      <c r="N2001" t="s">
        <v>38961</v>
      </c>
      <c r="O2001">
        <f>-660.530859414969 -129.079129562042 -519.694005565653</f>
        <v>-1309.303994542664</v>
      </c>
      <c r="P2001">
        <f>-581.419808652565 -178.256739474417 -253.420579488945</f>
        <v>-1013.0971276159271</v>
      </c>
      <c r="Q2001">
        <f>-454.443510817183 -53.7599325710473 -402.839793670808</f>
        <v>-911.04323705903835</v>
      </c>
      <c r="R2001" t="s">
        <v>38962</v>
      </c>
      <c r="S2001" t="s">
        <v>38963</v>
      </c>
      <c r="T2001" t="s">
        <v>38964</v>
      </c>
      <c r="U2001" t="s">
        <v>38965</v>
      </c>
      <c r="V2001">
        <f>-593.721747491912 -51.5168423113516 -92.1973275719706</f>
        <v>-737.43591737523423</v>
      </c>
      <c r="W2001" t="s">
        <v>38966</v>
      </c>
      <c r="X2001" t="s">
        <v>38967</v>
      </c>
      <c r="Y2001" t="s">
        <v>38968</v>
      </c>
    </row>
    <row r="2002" spans="1:25" x14ac:dyDescent="0.3">
      <c r="A2002">
        <v>100050</v>
      </c>
      <c r="B2002" t="s">
        <v>38969</v>
      </c>
      <c r="C2002" t="s">
        <v>38970</v>
      </c>
      <c r="D2002" t="s">
        <v>38971</v>
      </c>
      <c r="E2002" t="s">
        <v>38972</v>
      </c>
      <c r="F2002" t="s">
        <v>38973</v>
      </c>
      <c r="G2002" t="s">
        <v>38974</v>
      </c>
      <c r="H2002" t="s">
        <v>38975</v>
      </c>
      <c r="I2002" t="s">
        <v>38976</v>
      </c>
      <c r="J2002" t="s">
        <v>38977</v>
      </c>
      <c r="K2002" t="s">
        <v>38978</v>
      </c>
      <c r="L2002" t="s">
        <v>38979</v>
      </c>
      <c r="M2002" t="s">
        <v>38980</v>
      </c>
      <c r="N2002" t="s">
        <v>38981</v>
      </c>
      <c r="O2002">
        <f>-659.92101408047 -128.966465260781 -519.78673126801</f>
        <v>-1308.6742106092611</v>
      </c>
      <c r="P2002">
        <f>-581.111620028915 -178.029836486627 -253.402676840864</f>
        <v>-1012.5441333564061</v>
      </c>
      <c r="Q2002">
        <f>-453.866116840029 -53.5354224793998 -402.594696585216</f>
        <v>-909.99623590464489</v>
      </c>
      <c r="R2002" t="s">
        <v>38982</v>
      </c>
      <c r="S2002" t="s">
        <v>38983</v>
      </c>
      <c r="T2002" t="s">
        <v>38984</v>
      </c>
      <c r="U2002" t="s">
        <v>38985</v>
      </c>
      <c r="V2002">
        <f>-593.801511331505 -51.3758935624114 -92.2522297301464</f>
        <v>-737.42963462406283</v>
      </c>
      <c r="W2002" t="s">
        <v>38986</v>
      </c>
      <c r="X2002" t="s">
        <v>38987</v>
      </c>
      <c r="Y2002" t="s">
        <v>38988</v>
      </c>
    </row>
    <row r="2003" spans="1:25" x14ac:dyDescent="0.3">
      <c r="A2003">
        <v>100100</v>
      </c>
      <c r="B2003" t="s">
        <v>38989</v>
      </c>
      <c r="C2003" t="s">
        <v>38990</v>
      </c>
      <c r="D2003" t="s">
        <v>38991</v>
      </c>
      <c r="E2003" t="s">
        <v>38992</v>
      </c>
      <c r="F2003" t="s">
        <v>38993</v>
      </c>
      <c r="G2003" t="s">
        <v>38994</v>
      </c>
      <c r="H2003" t="s">
        <v>38995</v>
      </c>
      <c r="I2003" t="s">
        <v>38996</v>
      </c>
      <c r="J2003" t="s">
        <v>38997</v>
      </c>
      <c r="K2003" t="s">
        <v>38998</v>
      </c>
      <c r="L2003" t="s">
        <v>38999</v>
      </c>
      <c r="M2003" t="s">
        <v>39000</v>
      </c>
      <c r="N2003" t="s">
        <v>39001</v>
      </c>
      <c r="O2003">
        <f>-658.768393389669 -128.715375063599 -519.759827660846</f>
        <v>-1307.2435961141141</v>
      </c>
      <c r="P2003">
        <f>-580.313935816836 -177.260228583781 -253.176140658378</f>
        <v>-1010.750305058995</v>
      </c>
      <c r="Q2003">
        <f>-453.104299560136 -52.8297134313111 -402.452095834135</f>
        <v>-908.38610882558214</v>
      </c>
      <c r="R2003" t="s">
        <v>39002</v>
      </c>
      <c r="S2003" t="s">
        <v>39003</v>
      </c>
      <c r="T2003" t="s">
        <v>39004</v>
      </c>
      <c r="U2003" t="s">
        <v>39005</v>
      </c>
      <c r="V2003">
        <f>-593.662185479151 -51.0803591940378 -92.3161175776893</f>
        <v>-737.05866225087811</v>
      </c>
      <c r="W2003" t="s">
        <v>39006</v>
      </c>
      <c r="X2003" t="s">
        <v>39007</v>
      </c>
      <c r="Y2003" t="s">
        <v>39008</v>
      </c>
    </row>
    <row r="2004" spans="1:25" x14ac:dyDescent="0.3">
      <c r="A2004">
        <v>100150</v>
      </c>
      <c r="B2004" t="s">
        <v>39009</v>
      </c>
      <c r="C2004" t="s">
        <v>39010</v>
      </c>
      <c r="D2004" t="s">
        <v>39011</v>
      </c>
      <c r="E2004" t="s">
        <v>39012</v>
      </c>
      <c r="F2004" t="s">
        <v>39013</v>
      </c>
      <c r="G2004" t="s">
        <v>39014</v>
      </c>
      <c r="H2004" t="s">
        <v>39015</v>
      </c>
      <c r="I2004" t="s">
        <v>39016</v>
      </c>
      <c r="J2004" t="s">
        <v>39017</v>
      </c>
      <c r="K2004" t="s">
        <v>39018</v>
      </c>
      <c r="L2004" t="s">
        <v>39019</v>
      </c>
      <c r="M2004" t="s">
        <v>39020</v>
      </c>
      <c r="N2004" t="s">
        <v>39021</v>
      </c>
      <c r="O2004">
        <f>-658.211515747362 -128.587330848194 -519.735005897437</f>
        <v>-1306.533852492993</v>
      </c>
      <c r="P2004">
        <f>-580.002165951292 -176.900922302759 -253.037092803184</f>
        <v>-1009.940181057235</v>
      </c>
      <c r="Q2004">
        <f>-452.939888153104 -52.3307242032542 -402.322305182377</f>
        <v>-907.59291753873526</v>
      </c>
      <c r="R2004" t="s">
        <v>39022</v>
      </c>
      <c r="S2004" t="s">
        <v>39023</v>
      </c>
      <c r="T2004" t="s">
        <v>39024</v>
      </c>
      <c r="U2004" t="s">
        <v>39025</v>
      </c>
      <c r="V2004">
        <f>-593.545681688788 -50.8157147745992 -92.3376453669824</f>
        <v>-736.69904183036965</v>
      </c>
      <c r="W2004" t="s">
        <v>39026</v>
      </c>
      <c r="X2004" t="s">
        <v>39027</v>
      </c>
      <c r="Y2004" t="s">
        <v>39028</v>
      </c>
    </row>
    <row r="2005" spans="1:25" x14ac:dyDescent="0.3">
      <c r="A2005">
        <v>100200</v>
      </c>
      <c r="B2005" t="s">
        <v>39029</v>
      </c>
      <c r="C2005" t="s">
        <v>39030</v>
      </c>
      <c r="D2005" t="s">
        <v>39031</v>
      </c>
      <c r="E2005" t="s">
        <v>39032</v>
      </c>
      <c r="F2005" t="s">
        <v>39033</v>
      </c>
      <c r="G2005" t="s">
        <v>39034</v>
      </c>
      <c r="H2005" t="s">
        <v>39035</v>
      </c>
      <c r="I2005" t="s">
        <v>39036</v>
      </c>
      <c r="J2005" t="s">
        <v>39037</v>
      </c>
      <c r="K2005" t="s">
        <v>39038</v>
      </c>
      <c r="L2005" t="s">
        <v>39039</v>
      </c>
      <c r="M2005" t="s">
        <v>39040</v>
      </c>
      <c r="N2005" t="s">
        <v>39041</v>
      </c>
      <c r="O2005">
        <f>-657.165422342774 -127.959902870004 -519.515633720649</f>
        <v>-1304.6409589334271</v>
      </c>
      <c r="P2005">
        <f>-579.279450797222 -175.57665056748 -252.598008243717</f>
        <v>-1007.454109608419</v>
      </c>
      <c r="Q2005">
        <f>-452.355751473774 -50.8275597433212 -401.851222774564</f>
        <v>-905.03453399165915</v>
      </c>
      <c r="R2005" t="s">
        <v>39042</v>
      </c>
      <c r="S2005" t="s">
        <v>39043</v>
      </c>
      <c r="T2005" t="s">
        <v>39044</v>
      </c>
      <c r="U2005" t="s">
        <v>39045</v>
      </c>
      <c r="V2005">
        <f>-593.173568483085 -49.8183909863214 -92.3121936817308</f>
        <v>-735.30415315113726</v>
      </c>
      <c r="W2005" t="s">
        <v>39046</v>
      </c>
      <c r="X2005" t="s">
        <v>39047</v>
      </c>
      <c r="Y2005" t="s">
        <v>39048</v>
      </c>
    </row>
    <row r="2006" spans="1:25" x14ac:dyDescent="0.3">
      <c r="A2006">
        <v>100250</v>
      </c>
      <c r="B2006" t="s">
        <v>39049</v>
      </c>
      <c r="C2006" t="s">
        <v>39050</v>
      </c>
      <c r="D2006" t="s">
        <v>39051</v>
      </c>
      <c r="E2006" t="s">
        <v>39052</v>
      </c>
      <c r="F2006" t="s">
        <v>39053</v>
      </c>
      <c r="G2006" t="s">
        <v>39054</v>
      </c>
      <c r="H2006" t="s">
        <v>39055</v>
      </c>
      <c r="I2006" t="s">
        <v>39056</v>
      </c>
      <c r="J2006" t="s">
        <v>39057</v>
      </c>
      <c r="K2006" t="s">
        <v>39058</v>
      </c>
      <c r="L2006" t="s">
        <v>39059</v>
      </c>
      <c r="M2006" t="s">
        <v>39060</v>
      </c>
      <c r="N2006" t="s">
        <v>39061</v>
      </c>
      <c r="O2006">
        <f>-656.712566162913 -127.670067967017 -519.356971944581</f>
        <v>-1303.7396060745109</v>
      </c>
      <c r="P2006">
        <f>-578.93686929413 -174.837033655971 -252.327346737985</f>
        <v>-1006.101249688086</v>
      </c>
      <c r="Q2006">
        <f>-451.868613893314 -50.1807249812357 -401.535330203999</f>
        <v>-903.5846690785487</v>
      </c>
      <c r="R2006" t="s">
        <v>39062</v>
      </c>
      <c r="S2006" t="s">
        <v>39063</v>
      </c>
      <c r="T2006" t="s">
        <v>39064</v>
      </c>
      <c r="U2006" t="s">
        <v>39065</v>
      </c>
      <c r="V2006">
        <f>-592.974173736783 -49.343848488739 -92.2958018456156</f>
        <v>-734.61382407113763</v>
      </c>
      <c r="W2006" t="s">
        <v>39066</v>
      </c>
      <c r="X2006" t="s">
        <v>39067</v>
      </c>
      <c r="Y2006" t="s">
        <v>39068</v>
      </c>
    </row>
    <row r="2007" spans="1:25" x14ac:dyDescent="0.3">
      <c r="A2007">
        <v>100300</v>
      </c>
      <c r="B2007" t="s">
        <v>39069</v>
      </c>
      <c r="C2007" t="s">
        <v>39070</v>
      </c>
      <c r="D2007" t="s">
        <v>39071</v>
      </c>
      <c r="E2007" t="s">
        <v>39072</v>
      </c>
      <c r="F2007" t="s">
        <v>39073</v>
      </c>
      <c r="G2007" t="s">
        <v>39074</v>
      </c>
      <c r="H2007" t="s">
        <v>39075</v>
      </c>
      <c r="I2007" t="s">
        <v>39076</v>
      </c>
      <c r="J2007" t="s">
        <v>39077</v>
      </c>
      <c r="K2007" t="s">
        <v>39078</v>
      </c>
      <c r="L2007" t="s">
        <v>39079</v>
      </c>
      <c r="M2007" t="s">
        <v>39080</v>
      </c>
      <c r="N2007" t="s">
        <v>39081</v>
      </c>
      <c r="O2007">
        <f>-655.98315128952 -127.042752212188 -518.923466409521</f>
        <v>-1301.949369911229</v>
      </c>
      <c r="P2007">
        <f>-578.610372935001 -172.926556361723 -251.553340601297</f>
        <v>-1003.090269898021</v>
      </c>
      <c r="Q2007">
        <f>-450.60259326359 -49.1966835939722 -400.729262348625</f>
        <v>-900.52853920618713</v>
      </c>
      <c r="R2007" t="s">
        <v>39082</v>
      </c>
      <c r="S2007" t="s">
        <v>39083</v>
      </c>
      <c r="T2007" t="s">
        <v>39084</v>
      </c>
      <c r="U2007" t="s">
        <v>39085</v>
      </c>
      <c r="V2007">
        <f>-592.381287302287 -48.3952135181128 -92.233012886514</f>
        <v>-733.00951370691371</v>
      </c>
      <c r="W2007" t="s">
        <v>39086</v>
      </c>
      <c r="X2007" t="s">
        <v>39087</v>
      </c>
      <c r="Y2007" t="s">
        <v>39088</v>
      </c>
    </row>
    <row r="2008" spans="1:25" x14ac:dyDescent="0.3">
      <c r="A2008">
        <v>100350</v>
      </c>
      <c r="B2008" t="s">
        <v>39089</v>
      </c>
      <c r="C2008" t="s">
        <v>39090</v>
      </c>
      <c r="D2008" t="s">
        <v>39091</v>
      </c>
      <c r="E2008" t="s">
        <v>39092</v>
      </c>
      <c r="F2008" t="s">
        <v>39093</v>
      </c>
      <c r="G2008" t="s">
        <v>39094</v>
      </c>
      <c r="H2008" t="s">
        <v>39095</v>
      </c>
      <c r="I2008" t="s">
        <v>39096</v>
      </c>
      <c r="J2008" t="s">
        <v>39097</v>
      </c>
      <c r="K2008" t="s">
        <v>39098</v>
      </c>
      <c r="L2008" t="s">
        <v>39099</v>
      </c>
      <c r="M2008" t="s">
        <v>39100</v>
      </c>
      <c r="N2008" t="s">
        <v>39101</v>
      </c>
      <c r="O2008">
        <f>-655.670167381832 -126.657735960945 -518.72314276546</f>
        <v>-1301.0510461082372</v>
      </c>
      <c r="P2008">
        <f>-578.599716527165 -172.114800118718 -251.193057593721</f>
        <v>-1001.9075742396039</v>
      </c>
      <c r="Q2008">
        <f>-450.092747475864 -48.7696932206757 -400.258513547248</f>
        <v>-899.12095424378776</v>
      </c>
      <c r="R2008" t="s">
        <v>39102</v>
      </c>
      <c r="S2008" t="s">
        <v>39103</v>
      </c>
      <c r="T2008" t="s">
        <v>39104</v>
      </c>
      <c r="U2008" t="s">
        <v>39105</v>
      </c>
      <c r="V2008">
        <f>-592.051855030694 -47.926956817621 -92.1875337960066</f>
        <v>-732.16634564432161</v>
      </c>
      <c r="W2008" t="s">
        <v>39106</v>
      </c>
      <c r="X2008" t="s">
        <v>39107</v>
      </c>
      <c r="Y2008" t="s">
        <v>39108</v>
      </c>
    </row>
    <row r="2009" spans="1:25" x14ac:dyDescent="0.3">
      <c r="A2009">
        <v>100400</v>
      </c>
      <c r="B2009" t="s">
        <v>39109</v>
      </c>
      <c r="C2009" t="s">
        <v>39110</v>
      </c>
      <c r="D2009" t="s">
        <v>39111</v>
      </c>
      <c r="E2009" t="s">
        <v>39112</v>
      </c>
      <c r="F2009" t="s">
        <v>39113</v>
      </c>
      <c r="G2009" t="s">
        <v>39114</v>
      </c>
      <c r="H2009" t="s">
        <v>39115</v>
      </c>
      <c r="I2009" t="s">
        <v>39116</v>
      </c>
      <c r="J2009" t="s">
        <v>39117</v>
      </c>
      <c r="K2009" t="s">
        <v>39118</v>
      </c>
      <c r="L2009" t="s">
        <v>39119</v>
      </c>
      <c r="M2009" t="s">
        <v>39120</v>
      </c>
      <c r="N2009" t="s">
        <v>39121</v>
      </c>
      <c r="O2009">
        <f>-655.292413489644 -125.987151042481 -518.29331172151</f>
        <v>-1299.5728762536351</v>
      </c>
      <c r="P2009">
        <f>-578.853686704911 -170.663224170697 -250.450489021007</f>
        <v>-999.96739989661489</v>
      </c>
      <c r="Q2009">
        <f>-449.500588848868 -48.2837460782187 -399.579851552106</f>
        <v>-897.36418647919277</v>
      </c>
      <c r="R2009" t="s">
        <v>39122</v>
      </c>
      <c r="S2009" t="s">
        <v>39123</v>
      </c>
      <c r="T2009" t="s">
        <v>39124</v>
      </c>
      <c r="U2009" t="s">
        <v>39125</v>
      </c>
      <c r="V2009">
        <f>-591.313346629765 -46.981665547027 -92.0765417074095</f>
        <v>-730.37155388420149</v>
      </c>
      <c r="W2009" t="s">
        <v>39126</v>
      </c>
      <c r="X2009" t="s">
        <v>39127</v>
      </c>
      <c r="Y2009" t="s">
        <v>39128</v>
      </c>
    </row>
    <row r="2010" spans="1:25" x14ac:dyDescent="0.3">
      <c r="A2010">
        <v>100450</v>
      </c>
      <c r="B2010" t="s">
        <v>39129</v>
      </c>
      <c r="C2010" t="s">
        <v>39130</v>
      </c>
      <c r="D2010" t="s">
        <v>39131</v>
      </c>
      <c r="E2010" t="s">
        <v>39132</v>
      </c>
      <c r="F2010" t="s">
        <v>39133</v>
      </c>
      <c r="G2010" t="s">
        <v>39134</v>
      </c>
      <c r="H2010" t="s">
        <v>39135</v>
      </c>
      <c r="I2010" t="s">
        <v>39136</v>
      </c>
      <c r="J2010" t="s">
        <v>39137</v>
      </c>
      <c r="K2010" t="s">
        <v>39138</v>
      </c>
      <c r="L2010" t="s">
        <v>39139</v>
      </c>
      <c r="M2010" t="s">
        <v>39140</v>
      </c>
      <c r="N2010" t="s">
        <v>39141</v>
      </c>
      <c r="O2010">
        <f>-655.152561077976 -125.662569897017 -518.033291724941</f>
        <v>-1298.848422699934</v>
      </c>
      <c r="P2010">
        <f>-578.935502718855 -170.061109334414 -250.081123901886</f>
        <v>-999.07773595515505</v>
      </c>
      <c r="Q2010">
        <f>-449.395622015551 -48.0428097558138 -399.344305735481</f>
        <v>-896.78273750684571</v>
      </c>
      <c r="R2010" t="s">
        <v>39142</v>
      </c>
      <c r="S2010" t="s">
        <v>39143</v>
      </c>
      <c r="T2010" t="s">
        <v>39144</v>
      </c>
      <c r="U2010" t="s">
        <v>39145</v>
      </c>
      <c r="V2010">
        <f>-590.94866976652 -46.4828002788402 -92.0053062498197</f>
        <v>-729.43677629517981</v>
      </c>
      <c r="W2010" t="s">
        <v>39146</v>
      </c>
      <c r="X2010" t="s">
        <v>39147</v>
      </c>
      <c r="Y2010" t="s">
        <v>39148</v>
      </c>
    </row>
    <row r="2011" spans="1:25" x14ac:dyDescent="0.3">
      <c r="A2011">
        <v>100500</v>
      </c>
      <c r="B2011" t="s">
        <v>39149</v>
      </c>
      <c r="C2011" t="s">
        <v>39150</v>
      </c>
      <c r="D2011" t="s">
        <v>39151</v>
      </c>
      <c r="E2011" t="s">
        <v>39152</v>
      </c>
      <c r="F2011" t="s">
        <v>39153</v>
      </c>
      <c r="G2011" t="s">
        <v>39154</v>
      </c>
      <c r="H2011" t="s">
        <v>39155</v>
      </c>
      <c r="I2011" t="s">
        <v>39156</v>
      </c>
      <c r="J2011" t="s">
        <v>39157</v>
      </c>
      <c r="K2011" t="s">
        <v>39158</v>
      </c>
      <c r="L2011" t="s">
        <v>39159</v>
      </c>
      <c r="M2011" t="s">
        <v>39160</v>
      </c>
      <c r="N2011" t="s">
        <v>39161</v>
      </c>
      <c r="O2011">
        <f>-655.025592970992 -125.07405491979 -517.54308854551</f>
        <v>-1297.6427364362921</v>
      </c>
      <c r="P2011">
        <f>-579.049527447432 -168.898688969085 -249.428144494819</f>
        <v>-997.37636091133595</v>
      </c>
      <c r="Q2011">
        <f>-449.262082727304 -47.7378099845721 -399.173756813503</f>
        <v>-896.17364952537912</v>
      </c>
      <c r="R2011" t="s">
        <v>39162</v>
      </c>
      <c r="S2011" t="s">
        <v>39163</v>
      </c>
      <c r="T2011" t="s">
        <v>39164</v>
      </c>
      <c r="U2011" t="s">
        <v>39165</v>
      </c>
      <c r="V2011">
        <f>-590.210008297008 -45.546825485259 -91.8972687842008</f>
        <v>-727.65410256646783</v>
      </c>
      <c r="W2011" t="s">
        <v>39166</v>
      </c>
      <c r="X2011" t="s">
        <v>39167</v>
      </c>
      <c r="Y2011" t="s">
        <v>39168</v>
      </c>
    </row>
    <row r="2012" spans="1:25" x14ac:dyDescent="0.3">
      <c r="A2012">
        <v>100550</v>
      </c>
      <c r="B2012" t="s">
        <v>39169</v>
      </c>
      <c r="C2012" t="s">
        <v>39170</v>
      </c>
      <c r="D2012" t="s">
        <v>39171</v>
      </c>
      <c r="E2012" t="s">
        <v>39172</v>
      </c>
      <c r="F2012" t="s">
        <v>39173</v>
      </c>
      <c r="G2012" t="s">
        <v>39174</v>
      </c>
      <c r="H2012" t="s">
        <v>39175</v>
      </c>
      <c r="I2012" t="s">
        <v>39176</v>
      </c>
      <c r="J2012" t="s">
        <v>39177</v>
      </c>
      <c r="K2012" t="s">
        <v>39178</v>
      </c>
      <c r="L2012" t="s">
        <v>39179</v>
      </c>
      <c r="M2012" t="s">
        <v>39180</v>
      </c>
      <c r="N2012" t="s">
        <v>39181</v>
      </c>
      <c r="O2012">
        <f>-654.921253963984 -124.857458240911 -517.372049164415</f>
        <v>-1297.15076136931</v>
      </c>
      <c r="P2012">
        <f>-579.032405842026 -168.363868007729 -249.180575607437</f>
        <v>-996.57684945719211</v>
      </c>
      <c r="Q2012">
        <f>-449.140526343663 -47.5929359328725 -399.150629156605</f>
        <v>-895.8840914331405</v>
      </c>
      <c r="R2012" t="s">
        <v>39182</v>
      </c>
      <c r="S2012" t="s">
        <v>39183</v>
      </c>
      <c r="T2012" t="s">
        <v>39184</v>
      </c>
      <c r="U2012" t="s">
        <v>39185</v>
      </c>
      <c r="V2012">
        <f>-589.929891110092 -45.189100601719 -91.8526830574556</f>
        <v>-726.97167476926654</v>
      </c>
      <c r="W2012" t="s">
        <v>39186</v>
      </c>
      <c r="X2012" t="s">
        <v>39187</v>
      </c>
      <c r="Y2012" t="s">
        <v>39188</v>
      </c>
    </row>
    <row r="2013" spans="1:25" x14ac:dyDescent="0.3">
      <c r="A2013">
        <v>100600</v>
      </c>
      <c r="B2013" t="s">
        <v>39189</v>
      </c>
      <c r="C2013" t="s">
        <v>39190</v>
      </c>
      <c r="D2013" t="s">
        <v>39191</v>
      </c>
      <c r="E2013" t="s">
        <v>39192</v>
      </c>
      <c r="F2013" t="s">
        <v>39193</v>
      </c>
      <c r="G2013" t="s">
        <v>39194</v>
      </c>
      <c r="H2013" t="s">
        <v>39195</v>
      </c>
      <c r="I2013" t="s">
        <v>39196</v>
      </c>
      <c r="J2013" t="s">
        <v>39197</v>
      </c>
      <c r="K2013" t="s">
        <v>39198</v>
      </c>
      <c r="L2013" t="s">
        <v>39199</v>
      </c>
      <c r="M2013" t="s">
        <v>39200</v>
      </c>
      <c r="N2013" t="s">
        <v>39201</v>
      </c>
      <c r="O2013">
        <f>-654.872414409411 -124.461424863943 -517.114869600225</f>
        <v>-1296.4487088735791</v>
      </c>
      <c r="P2013">
        <f>-578.839607740751 -167.756104351454 -248.929929679827</f>
        <v>-995.52564177203203</v>
      </c>
      <c r="Q2013">
        <f>-449.068923331588 -47.0471083321765 -399.054660238272</f>
        <v>-895.17069190203642</v>
      </c>
      <c r="R2013" t="s">
        <v>39202</v>
      </c>
      <c r="S2013" t="s">
        <v>39203</v>
      </c>
      <c r="T2013" t="s">
        <v>39204</v>
      </c>
      <c r="U2013" t="s">
        <v>39205</v>
      </c>
      <c r="V2013">
        <f>-589.407187701579 -44.6975255224129 -91.7891740019074</f>
        <v>-725.89388722589933</v>
      </c>
      <c r="W2013" t="s">
        <v>39206</v>
      </c>
      <c r="X2013" t="s">
        <v>39207</v>
      </c>
      <c r="Y2013" t="s">
        <v>39208</v>
      </c>
    </row>
    <row r="2014" spans="1:25" x14ac:dyDescent="0.3">
      <c r="A2014">
        <v>100650</v>
      </c>
      <c r="B2014" t="s">
        <v>39209</v>
      </c>
      <c r="C2014" t="s">
        <v>39210</v>
      </c>
      <c r="D2014" t="s">
        <v>39211</v>
      </c>
      <c r="E2014" t="s">
        <v>39212</v>
      </c>
      <c r="F2014" t="s">
        <v>39213</v>
      </c>
      <c r="G2014" t="s">
        <v>39214</v>
      </c>
      <c r="H2014" t="s">
        <v>39215</v>
      </c>
      <c r="I2014" t="s">
        <v>39216</v>
      </c>
      <c r="J2014" t="s">
        <v>39217</v>
      </c>
      <c r="K2014" t="s">
        <v>39218</v>
      </c>
      <c r="L2014" t="s">
        <v>39219</v>
      </c>
      <c r="M2014" t="s">
        <v>39220</v>
      </c>
      <c r="N2014" t="s">
        <v>39221</v>
      </c>
      <c r="O2014">
        <f>-654.807285386376 -124.207487703381 -517.074472072179</f>
        <v>-1296.0892451619361</v>
      </c>
      <c r="P2014">
        <f>-578.732111892221 -167.440623295598 -248.89153752657</f>
        <v>-995.06427271438906</v>
      </c>
      <c r="Q2014">
        <f>-449.107484978973 -46.6707093876987 -399.093413360282</f>
        <v>-894.8716077269537</v>
      </c>
      <c r="R2014" t="s">
        <v>39222</v>
      </c>
      <c r="S2014" t="s">
        <v>39223</v>
      </c>
      <c r="T2014" t="s">
        <v>39224</v>
      </c>
      <c r="U2014" t="s">
        <v>39225</v>
      </c>
      <c r="V2014">
        <f>-589.252078724632 -44.5712777073704 -91.7753167293649</f>
        <v>-725.5986731613674</v>
      </c>
      <c r="W2014" t="s">
        <v>39226</v>
      </c>
      <c r="X2014" t="s">
        <v>39227</v>
      </c>
      <c r="Y2014" t="s">
        <v>39228</v>
      </c>
    </row>
    <row r="2015" spans="1:25" x14ac:dyDescent="0.3">
      <c r="A2015">
        <v>100700</v>
      </c>
      <c r="B2015" t="s">
        <v>39229</v>
      </c>
      <c r="C2015" t="s">
        <v>39230</v>
      </c>
      <c r="D2015" t="s">
        <v>39231</v>
      </c>
      <c r="E2015" t="s">
        <v>39232</v>
      </c>
      <c r="F2015" t="s">
        <v>39233</v>
      </c>
      <c r="G2015" t="s">
        <v>39234</v>
      </c>
      <c r="H2015" t="s">
        <v>39235</v>
      </c>
      <c r="I2015" t="s">
        <v>39236</v>
      </c>
      <c r="J2015" t="s">
        <v>39237</v>
      </c>
      <c r="K2015" t="s">
        <v>39238</v>
      </c>
      <c r="L2015" t="s">
        <v>39239</v>
      </c>
      <c r="M2015" t="s">
        <v>39240</v>
      </c>
      <c r="N2015" t="s">
        <v>39241</v>
      </c>
      <c r="O2015">
        <f>-654.587665397969 -123.738073797586 -517.140278770066</f>
        <v>-1295.4660179656209</v>
      </c>
      <c r="P2015">
        <f>-578.455144613289 -167.058074768034 -248.987650614004</f>
        <v>-994.50086999532698</v>
      </c>
      <c r="Q2015">
        <f>-449.358522879816 -45.8040368829088 -399.254248969242</f>
        <v>-894.41680873196674</v>
      </c>
      <c r="R2015" t="s">
        <v>39242</v>
      </c>
      <c r="S2015" t="s">
        <v>39243</v>
      </c>
      <c r="T2015" t="s">
        <v>39244</v>
      </c>
      <c r="U2015" t="s">
        <v>39245</v>
      </c>
      <c r="V2015">
        <f>-589.030804958002 -44.4845682871796 -91.7548033331867</f>
        <v>-725.27017657836836</v>
      </c>
      <c r="W2015" t="s">
        <v>39246</v>
      </c>
      <c r="X2015" t="s">
        <v>39247</v>
      </c>
      <c r="Y2015" t="s">
        <v>39248</v>
      </c>
    </row>
    <row r="2016" spans="1:25" x14ac:dyDescent="0.3">
      <c r="A2016">
        <v>100750</v>
      </c>
      <c r="B2016" t="s">
        <v>39249</v>
      </c>
      <c r="C2016" t="s">
        <v>39250</v>
      </c>
      <c r="D2016" t="s">
        <v>39251</v>
      </c>
      <c r="E2016" t="s">
        <v>39252</v>
      </c>
      <c r="F2016" t="s">
        <v>39253</v>
      </c>
      <c r="G2016" t="s">
        <v>39254</v>
      </c>
      <c r="H2016" t="s">
        <v>39255</v>
      </c>
      <c r="I2016" t="s">
        <v>39256</v>
      </c>
      <c r="J2016" t="s">
        <v>39257</v>
      </c>
      <c r="K2016" t="s">
        <v>39258</v>
      </c>
      <c r="L2016" t="s">
        <v>39259</v>
      </c>
      <c r="M2016" t="s">
        <v>39260</v>
      </c>
      <c r="N2016" t="s">
        <v>39261</v>
      </c>
      <c r="O2016">
        <f>-654.303576536057 -123.565781194513 -517.282579616897</f>
        <v>-1295.1519373474671</v>
      </c>
      <c r="P2016">
        <f>-578.099083526973 -166.95907887915 -249.16232193441</f>
        <v>-994.22048434053306</v>
      </c>
      <c r="Q2016">
        <f>-449.232159145339 -45.4535614895237 -399.423001286103</f>
        <v>-894.10872192096565</v>
      </c>
      <c r="R2016" t="s">
        <v>39262</v>
      </c>
      <c r="S2016" t="s">
        <v>39263</v>
      </c>
      <c r="T2016" t="s">
        <v>39264</v>
      </c>
      <c r="U2016" t="s">
        <v>39265</v>
      </c>
      <c r="V2016">
        <f>-588.972328245728 -44.553200582566 -91.7601806162319</f>
        <v>-725.28570944452588</v>
      </c>
      <c r="W2016" t="s">
        <v>39266</v>
      </c>
      <c r="X2016" t="s">
        <v>39267</v>
      </c>
      <c r="Y2016" t="s">
        <v>39268</v>
      </c>
    </row>
    <row r="2017" spans="1:25" x14ac:dyDescent="0.3">
      <c r="A2017">
        <v>100800</v>
      </c>
      <c r="B2017" t="s">
        <v>39269</v>
      </c>
      <c r="C2017" t="s">
        <v>39270</v>
      </c>
      <c r="D2017" t="s">
        <v>39271</v>
      </c>
      <c r="E2017" t="s">
        <v>39272</v>
      </c>
      <c r="F2017" t="s">
        <v>39273</v>
      </c>
      <c r="G2017" t="s">
        <v>39274</v>
      </c>
      <c r="H2017" t="s">
        <v>39275</v>
      </c>
      <c r="I2017" t="s">
        <v>39276</v>
      </c>
      <c r="J2017" t="s">
        <v>39277</v>
      </c>
      <c r="K2017" t="s">
        <v>39278</v>
      </c>
      <c r="L2017" t="s">
        <v>39279</v>
      </c>
      <c r="M2017" t="s">
        <v>39280</v>
      </c>
      <c r="N2017" t="s">
        <v>39281</v>
      </c>
      <c r="O2017">
        <f>-653.477968681729 -123.197067507457 -517.651784818161</f>
        <v>-1294.326821007347</v>
      </c>
      <c r="P2017">
        <f>-577.084653875335 -167.12737157071 -249.672732548305</f>
        <v>-993.88475799435003</v>
      </c>
      <c r="Q2017">
        <f>-448.584686557703 -44.9625509402285 -399.71284867388</f>
        <v>-893.26008617181151</v>
      </c>
      <c r="R2017" t="s">
        <v>39282</v>
      </c>
      <c r="S2017" t="s">
        <v>39283</v>
      </c>
      <c r="T2017" t="s">
        <v>39284</v>
      </c>
      <c r="U2017" t="s">
        <v>39285</v>
      </c>
      <c r="V2017">
        <f>-588.74595808562 -44.4724418985429 -91.7650526205546</f>
        <v>-724.98345260471751</v>
      </c>
      <c r="W2017" t="s">
        <v>39286</v>
      </c>
      <c r="X2017" t="s">
        <v>39287</v>
      </c>
      <c r="Y2017" t="s">
        <v>39288</v>
      </c>
    </row>
    <row r="2018" spans="1:25" x14ac:dyDescent="0.3">
      <c r="A2018">
        <v>100850</v>
      </c>
      <c r="B2018" t="s">
        <v>39289</v>
      </c>
      <c r="C2018" t="s">
        <v>39290</v>
      </c>
      <c r="D2018" t="s">
        <v>39291</v>
      </c>
      <c r="E2018" t="s">
        <v>39292</v>
      </c>
      <c r="F2018" t="s">
        <v>39293</v>
      </c>
      <c r="G2018" t="s">
        <v>39294</v>
      </c>
      <c r="H2018" t="s">
        <v>39295</v>
      </c>
      <c r="I2018" t="s">
        <v>39296</v>
      </c>
      <c r="J2018" t="s">
        <v>39297</v>
      </c>
      <c r="K2018" t="s">
        <v>39298</v>
      </c>
      <c r="L2018" t="s">
        <v>39299</v>
      </c>
      <c r="M2018" t="s">
        <v>39300</v>
      </c>
      <c r="N2018" t="s">
        <v>39301</v>
      </c>
      <c r="O2018">
        <f>-653.122543844388 -122.964888596493 -517.810380574615</f>
        <v>-1293.897813015496</v>
      </c>
      <c r="P2018">
        <f>-576.564593155071 -167.047889666687 -249.903363223811</f>
        <v>-993.51584604556899</v>
      </c>
      <c r="Q2018">
        <f>-448.247007823751 -44.5634287542644 -399.838978530287</f>
        <v>-892.64941510830249</v>
      </c>
      <c r="R2018" t="s">
        <v>39302</v>
      </c>
      <c r="S2018" t="s">
        <v>39303</v>
      </c>
      <c r="T2018" t="s">
        <v>39304</v>
      </c>
      <c r="U2018" t="s">
        <v>39305</v>
      </c>
      <c r="V2018">
        <f>-588.594148112117 -44.4375159979838 -91.7650397068927</f>
        <v>-724.7967038169935</v>
      </c>
      <c r="W2018" t="s">
        <v>39306</v>
      </c>
      <c r="X2018" t="s">
        <v>39307</v>
      </c>
      <c r="Y2018" t="s">
        <v>39308</v>
      </c>
    </row>
    <row r="2019" spans="1:25" x14ac:dyDescent="0.3">
      <c r="A2019">
        <v>100900</v>
      </c>
      <c r="B2019" t="s">
        <v>39309</v>
      </c>
      <c r="C2019" t="s">
        <v>39310</v>
      </c>
      <c r="D2019" t="s">
        <v>39311</v>
      </c>
      <c r="E2019" t="s">
        <v>39312</v>
      </c>
      <c r="F2019" t="s">
        <v>39313</v>
      </c>
      <c r="G2019" t="s">
        <v>39314</v>
      </c>
      <c r="H2019" t="s">
        <v>39315</v>
      </c>
      <c r="I2019" t="s">
        <v>39316</v>
      </c>
      <c r="J2019" t="s">
        <v>39317</v>
      </c>
      <c r="K2019" t="s">
        <v>39318</v>
      </c>
      <c r="L2019" t="s">
        <v>39319</v>
      </c>
      <c r="M2019" t="s">
        <v>39320</v>
      </c>
      <c r="N2019" t="s">
        <v>39321</v>
      </c>
      <c r="O2019">
        <f>-652.634111393351 -122.682335233105 -518.120249277245</f>
        <v>-1293.4366959037009</v>
      </c>
      <c r="P2019">
        <f>-575.783782759794 -166.892677771843 -250.317962396146</f>
        <v>-992.99442292778303</v>
      </c>
      <c r="Q2019">
        <f>-447.974154960519 -43.8160986311977 -400.202754848815</f>
        <v>-891.99300844053164</v>
      </c>
      <c r="R2019" t="s">
        <v>39322</v>
      </c>
      <c r="S2019" t="s">
        <v>39323</v>
      </c>
      <c r="T2019" t="s">
        <v>39324</v>
      </c>
      <c r="U2019" t="s">
        <v>39325</v>
      </c>
      <c r="V2019">
        <f>-588.359597418928 -44.5990344314064 -91.7830989390584</f>
        <v>-724.74173078939282</v>
      </c>
      <c r="W2019" t="s">
        <v>39326</v>
      </c>
      <c r="X2019" t="s">
        <v>39327</v>
      </c>
      <c r="Y2019" t="s">
        <v>39328</v>
      </c>
    </row>
    <row r="2020" spans="1:25" x14ac:dyDescent="0.3">
      <c r="A2020">
        <v>100950</v>
      </c>
      <c r="B2020" t="s">
        <v>39329</v>
      </c>
      <c r="C2020" t="s">
        <v>39330</v>
      </c>
      <c r="D2020" t="s">
        <v>39331</v>
      </c>
      <c r="E2020" t="s">
        <v>39332</v>
      </c>
      <c r="F2020" t="s">
        <v>39333</v>
      </c>
      <c r="G2020" t="s">
        <v>39334</v>
      </c>
      <c r="H2020" t="s">
        <v>39335</v>
      </c>
      <c r="I2020" t="s">
        <v>39336</v>
      </c>
      <c r="J2020" t="s">
        <v>39337</v>
      </c>
      <c r="K2020" t="s">
        <v>39338</v>
      </c>
      <c r="L2020" t="s">
        <v>39339</v>
      </c>
      <c r="M2020" t="s">
        <v>39340</v>
      </c>
      <c r="N2020" t="s">
        <v>39341</v>
      </c>
      <c r="O2020">
        <f>-652.415112926919 -122.568277609696 -518.303328001958</f>
        <v>-1293.286718538573</v>
      </c>
      <c r="P2020">
        <f>-575.49331892473 -166.944512694541 -250.549216226701</f>
        <v>-992.98704784597203</v>
      </c>
      <c r="Q2020">
        <f>-448.063133286419 -43.394160382036 -400.366948958034</f>
        <v>-891.82424262648897</v>
      </c>
      <c r="R2020" t="s">
        <v>39342</v>
      </c>
      <c r="S2020" t="s">
        <v>39343</v>
      </c>
      <c r="T2020" t="s">
        <v>39344</v>
      </c>
      <c r="U2020" t="s">
        <v>39345</v>
      </c>
      <c r="V2020">
        <f>-588.260046238209 -44.712978568974 -91.7908823835087</f>
        <v>-724.76390719069173</v>
      </c>
      <c r="W2020" t="s">
        <v>39346</v>
      </c>
      <c r="X2020" t="s">
        <v>39347</v>
      </c>
      <c r="Y2020" t="s">
        <v>39348</v>
      </c>
    </row>
    <row r="2021" spans="1:25" x14ac:dyDescent="0.3">
      <c r="A2021">
        <v>101000</v>
      </c>
      <c r="B2021" t="s">
        <v>39349</v>
      </c>
      <c r="C2021" t="s">
        <v>39350</v>
      </c>
      <c r="D2021" t="s">
        <v>39351</v>
      </c>
      <c r="E2021" t="s">
        <v>39352</v>
      </c>
      <c r="F2021" t="s">
        <v>39353</v>
      </c>
      <c r="G2021" t="s">
        <v>39354</v>
      </c>
      <c r="H2021" t="s">
        <v>39355</v>
      </c>
      <c r="I2021" t="s">
        <v>39356</v>
      </c>
      <c r="J2021" t="s">
        <v>39357</v>
      </c>
      <c r="K2021" t="s">
        <v>39358</v>
      </c>
      <c r="L2021" t="s">
        <v>39359</v>
      </c>
      <c r="M2021" t="s">
        <v>39360</v>
      </c>
      <c r="N2021" t="s">
        <v>39361</v>
      </c>
      <c r="O2021">
        <f>-652.007183537706 -122.279561410379 -518.698015886359</f>
        <v>-1292.9847608344439</v>
      </c>
      <c r="P2021">
        <f>-574.921393861905 -167.100346614207 -251.06487303352</f>
        <v>-993.086613509632</v>
      </c>
      <c r="Q2021">
        <f>-448.297033177889 -42.5168480140987 -400.710204356201</f>
        <v>-891.52408554818862</v>
      </c>
      <c r="R2021" t="s">
        <v>39362</v>
      </c>
      <c r="S2021" t="s">
        <v>39363</v>
      </c>
      <c r="T2021" t="s">
        <v>39364</v>
      </c>
      <c r="U2021" t="s">
        <v>39365</v>
      </c>
      <c r="V2021">
        <f>-588.060780483743 -44.8339421318974 -91.7989853041795</f>
        <v>-724.69370791981987</v>
      </c>
      <c r="W2021" t="s">
        <v>39366</v>
      </c>
      <c r="X2021" t="s">
        <v>39367</v>
      </c>
      <c r="Y2021" t="s">
        <v>39368</v>
      </c>
    </row>
    <row r="2022" spans="1:25" x14ac:dyDescent="0.3">
      <c r="A2022">
        <v>101050</v>
      </c>
      <c r="B2022" t="s">
        <v>39369</v>
      </c>
      <c r="C2022" t="s">
        <v>39370</v>
      </c>
      <c r="D2022" t="s">
        <v>39371</v>
      </c>
      <c r="E2022" t="s">
        <v>39372</v>
      </c>
      <c r="F2022" t="s">
        <v>39373</v>
      </c>
      <c r="G2022" t="s">
        <v>39374</v>
      </c>
      <c r="H2022" t="s">
        <v>39375</v>
      </c>
      <c r="I2022" t="s">
        <v>39376</v>
      </c>
      <c r="J2022" t="s">
        <v>39377</v>
      </c>
      <c r="K2022" t="s">
        <v>39378</v>
      </c>
      <c r="L2022" t="s">
        <v>39379</v>
      </c>
      <c r="M2022" t="s">
        <v>39380</v>
      </c>
      <c r="N2022" t="s">
        <v>39381</v>
      </c>
      <c r="O2022">
        <f>-651.955967544325 -122.193567263551 -518.826529588942</f>
        <v>-1292.9760643968179</v>
      </c>
      <c r="P2022">
        <f>-574.697162510845 -167.040161465278 -251.247674730394</f>
        <v>-992.98499870651699</v>
      </c>
      <c r="Q2022">
        <f>-448.293373915813 -42.1046561632049 -400.786006014313</f>
        <v>-891.18403609333086</v>
      </c>
      <c r="R2022" t="s">
        <v>39382</v>
      </c>
      <c r="S2022" t="s">
        <v>39383</v>
      </c>
      <c r="T2022" t="s">
        <v>39384</v>
      </c>
      <c r="U2022" t="s">
        <v>39385</v>
      </c>
      <c r="V2022">
        <f>-588.070303693462 -44.88560948226 -91.8055773633213</f>
        <v>-724.76149053904328</v>
      </c>
      <c r="W2022" t="s">
        <v>39386</v>
      </c>
      <c r="X2022" t="s">
        <v>39387</v>
      </c>
      <c r="Y2022" t="s">
        <v>39388</v>
      </c>
    </row>
    <row r="2023" spans="1:25" x14ac:dyDescent="0.3">
      <c r="A2023">
        <v>101100</v>
      </c>
      <c r="B2023" t="s">
        <v>39389</v>
      </c>
      <c r="C2023" t="s">
        <v>39390</v>
      </c>
      <c r="D2023" t="s">
        <v>39391</v>
      </c>
      <c r="E2023" t="s">
        <v>39392</v>
      </c>
      <c r="F2023" t="s">
        <v>39393</v>
      </c>
      <c r="G2023" t="s">
        <v>39394</v>
      </c>
      <c r="H2023" t="s">
        <v>39395</v>
      </c>
      <c r="I2023" t="s">
        <v>39396</v>
      </c>
      <c r="J2023" t="s">
        <v>39397</v>
      </c>
      <c r="K2023" t="s">
        <v>39398</v>
      </c>
      <c r="L2023" t="s">
        <v>39399</v>
      </c>
      <c r="M2023" t="s">
        <v>39400</v>
      </c>
      <c r="N2023" t="s">
        <v>39401</v>
      </c>
      <c r="O2023">
        <f>-651.854831939374 -121.929789244756 -519.08428631102</f>
        <v>-1292.8689074951499</v>
      </c>
      <c r="P2023">
        <f>-574.339379475704 -167.041004056839 -251.624133659053</f>
        <v>-993.00451719159605</v>
      </c>
      <c r="Q2023">
        <f>-448.492377996353 -41.3654922281924 -401.011891417797</f>
        <v>-890.86976164234238</v>
      </c>
      <c r="R2023" t="s">
        <v>39402</v>
      </c>
      <c r="S2023" t="s">
        <v>39403</v>
      </c>
      <c r="T2023" t="s">
        <v>39404</v>
      </c>
      <c r="U2023" t="s">
        <v>39405</v>
      </c>
      <c r="V2023">
        <f>-588.101686819678 -44.9302840113821 -91.8295369233697</f>
        <v>-724.86150775442979</v>
      </c>
      <c r="W2023" t="s">
        <v>39406</v>
      </c>
      <c r="X2023" t="s">
        <v>39407</v>
      </c>
      <c r="Y2023" t="s">
        <v>39408</v>
      </c>
    </row>
    <row r="2024" spans="1:25" x14ac:dyDescent="0.3">
      <c r="A2024">
        <v>101150</v>
      </c>
      <c r="B2024" t="s">
        <v>39409</v>
      </c>
      <c r="C2024" t="s">
        <v>39410</v>
      </c>
      <c r="D2024" t="s">
        <v>39411</v>
      </c>
      <c r="E2024" t="s">
        <v>39412</v>
      </c>
      <c r="F2024" t="s">
        <v>39413</v>
      </c>
      <c r="G2024" t="s">
        <v>39414</v>
      </c>
      <c r="H2024" t="s">
        <v>39415</v>
      </c>
      <c r="I2024" t="s">
        <v>39416</v>
      </c>
      <c r="J2024" t="s">
        <v>39417</v>
      </c>
      <c r="K2024" t="s">
        <v>39418</v>
      </c>
      <c r="L2024" t="s">
        <v>39419</v>
      </c>
      <c r="M2024" t="s">
        <v>39420</v>
      </c>
      <c r="N2024" t="s">
        <v>39421</v>
      </c>
      <c r="O2024">
        <f>-651.878589345611 -121.820113813039 -519.189865391471</f>
        <v>-1292.8885685501209</v>
      </c>
      <c r="P2024">
        <f>-574.220341159619 -167.0265225618 -251.78723782228</f>
        <v>-993.03410154369897</v>
      </c>
      <c r="Q2024">
        <f>-448.66000781296 -41.0816446266358 -401.18939295609</f>
        <v>-890.93104539568571</v>
      </c>
      <c r="R2024" t="s">
        <v>39422</v>
      </c>
      <c r="S2024" t="s">
        <v>39423</v>
      </c>
      <c r="T2024" t="s">
        <v>39424</v>
      </c>
      <c r="U2024" t="s">
        <v>39425</v>
      </c>
      <c r="V2024">
        <f>-588.135849761084 -44.9692267688549 -91.8404048003887</f>
        <v>-724.94548133032765</v>
      </c>
      <c r="W2024" t="s">
        <v>39426</v>
      </c>
      <c r="X2024" t="s">
        <v>39427</v>
      </c>
      <c r="Y2024" t="s">
        <v>39428</v>
      </c>
    </row>
    <row r="2025" spans="1:25" x14ac:dyDescent="0.3">
      <c r="A2025">
        <v>101200</v>
      </c>
      <c r="B2025" t="s">
        <v>39429</v>
      </c>
      <c r="C2025" t="s">
        <v>39430</v>
      </c>
      <c r="D2025" t="s">
        <v>39431</v>
      </c>
      <c r="E2025" t="s">
        <v>39432</v>
      </c>
      <c r="F2025" t="s">
        <v>39433</v>
      </c>
      <c r="G2025" t="s">
        <v>39434</v>
      </c>
      <c r="H2025" t="s">
        <v>39435</v>
      </c>
      <c r="I2025" t="s">
        <v>39436</v>
      </c>
      <c r="J2025" t="s">
        <v>39437</v>
      </c>
      <c r="K2025" t="s">
        <v>39438</v>
      </c>
      <c r="L2025" t="s">
        <v>39439</v>
      </c>
      <c r="M2025" t="s">
        <v>39440</v>
      </c>
      <c r="N2025" t="s">
        <v>39441</v>
      </c>
      <c r="O2025">
        <f>-652.168771694404 -121.563459083601 -519.332486418729</f>
        <v>-1293.0647171967339</v>
      </c>
      <c r="P2025">
        <f>-574.297561047159 -167.014059028846 -252.033115945359</f>
        <v>-993.34473602136393</v>
      </c>
      <c r="Q2025">
        <f>-449.086871245567 -40.6256214894222 -401.354342001053</f>
        <v>-891.06683473604221</v>
      </c>
      <c r="R2025" t="s">
        <v>39442</v>
      </c>
      <c r="S2025" t="s">
        <v>39443</v>
      </c>
      <c r="T2025" t="s">
        <v>39444</v>
      </c>
      <c r="U2025" t="s">
        <v>39445</v>
      </c>
      <c r="V2025">
        <f>-588.151774467035 -44.8858688727341 -91.8268550192303</f>
        <v>-724.86449835899941</v>
      </c>
      <c r="W2025" t="s">
        <v>39446</v>
      </c>
      <c r="X2025" t="s">
        <v>39447</v>
      </c>
      <c r="Y2025" t="s">
        <v>39448</v>
      </c>
    </row>
    <row r="2026" spans="1:25" x14ac:dyDescent="0.3">
      <c r="A2026">
        <v>101250</v>
      </c>
      <c r="B2026" t="s">
        <v>39449</v>
      </c>
      <c r="C2026" t="s">
        <v>39450</v>
      </c>
      <c r="D2026" t="s">
        <v>39451</v>
      </c>
      <c r="E2026" t="s">
        <v>39452</v>
      </c>
      <c r="F2026" t="s">
        <v>39453</v>
      </c>
      <c r="G2026" t="s">
        <v>39454</v>
      </c>
      <c r="H2026" t="s">
        <v>39455</v>
      </c>
      <c r="I2026" t="s">
        <v>39456</v>
      </c>
      <c r="J2026" t="s">
        <v>39457</v>
      </c>
      <c r="K2026" t="s">
        <v>39458</v>
      </c>
      <c r="L2026" t="s">
        <v>39459</v>
      </c>
      <c r="M2026" t="s">
        <v>39460</v>
      </c>
      <c r="N2026" t="s">
        <v>39461</v>
      </c>
      <c r="O2026">
        <f>-652.493114241863 -121.428145876029 -519.365142706231</f>
        <v>-1293.2864028241231</v>
      </c>
      <c r="P2026">
        <f>-574.505458902026 -166.962152986771 -252.114111605322</f>
        <v>-993.58172349411905</v>
      </c>
      <c r="Q2026">
        <f>-449.395955327831 -40.3893217867269 -401.363605629855</f>
        <v>-891.14888274441296</v>
      </c>
      <c r="R2026" t="s">
        <v>39462</v>
      </c>
      <c r="S2026" t="s">
        <v>39463</v>
      </c>
      <c r="T2026" t="s">
        <v>39464</v>
      </c>
      <c r="U2026" t="s">
        <v>39465</v>
      </c>
      <c r="V2026">
        <f>-588.189575742645 -44.8372996107933 -91.8238485745594</f>
        <v>-724.85072392799771</v>
      </c>
      <c r="W2026" t="s">
        <v>39466</v>
      </c>
      <c r="X2026" t="s">
        <v>39467</v>
      </c>
      <c r="Y2026" t="s">
        <v>39468</v>
      </c>
    </row>
    <row r="2027" spans="1:25" x14ac:dyDescent="0.3">
      <c r="A2027">
        <v>101300</v>
      </c>
      <c r="B2027" t="s">
        <v>39469</v>
      </c>
      <c r="C2027" t="s">
        <v>39470</v>
      </c>
      <c r="D2027" t="s">
        <v>39471</v>
      </c>
      <c r="E2027" t="s">
        <v>39472</v>
      </c>
      <c r="F2027" t="s">
        <v>39473</v>
      </c>
      <c r="G2027" t="s">
        <v>39474</v>
      </c>
      <c r="H2027" t="s">
        <v>39475</v>
      </c>
      <c r="I2027" t="s">
        <v>39476</v>
      </c>
      <c r="J2027" t="s">
        <v>39477</v>
      </c>
      <c r="K2027" t="s">
        <v>39478</v>
      </c>
      <c r="L2027" t="s">
        <v>39479</v>
      </c>
      <c r="M2027" t="s">
        <v>39480</v>
      </c>
      <c r="N2027" t="s">
        <v>39481</v>
      </c>
      <c r="O2027">
        <f>-653.042511743564 -121.179377542115 -519.428992510057</f>
        <v>-1293.650881795736</v>
      </c>
      <c r="P2027">
        <f>-574.987374932919 -166.851183470217 -252.221062804292</f>
        <v>-994.05962120742788</v>
      </c>
      <c r="Q2027">
        <f>-449.839557882624 -40.0730113559414 -401.264191023459</f>
        <v>-891.17676026202435</v>
      </c>
      <c r="R2027" t="s">
        <v>39482</v>
      </c>
      <c r="S2027" t="s">
        <v>39483</v>
      </c>
      <c r="T2027" t="s">
        <v>39484</v>
      </c>
      <c r="U2027" t="s">
        <v>39485</v>
      </c>
      <c r="V2027">
        <f>-588.323843837261 -44.7149066952461 -91.8200677159388</f>
        <v>-724.85881824844591</v>
      </c>
      <c r="W2027" t="s">
        <v>39486</v>
      </c>
      <c r="X2027" t="s">
        <v>39487</v>
      </c>
      <c r="Y2027" t="s">
        <v>39488</v>
      </c>
    </row>
    <row r="2028" spans="1:25" x14ac:dyDescent="0.3">
      <c r="A2028">
        <v>101350</v>
      </c>
      <c r="B2028" t="s">
        <v>39489</v>
      </c>
      <c r="C2028" t="s">
        <v>39490</v>
      </c>
      <c r="D2028" t="s">
        <v>39491</v>
      </c>
      <c r="E2028" t="s">
        <v>39492</v>
      </c>
      <c r="F2028" t="s">
        <v>39493</v>
      </c>
      <c r="G2028" t="s">
        <v>39494</v>
      </c>
      <c r="H2028" t="s">
        <v>39495</v>
      </c>
      <c r="I2028" t="s">
        <v>39496</v>
      </c>
      <c r="J2028" t="s">
        <v>39497</v>
      </c>
      <c r="K2028" t="s">
        <v>39498</v>
      </c>
      <c r="L2028" t="s">
        <v>39499</v>
      </c>
      <c r="M2028" t="s">
        <v>39500</v>
      </c>
      <c r="N2028" t="s">
        <v>39501</v>
      </c>
      <c r="O2028">
        <f>-653.336608852012 -121.086604017902 -519.424890631815</f>
        <v>-1293.8481035017289</v>
      </c>
      <c r="P2028">
        <f>-575.30219881534 -166.819942535146 -252.221454498756</f>
        <v>-994.34359584924198</v>
      </c>
      <c r="Q2028">
        <f>-450.103022903231 -39.9200199274271 -401.117600522451</f>
        <v>-891.14064335310923</v>
      </c>
      <c r="R2028" t="s">
        <v>39502</v>
      </c>
      <c r="S2028" t="s">
        <v>39503</v>
      </c>
      <c r="T2028" t="s">
        <v>39504</v>
      </c>
      <c r="U2028" t="s">
        <v>39505</v>
      </c>
      <c r="V2028">
        <f>-588.400027032715 -44.6314797305768 -91.8177928768748</f>
        <v>-724.84929964016658</v>
      </c>
      <c r="W2028" t="s">
        <v>39506</v>
      </c>
      <c r="X2028" t="s">
        <v>39507</v>
      </c>
      <c r="Y2028" t="s">
        <v>39508</v>
      </c>
    </row>
    <row r="2029" spans="1:25" x14ac:dyDescent="0.3">
      <c r="A2029">
        <v>101400</v>
      </c>
      <c r="B2029" t="s">
        <v>39509</v>
      </c>
      <c r="C2029" t="s">
        <v>39510</v>
      </c>
      <c r="D2029" t="s">
        <v>39511</v>
      </c>
      <c r="E2029" t="s">
        <v>39512</v>
      </c>
      <c r="F2029" t="s">
        <v>39513</v>
      </c>
      <c r="G2029" t="s">
        <v>39514</v>
      </c>
      <c r="H2029" t="s">
        <v>39515</v>
      </c>
      <c r="I2029" t="s">
        <v>39516</v>
      </c>
      <c r="J2029" t="s">
        <v>39517</v>
      </c>
      <c r="K2029" t="s">
        <v>39518</v>
      </c>
      <c r="L2029" t="s">
        <v>39519</v>
      </c>
      <c r="M2029" t="s">
        <v>39520</v>
      </c>
      <c r="N2029" t="s">
        <v>39521</v>
      </c>
      <c r="O2029">
        <f>-654.009164871989 -120.70842369201 -519.349775856704</f>
        <v>-1294.0673644207031</v>
      </c>
      <c r="P2029">
        <f>-576.105519683673 -166.279789716913 -252.080479842715</f>
        <v>-994.46578924330106</v>
      </c>
      <c r="Q2029">
        <f>-450.612303691337 -39.4560783363427 -400.793948538656</f>
        <v>-890.86233056633569</v>
      </c>
      <c r="R2029" t="s">
        <v>39522</v>
      </c>
      <c r="S2029" t="s">
        <v>39523</v>
      </c>
      <c r="T2029" t="s">
        <v>39524</v>
      </c>
      <c r="U2029" t="s">
        <v>39525</v>
      </c>
      <c r="V2029">
        <f>-588.539874800234 -44.3110687767953 -91.7954366874612</f>
        <v>-724.64638026449052</v>
      </c>
      <c r="W2029" t="s">
        <v>39526</v>
      </c>
      <c r="X2029" t="s">
        <v>39527</v>
      </c>
      <c r="Y2029" t="s">
        <v>39528</v>
      </c>
    </row>
    <row r="2030" spans="1:25" x14ac:dyDescent="0.3">
      <c r="A2030">
        <v>101450</v>
      </c>
      <c r="B2030" t="s">
        <v>39529</v>
      </c>
      <c r="C2030" t="s">
        <v>39530</v>
      </c>
      <c r="D2030" t="s">
        <v>39531</v>
      </c>
      <c r="E2030" t="s">
        <v>39532</v>
      </c>
      <c r="F2030" t="s">
        <v>39533</v>
      </c>
      <c r="G2030" t="s">
        <v>39534</v>
      </c>
      <c r="H2030" t="s">
        <v>39535</v>
      </c>
      <c r="I2030" t="s">
        <v>39536</v>
      </c>
      <c r="J2030" t="s">
        <v>39537</v>
      </c>
      <c r="K2030" t="s">
        <v>39538</v>
      </c>
      <c r="L2030" t="s">
        <v>39539</v>
      </c>
      <c r="M2030" t="s">
        <v>39540</v>
      </c>
      <c r="N2030" t="s">
        <v>39541</v>
      </c>
      <c r="O2030">
        <f>-654.369427186818 -120.524648185595 -519.293167844104</f>
        <v>-1294.1872432165169</v>
      </c>
      <c r="P2030">
        <f>-576.580587406296 -165.899115118639 -251.957100804877</f>
        <v>-994.43680332981194</v>
      </c>
      <c r="Q2030">
        <f>-450.780202950377 -39.3930926015973 -400.681733379895</f>
        <v>-890.85502893186924</v>
      </c>
      <c r="R2030" t="s">
        <v>39542</v>
      </c>
      <c r="S2030" t="s">
        <v>39543</v>
      </c>
      <c r="T2030" t="s">
        <v>39544</v>
      </c>
      <c r="U2030" t="s">
        <v>39545</v>
      </c>
      <c r="V2030">
        <f>-588.631858776292 -44.1147171794566 -91.7778945635609</f>
        <v>-724.5244705193096</v>
      </c>
      <c r="W2030" t="s">
        <v>39546</v>
      </c>
      <c r="X2030" t="s">
        <v>39547</v>
      </c>
      <c r="Y2030" t="s">
        <v>39548</v>
      </c>
    </row>
    <row r="2031" spans="1:25" x14ac:dyDescent="0.3">
      <c r="A2031">
        <v>101500</v>
      </c>
      <c r="B2031" t="s">
        <v>39549</v>
      </c>
      <c r="C2031" t="s">
        <v>39550</v>
      </c>
      <c r="D2031" t="s">
        <v>39551</v>
      </c>
      <c r="E2031" t="s">
        <v>39552</v>
      </c>
      <c r="F2031" t="s">
        <v>39553</v>
      </c>
      <c r="G2031" t="s">
        <v>39554</v>
      </c>
      <c r="H2031" t="s">
        <v>39555</v>
      </c>
      <c r="I2031" t="s">
        <v>39556</v>
      </c>
      <c r="J2031" t="s">
        <v>39557</v>
      </c>
      <c r="K2031" t="s">
        <v>39558</v>
      </c>
      <c r="L2031" t="s">
        <v>39559</v>
      </c>
      <c r="M2031" t="s">
        <v>39560</v>
      </c>
      <c r="N2031" t="s">
        <v>39561</v>
      </c>
      <c r="O2031">
        <f>-654.786964692608 -120.188657949893 -519.274684377004</f>
        <v>-1294.2503070195048</v>
      </c>
      <c r="P2031">
        <f>-577.129271159946 -165.62239454823 -251.910350888777</f>
        <v>-994.66201659695298</v>
      </c>
      <c r="Q2031">
        <f>-451.017758848987 -39.2933890202733 -400.52204049341</f>
        <v>-890.83318836267028</v>
      </c>
      <c r="R2031" t="s">
        <v>39562</v>
      </c>
      <c r="S2031" t="s">
        <v>39563</v>
      </c>
      <c r="T2031" t="s">
        <v>39564</v>
      </c>
      <c r="U2031" t="s">
        <v>39565</v>
      </c>
      <c r="V2031">
        <f>-588.848511353778 -43.8063358937927 -91.7607470907105</f>
        <v>-724.41559433828127</v>
      </c>
      <c r="W2031" t="s">
        <v>39566</v>
      </c>
      <c r="X2031" t="s">
        <v>39567</v>
      </c>
      <c r="Y2031" t="s">
        <v>39568</v>
      </c>
    </row>
    <row r="2032" spans="1:25" x14ac:dyDescent="0.3">
      <c r="A2032">
        <v>101550</v>
      </c>
      <c r="B2032" t="s">
        <v>39569</v>
      </c>
      <c r="C2032" t="s">
        <v>39570</v>
      </c>
      <c r="D2032" t="s">
        <v>39571</v>
      </c>
      <c r="E2032" t="s">
        <v>39572</v>
      </c>
      <c r="F2032" t="s">
        <v>39573</v>
      </c>
      <c r="G2032" t="s">
        <v>39574</v>
      </c>
      <c r="H2032" t="s">
        <v>39575</v>
      </c>
      <c r="I2032" t="s">
        <v>39576</v>
      </c>
      <c r="J2032" t="s">
        <v>39577</v>
      </c>
      <c r="K2032" t="s">
        <v>39578</v>
      </c>
      <c r="L2032" t="s">
        <v>39579</v>
      </c>
      <c r="M2032" t="s">
        <v>39580</v>
      </c>
      <c r="N2032" t="s">
        <v>39581</v>
      </c>
      <c r="O2032">
        <f>-654.895688681022 -120.112017895117 -519.289617244149</f>
        <v>-1294.2973238202881</v>
      </c>
      <c r="P2032">
        <f>-577.209211988243 -165.661168887895 -251.953284193741</f>
        <v>-994.8236650698791</v>
      </c>
      <c r="Q2032">
        <f>-451.065783892839 -39.2651821454463 -400.480853370117</f>
        <v>-890.81181940840236</v>
      </c>
      <c r="R2032" t="s">
        <v>39582</v>
      </c>
      <c r="S2032" t="s">
        <v>39583</v>
      </c>
      <c r="T2032" t="s">
        <v>39584</v>
      </c>
      <c r="U2032" t="s">
        <v>39585</v>
      </c>
      <c r="V2032">
        <f>-588.936045369467 -43.6437505507661 -91.75732007095</f>
        <v>-724.33711599118305</v>
      </c>
      <c r="W2032" t="s">
        <v>39586</v>
      </c>
      <c r="X2032" t="s">
        <v>39587</v>
      </c>
      <c r="Y2032" t="s">
        <v>39588</v>
      </c>
    </row>
    <row r="2033" spans="1:25" x14ac:dyDescent="0.3">
      <c r="A2033">
        <v>101600</v>
      </c>
      <c r="B2033" t="s">
        <v>39589</v>
      </c>
      <c r="C2033" t="s">
        <v>39590</v>
      </c>
      <c r="D2033" t="s">
        <v>39591</v>
      </c>
      <c r="E2033" t="s">
        <v>39592</v>
      </c>
      <c r="F2033" t="s">
        <v>39593</v>
      </c>
      <c r="G2033" t="s">
        <v>39594</v>
      </c>
      <c r="H2033" t="s">
        <v>39595</v>
      </c>
      <c r="I2033" t="s">
        <v>39596</v>
      </c>
      <c r="J2033" t="s">
        <v>39597</v>
      </c>
      <c r="K2033" t="s">
        <v>39598</v>
      </c>
      <c r="L2033" t="s">
        <v>39599</v>
      </c>
      <c r="M2033" t="s">
        <v>39600</v>
      </c>
      <c r="N2033" t="s">
        <v>39601</v>
      </c>
      <c r="O2033">
        <f>-655.163010203349 -120.077497788324 -519.202678775721</f>
        <v>-1294.4431867673939</v>
      </c>
      <c r="P2033">
        <f>-577.319326916364 -165.43241599441 -251.879146368222</f>
        <v>-994.63088927899605</v>
      </c>
      <c r="Q2033">
        <f>-451.054104250623 -38.9357712080796 -400.217327873397</f>
        <v>-890.20720333209965</v>
      </c>
      <c r="R2033" t="s">
        <v>39602</v>
      </c>
      <c r="S2033" t="s">
        <v>39603</v>
      </c>
      <c r="T2033" t="s">
        <v>39604</v>
      </c>
      <c r="U2033" t="s">
        <v>39605</v>
      </c>
      <c r="V2033">
        <f>-589.071021637068 -43.6022986302439 -91.7618017361743</f>
        <v>-724.4351220034863</v>
      </c>
      <c r="W2033" t="s">
        <v>39606</v>
      </c>
      <c r="X2033" t="s">
        <v>39607</v>
      </c>
      <c r="Y2033" t="s">
        <v>39608</v>
      </c>
    </row>
    <row r="2034" spans="1:25" x14ac:dyDescent="0.3">
      <c r="A2034">
        <v>101650</v>
      </c>
      <c r="B2034" t="s">
        <v>39609</v>
      </c>
      <c r="C2034" t="s">
        <v>39610</v>
      </c>
      <c r="D2034" t="s">
        <v>39611</v>
      </c>
      <c r="E2034" t="s">
        <v>39612</v>
      </c>
      <c r="F2034" t="s">
        <v>39613</v>
      </c>
      <c r="G2034" t="s">
        <v>39614</v>
      </c>
      <c r="H2034" t="s">
        <v>39615</v>
      </c>
      <c r="I2034" t="s">
        <v>39616</v>
      </c>
      <c r="J2034" t="s">
        <v>39617</v>
      </c>
      <c r="K2034" t="s">
        <v>39618</v>
      </c>
      <c r="L2034" t="s">
        <v>39619</v>
      </c>
      <c r="M2034" t="s">
        <v>39620</v>
      </c>
      <c r="N2034" t="s">
        <v>39621</v>
      </c>
      <c r="O2034">
        <f>-655.224171316293 -120.146949223242 -519.155349699631</f>
        <v>-1294.526470239166</v>
      </c>
      <c r="P2034">
        <f>-577.374454963775 -165.350644621849 -251.807984661532</f>
        <v>-994.53308424715601</v>
      </c>
      <c r="Q2034">
        <f>-451.130436948121 -38.8009517659923 -400.118862939822</f>
        <v>-890.05025165393522</v>
      </c>
      <c r="R2034" t="s">
        <v>39622</v>
      </c>
      <c r="S2034" t="s">
        <v>39623</v>
      </c>
      <c r="T2034" t="s">
        <v>39624</v>
      </c>
      <c r="U2034" t="s">
        <v>39625</v>
      </c>
      <c r="V2034">
        <f>-589.125809541173 -43.6627886463823 -91.7726447213822</f>
        <v>-724.56124290893752</v>
      </c>
      <c r="W2034" t="s">
        <v>39626</v>
      </c>
      <c r="X2034" t="s">
        <v>39627</v>
      </c>
      <c r="Y2034" t="s">
        <v>39628</v>
      </c>
    </row>
    <row r="2035" spans="1:25" x14ac:dyDescent="0.3">
      <c r="A2035">
        <v>101700</v>
      </c>
      <c r="B2035" t="s">
        <v>39629</v>
      </c>
      <c r="C2035" t="s">
        <v>39630</v>
      </c>
      <c r="D2035" t="s">
        <v>39631</v>
      </c>
      <c r="E2035" t="s">
        <v>39632</v>
      </c>
      <c r="F2035" t="s">
        <v>39633</v>
      </c>
      <c r="G2035" t="s">
        <v>39634</v>
      </c>
      <c r="H2035" t="s">
        <v>39635</v>
      </c>
      <c r="I2035" t="s">
        <v>39636</v>
      </c>
      <c r="J2035" t="s">
        <v>39637</v>
      </c>
      <c r="K2035" t="s">
        <v>39638</v>
      </c>
      <c r="L2035" t="s">
        <v>39639</v>
      </c>
      <c r="M2035" t="s">
        <v>39640</v>
      </c>
      <c r="N2035" t="s">
        <v>39641</v>
      </c>
      <c r="O2035">
        <f>-655.347776308574 -120.505174167145 -519.057980574415</f>
        <v>-1294.910931050134</v>
      </c>
      <c r="P2035">
        <f>-577.490251813412 -165.533085680407 -251.683168180821</f>
        <v>-994.70650567463997</v>
      </c>
      <c r="Q2035">
        <f>-451.611590452054 -38.8727827001142 -400.210137554623</f>
        <v>-890.69451070679111</v>
      </c>
      <c r="R2035" t="s">
        <v>39642</v>
      </c>
      <c r="S2035" t="s">
        <v>39643</v>
      </c>
      <c r="T2035" t="s">
        <v>39644</v>
      </c>
      <c r="U2035" t="s">
        <v>39645</v>
      </c>
      <c r="V2035">
        <f>-589.115466346796 -43.8541140113236 -91.7890451705744</f>
        <v>-724.75862552869398</v>
      </c>
      <c r="W2035" t="s">
        <v>39646</v>
      </c>
      <c r="X2035" t="s">
        <v>39647</v>
      </c>
      <c r="Y2035" t="s">
        <v>39648</v>
      </c>
    </row>
    <row r="2036" spans="1:25" x14ac:dyDescent="0.3">
      <c r="A2036">
        <v>101750</v>
      </c>
      <c r="B2036" t="s">
        <v>39649</v>
      </c>
      <c r="C2036" t="s">
        <v>39650</v>
      </c>
      <c r="D2036" t="s">
        <v>39651</v>
      </c>
      <c r="E2036" t="s">
        <v>39652</v>
      </c>
      <c r="F2036" t="s">
        <v>39653</v>
      </c>
      <c r="G2036" t="s">
        <v>39654</v>
      </c>
      <c r="H2036" t="s">
        <v>39655</v>
      </c>
      <c r="I2036" t="s">
        <v>39656</v>
      </c>
      <c r="J2036" t="s">
        <v>39657</v>
      </c>
      <c r="K2036" t="s">
        <v>39658</v>
      </c>
      <c r="L2036" t="s">
        <v>39659</v>
      </c>
      <c r="M2036" t="s">
        <v>39660</v>
      </c>
      <c r="N2036" t="s">
        <v>39661</v>
      </c>
      <c r="O2036">
        <f>-655.378511837243 -120.670995699733 -519.030010652875</f>
        <v>-1295.0795181898511</v>
      </c>
      <c r="P2036">
        <f>-577.450171386545 -165.655954755908 -251.668495801141</f>
        <v>-994.77462194359396</v>
      </c>
      <c r="Q2036">
        <f>-451.803027115017 -38.9451290598377 -400.348299539835</f>
        <v>-891.09645571468968</v>
      </c>
      <c r="R2036" t="s">
        <v>39662</v>
      </c>
      <c r="S2036" t="s">
        <v>39663</v>
      </c>
      <c r="T2036" t="s">
        <v>39664</v>
      </c>
      <c r="U2036" t="s">
        <v>39665</v>
      </c>
      <c r="V2036">
        <f>-589.059635340492 -43.9388028877916 -91.787890062177</f>
        <v>-724.78632829046057</v>
      </c>
      <c r="W2036" t="s">
        <v>39666</v>
      </c>
      <c r="X2036" t="s">
        <v>39667</v>
      </c>
      <c r="Y2036" t="s">
        <v>39668</v>
      </c>
    </row>
    <row r="2037" spans="1:25" x14ac:dyDescent="0.3">
      <c r="A2037">
        <v>101800</v>
      </c>
      <c r="B2037" t="s">
        <v>39669</v>
      </c>
      <c r="C2037" t="s">
        <v>39670</v>
      </c>
      <c r="D2037" t="s">
        <v>39671</v>
      </c>
      <c r="E2037" t="s">
        <v>39672</v>
      </c>
      <c r="F2037" t="s">
        <v>39673</v>
      </c>
      <c r="G2037" t="s">
        <v>39674</v>
      </c>
      <c r="H2037" t="s">
        <v>39675</v>
      </c>
      <c r="I2037" t="s">
        <v>39676</v>
      </c>
      <c r="J2037" t="s">
        <v>39677</v>
      </c>
      <c r="K2037" t="s">
        <v>39678</v>
      </c>
      <c r="L2037" t="s">
        <v>39679</v>
      </c>
      <c r="M2037" t="s">
        <v>39680</v>
      </c>
      <c r="N2037" t="s">
        <v>39681</v>
      </c>
      <c r="O2037">
        <f>-655.344052179138 -121.034257908699 -519.018192567688</f>
        <v>-1295.396502655525</v>
      </c>
      <c r="P2037">
        <f>-577.087219633569 -165.822891638987 -251.719744161675</f>
        <v>-994.6298554342311</v>
      </c>
      <c r="Q2037">
        <f>-452.03448057431 -39.1040937030052 -400.893233027413</f>
        <v>-892.0318073047282</v>
      </c>
      <c r="R2037" t="s">
        <v>39682</v>
      </c>
      <c r="S2037" t="s">
        <v>39683</v>
      </c>
      <c r="T2037" t="s">
        <v>39684</v>
      </c>
      <c r="U2037" t="s">
        <v>39685</v>
      </c>
      <c r="V2037">
        <f>-588.955606646238 -44.0705749668437 -91.7906296774784</f>
        <v>-724.81681129056005</v>
      </c>
      <c r="W2037" t="s">
        <v>39686</v>
      </c>
      <c r="X2037" t="s">
        <v>39687</v>
      </c>
      <c r="Y2037" t="s">
        <v>39688</v>
      </c>
    </row>
    <row r="2038" spans="1:25" x14ac:dyDescent="0.3">
      <c r="A2038">
        <v>101850</v>
      </c>
      <c r="B2038" t="s">
        <v>39689</v>
      </c>
      <c r="C2038" t="s">
        <v>39690</v>
      </c>
      <c r="D2038" t="s">
        <v>39691</v>
      </c>
      <c r="E2038" t="s">
        <v>39692</v>
      </c>
      <c r="F2038" t="s">
        <v>39693</v>
      </c>
      <c r="G2038" t="s">
        <v>39694</v>
      </c>
      <c r="H2038" t="s">
        <v>39695</v>
      </c>
      <c r="I2038" t="s">
        <v>39696</v>
      </c>
      <c r="J2038" t="s">
        <v>39697</v>
      </c>
      <c r="K2038" t="s">
        <v>39698</v>
      </c>
      <c r="L2038" t="s">
        <v>39699</v>
      </c>
      <c r="M2038" t="s">
        <v>39700</v>
      </c>
      <c r="N2038" t="s">
        <v>39701</v>
      </c>
      <c r="O2038">
        <f>-655.283143050539 -121.108831196923 -519.01996655904</f>
        <v>-1295.4119408065021</v>
      </c>
      <c r="P2038">
        <f>-576.761884369897 -165.954950680783 -251.808650075479</f>
        <v>-994.52548512615897</v>
      </c>
      <c r="Q2038">
        <f>-452.157168600035 -38.9871211959476 -401.145205284294</f>
        <v>-892.28949508027654</v>
      </c>
      <c r="R2038" t="s">
        <v>39702</v>
      </c>
      <c r="S2038" t="s">
        <v>39703</v>
      </c>
      <c r="T2038" t="s">
        <v>39704</v>
      </c>
      <c r="U2038" t="s">
        <v>39705</v>
      </c>
      <c r="V2038">
        <f>-588.917846591965 -44.0177445954826 -91.785663581349</f>
        <v>-724.7212547687966</v>
      </c>
      <c r="W2038" t="s">
        <v>39706</v>
      </c>
      <c r="X2038" t="s">
        <v>39707</v>
      </c>
      <c r="Y2038" t="s">
        <v>39708</v>
      </c>
    </row>
    <row r="2039" spans="1:25" x14ac:dyDescent="0.3">
      <c r="A2039">
        <v>101900</v>
      </c>
      <c r="B2039" t="s">
        <v>39709</v>
      </c>
      <c r="C2039" t="s">
        <v>39710</v>
      </c>
      <c r="D2039" t="s">
        <v>39711</v>
      </c>
      <c r="E2039" t="s">
        <v>39712</v>
      </c>
      <c r="F2039" t="s">
        <v>39713</v>
      </c>
      <c r="G2039" t="s">
        <v>39714</v>
      </c>
      <c r="H2039" t="s">
        <v>39715</v>
      </c>
      <c r="I2039" t="s">
        <v>39716</v>
      </c>
      <c r="J2039" t="s">
        <v>39717</v>
      </c>
      <c r="K2039" t="s">
        <v>39718</v>
      </c>
      <c r="L2039" t="s">
        <v>39719</v>
      </c>
      <c r="M2039" t="s">
        <v>39720</v>
      </c>
      <c r="N2039" t="s">
        <v>39721</v>
      </c>
      <c r="O2039">
        <f>-655.392513623611 -121.089764389902 -519.048133082044</f>
        <v>-1295.5304110955572</v>
      </c>
      <c r="P2039">
        <f>-576.104822276447 -165.674148677065 -252.019659107867</f>
        <v>-993.79863006137896</v>
      </c>
      <c r="Q2039">
        <f>-452.449246029155 -38.1875603616124 -401.702500916287</f>
        <v>-892.33930730705447</v>
      </c>
      <c r="R2039" t="s">
        <v>39722</v>
      </c>
      <c r="S2039" t="s">
        <v>39723</v>
      </c>
      <c r="T2039" t="s">
        <v>39724</v>
      </c>
      <c r="U2039" t="s">
        <v>39725</v>
      </c>
      <c r="V2039">
        <f>-589.00663246617 -44.0602271627019 -91.7905044049512</f>
        <v>-724.85736403382316</v>
      </c>
      <c r="W2039" t="s">
        <v>39726</v>
      </c>
      <c r="X2039" t="s">
        <v>39727</v>
      </c>
      <c r="Y2039" t="s">
        <v>39728</v>
      </c>
    </row>
    <row r="2040" spans="1:25" x14ac:dyDescent="0.3">
      <c r="A2040">
        <v>101950</v>
      </c>
      <c r="B2040" t="s">
        <v>39729</v>
      </c>
      <c r="C2040" t="s">
        <v>39730</v>
      </c>
      <c r="D2040" t="s">
        <v>39731</v>
      </c>
      <c r="E2040" t="s">
        <v>39732</v>
      </c>
      <c r="F2040" t="s">
        <v>39733</v>
      </c>
      <c r="G2040" t="s">
        <v>39734</v>
      </c>
      <c r="H2040" t="s">
        <v>39735</v>
      </c>
      <c r="I2040" t="s">
        <v>39736</v>
      </c>
      <c r="J2040" t="s">
        <v>39737</v>
      </c>
      <c r="K2040" t="s">
        <v>39738</v>
      </c>
      <c r="L2040" t="s">
        <v>39739</v>
      </c>
      <c r="M2040" t="s">
        <v>39740</v>
      </c>
      <c r="N2040" t="s">
        <v>39741</v>
      </c>
      <c r="O2040">
        <f>-655.528056870311 -121.075721054318 -519.039952078037</f>
        <v>-1295.643730002666</v>
      </c>
      <c r="P2040">
        <f>-575.847584788271 -165.545456097731 -252.109129966325</f>
        <v>-993.50217085232691</v>
      </c>
      <c r="Q2040">
        <f>-452.652513266545 -37.7816618487327 -401.935496436634</f>
        <v>-892.36967155191178</v>
      </c>
      <c r="R2040" t="s">
        <v>39742</v>
      </c>
      <c r="S2040" t="s">
        <v>39743</v>
      </c>
      <c r="T2040" t="s">
        <v>39744</v>
      </c>
      <c r="U2040" t="s">
        <v>39745</v>
      </c>
      <c r="V2040">
        <f>-589.111434226527 -44.0487859755065 -91.7940860024494</f>
        <v>-724.9543062044828</v>
      </c>
      <c r="W2040" t="s">
        <v>39746</v>
      </c>
      <c r="X2040" t="s">
        <v>39747</v>
      </c>
      <c r="Y2040" t="s">
        <v>39748</v>
      </c>
    </row>
    <row r="2041" spans="1:25" x14ac:dyDescent="0.3">
      <c r="A2041">
        <v>102000</v>
      </c>
      <c r="B2041" t="s">
        <v>39749</v>
      </c>
      <c r="C2041" t="s">
        <v>39750</v>
      </c>
      <c r="D2041" t="s">
        <v>39751</v>
      </c>
      <c r="E2041" t="s">
        <v>39752</v>
      </c>
      <c r="F2041" t="s">
        <v>39753</v>
      </c>
      <c r="G2041" t="s">
        <v>39754</v>
      </c>
      <c r="H2041" t="s">
        <v>39755</v>
      </c>
      <c r="I2041" t="s">
        <v>39756</v>
      </c>
      <c r="J2041" t="s">
        <v>39757</v>
      </c>
      <c r="K2041" t="s">
        <v>39758</v>
      </c>
      <c r="L2041" t="s">
        <v>39759</v>
      </c>
      <c r="M2041" t="s">
        <v>39760</v>
      </c>
      <c r="N2041" t="s">
        <v>39761</v>
      </c>
      <c r="O2041">
        <f>-656.079175757914 -121.061092807273 -519.003457639494</f>
        <v>-1296.1437262046809</v>
      </c>
      <c r="P2041">
        <f>-575.741141344241 -165.40700929056 -252.249162256788</f>
        <v>-993.39731289158908</v>
      </c>
      <c r="Q2041">
        <f>-453.536652563792 -37.076787723229 -402.402348448913</f>
        <v>-893.01578873593405</v>
      </c>
      <c r="R2041" t="s">
        <v>39762</v>
      </c>
      <c r="S2041" t="s">
        <v>39763</v>
      </c>
      <c r="T2041" t="s">
        <v>39764</v>
      </c>
      <c r="U2041" t="s">
        <v>39765</v>
      </c>
      <c r="V2041">
        <f>-589.447892581378 -43.9943838144623 -91.8063830861812</f>
        <v>-725.24865948202148</v>
      </c>
      <c r="W2041" t="s">
        <v>39766</v>
      </c>
      <c r="X2041" t="s">
        <v>39767</v>
      </c>
      <c r="Y2041" t="s">
        <v>39768</v>
      </c>
    </row>
    <row r="2042" spans="1:25" x14ac:dyDescent="0.3">
      <c r="A2042">
        <v>102050</v>
      </c>
      <c r="B2042" t="s">
        <v>39769</v>
      </c>
      <c r="C2042" t="s">
        <v>39770</v>
      </c>
      <c r="D2042" t="s">
        <v>39771</v>
      </c>
      <c r="E2042" t="s">
        <v>39772</v>
      </c>
      <c r="F2042" t="s">
        <v>39773</v>
      </c>
      <c r="G2042" t="s">
        <v>39774</v>
      </c>
      <c r="H2042" t="s">
        <v>39775</v>
      </c>
      <c r="I2042" t="s">
        <v>39776</v>
      </c>
      <c r="J2042" t="s">
        <v>39777</v>
      </c>
      <c r="K2042" t="s">
        <v>39778</v>
      </c>
      <c r="L2042" t="s">
        <v>39779</v>
      </c>
      <c r="M2042" t="s">
        <v>39780</v>
      </c>
      <c r="N2042" t="s">
        <v>39781</v>
      </c>
      <c r="O2042">
        <f>-656.505245535708 -121.002087955315 -518.977181122666</f>
        <v>-1296.484514613689</v>
      </c>
      <c r="P2042">
        <f>-575.868614213616 -165.341906110885 -252.311908633429</f>
        <v>-993.52242895792995</v>
      </c>
      <c r="Q2042">
        <f>-454.159180567236 -36.7768407770925 -402.666246824523</f>
        <v>-893.60226816885142</v>
      </c>
      <c r="R2042" t="s">
        <v>39782</v>
      </c>
      <c r="S2042" t="s">
        <v>39783</v>
      </c>
      <c r="T2042" t="s">
        <v>39784</v>
      </c>
      <c r="U2042" t="s">
        <v>39785</v>
      </c>
      <c r="V2042">
        <f>-589.669064949733 -43.9993026111872 -91.8139906135671</f>
        <v>-725.48235817448722</v>
      </c>
      <c r="W2042" t="s">
        <v>39786</v>
      </c>
      <c r="X2042" t="s">
        <v>39787</v>
      </c>
      <c r="Y2042" t="s">
        <v>39788</v>
      </c>
    </row>
    <row r="2043" spans="1:25" x14ac:dyDescent="0.3">
      <c r="A2043">
        <v>102100</v>
      </c>
      <c r="B2043" t="s">
        <v>39789</v>
      </c>
      <c r="C2043" t="s">
        <v>39790</v>
      </c>
      <c r="D2043" t="s">
        <v>39791</v>
      </c>
      <c r="E2043" t="s">
        <v>39792</v>
      </c>
      <c r="F2043" t="s">
        <v>39793</v>
      </c>
      <c r="G2043" t="s">
        <v>39794</v>
      </c>
      <c r="H2043" t="s">
        <v>39795</v>
      </c>
      <c r="I2043" t="s">
        <v>39796</v>
      </c>
      <c r="J2043" t="s">
        <v>39797</v>
      </c>
      <c r="K2043" t="s">
        <v>39798</v>
      </c>
      <c r="L2043" t="s">
        <v>39799</v>
      </c>
      <c r="M2043" t="s">
        <v>39800</v>
      </c>
      <c r="N2043" t="s">
        <v>39801</v>
      </c>
      <c r="O2043">
        <f>-657.383926418925 -121.09795530185 -518.906383524066</f>
        <v>-1297.388265244841</v>
      </c>
      <c r="P2043">
        <f>-576.199739599671 -165.176236647573 -252.364129235685</f>
        <v>-993.74010548292904</v>
      </c>
      <c r="Q2043">
        <f>-455.079618613776 -36.6223288335123 -403.202699913661</f>
        <v>-894.9046473609493</v>
      </c>
      <c r="R2043" t="s">
        <v>39802</v>
      </c>
      <c r="S2043" t="s">
        <v>39803</v>
      </c>
      <c r="T2043" t="s">
        <v>39804</v>
      </c>
      <c r="U2043" t="s">
        <v>39805</v>
      </c>
      <c r="V2043">
        <f>-590.206605912263 -44.0381805616817 -91.8424589711747</f>
        <v>-726.08724544511927</v>
      </c>
      <c r="W2043" t="s">
        <v>39806</v>
      </c>
      <c r="X2043" t="s">
        <v>39807</v>
      </c>
      <c r="Y2043" t="s">
        <v>39808</v>
      </c>
    </row>
    <row r="2044" spans="1:25" x14ac:dyDescent="0.3">
      <c r="A2044">
        <v>102150</v>
      </c>
      <c r="B2044" t="s">
        <v>39809</v>
      </c>
      <c r="C2044" t="s">
        <v>39810</v>
      </c>
      <c r="D2044" t="s">
        <v>39811</v>
      </c>
      <c r="E2044" t="s">
        <v>39812</v>
      </c>
      <c r="F2044" t="s">
        <v>39813</v>
      </c>
      <c r="G2044" t="s">
        <v>39814</v>
      </c>
      <c r="H2044" t="s">
        <v>39815</v>
      </c>
      <c r="I2044" t="s">
        <v>39816</v>
      </c>
      <c r="J2044" t="s">
        <v>39817</v>
      </c>
      <c r="K2044" t="s">
        <v>39818</v>
      </c>
      <c r="L2044" t="s">
        <v>39819</v>
      </c>
      <c r="M2044" t="s">
        <v>39820</v>
      </c>
      <c r="N2044" t="s">
        <v>39821</v>
      </c>
      <c r="O2044">
        <f>-657.958860201442 -121.166276333536 -518.824268553642</f>
        <v>-1297.9494050886201</v>
      </c>
      <c r="P2044">
        <f>-576.48589875378 -165.244182659449 -252.369943319569</f>
        <v>-994.10002473279803</v>
      </c>
      <c r="Q2044">
        <f>-455.432977310276 -36.7791242863145 -403.338396143069</f>
        <v>-895.55049773965948</v>
      </c>
      <c r="R2044" t="s">
        <v>39822</v>
      </c>
      <c r="S2044" t="s">
        <v>39823</v>
      </c>
      <c r="T2044" t="s">
        <v>39824</v>
      </c>
      <c r="U2044" t="s">
        <v>39825</v>
      </c>
      <c r="V2044">
        <f>-590.521606837033 -44.0645753500571 -91.8648962467431</f>
        <v>-726.45107843383323</v>
      </c>
      <c r="W2044" t="s">
        <v>39826</v>
      </c>
      <c r="X2044" t="s">
        <v>39827</v>
      </c>
      <c r="Y2044" t="s">
        <v>39828</v>
      </c>
    </row>
    <row r="2045" spans="1:25" x14ac:dyDescent="0.3">
      <c r="A2045">
        <v>102200</v>
      </c>
      <c r="B2045" t="s">
        <v>39829</v>
      </c>
      <c r="C2045" t="s">
        <v>39830</v>
      </c>
      <c r="D2045" t="s">
        <v>39831</v>
      </c>
      <c r="E2045" t="s">
        <v>39832</v>
      </c>
      <c r="F2045" t="s">
        <v>39833</v>
      </c>
      <c r="G2045" t="s">
        <v>39834</v>
      </c>
      <c r="H2045" t="s">
        <v>39835</v>
      </c>
      <c r="I2045" t="s">
        <v>39836</v>
      </c>
      <c r="J2045" t="s">
        <v>39837</v>
      </c>
      <c r="K2045" t="s">
        <v>39838</v>
      </c>
      <c r="L2045" t="s">
        <v>39839</v>
      </c>
      <c r="M2045" t="s">
        <v>39840</v>
      </c>
      <c r="N2045" t="s">
        <v>39841</v>
      </c>
      <c r="O2045">
        <f>-659.386373864505 -121.115283972097 -518.615453025975</f>
        <v>-1299.117110862577</v>
      </c>
      <c r="P2045">
        <f>-577.755580890313 -165.097499374061 -252.193659437077</f>
        <v>-995.04673970145109</v>
      </c>
      <c r="Q2045">
        <f>-456.363852209467 -37.0915382157455 -403.280159543184</f>
        <v>-896.73554996839653</v>
      </c>
      <c r="R2045" t="s">
        <v>39842</v>
      </c>
      <c r="S2045" t="s">
        <v>39843</v>
      </c>
      <c r="T2045" t="s">
        <v>39844</v>
      </c>
      <c r="U2045" t="s">
        <v>39845</v>
      </c>
      <c r="V2045">
        <f>-591.13414984798 -44.1023578263455 -91.9013392601371</f>
        <v>-727.13784693446257</v>
      </c>
      <c r="W2045" t="s">
        <v>39846</v>
      </c>
      <c r="X2045" t="s">
        <v>39847</v>
      </c>
      <c r="Y2045" t="s">
        <v>39848</v>
      </c>
    </row>
    <row r="2046" spans="1:25" x14ac:dyDescent="0.3">
      <c r="A2046">
        <v>102250</v>
      </c>
      <c r="B2046" t="s">
        <v>39849</v>
      </c>
      <c r="C2046" t="s">
        <v>39850</v>
      </c>
      <c r="D2046" t="s">
        <v>39851</v>
      </c>
      <c r="E2046" t="s">
        <v>39852</v>
      </c>
      <c r="F2046" t="s">
        <v>39853</v>
      </c>
      <c r="G2046" t="s">
        <v>39854</v>
      </c>
      <c r="H2046" t="s">
        <v>39855</v>
      </c>
      <c r="I2046" t="s">
        <v>39856</v>
      </c>
      <c r="J2046" t="s">
        <v>39857</v>
      </c>
      <c r="K2046" t="s">
        <v>39858</v>
      </c>
      <c r="L2046" t="s">
        <v>39859</v>
      </c>
      <c r="M2046" t="s">
        <v>39860</v>
      </c>
      <c r="N2046" t="s">
        <v>39861</v>
      </c>
      <c r="O2046">
        <f>-660.029952282779 -121.071596097852 -518.487367167068</f>
        <v>-1299.5889155476989</v>
      </c>
      <c r="P2046">
        <f>-578.489620503693 -165.069161994834 -252.040411835314</f>
        <v>-995.59919433384096</v>
      </c>
      <c r="Q2046">
        <f>-456.824483034237 -37.3000735071187 -403.107224155136</f>
        <v>-897.23178069649168</v>
      </c>
      <c r="R2046" t="s">
        <v>39862</v>
      </c>
      <c r="S2046" t="s">
        <v>39863</v>
      </c>
      <c r="T2046" t="s">
        <v>39864</v>
      </c>
      <c r="U2046" t="s">
        <v>39865</v>
      </c>
      <c r="V2046">
        <f>-591.405128562392 -44.015422388549 -91.9019346535431</f>
        <v>-727.32248560448409</v>
      </c>
      <c r="W2046" t="s">
        <v>39866</v>
      </c>
      <c r="X2046" t="s">
        <v>39867</v>
      </c>
      <c r="Y2046" t="s">
        <v>39868</v>
      </c>
    </row>
    <row r="2047" spans="1:25" x14ac:dyDescent="0.3">
      <c r="A2047">
        <v>102300</v>
      </c>
      <c r="B2047" t="s">
        <v>39869</v>
      </c>
      <c r="C2047" t="s">
        <v>39870</v>
      </c>
      <c r="D2047" t="s">
        <v>39871</v>
      </c>
      <c r="E2047" t="s">
        <v>39872</v>
      </c>
      <c r="F2047" t="s">
        <v>39873</v>
      </c>
      <c r="G2047" t="s">
        <v>39874</v>
      </c>
      <c r="H2047" t="s">
        <v>39875</v>
      </c>
      <c r="I2047" t="s">
        <v>39876</v>
      </c>
      <c r="J2047" t="s">
        <v>39877</v>
      </c>
      <c r="K2047" t="s">
        <v>39878</v>
      </c>
      <c r="L2047" t="s">
        <v>39879</v>
      </c>
      <c r="M2047" t="s">
        <v>39880</v>
      </c>
      <c r="N2047" t="s">
        <v>39881</v>
      </c>
      <c r="O2047">
        <f>-661.180456780465 -120.915779043901 -518.219924955709</f>
        <v>-1300.3161607800748</v>
      </c>
      <c r="P2047">
        <f>-579.863845289601 -164.813447566105 -251.688173244692</f>
        <v>-996.36546610039795</v>
      </c>
      <c r="Q2047">
        <f>-457.28141270661 -37.7665480579728 -402.62242396872</f>
        <v>-897.67038473330285</v>
      </c>
      <c r="R2047" t="s">
        <v>39882</v>
      </c>
      <c r="S2047" t="s">
        <v>39883</v>
      </c>
      <c r="T2047" t="s">
        <v>39884</v>
      </c>
      <c r="U2047" t="s">
        <v>39885</v>
      </c>
      <c r="V2047">
        <f>-591.83075377828 -43.6043696457627 -91.8845122985094</f>
        <v>-727.31963572255222</v>
      </c>
      <c r="W2047" t="s">
        <v>39886</v>
      </c>
      <c r="X2047" t="s">
        <v>39887</v>
      </c>
      <c r="Y2047" t="s">
        <v>39888</v>
      </c>
    </row>
    <row r="2048" spans="1:25" x14ac:dyDescent="0.3">
      <c r="A2048">
        <v>102350</v>
      </c>
      <c r="B2048" t="s">
        <v>39889</v>
      </c>
      <c r="C2048" t="s">
        <v>39890</v>
      </c>
      <c r="D2048" t="s">
        <v>39891</v>
      </c>
      <c r="E2048" t="s">
        <v>39892</v>
      </c>
      <c r="F2048" t="s">
        <v>39893</v>
      </c>
      <c r="G2048" t="s">
        <v>39894</v>
      </c>
      <c r="H2048" t="s">
        <v>39895</v>
      </c>
      <c r="I2048" t="s">
        <v>39896</v>
      </c>
      <c r="J2048" t="s">
        <v>39897</v>
      </c>
      <c r="K2048" t="s">
        <v>39898</v>
      </c>
      <c r="L2048" t="s">
        <v>39899</v>
      </c>
      <c r="M2048" t="s">
        <v>39900</v>
      </c>
      <c r="N2048" t="s">
        <v>39901</v>
      </c>
      <c r="O2048">
        <f>-661.745120897193 -120.86467830858 -518.01462668205</f>
        <v>-1300.624425887823</v>
      </c>
      <c r="P2048">
        <f>-580.413481156919 -164.730083720995 -251.482232810419</f>
        <v>-996.62579768833302</v>
      </c>
      <c r="Q2048">
        <f>-457.522152461631 -37.9045004113577 -402.351375784779</f>
        <v>-897.77802865776766</v>
      </c>
      <c r="R2048" t="s">
        <v>39902</v>
      </c>
      <c r="S2048" t="s">
        <v>39903</v>
      </c>
      <c r="T2048" t="s">
        <v>39904</v>
      </c>
      <c r="U2048" t="s">
        <v>39905</v>
      </c>
      <c r="V2048">
        <f>-591.958811755363 -43.354259842185 -91.8685492804868</f>
        <v>-727.18162087803478</v>
      </c>
      <c r="W2048" t="s">
        <v>39906</v>
      </c>
      <c r="X2048" t="s">
        <v>39907</v>
      </c>
      <c r="Y2048" t="s">
        <v>39908</v>
      </c>
    </row>
    <row r="2049" spans="1:25" x14ac:dyDescent="0.3">
      <c r="A2049">
        <v>102400</v>
      </c>
      <c r="B2049" t="s">
        <v>39909</v>
      </c>
      <c r="C2049" t="s">
        <v>39910</v>
      </c>
      <c r="D2049" t="s">
        <v>39911</v>
      </c>
      <c r="E2049" t="s">
        <v>39912</v>
      </c>
      <c r="F2049" t="s">
        <v>39913</v>
      </c>
      <c r="G2049" t="s">
        <v>39914</v>
      </c>
      <c r="H2049" t="s">
        <v>39915</v>
      </c>
      <c r="I2049" t="s">
        <v>39916</v>
      </c>
      <c r="J2049" t="s">
        <v>39917</v>
      </c>
      <c r="K2049" t="s">
        <v>39918</v>
      </c>
      <c r="L2049" t="s">
        <v>39919</v>
      </c>
      <c r="M2049" t="s">
        <v>39920</v>
      </c>
      <c r="N2049" t="s">
        <v>39921</v>
      </c>
      <c r="O2049">
        <f>-662.737188476497 -120.875970734561 -517.630491957557</f>
        <v>-1301.2436511686149</v>
      </c>
      <c r="P2049">
        <f>-581.161738940725 -164.50766367997 -251.134071087275</f>
        <v>-996.80347370796994</v>
      </c>
      <c r="Q2049">
        <f>-458.107211339304 -38.0283335374113 -402.160643331734</f>
        <v>-898.29618820844928</v>
      </c>
      <c r="R2049" t="s">
        <v>39922</v>
      </c>
      <c r="S2049" t="s">
        <v>39923</v>
      </c>
      <c r="T2049" t="s">
        <v>39924</v>
      </c>
      <c r="U2049" t="s">
        <v>39925</v>
      </c>
      <c r="V2049">
        <f>-592.149970036839 -42.9583873856693 -91.81429198322</f>
        <v>-726.92264940572829</v>
      </c>
      <c r="W2049" t="s">
        <v>39926</v>
      </c>
      <c r="X2049" t="s">
        <v>39927</v>
      </c>
      <c r="Y2049" t="s">
        <v>39928</v>
      </c>
    </row>
    <row r="2050" spans="1:25" x14ac:dyDescent="0.3">
      <c r="A2050">
        <v>102450</v>
      </c>
      <c r="B2050" t="s">
        <v>39929</v>
      </c>
      <c r="C2050" t="s">
        <v>39930</v>
      </c>
      <c r="D2050" t="s">
        <v>39931</v>
      </c>
      <c r="E2050" t="s">
        <v>39932</v>
      </c>
      <c r="F2050" t="s">
        <v>39933</v>
      </c>
      <c r="G2050" t="s">
        <v>39934</v>
      </c>
      <c r="H2050" t="s">
        <v>39935</v>
      </c>
      <c r="I2050" t="s">
        <v>39936</v>
      </c>
      <c r="J2050" t="s">
        <v>39937</v>
      </c>
      <c r="K2050" t="s">
        <v>39938</v>
      </c>
      <c r="L2050" t="s">
        <v>39939</v>
      </c>
      <c r="M2050" t="s">
        <v>39940</v>
      </c>
      <c r="N2050" t="s">
        <v>39941</v>
      </c>
      <c r="O2050">
        <f>-663.285673591951 -120.913749081805 -517.42688817517</f>
        <v>-1301.6263108489261</v>
      </c>
      <c r="P2050">
        <f>-581.44112112725 -164.32913231386 -250.977651213378</f>
        <v>-996.74790465448791</v>
      </c>
      <c r="Q2050">
        <f>-458.547575704747 -37.9800028993805 -402.244180694329</f>
        <v>-898.77175929845646</v>
      </c>
      <c r="R2050" t="s">
        <v>39942</v>
      </c>
      <c r="S2050" t="s">
        <v>39943</v>
      </c>
      <c r="T2050" t="s">
        <v>39944</v>
      </c>
      <c r="U2050" t="s">
        <v>39945</v>
      </c>
      <c r="V2050">
        <f>-592.218140106628 -42.7966655070657 -91.7922158855247</f>
        <v>-726.80702149921831</v>
      </c>
      <c r="W2050" t="s">
        <v>39946</v>
      </c>
      <c r="X2050" t="s">
        <v>39947</v>
      </c>
      <c r="Y2050" t="s">
        <v>39948</v>
      </c>
    </row>
    <row r="2051" spans="1:25" x14ac:dyDescent="0.3">
      <c r="A2051">
        <v>102500</v>
      </c>
      <c r="B2051" t="s">
        <v>39949</v>
      </c>
      <c r="C2051" t="s">
        <v>39950</v>
      </c>
      <c r="D2051" t="s">
        <v>39951</v>
      </c>
      <c r="E2051" t="s">
        <v>39952</v>
      </c>
      <c r="F2051" t="s">
        <v>39953</v>
      </c>
      <c r="G2051" t="s">
        <v>39954</v>
      </c>
      <c r="H2051" t="s">
        <v>39955</v>
      </c>
      <c r="I2051" t="s">
        <v>39956</v>
      </c>
      <c r="J2051" t="s">
        <v>39957</v>
      </c>
      <c r="K2051" t="s">
        <v>39958</v>
      </c>
      <c r="L2051" t="s">
        <v>39959</v>
      </c>
      <c r="M2051" t="s">
        <v>39960</v>
      </c>
      <c r="N2051" t="s">
        <v>39961</v>
      </c>
      <c r="O2051">
        <f>-664.132963417155 -121.030822892056 -517.098623153703</f>
        <v>-1302.2624094629141</v>
      </c>
      <c r="P2051">
        <f>-581.806219593857 -164.136260597666 -250.747843388827</f>
        <v>-996.69032358034997</v>
      </c>
      <c r="Q2051">
        <f>-459.235772931239 -37.6615991274182 -402.171458620924</f>
        <v>-899.0688306795812</v>
      </c>
      <c r="R2051" t="s">
        <v>39962</v>
      </c>
      <c r="S2051" t="s">
        <v>39963</v>
      </c>
      <c r="T2051" t="s">
        <v>39964</v>
      </c>
      <c r="U2051" t="s">
        <v>39965</v>
      </c>
      <c r="V2051">
        <f>-592.342737107072 -42.4624579347762 -91.7563731154078</f>
        <v>-726.56156815725603</v>
      </c>
      <c r="W2051" t="s">
        <v>39966</v>
      </c>
      <c r="X2051" t="s">
        <v>39967</v>
      </c>
      <c r="Y2051" t="s">
        <v>39968</v>
      </c>
    </row>
    <row r="2052" spans="1:25" x14ac:dyDescent="0.3">
      <c r="A2052">
        <v>102550</v>
      </c>
      <c r="B2052" t="s">
        <v>39969</v>
      </c>
      <c r="C2052" t="s">
        <v>39970</v>
      </c>
      <c r="D2052" t="s">
        <v>39971</v>
      </c>
      <c r="E2052" t="s">
        <v>39972</v>
      </c>
      <c r="F2052" t="s">
        <v>39973</v>
      </c>
      <c r="G2052" t="s">
        <v>39974</v>
      </c>
      <c r="H2052" t="s">
        <v>39975</v>
      </c>
      <c r="I2052" t="s">
        <v>39976</v>
      </c>
      <c r="J2052" t="s">
        <v>39977</v>
      </c>
      <c r="K2052" t="s">
        <v>39978</v>
      </c>
      <c r="L2052" t="s">
        <v>39979</v>
      </c>
      <c r="M2052" t="s">
        <v>39980</v>
      </c>
      <c r="N2052" t="s">
        <v>39981</v>
      </c>
      <c r="O2052">
        <f>-664.448043932781 -121.062392976176 -516.948044967898</f>
        <v>-1302.4584818768549</v>
      </c>
      <c r="P2052">
        <f>-581.924994487325 -164.020992257194 -250.634222569095</f>
        <v>-996.58020931361386</v>
      </c>
      <c r="Q2052">
        <f>-459.381963829126 -37.5523082109303 -402.085202106</f>
        <v>-899.01947414605627</v>
      </c>
      <c r="R2052" t="s">
        <v>39982</v>
      </c>
      <c r="S2052" t="s">
        <v>39983</v>
      </c>
      <c r="T2052" t="s">
        <v>39984</v>
      </c>
      <c r="U2052" t="s">
        <v>39985</v>
      </c>
      <c r="V2052">
        <f>-592.344662556188 -42.3337218137601 -91.7436261079772</f>
        <v>-726.42201047792537</v>
      </c>
      <c r="W2052" t="s">
        <v>39986</v>
      </c>
      <c r="X2052" t="s">
        <v>39987</v>
      </c>
      <c r="Y2052" t="s">
        <v>39988</v>
      </c>
    </row>
    <row r="2053" spans="1:25" x14ac:dyDescent="0.3">
      <c r="A2053">
        <v>102600</v>
      </c>
      <c r="B2053" t="s">
        <v>39989</v>
      </c>
      <c r="C2053" t="s">
        <v>39990</v>
      </c>
      <c r="D2053" t="s">
        <v>39991</v>
      </c>
      <c r="E2053" t="s">
        <v>39992</v>
      </c>
      <c r="F2053" t="s">
        <v>39993</v>
      </c>
      <c r="G2053" t="s">
        <v>39994</v>
      </c>
      <c r="H2053" t="s">
        <v>39995</v>
      </c>
      <c r="I2053" t="s">
        <v>39996</v>
      </c>
      <c r="J2053" t="s">
        <v>39997</v>
      </c>
      <c r="K2053" t="s">
        <v>39998</v>
      </c>
      <c r="L2053" t="s">
        <v>39999</v>
      </c>
      <c r="M2053" t="s">
        <v>40000</v>
      </c>
      <c r="N2053" t="s">
        <v>40001</v>
      </c>
      <c r="O2053">
        <f>-664.858218137064 -121.067827608539 -516.636435215037</f>
        <v>-1302.56248096064</v>
      </c>
      <c r="P2053">
        <f>-582.122575137805 -163.578299156971 -250.316667097316</f>
        <v>-996.01754139209197</v>
      </c>
      <c r="Q2053">
        <f>-459.346635035687 -37.296519926497 -401.734934504331</f>
        <v>-898.37808946651501</v>
      </c>
      <c r="R2053" t="s">
        <v>40002</v>
      </c>
      <c r="S2053" t="s">
        <v>40003</v>
      </c>
      <c r="T2053" t="s">
        <v>40004</v>
      </c>
      <c r="U2053" t="s">
        <v>40005</v>
      </c>
      <c r="V2053">
        <f>-592.2685271546 -41.9828657041689 -91.7157536680626</f>
        <v>-725.96714652683147</v>
      </c>
      <c r="W2053" t="s">
        <v>40006</v>
      </c>
      <c r="X2053" t="s">
        <v>40007</v>
      </c>
      <c r="Y2053" t="s">
        <v>40008</v>
      </c>
    </row>
    <row r="2054" spans="1:25" x14ac:dyDescent="0.3">
      <c r="A2054">
        <v>102650</v>
      </c>
      <c r="B2054" t="s">
        <v>40009</v>
      </c>
      <c r="C2054" t="s">
        <v>40010</v>
      </c>
      <c r="D2054" t="s">
        <v>40011</v>
      </c>
      <c r="E2054" t="s">
        <v>40012</v>
      </c>
      <c r="F2054" t="s">
        <v>40013</v>
      </c>
      <c r="G2054" t="s">
        <v>40014</v>
      </c>
      <c r="H2054" t="s">
        <v>40015</v>
      </c>
      <c r="I2054" t="s">
        <v>40016</v>
      </c>
      <c r="J2054" t="s">
        <v>40017</v>
      </c>
      <c r="K2054" t="s">
        <v>40018</v>
      </c>
      <c r="L2054" t="s">
        <v>40019</v>
      </c>
      <c r="M2054" t="s">
        <v>40020</v>
      </c>
      <c r="N2054" t="s">
        <v>40021</v>
      </c>
      <c r="O2054">
        <f>-665.00437281306 -121.050981344322 -516.468994159296</f>
        <v>-1302.524348316678</v>
      </c>
      <c r="P2054">
        <f>-582.23447762444 -163.395914026351 -250.133448907391</f>
        <v>-995.76384055818198</v>
      </c>
      <c r="Q2054">
        <f>-459.285822872475 -37.2760869735453 -401.546589094017</f>
        <v>-898.10849894003741</v>
      </c>
      <c r="R2054" t="s">
        <v>40022</v>
      </c>
      <c r="S2054" t="s">
        <v>40023</v>
      </c>
      <c r="T2054" t="s">
        <v>40024</v>
      </c>
      <c r="U2054" t="s">
        <v>40025</v>
      </c>
      <c r="V2054">
        <f>-592.23425260147 -41.861791644571 -91.7004190958182</f>
        <v>-725.79646334185918</v>
      </c>
      <c r="W2054" t="s">
        <v>40026</v>
      </c>
      <c r="X2054" t="s">
        <v>40027</v>
      </c>
      <c r="Y2054" t="s">
        <v>40028</v>
      </c>
    </row>
    <row r="2055" spans="1:25" x14ac:dyDescent="0.3">
      <c r="A2055">
        <v>102700</v>
      </c>
      <c r="B2055" t="s">
        <v>40029</v>
      </c>
      <c r="C2055" t="s">
        <v>40030</v>
      </c>
      <c r="D2055" t="s">
        <v>40031</v>
      </c>
      <c r="E2055" t="s">
        <v>40032</v>
      </c>
      <c r="F2055" t="s">
        <v>40033</v>
      </c>
      <c r="G2055" t="s">
        <v>40034</v>
      </c>
      <c r="H2055" t="s">
        <v>40035</v>
      </c>
      <c r="I2055" t="s">
        <v>40036</v>
      </c>
      <c r="J2055" t="s">
        <v>40037</v>
      </c>
      <c r="K2055" t="s">
        <v>40038</v>
      </c>
      <c r="L2055" t="s">
        <v>40039</v>
      </c>
      <c r="M2055" t="s">
        <v>40040</v>
      </c>
      <c r="N2055" t="s">
        <v>40041</v>
      </c>
      <c r="O2055">
        <f>-665.080411843969 -121.021764754267 -516.178336329993</f>
        <v>-1302.2805129282292</v>
      </c>
      <c r="P2055">
        <f>-582.409777181134 -163.226175916014 -249.789604305446</f>
        <v>-995.42555740259399</v>
      </c>
      <c r="Q2055">
        <f>-459.127566610916 -37.0676391324635 -400.899017728222</f>
        <v>-897.09422347160148</v>
      </c>
      <c r="R2055" t="s">
        <v>40042</v>
      </c>
      <c r="S2055" t="s">
        <v>40043</v>
      </c>
      <c r="T2055" t="s">
        <v>40044</v>
      </c>
      <c r="U2055" t="s">
        <v>40045</v>
      </c>
      <c r="V2055">
        <f>-592.167072053233 -41.5997843113557 -91.6595571769037</f>
        <v>-725.42641354149248</v>
      </c>
      <c r="W2055" t="s">
        <v>40046</v>
      </c>
      <c r="X2055" t="s">
        <v>40047</v>
      </c>
      <c r="Y2055" t="s">
        <v>40048</v>
      </c>
    </row>
    <row r="2056" spans="1:25" x14ac:dyDescent="0.3">
      <c r="A2056">
        <v>102750</v>
      </c>
      <c r="B2056" t="s">
        <v>40049</v>
      </c>
      <c r="C2056" t="s">
        <v>40050</v>
      </c>
      <c r="D2056" t="s">
        <v>40051</v>
      </c>
      <c r="E2056" t="s">
        <v>40052</v>
      </c>
      <c r="F2056" t="s">
        <v>40053</v>
      </c>
      <c r="G2056" t="s">
        <v>40054</v>
      </c>
      <c r="H2056" t="s">
        <v>40055</v>
      </c>
      <c r="I2056" t="s">
        <v>40056</v>
      </c>
      <c r="J2056" t="s">
        <v>40057</v>
      </c>
      <c r="K2056" t="s">
        <v>40058</v>
      </c>
      <c r="L2056" t="s">
        <v>40059</v>
      </c>
      <c r="M2056" t="s">
        <v>40060</v>
      </c>
      <c r="N2056" t="s">
        <v>40061</v>
      </c>
      <c r="O2056">
        <f>-665.03810501347 -120.973221511038 -516.067493386443</f>
        <v>-1302.0788199109511</v>
      </c>
      <c r="P2056">
        <f>-582.563518244658 -162.980851521696 -249.586911672778</f>
        <v>-995.13128143913195</v>
      </c>
      <c r="Q2056">
        <f>-459.015523231773 -36.9103873694924 -400.55256848407</f>
        <v>-896.47847908533538</v>
      </c>
      <c r="R2056" t="s">
        <v>40062</v>
      </c>
      <c r="S2056" t="s">
        <v>40063</v>
      </c>
      <c r="T2056" t="s">
        <v>40064</v>
      </c>
      <c r="U2056" t="s">
        <v>40065</v>
      </c>
      <c r="V2056">
        <f>-592.125613171981 -41.4856038860466 -91.649681325062</f>
        <v>-725.26089838308962</v>
      </c>
      <c r="W2056" t="s">
        <v>40066</v>
      </c>
      <c r="X2056" t="s">
        <v>40067</v>
      </c>
      <c r="Y2056" t="s">
        <v>40068</v>
      </c>
    </row>
    <row r="2057" spans="1:25" x14ac:dyDescent="0.3">
      <c r="A2057">
        <v>102800</v>
      </c>
      <c r="B2057" t="s">
        <v>40069</v>
      </c>
      <c r="C2057" t="s">
        <v>40070</v>
      </c>
      <c r="D2057" t="s">
        <v>40071</v>
      </c>
      <c r="E2057" t="s">
        <v>40072</v>
      </c>
      <c r="F2057" t="s">
        <v>40073</v>
      </c>
      <c r="G2057" t="s">
        <v>40074</v>
      </c>
      <c r="H2057" t="s">
        <v>40075</v>
      </c>
      <c r="I2057" t="s">
        <v>40076</v>
      </c>
      <c r="J2057" t="s">
        <v>40077</v>
      </c>
      <c r="K2057" t="s">
        <v>40078</v>
      </c>
      <c r="L2057" t="s">
        <v>40079</v>
      </c>
      <c r="M2057" t="s">
        <v>40080</v>
      </c>
      <c r="N2057" t="s">
        <v>40081</v>
      </c>
      <c r="O2057">
        <f>-665.035308071418 -120.932779746706 -515.788539174908</f>
        <v>-1301.7566269930321</v>
      </c>
      <c r="P2057">
        <f>-582.806062437358 -162.893272561717 -249.224660857319</f>
        <v>-994.92399585639407</v>
      </c>
      <c r="Q2057">
        <f>-458.760934033983 -36.788129891992 -399.753288321916</f>
        <v>-895.30235224789101</v>
      </c>
      <c r="R2057" t="s">
        <v>40082</v>
      </c>
      <c r="S2057" t="s">
        <v>40083</v>
      </c>
      <c r="T2057" t="s">
        <v>40084</v>
      </c>
      <c r="U2057" t="s">
        <v>40085</v>
      </c>
      <c r="V2057">
        <f>-591.925621172995 -41.2020687509714 -91.5986519729726</f>
        <v>-724.72634189693895</v>
      </c>
      <c r="W2057" t="s">
        <v>40086</v>
      </c>
      <c r="X2057" t="s">
        <v>40087</v>
      </c>
      <c r="Y2057" t="s">
        <v>40088</v>
      </c>
    </row>
    <row r="2058" spans="1:25" x14ac:dyDescent="0.3">
      <c r="A2058">
        <v>102850</v>
      </c>
      <c r="B2058" t="s">
        <v>40089</v>
      </c>
      <c r="C2058" t="s">
        <v>40090</v>
      </c>
      <c r="D2058" t="s">
        <v>40091</v>
      </c>
      <c r="E2058" t="s">
        <v>40092</v>
      </c>
      <c r="F2058" t="s">
        <v>40093</v>
      </c>
      <c r="G2058" t="s">
        <v>40094</v>
      </c>
      <c r="H2058" t="s">
        <v>40095</v>
      </c>
      <c r="I2058" t="s">
        <v>40096</v>
      </c>
      <c r="J2058" t="s">
        <v>40097</v>
      </c>
      <c r="K2058" t="s">
        <v>40098</v>
      </c>
      <c r="L2058" t="s">
        <v>40099</v>
      </c>
      <c r="M2058" t="s">
        <v>40100</v>
      </c>
      <c r="N2058" t="s">
        <v>40101</v>
      </c>
      <c r="O2058">
        <f>-664.852243778059 -120.973764328804 -515.673709110471</f>
        <v>-1301.4997172173339</v>
      </c>
      <c r="P2058">
        <f>-582.830503335683 -162.868801059952 -249.035634344549</f>
        <v>-994.73493874018413</v>
      </c>
      <c r="Q2058">
        <f>-458.453508479024 -36.8842240781282 -399.391353568783</f>
        <v>-894.72908612593528</v>
      </c>
      <c r="R2058" t="s">
        <v>40102</v>
      </c>
      <c r="S2058" t="s">
        <v>40103</v>
      </c>
      <c r="T2058" t="s">
        <v>40104</v>
      </c>
      <c r="U2058" t="s">
        <v>40105</v>
      </c>
      <c r="V2058">
        <f>-591.769376672901 -41.0974479313159 -91.5781973578244</f>
        <v>-724.44502196204121</v>
      </c>
      <c r="W2058" t="s">
        <v>40106</v>
      </c>
      <c r="X2058" t="s">
        <v>40107</v>
      </c>
      <c r="Y2058" t="s">
        <v>40108</v>
      </c>
    </row>
    <row r="2059" spans="1:25" x14ac:dyDescent="0.3">
      <c r="A2059">
        <v>102900</v>
      </c>
      <c r="B2059" t="s">
        <v>40109</v>
      </c>
      <c r="C2059" t="s">
        <v>40110</v>
      </c>
      <c r="D2059" t="s">
        <v>40111</v>
      </c>
      <c r="E2059" t="s">
        <v>40112</v>
      </c>
      <c r="F2059" t="s">
        <v>40113</v>
      </c>
      <c r="G2059" t="s">
        <v>40114</v>
      </c>
      <c r="H2059" t="s">
        <v>40115</v>
      </c>
      <c r="I2059" t="s">
        <v>40116</v>
      </c>
      <c r="J2059" t="s">
        <v>40117</v>
      </c>
      <c r="K2059" t="s">
        <v>40118</v>
      </c>
      <c r="L2059" t="s">
        <v>40119</v>
      </c>
      <c r="M2059" t="s">
        <v>40120</v>
      </c>
      <c r="N2059" t="s">
        <v>40121</v>
      </c>
      <c r="O2059">
        <f>-664.386317215414 -121.354493599604 -515.388560146859</f>
        <v>-1301.1293709618772</v>
      </c>
      <c r="P2059">
        <f>-582.619395033599 -162.544216880561 -248.562454533889</f>
        <v>-993.72606644804887</v>
      </c>
      <c r="Q2059">
        <f>-457.64117317166 -37.5066289464201 -399.209665353212</f>
        <v>-894.35746747129213</v>
      </c>
      <c r="R2059" t="s">
        <v>40122</v>
      </c>
      <c r="S2059" t="s">
        <v>40123</v>
      </c>
      <c r="T2059" t="s">
        <v>40124</v>
      </c>
      <c r="U2059" t="s">
        <v>40125</v>
      </c>
      <c r="V2059">
        <f>-591.607191513232 -41.1876271438414 -91.5649242169229</f>
        <v>-724.35974287399631</v>
      </c>
      <c r="W2059" t="s">
        <v>40126</v>
      </c>
      <c r="X2059" t="s">
        <v>40127</v>
      </c>
      <c r="Y2059" t="s">
        <v>40128</v>
      </c>
    </row>
    <row r="2060" spans="1:25" x14ac:dyDescent="0.3">
      <c r="A2060">
        <v>102950</v>
      </c>
      <c r="B2060" t="s">
        <v>40129</v>
      </c>
      <c r="C2060" t="s">
        <v>40130</v>
      </c>
      <c r="D2060" t="s">
        <v>40131</v>
      </c>
      <c r="E2060" t="s">
        <v>40132</v>
      </c>
      <c r="F2060" t="s">
        <v>40133</v>
      </c>
      <c r="G2060" t="s">
        <v>40134</v>
      </c>
      <c r="H2060" t="s">
        <v>40135</v>
      </c>
      <c r="I2060" t="s">
        <v>40136</v>
      </c>
      <c r="J2060" t="s">
        <v>40137</v>
      </c>
      <c r="K2060" t="s">
        <v>40138</v>
      </c>
      <c r="L2060" t="s">
        <v>40139</v>
      </c>
      <c r="M2060" t="s">
        <v>40140</v>
      </c>
      <c r="N2060" t="s">
        <v>40141</v>
      </c>
      <c r="O2060">
        <f>-664.209147815235 -121.583975347599 -515.2916481643</f>
        <v>-1301.0847713271341</v>
      </c>
      <c r="P2060">
        <f>-582.503241871051 -162.700277481035 -248.435512843314</f>
        <v>-993.63903219539998</v>
      </c>
      <c r="Q2060">
        <f>-457.391902947511 -37.7457279979467 -399.041118371342</f>
        <v>-894.17874931679967</v>
      </c>
      <c r="R2060" t="s">
        <v>40142</v>
      </c>
      <c r="S2060" t="s">
        <v>40143</v>
      </c>
      <c r="T2060" t="s">
        <v>40144</v>
      </c>
      <c r="U2060" t="s">
        <v>40145</v>
      </c>
      <c r="V2060">
        <f>-591.604739078663 -41.3277542073492 -91.5748457561667</f>
        <v>-724.50733904217896</v>
      </c>
      <c r="W2060" t="s">
        <v>40146</v>
      </c>
      <c r="X2060" t="s">
        <v>40147</v>
      </c>
      <c r="Y2060" t="s">
        <v>40148</v>
      </c>
    </row>
    <row r="2061" spans="1:25" x14ac:dyDescent="0.3">
      <c r="A2061">
        <v>103000</v>
      </c>
      <c r="B2061" t="s">
        <v>40149</v>
      </c>
      <c r="C2061" t="s">
        <v>40150</v>
      </c>
      <c r="D2061" t="s">
        <v>40151</v>
      </c>
      <c r="E2061" t="s">
        <v>40152</v>
      </c>
      <c r="F2061" t="s">
        <v>40153</v>
      </c>
      <c r="G2061" t="s">
        <v>40154</v>
      </c>
      <c r="H2061" t="s">
        <v>40155</v>
      </c>
      <c r="I2061" t="s">
        <v>40156</v>
      </c>
      <c r="J2061" t="s">
        <v>40157</v>
      </c>
      <c r="K2061" t="s">
        <v>40158</v>
      </c>
      <c r="L2061" t="s">
        <v>40159</v>
      </c>
      <c r="M2061" t="s">
        <v>40160</v>
      </c>
      <c r="N2061" t="s">
        <v>40161</v>
      </c>
      <c r="O2061">
        <f>-663.84376596058 -121.870231704245 -515.142501653129</f>
        <v>-1300.8564993179539</v>
      </c>
      <c r="P2061">
        <f>-582.41299990397 -162.60522316475 -248.143842028192</f>
        <v>-993.16206509691199</v>
      </c>
      <c r="Q2061">
        <f>-457.08494297173 -37.9391272340392 -398.808258845876</f>
        <v>-893.83232905164527</v>
      </c>
      <c r="R2061" t="s">
        <v>40162</v>
      </c>
      <c r="S2061" t="s">
        <v>40163</v>
      </c>
      <c r="T2061" t="s">
        <v>40164</v>
      </c>
      <c r="U2061" t="s">
        <v>40165</v>
      </c>
      <c r="V2061">
        <f>-591.512148212346 -41.3975106890734 -91.5647709907954</f>
        <v>-724.47442989221486</v>
      </c>
      <c r="W2061" t="s">
        <v>40166</v>
      </c>
      <c r="X2061" t="s">
        <v>40167</v>
      </c>
      <c r="Y2061" t="s">
        <v>40168</v>
      </c>
    </row>
    <row r="2062" spans="1:25" x14ac:dyDescent="0.3">
      <c r="A2062">
        <v>103050</v>
      </c>
      <c r="B2062" t="s">
        <v>40169</v>
      </c>
      <c r="C2062" t="s">
        <v>40170</v>
      </c>
      <c r="D2062" t="s">
        <v>40171</v>
      </c>
      <c r="E2062" t="s">
        <v>40172</v>
      </c>
      <c r="F2062" t="s">
        <v>40173</v>
      </c>
      <c r="G2062" t="s">
        <v>40174</v>
      </c>
      <c r="H2062" t="s">
        <v>40175</v>
      </c>
      <c r="I2062" t="s">
        <v>40176</v>
      </c>
      <c r="J2062" t="s">
        <v>40177</v>
      </c>
      <c r="K2062" t="s">
        <v>40178</v>
      </c>
      <c r="L2062" t="s">
        <v>40179</v>
      </c>
      <c r="M2062" t="s">
        <v>40180</v>
      </c>
      <c r="N2062" t="s">
        <v>40181</v>
      </c>
      <c r="O2062">
        <f>-663.443795081892 -122.042657665164 -515.08861194487</f>
        <v>-1300.5750646919259</v>
      </c>
      <c r="P2062">
        <f>-582.25299923453 -162.612767933779 -247.991757149698</f>
        <v>-992.85752431800688</v>
      </c>
      <c r="Q2062">
        <f>-456.724053292396 -38.1349256837366 -398.644669187508</f>
        <v>-893.50364816364049</v>
      </c>
      <c r="R2062" t="s">
        <v>40182</v>
      </c>
      <c r="S2062" t="s">
        <v>40183</v>
      </c>
      <c r="T2062" t="s">
        <v>40184</v>
      </c>
      <c r="U2062" t="s">
        <v>40185</v>
      </c>
      <c r="V2062">
        <f>-591.572754990479 -41.5113818316506 -91.5744129520075</f>
        <v>-724.6585497741371</v>
      </c>
      <c r="W2062" t="s">
        <v>40186</v>
      </c>
      <c r="X2062" t="s">
        <v>40187</v>
      </c>
      <c r="Y2062" t="s">
        <v>40188</v>
      </c>
    </row>
    <row r="2063" spans="1:25" x14ac:dyDescent="0.3">
      <c r="A2063">
        <v>103100</v>
      </c>
      <c r="B2063" t="s">
        <v>40189</v>
      </c>
      <c r="C2063" t="s">
        <v>40190</v>
      </c>
      <c r="D2063" t="s">
        <v>40191</v>
      </c>
      <c r="E2063" t="s">
        <v>40192</v>
      </c>
      <c r="F2063" t="s">
        <v>40193</v>
      </c>
      <c r="G2063" t="s">
        <v>40194</v>
      </c>
      <c r="H2063" t="s">
        <v>40195</v>
      </c>
      <c r="I2063" t="s">
        <v>40196</v>
      </c>
      <c r="J2063" t="s">
        <v>40197</v>
      </c>
      <c r="K2063" t="s">
        <v>40198</v>
      </c>
      <c r="L2063" t="s">
        <v>40199</v>
      </c>
      <c r="M2063" t="s">
        <v>40200</v>
      </c>
      <c r="N2063" t="s">
        <v>40201</v>
      </c>
      <c r="O2063">
        <f>-662.460151718565 -122.580856791472 -515.064026318977</f>
        <v>-1300.1050348290141</v>
      </c>
      <c r="P2063">
        <f>-581.947493785255 -162.861504720133 -247.718275735817</f>
        <v>-992.52727424120496</v>
      </c>
      <c r="Q2063">
        <f>-455.602224041291 -38.8346683275133 -398.06040132822</f>
        <v>-892.49729369702425</v>
      </c>
      <c r="R2063" t="s">
        <v>40202</v>
      </c>
      <c r="S2063" t="s">
        <v>40203</v>
      </c>
      <c r="T2063" t="s">
        <v>40204</v>
      </c>
      <c r="U2063" t="s">
        <v>40205</v>
      </c>
      <c r="V2063">
        <f>-591.746589726885 -41.7949854348578 -91.6251939111928</f>
        <v>-725.16676907293561</v>
      </c>
      <c r="W2063" t="s">
        <v>40206</v>
      </c>
      <c r="X2063" t="s">
        <v>40207</v>
      </c>
      <c r="Y2063" t="s">
        <v>40208</v>
      </c>
    </row>
    <row r="2064" spans="1:25" x14ac:dyDescent="0.3">
      <c r="A2064">
        <v>103150</v>
      </c>
      <c r="B2064" t="s">
        <v>40209</v>
      </c>
      <c r="C2064" t="s">
        <v>40210</v>
      </c>
      <c r="D2064" t="s">
        <v>40211</v>
      </c>
      <c r="E2064" t="s">
        <v>40212</v>
      </c>
      <c r="F2064" t="s">
        <v>40213</v>
      </c>
      <c r="G2064" t="s">
        <v>40214</v>
      </c>
      <c r="H2064" t="s">
        <v>40215</v>
      </c>
      <c r="I2064" t="s">
        <v>40216</v>
      </c>
      <c r="J2064" t="s">
        <v>40217</v>
      </c>
      <c r="K2064" t="s">
        <v>40218</v>
      </c>
      <c r="L2064" t="s">
        <v>40219</v>
      </c>
      <c r="M2064" t="s">
        <v>40220</v>
      </c>
      <c r="N2064" t="s">
        <v>40221</v>
      </c>
      <c r="O2064">
        <f>-662.111262294435 -122.850825316612 -514.98202296188</f>
        <v>-1299.944110572927</v>
      </c>
      <c r="P2064">
        <f>-581.916194534012 -162.911306826429 -247.507635493122</f>
        <v>-992.33513685356297</v>
      </c>
      <c r="Q2064">
        <f>-455.200367698463 -39.0499859508834 -397.674419481974</f>
        <v>-891.92477313132042</v>
      </c>
      <c r="R2064" t="s">
        <v>40222</v>
      </c>
      <c r="S2064" t="s">
        <v>40223</v>
      </c>
      <c r="T2064" t="s">
        <v>40224</v>
      </c>
      <c r="U2064" t="s">
        <v>40225</v>
      </c>
      <c r="V2064">
        <f>-591.796617058258 -41.884702450074 -91.6414766238934</f>
        <v>-725.32279613222533</v>
      </c>
      <c r="W2064" t="s">
        <v>40226</v>
      </c>
      <c r="X2064" t="s">
        <v>40227</v>
      </c>
      <c r="Y2064" t="s">
        <v>40228</v>
      </c>
    </row>
    <row r="2065" spans="1:25" x14ac:dyDescent="0.3">
      <c r="A2065">
        <v>103200</v>
      </c>
      <c r="B2065" t="s">
        <v>40229</v>
      </c>
      <c r="C2065" t="s">
        <v>40230</v>
      </c>
      <c r="D2065" t="s">
        <v>40231</v>
      </c>
      <c r="E2065" t="s">
        <v>40232</v>
      </c>
      <c r="F2065" t="s">
        <v>40233</v>
      </c>
      <c r="G2065" t="s">
        <v>40234</v>
      </c>
      <c r="H2065" t="s">
        <v>40235</v>
      </c>
      <c r="I2065" t="s">
        <v>40236</v>
      </c>
      <c r="J2065" t="s">
        <v>40237</v>
      </c>
      <c r="K2065" t="s">
        <v>40238</v>
      </c>
      <c r="L2065" t="s">
        <v>40239</v>
      </c>
      <c r="M2065" t="s">
        <v>40240</v>
      </c>
      <c r="N2065" t="s">
        <v>40241</v>
      </c>
      <c r="O2065">
        <f>-661.521961841508 -123.322614327393 -514.804037815291</f>
        <v>-1299.648613984192</v>
      </c>
      <c r="P2065">
        <f>-582.184661713449 -162.99548010032 -247.016272137168</f>
        <v>-992.19641395093709</v>
      </c>
      <c r="Q2065">
        <f>-454.935264702703 -39.1357350297051 -396.732364089622</f>
        <v>-890.80336382203018</v>
      </c>
      <c r="R2065" t="s">
        <v>40242</v>
      </c>
      <c r="S2065" t="s">
        <v>40243</v>
      </c>
      <c r="T2065" t="s">
        <v>40244</v>
      </c>
      <c r="U2065" t="s">
        <v>40245</v>
      </c>
      <c r="V2065">
        <f>-591.784552458531 -41.9340821730657 -91.670138382268</f>
        <v>-725.38877301386469</v>
      </c>
      <c r="W2065" t="s">
        <v>40246</v>
      </c>
      <c r="X2065" t="s">
        <v>40247</v>
      </c>
      <c r="Y2065" t="s">
        <v>40248</v>
      </c>
    </row>
    <row r="2066" spans="1:25" x14ac:dyDescent="0.3">
      <c r="A2066">
        <v>103250</v>
      </c>
      <c r="B2066" t="s">
        <v>40249</v>
      </c>
      <c r="C2066" t="s">
        <v>40250</v>
      </c>
      <c r="D2066" t="s">
        <v>40251</v>
      </c>
      <c r="E2066" t="s">
        <v>40252</v>
      </c>
      <c r="F2066" t="s">
        <v>40253</v>
      </c>
      <c r="G2066" t="s">
        <v>40254</v>
      </c>
      <c r="H2066" t="s">
        <v>40255</v>
      </c>
      <c r="I2066" t="s">
        <v>40256</v>
      </c>
      <c r="J2066" t="s">
        <v>40257</v>
      </c>
      <c r="K2066" t="s">
        <v>40258</v>
      </c>
      <c r="L2066" t="s">
        <v>40259</v>
      </c>
      <c r="M2066" t="s">
        <v>40260</v>
      </c>
      <c r="N2066" t="s">
        <v>40261</v>
      </c>
      <c r="O2066">
        <f>-661.296732546249 -123.530302017325 -514.708970662085</f>
        <v>-1299.536005225659</v>
      </c>
      <c r="P2066">
        <f>-582.391930292046 -163.055212296997 -246.771639646942</f>
        <v>-992.21878223598515</v>
      </c>
      <c r="Q2066">
        <f>-454.93133868443 -39.1922275775794 -396.305198646713</f>
        <v>-890.42876490872231</v>
      </c>
      <c r="R2066" t="s">
        <v>40262</v>
      </c>
      <c r="S2066" t="s">
        <v>40263</v>
      </c>
      <c r="T2066" t="s">
        <v>40264</v>
      </c>
      <c r="U2066" t="s">
        <v>40265</v>
      </c>
      <c r="V2066">
        <f>-591.742189168795 -41.9203691708265 -91.6780624831463</f>
        <v>-725.34062082276773</v>
      </c>
      <c r="W2066" t="s">
        <v>40266</v>
      </c>
      <c r="X2066" t="s">
        <v>40267</v>
      </c>
      <c r="Y2066" t="s">
        <v>40268</v>
      </c>
    </row>
    <row r="2067" spans="1:25" x14ac:dyDescent="0.3">
      <c r="A2067">
        <v>103300</v>
      </c>
      <c r="B2067" t="s">
        <v>40269</v>
      </c>
      <c r="C2067" t="s">
        <v>40270</v>
      </c>
      <c r="D2067" t="s">
        <v>40271</v>
      </c>
      <c r="E2067" t="s">
        <v>40272</v>
      </c>
      <c r="F2067" t="s">
        <v>40273</v>
      </c>
      <c r="G2067" t="s">
        <v>40274</v>
      </c>
      <c r="H2067" t="s">
        <v>40275</v>
      </c>
      <c r="I2067" t="s">
        <v>40276</v>
      </c>
      <c r="J2067" t="s">
        <v>40277</v>
      </c>
      <c r="K2067" t="s">
        <v>40278</v>
      </c>
      <c r="L2067" t="s">
        <v>40279</v>
      </c>
      <c r="M2067" t="s">
        <v>40280</v>
      </c>
      <c r="N2067" t="s">
        <v>40281</v>
      </c>
      <c r="O2067">
        <f>-660.82111139023 -123.862908144709 -514.481172033275</f>
        <v>-1299.1651915682141</v>
      </c>
      <c r="P2067">
        <f>-582.420126480976 -163.015782229053 -246.341417116551</f>
        <v>-991.77732582658007</v>
      </c>
      <c r="Q2067">
        <f>-454.67067612259 -39.4706138287804 -395.891361792823</f>
        <v>-890.03265174419334</v>
      </c>
      <c r="R2067" t="s">
        <v>40282</v>
      </c>
      <c r="S2067" t="s">
        <v>40283</v>
      </c>
      <c r="T2067" t="s">
        <v>40284</v>
      </c>
      <c r="U2067" t="s">
        <v>40285</v>
      </c>
      <c r="V2067">
        <f>-591.57932644062 -41.8731305340064 -91.6916264734303</f>
        <v>-725.14408344805668</v>
      </c>
      <c r="W2067" t="s">
        <v>40286</v>
      </c>
      <c r="X2067" t="s">
        <v>40287</v>
      </c>
      <c r="Y2067" t="s">
        <v>40288</v>
      </c>
    </row>
    <row r="2068" spans="1:25" x14ac:dyDescent="0.3">
      <c r="A2068">
        <v>103350</v>
      </c>
      <c r="B2068" t="s">
        <v>40289</v>
      </c>
      <c r="C2068" t="s">
        <v>40290</v>
      </c>
      <c r="D2068" t="s">
        <v>40291</v>
      </c>
      <c r="E2068" t="s">
        <v>40292</v>
      </c>
      <c r="F2068" t="s">
        <v>40293</v>
      </c>
      <c r="G2068" t="s">
        <v>40294</v>
      </c>
      <c r="H2068" t="s">
        <v>40295</v>
      </c>
      <c r="I2068" t="s">
        <v>40296</v>
      </c>
      <c r="J2068" t="s">
        <v>40297</v>
      </c>
      <c r="K2068" t="s">
        <v>40298</v>
      </c>
      <c r="L2068" t="s">
        <v>40299</v>
      </c>
      <c r="M2068" t="s">
        <v>40300</v>
      </c>
      <c r="N2068" t="s">
        <v>40301</v>
      </c>
      <c r="O2068">
        <f>-660.555860954277 -123.991451711575 -514.414604719204</f>
        <v>-1298.961917385056</v>
      </c>
      <c r="P2068">
        <f>-582.290554671056 -162.999288430948 -246.214025131488</f>
        <v>-991.50386823349208</v>
      </c>
      <c r="Q2068">
        <f>-454.56633116646 -39.5091111348077 -395.831022581977</f>
        <v>-889.90646488324467</v>
      </c>
      <c r="R2068" t="s">
        <v>40302</v>
      </c>
      <c r="S2068" t="s">
        <v>40303</v>
      </c>
      <c r="T2068" t="s">
        <v>40304</v>
      </c>
      <c r="U2068" t="s">
        <v>40305</v>
      </c>
      <c r="V2068">
        <f>-591.488210379481 -41.8920225065783 -91.6961818170339</f>
        <v>-725.07641470309318</v>
      </c>
      <c r="W2068" t="s">
        <v>40306</v>
      </c>
      <c r="X2068" t="s">
        <v>40307</v>
      </c>
      <c r="Y2068" t="s">
        <v>40308</v>
      </c>
    </row>
    <row r="2069" spans="1:25" x14ac:dyDescent="0.3">
      <c r="A2069">
        <v>103400</v>
      </c>
      <c r="B2069" t="s">
        <v>40309</v>
      </c>
      <c r="C2069" t="s">
        <v>40310</v>
      </c>
      <c r="D2069" t="s">
        <v>40311</v>
      </c>
      <c r="E2069" t="s">
        <v>40312</v>
      </c>
      <c r="F2069" t="s">
        <v>40313</v>
      </c>
      <c r="G2069" t="s">
        <v>40314</v>
      </c>
      <c r="H2069" t="s">
        <v>40315</v>
      </c>
      <c r="I2069" t="s">
        <v>40316</v>
      </c>
      <c r="J2069" t="s">
        <v>40317</v>
      </c>
      <c r="K2069" t="s">
        <v>40318</v>
      </c>
      <c r="L2069" t="s">
        <v>40319</v>
      </c>
      <c r="M2069" t="s">
        <v>40320</v>
      </c>
      <c r="N2069" t="s">
        <v>40321</v>
      </c>
      <c r="O2069">
        <f>-660.114118372781 -124.239242595055 -514.287514823053</f>
        <v>-1298.6408757908889</v>
      </c>
      <c r="P2069">
        <f>-582.052892372114 -162.948604917476 -245.98421404705</f>
        <v>-990.98571133663995</v>
      </c>
      <c r="Q2069">
        <f>-454.582188316236 -39.9640813893704 -396.23270052729</f>
        <v>-890.77897023289643</v>
      </c>
      <c r="R2069" t="s">
        <v>40322</v>
      </c>
      <c r="S2069" t="s">
        <v>40323</v>
      </c>
      <c r="T2069" t="s">
        <v>40324</v>
      </c>
      <c r="U2069" t="s">
        <v>40325</v>
      </c>
      <c r="V2069">
        <f>-591.258565019003 -41.9164943300518 -91.7001877112872</f>
        <v>-724.87524706034196</v>
      </c>
      <c r="W2069" t="s">
        <v>40326</v>
      </c>
      <c r="X2069" t="s">
        <v>40327</v>
      </c>
      <c r="Y2069" t="s">
        <v>40328</v>
      </c>
    </row>
    <row r="2070" spans="1:25" x14ac:dyDescent="0.3">
      <c r="A2070">
        <v>103450</v>
      </c>
      <c r="B2070" t="s">
        <v>40329</v>
      </c>
      <c r="C2070" t="s">
        <v>40330</v>
      </c>
      <c r="D2070" t="s">
        <v>40331</v>
      </c>
      <c r="E2070" t="s">
        <v>40332</v>
      </c>
      <c r="F2070" t="s">
        <v>40333</v>
      </c>
      <c r="G2070" t="s">
        <v>40334</v>
      </c>
      <c r="H2070" t="s">
        <v>40335</v>
      </c>
      <c r="I2070" t="s">
        <v>40336</v>
      </c>
      <c r="J2070" t="s">
        <v>40337</v>
      </c>
      <c r="K2070" t="s">
        <v>40338</v>
      </c>
      <c r="L2070" t="s">
        <v>40339</v>
      </c>
      <c r="M2070" t="s">
        <v>40340</v>
      </c>
      <c r="N2070" t="s">
        <v>40341</v>
      </c>
      <c r="O2070">
        <f>-659.947286767958 -124.318134084006 -514.221408613387</f>
        <v>-1298.4868294653511</v>
      </c>
      <c r="P2070">
        <f>-581.813341853884 -162.8692214682 -245.916693062505</f>
        <v>-990.59925638458901</v>
      </c>
      <c r="Q2070">
        <f>-454.550002734664 -40.1958777387943 -396.594587806827</f>
        <v>-891.34046828028534</v>
      </c>
      <c r="R2070" t="s">
        <v>40342</v>
      </c>
      <c r="S2070" t="s">
        <v>40343</v>
      </c>
      <c r="T2070" t="s">
        <v>40344</v>
      </c>
      <c r="U2070" t="s">
        <v>40345</v>
      </c>
      <c r="V2070">
        <f>-591.121759064852 -41.9415634144041 -91.6961088304244</f>
        <v>-724.75943130968039</v>
      </c>
      <c r="W2070" t="s">
        <v>40346</v>
      </c>
      <c r="X2070" t="s">
        <v>40347</v>
      </c>
      <c r="Y2070" t="s">
        <v>40348</v>
      </c>
    </row>
    <row r="2071" spans="1:25" x14ac:dyDescent="0.3">
      <c r="A2071">
        <v>103500</v>
      </c>
      <c r="B2071" t="s">
        <v>40349</v>
      </c>
      <c r="C2071" t="s">
        <v>40350</v>
      </c>
      <c r="D2071" t="s">
        <v>40351</v>
      </c>
      <c r="E2071" t="s">
        <v>40352</v>
      </c>
      <c r="F2071" t="s">
        <v>40353</v>
      </c>
      <c r="G2071" t="s">
        <v>40354</v>
      </c>
      <c r="H2071" t="s">
        <v>40355</v>
      </c>
      <c r="I2071" t="s">
        <v>40356</v>
      </c>
      <c r="J2071" t="s">
        <v>40357</v>
      </c>
      <c r="K2071" t="s">
        <v>40358</v>
      </c>
      <c r="L2071" t="s">
        <v>40359</v>
      </c>
      <c r="M2071" t="s">
        <v>40360</v>
      </c>
      <c r="N2071" t="s">
        <v>40361</v>
      </c>
      <c r="O2071">
        <f>-659.742343611929 -124.432770623126 -514.134746340911</f>
        <v>-1298.3098605759669</v>
      </c>
      <c r="P2071">
        <f>-581.421223951877 -162.845326880781 -245.864755764974</f>
        <v>-990.13130659763192</v>
      </c>
      <c r="Q2071">
        <f>-454.573772712461 -40.3438862936055 -397.032317623861</f>
        <v>-891.94997662992751</v>
      </c>
      <c r="R2071" t="s">
        <v>40362</v>
      </c>
      <c r="S2071" t="s">
        <v>40363</v>
      </c>
      <c r="T2071" t="s">
        <v>40364</v>
      </c>
      <c r="U2071" t="s">
        <v>40365</v>
      </c>
      <c r="V2071">
        <f>-590.826578551651 -41.9221629286044 -91.6731136871142</f>
        <v>-724.42185516736959</v>
      </c>
      <c r="W2071" t="s">
        <v>40366</v>
      </c>
      <c r="X2071" t="s">
        <v>40367</v>
      </c>
      <c r="Y2071" t="s">
        <v>40368</v>
      </c>
    </row>
    <row r="2072" spans="1:25" x14ac:dyDescent="0.3">
      <c r="A2072">
        <v>103550</v>
      </c>
      <c r="B2072" t="s">
        <v>40369</v>
      </c>
      <c r="C2072" t="s">
        <v>40370</v>
      </c>
      <c r="D2072" t="s">
        <v>40371</v>
      </c>
      <c r="E2072" t="s">
        <v>40372</v>
      </c>
      <c r="F2072" t="s">
        <v>40373</v>
      </c>
      <c r="G2072" t="s">
        <v>40374</v>
      </c>
      <c r="H2072" t="s">
        <v>40375</v>
      </c>
      <c r="I2072" t="s">
        <v>40376</v>
      </c>
      <c r="J2072" t="s">
        <v>40377</v>
      </c>
      <c r="K2072" t="s">
        <v>40378</v>
      </c>
      <c r="L2072" t="s">
        <v>40379</v>
      </c>
      <c r="M2072" t="s">
        <v>40380</v>
      </c>
      <c r="N2072" t="s">
        <v>40381</v>
      </c>
      <c r="O2072">
        <f>-659.640830846528 -124.416171474 -514.107053750122</f>
        <v>-1298.1640560706501</v>
      </c>
      <c r="P2072">
        <f>-581.203332638728 -162.874402877783 -245.87752431374</f>
        <v>-989.95525983025107</v>
      </c>
      <c r="Q2072">
        <f>-454.50977426357 -40.3174820219722 -397.129033604793</f>
        <v>-891.95628989033526</v>
      </c>
      <c r="R2072" t="s">
        <v>40382</v>
      </c>
      <c r="S2072" t="s">
        <v>40383</v>
      </c>
      <c r="T2072" t="s">
        <v>40384</v>
      </c>
      <c r="U2072" t="s">
        <v>40385</v>
      </c>
      <c r="V2072">
        <f>-590.636351508761 -41.8907356146296 -91.6527927782763</f>
        <v>-724.17987990166694</v>
      </c>
      <c r="W2072" t="s">
        <v>40386</v>
      </c>
      <c r="X2072" t="s">
        <v>40387</v>
      </c>
      <c r="Y2072" t="s">
        <v>40388</v>
      </c>
    </row>
    <row r="2073" spans="1:25" x14ac:dyDescent="0.3">
      <c r="A2073">
        <v>103600</v>
      </c>
      <c r="B2073" t="s">
        <v>40389</v>
      </c>
      <c r="C2073" t="s">
        <v>40390</v>
      </c>
      <c r="D2073" t="s">
        <v>40391</v>
      </c>
      <c r="E2073" t="s">
        <v>40392</v>
      </c>
      <c r="F2073" t="s">
        <v>40393</v>
      </c>
      <c r="G2073" t="s">
        <v>40394</v>
      </c>
      <c r="H2073" t="s">
        <v>40395</v>
      </c>
      <c r="I2073" t="s">
        <v>40396</v>
      </c>
      <c r="J2073" t="s">
        <v>40397</v>
      </c>
      <c r="K2073" t="s">
        <v>40398</v>
      </c>
      <c r="L2073" t="s">
        <v>40399</v>
      </c>
      <c r="M2073" t="s">
        <v>40400</v>
      </c>
      <c r="N2073" t="s">
        <v>40401</v>
      </c>
      <c r="O2073">
        <f>-659.433283947121 -124.316027594672 -514.098667874439</f>
        <v>-1297.8479794162322</v>
      </c>
      <c r="P2073">
        <f>-580.914118698021 -162.906048403324 -245.912026947081</f>
        <v>-989.73219404842598</v>
      </c>
      <c r="Q2073">
        <f>-454.443890580631 -40.0010330861417 -397.067951525798</f>
        <v>-891.51287519257062</v>
      </c>
      <c r="R2073" t="s">
        <v>40402</v>
      </c>
      <c r="S2073" t="s">
        <v>40403</v>
      </c>
      <c r="T2073" t="s">
        <v>40404</v>
      </c>
      <c r="U2073" t="s">
        <v>40405</v>
      </c>
      <c r="V2073">
        <f>-590.248232983092 -41.8202614843276 -91.6099778890589</f>
        <v>-723.67847235647844</v>
      </c>
      <c r="W2073" t="s">
        <v>40406</v>
      </c>
      <c r="X2073" t="s">
        <v>40407</v>
      </c>
      <c r="Y2073" t="s">
        <v>40408</v>
      </c>
    </row>
    <row r="2074" spans="1:25" x14ac:dyDescent="0.3">
      <c r="A2074">
        <v>103650</v>
      </c>
      <c r="B2074" t="s">
        <v>40409</v>
      </c>
      <c r="C2074" t="s">
        <v>40410</v>
      </c>
      <c r="D2074" t="s">
        <v>40411</v>
      </c>
      <c r="E2074" t="s">
        <v>40412</v>
      </c>
      <c r="F2074" t="s">
        <v>40413</v>
      </c>
      <c r="G2074" t="s">
        <v>40414</v>
      </c>
      <c r="H2074" t="s">
        <v>40415</v>
      </c>
      <c r="I2074" t="s">
        <v>40416</v>
      </c>
      <c r="J2074" t="s">
        <v>40417</v>
      </c>
      <c r="K2074" t="s">
        <v>40418</v>
      </c>
      <c r="L2074" t="s">
        <v>40419</v>
      </c>
      <c r="M2074" t="s">
        <v>40420</v>
      </c>
      <c r="N2074" t="s">
        <v>40421</v>
      </c>
      <c r="O2074">
        <f>-659.266610854665 -124.268317842114 -514.117630299101</f>
        <v>-1297.6525589958801</v>
      </c>
      <c r="P2074">
        <f>-580.729899187512 -162.795627121531 -245.926902174683</f>
        <v>-989.45242848372595</v>
      </c>
      <c r="Q2074">
        <f>-454.264802476278 -39.9138524044943 -397.106271964523</f>
        <v>-891.28492684529533</v>
      </c>
      <c r="R2074" t="s">
        <v>40422</v>
      </c>
      <c r="S2074" t="s">
        <v>40423</v>
      </c>
      <c r="T2074" t="s">
        <v>40424</v>
      </c>
      <c r="U2074" t="s">
        <v>40425</v>
      </c>
      <c r="V2074">
        <f>-590.081360171292 -41.7921041870111 -91.5852178435954</f>
        <v>-723.45868220189845</v>
      </c>
      <c r="W2074" t="s">
        <v>40426</v>
      </c>
      <c r="X2074" t="s">
        <v>40427</v>
      </c>
      <c r="Y2074" t="s">
        <v>40428</v>
      </c>
    </row>
    <row r="2075" spans="1:25" x14ac:dyDescent="0.3">
      <c r="A2075">
        <v>103700</v>
      </c>
      <c r="B2075" t="s">
        <v>40429</v>
      </c>
      <c r="C2075" t="s">
        <v>40430</v>
      </c>
      <c r="D2075" t="s">
        <v>40431</v>
      </c>
      <c r="E2075" t="s">
        <v>40432</v>
      </c>
      <c r="F2075" t="s">
        <v>40433</v>
      </c>
      <c r="G2075" t="s">
        <v>40434</v>
      </c>
      <c r="H2075" t="s">
        <v>40435</v>
      </c>
      <c r="I2075" t="s">
        <v>40436</v>
      </c>
      <c r="J2075" t="s">
        <v>40437</v>
      </c>
      <c r="K2075" t="s">
        <v>40438</v>
      </c>
      <c r="L2075" t="s">
        <v>40439</v>
      </c>
      <c r="M2075" t="s">
        <v>40440</v>
      </c>
      <c r="N2075" t="s">
        <v>40441</v>
      </c>
      <c r="O2075">
        <f>-658.92289494256 -124.088195566094 -514.209912266362</f>
        <v>-1297.2210027750161</v>
      </c>
      <c r="P2075">
        <f>-580.351203997335 -162.769579468318 -246.05171109588</f>
        <v>-989.17249456153297</v>
      </c>
      <c r="Q2075">
        <f>-454.041270871397 -39.5473186535269 -397.083443914315</f>
        <v>-890.67203343923893</v>
      </c>
      <c r="R2075" t="s">
        <v>40442</v>
      </c>
      <c r="S2075" t="s">
        <v>40443</v>
      </c>
      <c r="T2075" t="s">
        <v>40444</v>
      </c>
      <c r="U2075" t="s">
        <v>40445</v>
      </c>
      <c r="V2075">
        <f>-589.741509860464 -41.6496340056908 -91.5624505452212</f>
        <v>-722.953594411376</v>
      </c>
      <c r="W2075" t="s">
        <v>40446</v>
      </c>
      <c r="X2075" t="s">
        <v>40447</v>
      </c>
      <c r="Y2075" t="s">
        <v>40448</v>
      </c>
    </row>
    <row r="2076" spans="1:25" x14ac:dyDescent="0.3">
      <c r="A2076">
        <v>103750</v>
      </c>
      <c r="B2076" t="s">
        <v>40449</v>
      </c>
      <c r="C2076" t="s">
        <v>40450</v>
      </c>
      <c r="D2076" t="s">
        <v>40451</v>
      </c>
      <c r="E2076" t="s">
        <v>40452</v>
      </c>
      <c r="F2076" t="s">
        <v>40453</v>
      </c>
      <c r="G2076" t="s">
        <v>40454</v>
      </c>
      <c r="H2076" t="s">
        <v>40455</v>
      </c>
      <c r="I2076" t="s">
        <v>40456</v>
      </c>
      <c r="J2076" t="s">
        <v>40457</v>
      </c>
      <c r="K2076" t="s">
        <v>40458</v>
      </c>
      <c r="L2076" t="s">
        <v>40459</v>
      </c>
      <c r="M2076" t="s">
        <v>40460</v>
      </c>
      <c r="N2076" t="s">
        <v>40461</v>
      </c>
      <c r="O2076">
        <f>-658.77378347467 -123.91401371034 -514.293172173715</f>
        <v>-1296.9809693587249</v>
      </c>
      <c r="P2076">
        <f>-580.162173897143 -162.730381602676 -246.166181696345</f>
        <v>-989.05873719616409</v>
      </c>
      <c r="Q2076">
        <f>-453.917911927532 -39.300103614863 -397.082915322586</f>
        <v>-890.30093086498096</v>
      </c>
      <c r="R2076" t="s">
        <v>40462</v>
      </c>
      <c r="S2076" t="s">
        <v>40463</v>
      </c>
      <c r="T2076" t="s">
        <v>40464</v>
      </c>
      <c r="U2076" t="s">
        <v>40465</v>
      </c>
      <c r="V2076">
        <f>-589.559585031958 -41.5603592168152 -91.5456953440537</f>
        <v>-722.66563959282689</v>
      </c>
      <c r="W2076" t="s">
        <v>40466</v>
      </c>
      <c r="X2076" t="s">
        <v>40467</v>
      </c>
      <c r="Y2076" t="s">
        <v>40468</v>
      </c>
    </row>
    <row r="2077" spans="1:25" x14ac:dyDescent="0.3">
      <c r="A2077">
        <v>103800</v>
      </c>
      <c r="B2077" t="s">
        <v>40469</v>
      </c>
      <c r="C2077" t="s">
        <v>40470</v>
      </c>
      <c r="D2077" t="s">
        <v>40471</v>
      </c>
      <c r="E2077" t="s">
        <v>40472</v>
      </c>
      <c r="F2077" t="s">
        <v>40473</v>
      </c>
      <c r="G2077" t="s">
        <v>40474</v>
      </c>
      <c r="H2077" t="s">
        <v>40475</v>
      </c>
      <c r="I2077" t="s">
        <v>40476</v>
      </c>
      <c r="J2077" t="s">
        <v>40477</v>
      </c>
      <c r="K2077" t="s">
        <v>40478</v>
      </c>
      <c r="L2077" t="s">
        <v>40479</v>
      </c>
      <c r="M2077" t="s">
        <v>40480</v>
      </c>
      <c r="N2077" t="s">
        <v>40481</v>
      </c>
      <c r="O2077">
        <f>-658.477942669435 -123.485966367581 -514.418546236098</f>
        <v>-1296.3824552731139</v>
      </c>
      <c r="P2077">
        <f>-579.742934368915 -162.387032251217 -246.339984429176</f>
        <v>-988.46995104930807</v>
      </c>
      <c r="Q2077">
        <f>-453.765901260358 -38.6298312137524 -397.212353561562</f>
        <v>-889.60808603567239</v>
      </c>
      <c r="R2077" t="s">
        <v>40482</v>
      </c>
      <c r="S2077" t="s">
        <v>40483</v>
      </c>
      <c r="T2077" t="s">
        <v>40484</v>
      </c>
      <c r="U2077" t="s">
        <v>40485</v>
      </c>
      <c r="V2077">
        <f>-589.213627608692 -41.3056708224622 -91.5068817671589</f>
        <v>-722.02618019831311</v>
      </c>
      <c r="W2077" t="s">
        <v>40486</v>
      </c>
      <c r="X2077" t="s">
        <v>40487</v>
      </c>
      <c r="Y2077" t="s">
        <v>40488</v>
      </c>
    </row>
    <row r="2078" spans="1:25" x14ac:dyDescent="0.3">
      <c r="A2078">
        <v>103850</v>
      </c>
      <c r="B2078" t="s">
        <v>40489</v>
      </c>
      <c r="C2078" t="s">
        <v>40490</v>
      </c>
      <c r="D2078" t="s">
        <v>40491</v>
      </c>
      <c r="E2078" t="s">
        <v>40492</v>
      </c>
      <c r="F2078" t="s">
        <v>40493</v>
      </c>
      <c r="G2078" t="s">
        <v>40494</v>
      </c>
      <c r="H2078" t="s">
        <v>40495</v>
      </c>
      <c r="I2078" t="s">
        <v>40496</v>
      </c>
      <c r="J2078" t="s">
        <v>40497</v>
      </c>
      <c r="K2078" t="s">
        <v>40498</v>
      </c>
      <c r="L2078" t="s">
        <v>40499</v>
      </c>
      <c r="M2078" t="s">
        <v>40500</v>
      </c>
      <c r="N2078" t="s">
        <v>40501</v>
      </c>
      <c r="O2078">
        <f>-658.222358505762 -123.183099255235 -514.519297814974</f>
        <v>-1295.9247555759712</v>
      </c>
      <c r="P2078">
        <f>-579.370226524248 -162.178465317032 -246.488955364748</f>
        <v>-988.03764720602794</v>
      </c>
      <c r="Q2078">
        <f>-453.433275978972 -38.2858976221974 -397.283810758384</f>
        <v>-889.00298435955347</v>
      </c>
      <c r="R2078" t="s">
        <v>40502</v>
      </c>
      <c r="S2078" t="s">
        <v>40503</v>
      </c>
      <c r="T2078" t="s">
        <v>40504</v>
      </c>
      <c r="U2078" t="s">
        <v>40505</v>
      </c>
      <c r="V2078">
        <f>-589.054168818711 -41.1190248999026 -91.4843266309309</f>
        <v>-721.65752034954448</v>
      </c>
      <c r="W2078" t="s">
        <v>40506</v>
      </c>
      <c r="X2078" t="s">
        <v>40507</v>
      </c>
      <c r="Y2078" t="s">
        <v>40508</v>
      </c>
    </row>
    <row r="2079" spans="1:25" x14ac:dyDescent="0.3">
      <c r="A2079">
        <v>103900</v>
      </c>
      <c r="B2079" t="s">
        <v>40509</v>
      </c>
      <c r="C2079" t="s">
        <v>40510</v>
      </c>
      <c r="D2079" t="s">
        <v>40511</v>
      </c>
      <c r="E2079" t="s">
        <v>40512</v>
      </c>
      <c r="F2079" t="s">
        <v>40513</v>
      </c>
      <c r="G2079" t="s">
        <v>40514</v>
      </c>
      <c r="H2079" t="s">
        <v>40515</v>
      </c>
      <c r="I2079" t="s">
        <v>40516</v>
      </c>
      <c r="J2079" t="s">
        <v>40517</v>
      </c>
      <c r="K2079" t="s">
        <v>40518</v>
      </c>
      <c r="L2079" t="s">
        <v>40519</v>
      </c>
      <c r="M2079" t="s">
        <v>40520</v>
      </c>
      <c r="N2079" t="s">
        <v>40521</v>
      </c>
      <c r="O2079">
        <f>-657.481440873366 -122.812134933394 -514.828173528309</f>
        <v>-1295.1217493350689</v>
      </c>
      <c r="P2079">
        <f>-578.667943740884 -162.336423865333 -246.863964109624</f>
        <v>-987.86833171584101</v>
      </c>
      <c r="Q2079">
        <f>-452.760472516504 -37.8978822674135 -397.232976213819</f>
        <v>-887.89133099773653</v>
      </c>
      <c r="R2079" t="s">
        <v>40522</v>
      </c>
      <c r="S2079" t="s">
        <v>40523</v>
      </c>
      <c r="T2079" t="s">
        <v>40524</v>
      </c>
      <c r="U2079" t="s">
        <v>40525</v>
      </c>
      <c r="V2079">
        <f>-588.743757150203 -40.9591398312357 -91.4558852911639</f>
        <v>-721.15878227260259</v>
      </c>
      <c r="W2079" t="s">
        <v>40526</v>
      </c>
      <c r="X2079" t="s">
        <v>40527</v>
      </c>
      <c r="Y2079" t="s">
        <v>40528</v>
      </c>
    </row>
    <row r="2080" spans="1:25" x14ac:dyDescent="0.3">
      <c r="A2080">
        <v>103950</v>
      </c>
      <c r="B2080" t="s">
        <v>40529</v>
      </c>
      <c r="C2080" t="s">
        <v>40530</v>
      </c>
      <c r="D2080" t="s">
        <v>40531</v>
      </c>
      <c r="E2080" t="s">
        <v>40532</v>
      </c>
      <c r="F2080" t="s">
        <v>40533</v>
      </c>
      <c r="G2080" t="s">
        <v>40534</v>
      </c>
      <c r="H2080" t="s">
        <v>40535</v>
      </c>
      <c r="I2080" t="s">
        <v>40536</v>
      </c>
      <c r="J2080" t="s">
        <v>40537</v>
      </c>
      <c r="K2080" t="s">
        <v>40538</v>
      </c>
      <c r="L2080" t="s">
        <v>40539</v>
      </c>
      <c r="M2080" t="s">
        <v>40540</v>
      </c>
      <c r="N2080" t="s">
        <v>40541</v>
      </c>
      <c r="O2080">
        <f>-657.12448932412 -122.658103460892 -514.921258496746</f>
        <v>-1294.703851281758</v>
      </c>
      <c r="P2080">
        <f>-578.33645944777 -162.258031760523 -246.960666085525</f>
        <v>-987.55515729381796</v>
      </c>
      <c r="Q2080">
        <f>-452.308437320431 -37.78643195992 -397.201642278508</f>
        <v>-887.29651155885904</v>
      </c>
      <c r="R2080" t="s">
        <v>40542</v>
      </c>
      <c r="S2080" t="s">
        <v>40543</v>
      </c>
      <c r="T2080" t="s">
        <v>40544</v>
      </c>
      <c r="U2080" t="s">
        <v>40545</v>
      </c>
      <c r="V2080">
        <f>-588.535885657962 -40.9325876208718 -91.4407047951128</f>
        <v>-720.90917807394658</v>
      </c>
      <c r="W2080" t="s">
        <v>40546</v>
      </c>
      <c r="X2080" t="s">
        <v>40547</v>
      </c>
      <c r="Y2080" t="s">
        <v>40548</v>
      </c>
    </row>
    <row r="2081" spans="1:25" x14ac:dyDescent="0.3">
      <c r="A2081">
        <v>104000</v>
      </c>
      <c r="B2081" t="s">
        <v>40549</v>
      </c>
      <c r="C2081" t="s">
        <v>40550</v>
      </c>
      <c r="D2081" t="s">
        <v>40551</v>
      </c>
      <c r="E2081" t="s">
        <v>40552</v>
      </c>
      <c r="F2081" t="s">
        <v>40553</v>
      </c>
      <c r="G2081" t="s">
        <v>40554</v>
      </c>
      <c r="H2081" t="s">
        <v>40555</v>
      </c>
      <c r="I2081" t="s">
        <v>40556</v>
      </c>
      <c r="J2081" t="s">
        <v>40557</v>
      </c>
      <c r="K2081" t="s">
        <v>40558</v>
      </c>
      <c r="L2081" t="s">
        <v>40559</v>
      </c>
      <c r="M2081" t="s">
        <v>40560</v>
      </c>
      <c r="N2081" t="s">
        <v>40561</v>
      </c>
      <c r="O2081">
        <f>-656.440278715837 -122.505715210002 -515.134113280857</f>
        <v>-1294.0801072066961</v>
      </c>
      <c r="P2081">
        <f>-577.86496117026 -162.367425758453 -247.149922999053</f>
        <v>-987.38230992776607</v>
      </c>
      <c r="Q2081">
        <f>-451.812069831498 -37.5194773883061 -397.057137901204</f>
        <v>-886.38868512100805</v>
      </c>
      <c r="R2081" t="s">
        <v>40562</v>
      </c>
      <c r="S2081" t="s">
        <v>40563</v>
      </c>
      <c r="T2081" t="s">
        <v>40564</v>
      </c>
      <c r="U2081" t="s">
        <v>40565</v>
      </c>
      <c r="V2081">
        <f>-588.191470240756 -41.0210990215096 -91.4225992792614</f>
        <v>-720.63516854152692</v>
      </c>
      <c r="W2081" t="s">
        <v>40566</v>
      </c>
      <c r="X2081" t="s">
        <v>40567</v>
      </c>
      <c r="Y2081" t="s">
        <v>40568</v>
      </c>
    </row>
    <row r="2082" spans="1:25" x14ac:dyDescent="0.3">
      <c r="A2082">
        <v>104050</v>
      </c>
      <c r="B2082" t="s">
        <v>40569</v>
      </c>
      <c r="C2082" t="s">
        <v>40570</v>
      </c>
      <c r="D2082" t="s">
        <v>40571</v>
      </c>
      <c r="E2082" t="s">
        <v>40572</v>
      </c>
      <c r="F2082" t="s">
        <v>40573</v>
      </c>
      <c r="G2082" t="s">
        <v>40574</v>
      </c>
      <c r="H2082" t="s">
        <v>40575</v>
      </c>
      <c r="I2082" t="s">
        <v>40576</v>
      </c>
      <c r="J2082" t="s">
        <v>40577</v>
      </c>
      <c r="K2082" t="s">
        <v>40578</v>
      </c>
      <c r="L2082" t="s">
        <v>40579</v>
      </c>
      <c r="M2082" t="s">
        <v>40580</v>
      </c>
      <c r="N2082" t="s">
        <v>40581</v>
      </c>
      <c r="O2082">
        <f>-656.217168383136 -122.377841494341 -515.22909162542</f>
        <v>-1293.8241015028971</v>
      </c>
      <c r="P2082">
        <f>-577.672264794983 -162.282444284157 -247.24230278575</f>
        <v>-987.19701186488999</v>
      </c>
      <c r="Q2082">
        <f>-451.540908569376 -37.3994590282368 -397.054392396688</f>
        <v>-885.99475999430069</v>
      </c>
      <c r="R2082" t="s">
        <v>40582</v>
      </c>
      <c r="S2082" t="s">
        <v>40583</v>
      </c>
      <c r="T2082" t="s">
        <v>40584</v>
      </c>
      <c r="U2082" t="s">
        <v>40585</v>
      </c>
      <c r="V2082">
        <f>-588.049605391254 -41.052492073394 -91.418298424425</f>
        <v>-720.52039588907292</v>
      </c>
      <c r="W2082" t="s">
        <v>40586</v>
      </c>
      <c r="X2082" t="s">
        <v>40587</v>
      </c>
      <c r="Y2082" t="s">
        <v>40588</v>
      </c>
    </row>
    <row r="2083" spans="1:25" x14ac:dyDescent="0.3">
      <c r="A2083">
        <v>104100</v>
      </c>
      <c r="B2083" t="s">
        <v>40589</v>
      </c>
      <c r="C2083" t="s">
        <v>40590</v>
      </c>
      <c r="D2083" t="s">
        <v>40591</v>
      </c>
      <c r="E2083" t="s">
        <v>40592</v>
      </c>
      <c r="F2083" t="s">
        <v>40593</v>
      </c>
      <c r="G2083" t="s">
        <v>40594</v>
      </c>
      <c r="H2083" t="s">
        <v>40595</v>
      </c>
      <c r="I2083" t="s">
        <v>40596</v>
      </c>
      <c r="J2083" t="s">
        <v>40597</v>
      </c>
      <c r="K2083" t="s">
        <v>40598</v>
      </c>
      <c r="L2083" t="s">
        <v>40599</v>
      </c>
      <c r="M2083" t="s">
        <v>40600</v>
      </c>
      <c r="N2083" t="s">
        <v>40601</v>
      </c>
      <c r="O2083">
        <f>-655.764287488499 -122.190164180496 -515.430448319462</f>
        <v>-1293.3848999884572</v>
      </c>
      <c r="P2083">
        <f>-577.264330692656 -162.522480506877 -247.494570793698</f>
        <v>-987.28138199323109</v>
      </c>
      <c r="Q2083">
        <f>-450.929852396009 -37.2679257421423 -396.82445187691</f>
        <v>-885.02223001506127</v>
      </c>
      <c r="R2083" t="s">
        <v>40602</v>
      </c>
      <c r="S2083" t="s">
        <v>40603</v>
      </c>
      <c r="T2083" t="s">
        <v>40604</v>
      </c>
      <c r="U2083" t="s">
        <v>40605</v>
      </c>
      <c r="V2083">
        <f>-587.780001171031 -41.1993896311951 -91.4179017314286</f>
        <v>-720.39729253365476</v>
      </c>
      <c r="W2083" t="s">
        <v>40606</v>
      </c>
      <c r="X2083" t="s">
        <v>40607</v>
      </c>
      <c r="Y2083" t="s">
        <v>40608</v>
      </c>
    </row>
    <row r="2084" spans="1:25" x14ac:dyDescent="0.3">
      <c r="A2084">
        <v>104150</v>
      </c>
      <c r="B2084" t="s">
        <v>40609</v>
      </c>
      <c r="C2084" t="s">
        <v>40610</v>
      </c>
      <c r="D2084" t="s">
        <v>40611</v>
      </c>
      <c r="E2084" t="s">
        <v>40612</v>
      </c>
      <c r="F2084" t="s">
        <v>40613</v>
      </c>
      <c r="G2084" t="s">
        <v>40614</v>
      </c>
      <c r="H2084" t="s">
        <v>40615</v>
      </c>
      <c r="I2084" t="s">
        <v>40616</v>
      </c>
      <c r="J2084" t="s">
        <v>40617</v>
      </c>
      <c r="K2084" t="s">
        <v>40618</v>
      </c>
      <c r="L2084" t="s">
        <v>40619</v>
      </c>
      <c r="M2084" t="s">
        <v>40620</v>
      </c>
      <c r="N2084" t="s">
        <v>40621</v>
      </c>
      <c r="O2084">
        <f>-655.611851795382 -122.117045454433 -515.517099724082</f>
        <v>-1293.245996973897</v>
      </c>
      <c r="P2084">
        <f>-577.111390667826 -162.445677047951 -247.580841048736</f>
        <v>-987.13790876451299</v>
      </c>
      <c r="Q2084">
        <f>-450.556846332581 -37.2029352397451 -396.734240760076</f>
        <v>-884.4940223324021</v>
      </c>
      <c r="R2084" t="s">
        <v>40622</v>
      </c>
      <c r="S2084" t="s">
        <v>40623</v>
      </c>
      <c r="T2084" t="s">
        <v>40624</v>
      </c>
      <c r="U2084" t="s">
        <v>40625</v>
      </c>
      <c r="V2084">
        <f>-587.679766890403 -41.313400405935 -91.4181321864683</f>
        <v>-720.41129948280627</v>
      </c>
      <c r="W2084" t="s">
        <v>40626</v>
      </c>
      <c r="X2084" t="s">
        <v>40627</v>
      </c>
      <c r="Y2084" t="s">
        <v>40628</v>
      </c>
    </row>
    <row r="2085" spans="1:25" x14ac:dyDescent="0.3">
      <c r="A2085">
        <v>104200</v>
      </c>
      <c r="B2085" t="s">
        <v>40629</v>
      </c>
      <c r="C2085" t="s">
        <v>40630</v>
      </c>
      <c r="D2085" t="s">
        <v>40631</v>
      </c>
      <c r="E2085" t="s">
        <v>40632</v>
      </c>
      <c r="F2085" t="s">
        <v>40633</v>
      </c>
      <c r="G2085" t="s">
        <v>40634</v>
      </c>
      <c r="H2085" t="s">
        <v>40635</v>
      </c>
      <c r="I2085" t="s">
        <v>40636</v>
      </c>
      <c r="J2085" t="s">
        <v>40637</v>
      </c>
      <c r="K2085" t="s">
        <v>40638</v>
      </c>
      <c r="L2085" t="s">
        <v>40639</v>
      </c>
      <c r="M2085" t="s">
        <v>40640</v>
      </c>
      <c r="N2085" t="s">
        <v>40641</v>
      </c>
      <c r="O2085">
        <f>-655.190637530177 -122.058101969701 -515.620494282068</f>
        <v>-1292.8692337819459</v>
      </c>
      <c r="P2085">
        <f>-577.068897327578 -162.516198412606 -247.593066767509</f>
        <v>-987.17816250769295</v>
      </c>
      <c r="Q2085">
        <f>-450.138027292722 -37.1131047618073 -396.291178412873</f>
        <v>-883.54231046740233</v>
      </c>
      <c r="R2085" t="s">
        <v>40642</v>
      </c>
      <c r="S2085" t="s">
        <v>40643</v>
      </c>
      <c r="T2085" t="s">
        <v>40644</v>
      </c>
      <c r="U2085" t="s">
        <v>40645</v>
      </c>
      <c r="V2085">
        <f>-587.424550334032 -41.3958186987127 -91.406710899169</f>
        <v>-720.22707993191364</v>
      </c>
      <c r="W2085" t="s">
        <v>40646</v>
      </c>
      <c r="X2085" t="s">
        <v>40647</v>
      </c>
      <c r="Y2085" t="s">
        <v>40648</v>
      </c>
    </row>
    <row r="2086" spans="1:25" x14ac:dyDescent="0.3">
      <c r="A2086">
        <v>104250</v>
      </c>
      <c r="B2086" t="s">
        <v>40649</v>
      </c>
      <c r="C2086" t="s">
        <v>40650</v>
      </c>
      <c r="D2086" t="s">
        <v>40651</v>
      </c>
      <c r="E2086" t="s">
        <v>40652</v>
      </c>
      <c r="F2086" t="s">
        <v>40653</v>
      </c>
      <c r="G2086" t="s">
        <v>40654</v>
      </c>
      <c r="H2086" t="s">
        <v>40655</v>
      </c>
      <c r="I2086" t="s">
        <v>40656</v>
      </c>
      <c r="J2086" t="s">
        <v>40657</v>
      </c>
      <c r="K2086" t="s">
        <v>40658</v>
      </c>
      <c r="L2086" t="s">
        <v>40659</v>
      </c>
      <c r="M2086" t="s">
        <v>40660</v>
      </c>
      <c r="N2086" t="s">
        <v>40661</v>
      </c>
      <c r="O2086">
        <f>-655.037346120867 -122.051548176117 -515.66950714885</f>
        <v>-1292.7584014458339</v>
      </c>
      <c r="P2086">
        <f>-577.049556226016 -162.422086250774 -247.589931020987</f>
        <v>-987.06157349777698</v>
      </c>
      <c r="Q2086">
        <f>-449.979774437507 -37.0868795614349 -396.226605483687</f>
        <v>-883.29325948262886</v>
      </c>
      <c r="R2086" t="s">
        <v>40662</v>
      </c>
      <c r="S2086" t="s">
        <v>40663</v>
      </c>
      <c r="T2086" t="s">
        <v>40664</v>
      </c>
      <c r="U2086" t="s">
        <v>40665</v>
      </c>
      <c r="V2086">
        <f>-587.360419298899 -41.4408854798908 -91.4115170516866</f>
        <v>-720.2128218304764</v>
      </c>
      <c r="W2086" t="s">
        <v>40666</v>
      </c>
      <c r="X2086" t="s">
        <v>40667</v>
      </c>
      <c r="Y2086" t="s">
        <v>40668</v>
      </c>
    </row>
    <row r="2087" spans="1:25" x14ac:dyDescent="0.3">
      <c r="A2087">
        <v>104300</v>
      </c>
      <c r="B2087" t="s">
        <v>40669</v>
      </c>
      <c r="C2087" t="s">
        <v>40670</v>
      </c>
      <c r="D2087" t="s">
        <v>40671</v>
      </c>
      <c r="E2087" t="s">
        <v>40672</v>
      </c>
      <c r="F2087" t="s">
        <v>40673</v>
      </c>
      <c r="G2087" t="s">
        <v>40674</v>
      </c>
      <c r="H2087" t="s">
        <v>40675</v>
      </c>
      <c r="I2087" t="s">
        <v>40676</v>
      </c>
      <c r="J2087" t="s">
        <v>40677</v>
      </c>
      <c r="K2087" t="s">
        <v>40678</v>
      </c>
      <c r="L2087" t="s">
        <v>40679</v>
      </c>
      <c r="M2087" t="s">
        <v>40680</v>
      </c>
      <c r="N2087" t="s">
        <v>40681</v>
      </c>
      <c r="O2087">
        <f>-654.779944892135 -122.108337107532 -515.755921889998</f>
        <v>-1292.6442038896648</v>
      </c>
      <c r="P2087">
        <f>-576.961283052325 -162.778267673896 -247.672412945958</f>
        <v>-987.41196367217913</v>
      </c>
      <c r="Q2087">
        <f>-450.022751725051 -36.9902411639071 -396.038448654306</f>
        <v>-883.05144154326422</v>
      </c>
      <c r="R2087" t="s">
        <v>40682</v>
      </c>
      <c r="S2087" t="s">
        <v>40683</v>
      </c>
      <c r="T2087" t="s">
        <v>40684</v>
      </c>
      <c r="U2087" t="s">
        <v>40685</v>
      </c>
      <c r="V2087">
        <f>-587.350842809016 -41.5834558532406 -91.4496073618883</f>
        <v>-720.38390602414484</v>
      </c>
      <c r="W2087" t="s">
        <v>40686</v>
      </c>
      <c r="X2087" t="s">
        <v>40687</v>
      </c>
      <c r="Y2087" t="s">
        <v>40688</v>
      </c>
    </row>
    <row r="2088" spans="1:25" x14ac:dyDescent="0.3">
      <c r="A2088">
        <v>104350</v>
      </c>
      <c r="B2088" t="s">
        <v>40689</v>
      </c>
      <c r="C2088" t="s">
        <v>40690</v>
      </c>
      <c r="D2088" t="s">
        <v>40691</v>
      </c>
      <c r="E2088" t="s">
        <v>40692</v>
      </c>
      <c r="F2088" t="s">
        <v>40693</v>
      </c>
      <c r="G2088" t="s">
        <v>40694</v>
      </c>
      <c r="H2088" t="s">
        <v>40695</v>
      </c>
      <c r="I2088" t="s">
        <v>40696</v>
      </c>
      <c r="J2088" t="s">
        <v>40697</v>
      </c>
      <c r="K2088" t="s">
        <v>40698</v>
      </c>
      <c r="L2088" t="s">
        <v>40699</v>
      </c>
      <c r="M2088" t="s">
        <v>40700</v>
      </c>
      <c r="N2088" t="s">
        <v>40701</v>
      </c>
      <c r="O2088">
        <f>-654.678314613508 -122.097735064845 -515.767918060631</f>
        <v>-1292.5439677389841</v>
      </c>
      <c r="P2088">
        <f>-576.855919510692 -162.568468728049 -247.655436039559</f>
        <v>-987.07982427830007</v>
      </c>
      <c r="Q2088">
        <f>-450.014401374169 -36.848646050438 -396.162178983305</f>
        <v>-883.02522640791199</v>
      </c>
      <c r="R2088" t="s">
        <v>40702</v>
      </c>
      <c r="S2088" t="s">
        <v>40703</v>
      </c>
      <c r="T2088" t="s">
        <v>40704</v>
      </c>
      <c r="U2088" t="s">
        <v>40705</v>
      </c>
      <c r="V2088">
        <f>-587.391620096761 -41.529444034074 -91.4581759123232</f>
        <v>-720.37924004315823</v>
      </c>
      <c r="W2088" t="s">
        <v>40706</v>
      </c>
      <c r="X2088" t="s">
        <v>40707</v>
      </c>
      <c r="Y2088" t="s">
        <v>40708</v>
      </c>
    </row>
    <row r="2089" spans="1:25" x14ac:dyDescent="0.3">
      <c r="A2089">
        <v>104400</v>
      </c>
      <c r="B2089" t="s">
        <v>40709</v>
      </c>
      <c r="C2089" t="s">
        <v>40710</v>
      </c>
      <c r="D2089" t="s">
        <v>40711</v>
      </c>
      <c r="E2089" t="s">
        <v>40712</v>
      </c>
      <c r="F2089" t="s">
        <v>40713</v>
      </c>
      <c r="G2089" t="s">
        <v>40714</v>
      </c>
      <c r="H2089" t="s">
        <v>40715</v>
      </c>
      <c r="I2089" t="s">
        <v>40716</v>
      </c>
      <c r="J2089" t="s">
        <v>40717</v>
      </c>
      <c r="K2089" t="s">
        <v>40718</v>
      </c>
      <c r="L2089" t="s">
        <v>40719</v>
      </c>
      <c r="M2089" t="s">
        <v>40720</v>
      </c>
      <c r="N2089" t="s">
        <v>40721</v>
      </c>
      <c r="O2089">
        <f>-654.49261545527 -122.189447122317 -515.698003992276</f>
        <v>-1292.3800665698629</v>
      </c>
      <c r="P2089">
        <f>-576.598379807955 -162.243515546294 -247.543588997139</f>
        <v>-986.38548435138796</v>
      </c>
      <c r="Q2089">
        <f>-449.725402417622 -36.8810015412553 -396.325313533104</f>
        <v>-882.93171749198132</v>
      </c>
      <c r="R2089" t="s">
        <v>40722</v>
      </c>
      <c r="S2089" t="s">
        <v>40723</v>
      </c>
      <c r="T2089" t="s">
        <v>40724</v>
      </c>
      <c r="U2089" t="s">
        <v>40725</v>
      </c>
      <c r="V2089">
        <f>-587.47193380432 -41.5714693943266 -91.487882348795</f>
        <v>-720.5312855474416</v>
      </c>
      <c r="W2089" t="s">
        <v>40726</v>
      </c>
      <c r="X2089" t="s">
        <v>40727</v>
      </c>
      <c r="Y2089" t="s">
        <v>40728</v>
      </c>
    </row>
    <row r="2090" spans="1:25" x14ac:dyDescent="0.3">
      <c r="A2090">
        <v>104450</v>
      </c>
      <c r="B2090" t="s">
        <v>40729</v>
      </c>
      <c r="C2090" t="s">
        <v>40730</v>
      </c>
      <c r="D2090" t="s">
        <v>40731</v>
      </c>
      <c r="E2090" t="s">
        <v>40732</v>
      </c>
      <c r="F2090" t="s">
        <v>40733</v>
      </c>
      <c r="G2090" t="s">
        <v>40734</v>
      </c>
      <c r="H2090" t="s">
        <v>40735</v>
      </c>
      <c r="I2090" t="s">
        <v>40736</v>
      </c>
      <c r="J2090" t="s">
        <v>40737</v>
      </c>
      <c r="K2090" t="s">
        <v>40738</v>
      </c>
      <c r="L2090" t="s">
        <v>40739</v>
      </c>
      <c r="M2090" t="s">
        <v>40740</v>
      </c>
      <c r="N2090" t="s">
        <v>40741</v>
      </c>
      <c r="O2090">
        <f>-654.460294893305 -122.269172986921 -515.651002590541</f>
        <v>-1292.380470470767</v>
      </c>
      <c r="P2090">
        <f>-576.538196268794 -162.14400385977 -247.477989273605</f>
        <v>-986.16018940216895</v>
      </c>
      <c r="Q2090">
        <f>-449.637791493987 -36.9070496734962 -396.342034179091</f>
        <v>-882.88687534657424</v>
      </c>
      <c r="R2090" t="s">
        <v>40742</v>
      </c>
      <c r="S2090" t="s">
        <v>40743</v>
      </c>
      <c r="T2090" t="s">
        <v>40744</v>
      </c>
      <c r="U2090" t="s">
        <v>40745</v>
      </c>
      <c r="V2090">
        <f>-587.499936463919 -41.5781809816347 -91.504700652203</f>
        <v>-720.58281809775667</v>
      </c>
      <c r="W2090" t="s">
        <v>40746</v>
      </c>
      <c r="X2090" t="s">
        <v>40747</v>
      </c>
      <c r="Y2090" t="s">
        <v>40748</v>
      </c>
    </row>
    <row r="2091" spans="1:25" x14ac:dyDescent="0.3">
      <c r="A2091">
        <v>104500</v>
      </c>
      <c r="B2091" t="s">
        <v>40749</v>
      </c>
      <c r="C2091" t="s">
        <v>40750</v>
      </c>
      <c r="D2091" t="s">
        <v>40751</v>
      </c>
      <c r="E2091" t="s">
        <v>40752</v>
      </c>
      <c r="F2091" t="s">
        <v>40753</v>
      </c>
      <c r="G2091" t="s">
        <v>40754</v>
      </c>
      <c r="H2091" t="s">
        <v>40755</v>
      </c>
      <c r="I2091" t="s">
        <v>40756</v>
      </c>
      <c r="J2091" t="s">
        <v>40757</v>
      </c>
      <c r="K2091" t="s">
        <v>40758</v>
      </c>
      <c r="L2091" t="s">
        <v>40759</v>
      </c>
      <c r="M2091" t="s">
        <v>40760</v>
      </c>
      <c r="N2091" t="s">
        <v>40761</v>
      </c>
      <c r="O2091">
        <f>-654.207240412859 -122.328084236201 -515.567748367636</f>
        <v>-1292.103073016696</v>
      </c>
      <c r="P2091">
        <f>-576.39173644417 -162.025835164027 -247.337541593113</f>
        <v>-985.75511320131</v>
      </c>
      <c r="Q2091">
        <f>-449.562011293996 -36.7768983341837 -396.251702836171</f>
        <v>-882.59061246435067</v>
      </c>
      <c r="R2091" t="s">
        <v>40762</v>
      </c>
      <c r="S2091" t="s">
        <v>40763</v>
      </c>
      <c r="T2091" t="s">
        <v>40764</v>
      </c>
      <c r="U2091" t="s">
        <v>40765</v>
      </c>
      <c r="V2091">
        <f>-587.428789548302 -41.3694413137723 -91.5082505190923</f>
        <v>-720.30648138116658</v>
      </c>
      <c r="W2091" t="s">
        <v>40766</v>
      </c>
      <c r="X2091" t="s">
        <v>40767</v>
      </c>
      <c r="Y2091" t="s">
        <v>40768</v>
      </c>
    </row>
    <row r="2092" spans="1:25" x14ac:dyDescent="0.3">
      <c r="A2092">
        <v>104550</v>
      </c>
      <c r="B2092" t="s">
        <v>40769</v>
      </c>
      <c r="C2092" t="s">
        <v>40770</v>
      </c>
      <c r="D2092" t="s">
        <v>40771</v>
      </c>
      <c r="E2092" t="s">
        <v>40772</v>
      </c>
      <c r="F2092" t="s">
        <v>40773</v>
      </c>
      <c r="G2092" t="s">
        <v>40774</v>
      </c>
      <c r="H2092" t="s">
        <v>40775</v>
      </c>
      <c r="I2092" t="s">
        <v>40776</v>
      </c>
      <c r="J2092" t="s">
        <v>40777</v>
      </c>
      <c r="K2092" t="s">
        <v>40778</v>
      </c>
      <c r="L2092" t="s">
        <v>40779</v>
      </c>
      <c r="M2092" t="s">
        <v>40780</v>
      </c>
      <c r="N2092" t="s">
        <v>40781</v>
      </c>
      <c r="O2092">
        <f>-654.117817988589 -122.312686478006 -515.516023018096</f>
        <v>-1291.9465274846909</v>
      </c>
      <c r="P2092">
        <f>-576.351009069822 -161.857646712001 -247.249113248281</f>
        <v>-985.45776903010403</v>
      </c>
      <c r="Q2092">
        <f>-449.557411515461 -36.5811228740154 -396.170871700983</f>
        <v>-882.30940609045945</v>
      </c>
      <c r="R2092" t="s">
        <v>40782</v>
      </c>
      <c r="S2092" t="s">
        <v>40783</v>
      </c>
      <c r="T2092" t="s">
        <v>40784</v>
      </c>
      <c r="U2092" t="s">
        <v>40785</v>
      </c>
      <c r="V2092">
        <f>-587.393986104737 -41.276977512644 -91.5128846039466</f>
        <v>-720.18384822132759</v>
      </c>
      <c r="W2092" t="s">
        <v>40786</v>
      </c>
      <c r="X2092" t="s">
        <v>40787</v>
      </c>
      <c r="Y2092" t="s">
        <v>40788</v>
      </c>
    </row>
    <row r="2093" spans="1:25" x14ac:dyDescent="0.3">
      <c r="A2093">
        <v>104600</v>
      </c>
      <c r="B2093" t="s">
        <v>40789</v>
      </c>
      <c r="C2093" t="s">
        <v>40790</v>
      </c>
      <c r="D2093" t="s">
        <v>40791</v>
      </c>
      <c r="E2093" t="s">
        <v>40792</v>
      </c>
      <c r="F2093" t="s">
        <v>40793</v>
      </c>
      <c r="G2093" t="s">
        <v>40794</v>
      </c>
      <c r="H2093" t="s">
        <v>40795</v>
      </c>
      <c r="I2093" t="s">
        <v>40796</v>
      </c>
      <c r="J2093" t="s">
        <v>40797</v>
      </c>
      <c r="K2093" t="s">
        <v>40798</v>
      </c>
      <c r="L2093" t="s">
        <v>40799</v>
      </c>
      <c r="M2093" t="s">
        <v>40800</v>
      </c>
      <c r="N2093" t="s">
        <v>40801</v>
      </c>
      <c r="O2093">
        <f>-654.183405528227 -122.282187629506 -515.396693133896</f>
        <v>-1291.8622862916291</v>
      </c>
      <c r="P2093">
        <f>-576.393998678588 -161.583328032809 -247.100359548492</f>
        <v>-985.07768625988888</v>
      </c>
      <c r="Q2093">
        <f>-449.751587900449 -36.2204650840818 -396.078200750819</f>
        <v>-882.05025373534977</v>
      </c>
      <c r="R2093" t="s">
        <v>40802</v>
      </c>
      <c r="S2093" t="s">
        <v>40803</v>
      </c>
      <c r="T2093" t="s">
        <v>40804</v>
      </c>
      <c r="U2093" t="s">
        <v>40805</v>
      </c>
      <c r="V2093">
        <f>-587.41474894614 -41.1576511019196 -91.5204480906522</f>
        <v>-720.0928481387117</v>
      </c>
      <c r="W2093" t="s">
        <v>40806</v>
      </c>
      <c r="X2093" t="s">
        <v>40807</v>
      </c>
      <c r="Y2093" t="s">
        <v>40808</v>
      </c>
    </row>
    <row r="2094" spans="1:25" x14ac:dyDescent="0.3">
      <c r="A2094">
        <v>104650</v>
      </c>
      <c r="B2094" t="s">
        <v>40809</v>
      </c>
      <c r="C2094" t="s">
        <v>40810</v>
      </c>
      <c r="D2094" t="s">
        <v>40811</v>
      </c>
      <c r="E2094" t="s">
        <v>40812</v>
      </c>
      <c r="F2094" t="s">
        <v>40813</v>
      </c>
      <c r="G2094" t="s">
        <v>40814</v>
      </c>
      <c r="H2094" t="s">
        <v>40815</v>
      </c>
      <c r="I2094" t="s">
        <v>40816</v>
      </c>
      <c r="J2094" t="s">
        <v>40817</v>
      </c>
      <c r="K2094" t="s">
        <v>40818</v>
      </c>
      <c r="L2094" t="s">
        <v>40819</v>
      </c>
      <c r="M2094" t="s">
        <v>40820</v>
      </c>
      <c r="N2094" t="s">
        <v>40821</v>
      </c>
      <c r="O2094">
        <f>-654.178118710157 -122.253653595984 -515.362508454489</f>
        <v>-1291.79428076063</v>
      </c>
      <c r="P2094">
        <f>-576.315104444901 -161.387939234875 -247.063167875768</f>
        <v>-984.76621155554403</v>
      </c>
      <c r="Q2094">
        <f>-449.742709646197 -35.9750946457575 -396.05835424452</f>
        <v>-881.77615853647444</v>
      </c>
      <c r="R2094" t="s">
        <v>40822</v>
      </c>
      <c r="S2094" t="s">
        <v>40823</v>
      </c>
      <c r="T2094" t="s">
        <v>40824</v>
      </c>
      <c r="U2094" t="s">
        <v>40825</v>
      </c>
      <c r="V2094">
        <f>-587.434515683115 -41.1039509397528 -91.5171585341836</f>
        <v>-720.05562515705151</v>
      </c>
      <c r="W2094" t="s">
        <v>40826</v>
      </c>
      <c r="X2094" t="s">
        <v>40827</v>
      </c>
      <c r="Y2094" t="s">
        <v>40828</v>
      </c>
    </row>
    <row r="2095" spans="1:25" x14ac:dyDescent="0.3">
      <c r="A2095">
        <v>104700</v>
      </c>
      <c r="B2095" t="s">
        <v>40829</v>
      </c>
      <c r="C2095" t="s">
        <v>40830</v>
      </c>
      <c r="D2095" t="s">
        <v>40831</v>
      </c>
      <c r="E2095" t="s">
        <v>40832</v>
      </c>
      <c r="F2095" t="s">
        <v>40833</v>
      </c>
      <c r="G2095" t="s">
        <v>40834</v>
      </c>
      <c r="H2095" t="s">
        <v>40835</v>
      </c>
      <c r="I2095" t="s">
        <v>40836</v>
      </c>
      <c r="J2095" t="s">
        <v>40837</v>
      </c>
      <c r="K2095" t="s">
        <v>40838</v>
      </c>
      <c r="L2095" t="s">
        <v>40839</v>
      </c>
      <c r="M2095" t="s">
        <v>40840</v>
      </c>
      <c r="N2095" t="s">
        <v>40841</v>
      </c>
      <c r="O2095">
        <f>-653.940475151323 -122.10027113328 -515.431859676944</f>
        <v>-1291.4726059615468</v>
      </c>
      <c r="P2095">
        <f>-575.977263656087 -161.191950467423 -247.155509706552</f>
        <v>-984.324723830062</v>
      </c>
      <c r="Q2095">
        <f>-449.604877551271 -35.5274833802059 -396.108430523183</f>
        <v>-881.24079145465998</v>
      </c>
      <c r="R2095" t="s">
        <v>40842</v>
      </c>
      <c r="S2095" t="s">
        <v>40843</v>
      </c>
      <c r="T2095" t="s">
        <v>40844</v>
      </c>
      <c r="U2095" t="s">
        <v>40845</v>
      </c>
      <c r="V2095">
        <f>-587.481648302962 -40.9430992887494 -91.5210877928375</f>
        <v>-719.9458353845489</v>
      </c>
      <c r="W2095" t="s">
        <v>40846</v>
      </c>
      <c r="X2095" t="s">
        <v>40847</v>
      </c>
      <c r="Y2095" t="s">
        <v>40848</v>
      </c>
    </row>
    <row r="2096" spans="1:25" x14ac:dyDescent="0.3">
      <c r="A2096">
        <v>104750</v>
      </c>
      <c r="B2096" t="s">
        <v>40849</v>
      </c>
      <c r="C2096" t="s">
        <v>40850</v>
      </c>
      <c r="D2096" t="s">
        <v>40851</v>
      </c>
      <c r="E2096" t="s">
        <v>40852</v>
      </c>
      <c r="F2096" t="s">
        <v>40853</v>
      </c>
      <c r="G2096" t="s">
        <v>40854</v>
      </c>
      <c r="H2096" t="s">
        <v>40855</v>
      </c>
      <c r="I2096" t="s">
        <v>40856</v>
      </c>
      <c r="J2096" t="s">
        <v>40857</v>
      </c>
      <c r="K2096" t="s">
        <v>40858</v>
      </c>
      <c r="L2096" t="s">
        <v>40859</v>
      </c>
      <c r="M2096" t="s">
        <v>40860</v>
      </c>
      <c r="N2096" t="s">
        <v>40861</v>
      </c>
      <c r="O2096">
        <f>-653.865678045282 -122.066615075661 -515.429674558429</f>
        <v>-1291.3619676793721</v>
      </c>
      <c r="P2096">
        <f>-575.827720078205 -161.13770699709 -247.172200368608</f>
        <v>-984.13762744390283</v>
      </c>
      <c r="Q2096">
        <f>-449.574949639436 -35.3703249597595 -396.139703992526</f>
        <v>-881.08497859172144</v>
      </c>
      <c r="R2096" t="s">
        <v>40862</v>
      </c>
      <c r="S2096" t="s">
        <v>40863</v>
      </c>
      <c r="T2096" t="s">
        <v>40864</v>
      </c>
      <c r="U2096" t="s">
        <v>40865</v>
      </c>
      <c r="V2096">
        <f>-587.46133226275 -40.8485884610795 -91.527525975796</f>
        <v>-719.83744669962562</v>
      </c>
      <c r="W2096" t="s">
        <v>40866</v>
      </c>
      <c r="X2096" t="s">
        <v>40867</v>
      </c>
      <c r="Y2096" t="s">
        <v>40868</v>
      </c>
    </row>
    <row r="2097" spans="1:25" x14ac:dyDescent="0.3">
      <c r="A2097">
        <v>104800</v>
      </c>
      <c r="B2097" t="s">
        <v>40869</v>
      </c>
      <c r="C2097" t="s">
        <v>40870</v>
      </c>
      <c r="D2097" t="s">
        <v>40871</v>
      </c>
      <c r="E2097" t="s">
        <v>40872</v>
      </c>
      <c r="F2097" t="s">
        <v>40873</v>
      </c>
      <c r="G2097" t="s">
        <v>40874</v>
      </c>
      <c r="H2097" t="s">
        <v>40875</v>
      </c>
      <c r="I2097" t="s">
        <v>40876</v>
      </c>
      <c r="J2097" t="s">
        <v>40877</v>
      </c>
      <c r="K2097" t="s">
        <v>40878</v>
      </c>
      <c r="L2097" t="s">
        <v>40879</v>
      </c>
      <c r="M2097" t="s">
        <v>40880</v>
      </c>
      <c r="N2097" t="s">
        <v>40881</v>
      </c>
      <c r="O2097">
        <f>-653.902363071796 -122.154725212972 -515.359652998331</f>
        <v>-1291.4167412830989</v>
      </c>
      <c r="P2097">
        <f>-575.572961806627 -160.996895088269 -247.153750130999</f>
        <v>-983.72360702589503</v>
      </c>
      <c r="Q2097">
        <f>-449.519012812711 -35.1810095852074 -396.248790161977</f>
        <v>-880.94881255989549</v>
      </c>
      <c r="R2097" t="s">
        <v>40882</v>
      </c>
      <c r="S2097" t="s">
        <v>40883</v>
      </c>
      <c r="T2097" t="s">
        <v>40884</v>
      </c>
      <c r="U2097" t="s">
        <v>40885</v>
      </c>
      <c r="V2097">
        <f>-587.421245679809 -40.8207296113001 -91.5251471839844</f>
        <v>-719.7671224750934</v>
      </c>
      <c r="W2097" t="s">
        <v>40886</v>
      </c>
      <c r="X2097" t="s">
        <v>40887</v>
      </c>
      <c r="Y2097" t="s">
        <v>40888</v>
      </c>
    </row>
    <row r="2098" spans="1:25" x14ac:dyDescent="0.3">
      <c r="A2098">
        <v>104850</v>
      </c>
      <c r="B2098" t="s">
        <v>40889</v>
      </c>
      <c r="C2098" t="s">
        <v>40890</v>
      </c>
      <c r="D2098" t="s">
        <v>40891</v>
      </c>
      <c r="E2098" t="s">
        <v>40892</v>
      </c>
      <c r="F2098" t="s">
        <v>40893</v>
      </c>
      <c r="G2098" t="s">
        <v>40894</v>
      </c>
      <c r="H2098" t="s">
        <v>40895</v>
      </c>
      <c r="I2098" t="s">
        <v>40896</v>
      </c>
      <c r="J2098" t="s">
        <v>40897</v>
      </c>
      <c r="K2098" t="s">
        <v>40898</v>
      </c>
      <c r="L2098" t="s">
        <v>40899</v>
      </c>
      <c r="M2098" t="s">
        <v>40900</v>
      </c>
      <c r="N2098" t="s">
        <v>40901</v>
      </c>
      <c r="O2098">
        <f>-653.958653200638 -122.204148757022 -515.357945717964</f>
        <v>-1291.5207476756241</v>
      </c>
      <c r="P2098">
        <f>-575.517349247057 -161.015884334409 -247.180399120986</f>
        <v>-983.71363270245206</v>
      </c>
      <c r="Q2098">
        <f>-449.613094609643 -35.0732172219568 -396.294685181742</f>
        <v>-880.98099701334172</v>
      </c>
      <c r="R2098" t="s">
        <v>40902</v>
      </c>
      <c r="S2098" t="s">
        <v>40903</v>
      </c>
      <c r="T2098" t="s">
        <v>40904</v>
      </c>
      <c r="U2098" t="s">
        <v>40905</v>
      </c>
      <c r="V2098">
        <f>-587.414404057647 -40.8590529723167 -91.5254892293086</f>
        <v>-719.79894625927227</v>
      </c>
      <c r="W2098" t="s">
        <v>40906</v>
      </c>
      <c r="X2098" t="s">
        <v>40907</v>
      </c>
      <c r="Y2098" t="s">
        <v>40908</v>
      </c>
    </row>
    <row r="2099" spans="1:25" x14ac:dyDescent="0.3">
      <c r="A2099">
        <v>104900</v>
      </c>
      <c r="B2099" t="s">
        <v>40909</v>
      </c>
      <c r="C2099" t="s">
        <v>40910</v>
      </c>
      <c r="D2099" t="s">
        <v>40911</v>
      </c>
      <c r="E2099" t="s">
        <v>40912</v>
      </c>
      <c r="F2099" t="s">
        <v>40913</v>
      </c>
      <c r="G2099" t="s">
        <v>40914</v>
      </c>
      <c r="H2099" t="s">
        <v>40915</v>
      </c>
      <c r="I2099" t="s">
        <v>40916</v>
      </c>
      <c r="J2099" t="s">
        <v>40917</v>
      </c>
      <c r="K2099" t="s">
        <v>40918</v>
      </c>
      <c r="L2099" t="s">
        <v>40919</v>
      </c>
      <c r="M2099" t="s">
        <v>40920</v>
      </c>
      <c r="N2099" t="s">
        <v>40921</v>
      </c>
      <c r="O2099">
        <f>-654.138076300321 -122.165410347448 -515.370826912997</f>
        <v>-1291.674313560766</v>
      </c>
      <c r="P2099">
        <f>-575.408073167115 -160.940028583196 -247.272573564665</f>
        <v>-983.6206753149761</v>
      </c>
      <c r="Q2099">
        <f>-450.268056464585 -34.4668752922073 -396.580935747279</f>
        <v>-881.31586750407132</v>
      </c>
      <c r="R2099" t="s">
        <v>40922</v>
      </c>
      <c r="S2099" t="s">
        <v>40923</v>
      </c>
      <c r="T2099" t="s">
        <v>40924</v>
      </c>
      <c r="U2099" t="s">
        <v>40925</v>
      </c>
      <c r="V2099">
        <f>-587.492290554582 -40.8746476231672 -91.5178662794298</f>
        <v>-719.88480445717903</v>
      </c>
      <c r="W2099" t="s">
        <v>40926</v>
      </c>
      <c r="X2099" t="s">
        <v>40927</v>
      </c>
      <c r="Y2099" t="s">
        <v>40928</v>
      </c>
    </row>
    <row r="2100" spans="1:25" x14ac:dyDescent="0.3">
      <c r="A2100">
        <v>104950</v>
      </c>
      <c r="B2100" t="s">
        <v>40929</v>
      </c>
      <c r="C2100" t="s">
        <v>40930</v>
      </c>
      <c r="D2100" t="s">
        <v>40931</v>
      </c>
      <c r="E2100" t="s">
        <v>40932</v>
      </c>
      <c r="F2100" t="s">
        <v>40933</v>
      </c>
      <c r="G2100" t="s">
        <v>40934</v>
      </c>
      <c r="H2100" t="s">
        <v>40935</v>
      </c>
      <c r="I2100" t="s">
        <v>40936</v>
      </c>
      <c r="J2100" t="s">
        <v>40937</v>
      </c>
      <c r="K2100" t="s">
        <v>40938</v>
      </c>
      <c r="L2100" t="s">
        <v>40939</v>
      </c>
      <c r="M2100" t="s">
        <v>40940</v>
      </c>
      <c r="N2100" t="s">
        <v>40941</v>
      </c>
      <c r="O2100">
        <f>-654.210376113579 -122.130741737625 -515.397492944479</f>
        <v>-1291.7386107956831</v>
      </c>
      <c r="P2100">
        <f>-575.209002181351 -160.914770775271 -247.380456928416</f>
        <v>-983.50422988503806</v>
      </c>
      <c r="Q2100">
        <f>-450.847925872081 -34.0335077939662 -396.993144671579</f>
        <v>-881.87457833762619</v>
      </c>
      <c r="R2100" t="s">
        <v>40942</v>
      </c>
      <c r="S2100" t="s">
        <v>40943</v>
      </c>
      <c r="T2100" t="s">
        <v>40944</v>
      </c>
      <c r="U2100" t="s">
        <v>40945</v>
      </c>
      <c r="V2100">
        <f>-587.524433221475 -40.8968125309223 -91.5161409501517</f>
        <v>-719.93738670254891</v>
      </c>
      <c r="W2100" t="s">
        <v>40946</v>
      </c>
      <c r="X2100" t="s">
        <v>40947</v>
      </c>
      <c r="Y2100" t="s">
        <v>40948</v>
      </c>
    </row>
    <row r="2101" spans="1:25" x14ac:dyDescent="0.3">
      <c r="A2101">
        <v>105000</v>
      </c>
      <c r="B2101" t="s">
        <v>40949</v>
      </c>
      <c r="C2101" t="s">
        <v>40950</v>
      </c>
      <c r="D2101" t="s">
        <v>40951</v>
      </c>
      <c r="E2101" t="s">
        <v>40952</v>
      </c>
      <c r="F2101" t="s">
        <v>40953</v>
      </c>
      <c r="G2101" t="s">
        <v>40954</v>
      </c>
      <c r="H2101" t="s">
        <v>40955</v>
      </c>
      <c r="I2101" t="s">
        <v>40956</v>
      </c>
      <c r="J2101" t="s">
        <v>40957</v>
      </c>
      <c r="K2101" t="s">
        <v>40958</v>
      </c>
      <c r="L2101" t="s">
        <v>40959</v>
      </c>
      <c r="M2101" t="s">
        <v>40960</v>
      </c>
      <c r="N2101" t="s">
        <v>40961</v>
      </c>
      <c r="O2101">
        <f>-654.38723009926 -122.014508135612 -515.492873123003</f>
        <v>-1291.894611357875</v>
      </c>
      <c r="P2101">
        <f>-574.727215534228 -160.778081271708 -247.667716653225</f>
        <v>-983.17301345916098</v>
      </c>
      <c r="Q2101">
        <f>-452.313177398651 -32.9299861016932 -398.06118411177</f>
        <v>-883.30434761211427</v>
      </c>
      <c r="R2101" t="s">
        <v>40962</v>
      </c>
      <c r="S2101" t="s">
        <v>40963</v>
      </c>
      <c r="T2101" t="s">
        <v>40964</v>
      </c>
      <c r="U2101" t="s">
        <v>40965</v>
      </c>
      <c r="V2101">
        <f>-587.604608627449 -40.9313044017656 -91.5294194906987</f>
        <v>-720.06533251991334</v>
      </c>
      <c r="W2101" t="s">
        <v>40966</v>
      </c>
      <c r="X2101" t="s">
        <v>40967</v>
      </c>
      <c r="Y2101" t="s">
        <v>40968</v>
      </c>
    </row>
    <row r="2102" spans="1:25" x14ac:dyDescent="0.3">
      <c r="A2102">
        <v>105050</v>
      </c>
      <c r="B2102" t="s">
        <v>40969</v>
      </c>
      <c r="C2102" t="s">
        <v>40970</v>
      </c>
      <c r="D2102" t="s">
        <v>40971</v>
      </c>
      <c r="E2102" t="s">
        <v>40972</v>
      </c>
      <c r="F2102" t="s">
        <v>40973</v>
      </c>
      <c r="G2102" t="s">
        <v>40974</v>
      </c>
      <c r="H2102" t="s">
        <v>40975</v>
      </c>
      <c r="I2102" t="s">
        <v>40976</v>
      </c>
      <c r="J2102" t="s">
        <v>40977</v>
      </c>
      <c r="K2102" t="s">
        <v>40978</v>
      </c>
      <c r="L2102" t="s">
        <v>40979</v>
      </c>
      <c r="M2102" t="s">
        <v>40980</v>
      </c>
      <c r="N2102" t="s">
        <v>40981</v>
      </c>
      <c r="O2102">
        <f>-654.456329231298 -121.953197110647 -515.568562952103</f>
        <v>-1291.978089294048</v>
      </c>
      <c r="P2102">
        <f>-574.499984392658 -160.75064837424 -247.83675023152</f>
        <v>-983.08738299841798</v>
      </c>
      <c r="Q2102">
        <f>-452.939040273567 -32.5777697920869 -398.645134793954</f>
        <v>-884.16194485960796</v>
      </c>
      <c r="R2102" t="s">
        <v>40982</v>
      </c>
      <c r="S2102" t="s">
        <v>40983</v>
      </c>
      <c r="T2102" t="s">
        <v>40984</v>
      </c>
      <c r="U2102" t="s">
        <v>40985</v>
      </c>
      <c r="V2102">
        <f>-587.638060904492 -40.9225259735797 -91.5315194150193</f>
        <v>-720.09210629309098</v>
      </c>
      <c r="W2102" t="s">
        <v>40986</v>
      </c>
      <c r="X2102" t="s">
        <v>40987</v>
      </c>
      <c r="Y2102" t="s">
        <v>40988</v>
      </c>
    </row>
    <row r="2103" spans="1:25" x14ac:dyDescent="0.3">
      <c r="A2103">
        <v>105100</v>
      </c>
      <c r="B2103" t="s">
        <v>40989</v>
      </c>
      <c r="C2103" t="s">
        <v>40990</v>
      </c>
      <c r="D2103" t="s">
        <v>40991</v>
      </c>
      <c r="E2103" t="s">
        <v>40992</v>
      </c>
      <c r="F2103" t="s">
        <v>40993</v>
      </c>
      <c r="G2103" t="s">
        <v>40994</v>
      </c>
      <c r="H2103" t="s">
        <v>40995</v>
      </c>
      <c r="I2103" t="s">
        <v>40996</v>
      </c>
      <c r="J2103" t="s">
        <v>40997</v>
      </c>
      <c r="K2103" t="s">
        <v>40998</v>
      </c>
      <c r="L2103" t="s">
        <v>40999</v>
      </c>
      <c r="M2103" t="s">
        <v>41000</v>
      </c>
      <c r="N2103" t="s">
        <v>41001</v>
      </c>
      <c r="O2103">
        <f>-654.646046499342 -121.650825564506 -515.756008127806</f>
        <v>-1292.0528801916539</v>
      </c>
      <c r="P2103">
        <f>-574.012511437313 -160.77560379606 -248.275066069293</f>
        <v>-983.06318130266595</v>
      </c>
      <c r="Q2103">
        <f>-453.812795106443 -32.3048517743582 -399.918830073751</f>
        <v>-886.0364769545522</v>
      </c>
      <c r="R2103" t="s">
        <v>41002</v>
      </c>
      <c r="S2103" t="s">
        <v>41003</v>
      </c>
      <c r="T2103" t="s">
        <v>41004</v>
      </c>
      <c r="U2103" t="s">
        <v>41005</v>
      </c>
      <c r="V2103">
        <f>-587.596894644249 -40.8006397046192 -91.5185836541999</f>
        <v>-719.91611800306816</v>
      </c>
      <c r="W2103" t="s">
        <v>41006</v>
      </c>
      <c r="X2103" t="s">
        <v>41007</v>
      </c>
      <c r="Y2103" t="s">
        <v>41008</v>
      </c>
    </row>
    <row r="2104" spans="1:25" x14ac:dyDescent="0.3">
      <c r="A2104">
        <v>105150</v>
      </c>
      <c r="B2104" t="s">
        <v>41009</v>
      </c>
      <c r="C2104" t="s">
        <v>41010</v>
      </c>
      <c r="D2104" t="s">
        <v>41011</v>
      </c>
      <c r="E2104" t="s">
        <v>41012</v>
      </c>
      <c r="F2104" t="s">
        <v>41013</v>
      </c>
      <c r="G2104" t="s">
        <v>41014</v>
      </c>
      <c r="H2104" t="s">
        <v>41015</v>
      </c>
      <c r="I2104" t="s">
        <v>41016</v>
      </c>
      <c r="J2104" t="s">
        <v>41017</v>
      </c>
      <c r="K2104" t="s">
        <v>41018</v>
      </c>
      <c r="L2104" t="s">
        <v>41019</v>
      </c>
      <c r="M2104" t="s">
        <v>41020</v>
      </c>
      <c r="N2104" t="s">
        <v>41021</v>
      </c>
      <c r="O2104">
        <f>-654.721904656356 -121.45667743335 -515.837270430871</f>
        <v>-1292.015852520577</v>
      </c>
      <c r="P2104">
        <f>-573.728452163274 -160.785680235308 -248.495019590554</f>
        <v>-983.00915198913594</v>
      </c>
      <c r="Q2104">
        <f>-454.126827407448 -32.2422401798856 -400.54937040467</f>
        <v>-886.91843799200365</v>
      </c>
      <c r="R2104" t="s">
        <v>41022</v>
      </c>
      <c r="S2104" t="s">
        <v>41023</v>
      </c>
      <c r="T2104" t="s">
        <v>41024</v>
      </c>
      <c r="U2104" t="s">
        <v>41025</v>
      </c>
      <c r="V2104">
        <f>-587.516466415432 -40.7283870916135 -91.5048917781505</f>
        <v>-719.74974528519601</v>
      </c>
      <c r="W2104" t="s">
        <v>41026</v>
      </c>
      <c r="X2104" t="s">
        <v>41027</v>
      </c>
      <c r="Y2104" t="s">
        <v>41028</v>
      </c>
    </row>
    <row r="2105" spans="1:25" x14ac:dyDescent="0.3">
      <c r="A2105">
        <v>105200</v>
      </c>
      <c r="B2105" t="s">
        <v>41029</v>
      </c>
      <c r="C2105" t="s">
        <v>41030</v>
      </c>
      <c r="D2105" t="s">
        <v>41031</v>
      </c>
      <c r="E2105" t="s">
        <v>41032</v>
      </c>
      <c r="F2105" t="s">
        <v>41033</v>
      </c>
      <c r="G2105" t="s">
        <v>41034</v>
      </c>
      <c r="H2105" t="s">
        <v>41035</v>
      </c>
      <c r="I2105" t="s">
        <v>41036</v>
      </c>
      <c r="J2105" t="s">
        <v>41037</v>
      </c>
      <c r="K2105" t="s">
        <v>41038</v>
      </c>
      <c r="L2105" t="s">
        <v>41039</v>
      </c>
      <c r="M2105" t="s">
        <v>41040</v>
      </c>
      <c r="N2105" t="s">
        <v>41041</v>
      </c>
      <c r="O2105">
        <f>-654.937567302229 -121.014526302796 -515.989711722905</f>
        <v>-1291.9418053279301</v>
      </c>
      <c r="P2105">
        <f>-573.222750880552 -160.563592715763 -248.899561270642</f>
        <v>-982.685904866957</v>
      </c>
      <c r="Q2105">
        <f>-454.428061865407 -31.7943223524692 -401.394906264639</f>
        <v>-887.61729048251527</v>
      </c>
      <c r="R2105" t="s">
        <v>41042</v>
      </c>
      <c r="S2105" t="s">
        <v>41043</v>
      </c>
      <c r="T2105" t="s">
        <v>41044</v>
      </c>
      <c r="U2105" t="s">
        <v>41045</v>
      </c>
      <c r="V2105">
        <f>-587.34565593022 -40.5166815468649 -91.4673393271008</f>
        <v>-719.32967680418574</v>
      </c>
      <c r="W2105" t="s">
        <v>41046</v>
      </c>
      <c r="X2105" t="s">
        <v>41047</v>
      </c>
      <c r="Y2105" t="s">
        <v>41048</v>
      </c>
    </row>
    <row r="2106" spans="1:25" x14ac:dyDescent="0.3">
      <c r="A2106">
        <v>105250</v>
      </c>
      <c r="B2106" t="s">
        <v>41049</v>
      </c>
      <c r="C2106" t="s">
        <v>41050</v>
      </c>
      <c r="D2106" t="s">
        <v>41051</v>
      </c>
      <c r="E2106" t="s">
        <v>41052</v>
      </c>
      <c r="F2106" t="s">
        <v>41053</v>
      </c>
      <c r="G2106" t="s">
        <v>41054</v>
      </c>
      <c r="H2106" t="s">
        <v>41055</v>
      </c>
      <c r="I2106" t="s">
        <v>41056</v>
      </c>
      <c r="J2106" t="s">
        <v>41057</v>
      </c>
      <c r="K2106" t="s">
        <v>41058</v>
      </c>
      <c r="L2106" t="s">
        <v>41059</v>
      </c>
      <c r="M2106" t="s">
        <v>41060</v>
      </c>
      <c r="N2106" t="s">
        <v>41061</v>
      </c>
      <c r="O2106">
        <f>-655.086674830629 -120.788856734397 -516.027642425205</f>
        <v>-1291.9031739902312</v>
      </c>
      <c r="P2106">
        <f>-573.087403301218 -160.380017182948 -249.030953292937</f>
        <v>-982.4983737771031</v>
      </c>
      <c r="Q2106">
        <f>-454.634668284244 -31.4547932155083 -401.660619969701</f>
        <v>-887.75008146945333</v>
      </c>
      <c r="R2106" t="s">
        <v>41062</v>
      </c>
      <c r="S2106" t="s">
        <v>41063</v>
      </c>
      <c r="T2106" t="s">
        <v>41064</v>
      </c>
      <c r="U2106" t="s">
        <v>41065</v>
      </c>
      <c r="V2106">
        <f>-587.227240562704 -40.4319931612379 -91.4438544620715</f>
        <v>-719.10308818601334</v>
      </c>
      <c r="W2106" t="s">
        <v>41066</v>
      </c>
      <c r="X2106" t="s">
        <v>41067</v>
      </c>
      <c r="Y2106" t="s">
        <v>41068</v>
      </c>
    </row>
    <row r="2107" spans="1:25" x14ac:dyDescent="0.3">
      <c r="A2107">
        <v>105300</v>
      </c>
      <c r="B2107" t="s">
        <v>41069</v>
      </c>
      <c r="C2107" t="s">
        <v>41070</v>
      </c>
      <c r="D2107" t="s">
        <v>41071</v>
      </c>
      <c r="E2107" t="s">
        <v>41072</v>
      </c>
      <c r="F2107" t="s">
        <v>41073</v>
      </c>
      <c r="G2107" t="s">
        <v>41074</v>
      </c>
      <c r="H2107" t="s">
        <v>41075</v>
      </c>
      <c r="I2107" t="s">
        <v>41076</v>
      </c>
      <c r="J2107" t="s">
        <v>41077</v>
      </c>
      <c r="K2107" t="s">
        <v>41078</v>
      </c>
      <c r="L2107" t="s">
        <v>41079</v>
      </c>
      <c r="M2107" t="s">
        <v>41080</v>
      </c>
      <c r="N2107" t="s">
        <v>41081</v>
      </c>
      <c r="O2107">
        <f>-655.167932998335 -120.375731340642 -516.170998176466</f>
        <v>-1291.714662515443</v>
      </c>
      <c r="P2107">
        <f>-572.816376646305 -160.282270142814 -249.329691217759</f>
        <v>-982.42833800687799</v>
      </c>
      <c r="Q2107">
        <f>-454.878872079104 -30.7327872252706 -401.829525598387</f>
        <v>-887.44118490276162</v>
      </c>
      <c r="R2107" t="s">
        <v>41082</v>
      </c>
      <c r="S2107" t="s">
        <v>41083</v>
      </c>
      <c r="T2107" t="s">
        <v>41084</v>
      </c>
      <c r="U2107" t="s">
        <v>41085</v>
      </c>
      <c r="V2107">
        <f>-586.914672662619 -40.3441088328166 -91.3985803058188</f>
        <v>-718.6573618012543</v>
      </c>
      <c r="W2107" t="s">
        <v>41086</v>
      </c>
      <c r="X2107" t="s">
        <v>41087</v>
      </c>
      <c r="Y2107" t="s">
        <v>41088</v>
      </c>
    </row>
    <row r="2108" spans="1:25" x14ac:dyDescent="0.3">
      <c r="A2108">
        <v>105350</v>
      </c>
      <c r="B2108" t="s">
        <v>41089</v>
      </c>
      <c r="C2108" t="s">
        <v>41090</v>
      </c>
      <c r="D2108" t="s">
        <v>41091</v>
      </c>
      <c r="E2108" t="s">
        <v>41092</v>
      </c>
      <c r="F2108" t="s">
        <v>41093</v>
      </c>
      <c r="G2108" t="s">
        <v>41094</v>
      </c>
      <c r="H2108" t="s">
        <v>41095</v>
      </c>
      <c r="I2108" t="s">
        <v>41096</v>
      </c>
      <c r="J2108" t="s">
        <v>41097</v>
      </c>
      <c r="K2108" t="s">
        <v>41098</v>
      </c>
      <c r="L2108" t="s">
        <v>41099</v>
      </c>
      <c r="M2108" t="s">
        <v>41100</v>
      </c>
      <c r="N2108" t="s">
        <v>41101</v>
      </c>
      <c r="O2108">
        <f>-655.138934466128 -120.218127106453 -516.256009764209</f>
        <v>-1291.6130713367902</v>
      </c>
      <c r="P2108">
        <f>-572.700984435471 -160.318528562697 -249.470414144478</f>
        <v>-982.48992714264602</v>
      </c>
      <c r="Q2108">
        <f>-454.893364139088 -30.4774025595659 -401.822546872262</f>
        <v>-887.19331357091596</v>
      </c>
      <c r="R2108" t="s">
        <v>41102</v>
      </c>
      <c r="S2108" t="s">
        <v>41103</v>
      </c>
      <c r="T2108" t="s">
        <v>41104</v>
      </c>
      <c r="U2108" t="s">
        <v>41105</v>
      </c>
      <c r="V2108">
        <f>-586.748158290632 -40.2983399858647 -91.3720995020641</f>
        <v>-718.41859777856075</v>
      </c>
      <c r="W2108" t="s">
        <v>41106</v>
      </c>
      <c r="X2108" t="s">
        <v>41107</v>
      </c>
      <c r="Y2108" t="s">
        <v>41108</v>
      </c>
    </row>
    <row r="2109" spans="1:25" x14ac:dyDescent="0.3">
      <c r="A2109">
        <v>105400</v>
      </c>
      <c r="B2109" t="s">
        <v>41109</v>
      </c>
      <c r="C2109" t="s">
        <v>41110</v>
      </c>
      <c r="D2109" t="s">
        <v>41111</v>
      </c>
      <c r="E2109" t="s">
        <v>41112</v>
      </c>
      <c r="F2109" t="s">
        <v>41113</v>
      </c>
      <c r="G2109" t="s">
        <v>41114</v>
      </c>
      <c r="H2109" t="s">
        <v>41115</v>
      </c>
      <c r="I2109" t="s">
        <v>41116</v>
      </c>
      <c r="J2109" t="s">
        <v>41117</v>
      </c>
      <c r="K2109" t="s">
        <v>41118</v>
      </c>
      <c r="L2109" t="s">
        <v>41119</v>
      </c>
      <c r="M2109" t="s">
        <v>41120</v>
      </c>
      <c r="N2109" t="s">
        <v>41121</v>
      </c>
      <c r="O2109">
        <f>-655.012805943538 -119.968268867098 -516.368537865635</f>
        <v>-1291.3496126762709</v>
      </c>
      <c r="P2109">
        <f>-572.27143528065 -160.437180332851 -249.732631937195</f>
        <v>-982.44124755069606</v>
      </c>
      <c r="Q2109">
        <f>-454.713599349762 -30.1302846398016 -401.879943437783</f>
        <v>-886.72382742734658</v>
      </c>
      <c r="R2109" t="s">
        <v>41122</v>
      </c>
      <c r="S2109" t="s">
        <v>41123</v>
      </c>
      <c r="T2109" t="s">
        <v>41124</v>
      </c>
      <c r="U2109" t="s">
        <v>41125</v>
      </c>
      <c r="V2109">
        <f>-586.441284690183 -40.2530839993365 -91.3302896956591</f>
        <v>-718.02465838517855</v>
      </c>
      <c r="W2109" t="s">
        <v>41126</v>
      </c>
      <c r="X2109" t="s">
        <v>41127</v>
      </c>
      <c r="Y2109" t="s">
        <v>41128</v>
      </c>
    </row>
    <row r="2110" spans="1:25" x14ac:dyDescent="0.3">
      <c r="A2110">
        <v>105450</v>
      </c>
      <c r="B2110" t="s">
        <v>41129</v>
      </c>
      <c r="C2110" t="s">
        <v>41130</v>
      </c>
      <c r="D2110" t="s">
        <v>41131</v>
      </c>
      <c r="E2110" t="s">
        <v>41132</v>
      </c>
      <c r="F2110" t="s">
        <v>41133</v>
      </c>
      <c r="G2110" t="s">
        <v>41134</v>
      </c>
      <c r="H2110" t="s">
        <v>41135</v>
      </c>
      <c r="I2110" t="s">
        <v>41136</v>
      </c>
      <c r="J2110" t="s">
        <v>41137</v>
      </c>
      <c r="K2110" t="s">
        <v>41138</v>
      </c>
      <c r="L2110" t="s">
        <v>41139</v>
      </c>
      <c r="M2110" t="s">
        <v>41140</v>
      </c>
      <c r="N2110" t="s">
        <v>41141</v>
      </c>
      <c r="O2110">
        <f>-654.972211995783 -119.785787218784 -516.449063786315</f>
        <v>-1291.207063000882</v>
      </c>
      <c r="P2110">
        <f>-572.073549468422 -160.392413443272 -249.882858285267</f>
        <v>-982.34882119696113</v>
      </c>
      <c r="Q2110">
        <f>-454.601397428342 -29.9375343541103 -401.969453437674</f>
        <v>-886.50838522012634</v>
      </c>
      <c r="R2110" t="s">
        <v>41142</v>
      </c>
      <c r="S2110" t="s">
        <v>41143</v>
      </c>
      <c r="T2110" t="s">
        <v>41144</v>
      </c>
      <c r="U2110" t="s">
        <v>41145</v>
      </c>
      <c r="V2110">
        <f>-586.321749202296 -40.2102948377774 -91.3157177918249</f>
        <v>-717.84776183189831</v>
      </c>
      <c r="W2110" t="s">
        <v>41146</v>
      </c>
      <c r="X2110" t="s">
        <v>41147</v>
      </c>
      <c r="Y2110" t="s">
        <v>41148</v>
      </c>
    </row>
    <row r="2111" spans="1:25" x14ac:dyDescent="0.3">
      <c r="A2111">
        <v>105500</v>
      </c>
      <c r="B2111" t="s">
        <v>41149</v>
      </c>
      <c r="C2111" t="s">
        <v>41150</v>
      </c>
      <c r="D2111" t="s">
        <v>41151</v>
      </c>
      <c r="E2111" t="s">
        <v>41152</v>
      </c>
      <c r="F2111" t="s">
        <v>41153</v>
      </c>
      <c r="G2111" t="s">
        <v>41154</v>
      </c>
      <c r="H2111" t="s">
        <v>41155</v>
      </c>
      <c r="I2111" t="s">
        <v>41156</v>
      </c>
      <c r="J2111" t="s">
        <v>41157</v>
      </c>
      <c r="K2111" t="s">
        <v>41158</v>
      </c>
      <c r="L2111" t="s">
        <v>41159</v>
      </c>
      <c r="M2111" t="s">
        <v>41160</v>
      </c>
      <c r="N2111" t="s">
        <v>41161</v>
      </c>
      <c r="O2111">
        <f>-654.736364950599 -119.325227476112 -516.709000666191</f>
        <v>-1290.7705930929019</v>
      </c>
      <c r="P2111">
        <f>-571.561999798823 -160.256168428891 -250.278422210407</f>
        <v>-982.09659043812098</v>
      </c>
      <c r="Q2111">
        <f>-454.358401577353 -29.4495585904106 -402.270262639041</f>
        <v>-886.07822280680466</v>
      </c>
      <c r="R2111" t="s">
        <v>41162</v>
      </c>
      <c r="S2111" t="s">
        <v>41163</v>
      </c>
      <c r="T2111" t="s">
        <v>41164</v>
      </c>
      <c r="U2111" t="s">
        <v>41165</v>
      </c>
      <c r="V2111">
        <f>-586.17083337166 -40.2123613197496 -91.2957713987456</f>
        <v>-717.6789660901552</v>
      </c>
      <c r="W2111" t="s">
        <v>41166</v>
      </c>
      <c r="X2111" t="s">
        <v>41167</v>
      </c>
      <c r="Y2111" t="s">
        <v>41168</v>
      </c>
    </row>
    <row r="2112" spans="1:25" x14ac:dyDescent="0.3">
      <c r="A2112">
        <v>105550</v>
      </c>
      <c r="B2112" t="s">
        <v>41169</v>
      </c>
      <c r="C2112" t="s">
        <v>41170</v>
      </c>
      <c r="D2112" t="s">
        <v>41171</v>
      </c>
      <c r="E2112" t="s">
        <v>41172</v>
      </c>
      <c r="F2112" t="s">
        <v>41173</v>
      </c>
      <c r="G2112" t="s">
        <v>41174</v>
      </c>
      <c r="H2112" t="s">
        <v>41175</v>
      </c>
      <c r="I2112" t="s">
        <v>41176</v>
      </c>
      <c r="J2112" t="s">
        <v>41177</v>
      </c>
      <c r="K2112" t="s">
        <v>41178</v>
      </c>
      <c r="L2112" t="s">
        <v>41179</v>
      </c>
      <c r="M2112" t="s">
        <v>41180</v>
      </c>
      <c r="N2112" t="s">
        <v>41181</v>
      </c>
      <c r="O2112">
        <f>-654.402909248041 -119.149792695358 -516.942784190892</f>
        <v>-1290.495486134291</v>
      </c>
      <c r="P2112">
        <f>-571.186027315644 -160.501845275305 -250.590648460753</f>
        <v>-982.27852105170189</v>
      </c>
      <c r="Q2112">
        <f>-454.151634612592 -29.3075161678889 -402.378455722698</f>
        <v>-885.8376065031789</v>
      </c>
      <c r="R2112" t="s">
        <v>41182</v>
      </c>
      <c r="S2112" t="s">
        <v>41183</v>
      </c>
      <c r="T2112" t="s">
        <v>41184</v>
      </c>
      <c r="U2112" t="s">
        <v>41185</v>
      </c>
      <c r="V2112">
        <f>-586.126175829043 -40.340976553538 -91.3050050950068</f>
        <v>-717.77215747758771</v>
      </c>
      <c r="W2112" t="s">
        <v>41186</v>
      </c>
      <c r="X2112" t="s">
        <v>41187</v>
      </c>
      <c r="Y2112" t="s">
        <v>41188</v>
      </c>
    </row>
    <row r="2113" spans="1:25" x14ac:dyDescent="0.3">
      <c r="A2113">
        <v>105600</v>
      </c>
      <c r="B2113" t="s">
        <v>41189</v>
      </c>
      <c r="C2113" t="s">
        <v>41190</v>
      </c>
      <c r="D2113" t="s">
        <v>41191</v>
      </c>
      <c r="E2113" t="s">
        <v>41192</v>
      </c>
      <c r="F2113" t="s">
        <v>41193</v>
      </c>
      <c r="G2113" t="s">
        <v>41194</v>
      </c>
      <c r="H2113" t="s">
        <v>41195</v>
      </c>
      <c r="I2113" t="s">
        <v>41196</v>
      </c>
      <c r="J2113" t="s">
        <v>41197</v>
      </c>
      <c r="K2113" t="s">
        <v>41198</v>
      </c>
      <c r="L2113" t="s">
        <v>41199</v>
      </c>
      <c r="M2113" t="s">
        <v>41200</v>
      </c>
      <c r="N2113" t="s">
        <v>41201</v>
      </c>
      <c r="O2113">
        <f>-653.909709289331 -119.069368111568 -517.286494319013</f>
        <v>-1290.2655717199118</v>
      </c>
      <c r="P2113">
        <f>-570.769236550593 -160.995599296767 -251.000143978627</f>
        <v>-982.76497982598698</v>
      </c>
      <c r="Q2113">
        <f>-453.888256967005 -29.0190738103411 -402.22694557303</f>
        <v>-885.13427635037613</v>
      </c>
      <c r="R2113" t="s">
        <v>41202</v>
      </c>
      <c r="S2113" t="s">
        <v>41203</v>
      </c>
      <c r="T2113" t="s">
        <v>41204</v>
      </c>
      <c r="U2113" t="s">
        <v>41205</v>
      </c>
      <c r="V2113">
        <f>-586.218630237188 -40.7196972600229 -91.3351703257486</f>
        <v>-718.2734978229596</v>
      </c>
      <c r="W2113" t="s">
        <v>41206</v>
      </c>
      <c r="X2113" t="s">
        <v>41207</v>
      </c>
      <c r="Y2113" t="s">
        <v>41208</v>
      </c>
    </row>
    <row r="2114" spans="1:25" x14ac:dyDescent="0.3">
      <c r="A2114">
        <v>105650</v>
      </c>
      <c r="B2114" t="s">
        <v>41209</v>
      </c>
      <c r="C2114" t="s">
        <v>41210</v>
      </c>
      <c r="D2114" t="s">
        <v>41211</v>
      </c>
      <c r="E2114" t="s">
        <v>41212</v>
      </c>
      <c r="F2114" t="s">
        <v>41213</v>
      </c>
      <c r="G2114" t="s">
        <v>41214</v>
      </c>
      <c r="H2114" t="s">
        <v>41215</v>
      </c>
      <c r="I2114" t="s">
        <v>41216</v>
      </c>
      <c r="J2114" t="s">
        <v>41217</v>
      </c>
      <c r="K2114" t="s">
        <v>41218</v>
      </c>
      <c r="L2114" t="s">
        <v>41219</v>
      </c>
      <c r="M2114" t="s">
        <v>41220</v>
      </c>
      <c r="N2114" t="s">
        <v>41221</v>
      </c>
      <c r="O2114">
        <f>-653.66882873636 -119.149563875869 -517.373226548315</f>
        <v>-1290.191619160544</v>
      </c>
      <c r="P2114">
        <f>-570.717388036727 -161.198071403305 -251.047229359857</f>
        <v>-982.96268879988907</v>
      </c>
      <c r="Q2114">
        <f>-453.648068722243 -28.9735378074483 -401.911203734583</f>
        <v>-884.5328102642743</v>
      </c>
      <c r="R2114" t="s">
        <v>41222</v>
      </c>
      <c r="S2114" t="s">
        <v>41223</v>
      </c>
      <c r="T2114" t="s">
        <v>41224</v>
      </c>
      <c r="U2114" t="s">
        <v>41225</v>
      </c>
      <c r="V2114">
        <f>-586.302655703659 -40.9456435828379 -91.3534760935521</f>
        <v>-718.60177538004893</v>
      </c>
      <c r="W2114" t="s">
        <v>41226</v>
      </c>
      <c r="X2114" t="s">
        <v>41227</v>
      </c>
      <c r="Y2114" t="s">
        <v>41228</v>
      </c>
    </row>
    <row r="2115" spans="1:25" x14ac:dyDescent="0.3">
      <c r="A2115">
        <v>105700</v>
      </c>
      <c r="B2115" t="s">
        <v>41229</v>
      </c>
      <c r="C2115" t="s">
        <v>41230</v>
      </c>
      <c r="D2115" t="s">
        <v>41231</v>
      </c>
      <c r="E2115" t="s">
        <v>41232</v>
      </c>
      <c r="F2115" t="s">
        <v>41233</v>
      </c>
      <c r="G2115" t="s">
        <v>41234</v>
      </c>
      <c r="H2115" t="s">
        <v>41235</v>
      </c>
      <c r="I2115" t="s">
        <v>41236</v>
      </c>
      <c r="J2115" t="s">
        <v>41237</v>
      </c>
      <c r="K2115" t="s">
        <v>41238</v>
      </c>
      <c r="L2115" t="s">
        <v>41239</v>
      </c>
      <c r="M2115" t="s">
        <v>41240</v>
      </c>
      <c r="N2115" t="s">
        <v>41241</v>
      </c>
      <c r="O2115">
        <f>-653.305766117166 -119.315233839773 -517.522743362862</f>
        <v>-1290.1437433198009</v>
      </c>
      <c r="P2115">
        <f>-571.046143287047 -161.627082626801 -251.023924734055</f>
        <v>-983.69715064790296</v>
      </c>
      <c r="Q2115">
        <f>-453.651248269731 -28.9081573852432 -401.199517288915</f>
        <v>-883.75892294388927</v>
      </c>
      <c r="R2115" t="s">
        <v>41242</v>
      </c>
      <c r="S2115" t="s">
        <v>41243</v>
      </c>
      <c r="T2115" t="s">
        <v>41244</v>
      </c>
      <c r="U2115" t="s">
        <v>41245</v>
      </c>
      <c r="V2115">
        <f>-586.496221507762 -41.2397481630533 -91.3865724295646</f>
        <v>-719.12254210037986</v>
      </c>
      <c r="W2115" t="s">
        <v>41246</v>
      </c>
      <c r="X2115" t="s">
        <v>41247</v>
      </c>
      <c r="Y2115" t="s">
        <v>41248</v>
      </c>
    </row>
    <row r="2116" spans="1:25" x14ac:dyDescent="0.3">
      <c r="A2116">
        <v>105750</v>
      </c>
      <c r="B2116" t="s">
        <v>41249</v>
      </c>
      <c r="C2116" t="s">
        <v>41250</v>
      </c>
      <c r="D2116" t="s">
        <v>41251</v>
      </c>
      <c r="E2116" t="s">
        <v>41252</v>
      </c>
      <c r="F2116" t="s">
        <v>41253</v>
      </c>
      <c r="G2116" t="s">
        <v>41254</v>
      </c>
      <c r="H2116" t="s">
        <v>41255</v>
      </c>
      <c r="I2116" t="s">
        <v>41256</v>
      </c>
      <c r="J2116" t="s">
        <v>41257</v>
      </c>
      <c r="K2116" t="s">
        <v>41258</v>
      </c>
      <c r="L2116" t="s">
        <v>41259</v>
      </c>
      <c r="M2116" t="s">
        <v>41260</v>
      </c>
      <c r="N2116" t="s">
        <v>41261</v>
      </c>
      <c r="O2116">
        <f>-653.186164734053 -119.377796520492 -517.593083600565</f>
        <v>-1290.1570448551101</v>
      </c>
      <c r="P2116">
        <f>-571.270282413316 -161.822780573785 -251.009604802959</f>
        <v>-984.10266779005985</v>
      </c>
      <c r="Q2116">
        <f>-453.586827087115 -29.0420923943175 -400.904286445004</f>
        <v>-883.53320592643649</v>
      </c>
      <c r="R2116" t="s">
        <v>41262</v>
      </c>
      <c r="S2116" t="s">
        <v>41263</v>
      </c>
      <c r="T2116" t="s">
        <v>41264</v>
      </c>
      <c r="U2116" t="s">
        <v>41265</v>
      </c>
      <c r="V2116">
        <f>-586.649403408256 -41.3412744574935 -91.3835675494623</f>
        <v>-719.37424541521182</v>
      </c>
      <c r="W2116" t="s">
        <v>41266</v>
      </c>
      <c r="X2116" t="s">
        <v>41267</v>
      </c>
      <c r="Y2116" t="s">
        <v>41268</v>
      </c>
    </row>
    <row r="2117" spans="1:25" x14ac:dyDescent="0.3">
      <c r="A2117">
        <v>105800</v>
      </c>
      <c r="B2117" t="s">
        <v>41269</v>
      </c>
      <c r="C2117" t="s">
        <v>41270</v>
      </c>
      <c r="D2117" t="s">
        <v>41271</v>
      </c>
      <c r="E2117" t="s">
        <v>41272</v>
      </c>
      <c r="F2117" t="s">
        <v>41273</v>
      </c>
      <c r="G2117" t="s">
        <v>41274</v>
      </c>
      <c r="H2117" t="s">
        <v>41275</v>
      </c>
      <c r="I2117" t="s">
        <v>41276</v>
      </c>
      <c r="J2117" t="s">
        <v>41277</v>
      </c>
      <c r="K2117" t="s">
        <v>41278</v>
      </c>
      <c r="L2117" t="s">
        <v>41279</v>
      </c>
      <c r="M2117" t="s">
        <v>41280</v>
      </c>
      <c r="N2117" t="s">
        <v>41281</v>
      </c>
      <c r="O2117">
        <f>-653.310788428712 -119.59858773063 -517.598855946733</f>
        <v>-1290.508232106075</v>
      </c>
      <c r="P2117">
        <f>-571.767510641326 -161.879093513562 -250.874905773828</f>
        <v>-984.521509928716</v>
      </c>
      <c r="Q2117">
        <f>-453.234009952711 -29.7141418256383 -400.643872469726</f>
        <v>-883.59202424807529</v>
      </c>
      <c r="R2117" t="s">
        <v>41282</v>
      </c>
      <c r="S2117" t="s">
        <v>41283</v>
      </c>
      <c r="T2117" t="s">
        <v>41284</v>
      </c>
      <c r="U2117" t="s">
        <v>41285</v>
      </c>
      <c r="V2117">
        <f>-587.152975270726 -41.7044855196334 -91.4201501958978</f>
        <v>-720.27761098625717</v>
      </c>
      <c r="W2117" t="s">
        <v>41286</v>
      </c>
      <c r="X2117" t="s">
        <v>41287</v>
      </c>
      <c r="Y2117" t="s">
        <v>41288</v>
      </c>
    </row>
    <row r="2118" spans="1:25" x14ac:dyDescent="0.3">
      <c r="A2118">
        <v>105850</v>
      </c>
      <c r="B2118" t="s">
        <v>41289</v>
      </c>
      <c r="C2118" t="s">
        <v>41290</v>
      </c>
      <c r="D2118" t="s">
        <v>41291</v>
      </c>
      <c r="E2118" t="s">
        <v>41292</v>
      </c>
      <c r="F2118" t="s">
        <v>41293</v>
      </c>
      <c r="G2118" t="s">
        <v>41294</v>
      </c>
      <c r="H2118" t="s">
        <v>41295</v>
      </c>
      <c r="I2118" t="s">
        <v>41296</v>
      </c>
      <c r="J2118" t="s">
        <v>41297</v>
      </c>
      <c r="K2118" t="s">
        <v>41298</v>
      </c>
      <c r="L2118" t="s">
        <v>41299</v>
      </c>
      <c r="M2118" t="s">
        <v>41300</v>
      </c>
      <c r="N2118" t="s">
        <v>41301</v>
      </c>
      <c r="O2118">
        <f>-653.430870311482 -119.645582754662 -517.654847677835</f>
        <v>-1290.7313007439789</v>
      </c>
      <c r="P2118">
        <f>-572.167742931163 -161.994673918808 -250.856388557171</f>
        <v>-985.01880540714205</v>
      </c>
      <c r="Q2118">
        <f>-453.202105127632 -29.9931132440599 -400.426681409716</f>
        <v>-883.62189978140793</v>
      </c>
      <c r="R2118" t="s">
        <v>41302</v>
      </c>
      <c r="S2118" t="s">
        <v>41303</v>
      </c>
      <c r="T2118" t="s">
        <v>41304</v>
      </c>
      <c r="U2118" t="s">
        <v>41305</v>
      </c>
      <c r="V2118">
        <f>-587.443398193955 -41.7791313195467 -91.4717751240196</f>
        <v>-720.69430463752121</v>
      </c>
      <c r="W2118" t="s">
        <v>41306</v>
      </c>
      <c r="X2118" t="s">
        <v>41307</v>
      </c>
      <c r="Y2118" t="s">
        <v>41308</v>
      </c>
    </row>
    <row r="2119" spans="1:25" x14ac:dyDescent="0.3">
      <c r="A2119">
        <v>105900</v>
      </c>
      <c r="B2119" t="s">
        <v>41309</v>
      </c>
      <c r="C2119" t="s">
        <v>41310</v>
      </c>
      <c r="D2119" t="s">
        <v>41311</v>
      </c>
      <c r="E2119" t="s">
        <v>41312</v>
      </c>
      <c r="F2119" t="s">
        <v>41313</v>
      </c>
      <c r="G2119" t="s">
        <v>41314</v>
      </c>
      <c r="H2119" t="s">
        <v>41315</v>
      </c>
      <c r="I2119" t="s">
        <v>41316</v>
      </c>
      <c r="J2119" t="s">
        <v>41317</v>
      </c>
      <c r="K2119" t="s">
        <v>41318</v>
      </c>
      <c r="L2119" t="s">
        <v>41319</v>
      </c>
      <c r="M2119" t="s">
        <v>41320</v>
      </c>
      <c r="N2119" t="s">
        <v>41321</v>
      </c>
      <c r="O2119">
        <f>-653.829702221244 -119.71613275955 -517.669856692422</f>
        <v>-1291.215691673216</v>
      </c>
      <c r="P2119">
        <f>-573.073634207246 -162.04719291982 -250.714588954237</f>
        <v>-985.83541608130292</v>
      </c>
      <c r="Q2119">
        <f>-453.693945155731 -30.3164278121501 -400.193772327561</f>
        <v>-884.20414529544212</v>
      </c>
      <c r="R2119" t="s">
        <v>41322</v>
      </c>
      <c r="S2119" t="s">
        <v>41323</v>
      </c>
      <c r="T2119" t="s">
        <v>41324</v>
      </c>
      <c r="U2119" t="s">
        <v>41325</v>
      </c>
      <c r="V2119">
        <f>-588.20244844922 -41.9010600055926 -91.5677555295302</f>
        <v>-721.67126398434289</v>
      </c>
      <c r="W2119" t="s">
        <v>41326</v>
      </c>
      <c r="X2119" t="s">
        <v>41327</v>
      </c>
      <c r="Y2119" t="s">
        <v>41328</v>
      </c>
    </row>
    <row r="2120" spans="1:25" x14ac:dyDescent="0.3">
      <c r="A2120">
        <v>105950</v>
      </c>
      <c r="B2120" t="s">
        <v>41329</v>
      </c>
      <c r="C2120" t="s">
        <v>41330</v>
      </c>
      <c r="D2120" t="s">
        <v>41331</v>
      </c>
      <c r="E2120" t="s">
        <v>41332</v>
      </c>
      <c r="F2120" t="s">
        <v>41333</v>
      </c>
      <c r="G2120" t="s">
        <v>41334</v>
      </c>
      <c r="H2120" t="s">
        <v>41335</v>
      </c>
      <c r="I2120" t="s">
        <v>41336</v>
      </c>
      <c r="J2120" t="s">
        <v>41337</v>
      </c>
      <c r="K2120" t="s">
        <v>41338</v>
      </c>
      <c r="L2120" t="s">
        <v>41339</v>
      </c>
      <c r="M2120" t="s">
        <v>41340</v>
      </c>
      <c r="N2120" t="s">
        <v>41341</v>
      </c>
      <c r="O2120">
        <f>-654.121122305655 -119.729795672033 -517.64602246448</f>
        <v>-1291.4969404421681</v>
      </c>
      <c r="P2120">
        <f>-573.649891252047 -162.163624638231 -250.620990040439</f>
        <v>-986.43450593071702</v>
      </c>
      <c r="Q2120">
        <f>-454.043931795785 -30.4718664983825 -399.953668080605</f>
        <v>-884.46946637477254</v>
      </c>
      <c r="R2120" t="s">
        <v>41342</v>
      </c>
      <c r="S2120" t="s">
        <v>41343</v>
      </c>
      <c r="T2120" t="s">
        <v>41344</v>
      </c>
      <c r="U2120" t="s">
        <v>41345</v>
      </c>
      <c r="V2120">
        <f>-588.653658039915 -41.8855847228763 -91.6114415246029</f>
        <v>-722.15068428739414</v>
      </c>
      <c r="W2120" t="s">
        <v>41346</v>
      </c>
      <c r="X2120" t="s">
        <v>41347</v>
      </c>
      <c r="Y2120" t="s">
        <v>41348</v>
      </c>
    </row>
    <row r="2121" spans="1:25" x14ac:dyDescent="0.3">
      <c r="A2121">
        <v>106000</v>
      </c>
      <c r="B2121" t="s">
        <v>41349</v>
      </c>
      <c r="C2121" t="s">
        <v>41350</v>
      </c>
      <c r="D2121" t="s">
        <v>41351</v>
      </c>
      <c r="E2121" t="s">
        <v>41352</v>
      </c>
      <c r="F2121" t="s">
        <v>41353</v>
      </c>
      <c r="G2121" t="s">
        <v>41354</v>
      </c>
      <c r="H2121" t="s">
        <v>41355</v>
      </c>
      <c r="I2121" t="s">
        <v>41356</v>
      </c>
      <c r="J2121" t="s">
        <v>41357</v>
      </c>
      <c r="K2121" t="s">
        <v>41358</v>
      </c>
      <c r="L2121" t="s">
        <v>41359</v>
      </c>
      <c r="M2121" t="s">
        <v>41360</v>
      </c>
      <c r="N2121" t="s">
        <v>41361</v>
      </c>
      <c r="O2121">
        <f>-654.997341317041 -119.772279737852 -517.513202071904</f>
        <v>-1292.282823126797</v>
      </c>
      <c r="P2121">
        <f>-574.986888125967 -161.94677271996 -250.308812442371</f>
        <v>-987.24247328829802</v>
      </c>
      <c r="Q2121">
        <f>-454.863254480859 -30.6675002875006 -399.589152123044</f>
        <v>-885.11990689140362</v>
      </c>
      <c r="R2121" t="s">
        <v>41362</v>
      </c>
      <c r="S2121" t="s">
        <v>41363</v>
      </c>
      <c r="T2121" t="s">
        <v>41364</v>
      </c>
      <c r="U2121" t="s">
        <v>41365</v>
      </c>
      <c r="V2121">
        <f>-589.575701733863 -41.8060633974967 -91.6953426173538</f>
        <v>-723.0771077487135</v>
      </c>
      <c r="W2121" t="s">
        <v>41366</v>
      </c>
      <c r="X2121" t="s">
        <v>41367</v>
      </c>
      <c r="Y2121" t="s">
        <v>41368</v>
      </c>
    </row>
    <row r="2122" spans="1:25" x14ac:dyDescent="0.3">
      <c r="A2122">
        <v>106050</v>
      </c>
      <c r="B2122" t="s">
        <v>41369</v>
      </c>
      <c r="C2122" t="s">
        <v>41370</v>
      </c>
      <c r="D2122" t="s">
        <v>41371</v>
      </c>
      <c r="E2122" t="s">
        <v>41372</v>
      </c>
      <c r="F2122" t="s">
        <v>41373</v>
      </c>
      <c r="G2122" t="s">
        <v>41374</v>
      </c>
      <c r="H2122" t="s">
        <v>41375</v>
      </c>
      <c r="I2122" t="s">
        <v>41376</v>
      </c>
      <c r="J2122" t="s">
        <v>41377</v>
      </c>
      <c r="K2122" t="s">
        <v>41378</v>
      </c>
      <c r="L2122" t="s">
        <v>41379</v>
      </c>
      <c r="M2122" t="s">
        <v>41380</v>
      </c>
      <c r="N2122" t="s">
        <v>41381</v>
      </c>
      <c r="O2122">
        <f>-655.506091230288 -119.76427343494 -517.432086338283</f>
        <v>-1292.7024510035112</v>
      </c>
      <c r="P2122">
        <f>-575.736043563414 -161.799373024998 -250.133751360488</f>
        <v>-987.66916794889994</v>
      </c>
      <c r="Q2122">
        <f>-455.302862525874 -30.8718792854788 -399.473622663882</f>
        <v>-885.64836447523476</v>
      </c>
      <c r="R2122" t="s">
        <v>41382</v>
      </c>
      <c r="S2122" t="s">
        <v>41383</v>
      </c>
      <c r="T2122" t="s">
        <v>41384</v>
      </c>
      <c r="U2122" t="s">
        <v>41385</v>
      </c>
      <c r="V2122">
        <f>-590.036049528409 -41.7189299841366 -91.7370375614881</f>
        <v>-723.4920170740337</v>
      </c>
      <c r="W2122" t="s">
        <v>41386</v>
      </c>
      <c r="X2122" t="s">
        <v>41387</v>
      </c>
      <c r="Y2122" t="s">
        <v>41388</v>
      </c>
    </row>
    <row r="2123" spans="1:25" x14ac:dyDescent="0.3">
      <c r="A2123">
        <v>106100</v>
      </c>
      <c r="B2123" t="s">
        <v>41389</v>
      </c>
      <c r="C2123" t="s">
        <v>41390</v>
      </c>
      <c r="D2123" t="s">
        <v>41391</v>
      </c>
      <c r="E2123" t="s">
        <v>41392</v>
      </c>
      <c r="F2123" t="s">
        <v>41393</v>
      </c>
      <c r="G2123" t="s">
        <v>41394</v>
      </c>
      <c r="H2123" t="s">
        <v>41395</v>
      </c>
      <c r="I2123" t="s">
        <v>41396</v>
      </c>
      <c r="J2123" t="s">
        <v>41397</v>
      </c>
      <c r="K2123" t="s">
        <v>41398</v>
      </c>
      <c r="L2123" t="s">
        <v>41399</v>
      </c>
      <c r="M2123" t="s">
        <v>41400</v>
      </c>
      <c r="N2123" t="s">
        <v>41401</v>
      </c>
      <c r="O2123">
        <f>-656.680372781289 -119.753616134476 -517.215984236542</f>
        <v>-1293.649973152307</v>
      </c>
      <c r="P2123">
        <f>-577.206166055518 -161.519003779784 -249.787316425976</f>
        <v>-988.51248626127801</v>
      </c>
      <c r="Q2123">
        <f>-456.463795623834 -31.2070985539992 -399.415831937664</f>
        <v>-887.08672611549719</v>
      </c>
      <c r="R2123" t="s">
        <v>41402</v>
      </c>
      <c r="S2123" t="s">
        <v>41403</v>
      </c>
      <c r="T2123" t="s">
        <v>41404</v>
      </c>
      <c r="U2123" t="s">
        <v>41405</v>
      </c>
      <c r="V2123">
        <f>-590.912021310261 -41.4551130968978 -91.7990070061135</f>
        <v>-724.16614141327227</v>
      </c>
      <c r="W2123" t="s">
        <v>41406</v>
      </c>
      <c r="X2123" t="s">
        <v>41407</v>
      </c>
      <c r="Y2123" t="s">
        <v>41408</v>
      </c>
    </row>
    <row r="2124" spans="1:25" x14ac:dyDescent="0.3">
      <c r="A2124">
        <v>106150</v>
      </c>
      <c r="B2124" t="s">
        <v>41409</v>
      </c>
      <c r="C2124" t="s">
        <v>41410</v>
      </c>
      <c r="D2124" t="s">
        <v>41411</v>
      </c>
      <c r="E2124" t="s">
        <v>41412</v>
      </c>
      <c r="F2124" t="s">
        <v>41413</v>
      </c>
      <c r="G2124" t="s">
        <v>41414</v>
      </c>
      <c r="H2124" t="s">
        <v>41415</v>
      </c>
      <c r="I2124" t="s">
        <v>41416</v>
      </c>
      <c r="J2124" t="s">
        <v>41417</v>
      </c>
      <c r="K2124" t="s">
        <v>41418</v>
      </c>
      <c r="L2124" t="s">
        <v>41419</v>
      </c>
      <c r="M2124" t="s">
        <v>41420</v>
      </c>
      <c r="N2124" t="s">
        <v>41421</v>
      </c>
      <c r="O2124">
        <f>-657.25121199277 -119.748369057165 -517.114793141018</f>
        <v>-1294.114374190953</v>
      </c>
      <c r="P2124">
        <f>-577.802539859576 -161.352142071866 -249.653257197334</f>
        <v>-988.80793912877596</v>
      </c>
      <c r="Q2124">
        <f>-457.071518128912 -31.1906091150447 -399.421634643814</f>
        <v>-887.68376188777074</v>
      </c>
      <c r="R2124" t="s">
        <v>41422</v>
      </c>
      <c r="S2124" t="s">
        <v>41423</v>
      </c>
      <c r="T2124" t="s">
        <v>41424</v>
      </c>
      <c r="U2124" t="s">
        <v>41425</v>
      </c>
      <c r="V2124">
        <f>-591.348790160596 -41.3074995048014 -91.820276615957</f>
        <v>-724.47656628135439</v>
      </c>
      <c r="W2124" t="s">
        <v>41426</v>
      </c>
      <c r="X2124" t="s">
        <v>41427</v>
      </c>
      <c r="Y2124" t="s">
        <v>41428</v>
      </c>
    </row>
    <row r="2125" spans="1:25" x14ac:dyDescent="0.3">
      <c r="A2125">
        <v>106200</v>
      </c>
      <c r="B2125" t="s">
        <v>41429</v>
      </c>
      <c r="C2125" t="s">
        <v>41430</v>
      </c>
      <c r="D2125" t="s">
        <v>41431</v>
      </c>
      <c r="E2125" t="s">
        <v>41432</v>
      </c>
      <c r="F2125" t="s">
        <v>41433</v>
      </c>
      <c r="G2125" t="s">
        <v>41434</v>
      </c>
      <c r="H2125" t="s">
        <v>41435</v>
      </c>
      <c r="I2125" t="s">
        <v>41436</v>
      </c>
      <c r="J2125" t="s">
        <v>41437</v>
      </c>
      <c r="K2125" t="s">
        <v>41438</v>
      </c>
      <c r="L2125" t="s">
        <v>41439</v>
      </c>
      <c r="M2125" t="s">
        <v>41440</v>
      </c>
      <c r="N2125" t="s">
        <v>41441</v>
      </c>
      <c r="O2125">
        <f>-658.264989755708 -119.71168450101 -516.927049611783</f>
        <v>-1294.9037238685009</v>
      </c>
      <c r="P2125">
        <f>-578.772274750118 -161.05678818002 -249.438667874972</f>
        <v>-989.26773080510998</v>
      </c>
      <c r="Q2125">
        <f>-458.239824981952 -30.8271682583083 -399.307577761685</f>
        <v>-888.37457100194524</v>
      </c>
      <c r="R2125" t="s">
        <v>41442</v>
      </c>
      <c r="S2125" t="s">
        <v>41443</v>
      </c>
      <c r="T2125" t="s">
        <v>41444</v>
      </c>
      <c r="U2125" t="s">
        <v>41445</v>
      </c>
      <c r="V2125">
        <f>-592.118772365179 -40.8608648908701 -91.859500749684</f>
        <v>-724.83913800573305</v>
      </c>
      <c r="W2125" t="s">
        <v>41446</v>
      </c>
      <c r="X2125" t="s">
        <v>41447</v>
      </c>
      <c r="Y2125" t="s">
        <v>41448</v>
      </c>
    </row>
    <row r="2126" spans="1:25" x14ac:dyDescent="0.3">
      <c r="A2126">
        <v>106250</v>
      </c>
      <c r="B2126" t="s">
        <v>41449</v>
      </c>
      <c r="C2126" t="s">
        <v>41450</v>
      </c>
      <c r="D2126" t="s">
        <v>41451</v>
      </c>
      <c r="E2126" t="s">
        <v>41452</v>
      </c>
      <c r="F2126" t="s">
        <v>41453</v>
      </c>
      <c r="G2126" t="s">
        <v>41454</v>
      </c>
      <c r="H2126" t="s">
        <v>41455</v>
      </c>
      <c r="I2126" t="s">
        <v>41456</v>
      </c>
      <c r="J2126" t="s">
        <v>41457</v>
      </c>
      <c r="K2126" t="s">
        <v>41458</v>
      </c>
      <c r="L2126" t="s">
        <v>41459</v>
      </c>
      <c r="M2126" t="s">
        <v>41460</v>
      </c>
      <c r="N2126" t="s">
        <v>41461</v>
      </c>
      <c r="O2126">
        <f>-658.713787504348 -119.663995710522 -516.807333717172</f>
        <v>-1295.1851169320421</v>
      </c>
      <c r="P2126">
        <f>-579.201359639473 -160.787132810806 -249.290604403375</f>
        <v>-989.2790968536541</v>
      </c>
      <c r="Q2126">
        <f>-458.768370553019 -30.501881338246 -399.190996794984</f>
        <v>-888.46124868624906</v>
      </c>
      <c r="R2126" t="s">
        <v>41462</v>
      </c>
      <c r="S2126" t="s">
        <v>41463</v>
      </c>
      <c r="T2126" t="s">
        <v>41464</v>
      </c>
      <c r="U2126" t="s">
        <v>41465</v>
      </c>
      <c r="V2126">
        <f>-592.428946989538 -40.5887266325281 -91.8727778805534</f>
        <v>-724.89045150261938</v>
      </c>
      <c r="W2126" t="s">
        <v>41466</v>
      </c>
      <c r="X2126" t="s">
        <v>41467</v>
      </c>
      <c r="Y2126" t="s">
        <v>41468</v>
      </c>
    </row>
    <row r="2127" spans="1:25" x14ac:dyDescent="0.3">
      <c r="A2127">
        <v>106300</v>
      </c>
      <c r="B2127" t="s">
        <v>41469</v>
      </c>
      <c r="C2127" t="s">
        <v>41470</v>
      </c>
      <c r="D2127" t="s">
        <v>41471</v>
      </c>
      <c r="E2127" t="s">
        <v>41472</v>
      </c>
      <c r="F2127" t="s">
        <v>41473</v>
      </c>
      <c r="G2127" t="s">
        <v>41474</v>
      </c>
      <c r="H2127" t="s">
        <v>41475</v>
      </c>
      <c r="I2127" t="s">
        <v>41476</v>
      </c>
      <c r="J2127" t="s">
        <v>41477</v>
      </c>
      <c r="K2127" t="s">
        <v>41478</v>
      </c>
      <c r="L2127" t="s">
        <v>41479</v>
      </c>
      <c r="M2127" t="s">
        <v>41480</v>
      </c>
      <c r="N2127" t="s">
        <v>41481</v>
      </c>
      <c r="O2127">
        <f>-659.383645798546 -119.365112318965 -516.601842815048</f>
        <v>-1295.350600932559</v>
      </c>
      <c r="P2127">
        <f>-579.852252506815 -160.250818831921 -249.054184969861</f>
        <v>-989.15725630859708</v>
      </c>
      <c r="Q2127">
        <f>-459.67769906244 -29.6693069925304 -398.904395609772</f>
        <v>-888.25140166474239</v>
      </c>
      <c r="R2127" t="s">
        <v>41482</v>
      </c>
      <c r="S2127" t="s">
        <v>41483</v>
      </c>
      <c r="T2127" t="s">
        <v>41484</v>
      </c>
      <c r="U2127" t="s">
        <v>41485</v>
      </c>
      <c r="V2127">
        <f>-592.900812354941 -40.0152920460914 -91.8773139550383</f>
        <v>-724.79341835607067</v>
      </c>
      <c r="W2127" t="s">
        <v>41486</v>
      </c>
      <c r="X2127" t="s">
        <v>41487</v>
      </c>
      <c r="Y2127" t="s">
        <v>41488</v>
      </c>
    </row>
    <row r="2128" spans="1:25" x14ac:dyDescent="0.3">
      <c r="A2128">
        <v>106350</v>
      </c>
      <c r="B2128" t="s">
        <v>41489</v>
      </c>
      <c r="C2128" t="s">
        <v>41490</v>
      </c>
      <c r="D2128" t="s">
        <v>41491</v>
      </c>
      <c r="E2128" t="s">
        <v>41492</v>
      </c>
      <c r="F2128" t="s">
        <v>41493</v>
      </c>
      <c r="G2128" t="s">
        <v>41494</v>
      </c>
      <c r="H2128" t="s">
        <v>41495</v>
      </c>
      <c r="I2128" t="s">
        <v>41496</v>
      </c>
      <c r="J2128" t="s">
        <v>41497</v>
      </c>
      <c r="K2128" t="s">
        <v>41498</v>
      </c>
      <c r="L2128" t="s">
        <v>41499</v>
      </c>
      <c r="M2128" t="s">
        <v>41500</v>
      </c>
      <c r="N2128" t="s">
        <v>41501</v>
      </c>
      <c r="O2128">
        <f>-659.481559016229 -119.213963019717 -516.524526336425</f>
        <v>-1295.2200483723709</v>
      </c>
      <c r="P2128">
        <f>-580.045486696182 -160.101651077792 -248.94905313464</f>
        <v>-989.09619090861406</v>
      </c>
      <c r="Q2128">
        <f>-459.974520057577 -29.3462146771972 -398.730368997563</f>
        <v>-888.0511037323372</v>
      </c>
      <c r="R2128" t="s">
        <v>41502</v>
      </c>
      <c r="S2128" t="s">
        <v>41503</v>
      </c>
      <c r="T2128" t="s">
        <v>41504</v>
      </c>
      <c r="U2128" t="s">
        <v>41505</v>
      </c>
      <c r="V2128">
        <f>-593.074025148808 -39.7823118376675 -91.8728559627071</f>
        <v>-724.72919294918267</v>
      </c>
      <c r="W2128" t="s">
        <v>41506</v>
      </c>
      <c r="X2128" t="s">
        <v>41507</v>
      </c>
      <c r="Y2128" t="s">
        <v>41508</v>
      </c>
    </row>
    <row r="2129" spans="1:25" x14ac:dyDescent="0.3">
      <c r="A2129">
        <v>106400</v>
      </c>
      <c r="B2129" t="s">
        <v>41509</v>
      </c>
      <c r="C2129" t="s">
        <v>41510</v>
      </c>
      <c r="D2129" t="s">
        <v>41511</v>
      </c>
      <c r="E2129" t="s">
        <v>41512</v>
      </c>
      <c r="F2129" t="s">
        <v>41513</v>
      </c>
      <c r="G2129" t="s">
        <v>41514</v>
      </c>
      <c r="H2129" t="s">
        <v>41515</v>
      </c>
      <c r="I2129" t="s">
        <v>41516</v>
      </c>
      <c r="J2129" t="s">
        <v>41517</v>
      </c>
      <c r="K2129" t="s">
        <v>41518</v>
      </c>
      <c r="L2129" t="s">
        <v>41519</v>
      </c>
      <c r="M2129" t="s">
        <v>41520</v>
      </c>
      <c r="N2129" t="s">
        <v>41521</v>
      </c>
      <c r="O2129">
        <f>-659.3769132263 -119.007600280458 -516.443906261978</f>
        <v>-1294.8284197687358</v>
      </c>
      <c r="P2129">
        <f>-580.055719287867 -159.875640008021 -248.83129876528</f>
        <v>-988.76265806116794</v>
      </c>
      <c r="Q2129">
        <f>-460.07792001536 -28.9301088067641 -398.52126426326</f>
        <v>-887.5292930853841</v>
      </c>
      <c r="R2129" t="s">
        <v>41522</v>
      </c>
      <c r="S2129" t="s">
        <v>41523</v>
      </c>
      <c r="T2129" t="s">
        <v>41524</v>
      </c>
      <c r="U2129" t="s">
        <v>41525</v>
      </c>
      <c r="V2129">
        <f>-593.209953742501 -39.3866387877288 -91.8684797644992</f>
        <v>-724.465072294729</v>
      </c>
      <c r="W2129" t="s">
        <v>41526</v>
      </c>
      <c r="X2129" t="s">
        <v>41527</v>
      </c>
      <c r="Y2129" t="s">
        <v>41528</v>
      </c>
    </row>
    <row r="2130" spans="1:25" x14ac:dyDescent="0.3">
      <c r="A2130">
        <v>106450</v>
      </c>
      <c r="B2130" t="s">
        <v>41529</v>
      </c>
      <c r="C2130" t="s">
        <v>41530</v>
      </c>
      <c r="D2130" t="s">
        <v>41531</v>
      </c>
      <c r="E2130" t="s">
        <v>41532</v>
      </c>
      <c r="F2130" t="s">
        <v>41533</v>
      </c>
      <c r="G2130" t="s">
        <v>41534</v>
      </c>
      <c r="H2130" t="s">
        <v>41535</v>
      </c>
      <c r="I2130" t="s">
        <v>41536</v>
      </c>
      <c r="J2130" t="s">
        <v>41537</v>
      </c>
      <c r="K2130" t="s">
        <v>41538</v>
      </c>
      <c r="L2130" t="s">
        <v>41539</v>
      </c>
      <c r="M2130" t="s">
        <v>41540</v>
      </c>
      <c r="N2130" t="s">
        <v>41541</v>
      </c>
      <c r="O2130">
        <f>-659.27882800145 -118.875419523035 -516.413661716545</f>
        <v>-1294.5679092410301</v>
      </c>
      <c r="P2130">
        <f>-580.056449260406 -159.665117818093 -248.759804982498</f>
        <v>-988.48137206099705</v>
      </c>
      <c r="Q2130">
        <f>-460.060494916993 -28.7525663230631 -398.464139314193</f>
        <v>-887.27720055424902</v>
      </c>
      <c r="R2130" t="s">
        <v>41542</v>
      </c>
      <c r="S2130" t="s">
        <v>41543</v>
      </c>
      <c r="T2130" t="s">
        <v>41544</v>
      </c>
      <c r="U2130" t="s">
        <v>41545</v>
      </c>
      <c r="V2130">
        <f>-593.109259645845 -39.2090667409179 -91.8584336511999</f>
        <v>-724.17676003796282</v>
      </c>
      <c r="W2130" t="s">
        <v>41546</v>
      </c>
      <c r="X2130" t="s">
        <v>41547</v>
      </c>
      <c r="Y2130" t="s">
        <v>41548</v>
      </c>
    </row>
    <row r="2131" spans="1:25" x14ac:dyDescent="0.3">
      <c r="A2131">
        <v>106500</v>
      </c>
      <c r="B2131" t="s">
        <v>41549</v>
      </c>
      <c r="C2131" t="s">
        <v>41550</v>
      </c>
      <c r="D2131" t="s">
        <v>41551</v>
      </c>
      <c r="E2131" t="s">
        <v>41552</v>
      </c>
      <c r="F2131" t="s">
        <v>41553</v>
      </c>
      <c r="G2131" t="s">
        <v>41554</v>
      </c>
      <c r="H2131" t="s">
        <v>41555</v>
      </c>
      <c r="I2131" t="s">
        <v>41556</v>
      </c>
      <c r="J2131" t="s">
        <v>41557</v>
      </c>
      <c r="K2131" t="s">
        <v>41558</v>
      </c>
      <c r="L2131" t="s">
        <v>41559</v>
      </c>
      <c r="M2131" t="s">
        <v>41560</v>
      </c>
      <c r="N2131" t="s">
        <v>41561</v>
      </c>
      <c r="O2131">
        <f>-658.845352050697 -118.446828637046 -516.406404557217</f>
        <v>-1293.69858524496</v>
      </c>
      <c r="P2131">
        <f>-579.893251197713 -159.330109884408 -248.686937186768</f>
        <v>-987.91029826888894</v>
      </c>
      <c r="Q2131">
        <f>-460.136332390914 -28.3265893894675 -398.503044596832</f>
        <v>-886.96596637721359</v>
      </c>
      <c r="R2131" t="s">
        <v>41562</v>
      </c>
      <c r="S2131" t="s">
        <v>41563</v>
      </c>
      <c r="T2131" t="s">
        <v>41564</v>
      </c>
      <c r="U2131" t="s">
        <v>41565</v>
      </c>
      <c r="V2131">
        <f>-592.751622039362 -38.8087265161441 -91.8165584745924</f>
        <v>-723.37690703009855</v>
      </c>
      <c r="W2131" t="s">
        <v>41566</v>
      </c>
      <c r="X2131" t="s">
        <v>41567</v>
      </c>
      <c r="Y2131" t="s">
        <v>41568</v>
      </c>
    </row>
    <row r="2132" spans="1:25" x14ac:dyDescent="0.3">
      <c r="A2132">
        <v>106550</v>
      </c>
      <c r="B2132" t="s">
        <v>41569</v>
      </c>
      <c r="C2132" t="s">
        <v>41570</v>
      </c>
      <c r="D2132" t="s">
        <v>41571</v>
      </c>
      <c r="E2132" t="s">
        <v>41572</v>
      </c>
      <c r="F2132" t="s">
        <v>41573</v>
      </c>
      <c r="G2132" t="s">
        <v>41574</v>
      </c>
      <c r="H2132" t="s">
        <v>41575</v>
      </c>
      <c r="I2132" t="s">
        <v>41576</v>
      </c>
      <c r="J2132" t="s">
        <v>41577</v>
      </c>
      <c r="K2132" t="s">
        <v>41578</v>
      </c>
      <c r="L2132" t="s">
        <v>41579</v>
      </c>
      <c r="M2132" t="s">
        <v>41580</v>
      </c>
      <c r="N2132" t="s">
        <v>41581</v>
      </c>
      <c r="O2132">
        <f>-658.621773898528 -118.13526514472 -516.422311608378</f>
        <v>-1293.179350651626</v>
      </c>
      <c r="P2132">
        <f>-579.818621091847 -159.185989452154 -248.684510564029</f>
        <v>-987.68912110803001</v>
      </c>
      <c r="Q2132">
        <f>-460.014093374393 -28.0100213497938 -398.311734606446</f>
        <v>-886.33584933063275</v>
      </c>
      <c r="R2132" t="s">
        <v>41582</v>
      </c>
      <c r="S2132" t="s">
        <v>41583</v>
      </c>
      <c r="T2132" t="s">
        <v>41584</v>
      </c>
      <c r="U2132" t="s">
        <v>41585</v>
      </c>
      <c r="V2132">
        <f>-592.541510237436 -38.5957741076177 -91.7832199142747</f>
        <v>-722.92050425932837</v>
      </c>
      <c r="W2132" t="s">
        <v>41586</v>
      </c>
      <c r="X2132" t="s">
        <v>41587</v>
      </c>
      <c r="Y2132" t="s">
        <v>41588</v>
      </c>
    </row>
    <row r="2133" spans="1:25" x14ac:dyDescent="0.3">
      <c r="A2133">
        <v>106600</v>
      </c>
      <c r="B2133" t="s">
        <v>41589</v>
      </c>
      <c r="C2133" t="s">
        <v>41590</v>
      </c>
      <c r="D2133" t="s">
        <v>41591</v>
      </c>
      <c r="E2133" t="s">
        <v>41592</v>
      </c>
      <c r="F2133" t="s">
        <v>41593</v>
      </c>
      <c r="G2133" t="s">
        <v>41594</v>
      </c>
      <c r="H2133" t="s">
        <v>41595</v>
      </c>
      <c r="I2133" t="s">
        <v>41596</v>
      </c>
      <c r="J2133" t="s">
        <v>41597</v>
      </c>
      <c r="K2133" t="s">
        <v>41598</v>
      </c>
      <c r="L2133" t="s">
        <v>41599</v>
      </c>
      <c r="M2133" t="s">
        <v>41600</v>
      </c>
      <c r="N2133" t="s">
        <v>41601</v>
      </c>
      <c r="O2133">
        <f>-657.909692939557 -117.539473912411 -516.468213660685</f>
        <v>-1291.9173805126529</v>
      </c>
      <c r="P2133">
        <f>-579.226718118781 -159.025742412377 -248.762253908219</f>
        <v>-987.01471443937703</v>
      </c>
      <c r="Q2133">
        <f>-459.484889968455 -27.1989450062097 -397.866677782109</f>
        <v>-884.55051275677374</v>
      </c>
      <c r="R2133" t="s">
        <v>41602</v>
      </c>
      <c r="S2133" t="s">
        <v>41603</v>
      </c>
      <c r="T2133" t="s">
        <v>41604</v>
      </c>
      <c r="U2133" t="s">
        <v>41605</v>
      </c>
      <c r="V2133">
        <f>-591.896562264207 -38.2088975489867 -91.6938135230014</f>
        <v>-721.79927333619503</v>
      </c>
      <c r="W2133" t="s">
        <v>41606</v>
      </c>
      <c r="X2133" t="s">
        <v>41607</v>
      </c>
      <c r="Y2133" t="s">
        <v>41608</v>
      </c>
    </row>
    <row r="2134" spans="1:25" x14ac:dyDescent="0.3">
      <c r="A2134">
        <v>106650</v>
      </c>
      <c r="B2134" t="s">
        <v>41609</v>
      </c>
      <c r="C2134" t="s">
        <v>41610</v>
      </c>
      <c r="D2134" t="s">
        <v>41611</v>
      </c>
      <c r="E2134" t="s">
        <v>41612</v>
      </c>
      <c r="F2134" t="s">
        <v>41613</v>
      </c>
      <c r="G2134" t="s">
        <v>41614</v>
      </c>
      <c r="H2134" t="s">
        <v>41615</v>
      </c>
      <c r="I2134" t="s">
        <v>41616</v>
      </c>
      <c r="J2134" t="s">
        <v>41617</v>
      </c>
      <c r="K2134" t="s">
        <v>41618</v>
      </c>
      <c r="L2134" t="s">
        <v>41619</v>
      </c>
      <c r="M2134" t="s">
        <v>41620</v>
      </c>
      <c r="N2134" t="s">
        <v>41621</v>
      </c>
      <c r="O2134">
        <f>-657.523636830493 -117.313785270627 -516.542438858949</f>
        <v>-1291.379860960069</v>
      </c>
      <c r="P2134">
        <f>-578.734195818407 -158.878692042475 -248.879943340555</f>
        <v>-986.49283120143696</v>
      </c>
      <c r="Q2134">
        <f>-459.316924150165 -26.6616847317978 -397.899102559558</f>
        <v>-883.87771144152077</v>
      </c>
      <c r="R2134" t="s">
        <v>41622</v>
      </c>
      <c r="S2134" t="s">
        <v>41623</v>
      </c>
      <c r="T2134" t="s">
        <v>41624</v>
      </c>
      <c r="U2134" t="s">
        <v>41625</v>
      </c>
      <c r="V2134">
        <f>-591.551330453578 -38.1723450193376 -91.6684042217897</f>
        <v>-721.39207969470533</v>
      </c>
      <c r="W2134" t="s">
        <v>41626</v>
      </c>
      <c r="X2134" t="s">
        <v>41627</v>
      </c>
      <c r="Y2134" t="s">
        <v>41628</v>
      </c>
    </row>
    <row r="2135" spans="1:25" x14ac:dyDescent="0.3">
      <c r="A2135">
        <v>106700</v>
      </c>
      <c r="B2135" t="s">
        <v>41629</v>
      </c>
      <c r="C2135" t="s">
        <v>41630</v>
      </c>
      <c r="D2135" t="s">
        <v>41631</v>
      </c>
      <c r="E2135" t="s">
        <v>41632</v>
      </c>
      <c r="F2135" t="s">
        <v>41633</v>
      </c>
      <c r="G2135" t="s">
        <v>41634</v>
      </c>
      <c r="H2135" t="s">
        <v>41635</v>
      </c>
      <c r="I2135" t="s">
        <v>41636</v>
      </c>
      <c r="J2135" t="s">
        <v>41637</v>
      </c>
      <c r="K2135" t="s">
        <v>41638</v>
      </c>
      <c r="L2135" t="s">
        <v>41639</v>
      </c>
      <c r="M2135" t="s">
        <v>41640</v>
      </c>
      <c r="N2135" t="s">
        <v>41641</v>
      </c>
      <c r="O2135">
        <f>-656.789057821343 -116.865718929958 -516.628406345276</f>
        <v>-1290.283183096577</v>
      </c>
      <c r="P2135">
        <f>-577.613310339821 -158.746383638756 -249.129192498353</f>
        <v>-985.48888647693002</v>
      </c>
      <c r="Q2135">
        <f>-456.794697082881 -26.8703516800367 -397.318575528009</f>
        <v>-880.98362429092663</v>
      </c>
      <c r="R2135" t="s">
        <v>41642</v>
      </c>
      <c r="S2135" t="s">
        <v>41643</v>
      </c>
      <c r="T2135" t="s">
        <v>41644</v>
      </c>
      <c r="U2135" t="s">
        <v>41645</v>
      </c>
      <c r="V2135">
        <f>-590.878091268339 -38.1307914373403 -91.6200622202609</f>
        <v>-720.62894492594023</v>
      </c>
      <c r="W2135" t="s">
        <v>41646</v>
      </c>
      <c r="X2135" t="s">
        <v>41647</v>
      </c>
      <c r="Y2135" t="s">
        <v>41648</v>
      </c>
    </row>
    <row r="2136" spans="1:25" x14ac:dyDescent="0.3">
      <c r="A2136">
        <v>106750</v>
      </c>
      <c r="B2136" t="s">
        <v>41649</v>
      </c>
      <c r="C2136" t="s">
        <v>41650</v>
      </c>
      <c r="D2136" t="s">
        <v>41651</v>
      </c>
      <c r="E2136" t="s">
        <v>41652</v>
      </c>
      <c r="F2136" t="s">
        <v>41653</v>
      </c>
      <c r="G2136" t="s">
        <v>41654</v>
      </c>
      <c r="H2136" t="s">
        <v>41655</v>
      </c>
      <c r="I2136" t="s">
        <v>41656</v>
      </c>
      <c r="J2136" t="s">
        <v>41657</v>
      </c>
      <c r="K2136" t="s">
        <v>41658</v>
      </c>
      <c r="L2136" t="s">
        <v>41659</v>
      </c>
      <c r="M2136" t="s">
        <v>41660</v>
      </c>
      <c r="N2136" t="s">
        <v>41661</v>
      </c>
      <c r="O2136">
        <f>-656.379330449389 -116.614511094683 -516.731083692029</f>
        <v>-1289.7249252361009</v>
      </c>
      <c r="P2136">
        <f>-576.997153129484 -158.803752505366 -249.341513020371</f>
        <v>-985.14241865522104</v>
      </c>
      <c r="Q2136">
        <f>-455.966592772254 -26.2016879539231 -396.707722277078</f>
        <v>-878.87600300325516</v>
      </c>
      <c r="R2136" t="s">
        <v>41662</v>
      </c>
      <c r="S2136" t="s">
        <v>41663</v>
      </c>
      <c r="T2136" t="s">
        <v>41664</v>
      </c>
      <c r="U2136" t="s">
        <v>41665</v>
      </c>
      <c r="V2136">
        <f>-590.591043214951 -38.1628699771331 -91.5974200000782</f>
        <v>-720.35133319216231</v>
      </c>
      <c r="W2136" t="s">
        <v>41666</v>
      </c>
      <c r="X2136" t="s">
        <v>41667</v>
      </c>
      <c r="Y2136" t="s">
        <v>41668</v>
      </c>
    </row>
    <row r="2137" spans="1:25" x14ac:dyDescent="0.3">
      <c r="A2137">
        <v>106800</v>
      </c>
      <c r="B2137" t="s">
        <v>41669</v>
      </c>
      <c r="C2137" t="s">
        <v>41670</v>
      </c>
      <c r="D2137" t="s">
        <v>41671</v>
      </c>
      <c r="E2137" t="s">
        <v>41672</v>
      </c>
      <c r="F2137" t="s">
        <v>41673</v>
      </c>
      <c r="G2137" t="s">
        <v>41674</v>
      </c>
      <c r="H2137" t="s">
        <v>41675</v>
      </c>
      <c r="I2137" t="s">
        <v>41676</v>
      </c>
      <c r="J2137" t="s">
        <v>41677</v>
      </c>
      <c r="K2137" t="s">
        <v>41678</v>
      </c>
      <c r="L2137" t="s">
        <v>41679</v>
      </c>
      <c r="M2137" t="s">
        <v>41680</v>
      </c>
      <c r="N2137" t="s">
        <v>41681</v>
      </c>
      <c r="O2137">
        <f>-655.498042575767 -116.085139350328 -517.02832711036</f>
        <v>-1288.6115090364551</v>
      </c>
      <c r="P2137">
        <f>-576.665587509327 -158.930256233015 -249.580566356588</f>
        <v>-985.17641009893009</v>
      </c>
      <c r="Q2137">
        <f>-455.710635261543 -24.7273378929726 -395.553205765793</f>
        <v>-875.99117892030858</v>
      </c>
      <c r="R2137" t="s">
        <v>41682</v>
      </c>
      <c r="S2137" t="s">
        <v>41683</v>
      </c>
      <c r="T2137" t="s">
        <v>41684</v>
      </c>
      <c r="U2137" t="s">
        <v>41685</v>
      </c>
      <c r="V2137">
        <f>-590.239874485721 -38.1593491404722 -91.5816749903925</f>
        <v>-719.98089861658559</v>
      </c>
      <c r="W2137" t="s">
        <v>41686</v>
      </c>
      <c r="X2137" t="s">
        <v>41687</v>
      </c>
      <c r="Y2137" t="s">
        <v>41688</v>
      </c>
    </row>
    <row r="2138" spans="1:25" x14ac:dyDescent="0.3">
      <c r="A2138">
        <v>106850</v>
      </c>
      <c r="B2138" t="s">
        <v>41689</v>
      </c>
      <c r="C2138" t="s">
        <v>41690</v>
      </c>
      <c r="D2138" t="s">
        <v>41691</v>
      </c>
      <c r="E2138" t="s">
        <v>41692</v>
      </c>
      <c r="F2138" t="s">
        <v>41693</v>
      </c>
      <c r="G2138" t="s">
        <v>41694</v>
      </c>
      <c r="H2138" t="s">
        <v>41695</v>
      </c>
      <c r="I2138" t="s">
        <v>41696</v>
      </c>
      <c r="J2138" t="s">
        <v>41697</v>
      </c>
      <c r="K2138" t="s">
        <v>41698</v>
      </c>
      <c r="L2138" t="s">
        <v>41699</v>
      </c>
      <c r="M2138" t="s">
        <v>41700</v>
      </c>
      <c r="N2138" t="s">
        <v>41701</v>
      </c>
      <c r="O2138">
        <f>-655.110427777239 -115.807261081972 -517.152264575911</f>
        <v>-1288.069953435122</v>
      </c>
      <c r="P2138">
        <f>-576.652948754535 -158.722692782292 -249.605379690676</f>
        <v>-984.98102122750311</v>
      </c>
      <c r="Q2138">
        <f>-455.851306888984 -23.799003390518 -395.039465001684</f>
        <v>-874.68977528118603</v>
      </c>
      <c r="R2138" t="s">
        <v>41702</v>
      </c>
      <c r="S2138" t="s">
        <v>41703</v>
      </c>
      <c r="T2138" t="s">
        <v>41704</v>
      </c>
      <c r="U2138" t="s">
        <v>41705</v>
      </c>
      <c r="V2138">
        <f>-590.092890935963 -38.1851175086645 -91.5699318029662</f>
        <v>-719.84794024759367</v>
      </c>
      <c r="W2138" t="s">
        <v>41706</v>
      </c>
      <c r="X2138" t="s">
        <v>41707</v>
      </c>
      <c r="Y2138" t="s">
        <v>41708</v>
      </c>
    </row>
    <row r="2139" spans="1:25" x14ac:dyDescent="0.3">
      <c r="A2139">
        <v>106900</v>
      </c>
      <c r="B2139" t="s">
        <v>41709</v>
      </c>
      <c r="C2139" t="s">
        <v>41710</v>
      </c>
      <c r="D2139" t="s">
        <v>41711</v>
      </c>
      <c r="E2139" t="s">
        <v>41712</v>
      </c>
      <c r="F2139" t="s">
        <v>41713</v>
      </c>
      <c r="G2139" t="s">
        <v>41714</v>
      </c>
      <c r="H2139" t="s">
        <v>41715</v>
      </c>
      <c r="I2139" t="s">
        <v>41716</v>
      </c>
      <c r="J2139" t="s">
        <v>41717</v>
      </c>
      <c r="K2139" t="s">
        <v>41718</v>
      </c>
      <c r="L2139" t="s">
        <v>41719</v>
      </c>
      <c r="M2139" t="s">
        <v>41720</v>
      </c>
      <c r="N2139" t="s">
        <v>41721</v>
      </c>
      <c r="O2139">
        <f>-654.399737543739 -115.6366854686 -517.239786755548</f>
        <v>-1287.2762097678869</v>
      </c>
      <c r="P2139">
        <f>-576.873529013123 -158.977444357006 -249.490164841421</f>
        <v>-985.34113821154995</v>
      </c>
      <c r="Q2139">
        <f>-455.494762629314 -23.2250582791253 -393.667204899941</f>
        <v>-872.38702580838026</v>
      </c>
      <c r="R2139" t="s">
        <v>41722</v>
      </c>
      <c r="S2139" t="s">
        <v>41723</v>
      </c>
      <c r="T2139" t="s">
        <v>41724</v>
      </c>
      <c r="U2139" t="s">
        <v>41725</v>
      </c>
      <c r="V2139">
        <f>-589.796414155947 -38.2973079791425 -91.5518945760607</f>
        <v>-719.64561671115018</v>
      </c>
      <c r="W2139" t="s">
        <v>41726</v>
      </c>
      <c r="X2139" t="s">
        <v>41727</v>
      </c>
      <c r="Y2139" t="s">
        <v>41728</v>
      </c>
    </row>
    <row r="2140" spans="1:25" x14ac:dyDescent="0.3">
      <c r="A2140">
        <v>106950</v>
      </c>
      <c r="B2140" t="s">
        <v>41729</v>
      </c>
      <c r="C2140" t="s">
        <v>41730</v>
      </c>
      <c r="D2140" t="s">
        <v>41731</v>
      </c>
      <c r="E2140" t="s">
        <v>41732</v>
      </c>
      <c r="F2140" t="s">
        <v>41733</v>
      </c>
      <c r="G2140" t="s">
        <v>41734</v>
      </c>
      <c r="H2140" t="s">
        <v>41735</v>
      </c>
      <c r="I2140" t="s">
        <v>41736</v>
      </c>
      <c r="J2140" t="s">
        <v>41737</v>
      </c>
      <c r="K2140" t="s">
        <v>41738</v>
      </c>
      <c r="L2140" t="s">
        <v>41739</v>
      </c>
      <c r="M2140" t="s">
        <v>41740</v>
      </c>
      <c r="N2140" t="s">
        <v>41741</v>
      </c>
      <c r="O2140">
        <f>-654.022733097261 -115.551080873033 -517.262747434976</f>
        <v>-1286.83656140527</v>
      </c>
      <c r="P2140">
        <f>-576.980263953651 -158.906964303146 -249.375871346628</f>
        <v>-985.26309960342496</v>
      </c>
      <c r="Q2140">
        <f>-455.114261655849 -23.1695513266798 -393.155621342307</f>
        <v>-871.43943432483582</v>
      </c>
      <c r="R2140" t="s">
        <v>41742</v>
      </c>
      <c r="S2140" t="s">
        <v>41743</v>
      </c>
      <c r="T2140" t="s">
        <v>41744</v>
      </c>
      <c r="U2140" t="s">
        <v>41745</v>
      </c>
      <c r="V2140">
        <f>-589.631472081399 -38.257327040026 -91.5404290910307</f>
        <v>-719.42922821245566</v>
      </c>
      <c r="W2140" t="s">
        <v>41746</v>
      </c>
      <c r="X2140" t="s">
        <v>41747</v>
      </c>
      <c r="Y2140" t="s">
        <v>41748</v>
      </c>
    </row>
    <row r="2141" spans="1:25" x14ac:dyDescent="0.3">
      <c r="A2141">
        <v>107000</v>
      </c>
      <c r="B2141" t="s">
        <v>41749</v>
      </c>
      <c r="C2141" t="s">
        <v>41750</v>
      </c>
      <c r="D2141" t="s">
        <v>41751</v>
      </c>
      <c r="E2141" t="s">
        <v>41752</v>
      </c>
      <c r="F2141" t="s">
        <v>41753</v>
      </c>
      <c r="G2141" t="s">
        <v>41754</v>
      </c>
      <c r="H2141" t="s">
        <v>41755</v>
      </c>
      <c r="I2141" t="s">
        <v>41756</v>
      </c>
      <c r="J2141" t="s">
        <v>41757</v>
      </c>
      <c r="K2141" t="s">
        <v>41758</v>
      </c>
      <c r="L2141" t="s">
        <v>41759</v>
      </c>
      <c r="M2141" t="s">
        <v>41760</v>
      </c>
      <c r="N2141" t="s">
        <v>41761</v>
      </c>
      <c r="O2141">
        <f>-653.210373689404 -115.564112378813 -517.241209607128</f>
        <v>-1286.0156956753449</v>
      </c>
      <c r="P2141">
        <f>-577.121763282957 -158.672162361587 -249.042127029515</f>
        <v>-984.83605267405892</v>
      </c>
      <c r="Q2141">
        <f>-454.346864157855 -23.6087834339987 -392.683111033305</f>
        <v>-870.63875862515874</v>
      </c>
      <c r="R2141" t="s">
        <v>41762</v>
      </c>
      <c r="S2141" t="s">
        <v>41763</v>
      </c>
      <c r="T2141" t="s">
        <v>41764</v>
      </c>
      <c r="U2141" t="s">
        <v>41765</v>
      </c>
      <c r="V2141">
        <f>-589.359750249401 -38.1968092683869 -91.5118144018497</f>
        <v>-719.06837391963768</v>
      </c>
      <c r="W2141" t="s">
        <v>41766</v>
      </c>
      <c r="X2141" t="s">
        <v>41767</v>
      </c>
      <c r="Y2141" t="s">
        <v>41768</v>
      </c>
    </row>
    <row r="2142" spans="1:25" x14ac:dyDescent="0.3">
      <c r="A2142">
        <v>107050</v>
      </c>
      <c r="B2142" t="s">
        <v>41769</v>
      </c>
      <c r="C2142" t="s">
        <v>41770</v>
      </c>
      <c r="D2142" t="s">
        <v>41771</v>
      </c>
      <c r="E2142" t="s">
        <v>41772</v>
      </c>
      <c r="F2142" t="s">
        <v>41773</v>
      </c>
      <c r="G2142" t="s">
        <v>41774</v>
      </c>
      <c r="H2142" t="s">
        <v>41775</v>
      </c>
      <c r="I2142" t="s">
        <v>41776</v>
      </c>
      <c r="J2142" t="s">
        <v>41777</v>
      </c>
      <c r="K2142" t="s">
        <v>41778</v>
      </c>
      <c r="L2142" t="s">
        <v>41779</v>
      </c>
      <c r="M2142" t="s">
        <v>41780</v>
      </c>
      <c r="N2142" t="s">
        <v>41781</v>
      </c>
      <c r="O2142">
        <f>-652.919165211734 -115.577663736171 -517.170414769445</f>
        <v>-1285.6672437173499</v>
      </c>
      <c r="P2142">
        <f>-577.125157950261 -158.605380046805 -248.875028715679</f>
        <v>-984.60556671274503</v>
      </c>
      <c r="Q2142">
        <f>-454.051842685831 -23.8164391371231 -392.518518669935</f>
        <v>-870.38680049288905</v>
      </c>
      <c r="R2142" t="s">
        <v>41782</v>
      </c>
      <c r="S2142" t="s">
        <v>41783</v>
      </c>
      <c r="T2142" t="s">
        <v>41784</v>
      </c>
      <c r="U2142" t="s">
        <v>41785</v>
      </c>
      <c r="V2142">
        <f>-589.239685952941 -38.127732770801 -91.5021790483036</f>
        <v>-718.86959777204561</v>
      </c>
      <c r="W2142" t="s">
        <v>41786</v>
      </c>
      <c r="X2142" t="s">
        <v>41787</v>
      </c>
      <c r="Y2142" t="s">
        <v>41788</v>
      </c>
    </row>
    <row r="2143" spans="1:25" x14ac:dyDescent="0.3">
      <c r="A2143">
        <v>107100</v>
      </c>
      <c r="B2143" t="s">
        <v>41789</v>
      </c>
      <c r="C2143" t="s">
        <v>41790</v>
      </c>
      <c r="D2143" t="s">
        <v>41791</v>
      </c>
      <c r="E2143" t="s">
        <v>41792</v>
      </c>
      <c r="F2143" t="s">
        <v>41793</v>
      </c>
      <c r="G2143" t="s">
        <v>41794</v>
      </c>
      <c r="H2143" t="s">
        <v>41795</v>
      </c>
      <c r="I2143" t="s">
        <v>41796</v>
      </c>
      <c r="J2143" t="s">
        <v>41797</v>
      </c>
      <c r="K2143" t="s">
        <v>41798</v>
      </c>
      <c r="L2143" t="s">
        <v>41799</v>
      </c>
      <c r="M2143" t="s">
        <v>41800</v>
      </c>
      <c r="N2143" t="s">
        <v>41801</v>
      </c>
      <c r="O2143">
        <f>-652.454156470766 -115.617781123154 -517.000335155008</f>
        <v>-1285.0722727489278</v>
      </c>
      <c r="P2143">
        <f>-577.141268126367 -158.406719615869 -248.531343584793</f>
        <v>-984.07933132702908</v>
      </c>
      <c r="Q2143">
        <f>-453.818004687538 -23.8274126447814 -392.156823655677</f>
        <v>-869.80224098799636</v>
      </c>
      <c r="R2143" t="s">
        <v>41802</v>
      </c>
      <c r="S2143" t="s">
        <v>41803</v>
      </c>
      <c r="T2143" t="s">
        <v>41804</v>
      </c>
      <c r="U2143" t="s">
        <v>41805</v>
      </c>
      <c r="V2143">
        <f>-589.008248380456 -38.0122845393296 -91.4844940052496</f>
        <v>-718.50502692503528</v>
      </c>
      <c r="W2143" t="s">
        <v>41806</v>
      </c>
      <c r="X2143" t="s">
        <v>41807</v>
      </c>
      <c r="Y2143" t="s">
        <v>41808</v>
      </c>
    </row>
    <row r="2144" spans="1:25" x14ac:dyDescent="0.3">
      <c r="A2144">
        <v>107150</v>
      </c>
      <c r="B2144" t="s">
        <v>41809</v>
      </c>
      <c r="C2144" t="s">
        <v>41810</v>
      </c>
      <c r="D2144" t="s">
        <v>41811</v>
      </c>
      <c r="E2144" t="s">
        <v>41812</v>
      </c>
      <c r="F2144" t="s">
        <v>41813</v>
      </c>
      <c r="G2144" t="s">
        <v>41814</v>
      </c>
      <c r="H2144" t="s">
        <v>41815</v>
      </c>
      <c r="I2144" t="s">
        <v>41816</v>
      </c>
      <c r="J2144" t="s">
        <v>41817</v>
      </c>
      <c r="K2144" t="s">
        <v>41818</v>
      </c>
      <c r="L2144" t="s">
        <v>41819</v>
      </c>
      <c r="M2144" t="s">
        <v>41820</v>
      </c>
      <c r="N2144" t="s">
        <v>41821</v>
      </c>
      <c r="O2144">
        <f>-651.987823404607 -115.646883356326 -516.963870364365</f>
        <v>-1284.5985771252981</v>
      </c>
      <c r="P2144">
        <f>-577.035499456971 -158.359891889091 -248.38174558735</f>
        <v>-983.77713693341207</v>
      </c>
      <c r="Q2144">
        <f>-453.645453651374 -23.7545374637537 -391.925523532255</f>
        <v>-869.32551464738276</v>
      </c>
      <c r="R2144" t="s">
        <v>41822</v>
      </c>
      <c r="S2144" t="s">
        <v>41823</v>
      </c>
      <c r="T2144" t="s">
        <v>41824</v>
      </c>
      <c r="U2144" t="s">
        <v>41825</v>
      </c>
      <c r="V2144">
        <f>-588.819079237354 -37.9556035730939 -91.4756878418399</f>
        <v>-718.25037065228776</v>
      </c>
      <c r="W2144" t="s">
        <v>41826</v>
      </c>
      <c r="X2144" t="s">
        <v>41827</v>
      </c>
      <c r="Y2144" t="s">
        <v>41828</v>
      </c>
    </row>
    <row r="2145" spans="1:25" x14ac:dyDescent="0.3">
      <c r="A2145">
        <v>107200</v>
      </c>
      <c r="B2145" t="s">
        <v>41829</v>
      </c>
      <c r="C2145" t="s">
        <v>41830</v>
      </c>
      <c r="D2145" t="s">
        <v>41831</v>
      </c>
      <c r="E2145" t="s">
        <v>41832</v>
      </c>
      <c r="F2145" t="s">
        <v>41833</v>
      </c>
      <c r="G2145" t="s">
        <v>41834</v>
      </c>
      <c r="H2145" t="s">
        <v>41835</v>
      </c>
      <c r="I2145" t="s">
        <v>41836</v>
      </c>
      <c r="J2145" t="s">
        <v>41837</v>
      </c>
      <c r="K2145" t="s">
        <v>41838</v>
      </c>
      <c r="L2145" t="s">
        <v>41839</v>
      </c>
      <c r="M2145" t="s">
        <v>41840</v>
      </c>
      <c r="N2145" t="s">
        <v>41841</v>
      </c>
      <c r="O2145">
        <f>-650.908973814661 -115.689925248334 -516.877114324052</f>
        <v>-1283.4760133870468</v>
      </c>
      <c r="P2145">
        <f>-576.575686523895 -158.186380618677 -248.08865371059</f>
        <v>-982.8507208531621</v>
      </c>
      <c r="Q2145">
        <f>-453.344134174503 -23.1025038671753 -391.318827193773</f>
        <v>-867.7654652354513</v>
      </c>
      <c r="R2145" t="s">
        <v>41842</v>
      </c>
      <c r="S2145" t="s">
        <v>41843</v>
      </c>
      <c r="T2145" t="s">
        <v>41844</v>
      </c>
      <c r="U2145" t="s">
        <v>41845</v>
      </c>
      <c r="V2145">
        <f>-588.387130660363 -37.679610513226 -91.4422318201664</f>
        <v>-717.50897299375538</v>
      </c>
      <c r="W2145" t="s">
        <v>41846</v>
      </c>
      <c r="X2145" t="s">
        <v>41847</v>
      </c>
      <c r="Y2145" t="s">
        <v>41848</v>
      </c>
    </row>
    <row r="2146" spans="1:25" x14ac:dyDescent="0.3">
      <c r="A2146">
        <v>107250</v>
      </c>
      <c r="B2146" t="s">
        <v>41849</v>
      </c>
      <c r="C2146" t="s">
        <v>41850</v>
      </c>
      <c r="D2146" t="s">
        <v>41851</v>
      </c>
      <c r="E2146" t="s">
        <v>41852</v>
      </c>
      <c r="F2146" t="s">
        <v>41853</v>
      </c>
      <c r="G2146" t="s">
        <v>41854</v>
      </c>
      <c r="H2146" t="s">
        <v>41855</v>
      </c>
      <c r="I2146" t="s">
        <v>41856</v>
      </c>
      <c r="J2146" t="s">
        <v>41857</v>
      </c>
      <c r="K2146" t="s">
        <v>41858</v>
      </c>
      <c r="L2146" t="s">
        <v>41859</v>
      </c>
      <c r="M2146" t="s">
        <v>41860</v>
      </c>
      <c r="N2146" t="s">
        <v>41861</v>
      </c>
      <c r="O2146">
        <f>-650.49712349394 -115.824627771568 -516.754428640007</f>
        <v>-1283.0761799055158</v>
      </c>
      <c r="P2146">
        <f>-576.326297734348 -158.22343542502 -247.905860775327</f>
        <v>-982.45559393469512</v>
      </c>
      <c r="Q2146">
        <f>-453.287038305842 -22.7221203157844 -390.906750550532</f>
        <v>-866.91590917215842</v>
      </c>
      <c r="R2146" t="s">
        <v>41862</v>
      </c>
      <c r="S2146" t="s">
        <v>41863</v>
      </c>
      <c r="T2146" t="s">
        <v>41864</v>
      </c>
      <c r="U2146" t="s">
        <v>41865</v>
      </c>
      <c r="V2146">
        <f>-588.091298277544 -37.6634332561878 -91.4221742070675</f>
        <v>-717.17690574079927</v>
      </c>
      <c r="W2146" t="s">
        <v>41866</v>
      </c>
      <c r="X2146" t="s">
        <v>41867</v>
      </c>
      <c r="Y2146" t="s">
        <v>41868</v>
      </c>
    </row>
    <row r="2147" spans="1:25" x14ac:dyDescent="0.3">
      <c r="A2147">
        <v>107300</v>
      </c>
      <c r="B2147" t="s">
        <v>41869</v>
      </c>
      <c r="C2147" t="s">
        <v>41870</v>
      </c>
      <c r="D2147" t="s">
        <v>41871</v>
      </c>
      <c r="E2147" t="s">
        <v>41872</v>
      </c>
      <c r="F2147" t="s">
        <v>41873</v>
      </c>
      <c r="G2147" t="s">
        <v>41874</v>
      </c>
      <c r="H2147" t="s">
        <v>41875</v>
      </c>
      <c r="I2147" t="s">
        <v>41876</v>
      </c>
      <c r="J2147" t="s">
        <v>41877</v>
      </c>
      <c r="K2147" t="s">
        <v>41878</v>
      </c>
      <c r="L2147" t="s">
        <v>41879</v>
      </c>
      <c r="M2147" t="s">
        <v>41880</v>
      </c>
      <c r="N2147" t="s">
        <v>41881</v>
      </c>
      <c r="O2147">
        <f>-649.618386679983 -116.218856758225 -516.474944231586</f>
        <v>-1282.3121876697942</v>
      </c>
      <c r="P2147">
        <f>-575.919299439533 -158.191493383367 -247.429693820927</f>
        <v>-981.54048664382708</v>
      </c>
      <c r="Q2147">
        <f>-452.929387039872 -22.3769373181867 -390.175771598037</f>
        <v>-865.48209595609569</v>
      </c>
      <c r="R2147" t="s">
        <v>41882</v>
      </c>
      <c r="S2147" t="s">
        <v>41883</v>
      </c>
      <c r="T2147" t="s">
        <v>41884</v>
      </c>
      <c r="U2147" t="s">
        <v>41885</v>
      </c>
      <c r="V2147">
        <f>-587.504586102447 -37.6178176703338 -91.3979710265941</f>
        <v>-716.52037479937485</v>
      </c>
      <c r="W2147" t="s">
        <v>41886</v>
      </c>
      <c r="X2147" t="s">
        <v>41887</v>
      </c>
      <c r="Y2147" t="s">
        <v>41888</v>
      </c>
    </row>
    <row r="2148" spans="1:25" x14ac:dyDescent="0.3">
      <c r="A2148">
        <v>107350</v>
      </c>
      <c r="B2148" t="s">
        <v>41889</v>
      </c>
      <c r="C2148" t="s">
        <v>41890</v>
      </c>
      <c r="D2148" t="s">
        <v>41891</v>
      </c>
      <c r="E2148" t="s">
        <v>41892</v>
      </c>
      <c r="F2148" t="s">
        <v>41893</v>
      </c>
      <c r="G2148" t="s">
        <v>41894</v>
      </c>
      <c r="H2148" t="s">
        <v>41895</v>
      </c>
      <c r="I2148" t="s">
        <v>41896</v>
      </c>
      <c r="J2148" t="s">
        <v>41897</v>
      </c>
      <c r="K2148" t="s">
        <v>41898</v>
      </c>
      <c r="L2148" t="s">
        <v>41899</v>
      </c>
      <c r="M2148" t="s">
        <v>41900</v>
      </c>
      <c r="N2148" t="s">
        <v>41901</v>
      </c>
      <c r="O2148">
        <f>-649.286402837733 -116.452034561904 -516.331546808955</f>
        <v>-1282.0699842085919</v>
      </c>
      <c r="P2148">
        <f>-575.921012032912 -158.222244947228 -247.163627969139</f>
        <v>-981.30688494927904</v>
      </c>
      <c r="Q2148">
        <f>-452.848108658427 -22.407399110135 -389.837960042397</f>
        <v>-865.09346781095905</v>
      </c>
      <c r="R2148" t="s">
        <v>41902</v>
      </c>
      <c r="S2148" t="s">
        <v>41903</v>
      </c>
      <c r="T2148" t="s">
        <v>41904</v>
      </c>
      <c r="U2148" t="s">
        <v>41905</v>
      </c>
      <c r="V2148">
        <f>-587.308729504604 -37.7154995765075 -91.4026744729633</f>
        <v>-716.42690355407478</v>
      </c>
      <c r="W2148" t="s">
        <v>41906</v>
      </c>
      <c r="X2148" t="s">
        <v>41907</v>
      </c>
      <c r="Y2148" t="s">
        <v>41908</v>
      </c>
    </row>
    <row r="2149" spans="1:25" x14ac:dyDescent="0.3">
      <c r="A2149">
        <v>107400</v>
      </c>
      <c r="B2149" t="s">
        <v>41909</v>
      </c>
      <c r="C2149" t="s">
        <v>41910</v>
      </c>
      <c r="D2149" t="s">
        <v>41911</v>
      </c>
      <c r="E2149" t="s">
        <v>41912</v>
      </c>
      <c r="F2149" t="s">
        <v>41913</v>
      </c>
      <c r="G2149" t="s">
        <v>41914</v>
      </c>
      <c r="H2149" t="s">
        <v>41915</v>
      </c>
      <c r="I2149" t="s">
        <v>41916</v>
      </c>
      <c r="J2149" t="s">
        <v>41917</v>
      </c>
      <c r="K2149" t="s">
        <v>41918</v>
      </c>
      <c r="L2149" t="s">
        <v>41919</v>
      </c>
      <c r="M2149" t="s">
        <v>41920</v>
      </c>
      <c r="N2149" t="s">
        <v>41921</v>
      </c>
      <c r="O2149">
        <f>-648.7232328292 -116.865279781047 -516.127197927991</f>
        <v>-1281.715710538238</v>
      </c>
      <c r="P2149">
        <f>-575.842520069225 -158.181386332387 -246.757572514661</f>
        <v>-980.78147891627293</v>
      </c>
      <c r="Q2149">
        <f>-452.509995639926 -22.6517006326746 -389.478733307187</f>
        <v>-864.64042957978756</v>
      </c>
      <c r="R2149" t="s">
        <v>41922</v>
      </c>
      <c r="S2149" t="s">
        <v>41923</v>
      </c>
      <c r="T2149" t="s">
        <v>41924</v>
      </c>
      <c r="U2149" t="s">
        <v>41925</v>
      </c>
      <c r="V2149">
        <f>-587.046697645264 -37.8778390989226 -91.408905989462</f>
        <v>-716.33344273364855</v>
      </c>
      <c r="W2149" t="s">
        <v>41926</v>
      </c>
      <c r="X2149" t="s">
        <v>41927</v>
      </c>
      <c r="Y2149" t="s">
        <v>41928</v>
      </c>
    </row>
    <row r="2150" spans="1:25" x14ac:dyDescent="0.3">
      <c r="A2150">
        <v>107450</v>
      </c>
      <c r="B2150" t="s">
        <v>41929</v>
      </c>
      <c r="C2150" t="s">
        <v>41930</v>
      </c>
      <c r="D2150" t="s">
        <v>41931</v>
      </c>
      <c r="E2150" t="s">
        <v>41932</v>
      </c>
      <c r="F2150" t="s">
        <v>41933</v>
      </c>
      <c r="G2150" t="s">
        <v>41934</v>
      </c>
      <c r="H2150" t="s">
        <v>41935</v>
      </c>
      <c r="I2150" t="s">
        <v>41936</v>
      </c>
      <c r="J2150" t="s">
        <v>41937</v>
      </c>
      <c r="K2150" t="s">
        <v>41938</v>
      </c>
      <c r="L2150" t="s">
        <v>41939</v>
      </c>
      <c r="M2150" t="s">
        <v>41940</v>
      </c>
      <c r="N2150" t="s">
        <v>41941</v>
      </c>
      <c r="O2150">
        <f>-648.524180094681 -117.046838062769 -516.00815083254</f>
        <v>-1281.57916898999</v>
      </c>
      <c r="P2150">
        <f>-575.743432822192 -158.221989544763 -246.589845300229</f>
        <v>-980.5552676671839</v>
      </c>
      <c r="Q2150">
        <f>-452.327152340587 -22.8508959886194 -389.389234543766</f>
        <v>-864.56728287297244</v>
      </c>
      <c r="R2150" t="s">
        <v>41942</v>
      </c>
      <c r="S2150" t="s">
        <v>41943</v>
      </c>
      <c r="T2150" t="s">
        <v>41944</v>
      </c>
      <c r="U2150" t="s">
        <v>41945</v>
      </c>
      <c r="V2150">
        <f>-587.021606357103 -37.9305876375613 -91.4128935548063</f>
        <v>-716.36508754947056</v>
      </c>
      <c r="W2150" t="s">
        <v>41946</v>
      </c>
      <c r="X2150" t="s">
        <v>41947</v>
      </c>
      <c r="Y2150" t="s">
        <v>41948</v>
      </c>
    </row>
    <row r="2151" spans="1:25" x14ac:dyDescent="0.3">
      <c r="A2151">
        <v>107500</v>
      </c>
      <c r="B2151" t="s">
        <v>41949</v>
      </c>
      <c r="C2151" t="s">
        <v>41950</v>
      </c>
      <c r="D2151" t="s">
        <v>41951</v>
      </c>
      <c r="E2151" t="s">
        <v>41952</v>
      </c>
      <c r="F2151" t="s">
        <v>41953</v>
      </c>
      <c r="G2151" t="s">
        <v>41954</v>
      </c>
      <c r="H2151" t="s">
        <v>41955</v>
      </c>
      <c r="I2151" t="s">
        <v>41956</v>
      </c>
      <c r="J2151" t="s">
        <v>41957</v>
      </c>
      <c r="K2151" t="s">
        <v>41958</v>
      </c>
      <c r="L2151" t="s">
        <v>41959</v>
      </c>
      <c r="M2151" t="s">
        <v>41960</v>
      </c>
      <c r="N2151" t="s">
        <v>41961</v>
      </c>
      <c r="O2151">
        <f>-648.331615150426 -117.322451499452 -515.792379270335</f>
        <v>-1281.4464459202131</v>
      </c>
      <c r="P2151">
        <f>-575.724607185895 -158.174697730114 -246.278140758272</f>
        <v>-980.17744567428099</v>
      </c>
      <c r="Q2151">
        <f>-452.072081866354 -23.2729443048622 -389.316856954641</f>
        <v>-864.66188312585723</v>
      </c>
      <c r="R2151" t="s">
        <v>41962</v>
      </c>
      <c r="S2151" t="s">
        <v>41963</v>
      </c>
      <c r="T2151" t="s">
        <v>41964</v>
      </c>
      <c r="U2151" t="s">
        <v>41965</v>
      </c>
      <c r="V2151">
        <f>-587.078955835877 -37.9769930700215 -91.4506263606438</f>
        <v>-716.50657526654231</v>
      </c>
      <c r="W2151" t="s">
        <v>41966</v>
      </c>
      <c r="X2151" t="s">
        <v>41967</v>
      </c>
      <c r="Y2151" t="s">
        <v>41968</v>
      </c>
    </row>
    <row r="2152" spans="1:25" x14ac:dyDescent="0.3">
      <c r="A2152">
        <v>107550</v>
      </c>
      <c r="B2152" t="s">
        <v>41969</v>
      </c>
      <c r="C2152" t="s">
        <v>41970</v>
      </c>
      <c r="D2152" t="s">
        <v>41971</v>
      </c>
      <c r="E2152" t="s">
        <v>41972</v>
      </c>
      <c r="F2152" t="s">
        <v>41973</v>
      </c>
      <c r="G2152" t="s">
        <v>41974</v>
      </c>
      <c r="H2152" t="s">
        <v>41975</v>
      </c>
      <c r="I2152" t="s">
        <v>41976</v>
      </c>
      <c r="J2152" t="s">
        <v>41977</v>
      </c>
      <c r="K2152" t="s">
        <v>41978</v>
      </c>
      <c r="L2152" t="s">
        <v>41979</v>
      </c>
      <c r="M2152" t="s">
        <v>41980</v>
      </c>
      <c r="N2152" t="s">
        <v>41981</v>
      </c>
      <c r="O2152">
        <f>-648.402726484565 -117.555201021567 -515.651157252938</f>
        <v>-1281.6090847590699</v>
      </c>
      <c r="P2152">
        <f>-575.895013250216 -158.212178965983 -246.080668740615</f>
        <v>-980.18786095681401</v>
      </c>
      <c r="Q2152">
        <f>-452.079431680594 -23.5760125482673 -389.22868418601</f>
        <v>-864.88412841487127</v>
      </c>
      <c r="R2152" t="s">
        <v>41982</v>
      </c>
      <c r="S2152" t="s">
        <v>41983</v>
      </c>
      <c r="T2152" t="s">
        <v>41984</v>
      </c>
      <c r="U2152" t="s">
        <v>41985</v>
      </c>
      <c r="V2152">
        <f>-587.154926100034 -38.0920459103863 -91.4781519907385</f>
        <v>-716.72512400115886</v>
      </c>
      <c r="W2152" t="s">
        <v>41986</v>
      </c>
      <c r="X2152" t="s">
        <v>41987</v>
      </c>
      <c r="Y2152" t="s">
        <v>41988</v>
      </c>
    </row>
    <row r="2153" spans="1:25" x14ac:dyDescent="0.3">
      <c r="A2153">
        <v>107600</v>
      </c>
      <c r="B2153" t="s">
        <v>41989</v>
      </c>
      <c r="C2153" t="s">
        <v>41990</v>
      </c>
      <c r="D2153" t="s">
        <v>41991</v>
      </c>
      <c r="E2153" t="s">
        <v>41992</v>
      </c>
      <c r="F2153" t="s">
        <v>41993</v>
      </c>
      <c r="G2153" t="s">
        <v>41994</v>
      </c>
      <c r="H2153" t="s">
        <v>41995</v>
      </c>
      <c r="I2153" t="s">
        <v>41996</v>
      </c>
      <c r="J2153" t="s">
        <v>41997</v>
      </c>
      <c r="K2153" t="s">
        <v>41998</v>
      </c>
      <c r="L2153" t="s">
        <v>41999</v>
      </c>
      <c r="M2153" t="s">
        <v>42000</v>
      </c>
      <c r="N2153" t="s">
        <v>42001</v>
      </c>
      <c r="O2153">
        <f>-648.790174290553 -117.919839073848 -515.34354642269</f>
        <v>-1282.053559787091</v>
      </c>
      <c r="P2153">
        <f>-576.563100910215 -158.363457031253 -245.665828072833</f>
        <v>-980.59238601430093</v>
      </c>
      <c r="Q2153">
        <f>-452.220481332879 -24.2552048746002 -388.852238712486</f>
        <v>-865.3279249199652</v>
      </c>
      <c r="R2153" t="s">
        <v>42002</v>
      </c>
      <c r="S2153" t="s">
        <v>42003</v>
      </c>
      <c r="T2153" t="s">
        <v>42004</v>
      </c>
      <c r="U2153" t="s">
        <v>42005</v>
      </c>
      <c r="V2153">
        <f>-587.271880772595 -38.2407163384385 -91.5128327938435</f>
        <v>-717.02542990487689</v>
      </c>
      <c r="W2153" t="s">
        <v>42006</v>
      </c>
      <c r="X2153" t="s">
        <v>42007</v>
      </c>
      <c r="Y2153" t="s">
        <v>42008</v>
      </c>
    </row>
    <row r="2154" spans="1:25" x14ac:dyDescent="0.3">
      <c r="A2154">
        <v>107650</v>
      </c>
      <c r="B2154" t="s">
        <v>42009</v>
      </c>
      <c r="C2154" t="s">
        <v>42010</v>
      </c>
      <c r="D2154" t="s">
        <v>42011</v>
      </c>
      <c r="E2154" t="s">
        <v>42012</v>
      </c>
      <c r="F2154" t="s">
        <v>42013</v>
      </c>
      <c r="G2154" t="s">
        <v>42014</v>
      </c>
      <c r="H2154" t="s">
        <v>42015</v>
      </c>
      <c r="I2154" t="s">
        <v>42016</v>
      </c>
      <c r="J2154" t="s">
        <v>42017</v>
      </c>
      <c r="K2154" t="s">
        <v>42018</v>
      </c>
      <c r="L2154" t="s">
        <v>42019</v>
      </c>
      <c r="M2154" t="s">
        <v>42020</v>
      </c>
      <c r="N2154" t="s">
        <v>42021</v>
      </c>
      <c r="O2154">
        <f>-649.090013202248 -118.069792135968 -515.205150384642</f>
        <v>-1282.364955722858</v>
      </c>
      <c r="P2154">
        <f>-577.04023197459 -158.432417060475 -245.467866161247</f>
        <v>-980.94051519631205</v>
      </c>
      <c r="Q2154">
        <f>-452.34025869786 -24.7349747919134 -388.727722102581</f>
        <v>-865.80295559235446</v>
      </c>
      <c r="R2154" t="s">
        <v>42022</v>
      </c>
      <c r="S2154" t="s">
        <v>42023</v>
      </c>
      <c r="T2154" t="s">
        <v>42024</v>
      </c>
      <c r="U2154" t="s">
        <v>42025</v>
      </c>
      <c r="V2154">
        <f>-587.324351513526 -38.34094071204 -91.5297510692416</f>
        <v>-717.19504329480765</v>
      </c>
      <c r="W2154" t="s">
        <v>42026</v>
      </c>
      <c r="X2154" t="s">
        <v>42027</v>
      </c>
      <c r="Y2154" t="s">
        <v>42028</v>
      </c>
    </row>
    <row r="2155" spans="1:25" x14ac:dyDescent="0.3">
      <c r="A2155">
        <v>107700</v>
      </c>
      <c r="B2155" t="s">
        <v>42029</v>
      </c>
      <c r="C2155" t="s">
        <v>42030</v>
      </c>
      <c r="D2155" t="s">
        <v>42031</v>
      </c>
      <c r="E2155" t="s">
        <v>42032</v>
      </c>
      <c r="F2155" t="s">
        <v>42033</v>
      </c>
      <c r="G2155" t="s">
        <v>42034</v>
      </c>
      <c r="H2155" t="s">
        <v>42035</v>
      </c>
      <c r="I2155" t="s">
        <v>42036</v>
      </c>
      <c r="J2155" t="s">
        <v>42037</v>
      </c>
      <c r="K2155" t="s">
        <v>42038</v>
      </c>
      <c r="L2155" t="s">
        <v>42039</v>
      </c>
      <c r="M2155" t="s">
        <v>42040</v>
      </c>
      <c r="N2155" t="s">
        <v>42041</v>
      </c>
      <c r="O2155">
        <f>-649.921388446897 -118.367932343202 -514.946574285674</f>
        <v>-1283.235895075773</v>
      </c>
      <c r="P2155">
        <f>-577.955987355921 -158.481497972266 -245.149498401036</f>
        <v>-981.58698372922299</v>
      </c>
      <c r="Q2155">
        <f>-452.612151054333 -25.6985733601396 -388.697996835215</f>
        <v>-867.0087212496876</v>
      </c>
      <c r="R2155" t="s">
        <v>42042</v>
      </c>
      <c r="S2155" t="s">
        <v>42043</v>
      </c>
      <c r="T2155" t="s">
        <v>42044</v>
      </c>
      <c r="U2155" t="s">
        <v>42045</v>
      </c>
      <c r="V2155">
        <f>-587.460297793931 -38.4119528852107 -91.565053161979</f>
        <v>-717.43730384112064</v>
      </c>
      <c r="W2155" t="s">
        <v>42046</v>
      </c>
      <c r="X2155" t="s">
        <v>42047</v>
      </c>
      <c r="Y2155" t="s">
        <v>42048</v>
      </c>
    </row>
    <row r="2156" spans="1:25" x14ac:dyDescent="0.3">
      <c r="A2156">
        <v>107750</v>
      </c>
      <c r="B2156" t="s">
        <v>42049</v>
      </c>
      <c r="C2156" t="s">
        <v>42050</v>
      </c>
      <c r="D2156" t="s">
        <v>42051</v>
      </c>
      <c r="E2156" t="s">
        <v>42052</v>
      </c>
      <c r="F2156" t="s">
        <v>42053</v>
      </c>
      <c r="G2156" t="s">
        <v>42054</v>
      </c>
      <c r="H2156" t="s">
        <v>42055</v>
      </c>
      <c r="I2156" t="s">
        <v>42056</v>
      </c>
      <c r="J2156" t="s">
        <v>42057</v>
      </c>
      <c r="K2156" t="s">
        <v>42058</v>
      </c>
      <c r="L2156" t="s">
        <v>42059</v>
      </c>
      <c r="M2156" t="s">
        <v>42060</v>
      </c>
      <c r="N2156" t="s">
        <v>42061</v>
      </c>
      <c r="O2156">
        <f>-650.359066577695 -118.46438174986 -514.764959069357</f>
        <v>-1283.5884073969119</v>
      </c>
      <c r="P2156">
        <f>-578.368576893694 -158.388498651424 -244.946504848583</f>
        <v>-981.70358039370103</v>
      </c>
      <c r="Q2156">
        <f>-452.753442323049 -26.0991722361248 -388.713336831311</f>
        <v>-867.56595139048477</v>
      </c>
      <c r="R2156" t="s">
        <v>42062</v>
      </c>
      <c r="S2156" t="s">
        <v>42063</v>
      </c>
      <c r="T2156" t="s">
        <v>42064</v>
      </c>
      <c r="U2156" t="s">
        <v>42065</v>
      </c>
      <c r="V2156">
        <f>-587.520734244412 -38.4166236284511 -91.5786497995963</f>
        <v>-717.51600767245941</v>
      </c>
      <c r="W2156" t="s">
        <v>42066</v>
      </c>
      <c r="X2156" t="s">
        <v>42067</v>
      </c>
      <c r="Y2156" t="s">
        <v>42068</v>
      </c>
    </row>
    <row r="2157" spans="1:25" x14ac:dyDescent="0.3">
      <c r="A2157">
        <v>107800</v>
      </c>
      <c r="B2157" t="s">
        <v>42069</v>
      </c>
      <c r="C2157" t="s">
        <v>42070</v>
      </c>
      <c r="D2157" t="s">
        <v>42071</v>
      </c>
      <c r="E2157" t="s">
        <v>42072</v>
      </c>
      <c r="F2157" t="s">
        <v>42073</v>
      </c>
      <c r="G2157" t="s">
        <v>42074</v>
      </c>
      <c r="H2157" t="s">
        <v>42075</v>
      </c>
      <c r="I2157" t="s">
        <v>42076</v>
      </c>
      <c r="J2157" t="s">
        <v>42077</v>
      </c>
      <c r="K2157" t="s">
        <v>42078</v>
      </c>
      <c r="L2157" t="s">
        <v>42079</v>
      </c>
      <c r="M2157" t="s">
        <v>42080</v>
      </c>
      <c r="N2157" t="s">
        <v>42081</v>
      </c>
      <c r="O2157">
        <f>-650.973380763656 -118.718189248922 -514.432821960798</f>
        <v>-1284.1243919733761</v>
      </c>
      <c r="P2157">
        <f>-578.905564302834 -158.346861635066 -244.591537630764</f>
        <v>-981.84396356866409</v>
      </c>
      <c r="Q2157">
        <f>-452.849572374456 -26.8956726256613 -388.740749934436</f>
        <v>-868.48599493455322</v>
      </c>
      <c r="R2157" t="s">
        <v>42082</v>
      </c>
      <c r="S2157" t="s">
        <v>42083</v>
      </c>
      <c r="T2157" t="s">
        <v>42084</v>
      </c>
      <c r="U2157" t="s">
        <v>42085</v>
      </c>
      <c r="V2157">
        <f>-587.668319856594 -38.3845653535625 -91.5977341883402</f>
        <v>-717.6506193984967</v>
      </c>
      <c r="W2157" t="s">
        <v>42086</v>
      </c>
      <c r="X2157" t="s">
        <v>42087</v>
      </c>
      <c r="Y2157" t="s">
        <v>42088</v>
      </c>
    </row>
    <row r="2158" spans="1:25" x14ac:dyDescent="0.3">
      <c r="A2158">
        <v>107850</v>
      </c>
      <c r="B2158" t="s">
        <v>42089</v>
      </c>
      <c r="C2158" t="s">
        <v>42090</v>
      </c>
      <c r="D2158" t="s">
        <v>42091</v>
      </c>
      <c r="E2158" t="s">
        <v>42092</v>
      </c>
      <c r="F2158" t="s">
        <v>42093</v>
      </c>
      <c r="G2158" t="s">
        <v>42094</v>
      </c>
      <c r="H2158" t="s">
        <v>42095</v>
      </c>
      <c r="I2158" t="s">
        <v>42096</v>
      </c>
      <c r="J2158" t="s">
        <v>42097</v>
      </c>
      <c r="K2158" t="s">
        <v>42098</v>
      </c>
      <c r="L2158" t="s">
        <v>42099</v>
      </c>
      <c r="M2158" t="s">
        <v>42100</v>
      </c>
      <c r="N2158" t="s">
        <v>42101</v>
      </c>
      <c r="O2158">
        <f>-651.250665145454 -118.87447194109 -514.244720876199</f>
        <v>-1284.369857962743</v>
      </c>
      <c r="P2158">
        <f>-579.177741216462 -158.328969934759 -244.379276603592</f>
        <v>-981.88598775481296</v>
      </c>
      <c r="Q2158">
        <f>-453.016990923843 -27.2589589432177 -388.783700802366</f>
        <v>-869.05965066942667</v>
      </c>
      <c r="R2158" t="s">
        <v>42102</v>
      </c>
      <c r="S2158" t="s">
        <v>42103</v>
      </c>
      <c r="T2158" t="s">
        <v>42104</v>
      </c>
      <c r="U2158" t="s">
        <v>42105</v>
      </c>
      <c r="V2158">
        <f>-587.734223244943 -38.3760882730505 -91.6055349787673</f>
        <v>-717.71584649676083</v>
      </c>
      <c r="W2158" t="s">
        <v>42106</v>
      </c>
      <c r="X2158" t="s">
        <v>42107</v>
      </c>
      <c r="Y2158" t="s">
        <v>42108</v>
      </c>
    </row>
    <row r="2159" spans="1:25" x14ac:dyDescent="0.3">
      <c r="A2159">
        <v>107900</v>
      </c>
      <c r="B2159" t="s">
        <v>42109</v>
      </c>
      <c r="C2159" t="s">
        <v>42110</v>
      </c>
      <c r="D2159" t="s">
        <v>42111</v>
      </c>
      <c r="E2159" t="s">
        <v>42112</v>
      </c>
      <c r="F2159" t="s">
        <v>42113</v>
      </c>
      <c r="G2159" t="s">
        <v>42114</v>
      </c>
      <c r="H2159" t="s">
        <v>42115</v>
      </c>
      <c r="I2159" t="s">
        <v>42116</v>
      </c>
      <c r="J2159" t="s">
        <v>42117</v>
      </c>
      <c r="K2159" t="s">
        <v>42118</v>
      </c>
      <c r="L2159" t="s">
        <v>42119</v>
      </c>
      <c r="M2159" t="s">
        <v>42120</v>
      </c>
      <c r="N2159" t="s">
        <v>42121</v>
      </c>
      <c r="O2159">
        <f>-651.844997995693 -119.194042209565 -513.876366195859</f>
        <v>-1284.915406401117</v>
      </c>
      <c r="P2159">
        <f>-579.935153110676 -158.290458713422 -243.91524271982</f>
        <v>-982.14085454391795</v>
      </c>
      <c r="Q2159">
        <f>-453.663870674966 -27.9212780349362 -388.856479949577</f>
        <v>-870.44162865947919</v>
      </c>
      <c r="R2159" t="s">
        <v>42122</v>
      </c>
      <c r="S2159" t="s">
        <v>42123</v>
      </c>
      <c r="T2159" t="s">
        <v>42124</v>
      </c>
      <c r="U2159" t="s">
        <v>42125</v>
      </c>
      <c r="V2159">
        <f>-587.832632317235 -38.2490944248777 -91.6229738804722</f>
        <v>-717.70470062258494</v>
      </c>
      <c r="W2159" t="s">
        <v>42126</v>
      </c>
      <c r="X2159" t="s">
        <v>42127</v>
      </c>
      <c r="Y2159" t="s">
        <v>42128</v>
      </c>
    </row>
    <row r="2160" spans="1:25" x14ac:dyDescent="0.3">
      <c r="A2160">
        <v>107950</v>
      </c>
      <c r="B2160" t="s">
        <v>42129</v>
      </c>
      <c r="C2160" t="s">
        <v>42130</v>
      </c>
      <c r="D2160" t="s">
        <v>42131</v>
      </c>
      <c r="E2160" t="s">
        <v>42132</v>
      </c>
      <c r="F2160" t="s">
        <v>42133</v>
      </c>
      <c r="G2160" t="s">
        <v>42134</v>
      </c>
      <c r="H2160" t="s">
        <v>42135</v>
      </c>
      <c r="I2160" t="s">
        <v>42136</v>
      </c>
      <c r="J2160" t="s">
        <v>42137</v>
      </c>
      <c r="K2160" t="s">
        <v>42138</v>
      </c>
      <c r="L2160" t="s">
        <v>42139</v>
      </c>
      <c r="M2160" t="s">
        <v>42140</v>
      </c>
      <c r="N2160" t="s">
        <v>42141</v>
      </c>
      <c r="O2160">
        <f>-652.061171720918 -119.321201323269 -513.701863381775</f>
        <v>-1285.084236425962</v>
      </c>
      <c r="P2160">
        <f>-580.304035749218 -158.207221384283 -243.669675046914</f>
        <v>-982.18093218041497</v>
      </c>
      <c r="Q2160">
        <f>-453.957487657835 -28.1009955621021 -388.781597632188</f>
        <v>-870.84008085212508</v>
      </c>
      <c r="R2160" t="s">
        <v>42142</v>
      </c>
      <c r="S2160" t="s">
        <v>42143</v>
      </c>
      <c r="T2160" t="s">
        <v>42144</v>
      </c>
      <c r="U2160" t="s">
        <v>42145</v>
      </c>
      <c r="V2160">
        <f>-587.931633132369 -38.1808017731719 -91.6269853259819</f>
        <v>-717.73942023152279</v>
      </c>
      <c r="W2160" t="s">
        <v>42146</v>
      </c>
      <c r="X2160" t="s">
        <v>42147</v>
      </c>
      <c r="Y2160" t="s">
        <v>42148</v>
      </c>
    </row>
    <row r="2161" spans="1:25" x14ac:dyDescent="0.3">
      <c r="A2161">
        <v>108000</v>
      </c>
      <c r="B2161" t="s">
        <v>42149</v>
      </c>
      <c r="C2161" t="s">
        <v>42150</v>
      </c>
      <c r="D2161" t="s">
        <v>42151</v>
      </c>
      <c r="E2161" t="s">
        <v>42152</v>
      </c>
      <c r="F2161" t="s">
        <v>42153</v>
      </c>
      <c r="G2161" t="s">
        <v>42154</v>
      </c>
      <c r="H2161" t="s">
        <v>42155</v>
      </c>
      <c r="I2161" t="s">
        <v>42156</v>
      </c>
      <c r="J2161" t="s">
        <v>42157</v>
      </c>
      <c r="K2161" t="s">
        <v>42158</v>
      </c>
      <c r="L2161" t="s">
        <v>42159</v>
      </c>
      <c r="M2161" t="s">
        <v>42160</v>
      </c>
      <c r="N2161" t="s">
        <v>42161</v>
      </c>
      <c r="O2161">
        <f>-652.095329000633 -119.682258202221 -513.446760242323</f>
        <v>-1285.224347445177</v>
      </c>
      <c r="P2161">
        <f>-580.674892850304 -158.300611619121 -243.286915593285</f>
        <v>-982.26242006271002</v>
      </c>
      <c r="Q2161">
        <f>-453.974478820358 -28.6494882823515 -388.497593640745</f>
        <v>-871.12156074345444</v>
      </c>
      <c r="R2161" t="s">
        <v>42162</v>
      </c>
      <c r="S2161" t="s">
        <v>42163</v>
      </c>
      <c r="T2161" t="s">
        <v>42164</v>
      </c>
      <c r="U2161" t="s">
        <v>42165</v>
      </c>
      <c r="V2161">
        <f>-588.078704567773 -38.216150170422 -91.6502457408677</f>
        <v>-717.94510047906272</v>
      </c>
      <c r="W2161" t="s">
        <v>42166</v>
      </c>
      <c r="X2161" t="s">
        <v>42167</v>
      </c>
      <c r="Y2161" t="s">
        <v>42168</v>
      </c>
    </row>
    <row r="2162" spans="1:25" x14ac:dyDescent="0.3">
      <c r="A2162">
        <v>108050</v>
      </c>
      <c r="B2162" t="s">
        <v>42169</v>
      </c>
      <c r="C2162" t="s">
        <v>42170</v>
      </c>
      <c r="D2162" t="s">
        <v>42171</v>
      </c>
      <c r="E2162" t="s">
        <v>42172</v>
      </c>
      <c r="F2162" t="s">
        <v>42173</v>
      </c>
      <c r="G2162" t="s">
        <v>42174</v>
      </c>
      <c r="H2162" t="s">
        <v>42175</v>
      </c>
      <c r="I2162" t="s">
        <v>42176</v>
      </c>
      <c r="J2162" t="s">
        <v>42177</v>
      </c>
      <c r="K2162" t="s">
        <v>42178</v>
      </c>
      <c r="L2162" t="s">
        <v>42179</v>
      </c>
      <c r="M2162" t="s">
        <v>42180</v>
      </c>
      <c r="N2162" t="s">
        <v>42181</v>
      </c>
      <c r="O2162">
        <f>-652.121023604501 -119.974337248869 -513.293336536425</f>
        <v>-1285.3886973897952</v>
      </c>
      <c r="P2162">
        <f>-580.810777674479 -158.447661395082 -243.083698683035</f>
        <v>-982.34213775259605</v>
      </c>
      <c r="Q2162">
        <f>-453.826877399138 -29.0239209629567 -388.249492517098</f>
        <v>-871.1002908791927</v>
      </c>
      <c r="R2162" t="s">
        <v>42182</v>
      </c>
      <c r="S2162" t="s">
        <v>42183</v>
      </c>
      <c r="T2162" t="s">
        <v>42184</v>
      </c>
      <c r="U2162" t="s">
        <v>42185</v>
      </c>
      <c r="V2162">
        <f>-588.114457994963 -38.3141047017787 -91.6614501522183</f>
        <v>-718.09001284895999</v>
      </c>
      <c r="W2162" t="s">
        <v>42186</v>
      </c>
      <c r="X2162" t="s">
        <v>42187</v>
      </c>
      <c r="Y2162" t="s">
        <v>42188</v>
      </c>
    </row>
    <row r="2163" spans="1:25" x14ac:dyDescent="0.3">
      <c r="A2163">
        <v>108100</v>
      </c>
      <c r="B2163" t="s">
        <v>42189</v>
      </c>
      <c r="C2163" t="s">
        <v>42190</v>
      </c>
      <c r="D2163" t="s">
        <v>42191</v>
      </c>
      <c r="E2163" t="s">
        <v>42192</v>
      </c>
      <c r="F2163" t="s">
        <v>42193</v>
      </c>
      <c r="G2163" t="s">
        <v>42194</v>
      </c>
      <c r="H2163" t="s">
        <v>42195</v>
      </c>
      <c r="I2163" t="s">
        <v>42196</v>
      </c>
      <c r="J2163" t="s">
        <v>42197</v>
      </c>
      <c r="K2163" t="s">
        <v>42198</v>
      </c>
      <c r="L2163" t="s">
        <v>42199</v>
      </c>
      <c r="M2163" t="s">
        <v>42200</v>
      </c>
      <c r="N2163" t="s">
        <v>42201</v>
      </c>
      <c r="O2163">
        <f>-652.348355877698 -120.513321906676 -513.033859738353</f>
        <v>-1285.895537522727</v>
      </c>
      <c r="P2163">
        <f>-581.178977660415 -158.677398252378 -242.743277126136</f>
        <v>-982.59965303892898</v>
      </c>
      <c r="Q2163">
        <f>-453.769007717446 -29.4439826657256 -387.705129069241</f>
        <v>-870.91811945241261</v>
      </c>
      <c r="R2163" t="s">
        <v>42202</v>
      </c>
      <c r="S2163" t="s">
        <v>42203</v>
      </c>
      <c r="T2163" t="s">
        <v>42204</v>
      </c>
      <c r="U2163" t="s">
        <v>42205</v>
      </c>
      <c r="V2163">
        <f>-588.146960853652 -38.464176412579 -91.6753445577091</f>
        <v>-718.28648182394011</v>
      </c>
      <c r="W2163" t="s">
        <v>42206</v>
      </c>
      <c r="X2163" t="s">
        <v>42207</v>
      </c>
      <c r="Y2163" t="s">
        <v>42208</v>
      </c>
    </row>
    <row r="2164" spans="1:25" x14ac:dyDescent="0.3">
      <c r="A2164">
        <v>108150</v>
      </c>
      <c r="B2164" t="s">
        <v>42209</v>
      </c>
      <c r="C2164" t="s">
        <v>42210</v>
      </c>
      <c r="D2164" t="s">
        <v>42211</v>
      </c>
      <c r="E2164" t="s">
        <v>42212</v>
      </c>
      <c r="F2164" t="s">
        <v>42213</v>
      </c>
      <c r="G2164" t="s">
        <v>42214</v>
      </c>
      <c r="H2164" t="s">
        <v>42215</v>
      </c>
      <c r="I2164" t="s">
        <v>42216</v>
      </c>
      <c r="J2164" t="s">
        <v>42217</v>
      </c>
      <c r="K2164" t="s">
        <v>42218</v>
      </c>
      <c r="L2164" t="s">
        <v>42219</v>
      </c>
      <c r="M2164" t="s">
        <v>42220</v>
      </c>
      <c r="N2164" t="s">
        <v>42221</v>
      </c>
      <c r="O2164">
        <f>-652.541068871614 -120.72008384712 -512.950113651319</f>
        <v>-1286.2112663700532</v>
      </c>
      <c r="P2164">
        <f>-581.406744919823 -158.700303045876 -242.624429630722</f>
        <v>-982.73147759642109</v>
      </c>
      <c r="Q2164">
        <f>-453.884311745455 -29.4726206500345 -387.492570793121</f>
        <v>-870.84950318861047</v>
      </c>
      <c r="R2164" t="s">
        <v>42222</v>
      </c>
      <c r="S2164" t="s">
        <v>42223</v>
      </c>
      <c r="T2164" t="s">
        <v>42224</v>
      </c>
      <c r="U2164" t="s">
        <v>42225</v>
      </c>
      <c r="V2164">
        <f>-588.230825525248 -38.5288930406412 -91.6919104926003</f>
        <v>-718.4516290584894</v>
      </c>
      <c r="W2164" t="s">
        <v>42226</v>
      </c>
      <c r="X2164" t="s">
        <v>42227</v>
      </c>
      <c r="Y2164" t="s">
        <v>42228</v>
      </c>
    </row>
    <row r="2165" spans="1:25" x14ac:dyDescent="0.3">
      <c r="A2165">
        <v>108200</v>
      </c>
      <c r="B2165" t="s">
        <v>42229</v>
      </c>
      <c r="C2165" t="s">
        <v>42230</v>
      </c>
      <c r="D2165" t="s">
        <v>42231</v>
      </c>
      <c r="E2165" t="s">
        <v>42232</v>
      </c>
      <c r="F2165" t="s">
        <v>42233</v>
      </c>
      <c r="G2165" t="s">
        <v>42234</v>
      </c>
      <c r="H2165" t="s">
        <v>42235</v>
      </c>
      <c r="I2165" t="s">
        <v>42236</v>
      </c>
      <c r="J2165" t="s">
        <v>42237</v>
      </c>
      <c r="K2165" t="s">
        <v>42238</v>
      </c>
      <c r="L2165" t="s">
        <v>42239</v>
      </c>
      <c r="M2165" t="s">
        <v>42240</v>
      </c>
      <c r="N2165" t="s">
        <v>42241</v>
      </c>
      <c r="O2165">
        <f>-653.20001373179 -121.363431800691 -512.806429327416</f>
        <v>-1287.3698748598972</v>
      </c>
      <c r="P2165">
        <f>-581.978176818855 -159.128292182588 -242.473665784133</f>
        <v>-983.58013478557598</v>
      </c>
      <c r="Q2165">
        <f>-454.212385741932 -29.927850966244 -387.151345436394</f>
        <v>-871.29158214457004</v>
      </c>
      <c r="R2165" t="s">
        <v>42242</v>
      </c>
      <c r="S2165" t="s">
        <v>42243</v>
      </c>
      <c r="T2165" t="s">
        <v>42244</v>
      </c>
      <c r="U2165" t="s">
        <v>42245</v>
      </c>
      <c r="V2165">
        <f>-588.633060116246 -38.9854361940336 -91.7656158423571</f>
        <v>-719.3841121526367</v>
      </c>
      <c r="W2165" t="s">
        <v>42246</v>
      </c>
      <c r="X2165" t="s">
        <v>42247</v>
      </c>
      <c r="Y2165" t="s">
        <v>42248</v>
      </c>
    </row>
    <row r="2166" spans="1:25" x14ac:dyDescent="0.3">
      <c r="A2166">
        <v>108250</v>
      </c>
      <c r="B2166" t="s">
        <v>42249</v>
      </c>
      <c r="C2166" t="s">
        <v>42250</v>
      </c>
      <c r="D2166" t="s">
        <v>42251</v>
      </c>
      <c r="E2166" t="s">
        <v>42252</v>
      </c>
      <c r="F2166" t="s">
        <v>42253</v>
      </c>
      <c r="G2166" t="s">
        <v>42254</v>
      </c>
      <c r="H2166" t="s">
        <v>42255</v>
      </c>
      <c r="I2166" t="s">
        <v>42256</v>
      </c>
      <c r="J2166" t="s">
        <v>42257</v>
      </c>
      <c r="K2166" t="s">
        <v>42258</v>
      </c>
      <c r="L2166" t="s">
        <v>42259</v>
      </c>
      <c r="M2166" t="s">
        <v>42260</v>
      </c>
      <c r="N2166" t="s">
        <v>42261</v>
      </c>
      <c r="O2166">
        <f>-653.610415477494 -121.613133170074 -512.7321112214</f>
        <v>-1287.955659868968</v>
      </c>
      <c r="P2166">
        <f>-582.308222171932 -159.276512363859 -242.406343445394</f>
        <v>-983.99107798118507</v>
      </c>
      <c r="Q2166">
        <f>-454.466847511661 -30.0926184906143 -387.032011783627</f>
        <v>-871.59147778590227</v>
      </c>
      <c r="R2166" t="s">
        <v>42262</v>
      </c>
      <c r="S2166" t="s">
        <v>42263</v>
      </c>
      <c r="T2166" t="s">
        <v>42264</v>
      </c>
      <c r="U2166" t="s">
        <v>42265</v>
      </c>
      <c r="V2166">
        <f>-588.865027621928 -39.1568719795905 -91.8012202116794</f>
        <v>-719.82311981319788</v>
      </c>
      <c r="W2166" t="s">
        <v>42266</v>
      </c>
      <c r="X2166" t="s">
        <v>42267</v>
      </c>
      <c r="Y2166" t="s">
        <v>42268</v>
      </c>
    </row>
    <row r="2167" spans="1:25" x14ac:dyDescent="0.3">
      <c r="A2167">
        <v>108300</v>
      </c>
      <c r="B2167" t="s">
        <v>42269</v>
      </c>
      <c r="C2167" t="s">
        <v>42270</v>
      </c>
      <c r="D2167" t="s">
        <v>42271</v>
      </c>
      <c r="E2167" t="s">
        <v>42272</v>
      </c>
      <c r="F2167" t="s">
        <v>42273</v>
      </c>
      <c r="G2167" t="s">
        <v>42274</v>
      </c>
      <c r="H2167" t="s">
        <v>42275</v>
      </c>
      <c r="I2167" t="s">
        <v>42276</v>
      </c>
      <c r="J2167" t="s">
        <v>42277</v>
      </c>
      <c r="K2167" t="s">
        <v>42278</v>
      </c>
      <c r="L2167" t="s">
        <v>42279</v>
      </c>
      <c r="M2167" t="s">
        <v>42280</v>
      </c>
      <c r="N2167" t="s">
        <v>42281</v>
      </c>
      <c r="O2167">
        <f>-654.542320525575 -122.057949476731 -512.637617478635</f>
        <v>-1289.237887480941</v>
      </c>
      <c r="P2167">
        <f>-583.204604550963 -159.733209277863 -242.322819775907</f>
        <v>-985.26063360473302</v>
      </c>
      <c r="Q2167">
        <f>-455.22557697278 -30.3980055382106 -386.691247834993</f>
        <v>-872.31483034598364</v>
      </c>
      <c r="R2167" t="s">
        <v>42282</v>
      </c>
      <c r="S2167" t="s">
        <v>42283</v>
      </c>
      <c r="T2167" t="s">
        <v>42284</v>
      </c>
      <c r="U2167" t="s">
        <v>42285</v>
      </c>
      <c r="V2167">
        <f>-589.468151508329 -39.3752960676536 -91.8659604996298</f>
        <v>-720.70940807561237</v>
      </c>
      <c r="W2167" t="s">
        <v>42286</v>
      </c>
      <c r="X2167" t="s">
        <v>42287</v>
      </c>
      <c r="Y2167" t="s">
        <v>42288</v>
      </c>
    </row>
    <row r="2168" spans="1:25" x14ac:dyDescent="0.3">
      <c r="A2168">
        <v>108350</v>
      </c>
      <c r="B2168" t="s">
        <v>42289</v>
      </c>
      <c r="C2168" t="s">
        <v>42290</v>
      </c>
      <c r="D2168" t="s">
        <v>42291</v>
      </c>
      <c r="E2168" t="s">
        <v>42292</v>
      </c>
      <c r="F2168" t="s">
        <v>42293</v>
      </c>
      <c r="G2168" t="s">
        <v>42294</v>
      </c>
      <c r="H2168" t="s">
        <v>42295</v>
      </c>
      <c r="I2168" t="s">
        <v>42296</v>
      </c>
      <c r="J2168" t="s">
        <v>42297</v>
      </c>
      <c r="K2168" t="s">
        <v>42298</v>
      </c>
      <c r="L2168" t="s">
        <v>42299</v>
      </c>
      <c r="M2168" t="s">
        <v>42300</v>
      </c>
      <c r="N2168" t="s">
        <v>42301</v>
      </c>
      <c r="O2168">
        <f>-655.130281570786 -122.145519415866 -512.597096438404</f>
        <v>-1289.8728974250562</v>
      </c>
      <c r="P2168">
        <f>-583.870028730302 -159.896142983418 -242.27237621511</f>
        <v>-986.03854792882998</v>
      </c>
      <c r="Q2168">
        <f>-455.64402909083 -30.5029056159913 -386.369589790906</f>
        <v>-872.51652449772723</v>
      </c>
      <c r="R2168" t="s">
        <v>42302</v>
      </c>
      <c r="S2168" t="s">
        <v>42303</v>
      </c>
      <c r="T2168" t="s">
        <v>42304</v>
      </c>
      <c r="U2168" t="s">
        <v>42305</v>
      </c>
      <c r="V2168">
        <f>-589.783164647549 -39.3697850310512 -91.8901536892157</f>
        <v>-721.04310336781589</v>
      </c>
      <c r="W2168" t="s">
        <v>42306</v>
      </c>
      <c r="X2168" t="s">
        <v>42307</v>
      </c>
      <c r="Y2168" t="s">
        <v>42308</v>
      </c>
    </row>
    <row r="2169" spans="1:25" x14ac:dyDescent="0.3">
      <c r="A2169">
        <v>108400</v>
      </c>
      <c r="B2169" t="s">
        <v>42309</v>
      </c>
      <c r="C2169" t="s">
        <v>42310</v>
      </c>
      <c r="D2169" t="s">
        <v>42311</v>
      </c>
      <c r="E2169" t="s">
        <v>42312</v>
      </c>
      <c r="F2169" t="s">
        <v>42313</v>
      </c>
      <c r="G2169" t="s">
        <v>42314</v>
      </c>
      <c r="H2169" t="s">
        <v>42315</v>
      </c>
      <c r="I2169" t="s">
        <v>42316</v>
      </c>
      <c r="J2169" t="s">
        <v>42317</v>
      </c>
      <c r="K2169" t="s">
        <v>42318</v>
      </c>
      <c r="L2169" t="s">
        <v>42319</v>
      </c>
      <c r="M2169" t="s">
        <v>42320</v>
      </c>
      <c r="N2169" t="s">
        <v>42321</v>
      </c>
      <c r="O2169">
        <f>-656.759596089936 -122.19302067129 -512.428674955278</f>
        <v>-1291.3812917165042</v>
      </c>
      <c r="P2169">
        <f>-585.49733788622 -159.814759134639 -242.086522558106</f>
        <v>-987.39861957896494</v>
      </c>
      <c r="Q2169">
        <f>-456.646609376959 -30.5355289057454 -385.728230921524</f>
        <v>-872.91036920422846</v>
      </c>
      <c r="R2169" t="s">
        <v>42322</v>
      </c>
      <c r="S2169" t="s">
        <v>42323</v>
      </c>
      <c r="T2169" t="s">
        <v>42324</v>
      </c>
      <c r="U2169" t="s">
        <v>42325</v>
      </c>
      <c r="V2169">
        <f>-590.49471517215 -39.3029556408601 -91.9299061911172</f>
        <v>-721.72757700412728</v>
      </c>
      <c r="W2169" t="s">
        <v>42326</v>
      </c>
      <c r="X2169" t="s">
        <v>42327</v>
      </c>
      <c r="Y2169" t="s">
        <v>42328</v>
      </c>
    </row>
    <row r="2170" spans="1:25" x14ac:dyDescent="0.3">
      <c r="A2170">
        <v>108450</v>
      </c>
      <c r="B2170" t="s">
        <v>42329</v>
      </c>
      <c r="C2170" t="s">
        <v>42330</v>
      </c>
      <c r="D2170" t="s">
        <v>42331</v>
      </c>
      <c r="E2170" t="s">
        <v>42332</v>
      </c>
      <c r="F2170" t="s">
        <v>42333</v>
      </c>
      <c r="G2170" t="s">
        <v>42334</v>
      </c>
      <c r="H2170" t="s">
        <v>42335</v>
      </c>
      <c r="I2170" t="s">
        <v>42336</v>
      </c>
      <c r="J2170" t="s">
        <v>42337</v>
      </c>
      <c r="K2170" t="s">
        <v>42338</v>
      </c>
      <c r="L2170" t="s">
        <v>42339</v>
      </c>
      <c r="M2170" t="s">
        <v>42340</v>
      </c>
      <c r="N2170" t="s">
        <v>42341</v>
      </c>
      <c r="O2170">
        <f>-657.675262432274 -122.218673543721 -512.359032170208</f>
        <v>-1292.2529681462031</v>
      </c>
      <c r="P2170">
        <f>-586.420724726953 -159.728004685836 -241.999194219072</f>
        <v>-988.14792363186109</v>
      </c>
      <c r="Q2170">
        <f>-457.204859513935 -30.6512754121375 -385.494891789624</f>
        <v>-873.35102671569643</v>
      </c>
      <c r="R2170" t="s">
        <v>42342</v>
      </c>
      <c r="S2170" t="s">
        <v>42343</v>
      </c>
      <c r="T2170" t="s">
        <v>42344</v>
      </c>
      <c r="U2170" t="s">
        <v>42345</v>
      </c>
      <c r="V2170">
        <f>-590.881359470291 -39.2675656501526 -91.947988390551</f>
        <v>-722.09691351099468</v>
      </c>
      <c r="W2170" t="s">
        <v>42346</v>
      </c>
      <c r="X2170" t="s">
        <v>42347</v>
      </c>
      <c r="Y2170" t="s">
        <v>42348</v>
      </c>
    </row>
    <row r="2171" spans="1:25" x14ac:dyDescent="0.3">
      <c r="A2171">
        <v>108500</v>
      </c>
      <c r="B2171" t="s">
        <v>42349</v>
      </c>
      <c r="C2171" t="s">
        <v>42350</v>
      </c>
      <c r="D2171" t="s">
        <v>42351</v>
      </c>
      <c r="E2171" t="s">
        <v>42352</v>
      </c>
      <c r="F2171" t="s">
        <v>42353</v>
      </c>
      <c r="G2171" t="s">
        <v>42354</v>
      </c>
      <c r="H2171" t="s">
        <v>42355</v>
      </c>
      <c r="I2171" t="s">
        <v>42356</v>
      </c>
      <c r="J2171" t="s">
        <v>42357</v>
      </c>
      <c r="K2171" t="s">
        <v>42358</v>
      </c>
      <c r="L2171" t="s">
        <v>42359</v>
      </c>
      <c r="M2171" t="s">
        <v>42360</v>
      </c>
      <c r="N2171" t="s">
        <v>42361</v>
      </c>
      <c r="O2171">
        <f>-659.576823058772 -122.251032467992 -512.175480514462</f>
        <v>-1294.003336041226</v>
      </c>
      <c r="P2171">
        <f>-588.313356467172 -159.994706025486 -241.850675709191</f>
        <v>-990.15873820184902</v>
      </c>
      <c r="Q2171">
        <f>-458.388006372838 -30.8102669702803 -384.606740556888</f>
        <v>-873.80501390000632</v>
      </c>
      <c r="R2171" t="s">
        <v>42362</v>
      </c>
      <c r="S2171" t="s">
        <v>42363</v>
      </c>
      <c r="T2171" t="s">
        <v>42364</v>
      </c>
      <c r="U2171" t="s">
        <v>42365</v>
      </c>
      <c r="V2171">
        <f>-591.732839884156 -39.1408725117899 -91.9844960732688</f>
        <v>-722.85820846921467</v>
      </c>
      <c r="W2171" t="s">
        <v>42366</v>
      </c>
      <c r="X2171" t="s">
        <v>42367</v>
      </c>
      <c r="Y2171" t="s">
        <v>42368</v>
      </c>
    </row>
    <row r="2172" spans="1:25" x14ac:dyDescent="0.3">
      <c r="A2172">
        <v>108550</v>
      </c>
      <c r="B2172" t="s">
        <v>42369</v>
      </c>
      <c r="C2172" t="s">
        <v>42370</v>
      </c>
      <c r="D2172" t="s">
        <v>42371</v>
      </c>
      <c r="E2172" t="s">
        <v>42372</v>
      </c>
      <c r="F2172" t="s">
        <v>42373</v>
      </c>
      <c r="G2172" t="s">
        <v>42374</v>
      </c>
      <c r="H2172" t="s">
        <v>42375</v>
      </c>
      <c r="I2172" t="s">
        <v>42376</v>
      </c>
      <c r="J2172" t="s">
        <v>42377</v>
      </c>
      <c r="K2172" t="s">
        <v>42378</v>
      </c>
      <c r="L2172" t="s">
        <v>42379</v>
      </c>
      <c r="M2172" t="s">
        <v>42380</v>
      </c>
      <c r="N2172" t="s">
        <v>42381</v>
      </c>
      <c r="O2172">
        <f>-660.543681406526 -122.254267029387 -512.089567951749</f>
        <v>-1294.8875163876619</v>
      </c>
      <c r="P2172">
        <f>-589.437949027215 -160.01459632809 -241.725367281364</f>
        <v>-991.17791263666902</v>
      </c>
      <c r="Q2172">
        <f>-458.997826631249 -30.9552684105477 -384.124812405629</f>
        <v>-874.07790744742567</v>
      </c>
      <c r="R2172" t="s">
        <v>42382</v>
      </c>
      <c r="S2172" t="s">
        <v>42383</v>
      </c>
      <c r="T2172" t="s">
        <v>42384</v>
      </c>
      <c r="U2172" t="s">
        <v>42385</v>
      </c>
      <c r="V2172">
        <f>-592.155616570697 -39.1230967642084 -92.0027184323924</f>
        <v>-723.28143176729782</v>
      </c>
      <c r="W2172" t="s">
        <v>42386</v>
      </c>
      <c r="X2172" t="s">
        <v>42387</v>
      </c>
      <c r="Y2172" t="s">
        <v>42388</v>
      </c>
    </row>
    <row r="2173" spans="1:25" x14ac:dyDescent="0.3">
      <c r="A2173">
        <v>108600</v>
      </c>
      <c r="B2173" t="s">
        <v>42389</v>
      </c>
      <c r="C2173" t="s">
        <v>42390</v>
      </c>
      <c r="D2173" t="s">
        <v>42391</v>
      </c>
      <c r="E2173" t="s">
        <v>42392</v>
      </c>
      <c r="F2173" t="s">
        <v>42393</v>
      </c>
      <c r="G2173" t="s">
        <v>42394</v>
      </c>
      <c r="H2173" t="s">
        <v>42395</v>
      </c>
      <c r="I2173" t="s">
        <v>42396</v>
      </c>
      <c r="J2173" t="s">
        <v>42397</v>
      </c>
      <c r="K2173" t="s">
        <v>42398</v>
      </c>
      <c r="L2173" t="s">
        <v>42399</v>
      </c>
      <c r="M2173" t="s">
        <v>42400</v>
      </c>
      <c r="N2173" t="s">
        <v>42401</v>
      </c>
      <c r="O2173">
        <f>-662.368511790343 -122.520610456843 -511.849714377775</f>
        <v>-1296.7388366249609</v>
      </c>
      <c r="P2173">
        <f>-591.445856049728 -159.847765278666 -241.377528996385</f>
        <v>-992.67115032477898</v>
      </c>
      <c r="Q2173">
        <f>-459.992976771327 -31.6209562863746 -383.597526327475</f>
        <v>-875.21145938517657</v>
      </c>
      <c r="R2173" t="s">
        <v>42402</v>
      </c>
      <c r="S2173" t="s">
        <v>42403</v>
      </c>
      <c r="T2173" t="s">
        <v>42404</v>
      </c>
      <c r="U2173" t="s">
        <v>42405</v>
      </c>
      <c r="V2173">
        <f>-593.051075900765 -39.2075014196794 -92.0744441576478</f>
        <v>-724.33302147809218</v>
      </c>
      <c r="W2173" t="s">
        <v>42406</v>
      </c>
      <c r="X2173" t="s">
        <v>42407</v>
      </c>
      <c r="Y2173" t="s">
        <v>42408</v>
      </c>
    </row>
    <row r="2174" spans="1:25" x14ac:dyDescent="0.3">
      <c r="A2174">
        <v>108650</v>
      </c>
      <c r="B2174" t="s">
        <v>42409</v>
      </c>
      <c r="C2174" t="s">
        <v>42410</v>
      </c>
      <c r="D2174" t="s">
        <v>42411</v>
      </c>
      <c r="E2174" t="s">
        <v>42412</v>
      </c>
      <c r="F2174" t="s">
        <v>42413</v>
      </c>
      <c r="G2174" t="s">
        <v>42414</v>
      </c>
      <c r="H2174" t="s">
        <v>42415</v>
      </c>
      <c r="I2174" t="s">
        <v>42416</v>
      </c>
      <c r="J2174" t="s">
        <v>42417</v>
      </c>
      <c r="K2174" t="s">
        <v>42418</v>
      </c>
      <c r="L2174" t="s">
        <v>42419</v>
      </c>
      <c r="M2174" t="s">
        <v>42420</v>
      </c>
      <c r="N2174" t="s">
        <v>42421</v>
      </c>
      <c r="O2174">
        <f>-663.124780854366 -122.729802634584 -511.695633918092</f>
        <v>-1297.5502174070421</v>
      </c>
      <c r="P2174">
        <f>-592.287405816147 -159.899995743329 -241.179459913896</f>
        <v>-993.36686147337207</v>
      </c>
      <c r="Q2174">
        <f>-460.31706037903 -32.2291225704121 -383.420339450633</f>
        <v>-875.96652240007506</v>
      </c>
      <c r="R2174" t="s">
        <v>42422</v>
      </c>
      <c r="S2174" t="s">
        <v>42423</v>
      </c>
      <c r="T2174" t="s">
        <v>42424</v>
      </c>
      <c r="U2174" t="s">
        <v>42425</v>
      </c>
      <c r="V2174">
        <f>-593.41020911828 -39.1730872499656 -92.1032383331743</f>
        <v>-724.68653470141999</v>
      </c>
      <c r="W2174" t="s">
        <v>42426</v>
      </c>
      <c r="X2174" t="s">
        <v>42427</v>
      </c>
      <c r="Y2174" t="s">
        <v>42428</v>
      </c>
    </row>
    <row r="2175" spans="1:25" x14ac:dyDescent="0.3">
      <c r="A2175">
        <v>108700</v>
      </c>
      <c r="B2175" t="s">
        <v>42429</v>
      </c>
      <c r="C2175" t="s">
        <v>42430</v>
      </c>
      <c r="D2175" t="s">
        <v>42431</v>
      </c>
      <c r="E2175" t="s">
        <v>42432</v>
      </c>
      <c r="F2175" t="s">
        <v>42433</v>
      </c>
      <c r="G2175" t="s">
        <v>42434</v>
      </c>
      <c r="H2175" t="s">
        <v>42435</v>
      </c>
      <c r="I2175" t="s">
        <v>42436</v>
      </c>
      <c r="J2175" t="s">
        <v>42437</v>
      </c>
      <c r="K2175" t="s">
        <v>42438</v>
      </c>
      <c r="L2175" t="s">
        <v>42439</v>
      </c>
      <c r="M2175" t="s">
        <v>42440</v>
      </c>
      <c r="N2175" t="s">
        <v>42441</v>
      </c>
      <c r="O2175">
        <f>-664.41451562414 -123.044642016634 -511.323866460092</f>
        <v>-1298.783024100866</v>
      </c>
      <c r="P2175">
        <f>-593.398837130708 -159.598870537987 -240.770435099227</f>
        <v>-993.76814276792209</v>
      </c>
      <c r="Q2175">
        <f>-461.073785837565 -32.8983975259889 -383.548612733088</f>
        <v>-877.52079609664202</v>
      </c>
      <c r="R2175" t="s">
        <v>42442</v>
      </c>
      <c r="S2175" t="s">
        <v>42443</v>
      </c>
      <c r="T2175" t="s">
        <v>42444</v>
      </c>
      <c r="U2175" t="s">
        <v>42445</v>
      </c>
      <c r="V2175">
        <f>-594.057850989065 -39.0354453092721 -92.1241047755844</f>
        <v>-725.21740107392145</v>
      </c>
      <c r="W2175" t="s">
        <v>42446</v>
      </c>
      <c r="X2175" t="s">
        <v>42447</v>
      </c>
      <c r="Y2175" t="s">
        <v>42448</v>
      </c>
    </row>
    <row r="2176" spans="1:25" x14ac:dyDescent="0.3">
      <c r="A2176">
        <v>108750</v>
      </c>
      <c r="B2176" t="s">
        <v>42449</v>
      </c>
      <c r="C2176" t="s">
        <v>42450</v>
      </c>
      <c r="D2176" t="s">
        <v>42451</v>
      </c>
      <c r="E2176" t="s">
        <v>42452</v>
      </c>
      <c r="F2176" t="s">
        <v>42453</v>
      </c>
      <c r="G2176" t="s">
        <v>42454</v>
      </c>
      <c r="H2176" t="s">
        <v>42455</v>
      </c>
      <c r="I2176" t="s">
        <v>42456</v>
      </c>
      <c r="J2176" t="s">
        <v>42457</v>
      </c>
      <c r="K2176" t="s">
        <v>42458</v>
      </c>
      <c r="L2176" t="s">
        <v>42459</v>
      </c>
      <c r="M2176" t="s">
        <v>42460</v>
      </c>
      <c r="N2176" t="s">
        <v>42461</v>
      </c>
      <c r="O2176">
        <f>-665.011665175057 -123.014829705066 -511.167862910778</f>
        <v>-1299.194357790901</v>
      </c>
      <c r="P2176">
        <f>-593.829326429051 -159.305515343467 -240.622901119101</f>
        <v>-993.75774289161905</v>
      </c>
      <c r="Q2176">
        <f>-461.616488248982 -32.7891557189243 -383.668059467187</f>
        <v>-878.07370343509331</v>
      </c>
      <c r="R2176" t="s">
        <v>42462</v>
      </c>
      <c r="S2176" t="s">
        <v>42463</v>
      </c>
      <c r="T2176" t="s">
        <v>42464</v>
      </c>
      <c r="U2176" t="s">
        <v>42465</v>
      </c>
      <c r="V2176">
        <f>-594.301403763149 -38.8833449985623 -92.1200406291761</f>
        <v>-725.30478939088732</v>
      </c>
      <c r="W2176" t="s">
        <v>42466</v>
      </c>
      <c r="X2176" t="s">
        <v>42467</v>
      </c>
      <c r="Y2176" t="s">
        <v>42468</v>
      </c>
    </row>
    <row r="2177" spans="1:25" x14ac:dyDescent="0.3">
      <c r="A2177">
        <v>108800</v>
      </c>
      <c r="B2177" t="s">
        <v>42469</v>
      </c>
      <c r="C2177" t="s">
        <v>42470</v>
      </c>
      <c r="D2177" t="s">
        <v>42471</v>
      </c>
      <c r="E2177" t="s">
        <v>42472</v>
      </c>
      <c r="F2177" t="s">
        <v>42473</v>
      </c>
      <c r="G2177" t="s">
        <v>42474</v>
      </c>
      <c r="H2177" t="s">
        <v>42475</v>
      </c>
      <c r="I2177" t="s">
        <v>42476</v>
      </c>
      <c r="J2177" t="s">
        <v>42477</v>
      </c>
      <c r="K2177" t="s">
        <v>42478</v>
      </c>
      <c r="L2177" t="s">
        <v>42479</v>
      </c>
      <c r="M2177" t="s">
        <v>42480</v>
      </c>
      <c r="N2177" t="s">
        <v>42481</v>
      </c>
      <c r="O2177">
        <f>-665.561961546421 -123.019642348238 -511.038798024152</f>
        <v>-1299.620401918811</v>
      </c>
      <c r="P2177">
        <f>-594.104326205329 -159.171208877277 -240.547660488944</f>
        <v>-993.82319557154995</v>
      </c>
      <c r="Q2177">
        <f>-462.349353141241 -32.2994969774143 -383.700467298687</f>
        <v>-878.34931741734226</v>
      </c>
      <c r="R2177" t="s">
        <v>42482</v>
      </c>
      <c r="S2177" t="s">
        <v>42483</v>
      </c>
      <c r="T2177" t="s">
        <v>42484</v>
      </c>
      <c r="U2177" t="s">
        <v>42485</v>
      </c>
      <c r="V2177">
        <f>-594.723981597075 -38.52604997806 -92.1066051119211</f>
        <v>-725.35663668705604</v>
      </c>
      <c r="W2177" t="s">
        <v>42486</v>
      </c>
      <c r="X2177" t="s">
        <v>42487</v>
      </c>
      <c r="Y2177" t="s">
        <v>42488</v>
      </c>
    </row>
    <row r="2178" spans="1:25" x14ac:dyDescent="0.3">
      <c r="A2178">
        <v>108850</v>
      </c>
      <c r="B2178" t="s">
        <v>42489</v>
      </c>
      <c r="C2178" t="s">
        <v>42490</v>
      </c>
      <c r="D2178" t="s">
        <v>42491</v>
      </c>
      <c r="E2178" t="s">
        <v>42492</v>
      </c>
      <c r="F2178" t="s">
        <v>42493</v>
      </c>
      <c r="G2178" t="s">
        <v>42494</v>
      </c>
      <c r="H2178" t="s">
        <v>42495</v>
      </c>
      <c r="I2178" t="s">
        <v>42496</v>
      </c>
      <c r="J2178" t="s">
        <v>42497</v>
      </c>
      <c r="K2178" t="s">
        <v>42498</v>
      </c>
      <c r="L2178" t="s">
        <v>42499</v>
      </c>
      <c r="M2178" t="s">
        <v>42500</v>
      </c>
      <c r="N2178" t="s">
        <v>42501</v>
      </c>
      <c r="O2178">
        <f>-665.516324832986 -123.221864453957 -510.955427337333</f>
        <v>-1299.693616624276</v>
      </c>
      <c r="P2178">
        <f>-593.936806223148 -159.186928337515 -240.471757653642</f>
        <v>-993.59549221430507</v>
      </c>
      <c r="Q2178">
        <f>-462.446608468503 -32.0420378004187 -383.625524704627</f>
        <v>-878.11417097354865</v>
      </c>
      <c r="R2178" t="s">
        <v>42502</v>
      </c>
      <c r="S2178" t="s">
        <v>42503</v>
      </c>
      <c r="T2178" t="s">
        <v>42504</v>
      </c>
      <c r="U2178" t="s">
        <v>42505</v>
      </c>
      <c r="V2178">
        <f>-594.896719749352 -38.3133219616072 -92.101913666393</f>
        <v>-725.31195537735221</v>
      </c>
      <c r="W2178" t="s">
        <v>42506</v>
      </c>
      <c r="X2178" t="s">
        <v>42507</v>
      </c>
      <c r="Y2178" t="s">
        <v>42508</v>
      </c>
    </row>
    <row r="2179" spans="1:25" x14ac:dyDescent="0.3">
      <c r="A2179">
        <v>108900</v>
      </c>
      <c r="B2179" t="s">
        <v>42509</v>
      </c>
      <c r="C2179" t="s">
        <v>42510</v>
      </c>
      <c r="D2179" t="s">
        <v>42511</v>
      </c>
      <c r="E2179" t="s">
        <v>42512</v>
      </c>
      <c r="F2179" t="s">
        <v>42513</v>
      </c>
      <c r="G2179" t="s">
        <v>42514</v>
      </c>
      <c r="H2179" t="s">
        <v>42515</v>
      </c>
      <c r="I2179" t="s">
        <v>42516</v>
      </c>
      <c r="J2179" t="s">
        <v>42517</v>
      </c>
      <c r="K2179" t="s">
        <v>42518</v>
      </c>
      <c r="L2179" t="s">
        <v>42519</v>
      </c>
      <c r="M2179" t="s">
        <v>42520</v>
      </c>
      <c r="N2179" t="s">
        <v>42521</v>
      </c>
      <c r="O2179">
        <f>-665.472712449943 -123.841744903829 -510.624391962352</f>
        <v>-1299.9388493161239</v>
      </c>
      <c r="P2179">
        <f>-593.496410455503 -159.110878996168 -240.154226329579</f>
        <v>-992.76151578124995</v>
      </c>
      <c r="Q2179">
        <f>-462.615449467504 -31.4542640301067 -383.411115401838</f>
        <v>-877.48082889944862</v>
      </c>
      <c r="R2179" t="s">
        <v>42522</v>
      </c>
      <c r="S2179" t="s">
        <v>42523</v>
      </c>
      <c r="T2179" t="s">
        <v>42524</v>
      </c>
      <c r="U2179" t="s">
        <v>42525</v>
      </c>
      <c r="V2179">
        <f>-595.047643948441 -38.2032667836888 -92.0888802014432</f>
        <v>-725.339790933573</v>
      </c>
      <c r="W2179" t="s">
        <v>42526</v>
      </c>
      <c r="X2179" t="s">
        <v>42527</v>
      </c>
      <c r="Y2179" t="s">
        <v>42528</v>
      </c>
    </row>
    <row r="2180" spans="1:25" x14ac:dyDescent="0.3">
      <c r="A2180">
        <v>108950</v>
      </c>
      <c r="B2180" t="s">
        <v>42529</v>
      </c>
      <c r="C2180" t="s">
        <v>42530</v>
      </c>
      <c r="D2180" t="s">
        <v>42531</v>
      </c>
      <c r="E2180" t="s">
        <v>42532</v>
      </c>
      <c r="F2180" t="s">
        <v>42533</v>
      </c>
      <c r="G2180" t="s">
        <v>42534</v>
      </c>
      <c r="H2180" t="s">
        <v>42535</v>
      </c>
      <c r="I2180" t="s">
        <v>42536</v>
      </c>
      <c r="J2180" t="s">
        <v>42537</v>
      </c>
      <c r="K2180" t="s">
        <v>42538</v>
      </c>
      <c r="L2180" t="s">
        <v>42539</v>
      </c>
      <c r="M2180" t="s">
        <v>42540</v>
      </c>
      <c r="N2180" t="s">
        <v>42541</v>
      </c>
      <c r="O2180">
        <f>-665.414289189109 -124.129374626587 -510.486234276764</f>
        <v>-1300.0298980924599</v>
      </c>
      <c r="P2180">
        <f>-593.252753857521 -159.048222314911 -240.020096115039</f>
        <v>-992.321072287471</v>
      </c>
      <c r="Q2180">
        <f>-462.682868050082 -31.2222905886595 -383.409535366438</f>
        <v>-877.31469400517949</v>
      </c>
      <c r="R2180" t="s">
        <v>42542</v>
      </c>
      <c r="S2180" t="s">
        <v>42543</v>
      </c>
      <c r="T2180" t="s">
        <v>42544</v>
      </c>
      <c r="U2180" t="s">
        <v>42545</v>
      </c>
      <c r="V2180">
        <f>-594.992580682739 -38.1684260460004 -92.0882337151663</f>
        <v>-725.24924044390571</v>
      </c>
      <c r="W2180" t="s">
        <v>42546</v>
      </c>
      <c r="X2180" t="s">
        <v>42547</v>
      </c>
      <c r="Y2180" t="s">
        <v>42548</v>
      </c>
    </row>
    <row r="2181" spans="1:25" x14ac:dyDescent="0.3">
      <c r="A2181">
        <v>109000</v>
      </c>
      <c r="B2181" t="s">
        <v>42549</v>
      </c>
      <c r="C2181" t="s">
        <v>42550</v>
      </c>
      <c r="D2181" t="s">
        <v>42551</v>
      </c>
      <c r="E2181" t="s">
        <v>42552</v>
      </c>
      <c r="F2181" t="s">
        <v>42553</v>
      </c>
      <c r="G2181" t="s">
        <v>42554</v>
      </c>
      <c r="H2181" t="s">
        <v>42555</v>
      </c>
      <c r="I2181" t="s">
        <v>42556</v>
      </c>
      <c r="J2181" t="s">
        <v>42557</v>
      </c>
      <c r="K2181" t="s">
        <v>42558</v>
      </c>
      <c r="L2181" t="s">
        <v>42559</v>
      </c>
      <c r="M2181" t="s">
        <v>42560</v>
      </c>
      <c r="N2181" t="s">
        <v>42561</v>
      </c>
      <c r="O2181">
        <f>-665.352166994621 -124.558617309916 -510.390200147541</f>
        <v>-1300.300984452078</v>
      </c>
      <c r="P2181">
        <f>-592.808950720563 -159.122520886495 -239.980396737809</f>
        <v>-991.911868344867</v>
      </c>
      <c r="Q2181">
        <f>-462.786286206 -30.8794357208401 -383.494808906987</f>
        <v>-877.16053083382712</v>
      </c>
      <c r="R2181" t="s">
        <v>42562</v>
      </c>
      <c r="S2181" t="s">
        <v>42563</v>
      </c>
      <c r="T2181" t="s">
        <v>42564</v>
      </c>
      <c r="U2181" t="s">
        <v>42565</v>
      </c>
      <c r="V2181">
        <f>-594.888096840288 -38.2913732378433 -92.097008274481</f>
        <v>-725.27647835261234</v>
      </c>
      <c r="W2181" t="s">
        <v>42566</v>
      </c>
      <c r="X2181" t="s">
        <v>42567</v>
      </c>
      <c r="Y2181" t="s">
        <v>42568</v>
      </c>
    </row>
    <row r="2182" spans="1:25" x14ac:dyDescent="0.3">
      <c r="A2182">
        <v>109050</v>
      </c>
      <c r="B2182" t="s">
        <v>42569</v>
      </c>
      <c r="C2182" t="s">
        <v>42570</v>
      </c>
      <c r="D2182" t="s">
        <v>42571</v>
      </c>
      <c r="E2182" t="s">
        <v>42572</v>
      </c>
      <c r="F2182" t="s">
        <v>42573</v>
      </c>
      <c r="G2182" t="s">
        <v>42574</v>
      </c>
      <c r="H2182" t="s">
        <v>42575</v>
      </c>
      <c r="I2182" t="s">
        <v>42576</v>
      </c>
      <c r="J2182" t="s">
        <v>42577</v>
      </c>
      <c r="K2182" t="s">
        <v>42578</v>
      </c>
      <c r="L2182" t="s">
        <v>42579</v>
      </c>
      <c r="M2182" t="s">
        <v>42580</v>
      </c>
      <c r="N2182" t="s">
        <v>42581</v>
      </c>
      <c r="O2182">
        <f>-665.285018096314 -124.733331228265 -510.395367851598</f>
        <v>-1300.413717176177</v>
      </c>
      <c r="P2182">
        <f>-592.418349887894 -159.280371389825 -240.070464841211</f>
        <v>-991.76918611892995</v>
      </c>
      <c r="Q2182">
        <f>-462.724618131621 -30.7469645958608 -383.622623175847</f>
        <v>-877.09420590332888</v>
      </c>
      <c r="R2182" t="s">
        <v>42582</v>
      </c>
      <c r="S2182" t="s">
        <v>42583</v>
      </c>
      <c r="T2182" t="s">
        <v>42584</v>
      </c>
      <c r="U2182" t="s">
        <v>42585</v>
      </c>
      <c r="V2182">
        <f>-594.873909688107 -38.4649486670312 -92.0976651714408</f>
        <v>-725.43652352657898</v>
      </c>
      <c r="W2182" t="s">
        <v>42586</v>
      </c>
      <c r="X2182" t="s">
        <v>42587</v>
      </c>
      <c r="Y2182" t="s">
        <v>42588</v>
      </c>
    </row>
    <row r="2183" spans="1:25" x14ac:dyDescent="0.3">
      <c r="A2183">
        <v>109100</v>
      </c>
      <c r="B2183" t="s">
        <v>42589</v>
      </c>
      <c r="C2183" t="s">
        <v>42590</v>
      </c>
      <c r="D2183" t="s">
        <v>42591</v>
      </c>
      <c r="E2183" t="s">
        <v>42592</v>
      </c>
      <c r="F2183" t="s">
        <v>42593</v>
      </c>
      <c r="G2183" t="s">
        <v>42594</v>
      </c>
      <c r="H2183" t="s">
        <v>42595</v>
      </c>
      <c r="I2183" t="s">
        <v>42596</v>
      </c>
      <c r="J2183" t="s">
        <v>42597</v>
      </c>
      <c r="K2183" t="s">
        <v>42598</v>
      </c>
      <c r="L2183" t="s">
        <v>42599</v>
      </c>
      <c r="M2183" t="s">
        <v>42600</v>
      </c>
      <c r="N2183" t="s">
        <v>42601</v>
      </c>
      <c r="O2183">
        <f>-665.294278785563 -125.084852751474 -510.5562946555</f>
        <v>-1300.9354261925371</v>
      </c>
      <c r="P2183">
        <f>-591.767293315472 -159.822316948323 -240.434676189111</f>
        <v>-992.02428645290593</v>
      </c>
      <c r="Q2183">
        <f>-462.793176068325 -30.6152085075396 -384.030429488755</f>
        <v>-877.43881406461958</v>
      </c>
      <c r="R2183" t="s">
        <v>42602</v>
      </c>
      <c r="S2183" t="s">
        <v>42603</v>
      </c>
      <c r="T2183" t="s">
        <v>42604</v>
      </c>
      <c r="U2183" t="s">
        <v>42605</v>
      </c>
      <c r="V2183">
        <f>-595.050128108953 -39.034656979549 -92.1309929933792</f>
        <v>-726.21577808188124</v>
      </c>
      <c r="W2183" t="s">
        <v>42606</v>
      </c>
      <c r="X2183" t="s">
        <v>42607</v>
      </c>
      <c r="Y2183" t="s">
        <v>42608</v>
      </c>
    </row>
    <row r="2184" spans="1:25" x14ac:dyDescent="0.3">
      <c r="A2184">
        <v>109150</v>
      </c>
      <c r="B2184" t="s">
        <v>42609</v>
      </c>
      <c r="C2184" t="s">
        <v>42610</v>
      </c>
      <c r="D2184" t="s">
        <v>42611</v>
      </c>
      <c r="E2184" t="s">
        <v>42612</v>
      </c>
      <c r="F2184" t="s">
        <v>42613</v>
      </c>
      <c r="G2184" t="s">
        <v>42614</v>
      </c>
      <c r="H2184" t="s">
        <v>42615</v>
      </c>
      <c r="I2184" t="s">
        <v>42616</v>
      </c>
      <c r="J2184" t="s">
        <v>42617</v>
      </c>
      <c r="K2184" t="s">
        <v>42618</v>
      </c>
      <c r="L2184" t="s">
        <v>42619</v>
      </c>
      <c r="M2184" t="s">
        <v>42620</v>
      </c>
      <c r="N2184" t="s">
        <v>42621</v>
      </c>
      <c r="O2184">
        <f>-665.400721899671 -125.211652299423 -510.685956167294</f>
        <v>-1301.298330366388</v>
      </c>
      <c r="P2184">
        <f>-591.616723077555 -160.07787798416 -240.651058959559</f>
        <v>-992.34566002127406</v>
      </c>
      <c r="Q2184">
        <f>-462.946606592446 -30.5669749723884 -384.245805275654</f>
        <v>-877.75938684048833</v>
      </c>
      <c r="R2184" t="s">
        <v>42622</v>
      </c>
      <c r="S2184" t="s">
        <v>42623</v>
      </c>
      <c r="T2184" t="s">
        <v>42624</v>
      </c>
      <c r="U2184" t="s">
        <v>42625</v>
      </c>
      <c r="V2184">
        <f>-595.206078593516 -39.3265428520983 -92.1619757023724</f>
        <v>-726.69459714798677</v>
      </c>
      <c r="W2184" t="s">
        <v>42626</v>
      </c>
      <c r="X2184" t="s">
        <v>42627</v>
      </c>
      <c r="Y2184" t="s">
        <v>42628</v>
      </c>
    </row>
    <row r="2185" spans="1:25" x14ac:dyDescent="0.3">
      <c r="A2185">
        <v>109200</v>
      </c>
      <c r="B2185" t="s">
        <v>42629</v>
      </c>
      <c r="C2185" t="s">
        <v>42630</v>
      </c>
      <c r="D2185" t="s">
        <v>42631</v>
      </c>
      <c r="E2185" t="s">
        <v>42632</v>
      </c>
      <c r="F2185" t="s">
        <v>42633</v>
      </c>
      <c r="G2185" t="s">
        <v>42634</v>
      </c>
      <c r="H2185" t="s">
        <v>42635</v>
      </c>
      <c r="I2185" t="s">
        <v>42636</v>
      </c>
      <c r="J2185" t="s">
        <v>42637</v>
      </c>
      <c r="K2185" t="s">
        <v>42638</v>
      </c>
      <c r="L2185" t="s">
        <v>42639</v>
      </c>
      <c r="M2185" t="s">
        <v>42640</v>
      </c>
      <c r="N2185" t="s">
        <v>42641</v>
      </c>
      <c r="O2185">
        <f>-665.900449004421 -125.139973659725 -510.953582405324</f>
        <v>-1301.9940050694699</v>
      </c>
      <c r="P2185">
        <f>-591.56285014332 -160.230454400868 -241.099698619539</f>
        <v>-992.89300316372703</v>
      </c>
      <c r="Q2185">
        <f>-463.140739514403 -30.3532700251972 -384.585490776303</f>
        <v>-878.07950031590326</v>
      </c>
      <c r="R2185" t="s">
        <v>42642</v>
      </c>
      <c r="S2185" t="s">
        <v>42643</v>
      </c>
      <c r="T2185" t="s">
        <v>42644</v>
      </c>
      <c r="U2185" t="s">
        <v>42645</v>
      </c>
      <c r="V2185">
        <f>-595.675936949959 -39.7293194827203 -92.2263834413783</f>
        <v>-727.63163987405756</v>
      </c>
      <c r="W2185" t="s">
        <v>42646</v>
      </c>
      <c r="X2185" t="s">
        <v>42647</v>
      </c>
      <c r="Y2185" t="s">
        <v>42648</v>
      </c>
    </row>
    <row r="2186" spans="1:25" x14ac:dyDescent="0.3">
      <c r="A2186">
        <v>109250</v>
      </c>
      <c r="B2186" t="s">
        <v>42649</v>
      </c>
      <c r="C2186" t="s">
        <v>42650</v>
      </c>
      <c r="D2186" t="s">
        <v>42651</v>
      </c>
      <c r="E2186" t="s">
        <v>42652</v>
      </c>
      <c r="F2186" t="s">
        <v>42653</v>
      </c>
      <c r="G2186" t="s">
        <v>42654</v>
      </c>
      <c r="H2186" t="s">
        <v>42655</v>
      </c>
      <c r="I2186" t="s">
        <v>42656</v>
      </c>
      <c r="J2186" t="s">
        <v>42657</v>
      </c>
      <c r="K2186" t="s">
        <v>42658</v>
      </c>
      <c r="L2186" t="s">
        <v>42659</v>
      </c>
      <c r="M2186" t="s">
        <v>42660</v>
      </c>
      <c r="N2186" t="s">
        <v>42661</v>
      </c>
      <c r="O2186">
        <f>-666.28498102334 -125.038104601746 -511.096581012449</f>
        <v>-1302.4196666375351</v>
      </c>
      <c r="P2186">
        <f>-591.748038188219 -160.370857728579 -241.329397388222</f>
        <v>-993.44829330502</v>
      </c>
      <c r="Q2186">
        <f>-463.313998612344 -30.3808286486615 -384.702289059049</f>
        <v>-878.39711632005447</v>
      </c>
      <c r="R2186" t="s">
        <v>42662</v>
      </c>
      <c r="S2186" t="s">
        <v>42663</v>
      </c>
      <c r="T2186" t="s">
        <v>42664</v>
      </c>
      <c r="U2186" t="s">
        <v>42665</v>
      </c>
      <c r="V2186">
        <f>-595.971593775877 -39.8554906625805 -92.2513983170794</f>
        <v>-728.07848275553681</v>
      </c>
      <c r="W2186" t="s">
        <v>42666</v>
      </c>
      <c r="X2186" t="s">
        <v>42667</v>
      </c>
      <c r="Y2186" t="s">
        <v>42668</v>
      </c>
    </row>
    <row r="2187" spans="1:25" x14ac:dyDescent="0.3">
      <c r="A2187">
        <v>109300</v>
      </c>
      <c r="B2187" t="s">
        <v>42669</v>
      </c>
      <c r="C2187" t="s">
        <v>42670</v>
      </c>
      <c r="D2187" t="s">
        <v>42671</v>
      </c>
      <c r="E2187" t="s">
        <v>42672</v>
      </c>
      <c r="F2187" t="s">
        <v>42673</v>
      </c>
      <c r="G2187" t="s">
        <v>42674</v>
      </c>
      <c r="H2187" t="s">
        <v>42675</v>
      </c>
      <c r="I2187" t="s">
        <v>42676</v>
      </c>
      <c r="J2187" t="s">
        <v>42677</v>
      </c>
      <c r="K2187" t="s">
        <v>42678</v>
      </c>
      <c r="L2187" t="s">
        <v>42679</v>
      </c>
      <c r="M2187" t="s">
        <v>42680</v>
      </c>
      <c r="N2187" t="s">
        <v>42681</v>
      </c>
      <c r="O2187">
        <f>-667.402908582931 -124.883131460093 -511.20009888635</f>
        <v>-1303.486138929374</v>
      </c>
      <c r="P2187">
        <f>-592.345989843327 -160.31579800896 -241.590009002473</f>
        <v>-994.25179685475996</v>
      </c>
      <c r="Q2187">
        <f>-463.812514840069 -30.4262386063021 -384.965022137546</f>
        <v>-879.20377558391715</v>
      </c>
      <c r="R2187" t="s">
        <v>42682</v>
      </c>
      <c r="S2187" t="s">
        <v>42683</v>
      </c>
      <c r="T2187" t="s">
        <v>42684</v>
      </c>
      <c r="U2187" t="s">
        <v>42685</v>
      </c>
      <c r="V2187">
        <f>-596.6236128617 -40.0662572954648 -92.2873706225414</f>
        <v>-728.97724077970622</v>
      </c>
      <c r="W2187" t="s">
        <v>42686</v>
      </c>
      <c r="X2187" t="s">
        <v>42687</v>
      </c>
      <c r="Y2187" t="s">
        <v>42688</v>
      </c>
    </row>
    <row r="2188" spans="1:25" x14ac:dyDescent="0.3">
      <c r="A2188">
        <v>109350</v>
      </c>
      <c r="B2188" t="s">
        <v>42689</v>
      </c>
      <c r="C2188" t="s">
        <v>42690</v>
      </c>
      <c r="D2188" t="s">
        <v>42691</v>
      </c>
      <c r="E2188" t="s">
        <v>42692</v>
      </c>
      <c r="F2188" t="s">
        <v>42693</v>
      </c>
      <c r="G2188" t="s">
        <v>42694</v>
      </c>
      <c r="H2188" t="s">
        <v>42695</v>
      </c>
      <c r="I2188" t="s">
        <v>42696</v>
      </c>
      <c r="J2188" t="s">
        <v>42697</v>
      </c>
      <c r="K2188" t="s">
        <v>42698</v>
      </c>
      <c r="L2188" t="s">
        <v>42699</v>
      </c>
      <c r="M2188" t="s">
        <v>42700</v>
      </c>
      <c r="N2188" t="s">
        <v>42701</v>
      </c>
      <c r="O2188">
        <f>-668.001895048941 -124.765408541763 -511.183142321614</f>
        <v>-1303.9504459123182</v>
      </c>
      <c r="P2188">
        <f>-592.726426521032 -160.321906141094 -241.650241728216</f>
        <v>-994.69857439034195</v>
      </c>
      <c r="Q2188">
        <f>-464.093484129755 -30.5378134228345 -385.031653978076</f>
        <v>-879.66295153066551</v>
      </c>
      <c r="R2188" t="s">
        <v>42702</v>
      </c>
      <c r="S2188" t="s">
        <v>42703</v>
      </c>
      <c r="T2188" t="s">
        <v>42704</v>
      </c>
      <c r="U2188" t="s">
        <v>42705</v>
      </c>
      <c r="V2188">
        <f>-596.897291986682 -40.051173850002 -92.2934484608601</f>
        <v>-729.2419142975441</v>
      </c>
      <c r="W2188" t="s">
        <v>42706</v>
      </c>
      <c r="X2188" t="s">
        <v>42707</v>
      </c>
      <c r="Y2188" t="s">
        <v>42708</v>
      </c>
    </row>
    <row r="2189" spans="1:25" x14ac:dyDescent="0.3">
      <c r="A2189">
        <v>109400</v>
      </c>
      <c r="B2189" t="s">
        <v>42709</v>
      </c>
      <c r="C2189" t="s">
        <v>42710</v>
      </c>
      <c r="D2189" t="s">
        <v>42711</v>
      </c>
      <c r="E2189" t="s">
        <v>42712</v>
      </c>
      <c r="F2189" t="s">
        <v>42713</v>
      </c>
      <c r="G2189" t="s">
        <v>42714</v>
      </c>
      <c r="H2189" t="s">
        <v>42715</v>
      </c>
      <c r="I2189" t="s">
        <v>42716</v>
      </c>
      <c r="J2189" t="s">
        <v>42717</v>
      </c>
      <c r="K2189" t="s">
        <v>42718</v>
      </c>
      <c r="L2189" t="s">
        <v>42719</v>
      </c>
      <c r="M2189" t="s">
        <v>42720</v>
      </c>
      <c r="N2189" t="s">
        <v>42721</v>
      </c>
      <c r="O2189">
        <f>-669.146069923991 -124.423615895912 -511.069400190019</f>
        <v>-1304.639086009922</v>
      </c>
      <c r="P2189">
        <f>-593.568015356269 -160.036044184624 -241.628668318007</f>
        <v>-995.23272785890003</v>
      </c>
      <c r="Q2189">
        <f>-464.780630011338 -30.4057720431813 -385.010378095079</f>
        <v>-880.19678014959823</v>
      </c>
      <c r="R2189" t="s">
        <v>42722</v>
      </c>
      <c r="S2189" t="s">
        <v>42723</v>
      </c>
      <c r="T2189" t="s">
        <v>42724</v>
      </c>
      <c r="U2189" t="s">
        <v>42725</v>
      </c>
      <c r="V2189">
        <f>-597.375695909399 -39.7550797755071 -92.2724751228619</f>
        <v>-729.40325080776802</v>
      </c>
      <c r="W2189" t="s">
        <v>42726</v>
      </c>
      <c r="X2189" t="s">
        <v>42727</v>
      </c>
      <c r="Y2189" t="s">
        <v>42728</v>
      </c>
    </row>
    <row r="2190" spans="1:25" x14ac:dyDescent="0.3">
      <c r="A2190">
        <v>109450</v>
      </c>
      <c r="B2190" t="s">
        <v>42729</v>
      </c>
      <c r="C2190" t="s">
        <v>42730</v>
      </c>
      <c r="D2190" t="s">
        <v>42731</v>
      </c>
      <c r="E2190" t="s">
        <v>42732</v>
      </c>
      <c r="F2190" t="s">
        <v>42733</v>
      </c>
      <c r="G2190" t="s">
        <v>42734</v>
      </c>
      <c r="H2190" t="s">
        <v>42735</v>
      </c>
      <c r="I2190" t="s">
        <v>42736</v>
      </c>
      <c r="J2190" t="s">
        <v>42737</v>
      </c>
      <c r="K2190" t="s">
        <v>42738</v>
      </c>
      <c r="L2190" t="s">
        <v>42739</v>
      </c>
      <c r="M2190" t="s">
        <v>42740</v>
      </c>
      <c r="N2190" t="s">
        <v>42741</v>
      </c>
      <c r="O2190">
        <f>-669.599473912974 -124.151027864531 -510.948171483496</f>
        <v>-1304.698673261001</v>
      </c>
      <c r="P2190">
        <f>-593.834091305381 -159.655659528272 -241.545818167658</f>
        <v>-995.03556900131105</v>
      </c>
      <c r="Q2190">
        <f>-464.990279543967 -30.2019341112023 -385.03625240212</f>
        <v>-880.22846605728932</v>
      </c>
      <c r="R2190" t="s">
        <v>42742</v>
      </c>
      <c r="S2190" t="s">
        <v>42743</v>
      </c>
      <c r="T2190" t="s">
        <v>42744</v>
      </c>
      <c r="U2190" t="s">
        <v>42745</v>
      </c>
      <c r="V2190">
        <f>-597.500078805366 -39.4163253578201 -92.2395609992647</f>
        <v>-729.1559651624508</v>
      </c>
      <c r="W2190" t="s">
        <v>42746</v>
      </c>
      <c r="X2190" t="s">
        <v>42747</v>
      </c>
      <c r="Y2190" t="s">
        <v>42748</v>
      </c>
    </row>
    <row r="2191" spans="1:25" x14ac:dyDescent="0.3">
      <c r="A2191">
        <v>109500</v>
      </c>
      <c r="B2191" t="s">
        <v>42749</v>
      </c>
      <c r="C2191" t="s">
        <v>42750</v>
      </c>
      <c r="D2191" t="s">
        <v>42751</v>
      </c>
      <c r="E2191" t="s">
        <v>42752</v>
      </c>
      <c r="F2191" t="s">
        <v>42753</v>
      </c>
      <c r="G2191" t="s">
        <v>42754</v>
      </c>
      <c r="H2191" t="s">
        <v>42755</v>
      </c>
      <c r="I2191" t="s">
        <v>42756</v>
      </c>
      <c r="J2191" t="s">
        <v>42757</v>
      </c>
      <c r="K2191" t="s">
        <v>42758</v>
      </c>
      <c r="L2191" t="s">
        <v>42759</v>
      </c>
      <c r="M2191" t="s">
        <v>42760</v>
      </c>
      <c r="N2191" t="s">
        <v>42761</v>
      </c>
      <c r="O2191">
        <f>-670.172924975782 -123.96792992771 -510.624829167606</f>
        <v>-1304.7656840710979</v>
      </c>
      <c r="P2191">
        <f>-594.094852928876 -159.188630877401 -241.273322283311</f>
        <v>-994.55680608958801</v>
      </c>
      <c r="Q2191">
        <f>-465.035442307912 -30.1026798273488 -384.901354051628</f>
        <v>-880.03947618688881</v>
      </c>
      <c r="R2191" t="s">
        <v>42762</v>
      </c>
      <c r="S2191" t="s">
        <v>42763</v>
      </c>
      <c r="T2191" t="s">
        <v>42764</v>
      </c>
      <c r="U2191" t="s">
        <v>42765</v>
      </c>
      <c r="V2191">
        <f>-597.524756112444 -38.9351288439113 -92.1861784914952</f>
        <v>-728.64606344785057</v>
      </c>
      <c r="W2191" t="s">
        <v>42766</v>
      </c>
      <c r="X2191" t="s">
        <v>42767</v>
      </c>
      <c r="Y2191" t="s">
        <v>42768</v>
      </c>
    </row>
    <row r="2192" spans="1:25" x14ac:dyDescent="0.3">
      <c r="A2192">
        <v>109550</v>
      </c>
      <c r="B2192" t="s">
        <v>42769</v>
      </c>
      <c r="C2192" t="s">
        <v>42770</v>
      </c>
      <c r="D2192" t="s">
        <v>42771</v>
      </c>
      <c r="E2192" t="s">
        <v>42772</v>
      </c>
      <c r="F2192" t="s">
        <v>42773</v>
      </c>
      <c r="G2192" t="s">
        <v>42774</v>
      </c>
      <c r="H2192" t="s">
        <v>42775</v>
      </c>
      <c r="I2192" t="s">
        <v>42776</v>
      </c>
      <c r="J2192" t="s">
        <v>42777</v>
      </c>
      <c r="K2192" t="s">
        <v>42778</v>
      </c>
      <c r="L2192" t="s">
        <v>42779</v>
      </c>
      <c r="M2192" t="s">
        <v>42780</v>
      </c>
      <c r="N2192" t="s">
        <v>42781</v>
      </c>
      <c r="O2192">
        <f>-670.521599844552 -124.015542477182 -510.418559226501</f>
        <v>-1304.9557015482351</v>
      </c>
      <c r="P2192">
        <f>-594.304936459948 -158.94506910081 -241.068373513525</f>
        <v>-994.31837907428292</v>
      </c>
      <c r="Q2192">
        <f>-465.203543891557 -29.9524364103445 -384.742389512023</f>
        <v>-879.89836981392455</v>
      </c>
      <c r="R2192" t="s">
        <v>42782</v>
      </c>
      <c r="S2192" t="s">
        <v>42783</v>
      </c>
      <c r="T2192" t="s">
        <v>42784</v>
      </c>
      <c r="U2192" t="s">
        <v>42785</v>
      </c>
      <c r="V2192">
        <f>-597.503680051964 -38.7990424926381 -92.1623798049754</f>
        <v>-728.46510234957759</v>
      </c>
      <c r="W2192" t="s">
        <v>42786</v>
      </c>
      <c r="X2192" t="s">
        <v>42787</v>
      </c>
      <c r="Y2192" t="s">
        <v>42788</v>
      </c>
    </row>
    <row r="2193" spans="1:25" x14ac:dyDescent="0.3">
      <c r="A2193">
        <v>109600</v>
      </c>
      <c r="B2193" t="s">
        <v>42789</v>
      </c>
      <c r="C2193" t="s">
        <v>42790</v>
      </c>
      <c r="D2193" t="s">
        <v>42791</v>
      </c>
      <c r="E2193" t="s">
        <v>42792</v>
      </c>
      <c r="F2193" t="s">
        <v>42793</v>
      </c>
      <c r="G2193" t="s">
        <v>42794</v>
      </c>
      <c r="H2193" t="s">
        <v>42795</v>
      </c>
      <c r="I2193" t="s">
        <v>42796</v>
      </c>
      <c r="J2193" t="s">
        <v>42797</v>
      </c>
      <c r="K2193" t="s">
        <v>42798</v>
      </c>
      <c r="L2193" t="s">
        <v>42799</v>
      </c>
      <c r="M2193" t="s">
        <v>42800</v>
      </c>
      <c r="N2193" t="s">
        <v>42801</v>
      </c>
      <c r="O2193">
        <f>-670.634239502185 -124.028389099557 -510.054974914976</f>
        <v>-1304.7176035167181</v>
      </c>
      <c r="P2193">
        <f>-594.063081453895 -158.301299372491 -240.720865279967</f>
        <v>-993.08524610635311</v>
      </c>
      <c r="Q2193">
        <f>-465.144519064153 -28.9357699899094 -384.223732180467</f>
        <v>-878.30402123452927</v>
      </c>
      <c r="R2193" t="s">
        <v>42802</v>
      </c>
      <c r="S2193" t="s">
        <v>42803</v>
      </c>
      <c r="T2193" t="s">
        <v>42804</v>
      </c>
      <c r="U2193" t="s">
        <v>42805</v>
      </c>
      <c r="V2193">
        <f>-597.269134541167 -38.5296292712439 -92.0997506129343</f>
        <v>-727.89851442534518</v>
      </c>
      <c r="W2193" t="s">
        <v>42806</v>
      </c>
      <c r="X2193" t="s">
        <v>42807</v>
      </c>
      <c r="Y2193" t="s">
        <v>42808</v>
      </c>
    </row>
    <row r="2194" spans="1:25" x14ac:dyDescent="0.3">
      <c r="A2194">
        <v>109650</v>
      </c>
      <c r="B2194" t="s">
        <v>42809</v>
      </c>
      <c r="C2194" t="s">
        <v>42810</v>
      </c>
      <c r="D2194" t="s">
        <v>42811</v>
      </c>
      <c r="E2194" t="s">
        <v>42812</v>
      </c>
      <c r="F2194" t="s">
        <v>42813</v>
      </c>
      <c r="G2194" t="s">
        <v>42814</v>
      </c>
      <c r="H2194" t="s">
        <v>42815</v>
      </c>
      <c r="I2194" t="s">
        <v>42816</v>
      </c>
      <c r="J2194" t="s">
        <v>42817</v>
      </c>
      <c r="K2194" t="s">
        <v>42818</v>
      </c>
      <c r="L2194" t="s">
        <v>42819</v>
      </c>
      <c r="M2194" t="s">
        <v>42820</v>
      </c>
      <c r="N2194" t="s">
        <v>42821</v>
      </c>
      <c r="O2194">
        <f>-670.311377389422 -124.11500862378 -509.98582382066</f>
        <v>-1304.4122098338621</v>
      </c>
      <c r="P2194">
        <f>-593.698550219617 -158.191044694023 -240.63867171834</f>
        <v>-992.52826663197993</v>
      </c>
      <c r="Q2194">
        <f>-464.976914762365 -28.3819366158141 -383.917618376667</f>
        <v>-877.27646975484618</v>
      </c>
      <c r="R2194" t="s">
        <v>42822</v>
      </c>
      <c r="S2194" t="s">
        <v>42823</v>
      </c>
      <c r="T2194" t="s">
        <v>42824</v>
      </c>
      <c r="U2194" t="s">
        <v>42825</v>
      </c>
      <c r="V2194">
        <f>-597.06196640415 -38.3681586502746 -92.0667629459298</f>
        <v>-727.49688800035437</v>
      </c>
      <c r="W2194" t="s">
        <v>42826</v>
      </c>
      <c r="X2194" t="s">
        <v>42827</v>
      </c>
      <c r="Y2194" t="s">
        <v>42828</v>
      </c>
    </row>
    <row r="2195" spans="1:25" x14ac:dyDescent="0.3">
      <c r="A2195">
        <v>109700</v>
      </c>
      <c r="B2195" t="s">
        <v>42829</v>
      </c>
      <c r="C2195" t="s">
        <v>42830</v>
      </c>
      <c r="D2195" t="s">
        <v>42831</v>
      </c>
      <c r="E2195" t="s">
        <v>42832</v>
      </c>
      <c r="F2195" t="s">
        <v>42833</v>
      </c>
      <c r="G2195" t="s">
        <v>42834</v>
      </c>
      <c r="H2195" t="s">
        <v>42835</v>
      </c>
      <c r="I2195" t="s">
        <v>42836</v>
      </c>
      <c r="J2195" t="s">
        <v>42837</v>
      </c>
      <c r="K2195" t="s">
        <v>42838</v>
      </c>
      <c r="L2195" t="s">
        <v>42839</v>
      </c>
      <c r="M2195" t="s">
        <v>42840</v>
      </c>
      <c r="N2195" t="s">
        <v>42841</v>
      </c>
      <c r="O2195">
        <f>-669.44349772694 -124.417551953964 -509.743630821623</f>
        <v>-1303.6046805025271</v>
      </c>
      <c r="P2195">
        <f>-592.674581899831 -158.003948872871 -240.379308747227</f>
        <v>-991.05783951992896</v>
      </c>
      <c r="Q2195">
        <f>-464.592732679097 -27.416667908027 -383.524529308944</f>
        <v>-875.533929896068</v>
      </c>
      <c r="R2195" t="s">
        <v>42842</v>
      </c>
      <c r="S2195" t="s">
        <v>42843</v>
      </c>
      <c r="T2195" t="s">
        <v>42844</v>
      </c>
      <c r="U2195" t="s">
        <v>42845</v>
      </c>
      <c r="V2195">
        <f>-596.482734459864 -38.0219524835966 -91.9686914488317</f>
        <v>-726.47337839229226</v>
      </c>
      <c r="W2195" t="s">
        <v>42846</v>
      </c>
      <c r="X2195" t="s">
        <v>42847</v>
      </c>
      <c r="Y2195" t="s">
        <v>42848</v>
      </c>
    </row>
    <row r="2196" spans="1:25" x14ac:dyDescent="0.3">
      <c r="A2196">
        <v>109750</v>
      </c>
      <c r="B2196" t="s">
        <v>42849</v>
      </c>
      <c r="C2196" t="s">
        <v>42850</v>
      </c>
      <c r="D2196" t="s">
        <v>42851</v>
      </c>
      <c r="E2196" t="s">
        <v>42852</v>
      </c>
      <c r="F2196" t="s">
        <v>42853</v>
      </c>
      <c r="G2196" t="s">
        <v>42854</v>
      </c>
      <c r="H2196" t="s">
        <v>42855</v>
      </c>
      <c r="I2196" t="s">
        <v>42856</v>
      </c>
      <c r="J2196" t="s">
        <v>42857</v>
      </c>
      <c r="K2196" t="s">
        <v>42858</v>
      </c>
      <c r="L2196" t="s">
        <v>42859</v>
      </c>
      <c r="M2196" t="s">
        <v>42860</v>
      </c>
      <c r="N2196" t="s">
        <v>42861</v>
      </c>
      <c r="O2196">
        <f>-668.905276723738 -124.6029796612 -509.593577238993</f>
        <v>-1303.101833623931</v>
      </c>
      <c r="P2196">
        <f>-591.976263857742 -157.899109647763 -240.239003059929</f>
        <v>-990.11437656543399</v>
      </c>
      <c r="Q2196">
        <f>-464.320963620198 -26.9389264707711 -383.424484605596</f>
        <v>-874.6843746965651</v>
      </c>
      <c r="R2196" t="s">
        <v>42862</v>
      </c>
      <c r="S2196" t="s">
        <v>42863</v>
      </c>
      <c r="T2196" t="s">
        <v>42864</v>
      </c>
      <c r="U2196" t="s">
        <v>42865</v>
      </c>
      <c r="V2196">
        <f>-596.123037000226 -37.8559134842121 -91.9163422832061</f>
        <v>-725.89529276764415</v>
      </c>
      <c r="W2196" t="s">
        <v>42866</v>
      </c>
      <c r="X2196" t="s">
        <v>42867</v>
      </c>
      <c r="Y2196" t="s">
        <v>42868</v>
      </c>
    </row>
    <row r="2197" spans="1:25" x14ac:dyDescent="0.3">
      <c r="A2197">
        <v>109800</v>
      </c>
      <c r="B2197" t="s">
        <v>42869</v>
      </c>
      <c r="C2197" t="s">
        <v>42870</v>
      </c>
      <c r="D2197" t="s">
        <v>42871</v>
      </c>
      <c r="E2197" t="s">
        <v>42872</v>
      </c>
      <c r="F2197" t="s">
        <v>42873</v>
      </c>
      <c r="G2197" t="s">
        <v>42874</v>
      </c>
      <c r="H2197" t="s">
        <v>42875</v>
      </c>
      <c r="I2197" t="s">
        <v>42876</v>
      </c>
      <c r="J2197" t="s">
        <v>42877</v>
      </c>
      <c r="K2197" t="s">
        <v>42878</v>
      </c>
      <c r="L2197" t="s">
        <v>42879</v>
      </c>
      <c r="M2197" t="s">
        <v>42880</v>
      </c>
      <c r="N2197" t="s">
        <v>42881</v>
      </c>
      <c r="O2197">
        <f>-667.97995397073 -124.807082116298 -509.339911052054</f>
        <v>-1302.1269471390819</v>
      </c>
      <c r="P2197">
        <f>-590.645869203365 -157.41021472347 -240.016530864309</f>
        <v>-988.07261479114413</v>
      </c>
      <c r="Q2197">
        <f>-463.874711613027 -25.5038524541151 -383.119075180761</f>
        <v>-872.49763924790307</v>
      </c>
      <c r="R2197" t="s">
        <v>42882</v>
      </c>
      <c r="S2197" t="s">
        <v>42883</v>
      </c>
      <c r="T2197" t="s">
        <v>42884</v>
      </c>
      <c r="U2197" t="s">
        <v>42885</v>
      </c>
      <c r="V2197">
        <f>-595.458688532299 -37.5597455668758 -91.8209397830121</f>
        <v>-724.83937388218692</v>
      </c>
      <c r="W2197" t="s">
        <v>42886</v>
      </c>
      <c r="X2197" t="s">
        <v>42887</v>
      </c>
      <c r="Y2197" t="s">
        <v>42888</v>
      </c>
    </row>
    <row r="2198" spans="1:25" x14ac:dyDescent="0.3">
      <c r="A2198">
        <v>109850</v>
      </c>
      <c r="B2198" t="s">
        <v>42889</v>
      </c>
      <c r="C2198" t="s">
        <v>42890</v>
      </c>
      <c r="D2198" t="s">
        <v>42891</v>
      </c>
      <c r="E2198" t="s">
        <v>42892</v>
      </c>
      <c r="F2198" t="s">
        <v>42893</v>
      </c>
      <c r="G2198" t="s">
        <v>42894</v>
      </c>
      <c r="H2198" t="s">
        <v>42895</v>
      </c>
      <c r="I2198" t="s">
        <v>42896</v>
      </c>
      <c r="J2198" t="s">
        <v>42897</v>
      </c>
      <c r="K2198" t="s">
        <v>42898</v>
      </c>
      <c r="L2198" t="s">
        <v>42899</v>
      </c>
      <c r="M2198" t="s">
        <v>42900</v>
      </c>
      <c r="N2198" t="s">
        <v>42901</v>
      </c>
      <c r="O2198">
        <f>-667.524203069632 -125.013414568039 -509.194407204138</f>
        <v>-1301.7320248418091</v>
      </c>
      <c r="P2198">
        <f>-590.05194150724 -157.307212364774 -239.873632308149</f>
        <v>-987.23278618016309</v>
      </c>
      <c r="Q2198">
        <f>-463.543916024631 -24.8469348121175 -382.697044141685</f>
        <v>-871.0878949784335</v>
      </c>
      <c r="R2198" t="s">
        <v>42902</v>
      </c>
      <c r="S2198" t="s">
        <v>42903</v>
      </c>
      <c r="T2198" t="s">
        <v>42904</v>
      </c>
      <c r="U2198" t="s">
        <v>42905</v>
      </c>
      <c r="V2198">
        <f>-595.124011760233 -37.466051315185 -91.7688825855519</f>
        <v>-724.35894566096988</v>
      </c>
      <c r="W2198" t="s">
        <v>42906</v>
      </c>
      <c r="X2198" t="s">
        <v>42907</v>
      </c>
      <c r="Y2198" t="s">
        <v>42908</v>
      </c>
    </row>
    <row r="2199" spans="1:25" x14ac:dyDescent="0.3">
      <c r="A2199">
        <v>109900</v>
      </c>
      <c r="B2199" t="s">
        <v>42909</v>
      </c>
      <c r="C2199" t="s">
        <v>42910</v>
      </c>
      <c r="D2199" t="s">
        <v>42911</v>
      </c>
      <c r="E2199" t="s">
        <v>42912</v>
      </c>
      <c r="F2199" t="s">
        <v>42913</v>
      </c>
      <c r="G2199" t="s">
        <v>42914</v>
      </c>
      <c r="H2199" t="s">
        <v>42915</v>
      </c>
      <c r="I2199" t="s">
        <v>42916</v>
      </c>
      <c r="J2199" t="s">
        <v>42917</v>
      </c>
      <c r="K2199" t="s">
        <v>42918</v>
      </c>
      <c r="L2199" t="s">
        <v>42919</v>
      </c>
      <c r="M2199" t="s">
        <v>42920</v>
      </c>
      <c r="N2199" t="s">
        <v>42921</v>
      </c>
      <c r="O2199">
        <f>-666.539858031406 -125.459235325503 -509.008256322081</f>
        <v>-1301.0073496789901</v>
      </c>
      <c r="P2199">
        <f>-589.169791878131 -157.179038861647 -239.589670424198</f>
        <v>-985.93850116397607</v>
      </c>
      <c r="Q2199">
        <f>-462.943242423794 -24.0545672466808 -382.044120709459</f>
        <v>-869.04193037993377</v>
      </c>
      <c r="R2199" t="s">
        <v>42922</v>
      </c>
      <c r="S2199" t="s">
        <v>42923</v>
      </c>
      <c r="T2199" t="s">
        <v>42924</v>
      </c>
      <c r="U2199" t="s">
        <v>42925</v>
      </c>
      <c r="V2199">
        <f>-594.45196300714 -37.3607375465667 -91.7207726119705</f>
        <v>-723.53347316567715</v>
      </c>
      <c r="W2199" t="s">
        <v>42926</v>
      </c>
      <c r="X2199" t="s">
        <v>42927</v>
      </c>
      <c r="Y2199" t="s">
        <v>42928</v>
      </c>
    </row>
    <row r="2200" spans="1:25" x14ac:dyDescent="0.3">
      <c r="A2200">
        <v>109950</v>
      </c>
      <c r="B2200" t="s">
        <v>42929</v>
      </c>
      <c r="C2200" t="s">
        <v>42930</v>
      </c>
      <c r="D2200" t="s">
        <v>42931</v>
      </c>
      <c r="E2200" t="s">
        <v>42932</v>
      </c>
      <c r="F2200" t="s">
        <v>42933</v>
      </c>
      <c r="G2200" t="s">
        <v>42934</v>
      </c>
      <c r="H2200" t="s">
        <v>42935</v>
      </c>
      <c r="I2200" t="s">
        <v>42936</v>
      </c>
      <c r="J2200" t="s">
        <v>42937</v>
      </c>
      <c r="K2200" t="s">
        <v>42938</v>
      </c>
      <c r="L2200" t="s">
        <v>42939</v>
      </c>
      <c r="M2200" t="s">
        <v>42940</v>
      </c>
      <c r="N2200" t="s">
        <v>42941</v>
      </c>
      <c r="O2200">
        <f>-666.078085398186 -125.693508133962 -508.952450497973</f>
        <v>-1300.7240440301211</v>
      </c>
      <c r="P2200">
        <f>-588.803015112788 -157.271571267162 -239.490020187697</f>
        <v>-985.56460656764705</v>
      </c>
      <c r="Q2200">
        <f>-462.621159047417 -24.0430248461214 -381.886802514455</f>
        <v>-868.55098640799338</v>
      </c>
      <c r="R2200" t="s">
        <v>42942</v>
      </c>
      <c r="S2200" t="s">
        <v>42943</v>
      </c>
      <c r="T2200" t="s">
        <v>42944</v>
      </c>
      <c r="U2200" t="s">
        <v>42945</v>
      </c>
      <c r="V2200">
        <f>-594.071261220759 -37.3693323190635 -91.7259847735402</f>
        <v>-723.16657831336261</v>
      </c>
      <c r="W2200" t="s">
        <v>42946</v>
      </c>
      <c r="X2200" t="s">
        <v>42947</v>
      </c>
      <c r="Y2200" t="s">
        <v>42948</v>
      </c>
    </row>
    <row r="2201" spans="1:25" x14ac:dyDescent="0.3">
      <c r="A2201">
        <v>110000</v>
      </c>
      <c r="B2201" t="s">
        <v>42949</v>
      </c>
      <c r="C2201" t="s">
        <v>42950</v>
      </c>
      <c r="D2201" t="s">
        <v>42951</v>
      </c>
      <c r="E2201" t="s">
        <v>42952</v>
      </c>
      <c r="F2201" t="s">
        <v>42953</v>
      </c>
      <c r="G2201" t="s">
        <v>42954</v>
      </c>
      <c r="H2201" t="s">
        <v>42955</v>
      </c>
      <c r="I2201" t="s">
        <v>42956</v>
      </c>
      <c r="J2201" t="s">
        <v>42957</v>
      </c>
      <c r="K2201" t="s">
        <v>42958</v>
      </c>
      <c r="L2201" t="s">
        <v>42959</v>
      </c>
      <c r="M2201" t="s">
        <v>42960</v>
      </c>
      <c r="N2201" t="s">
        <v>42961</v>
      </c>
      <c r="O2201">
        <f>-665.368681640503 -126.233293022191 -508.839314520167</f>
        <v>-1300.4412891828611</v>
      </c>
      <c r="P2201">
        <f>-588.192242207628 -157.573507812203 -239.320963793298</f>
        <v>-985.08671381312911</v>
      </c>
      <c r="Q2201">
        <f>-461.822947383483 -24.7937424942168 -381.970409116677</f>
        <v>-868.58709899437679</v>
      </c>
      <c r="R2201" t="s">
        <v>42962</v>
      </c>
      <c r="S2201" t="s">
        <v>42963</v>
      </c>
      <c r="T2201" t="s">
        <v>42964</v>
      </c>
      <c r="U2201" t="s">
        <v>42965</v>
      </c>
      <c r="V2201">
        <f>-593.433569829569 -37.5749576833725 -91.7378104605625</f>
        <v>-722.74633797350407</v>
      </c>
      <c r="W2201" t="s">
        <v>42966</v>
      </c>
      <c r="X2201" t="s">
        <v>42967</v>
      </c>
      <c r="Y2201" t="s">
        <v>42968</v>
      </c>
    </row>
    <row r="2202" spans="1:25" x14ac:dyDescent="0.3">
      <c r="A2202">
        <v>110050</v>
      </c>
      <c r="B2202" t="s">
        <v>42969</v>
      </c>
      <c r="C2202" t="s">
        <v>42970</v>
      </c>
      <c r="D2202" t="s">
        <v>42971</v>
      </c>
      <c r="E2202" t="s">
        <v>42972</v>
      </c>
      <c r="F2202" t="s">
        <v>42973</v>
      </c>
      <c r="G2202" t="s">
        <v>42974</v>
      </c>
      <c r="H2202" t="s">
        <v>42975</v>
      </c>
      <c r="I2202" t="s">
        <v>42976</v>
      </c>
      <c r="J2202" t="s">
        <v>42977</v>
      </c>
      <c r="K2202" t="s">
        <v>42978</v>
      </c>
      <c r="L2202" t="s">
        <v>42979</v>
      </c>
      <c r="M2202" t="s">
        <v>42980</v>
      </c>
      <c r="N2202" t="s">
        <v>42981</v>
      </c>
      <c r="O2202">
        <f>-665.116850792053 -126.544714464702 -508.736779825847</f>
        <v>-1300.398345082602</v>
      </c>
      <c r="P2202">
        <f>-587.875524398541 -157.565851783316 -239.200139766014</f>
        <v>-984.64151594787097</v>
      </c>
      <c r="Q2202">
        <f>-461.480554384842 -25.0812762813844 -382.101078255091</f>
        <v>-868.66290892131747</v>
      </c>
      <c r="R2202" t="s">
        <v>42982</v>
      </c>
      <c r="S2202" t="s">
        <v>42983</v>
      </c>
      <c r="T2202" t="s">
        <v>42984</v>
      </c>
      <c r="U2202" t="s">
        <v>42985</v>
      </c>
      <c r="V2202">
        <f>-593.203740406874 -37.7318278070873 -91.7501367714397</f>
        <v>-722.68570498540089</v>
      </c>
      <c r="W2202" t="s">
        <v>42986</v>
      </c>
      <c r="X2202" t="s">
        <v>42987</v>
      </c>
      <c r="Y2202" t="s">
        <v>42988</v>
      </c>
    </row>
    <row r="2203" spans="1:25" x14ac:dyDescent="0.3">
      <c r="A2203">
        <v>110100</v>
      </c>
      <c r="B2203" t="s">
        <v>42989</v>
      </c>
      <c r="C2203" t="s">
        <v>42990</v>
      </c>
      <c r="D2203" t="s">
        <v>42991</v>
      </c>
      <c r="E2203" t="s">
        <v>42992</v>
      </c>
      <c r="F2203" t="s">
        <v>42993</v>
      </c>
      <c r="G2203" t="s">
        <v>42994</v>
      </c>
      <c r="H2203" t="s">
        <v>42995</v>
      </c>
      <c r="I2203" t="s">
        <v>42996</v>
      </c>
      <c r="J2203" t="s">
        <v>42997</v>
      </c>
      <c r="K2203" t="s">
        <v>42998</v>
      </c>
      <c r="L2203" t="s">
        <v>42999</v>
      </c>
      <c r="M2203" t="s">
        <v>43000</v>
      </c>
      <c r="N2203" t="s">
        <v>43001</v>
      </c>
      <c r="O2203">
        <f>-664.644940610676 -127.207665709482 -508.537319240087</f>
        <v>-1300.389925560245</v>
      </c>
      <c r="P2203">
        <f>-587.525743308636 -158.050250412789 -238.945055941828</f>
        <v>-984.52104966325305</v>
      </c>
      <c r="Q2203">
        <f>-461.057184058478 -25.4327393970709 -381.657420846348</f>
        <v>-868.14734430189696</v>
      </c>
      <c r="R2203" t="s">
        <v>43002</v>
      </c>
      <c r="S2203" t="s">
        <v>43003</v>
      </c>
      <c r="T2203" t="s">
        <v>43004</v>
      </c>
      <c r="U2203" t="s">
        <v>43005</v>
      </c>
      <c r="V2203">
        <f>-592.855654630108 -37.9577047411076 -91.76943134679</f>
        <v>-722.58279071800564</v>
      </c>
      <c r="W2203" t="s">
        <v>43006</v>
      </c>
      <c r="X2203" t="s">
        <v>43007</v>
      </c>
      <c r="Y2203" t="s">
        <v>43008</v>
      </c>
    </row>
    <row r="2204" spans="1:25" x14ac:dyDescent="0.3">
      <c r="A2204">
        <v>110150</v>
      </c>
      <c r="B2204" t="s">
        <v>43009</v>
      </c>
      <c r="C2204" t="s">
        <v>43010</v>
      </c>
      <c r="D2204" t="s">
        <v>43011</v>
      </c>
      <c r="E2204" t="s">
        <v>43012</v>
      </c>
      <c r="F2204" t="s">
        <v>43013</v>
      </c>
      <c r="G2204" t="s">
        <v>43014</v>
      </c>
      <c r="H2204" t="s">
        <v>43015</v>
      </c>
      <c r="I2204" t="s">
        <v>43016</v>
      </c>
      <c r="J2204" t="s">
        <v>43017</v>
      </c>
      <c r="K2204" t="s">
        <v>43018</v>
      </c>
      <c r="L2204" t="s">
        <v>43019</v>
      </c>
      <c r="M2204" t="s">
        <v>43020</v>
      </c>
      <c r="N2204" t="s">
        <v>43021</v>
      </c>
      <c r="O2204">
        <f>-664.399506116177 -127.580744133942 -508.409108351262</f>
        <v>-1300.389358601381</v>
      </c>
      <c r="P2204">
        <f>-587.461070697264 -158.146422606864 -238.733716763968</f>
        <v>-984.34121006809596</v>
      </c>
      <c r="Q2204">
        <f>-460.799925320415 -25.7809829993435 -381.509336420489</f>
        <v>-868.0902447402475</v>
      </c>
      <c r="R2204" t="s">
        <v>43022</v>
      </c>
      <c r="S2204" t="s">
        <v>43023</v>
      </c>
      <c r="T2204" t="s">
        <v>43024</v>
      </c>
      <c r="U2204" t="s">
        <v>43025</v>
      </c>
      <c r="V2204">
        <f>-592.686116445216 -38.1758090838134 -91.7764455338865</f>
        <v>-722.63837106291601</v>
      </c>
      <c r="W2204" t="s">
        <v>43026</v>
      </c>
      <c r="X2204" t="s">
        <v>43027</v>
      </c>
      <c r="Y2204" t="s">
        <v>43028</v>
      </c>
    </row>
    <row r="2205" spans="1:25" x14ac:dyDescent="0.3">
      <c r="A2205">
        <v>110200</v>
      </c>
      <c r="B2205" t="s">
        <v>43029</v>
      </c>
      <c r="C2205" t="s">
        <v>43030</v>
      </c>
      <c r="D2205" t="s">
        <v>43031</v>
      </c>
      <c r="E2205" t="s">
        <v>43032</v>
      </c>
      <c r="F2205" t="s">
        <v>43033</v>
      </c>
      <c r="G2205" t="s">
        <v>43034</v>
      </c>
      <c r="H2205" t="s">
        <v>43035</v>
      </c>
      <c r="I2205" t="s">
        <v>43036</v>
      </c>
      <c r="J2205" t="s">
        <v>43037</v>
      </c>
      <c r="K2205" t="s">
        <v>43038</v>
      </c>
      <c r="L2205" t="s">
        <v>43039</v>
      </c>
      <c r="M2205" t="s">
        <v>43040</v>
      </c>
      <c r="N2205" t="s">
        <v>43041</v>
      </c>
      <c r="O2205">
        <f>-663.952567645606 -128.354158763793 -508.141078160669</f>
        <v>-1300.447804570068</v>
      </c>
      <c r="P2205">
        <f>-587.414868343579 -158.743723406276 -238.331847130065</f>
        <v>-984.49043887992002</v>
      </c>
      <c r="Q2205">
        <f>-460.017752456487 -26.8747899831146 -380.912132827036</f>
        <v>-867.80467526663756</v>
      </c>
      <c r="R2205" t="s">
        <v>43042</v>
      </c>
      <c r="S2205" t="s">
        <v>43043</v>
      </c>
      <c r="T2205" t="s">
        <v>43044</v>
      </c>
      <c r="U2205" t="s">
        <v>43045</v>
      </c>
      <c r="V2205">
        <f>-592.35278217447 -38.654050455265 -91.8175320926448</f>
        <v>-722.82436472237976</v>
      </c>
      <c r="W2205" t="s">
        <v>43046</v>
      </c>
      <c r="X2205" t="s">
        <v>43047</v>
      </c>
      <c r="Y2205" t="s">
        <v>43048</v>
      </c>
    </row>
    <row r="2206" spans="1:25" x14ac:dyDescent="0.3">
      <c r="A2206">
        <v>110250</v>
      </c>
      <c r="B2206" t="s">
        <v>43049</v>
      </c>
      <c r="C2206" t="s">
        <v>43050</v>
      </c>
      <c r="D2206" t="s">
        <v>43051</v>
      </c>
      <c r="E2206" t="s">
        <v>43052</v>
      </c>
      <c r="F2206" t="s">
        <v>43053</v>
      </c>
      <c r="G2206" t="s">
        <v>43054</v>
      </c>
      <c r="H2206" t="s">
        <v>43055</v>
      </c>
      <c r="I2206" t="s">
        <v>43056</v>
      </c>
      <c r="J2206" t="s">
        <v>43057</v>
      </c>
      <c r="K2206" t="s">
        <v>43058</v>
      </c>
      <c r="L2206" t="s">
        <v>43059</v>
      </c>
      <c r="M2206" t="s">
        <v>43060</v>
      </c>
      <c r="N2206" t="s">
        <v>43061</v>
      </c>
      <c r="O2206">
        <f>-663.79807815494 -128.820350045321 -508.023544250875</f>
        <v>-1300.6419724511359</v>
      </c>
      <c r="P2206">
        <f>-587.64378378236 -159.431985949204 -238.130738838627</f>
        <v>-985.20650857019086</v>
      </c>
      <c r="Q2206">
        <f>-459.822719721155 -27.5441845661144 -380.313326626526</f>
        <v>-867.68023091379541</v>
      </c>
      <c r="R2206" t="s">
        <v>43062</v>
      </c>
      <c r="S2206" t="s">
        <v>43063</v>
      </c>
      <c r="T2206" t="s">
        <v>43064</v>
      </c>
      <c r="U2206" t="s">
        <v>43065</v>
      </c>
      <c r="V2206">
        <f>-592.108633303555 -38.8381466267147 -91.824806866298</f>
        <v>-722.7715867965677</v>
      </c>
      <c r="W2206" t="s">
        <v>43066</v>
      </c>
      <c r="X2206" t="s">
        <v>43067</v>
      </c>
      <c r="Y2206" t="s">
        <v>43068</v>
      </c>
    </row>
    <row r="2207" spans="1:25" x14ac:dyDescent="0.3">
      <c r="A2207">
        <v>110300</v>
      </c>
      <c r="B2207" t="s">
        <v>43069</v>
      </c>
      <c r="C2207" t="s">
        <v>43070</v>
      </c>
      <c r="D2207" t="s">
        <v>43071</v>
      </c>
      <c r="E2207" t="s">
        <v>43072</v>
      </c>
      <c r="F2207" t="s">
        <v>43073</v>
      </c>
      <c r="G2207" t="s">
        <v>43074</v>
      </c>
      <c r="H2207" t="s">
        <v>43075</v>
      </c>
      <c r="I2207" t="s">
        <v>43076</v>
      </c>
      <c r="J2207" t="s">
        <v>43077</v>
      </c>
      <c r="K2207" t="s">
        <v>43078</v>
      </c>
      <c r="L2207" t="s">
        <v>43079</v>
      </c>
      <c r="M2207" t="s">
        <v>43080</v>
      </c>
      <c r="N2207" t="s">
        <v>43081</v>
      </c>
      <c r="O2207">
        <f>-664.25955547448 -129.839247949393 -507.40890500395</f>
        <v>-1301.507708427823</v>
      </c>
      <c r="P2207">
        <f>-588.909141021861 -160.078221979818 -237.248835418752</f>
        <v>-986.23619842043115</v>
      </c>
      <c r="Q2207">
        <f>-459.961283920949 -29.0380058625606 -379.197311903947</f>
        <v>-868.19660168745668</v>
      </c>
      <c r="R2207" t="s">
        <v>43082</v>
      </c>
      <c r="S2207" t="s">
        <v>43083</v>
      </c>
      <c r="T2207" t="s">
        <v>43084</v>
      </c>
      <c r="U2207" t="s">
        <v>43085</v>
      </c>
      <c r="V2207">
        <f>-591.586454212644 -39.2617702989912 -91.8312453355655</f>
        <v>-722.67946984720072</v>
      </c>
      <c r="W2207" t="s">
        <v>43086</v>
      </c>
      <c r="X2207" t="s">
        <v>43087</v>
      </c>
      <c r="Y2207" t="s">
        <v>43088</v>
      </c>
    </row>
    <row r="2208" spans="1:25" x14ac:dyDescent="0.3">
      <c r="A2208">
        <v>110350</v>
      </c>
      <c r="B2208" t="s">
        <v>43089</v>
      </c>
      <c r="C2208" t="s">
        <v>43090</v>
      </c>
      <c r="D2208" t="s">
        <v>43091</v>
      </c>
      <c r="E2208" t="s">
        <v>43092</v>
      </c>
      <c r="F2208" t="s">
        <v>43093</v>
      </c>
      <c r="G2208" t="s">
        <v>43094</v>
      </c>
      <c r="H2208" t="s">
        <v>43095</v>
      </c>
      <c r="I2208" t="s">
        <v>43096</v>
      </c>
      <c r="J2208" t="s">
        <v>43097</v>
      </c>
      <c r="K2208" t="s">
        <v>43098</v>
      </c>
      <c r="L2208" t="s">
        <v>43099</v>
      </c>
      <c r="M2208" t="s">
        <v>43100</v>
      </c>
      <c r="N2208" t="s">
        <v>43101</v>
      </c>
      <c r="O2208">
        <f>-664.729735598292 -130.542364382756 -506.920430668053</f>
        <v>-1302.1925306491009</v>
      </c>
      <c r="P2208">
        <f>-589.853254632632 -160.362927548447 -236.582106113873</f>
        <v>-986.79828829495204</v>
      </c>
      <c r="Q2208">
        <f>-460.733776836294 -29.7018661219327 -378.724157296281</f>
        <v>-869.15980025450767</v>
      </c>
      <c r="R2208" t="s">
        <v>43102</v>
      </c>
      <c r="S2208" t="s">
        <v>43103</v>
      </c>
      <c r="T2208" t="s">
        <v>43104</v>
      </c>
      <c r="U2208" t="s">
        <v>43105</v>
      </c>
      <c r="V2208">
        <f>-591.490799533181 -39.5504360600119 -91.8613238696947</f>
        <v>-722.90255946288755</v>
      </c>
      <c r="W2208" t="s">
        <v>43106</v>
      </c>
      <c r="X2208" t="s">
        <v>43107</v>
      </c>
      <c r="Y2208" t="s">
        <v>43108</v>
      </c>
    </row>
    <row r="2209" spans="1:25" x14ac:dyDescent="0.3">
      <c r="A2209">
        <v>110400</v>
      </c>
      <c r="B2209" t="s">
        <v>43109</v>
      </c>
      <c r="C2209" t="s">
        <v>43110</v>
      </c>
      <c r="D2209" t="s">
        <v>43111</v>
      </c>
      <c r="E2209" t="s">
        <v>43112</v>
      </c>
      <c r="F2209" t="s">
        <v>43113</v>
      </c>
      <c r="G2209" t="s">
        <v>43114</v>
      </c>
      <c r="H2209" t="s">
        <v>43115</v>
      </c>
      <c r="I2209" t="s">
        <v>43116</v>
      </c>
      <c r="J2209" t="s">
        <v>43117</v>
      </c>
      <c r="K2209" t="s">
        <v>43118</v>
      </c>
      <c r="L2209" t="s">
        <v>43119</v>
      </c>
      <c r="M2209" t="s">
        <v>43120</v>
      </c>
      <c r="N2209" t="s">
        <v>43121</v>
      </c>
      <c r="O2209">
        <f>-665.552558809997 -132.076847483249 -505.990398276236</f>
        <v>-1303.6198045694821</v>
      </c>
      <c r="P2209">
        <f>-592.312296020797 -160.913273746859 -235.09770033303</f>
        <v>-988.32327010068593</v>
      </c>
      <c r="Q2209">
        <f>-462.376923600674 -31.6354563266841 -377.760238385358</f>
        <v>-871.77261831271608</v>
      </c>
      <c r="R2209" t="s">
        <v>43122</v>
      </c>
      <c r="S2209" t="s">
        <v>43123</v>
      </c>
      <c r="T2209" t="s">
        <v>43124</v>
      </c>
      <c r="U2209" t="s">
        <v>43125</v>
      </c>
      <c r="V2209">
        <f>-591.873468753948 -40.1745572522673 -91.9263070520642</f>
        <v>-723.97433305827951</v>
      </c>
      <c r="W2209" t="s">
        <v>43126</v>
      </c>
      <c r="X2209" t="s">
        <v>43127</v>
      </c>
      <c r="Y2209" t="s">
        <v>43128</v>
      </c>
    </row>
    <row r="2210" spans="1:25" x14ac:dyDescent="0.3">
      <c r="A2210">
        <v>110450</v>
      </c>
      <c r="B2210" t="s">
        <v>43129</v>
      </c>
      <c r="C2210" t="s">
        <v>43130</v>
      </c>
      <c r="D2210" t="s">
        <v>43131</v>
      </c>
      <c r="E2210" t="s">
        <v>43132</v>
      </c>
      <c r="F2210" t="s">
        <v>43133</v>
      </c>
      <c r="G2210" t="s">
        <v>43134</v>
      </c>
      <c r="H2210" t="s">
        <v>43135</v>
      </c>
      <c r="I2210" t="s">
        <v>43136</v>
      </c>
      <c r="J2210" t="s">
        <v>43137</v>
      </c>
      <c r="K2210" t="s">
        <v>43138</v>
      </c>
      <c r="L2210" t="s">
        <v>43139</v>
      </c>
      <c r="M2210" t="s">
        <v>43140</v>
      </c>
      <c r="N2210" t="s">
        <v>43141</v>
      </c>
      <c r="O2210">
        <f>-665.691082952271 -133.07240107386 -505.520302438271</f>
        <v>-1304.2837864644021</v>
      </c>
      <c r="P2210">
        <f>-593.707685161327 -161.589046434809 -234.256961061809</f>
        <v>-989.55369265794502</v>
      </c>
      <c r="Q2210">
        <f>-462.915014241692 -33.3061065085653 -377.034031506808</f>
        <v>-873.25515225706522</v>
      </c>
      <c r="R2210" t="s">
        <v>43142</v>
      </c>
      <c r="S2210" t="s">
        <v>43143</v>
      </c>
      <c r="T2210" t="s">
        <v>43144</v>
      </c>
      <c r="U2210" t="s">
        <v>43145</v>
      </c>
      <c r="V2210">
        <f>-592.37812499885 -40.585362352934 -91.9491663632614</f>
        <v>-724.91265371504539</v>
      </c>
      <c r="W2210" t="s">
        <v>43146</v>
      </c>
      <c r="X2210" t="s">
        <v>43147</v>
      </c>
      <c r="Y2210" t="s">
        <v>43148</v>
      </c>
    </row>
    <row r="2211" spans="1:25" x14ac:dyDescent="0.3">
      <c r="A2211">
        <v>110500</v>
      </c>
      <c r="B2211" t="s">
        <v>43149</v>
      </c>
      <c r="C2211" t="s">
        <v>43150</v>
      </c>
      <c r="D2211" t="s">
        <v>43151</v>
      </c>
      <c r="E2211" t="s">
        <v>43152</v>
      </c>
      <c r="F2211" t="s">
        <v>43153</v>
      </c>
      <c r="G2211" t="s">
        <v>43154</v>
      </c>
      <c r="H2211" t="s">
        <v>43155</v>
      </c>
      <c r="I2211" t="s">
        <v>43156</v>
      </c>
      <c r="J2211" t="s">
        <v>43157</v>
      </c>
      <c r="K2211" t="s">
        <v>43158</v>
      </c>
      <c r="L2211" t="s">
        <v>43159</v>
      </c>
      <c r="M2211" t="s">
        <v>43160</v>
      </c>
      <c r="N2211" t="s">
        <v>43161</v>
      </c>
      <c r="O2211">
        <f>-665.673186728449 -135.258870429981 -504.681926385962</f>
        <v>-1305.6139835443919</v>
      </c>
      <c r="P2211">
        <f>-597.489380914533 -163.286833145308 -232.38798676332</f>
        <v>-993.16420082316097</v>
      </c>
      <c r="Q2211">
        <f>-463.501443244853 -37.6530716175596 -374.55665572198</f>
        <v>-875.71117058439268</v>
      </c>
      <c r="R2211" t="s">
        <v>43162</v>
      </c>
      <c r="S2211" t="s">
        <v>43163</v>
      </c>
      <c r="T2211" t="s">
        <v>43164</v>
      </c>
      <c r="U2211" t="s">
        <v>43165</v>
      </c>
      <c r="V2211">
        <f>-593.682441714638 -41.529985074545 -91.9783970900448</f>
        <v>-727.19082387922788</v>
      </c>
      <c r="W2211" t="s">
        <v>43166</v>
      </c>
      <c r="X2211" t="s">
        <v>43167</v>
      </c>
      <c r="Y2211" t="s">
        <v>43168</v>
      </c>
    </row>
    <row r="2212" spans="1:25" x14ac:dyDescent="0.3">
      <c r="A2212">
        <v>110550</v>
      </c>
      <c r="B2212" t="s">
        <v>43169</v>
      </c>
      <c r="C2212" t="s">
        <v>43170</v>
      </c>
      <c r="D2212" t="s">
        <v>43171</v>
      </c>
      <c r="E2212" t="s">
        <v>43172</v>
      </c>
      <c r="F2212" t="s">
        <v>43173</v>
      </c>
      <c r="G2212" t="s">
        <v>43174</v>
      </c>
      <c r="H2212" t="s">
        <v>43175</v>
      </c>
      <c r="I2212" t="s">
        <v>43176</v>
      </c>
      <c r="J2212" t="s">
        <v>43177</v>
      </c>
      <c r="K2212" t="s">
        <v>43178</v>
      </c>
      <c r="L2212" t="s">
        <v>43179</v>
      </c>
      <c r="M2212" t="s">
        <v>43180</v>
      </c>
      <c r="N2212" t="s">
        <v>43181</v>
      </c>
      <c r="O2212">
        <f>-665.622407659992 -136.335006327996 -504.304204151495</f>
        <v>-1306.2616181394828</v>
      </c>
      <c r="P2212">
        <f>-600.103427141136 -164.443932734752 -231.365112850702</f>
        <v>-995.91247272658995</v>
      </c>
      <c r="Q2212">
        <f>-463.187793050027 -40.5058775328969 -372.226868771023</f>
        <v>-875.92053935394688</v>
      </c>
      <c r="R2212" t="s">
        <v>43182</v>
      </c>
      <c r="S2212" t="s">
        <v>43183</v>
      </c>
      <c r="T2212" t="s">
        <v>43184</v>
      </c>
      <c r="U2212" t="s">
        <v>43185</v>
      </c>
      <c r="V2212">
        <f>-594.358311198543 -41.9084460824513 -91.9781638373091</f>
        <v>-728.24492111830341</v>
      </c>
      <c r="W2212" t="s">
        <v>43186</v>
      </c>
      <c r="X2212" t="s">
        <v>43187</v>
      </c>
      <c r="Y2212" t="s">
        <v>43188</v>
      </c>
    </row>
    <row r="2213" spans="1:25" x14ac:dyDescent="0.3">
      <c r="A2213">
        <v>110600</v>
      </c>
      <c r="B2213" t="s">
        <v>43189</v>
      </c>
      <c r="C2213" t="s">
        <v>43190</v>
      </c>
      <c r="D2213" t="s">
        <v>43191</v>
      </c>
      <c r="E2213" t="s">
        <v>43192</v>
      </c>
      <c r="F2213" t="s">
        <v>43193</v>
      </c>
      <c r="G2213" t="s">
        <v>43194</v>
      </c>
      <c r="H2213" t="s">
        <v>43195</v>
      </c>
      <c r="I2213" t="s">
        <v>43196</v>
      </c>
      <c r="J2213" t="s">
        <v>43197</v>
      </c>
      <c r="K2213" t="s">
        <v>43198</v>
      </c>
      <c r="L2213" t="s">
        <v>43199</v>
      </c>
      <c r="M2213" t="s">
        <v>43200</v>
      </c>
      <c r="N2213" t="s">
        <v>43201</v>
      </c>
      <c r="O2213">
        <f>-664.978094760591 -138.137901114798 -504.142441432497</f>
        <v>-1307.258437307886</v>
      </c>
      <c r="P2213">
        <f>-607.382468334495 -168.938861015527 -229.710923147196</f>
        <v>-1006.032252497218</v>
      </c>
      <c r="Q2213">
        <f>-462.753870565736 -47.7687809655392 -365.169189541491</f>
        <v>-875.69184107276624</v>
      </c>
      <c r="R2213" t="s">
        <v>43202</v>
      </c>
      <c r="S2213" t="s">
        <v>43203</v>
      </c>
      <c r="T2213" t="s">
        <v>43204</v>
      </c>
      <c r="U2213" t="s">
        <v>43205</v>
      </c>
      <c r="V2213">
        <f>-595.343296733629 -42.3736645805373 -91.939414409399</f>
        <v>-729.65637572356525</v>
      </c>
      <c r="W2213" t="s">
        <v>43206</v>
      </c>
      <c r="X2213" t="s">
        <v>43207</v>
      </c>
      <c r="Y2213" t="s">
        <v>43208</v>
      </c>
    </row>
    <row r="2214" spans="1:25" x14ac:dyDescent="0.3">
      <c r="A2214">
        <v>110650</v>
      </c>
      <c r="B2214" t="s">
        <v>43209</v>
      </c>
      <c r="C2214" t="s">
        <v>43210</v>
      </c>
      <c r="D2214" t="s">
        <v>43211</v>
      </c>
      <c r="E2214" t="s">
        <v>43212</v>
      </c>
      <c r="F2214" t="s">
        <v>43213</v>
      </c>
      <c r="G2214" t="s">
        <v>43214</v>
      </c>
      <c r="H2214" t="s">
        <v>43215</v>
      </c>
      <c r="I2214" t="s">
        <v>43216</v>
      </c>
      <c r="J2214" t="s">
        <v>43217</v>
      </c>
      <c r="K2214" t="s">
        <v>43218</v>
      </c>
      <c r="L2214" t="s">
        <v>43219</v>
      </c>
      <c r="M2214" t="s">
        <v>43220</v>
      </c>
      <c r="N2214" t="s">
        <v>43221</v>
      </c>
      <c r="O2214">
        <f>-664.571228022141 -138.721279390866 -504.433818878241</f>
        <v>-1307.7263262912479</v>
      </c>
      <c r="P2214">
        <f>-612.641577470701 -171.745751519212 -229.131677675116</f>
        <v>-1013.5190066650291</v>
      </c>
      <c r="Q2214">
        <f>-464.135410896992 -50.9215046427466 -360.645794983592</f>
        <v>-875.70271052333055</v>
      </c>
      <c r="R2214" t="s">
        <v>43222</v>
      </c>
      <c r="S2214" t="s">
        <v>43223</v>
      </c>
      <c r="T2214" t="s">
        <v>43224</v>
      </c>
      <c r="U2214" t="s">
        <v>43225</v>
      </c>
      <c r="V2214">
        <f>-595.564999192729 -42.5614407770834 -91.8999593278302</f>
        <v>-730.02639929764257</v>
      </c>
      <c r="W2214" t="s">
        <v>43226</v>
      </c>
      <c r="X2214" t="s">
        <v>43227</v>
      </c>
      <c r="Y2214" t="s">
        <v>43228</v>
      </c>
    </row>
    <row r="2215" spans="1:25" x14ac:dyDescent="0.3">
      <c r="A2215">
        <v>110700</v>
      </c>
      <c r="B2215" t="s">
        <v>43229</v>
      </c>
      <c r="C2215" t="s">
        <v>43230</v>
      </c>
      <c r="D2215" t="s">
        <v>43231</v>
      </c>
      <c r="E2215" t="s">
        <v>43232</v>
      </c>
      <c r="F2215" t="s">
        <v>43233</v>
      </c>
      <c r="G2215" t="s">
        <v>43234</v>
      </c>
      <c r="H2215" t="s">
        <v>43235</v>
      </c>
      <c r="I2215" t="s">
        <v>43236</v>
      </c>
      <c r="J2215" t="s">
        <v>43237</v>
      </c>
      <c r="K2215" t="s">
        <v>43238</v>
      </c>
      <c r="L2215" t="s">
        <v>43239</v>
      </c>
      <c r="M2215" t="s">
        <v>43240</v>
      </c>
      <c r="N2215" t="s">
        <v>43241</v>
      </c>
      <c r="O2215">
        <f>-663.629495776328 -139.731463171175 -505.21058401208</f>
        <v>-1308.571542959583</v>
      </c>
      <c r="P2215">
        <f>-626.134586525561 -176.878409922176 -228.095413368163</f>
        <v>-1031.1084098158999</v>
      </c>
      <c r="Q2215">
        <f>-470.117626491421 -56.6748633258485 -351.214583832018</f>
        <v>-878.00707364928746</v>
      </c>
      <c r="R2215" t="s">
        <v>43242</v>
      </c>
      <c r="S2215" t="s">
        <v>43243</v>
      </c>
      <c r="T2215" t="s">
        <v>43244</v>
      </c>
      <c r="U2215" t="s">
        <v>43245</v>
      </c>
      <c r="V2215">
        <f>-595.774952793368 -43.1702430822725 -91.8788604524041</f>
        <v>-730.82405632804455</v>
      </c>
      <c r="W2215" t="s">
        <v>43246</v>
      </c>
      <c r="X2215" t="s">
        <v>43247</v>
      </c>
      <c r="Y2215" t="s">
        <v>43248</v>
      </c>
    </row>
    <row r="2216" spans="1:25" x14ac:dyDescent="0.3">
      <c r="A2216">
        <v>110750</v>
      </c>
      <c r="B2216" t="s">
        <v>43249</v>
      </c>
      <c r="C2216" t="s">
        <v>43250</v>
      </c>
      <c r="D2216" t="s">
        <v>43251</v>
      </c>
      <c r="E2216" t="s">
        <v>43252</v>
      </c>
      <c r="F2216" t="s">
        <v>43253</v>
      </c>
      <c r="G2216" t="s">
        <v>43254</v>
      </c>
      <c r="H2216" t="s">
        <v>43255</v>
      </c>
      <c r="I2216" t="s">
        <v>43256</v>
      </c>
      <c r="J2216" t="s">
        <v>43257</v>
      </c>
      <c r="K2216" t="s">
        <v>43258</v>
      </c>
      <c r="L2216" t="s">
        <v>43259</v>
      </c>
      <c r="M2216" t="s">
        <v>43260</v>
      </c>
      <c r="N2216" t="s">
        <v>43261</v>
      </c>
      <c r="O2216">
        <f>-663.017872756029 -140.168295828649 -505.490212318113</f>
        <v>-1308.6763809027909</v>
      </c>
      <c r="P2216">
        <f>-633.607328156067 -178.942021884498 -227.622885174237</f>
        <v>-1040.172235214802</v>
      </c>
      <c r="Q2216">
        <f>-473.493411838321 -58.8890192241161 -345.518396360754</f>
        <v>-877.900827423191</v>
      </c>
      <c r="R2216" t="s">
        <v>43262</v>
      </c>
      <c r="S2216" t="s">
        <v>43263</v>
      </c>
      <c r="T2216" t="s">
        <v>43264</v>
      </c>
      <c r="U2216" t="s">
        <v>43265</v>
      </c>
      <c r="V2216">
        <f>-595.7392160488 -43.5042921876911 -91.8877156769682</f>
        <v>-731.13122391345939</v>
      </c>
      <c r="W2216" t="s">
        <v>43266</v>
      </c>
      <c r="X2216" t="s">
        <v>43267</v>
      </c>
      <c r="Y2216" t="s">
        <v>43268</v>
      </c>
    </row>
    <row r="2217" spans="1:25" x14ac:dyDescent="0.3">
      <c r="A2217">
        <v>110800</v>
      </c>
      <c r="B2217" t="s">
        <v>43269</v>
      </c>
      <c r="C2217" t="s">
        <v>43270</v>
      </c>
      <c r="D2217" t="s">
        <v>43271</v>
      </c>
      <c r="E2217" t="s">
        <v>43272</v>
      </c>
      <c r="F2217" t="s">
        <v>43273</v>
      </c>
      <c r="G2217" t="s">
        <v>43274</v>
      </c>
      <c r="H2217" t="s">
        <v>43275</v>
      </c>
      <c r="I2217" t="s">
        <v>43276</v>
      </c>
      <c r="J2217" t="s">
        <v>43277</v>
      </c>
      <c r="K2217" t="s">
        <v>43278</v>
      </c>
      <c r="L2217" t="s">
        <v>43279</v>
      </c>
      <c r="M2217" t="s">
        <v>43280</v>
      </c>
      <c r="N2217" t="s">
        <v>43281</v>
      </c>
      <c r="O2217">
        <f>-661.541881784813 -141.824086669688 -505.437953572264</f>
        <v>-1308.8039220267649</v>
      </c>
      <c r="P2217">
        <f>-647.443853514671 -182.085664659732 -226.585175473905</f>
        <v>-1056.1146936483078</v>
      </c>
      <c r="Q2217">
        <f>-479.359181372217 -63.6146010464411 -334.569897494155</f>
        <v>-877.5436799128131</v>
      </c>
      <c r="R2217" t="s">
        <v>43282</v>
      </c>
      <c r="S2217" t="s">
        <v>43283</v>
      </c>
      <c r="T2217" t="s">
        <v>43284</v>
      </c>
      <c r="U2217" t="s">
        <v>43285</v>
      </c>
      <c r="V2217">
        <f>-595.75114695908 -44.3360741431688 -91.8856868668679</f>
        <v>-731.9729079691167</v>
      </c>
      <c r="W2217" t="s">
        <v>43286</v>
      </c>
      <c r="X2217" t="s">
        <v>43287</v>
      </c>
      <c r="Y2217" t="s">
        <v>43288</v>
      </c>
    </row>
    <row r="2218" spans="1:25" x14ac:dyDescent="0.3">
      <c r="A2218">
        <v>110850</v>
      </c>
      <c r="B2218" t="s">
        <v>43289</v>
      </c>
      <c r="C2218" t="s">
        <v>43290</v>
      </c>
      <c r="D2218" t="s">
        <v>43291</v>
      </c>
      <c r="E2218" t="s">
        <v>43292</v>
      </c>
      <c r="F2218" t="s">
        <v>43293</v>
      </c>
      <c r="G2218" t="s">
        <v>43294</v>
      </c>
      <c r="H2218" t="s">
        <v>43295</v>
      </c>
      <c r="I2218" t="s">
        <v>43296</v>
      </c>
      <c r="J2218" t="s">
        <v>43297</v>
      </c>
      <c r="K2218" t="s">
        <v>43298</v>
      </c>
      <c r="L2218" t="s">
        <v>43299</v>
      </c>
      <c r="M2218" t="s">
        <v>43300</v>
      </c>
      <c r="N2218" t="s">
        <v>43301</v>
      </c>
      <c r="O2218">
        <f>-661.105055177974 -143.132520409309 -505.099572631696</f>
        <v>-1309.3371482189791</v>
      </c>
      <c r="P2218">
        <f>-653.271918349228 -183.225715111053 -225.976279702935</f>
        <v>-1062.4739131632159</v>
      </c>
      <c r="Q2218">
        <f>-482.660898451529 -66.1517289948495 -331.494575521785</f>
        <v>-880.30720296816355</v>
      </c>
      <c r="R2218" t="s">
        <v>43302</v>
      </c>
      <c r="S2218" t="s">
        <v>43303</v>
      </c>
      <c r="T2218" t="s">
        <v>43304</v>
      </c>
      <c r="U2218" t="s">
        <v>43305</v>
      </c>
      <c r="V2218">
        <f>-595.92141132863 -44.9153533548347 -91.8983404754965</f>
        <v>-732.73510515896123</v>
      </c>
      <c r="W2218" t="s">
        <v>43306</v>
      </c>
      <c r="X2218" t="s">
        <v>43307</v>
      </c>
      <c r="Y2218" t="s">
        <v>43308</v>
      </c>
    </row>
    <row r="2219" spans="1:25" x14ac:dyDescent="0.3">
      <c r="A2219">
        <v>110900</v>
      </c>
      <c r="B2219" t="s">
        <v>43309</v>
      </c>
      <c r="C2219" t="s">
        <v>43310</v>
      </c>
      <c r="D2219" t="s">
        <v>43311</v>
      </c>
      <c r="E2219" t="s">
        <v>43312</v>
      </c>
      <c r="F2219" t="s">
        <v>43313</v>
      </c>
      <c r="G2219" t="s">
        <v>43314</v>
      </c>
      <c r="H2219" t="s">
        <v>43315</v>
      </c>
      <c r="I2219" t="s">
        <v>43316</v>
      </c>
      <c r="J2219" t="s">
        <v>43317</v>
      </c>
      <c r="K2219" t="s">
        <v>43318</v>
      </c>
      <c r="L2219" t="s">
        <v>43319</v>
      </c>
      <c r="M2219" t="s">
        <v>43320</v>
      </c>
      <c r="N2219" t="s">
        <v>43321</v>
      </c>
      <c r="O2219">
        <f>-661.228887552465 -146.539015532557 -503.479933830444</f>
        <v>-1311.247836915466</v>
      </c>
      <c r="P2219">
        <f>-662.935479889231 -184.359881739797 -223.93520881623</f>
        <v>-1071.2305704452581</v>
      </c>
      <c r="Q2219">
        <f>-487.261225099939 -74.1066766696333 -328.488177564896</f>
        <v>-889.85607933446829</v>
      </c>
      <c r="R2219" t="s">
        <v>43322</v>
      </c>
      <c r="S2219" t="s">
        <v>43323</v>
      </c>
      <c r="T2219" t="s">
        <v>43324</v>
      </c>
      <c r="U2219" t="s">
        <v>43325</v>
      </c>
      <c r="V2219">
        <f>-596.80790820752 -46.3835774611739 -91.9739847211209</f>
        <v>-735.1654703898148</v>
      </c>
      <c r="W2219" t="s">
        <v>43326</v>
      </c>
      <c r="X2219" t="s">
        <v>43327</v>
      </c>
      <c r="Y2219" t="s">
        <v>43328</v>
      </c>
    </row>
    <row r="2220" spans="1:25" x14ac:dyDescent="0.3">
      <c r="A2220">
        <v>110950</v>
      </c>
      <c r="B2220" t="s">
        <v>43329</v>
      </c>
      <c r="C2220" t="s">
        <v>43330</v>
      </c>
      <c r="D2220" t="s">
        <v>43331</v>
      </c>
      <c r="E2220" t="s">
        <v>43332</v>
      </c>
      <c r="F2220" t="s">
        <v>43333</v>
      </c>
      <c r="G2220" t="s">
        <v>43334</v>
      </c>
      <c r="H2220" t="s">
        <v>43335</v>
      </c>
      <c r="I2220" t="s">
        <v>43336</v>
      </c>
      <c r="J2220" t="s">
        <v>43337</v>
      </c>
      <c r="K2220" t="s">
        <v>43338</v>
      </c>
      <c r="L2220" t="s">
        <v>43339</v>
      </c>
      <c r="M2220" t="s">
        <v>43340</v>
      </c>
      <c r="N2220" t="s">
        <v>43341</v>
      </c>
      <c r="O2220">
        <f>-661.496591542512 -148.478172445488 -502.36515165675</f>
        <v>-1312.3399156447499</v>
      </c>
      <c r="P2220">
        <f>-666.950396597994 -184.94549250264 -222.688566430066</f>
        <v>-1074.5844555307001</v>
      </c>
      <c r="Q2220">
        <f>-488.495803534568 -79.2223769941827 -327.211725335161</f>
        <v>-894.9299058639117</v>
      </c>
      <c r="R2220" t="s">
        <v>43342</v>
      </c>
      <c r="S2220" t="s">
        <v>43343</v>
      </c>
      <c r="T2220" t="s">
        <v>43344</v>
      </c>
      <c r="U2220" t="s">
        <v>43345</v>
      </c>
      <c r="V2220">
        <f>-597.420082113422 -47.0719775782261 -92.0078753668739</f>
        <v>-736.49993505852206</v>
      </c>
      <c r="W2220" t="s">
        <v>43346</v>
      </c>
      <c r="X2220" t="s">
        <v>43347</v>
      </c>
      <c r="Y2220" t="s">
        <v>43348</v>
      </c>
    </row>
    <row r="2221" spans="1:25" x14ac:dyDescent="0.3">
      <c r="A2221">
        <v>111000</v>
      </c>
      <c r="B2221" t="s">
        <v>43349</v>
      </c>
      <c r="C2221" t="s">
        <v>43350</v>
      </c>
      <c r="D2221" t="s">
        <v>43351</v>
      </c>
      <c r="E2221" t="s">
        <v>43352</v>
      </c>
      <c r="F2221" t="s">
        <v>43353</v>
      </c>
      <c r="G2221" t="s">
        <v>43354</v>
      </c>
      <c r="H2221" t="s">
        <v>43355</v>
      </c>
      <c r="I2221" t="s">
        <v>43356</v>
      </c>
      <c r="J2221" t="s">
        <v>43357</v>
      </c>
      <c r="K2221" t="s">
        <v>43358</v>
      </c>
      <c r="L2221" t="s">
        <v>43359</v>
      </c>
      <c r="M2221" t="s">
        <v>43360</v>
      </c>
      <c r="N2221" t="s">
        <v>43361</v>
      </c>
      <c r="O2221">
        <f>-662.667806180844 -152.845375053831 -499.953230050297</f>
        <v>-1315.4664112849719</v>
      </c>
      <c r="P2221">
        <f>-674.778386502845 -187.556448440527 -220.262244419794</f>
        <v>-1082.5970793631659</v>
      </c>
      <c r="Q2221">
        <f>-491.045259628546 -90.9479184275719 -324.46155951177</f>
        <v>-906.45473756788795</v>
      </c>
      <c r="R2221" t="s">
        <v>43362</v>
      </c>
      <c r="S2221" t="s">
        <v>43363</v>
      </c>
      <c r="T2221" t="s">
        <v>43364</v>
      </c>
      <c r="U2221" t="s">
        <v>43365</v>
      </c>
      <c r="V2221">
        <f>-598.902802486718 -48.7130148949086 -92.1256669722014</f>
        <v>-739.74148435382801</v>
      </c>
      <c r="W2221" t="s">
        <v>43366</v>
      </c>
      <c r="X2221" t="s">
        <v>43367</v>
      </c>
      <c r="Y2221" t="s">
        <v>43368</v>
      </c>
    </row>
    <row r="2222" spans="1:25" x14ac:dyDescent="0.3">
      <c r="A2222">
        <v>111050</v>
      </c>
      <c r="B2222" t="s">
        <v>43369</v>
      </c>
      <c r="C2222" t="s">
        <v>43370</v>
      </c>
      <c r="D2222" t="s">
        <v>43371</v>
      </c>
      <c r="E2222" t="s">
        <v>43372</v>
      </c>
      <c r="F2222" t="s">
        <v>43373</v>
      </c>
      <c r="G2222" t="s">
        <v>43374</v>
      </c>
      <c r="H2222" t="s">
        <v>43375</v>
      </c>
      <c r="I2222" t="s">
        <v>43376</v>
      </c>
      <c r="J2222" t="s">
        <v>43377</v>
      </c>
      <c r="K2222" t="s">
        <v>43378</v>
      </c>
      <c r="L2222" t="s">
        <v>43379</v>
      </c>
      <c r="M2222" t="s">
        <v>43380</v>
      </c>
      <c r="N2222">
        <f>-655.125063332986 -2.18769390567309 -528.965641321255</f>
        <v>-1186.278398559914</v>
      </c>
      <c r="O2222">
        <f>-663.760611703011 -155.039569397102 -498.964914250741</f>
        <v>-1317.7650953508542</v>
      </c>
      <c r="P2222">
        <f>-678.468900492354 -189.305729918303 -219.343569292852</f>
        <v>-1087.1181997035089</v>
      </c>
      <c r="Q2222">
        <f>-493.185253573847 -95.5093759698352 -323.366521941883</f>
        <v>-912.06115148556512</v>
      </c>
      <c r="R2222" t="s">
        <v>43381</v>
      </c>
      <c r="S2222" t="s">
        <v>43382</v>
      </c>
      <c r="T2222" t="s">
        <v>43383</v>
      </c>
      <c r="U2222" t="s">
        <v>43384</v>
      </c>
      <c r="V2222">
        <f>-599.672873842618 -49.5646278289778 -92.2054650606144</f>
        <v>-741.44296673221015</v>
      </c>
      <c r="W2222" t="s">
        <v>43385</v>
      </c>
      <c r="X2222" t="s">
        <v>43386</v>
      </c>
      <c r="Y2222" t="s">
        <v>43387</v>
      </c>
    </row>
    <row r="2223" spans="1:25" x14ac:dyDescent="0.3">
      <c r="A2223">
        <v>111100</v>
      </c>
      <c r="B2223" t="s">
        <v>43388</v>
      </c>
      <c r="C2223" t="s">
        <v>43389</v>
      </c>
      <c r="D2223" t="s">
        <v>43390</v>
      </c>
      <c r="E2223" t="s">
        <v>43391</v>
      </c>
      <c r="F2223" t="s">
        <v>43392</v>
      </c>
      <c r="G2223" t="s">
        <v>43393</v>
      </c>
      <c r="H2223" t="s">
        <v>43394</v>
      </c>
      <c r="I2223" t="s">
        <v>43395</v>
      </c>
      <c r="J2223" t="s">
        <v>43396</v>
      </c>
      <c r="K2223" t="s">
        <v>43397</v>
      </c>
      <c r="L2223" t="s">
        <v>43398</v>
      </c>
      <c r="M2223" t="s">
        <v>43399</v>
      </c>
      <c r="N2223">
        <f>-655.789501797374 -6.81384722167491 -528.733333018528</f>
        <v>-1191.3366820375768</v>
      </c>
      <c r="O2223">
        <f>-666.320315371244 -159.236915773243 -497.169988575869</f>
        <v>-1322.7272197203561</v>
      </c>
      <c r="P2223">
        <f>-685.474154280747 -191.778726667015 -217.611829852742</f>
        <v>-1094.8647108005041</v>
      </c>
      <c r="Q2223">
        <f>-498.46068582426 -101.258832726022 -321.441866073404</f>
        <v>-921.16138462368599</v>
      </c>
      <c r="R2223" t="s">
        <v>43400</v>
      </c>
      <c r="S2223" t="s">
        <v>43401</v>
      </c>
      <c r="T2223" t="s">
        <v>43402</v>
      </c>
      <c r="U2223" t="s">
        <v>43403</v>
      </c>
      <c r="V2223">
        <f>-601.042362078869 -51.1343764650292 -92.3666464787996</f>
        <v>-744.54338502269775</v>
      </c>
      <c r="W2223" t="s">
        <v>43404</v>
      </c>
      <c r="X2223" t="s">
        <v>43405</v>
      </c>
      <c r="Y2223" t="s">
        <v>43406</v>
      </c>
    </row>
    <row r="2224" spans="1:25" x14ac:dyDescent="0.3">
      <c r="A2224">
        <v>111150</v>
      </c>
      <c r="B2224" t="s">
        <v>43407</v>
      </c>
      <c r="C2224" t="s">
        <v>43408</v>
      </c>
      <c r="D2224" t="s">
        <v>43409</v>
      </c>
      <c r="E2224" t="s">
        <v>43410</v>
      </c>
      <c r="F2224" t="s">
        <v>43411</v>
      </c>
      <c r="G2224" t="s">
        <v>43412</v>
      </c>
      <c r="H2224" t="s">
        <v>43413</v>
      </c>
      <c r="I2224" t="s">
        <v>43414</v>
      </c>
      <c r="J2224" t="s">
        <v>43415</v>
      </c>
      <c r="K2224" t="s">
        <v>43416</v>
      </c>
      <c r="L2224" t="s">
        <v>43417</v>
      </c>
      <c r="M2224" t="s">
        <v>43418</v>
      </c>
      <c r="N2224">
        <f>-656.288373148094 -9.08998438776553 -528.564179117653</f>
        <v>-1193.9425366535124</v>
      </c>
      <c r="O2224">
        <f>-667.623976152369 -161.251957263869 -496.103537074607</f>
        <v>-1324.979470490845</v>
      </c>
      <c r="P2224">
        <f>-688.507935203344 -192.49496377696 -216.52115104911</f>
        <v>-1097.524050029414</v>
      </c>
      <c r="Q2224">
        <f>-500.845595460269 -103.848895578385 -320.796192241393</f>
        <v>-925.49068328004694</v>
      </c>
      <c r="R2224" t="s">
        <v>43419</v>
      </c>
      <c r="S2224" t="s">
        <v>43420</v>
      </c>
      <c r="T2224" t="s">
        <v>43421</v>
      </c>
      <c r="U2224" t="s">
        <v>43422</v>
      </c>
      <c r="V2224">
        <f>-601.695198617218 -51.973169825859 -92.4526867136451</f>
        <v>-746.12105515672215</v>
      </c>
      <c r="W2224" t="s">
        <v>43423</v>
      </c>
      <c r="X2224" t="s">
        <v>43424</v>
      </c>
      <c r="Y2224" t="s">
        <v>43425</v>
      </c>
    </row>
    <row r="2225" spans="1:25" x14ac:dyDescent="0.3">
      <c r="A2225">
        <v>111200</v>
      </c>
      <c r="B2225" t="s">
        <v>43426</v>
      </c>
      <c r="C2225" t="s">
        <v>43427</v>
      </c>
      <c r="D2225" t="s">
        <v>43428</v>
      </c>
      <c r="E2225" t="s">
        <v>43429</v>
      </c>
      <c r="F2225" t="s">
        <v>43430</v>
      </c>
      <c r="G2225" t="s">
        <v>43431</v>
      </c>
      <c r="H2225" t="s">
        <v>43432</v>
      </c>
      <c r="I2225" t="s">
        <v>43433</v>
      </c>
      <c r="J2225" t="s">
        <v>43434</v>
      </c>
      <c r="K2225" t="s">
        <v>43435</v>
      </c>
      <c r="L2225" t="s">
        <v>43436</v>
      </c>
      <c r="M2225" t="s">
        <v>43437</v>
      </c>
      <c r="N2225">
        <f>-658.057320325689 -14.1973240543302 -528.173277217088</f>
        <v>-1200.4279215971073</v>
      </c>
      <c r="O2225">
        <f>-670.453936125462 -165.844348854814 -493.756203291214</f>
        <v>-1330.0544882714898</v>
      </c>
      <c r="P2225">
        <f>-692.770284996719 -193.855636345638 -213.942046992597</f>
        <v>-1100.567968334954</v>
      </c>
      <c r="Q2225">
        <f>-504.154171030583 -108.454110836462 -319.199363429599</f>
        <v>-931.80764529664395</v>
      </c>
      <c r="R2225" t="s">
        <v>43438</v>
      </c>
      <c r="S2225" t="s">
        <v>43439</v>
      </c>
      <c r="T2225" t="s">
        <v>43440</v>
      </c>
      <c r="U2225" t="s">
        <v>43441</v>
      </c>
      <c r="V2225">
        <f>-602.885733472717 -53.7090414577021 -92.6134999733284</f>
        <v>-749.20827490374757</v>
      </c>
      <c r="W2225" t="s">
        <v>43442</v>
      </c>
      <c r="X2225" t="s">
        <v>43443</v>
      </c>
      <c r="Y2225" t="s">
        <v>43444</v>
      </c>
    </row>
    <row r="2226" spans="1:25" x14ac:dyDescent="0.3">
      <c r="A2226">
        <v>111250</v>
      </c>
      <c r="B2226" t="s">
        <v>43445</v>
      </c>
      <c r="C2226" t="s">
        <v>43446</v>
      </c>
      <c r="D2226" t="s">
        <v>43447</v>
      </c>
      <c r="E2226" t="s">
        <v>43448</v>
      </c>
      <c r="F2226" t="s">
        <v>43449</v>
      </c>
      <c r="G2226" t="s">
        <v>43450</v>
      </c>
      <c r="H2226" t="s">
        <v>43451</v>
      </c>
      <c r="I2226" t="s">
        <v>43452</v>
      </c>
      <c r="J2226" t="s">
        <v>43453</v>
      </c>
      <c r="K2226" t="s">
        <v>43454</v>
      </c>
      <c r="L2226" t="s">
        <v>43455</v>
      </c>
      <c r="M2226" t="s">
        <v>43456</v>
      </c>
      <c r="N2226">
        <f>-659.234179028029 -16.9735566693969 -527.96382580383</f>
        <v>-1204.1715615012558</v>
      </c>
      <c r="O2226">
        <f>-672.257805226164 -168.347272163892 -492.613445435775</f>
        <v>-1333.2185228258311</v>
      </c>
      <c r="P2226">
        <f>-694.129720545146 -194.594923858891 -212.593228595487</f>
        <v>-1101.3178729995241</v>
      </c>
      <c r="Q2226">
        <f>-505.552643412817 -110.590261143662 -319.03774734495</f>
        <v>-935.18065190142897</v>
      </c>
      <c r="R2226" t="s">
        <v>43457</v>
      </c>
      <c r="S2226" t="s">
        <v>43458</v>
      </c>
      <c r="T2226" t="s">
        <v>43459</v>
      </c>
      <c r="U2226" t="s">
        <v>43460</v>
      </c>
      <c r="V2226">
        <f>-603.324472414835 -54.6363692603029 -92.6928862341077</f>
        <v>-750.65372790924562</v>
      </c>
      <c r="W2226" t="s">
        <v>43461</v>
      </c>
      <c r="X2226" t="s">
        <v>43462</v>
      </c>
      <c r="Y2226" t="s">
        <v>43463</v>
      </c>
    </row>
    <row r="2227" spans="1:25" x14ac:dyDescent="0.3">
      <c r="A2227">
        <v>111300</v>
      </c>
      <c r="B2227" t="s">
        <v>43464</v>
      </c>
      <c r="C2227" t="s">
        <v>43465</v>
      </c>
      <c r="D2227" t="s">
        <v>43466</v>
      </c>
      <c r="E2227" t="s">
        <v>43467</v>
      </c>
      <c r="F2227" t="s">
        <v>43468</v>
      </c>
      <c r="G2227" t="s">
        <v>43469</v>
      </c>
      <c r="H2227" t="s">
        <v>43470</v>
      </c>
      <c r="I2227">
        <f>-646.480473294262 -1.97432595760006 -659.599890296436</f>
        <v>-1308.054689548298</v>
      </c>
      <c r="J2227" t="s">
        <v>43471</v>
      </c>
      <c r="K2227" t="s">
        <v>43472</v>
      </c>
      <c r="L2227" t="s">
        <v>43473</v>
      </c>
      <c r="M2227" t="s">
        <v>43474</v>
      </c>
      <c r="N2227">
        <f>-661.12429264452 -22.2125057570454 -527.551792881673</f>
        <v>-1210.8885912832384</v>
      </c>
      <c r="O2227">
        <f>-674.838785737305 -173.151658787936 -490.610399597668</f>
        <v>-1338.6008441229089</v>
      </c>
      <c r="P2227">
        <f>-695.378038863544 -195.373389438709 -210.141230454887</f>
        <v>-1100.89265875714</v>
      </c>
      <c r="Q2227">
        <f>-506.869035032293 -115.105768663963 -319.548747172546</f>
        <v>-941.52355086880198</v>
      </c>
      <c r="R2227" t="s">
        <v>43475</v>
      </c>
      <c r="S2227" t="s">
        <v>43476</v>
      </c>
      <c r="T2227" t="s">
        <v>43477</v>
      </c>
      <c r="U2227" t="s">
        <v>43478</v>
      </c>
      <c r="V2227">
        <f>-603.961378570973 -56.7024930514974 -92.8524588999578</f>
        <v>-753.51633052242823</v>
      </c>
      <c r="W2227" t="s">
        <v>43479</v>
      </c>
      <c r="X2227" t="s">
        <v>43480</v>
      </c>
      <c r="Y2227" t="s">
        <v>43481</v>
      </c>
    </row>
    <row r="2228" spans="1:25" x14ac:dyDescent="0.3">
      <c r="A2228">
        <v>111350</v>
      </c>
      <c r="B2228" t="s">
        <v>43482</v>
      </c>
      <c r="C2228" t="s">
        <v>43483</v>
      </c>
      <c r="D2228" t="s">
        <v>43484</v>
      </c>
      <c r="E2228" t="s">
        <v>43485</v>
      </c>
      <c r="F2228" t="s">
        <v>43486</v>
      </c>
      <c r="G2228" t="s">
        <v>43487</v>
      </c>
      <c r="H2228" t="s">
        <v>43488</v>
      </c>
      <c r="I2228">
        <f>-647.773041291892 -4.90227547286986 -659.557288845712</f>
        <v>-1312.2326056104739</v>
      </c>
      <c r="J2228" t="s">
        <v>43489</v>
      </c>
      <c r="K2228" t="s">
        <v>43490</v>
      </c>
      <c r="L2228" t="s">
        <v>43491</v>
      </c>
      <c r="M2228" t="s">
        <v>43492</v>
      </c>
      <c r="N2228">
        <f>-661.988112046316 -24.5767991241053 -527.32704837847</f>
        <v>-1213.8919595488912</v>
      </c>
      <c r="O2228">
        <f>-675.861642753952 -175.33954054366 -489.718761568766</f>
        <v>-1340.919944866378</v>
      </c>
      <c r="P2228">
        <f>-695.275116778844 -195.441509982125 -209.009689223426</f>
        <v>-1099.7263159843951</v>
      </c>
      <c r="Q2228">
        <f>-506.818690988711 -117.494533547435 -320.171518543113</f>
        <v>-944.48474307925903</v>
      </c>
      <c r="R2228" t="s">
        <v>43493</v>
      </c>
      <c r="S2228" t="s">
        <v>43494</v>
      </c>
      <c r="T2228" t="s">
        <v>43495</v>
      </c>
      <c r="U2228" t="s">
        <v>43496</v>
      </c>
      <c r="V2228">
        <f>-604.083848827006 -57.7965332878421 -92.9148790469328</f>
        <v>-754.7952611617809</v>
      </c>
      <c r="W2228" t="s">
        <v>43497</v>
      </c>
      <c r="X2228" t="s">
        <v>43498</v>
      </c>
      <c r="Y2228" t="s">
        <v>43499</v>
      </c>
    </row>
    <row r="2229" spans="1:25" x14ac:dyDescent="0.3">
      <c r="A2229">
        <v>111400</v>
      </c>
      <c r="B2229" t="s">
        <v>43500</v>
      </c>
      <c r="C2229" t="s">
        <v>43501</v>
      </c>
      <c r="D2229" t="s">
        <v>43502</v>
      </c>
      <c r="E2229" t="s">
        <v>43503</v>
      </c>
      <c r="F2229" t="s">
        <v>43504</v>
      </c>
      <c r="G2229" t="s">
        <v>43505</v>
      </c>
      <c r="H2229">
        <f>-666.127989233982 -1.45453503082877 -583.226632555781</f>
        <v>-1250.8091568205919</v>
      </c>
      <c r="I2229">
        <f>-650.063562447828 -9.16121370620658 -659.533706148579</f>
        <v>-1318.7584823026136</v>
      </c>
      <c r="J2229" t="s">
        <v>43506</v>
      </c>
      <c r="K2229" t="s">
        <v>43507</v>
      </c>
      <c r="L2229" t="s">
        <v>43508</v>
      </c>
      <c r="M2229" t="s">
        <v>43509</v>
      </c>
      <c r="N2229">
        <f>-663.286144972774 -28.1264884752375 -527.005899712744</f>
        <v>-1218.4185331607555</v>
      </c>
      <c r="O2229">
        <f>-677.232058991549 -178.662293962988 -488.47571228424</f>
        <v>-1344.370065238777</v>
      </c>
      <c r="P2229">
        <f>-692.604437508716 -195.542092192203 -207.304246542013</f>
        <v>-1095.4507762429321</v>
      </c>
      <c r="Q2229">
        <f>-505.013938801434 -121.78764778758 -322.710731471267</f>
        <v>-949.51231806028113</v>
      </c>
      <c r="R2229" t="s">
        <v>43510</v>
      </c>
      <c r="S2229" t="s">
        <v>43511</v>
      </c>
      <c r="T2229" t="s">
        <v>43512</v>
      </c>
      <c r="U2229" t="s">
        <v>43513</v>
      </c>
      <c r="V2229">
        <f>-603.820176188857 -59.7501777934083 -92.9685242453129</f>
        <v>-756.53887822757815</v>
      </c>
      <c r="W2229" t="s">
        <v>43514</v>
      </c>
      <c r="X2229" t="s">
        <v>43515</v>
      </c>
      <c r="Y2229" t="s">
        <v>43516</v>
      </c>
    </row>
    <row r="2230" spans="1:25" x14ac:dyDescent="0.3">
      <c r="A2230">
        <v>111450</v>
      </c>
      <c r="B2230" t="s">
        <v>43517</v>
      </c>
      <c r="C2230" t="s">
        <v>43518</v>
      </c>
      <c r="D2230" t="s">
        <v>43519</v>
      </c>
      <c r="E2230" t="s">
        <v>43520</v>
      </c>
      <c r="F2230" t="s">
        <v>43521</v>
      </c>
      <c r="G2230" t="s">
        <v>43522</v>
      </c>
      <c r="H2230">
        <f>-666.890753596078 -2.7306030639877 -583.105538203974</f>
        <v>-1252.7268948640397</v>
      </c>
      <c r="I2230">
        <f>-651.306823307008 -10.4957565348334 -659.506068139203</f>
        <v>-1321.3086479810445</v>
      </c>
      <c r="J2230" t="s">
        <v>43523</v>
      </c>
      <c r="K2230" t="s">
        <v>43524</v>
      </c>
      <c r="L2230" t="s">
        <v>43525</v>
      </c>
      <c r="M2230" t="s">
        <v>43526</v>
      </c>
      <c r="N2230">
        <f>-663.92359219793 -29.3397725906616 -526.861393467942</f>
        <v>-1220.1247582565336</v>
      </c>
      <c r="O2230">
        <f>-677.638418092783 -179.817677706217 -488.052102409423</f>
        <v>-1345.508198208423</v>
      </c>
      <c r="P2230">
        <f>-690.376011264258 -195.927880694075 -206.703997845368</f>
        <v>-1093.0078898037009</v>
      </c>
      <c r="Q2230">
        <f>-503.521495691185 -123.676495644209 -324.235604176388</f>
        <v>-951.43359551178196</v>
      </c>
      <c r="R2230" t="s">
        <v>43527</v>
      </c>
      <c r="S2230" t="s">
        <v>43528</v>
      </c>
      <c r="T2230" t="s">
        <v>43529</v>
      </c>
      <c r="U2230" t="s">
        <v>43530</v>
      </c>
      <c r="V2230">
        <f>-603.489960544924 -60.562658306307 -92.9726908352177</f>
        <v>-757.02530968644862</v>
      </c>
      <c r="W2230" t="s">
        <v>43531</v>
      </c>
      <c r="X2230" t="s">
        <v>43532</v>
      </c>
      <c r="Y2230" t="s">
        <v>43533</v>
      </c>
    </row>
    <row r="2231" spans="1:25" x14ac:dyDescent="0.3">
      <c r="A2231">
        <v>111500</v>
      </c>
      <c r="B2231" t="s">
        <v>43534</v>
      </c>
      <c r="C2231" t="s">
        <v>43535</v>
      </c>
      <c r="D2231" t="s">
        <v>43536</v>
      </c>
      <c r="E2231" t="s">
        <v>43537</v>
      </c>
      <c r="F2231" t="s">
        <v>43538</v>
      </c>
      <c r="G2231" t="s">
        <v>43539</v>
      </c>
      <c r="H2231">
        <f>-668.496144415247 -4.16509363733894 -582.901527401903</f>
        <v>-1255.562765454489</v>
      </c>
      <c r="I2231">
        <f>-653.766394250024 -11.7127454017163 -659.493169609048</f>
        <v>-1324.9723092607883</v>
      </c>
      <c r="J2231" t="s">
        <v>43540</v>
      </c>
      <c r="K2231" t="s">
        <v>43541</v>
      </c>
      <c r="L2231" t="s">
        <v>43542</v>
      </c>
      <c r="M2231" t="s">
        <v>43543</v>
      </c>
      <c r="N2231">
        <f>-665.115205068915 -30.7971927559843 -526.691685584223</f>
        <v>-1222.6040834091223</v>
      </c>
      <c r="O2231">
        <f>-677.717431365324 -181.323091424893 -487.592776559077</f>
        <v>-1346.633299349294</v>
      </c>
      <c r="P2231">
        <f>-684.541746673018 -196.948669264506 -206.011790142275</f>
        <v>-1087.502206079799</v>
      </c>
      <c r="Q2231">
        <f>-499.993701905758 -126.16219935903 -327.994539123796</f>
        <v>-954.150440388584</v>
      </c>
      <c r="R2231" t="s">
        <v>43544</v>
      </c>
      <c r="S2231" t="s">
        <v>43545</v>
      </c>
      <c r="T2231" t="s">
        <v>43546</v>
      </c>
      <c r="U2231" t="s">
        <v>43547</v>
      </c>
      <c r="V2231">
        <f>-602.619549724194 -61.8067186729081 -92.982326109807</f>
        <v>-757.40859450690914</v>
      </c>
      <c r="W2231" t="s">
        <v>43548</v>
      </c>
      <c r="X2231" t="s">
        <v>43549</v>
      </c>
      <c r="Y2231" t="s">
        <v>43550</v>
      </c>
    </row>
    <row r="2232" spans="1:25" x14ac:dyDescent="0.3">
      <c r="A2232">
        <v>111550</v>
      </c>
      <c r="B2232" t="s">
        <v>43551</v>
      </c>
      <c r="C2232" t="s">
        <v>43552</v>
      </c>
      <c r="D2232" t="s">
        <v>43553</v>
      </c>
      <c r="E2232" t="s">
        <v>43554</v>
      </c>
      <c r="F2232" t="s">
        <v>43555</v>
      </c>
      <c r="G2232" t="s">
        <v>43556</v>
      </c>
      <c r="H2232">
        <f>-669.083751076917 -4.0114030992886 -582.844915836399</f>
        <v>-1255.9400700126046</v>
      </c>
      <c r="I2232">
        <f>-654.700275207549 -11.2768652520381 -659.529458703044</f>
        <v>-1325.5065991626311</v>
      </c>
      <c r="J2232" t="s">
        <v>43557</v>
      </c>
      <c r="K2232" t="s">
        <v>43558</v>
      </c>
      <c r="L2232" t="s">
        <v>43559</v>
      </c>
      <c r="M2232" t="s">
        <v>43560</v>
      </c>
      <c r="N2232">
        <f>-665.46807528655 -30.7712807658725 -526.710411101918</f>
        <v>-1222.9497671543404</v>
      </c>
      <c r="O2232">
        <f>-677.543256512918 -181.36828420803 -487.766369403796</f>
        <v>-1346.6779101247439</v>
      </c>
      <c r="P2232">
        <f>-681.021387180875 -197.20225560231 -206.135818311878</f>
        <v>-1084.3594610950629</v>
      </c>
      <c r="Q2232">
        <f>-498.030319233719 -126.131533101896 -330.279770708348</f>
        <v>-954.44162304396298</v>
      </c>
      <c r="R2232" t="s">
        <v>43561</v>
      </c>
      <c r="S2232" t="s">
        <v>43562</v>
      </c>
      <c r="T2232" t="s">
        <v>43563</v>
      </c>
      <c r="U2232" t="s">
        <v>43564</v>
      </c>
      <c r="V2232">
        <f>-602.145370480195 -62.149719191216 -92.9781203207564</f>
        <v>-757.27320999216738</v>
      </c>
      <c r="W2232" t="s">
        <v>43565</v>
      </c>
      <c r="X2232" t="s">
        <v>43566</v>
      </c>
      <c r="Y2232" t="s">
        <v>43567</v>
      </c>
    </row>
    <row r="2233" spans="1:25" x14ac:dyDescent="0.3">
      <c r="A2233">
        <v>111600</v>
      </c>
      <c r="B2233" t="s">
        <v>43568</v>
      </c>
      <c r="C2233" t="s">
        <v>43569</v>
      </c>
      <c r="D2233" t="s">
        <v>43570</v>
      </c>
      <c r="E2233" t="s">
        <v>43571</v>
      </c>
      <c r="F2233" t="s">
        <v>43572</v>
      </c>
      <c r="G2233" t="s">
        <v>43573</v>
      </c>
      <c r="H2233">
        <f>-669.715259229698 -3.24392757690725 -582.820569987537</f>
        <v>-1255.7797567941423</v>
      </c>
      <c r="I2233">
        <f>-655.873401524758 -9.86809792918757 -659.662755306959</f>
        <v>-1325.4042547609047</v>
      </c>
      <c r="J2233" t="s">
        <v>43574</v>
      </c>
      <c r="K2233" t="s">
        <v>43575</v>
      </c>
      <c r="L2233" t="s">
        <v>43576</v>
      </c>
      <c r="M2233" t="s">
        <v>43577</v>
      </c>
      <c r="N2233">
        <f>-665.635751205822 -30.3441906691837 -526.881511220593</f>
        <v>-1222.8614530955988</v>
      </c>
      <c r="O2233">
        <f>-676.302678437556 -181.175613818552 -488.505844962999</f>
        <v>-1345.984137219107</v>
      </c>
      <c r="P2233">
        <f>-673.260000996946 -198.154694328974 -206.937005533268</f>
        <v>-1078.351700859188</v>
      </c>
      <c r="Q2233">
        <f>-493.866875166054 -124.681301708926 -334.875549103082</f>
        <v>-953.42372597806195</v>
      </c>
      <c r="R2233" t="s">
        <v>43578</v>
      </c>
      <c r="S2233" t="s">
        <v>43579</v>
      </c>
      <c r="T2233" t="s">
        <v>43580</v>
      </c>
      <c r="U2233" t="s">
        <v>43581</v>
      </c>
      <c r="V2233">
        <f>-601.273851011332 -62.9842312038256 -92.9963261388436</f>
        <v>-757.25440835400127</v>
      </c>
      <c r="W2233" t="s">
        <v>43582</v>
      </c>
      <c r="X2233" t="s">
        <v>43583</v>
      </c>
      <c r="Y2233" t="s">
        <v>43584</v>
      </c>
    </row>
    <row r="2234" spans="1:25" x14ac:dyDescent="0.3">
      <c r="A2234">
        <v>111650</v>
      </c>
      <c r="B2234" t="s">
        <v>43585</v>
      </c>
      <c r="C2234" t="s">
        <v>43586</v>
      </c>
      <c r="D2234" t="s">
        <v>43587</v>
      </c>
      <c r="E2234" t="s">
        <v>43588</v>
      </c>
      <c r="F2234" t="s">
        <v>43589</v>
      </c>
      <c r="G2234" t="s">
        <v>43590</v>
      </c>
      <c r="H2234">
        <f>-669.798333770621 -2.86552385636787 -582.842421833737</f>
        <v>-1255.5062794607259</v>
      </c>
      <c r="I2234">
        <f>-656.176038637371 -9.16870605071131 -659.750871128688</f>
        <v>-1325.0956158167703</v>
      </c>
      <c r="J2234" t="s">
        <v>43591</v>
      </c>
      <c r="K2234" t="s">
        <v>43592</v>
      </c>
      <c r="L2234" t="s">
        <v>43593</v>
      </c>
      <c r="M2234" t="s">
        <v>43594</v>
      </c>
      <c r="N2234">
        <f>-665.51222438485 -30.161628634411 -527.014175990805</f>
        <v>-1222.6880290100662</v>
      </c>
      <c r="O2234">
        <f>-675.451483819454 -181.151614221945 -489.090265250778</f>
        <v>-1345.6933632921769</v>
      </c>
      <c r="P2234">
        <f>-669.457266528101 -198.852556232645 -207.613168944361</f>
        <v>-1075.9229917051068</v>
      </c>
      <c r="Q2234">
        <f>-491.937750795808 -123.647612755887 -337.149247983351</f>
        <v>-952.73461153504604</v>
      </c>
      <c r="R2234" t="s">
        <v>43595</v>
      </c>
      <c r="S2234" t="s">
        <v>43596</v>
      </c>
      <c r="T2234" t="s">
        <v>43597</v>
      </c>
      <c r="U2234" t="s">
        <v>43598</v>
      </c>
      <c r="V2234">
        <f>-600.837268246442 -63.6767447170621 -93.0205780460038</f>
        <v>-757.53459100950795</v>
      </c>
      <c r="W2234" t="s">
        <v>43599</v>
      </c>
      <c r="X2234" t="s">
        <v>43600</v>
      </c>
      <c r="Y2234" t="s">
        <v>43601</v>
      </c>
    </row>
    <row r="2235" spans="1:25" x14ac:dyDescent="0.3">
      <c r="A2235">
        <v>111700</v>
      </c>
      <c r="B2235" t="s">
        <v>43602</v>
      </c>
      <c r="C2235" t="s">
        <v>43603</v>
      </c>
      <c r="D2235" t="s">
        <v>43604</v>
      </c>
      <c r="E2235" t="s">
        <v>43605</v>
      </c>
      <c r="F2235" t="s">
        <v>43606</v>
      </c>
      <c r="G2235" t="s">
        <v>43607</v>
      </c>
      <c r="H2235">
        <f>-669.438538077513 -2.11417531871939 -582.91280057579</f>
        <v>-1254.4655139720226</v>
      </c>
      <c r="I2235">
        <f>-656.172918329587 -7.79957999176486 -659.93175402406</f>
        <v>-1323.9042523454118</v>
      </c>
      <c r="J2235" t="s">
        <v>43608</v>
      </c>
      <c r="K2235" t="s">
        <v>43609</v>
      </c>
      <c r="L2235" t="s">
        <v>43610</v>
      </c>
      <c r="M2235" t="s">
        <v>43611</v>
      </c>
      <c r="N2235">
        <f>-664.80862508979 -29.7818744643328 -527.295326795903</f>
        <v>-1221.8858263500256</v>
      </c>
      <c r="O2235">
        <f>-673.413584732996 -181.057756526618 -490.158320401148</f>
        <v>-1344.6296616607619</v>
      </c>
      <c r="P2235">
        <f>-662.137910119182 -199.94531127148 -208.920619740679</f>
        <v>-1071.003841131341</v>
      </c>
      <c r="Q2235">
        <f>-488.195631807165 -121.015108583601 -341.066765494041</f>
        <v>-950.27750588480694</v>
      </c>
      <c r="R2235" t="s">
        <v>43612</v>
      </c>
      <c r="S2235" t="s">
        <v>43613</v>
      </c>
      <c r="T2235" t="s">
        <v>43614</v>
      </c>
      <c r="U2235" t="s">
        <v>43615</v>
      </c>
      <c r="V2235">
        <f>-599.86785477827 -64.9965959028382 -93.0660943124352</f>
        <v>-757.93054499354344</v>
      </c>
      <c r="W2235" t="s">
        <v>43616</v>
      </c>
      <c r="X2235" t="s">
        <v>43617</v>
      </c>
      <c r="Y2235" t="s">
        <v>43618</v>
      </c>
    </row>
    <row r="2236" spans="1:25" x14ac:dyDescent="0.3">
      <c r="A2236">
        <v>111750</v>
      </c>
      <c r="B2236" t="s">
        <v>43619</v>
      </c>
      <c r="C2236" t="s">
        <v>43620</v>
      </c>
      <c r="D2236" t="s">
        <v>43621</v>
      </c>
      <c r="E2236" t="s">
        <v>43622</v>
      </c>
      <c r="F2236" t="s">
        <v>43623</v>
      </c>
      <c r="G2236" t="s">
        <v>43624</v>
      </c>
      <c r="H2236">
        <f>-669.120758516028 -1.81960857412241 -582.97715790178</f>
        <v>-1253.9175249919303</v>
      </c>
      <c r="I2236">
        <f>-655.993711232983 -7.21544289652206 -660.040613016626</f>
        <v>-1323.249767146131</v>
      </c>
      <c r="J2236" t="s">
        <v>43625</v>
      </c>
      <c r="K2236" t="s">
        <v>43626</v>
      </c>
      <c r="L2236" t="s">
        <v>43627</v>
      </c>
      <c r="M2236" t="s">
        <v>43628</v>
      </c>
      <c r="N2236">
        <f>-664.329418073286 -29.656002246604 -527.457607526114</f>
        <v>-1221.443027846004</v>
      </c>
      <c r="O2236">
        <f>-672.330109647125 -181.050544494251 -490.690089830009</f>
        <v>-1344.0707439713851</v>
      </c>
      <c r="P2236">
        <f>-658.770033351826 -200.336265282248 -209.58016122013</f>
        <v>-1068.686459854204</v>
      </c>
      <c r="Q2236">
        <f>-486.445346827981 -119.599224070814 -342.750233811568</f>
        <v>-948.794804710363</v>
      </c>
      <c r="R2236" t="s">
        <v>43629</v>
      </c>
      <c r="S2236" t="s">
        <v>43630</v>
      </c>
      <c r="T2236" t="s">
        <v>43631</v>
      </c>
      <c r="U2236" t="s">
        <v>43632</v>
      </c>
      <c r="V2236">
        <f>-599.411743010623 -65.6556443260229 -93.097526991877</f>
        <v>-758.16491432852285</v>
      </c>
      <c r="W2236" t="s">
        <v>43633</v>
      </c>
      <c r="X2236" t="s">
        <v>43634</v>
      </c>
      <c r="Y2236" t="s">
        <v>43635</v>
      </c>
    </row>
    <row r="2237" spans="1:25" x14ac:dyDescent="0.3">
      <c r="A2237">
        <v>111800</v>
      </c>
      <c r="B2237" t="s">
        <v>43636</v>
      </c>
      <c r="C2237" t="s">
        <v>43637</v>
      </c>
      <c r="D2237" t="s">
        <v>43638</v>
      </c>
      <c r="E2237" t="s">
        <v>43639</v>
      </c>
      <c r="F2237" t="s">
        <v>43640</v>
      </c>
      <c r="G2237" t="s">
        <v>43641</v>
      </c>
      <c r="H2237">
        <f>-668.609640572036 -0.783502225439634 -583.187821638907</f>
        <v>-1252.5809644363826</v>
      </c>
      <c r="I2237">
        <f>-655.710362860948 -5.64442381299136 -660.325286493701</f>
        <v>-1321.6800731676403</v>
      </c>
      <c r="J2237" t="s">
        <v>43642</v>
      </c>
      <c r="K2237" t="s">
        <v>43643</v>
      </c>
      <c r="L2237" t="s">
        <v>43644</v>
      </c>
      <c r="M2237" t="s">
        <v>43645</v>
      </c>
      <c r="N2237">
        <f>-663.519238606671 -28.9433075903853 -527.858129737833</f>
        <v>-1220.3206759348893</v>
      </c>
      <c r="O2237">
        <f>-670.237530215636 -180.581207668555 -491.782906210526</f>
        <v>-1342.6016440947169</v>
      </c>
      <c r="P2237">
        <f>-653.178874447191 -200.333627458753 -210.895995787834</f>
        <v>-1064.4084976937779</v>
      </c>
      <c r="Q2237">
        <f>-483.563398211388 -116.536690623801 -345.644718942856</f>
        <v>-945.74480777804501</v>
      </c>
      <c r="R2237" t="s">
        <v>43646</v>
      </c>
      <c r="S2237" t="s">
        <v>43647</v>
      </c>
      <c r="T2237" t="s">
        <v>43648</v>
      </c>
      <c r="U2237" t="s">
        <v>43649</v>
      </c>
      <c r="V2237">
        <f>-599.05938339256 -66.4693395924216 -93.2345766156773</f>
        <v>-758.76329960065891</v>
      </c>
      <c r="W2237" t="s">
        <v>43650</v>
      </c>
      <c r="X2237" t="s">
        <v>43651</v>
      </c>
      <c r="Y2237" t="s">
        <v>43652</v>
      </c>
    </row>
    <row r="2238" spans="1:25" x14ac:dyDescent="0.3">
      <c r="A2238">
        <v>111850</v>
      </c>
      <c r="B2238" t="s">
        <v>43653</v>
      </c>
      <c r="C2238" t="s">
        <v>43654</v>
      </c>
      <c r="D2238" t="s">
        <v>43655</v>
      </c>
      <c r="E2238" t="s">
        <v>43656</v>
      </c>
      <c r="F2238" t="s">
        <v>43657</v>
      </c>
      <c r="G2238" t="s">
        <v>43658</v>
      </c>
      <c r="H2238">
        <f>-668.266267933587 -0.0780702262602517 -583.344842572683</f>
        <v>-1251.6891807325301</v>
      </c>
      <c r="I2238">
        <f>-655.448124933464 -4.70907767572317 -660.509887866051</f>
        <v>-1320.6670904752382</v>
      </c>
      <c r="J2238" t="s">
        <v>43659</v>
      </c>
      <c r="K2238" t="s">
        <v>43660</v>
      </c>
      <c r="L2238" t="s">
        <v>43661</v>
      </c>
      <c r="M2238" t="s">
        <v>43662</v>
      </c>
      <c r="N2238">
        <f>-663.064193457558 -28.3861336203397 -528.101326835108</f>
        <v>-1219.5516539130058</v>
      </c>
      <c r="O2238">
        <f>-669.257678752495 -180.117980994176 -492.366416675852</f>
        <v>-1341.742076422523</v>
      </c>
      <c r="P2238">
        <f>-650.640994758348 -200.220420435548 -211.603232266315</f>
        <v>-1062.4646474602109</v>
      </c>
      <c r="Q2238">
        <f>-482.289193506893 -115.058919625613 -347.079085702244</f>
        <v>-944.42719883475002</v>
      </c>
      <c r="R2238" t="s">
        <v>43663</v>
      </c>
      <c r="S2238" t="s">
        <v>43664</v>
      </c>
      <c r="T2238" t="s">
        <v>43665</v>
      </c>
      <c r="U2238" t="s">
        <v>43666</v>
      </c>
      <c r="V2238">
        <f>-599.035793975964 -66.6306103329541 -93.3364175294384</f>
        <v>-759.00282183835657</v>
      </c>
      <c r="W2238" t="s">
        <v>43667</v>
      </c>
      <c r="X2238" t="s">
        <v>43668</v>
      </c>
      <c r="Y2238" t="s">
        <v>43669</v>
      </c>
    </row>
    <row r="2239" spans="1:25" x14ac:dyDescent="0.3">
      <c r="A2239">
        <v>111900</v>
      </c>
      <c r="B2239" t="s">
        <v>43670</v>
      </c>
      <c r="C2239" t="s">
        <v>43671</v>
      </c>
      <c r="D2239" t="s">
        <v>43672</v>
      </c>
      <c r="E2239" t="s">
        <v>43673</v>
      </c>
      <c r="F2239" t="s">
        <v>43674</v>
      </c>
      <c r="G2239" t="s">
        <v>43675</v>
      </c>
      <c r="H2239" t="s">
        <v>43676</v>
      </c>
      <c r="I2239">
        <f>-654.863385146301 -2.80322696176836 -660.85444173498</f>
        <v>-1318.5210538430492</v>
      </c>
      <c r="J2239" t="s">
        <v>43677</v>
      </c>
      <c r="K2239" t="s">
        <v>43678</v>
      </c>
      <c r="L2239" t="s">
        <v>43679</v>
      </c>
      <c r="M2239" t="s">
        <v>43680</v>
      </c>
      <c r="N2239">
        <f>-662.165994738111 -27.1198717820889 -528.542263779284</f>
        <v>-1217.8281302994837</v>
      </c>
      <c r="O2239">
        <f>-667.482580168472 -179.022674439106 -493.389501189327</f>
        <v>-1339.894755796905</v>
      </c>
      <c r="P2239">
        <f>-645.988969503121 -199.921737180744 -212.890301589151</f>
        <v>-1058.8010082730159</v>
      </c>
      <c r="Q2239">
        <f>-479.95731288818 -112.627052528166 -349.863446182183</f>
        <v>-942.44781159852903</v>
      </c>
      <c r="R2239" t="s">
        <v>43681</v>
      </c>
      <c r="S2239" t="s">
        <v>43682</v>
      </c>
      <c r="T2239" t="s">
        <v>43683</v>
      </c>
      <c r="U2239" t="s">
        <v>43684</v>
      </c>
      <c r="V2239">
        <f>-598.832724239618 -66.5515031632826 -93.5245009580486</f>
        <v>-758.90872836094923</v>
      </c>
      <c r="W2239" t="s">
        <v>43685</v>
      </c>
      <c r="X2239" t="s">
        <v>43686</v>
      </c>
      <c r="Y2239" t="s">
        <v>43687</v>
      </c>
    </row>
    <row r="2240" spans="1:25" x14ac:dyDescent="0.3">
      <c r="A2240">
        <v>111950</v>
      </c>
      <c r="B2240" t="s">
        <v>43688</v>
      </c>
      <c r="C2240" t="s">
        <v>43689</v>
      </c>
      <c r="D2240" t="s">
        <v>43690</v>
      </c>
      <c r="E2240" t="s">
        <v>43691</v>
      </c>
      <c r="F2240" t="s">
        <v>43692</v>
      </c>
      <c r="G2240" t="s">
        <v>43693</v>
      </c>
      <c r="H2240" t="s">
        <v>43694</v>
      </c>
      <c r="I2240">
        <f>-654.801745659987 -1.94475951497793 -660.941819944496</f>
        <v>-1317.6883251194608</v>
      </c>
      <c r="J2240" t="s">
        <v>43695</v>
      </c>
      <c r="K2240" t="s">
        <v>43696</v>
      </c>
      <c r="L2240" t="s">
        <v>43697</v>
      </c>
      <c r="M2240" t="s">
        <v>43698</v>
      </c>
      <c r="N2240">
        <f>-661.93230097053 -26.4986533025567 -528.66419512685</f>
        <v>-1217.0951493999369</v>
      </c>
      <c r="O2240">
        <f>-666.881222774426 -178.449920880049 -493.686452688857</f>
        <v>-1339.0175963433321</v>
      </c>
      <c r="P2240">
        <f>-644.116216220476 -199.525825544374 -213.300670405175</f>
        <v>-1056.9427121700251</v>
      </c>
      <c r="Q2240">
        <f>-479.034799420689 -111.661217210976 -351.055666217694</f>
        <v>-941.75168284935899</v>
      </c>
      <c r="R2240" t="s">
        <v>43699</v>
      </c>
      <c r="S2240" t="s">
        <v>43700</v>
      </c>
      <c r="T2240" t="s">
        <v>43701</v>
      </c>
      <c r="U2240" t="s">
        <v>43702</v>
      </c>
      <c r="V2240">
        <f>-598.673906305525 -66.3755788249644 -93.5667842489237</f>
        <v>-758.61626937941298</v>
      </c>
      <c r="W2240" t="s">
        <v>43703</v>
      </c>
      <c r="X2240" t="s">
        <v>43704</v>
      </c>
      <c r="Y2240" t="s">
        <v>43705</v>
      </c>
    </row>
    <row r="2241" spans="1:25" x14ac:dyDescent="0.3">
      <c r="A2241">
        <v>112000</v>
      </c>
      <c r="B2241" t="s">
        <v>43706</v>
      </c>
      <c r="C2241" t="s">
        <v>43707</v>
      </c>
      <c r="D2241" t="s">
        <v>43708</v>
      </c>
      <c r="E2241" t="s">
        <v>43709</v>
      </c>
      <c r="F2241" t="s">
        <v>43710</v>
      </c>
      <c r="G2241" t="s">
        <v>43711</v>
      </c>
      <c r="H2241" t="s">
        <v>43712</v>
      </c>
      <c r="I2241" t="s">
        <v>43713</v>
      </c>
      <c r="J2241" t="s">
        <v>43714</v>
      </c>
      <c r="K2241" t="s">
        <v>43715</v>
      </c>
      <c r="L2241" t="s">
        <v>43716</v>
      </c>
      <c r="M2241" t="s">
        <v>43717</v>
      </c>
      <c r="N2241">
        <f>-661.756966062705 -24.9330889448072 -528.751181865911</f>
        <v>-1215.4412368734233</v>
      </c>
      <c r="O2241">
        <f>-666.247787744498 -176.963657242158 -494.042380573288</f>
        <v>-1337.2538255599441</v>
      </c>
      <c r="P2241">
        <f>-641.435720667819 -198.519559121356 -213.86693705348</f>
        <v>-1053.8222168426551</v>
      </c>
      <c r="Q2241">
        <f>-477.85255202297 -109.8787593277 -352.906008345332</f>
        <v>-940.63731969600201</v>
      </c>
      <c r="R2241" t="s">
        <v>43718</v>
      </c>
      <c r="S2241" t="s">
        <v>43719</v>
      </c>
      <c r="T2241" t="s">
        <v>43720</v>
      </c>
      <c r="U2241" t="s">
        <v>43721</v>
      </c>
      <c r="V2241">
        <f>-598.046447391822 -65.6397929163381 -93.5529727553056</f>
        <v>-757.23921306346574</v>
      </c>
      <c r="W2241" t="s">
        <v>43722</v>
      </c>
      <c r="X2241" t="s">
        <v>43723</v>
      </c>
      <c r="Y2241" t="s">
        <v>43724</v>
      </c>
    </row>
    <row r="2242" spans="1:25" x14ac:dyDescent="0.3">
      <c r="A2242">
        <v>112050</v>
      </c>
      <c r="B2242" t="s">
        <v>43725</v>
      </c>
      <c r="C2242" t="s">
        <v>43726</v>
      </c>
      <c r="D2242" t="s">
        <v>43727</v>
      </c>
      <c r="E2242" t="s">
        <v>43728</v>
      </c>
      <c r="F2242" t="s">
        <v>43729</v>
      </c>
      <c r="G2242" t="s">
        <v>43730</v>
      </c>
      <c r="H2242" t="s">
        <v>43731</v>
      </c>
      <c r="I2242" t="s">
        <v>43732</v>
      </c>
      <c r="J2242" t="s">
        <v>43733</v>
      </c>
      <c r="K2242" t="s">
        <v>43734</v>
      </c>
      <c r="L2242" t="s">
        <v>43735</v>
      </c>
      <c r="M2242" t="s">
        <v>43736</v>
      </c>
      <c r="N2242">
        <f>-661.407138468073 -24.0094229243236 -528.791941310122</f>
        <v>-1214.2085027025187</v>
      </c>
      <c r="O2242">
        <f>-665.755576321722 -176.079811028703 -494.258441156756</f>
        <v>-1336.0938285071811</v>
      </c>
      <c r="P2242">
        <f>-640.474870320088 -197.794589030558 -214.137280481954</f>
        <v>-1052.4067398326001</v>
      </c>
      <c r="Q2242">
        <f>-477.130894853403 -108.980781867633 -353.347302863683</f>
        <v>-939.45897958471903</v>
      </c>
      <c r="R2242" t="s">
        <v>43737</v>
      </c>
      <c r="S2242" t="s">
        <v>43738</v>
      </c>
      <c r="T2242" t="s">
        <v>43739</v>
      </c>
      <c r="U2242" t="s">
        <v>43740</v>
      </c>
      <c r="V2242">
        <f>-597.744418335914 -65.1525009151401 -93.5295432460375</f>
        <v>-756.42646249709162</v>
      </c>
      <c r="W2242" t="s">
        <v>43741</v>
      </c>
      <c r="X2242" t="s">
        <v>43742</v>
      </c>
      <c r="Y2242" t="s">
        <v>43743</v>
      </c>
    </row>
    <row r="2243" spans="1:25" x14ac:dyDescent="0.3">
      <c r="A2243">
        <v>112100</v>
      </c>
      <c r="B2243" t="s">
        <v>43744</v>
      </c>
      <c r="C2243" t="s">
        <v>43745</v>
      </c>
      <c r="D2243" t="s">
        <v>43746</v>
      </c>
      <c r="E2243" t="s">
        <v>43747</v>
      </c>
      <c r="F2243" t="s">
        <v>43748</v>
      </c>
      <c r="G2243" t="s">
        <v>43749</v>
      </c>
      <c r="H2243" t="s">
        <v>43750</v>
      </c>
      <c r="I2243" t="s">
        <v>43751</v>
      </c>
      <c r="J2243" t="s">
        <v>43752</v>
      </c>
      <c r="K2243" t="s">
        <v>43753</v>
      </c>
      <c r="L2243" t="s">
        <v>43754</v>
      </c>
      <c r="M2243" t="s">
        <v>43755</v>
      </c>
      <c r="N2243">
        <f>-660.590542174334 -22.4500754331682 -528.860741579814</f>
        <v>-1211.9013591873163</v>
      </c>
      <c r="O2243">
        <f>-664.819700103712 -174.601637966854 -494.661271743367</f>
        <v>-1334.082609813933</v>
      </c>
      <c r="P2243">
        <f>-638.974465748151 -196.345018201195 -214.593716112377</f>
        <v>-1049.913200061723</v>
      </c>
      <c r="Q2243">
        <f>-475.755783899193 -107.748507288408 -354.088634518185</f>
        <v>-937.592925705786</v>
      </c>
      <c r="R2243" t="s">
        <v>43756</v>
      </c>
      <c r="S2243" t="s">
        <v>43757</v>
      </c>
      <c r="T2243" t="s">
        <v>43758</v>
      </c>
      <c r="U2243" t="s">
        <v>43759</v>
      </c>
      <c r="V2243">
        <f>-597.342563955727 -64.2090056627858 -93.4850008193665</f>
        <v>-755.03657043787928</v>
      </c>
      <c r="W2243" t="s">
        <v>43760</v>
      </c>
      <c r="X2243" t="s">
        <v>43761</v>
      </c>
      <c r="Y2243" t="s">
        <v>43762</v>
      </c>
    </row>
    <row r="2244" spans="1:25" x14ac:dyDescent="0.3">
      <c r="A2244">
        <v>112150</v>
      </c>
      <c r="B2244" t="s">
        <v>43763</v>
      </c>
      <c r="C2244" t="s">
        <v>43764</v>
      </c>
      <c r="D2244" t="s">
        <v>43765</v>
      </c>
      <c r="E2244" t="s">
        <v>43766</v>
      </c>
      <c r="F2244" t="s">
        <v>43767</v>
      </c>
      <c r="G2244" t="s">
        <v>43768</v>
      </c>
      <c r="H2244" t="s">
        <v>43769</v>
      </c>
      <c r="I2244" t="s">
        <v>43770</v>
      </c>
      <c r="J2244" t="s">
        <v>43771</v>
      </c>
      <c r="K2244" t="s">
        <v>43772</v>
      </c>
      <c r="L2244" t="s">
        <v>43773</v>
      </c>
      <c r="M2244" t="s">
        <v>43774</v>
      </c>
      <c r="N2244">
        <f>-660.248063045768 -21.722917246992 -528.869078481222</f>
        <v>-1210.840058773982</v>
      </c>
      <c r="O2244">
        <f>-664.49734821436 -173.895625187157 -494.774808932595</f>
        <v>-1333.1677823341122</v>
      </c>
      <c r="P2244">
        <f>-638.492000941333 -195.578738267884 -214.717373826748</f>
        <v>-1048.7881130359649</v>
      </c>
      <c r="Q2244">
        <f>-475.019289859984 -107.515228414953 -354.252508672739</f>
        <v>-936.78702694767594</v>
      </c>
      <c r="R2244" t="s">
        <v>43775</v>
      </c>
      <c r="S2244" t="s">
        <v>43776</v>
      </c>
      <c r="T2244" t="s">
        <v>43777</v>
      </c>
      <c r="U2244" t="s">
        <v>43778</v>
      </c>
      <c r="V2244">
        <f>-597.227010662109 -63.7315890722898 -93.4601291847981</f>
        <v>-754.41872891919695</v>
      </c>
      <c r="W2244" t="s">
        <v>43779</v>
      </c>
      <c r="X2244" t="s">
        <v>43780</v>
      </c>
      <c r="Y2244" t="s">
        <v>43781</v>
      </c>
    </row>
    <row r="2245" spans="1:25" x14ac:dyDescent="0.3">
      <c r="A2245">
        <v>112200</v>
      </c>
      <c r="B2245" t="s">
        <v>43782</v>
      </c>
      <c r="C2245" t="s">
        <v>43783</v>
      </c>
      <c r="D2245" t="s">
        <v>43784</v>
      </c>
      <c r="E2245" t="s">
        <v>43785</v>
      </c>
      <c r="F2245" t="s">
        <v>43786</v>
      </c>
      <c r="G2245" t="s">
        <v>43787</v>
      </c>
      <c r="H2245" t="s">
        <v>43788</v>
      </c>
      <c r="I2245" t="s">
        <v>43789</v>
      </c>
      <c r="J2245" t="s">
        <v>43790</v>
      </c>
      <c r="K2245" t="s">
        <v>43791</v>
      </c>
      <c r="L2245" t="s">
        <v>43792</v>
      </c>
      <c r="M2245" t="s">
        <v>43793</v>
      </c>
      <c r="N2245">
        <f>-659.459113069441 -20.3215228193028 -528.880763201451</f>
        <v>-1208.6613990901947</v>
      </c>
      <c r="O2245">
        <f>-663.836854199325 -172.51792572569 -494.906417962472</f>
        <v>-1331.261197887487</v>
      </c>
      <c r="P2245">
        <f>-637.88874168023 -193.969667099113 -214.825873552324</f>
        <v>-1046.6842823316672</v>
      </c>
      <c r="Q2245">
        <f>-473.691742274593 -107.539032913593 -354.531437005541</f>
        <v>-935.76221219372701</v>
      </c>
      <c r="R2245" t="s">
        <v>43794</v>
      </c>
      <c r="S2245" t="s">
        <v>43795</v>
      </c>
      <c r="T2245" t="s">
        <v>43796</v>
      </c>
      <c r="U2245" t="s">
        <v>43797</v>
      </c>
      <c r="V2245">
        <f>-597.051677426476 -62.7494504252056 -93.4059880236586</f>
        <v>-753.20711587534015</v>
      </c>
      <c r="W2245" t="s">
        <v>43798</v>
      </c>
      <c r="X2245" t="s">
        <v>43799</v>
      </c>
      <c r="Y2245" t="s">
        <v>43800</v>
      </c>
    </row>
    <row r="2246" spans="1:25" x14ac:dyDescent="0.3">
      <c r="A2246">
        <v>112250</v>
      </c>
      <c r="B2246" t="s">
        <v>43801</v>
      </c>
      <c r="C2246" t="s">
        <v>43802</v>
      </c>
      <c r="D2246" t="s">
        <v>43803</v>
      </c>
      <c r="E2246" t="s">
        <v>43804</v>
      </c>
      <c r="F2246" t="s">
        <v>43805</v>
      </c>
      <c r="G2246" t="s">
        <v>43806</v>
      </c>
      <c r="H2246" t="s">
        <v>43807</v>
      </c>
      <c r="I2246" t="s">
        <v>43808</v>
      </c>
      <c r="J2246" t="s">
        <v>43809</v>
      </c>
      <c r="K2246" t="s">
        <v>43810</v>
      </c>
      <c r="L2246" t="s">
        <v>43811</v>
      </c>
      <c r="M2246" t="s">
        <v>43812</v>
      </c>
      <c r="N2246">
        <f>-658.983195567892 -19.6389280075168 -528.89194179303</f>
        <v>-1207.5140653684389</v>
      </c>
      <c r="O2246">
        <f>-663.495869651601 -171.859373779239 -495.018225787755</f>
        <v>-1330.3734692185949</v>
      </c>
      <c r="P2246">
        <f>-637.747728820851 -193.235991580576 -214.913467542621</f>
        <v>-1045.897187944048</v>
      </c>
      <c r="Q2246">
        <f>-473.018983800219 -107.733698660784 -354.564121285448</f>
        <v>-935.316803746451</v>
      </c>
      <c r="R2246" t="s">
        <v>43813</v>
      </c>
      <c r="S2246" t="s">
        <v>43814</v>
      </c>
      <c r="T2246" t="s">
        <v>43815</v>
      </c>
      <c r="U2246" t="s">
        <v>43816</v>
      </c>
      <c r="V2246">
        <f>-596.914750368514 -62.3026820802347 -93.3670031262553</f>
        <v>-752.58443557500402</v>
      </c>
      <c r="W2246" t="s">
        <v>43817</v>
      </c>
      <c r="X2246" t="s">
        <v>43818</v>
      </c>
      <c r="Y2246" t="s">
        <v>43819</v>
      </c>
    </row>
    <row r="2247" spans="1:25" x14ac:dyDescent="0.3">
      <c r="A2247">
        <v>112300</v>
      </c>
      <c r="B2247" t="s">
        <v>43820</v>
      </c>
      <c r="C2247" t="s">
        <v>43821</v>
      </c>
      <c r="D2247" t="s">
        <v>43822</v>
      </c>
      <c r="E2247" t="s">
        <v>43823</v>
      </c>
      <c r="F2247" t="s">
        <v>43824</v>
      </c>
      <c r="G2247" t="s">
        <v>43825</v>
      </c>
      <c r="H2247" t="s">
        <v>43826</v>
      </c>
      <c r="I2247" t="s">
        <v>43827</v>
      </c>
      <c r="J2247" t="s">
        <v>43828</v>
      </c>
      <c r="K2247" t="s">
        <v>43829</v>
      </c>
      <c r="L2247" t="s">
        <v>43830</v>
      </c>
      <c r="M2247" t="s">
        <v>43831</v>
      </c>
      <c r="N2247">
        <f>-658.015854840267 -18.2114850055091 -528.812384360625</f>
        <v>-1205.0397242064009</v>
      </c>
      <c r="O2247">
        <f>-662.748268696811 -170.474021809544 -495.139136712414</f>
        <v>-1328.361427218769</v>
      </c>
      <c r="P2247">
        <f>-637.685840479108 -191.802926684827 -214.968697160567</f>
        <v>-1044.4574643245021</v>
      </c>
      <c r="Q2247">
        <f>-472.064872994089 -107.873272774412 -354.517934107061</f>
        <v>-934.45607987556207</v>
      </c>
      <c r="R2247" t="s">
        <v>43832</v>
      </c>
      <c r="S2247" t="s">
        <v>43833</v>
      </c>
      <c r="T2247" t="s">
        <v>43834</v>
      </c>
      <c r="U2247" t="s">
        <v>43835</v>
      </c>
      <c r="V2247">
        <f>-596.386321514822 -61.3005656677112 -93.1368567210479</f>
        <v>-750.8237439035812</v>
      </c>
      <c r="W2247" t="s">
        <v>43836</v>
      </c>
      <c r="X2247" t="s">
        <v>43837</v>
      </c>
      <c r="Y2247" t="s">
        <v>43838</v>
      </c>
    </row>
    <row r="2248" spans="1:25" x14ac:dyDescent="0.3">
      <c r="A2248">
        <v>112350</v>
      </c>
      <c r="B2248" t="s">
        <v>43839</v>
      </c>
      <c r="C2248" t="s">
        <v>43840</v>
      </c>
      <c r="D2248" t="s">
        <v>43841</v>
      </c>
      <c r="E2248" t="s">
        <v>43842</v>
      </c>
      <c r="F2248" t="s">
        <v>43843</v>
      </c>
      <c r="G2248" t="s">
        <v>43844</v>
      </c>
      <c r="H2248" t="s">
        <v>43845</v>
      </c>
      <c r="I2248" t="s">
        <v>43846</v>
      </c>
      <c r="J2248" t="s">
        <v>43847</v>
      </c>
      <c r="K2248" t="s">
        <v>43848</v>
      </c>
      <c r="L2248" t="s">
        <v>43849</v>
      </c>
      <c r="M2248" t="s">
        <v>43850</v>
      </c>
      <c r="N2248">
        <f>-657.522771021575 -17.4611351513288 -528.743466734741</f>
        <v>-1203.7273729076446</v>
      </c>
      <c r="O2248">
        <f>-662.382816699678 -169.740582962333 -495.204144276029</f>
        <v>-1327.32754393804</v>
      </c>
      <c r="P2248">
        <f>-637.550420197653 -190.99804125506 -215.007739848144</f>
        <v>-1043.5562013008571</v>
      </c>
      <c r="Q2248">
        <f>-471.546742180773 -107.762030241562 -354.51773939765</f>
        <v>-933.82651181998494</v>
      </c>
      <c r="R2248" t="s">
        <v>43851</v>
      </c>
      <c r="S2248" t="s">
        <v>43852</v>
      </c>
      <c r="T2248" t="s">
        <v>43853</v>
      </c>
      <c r="U2248" t="s">
        <v>43854</v>
      </c>
      <c r="V2248">
        <f>-596.152982059169 -60.749789120712 -92.9873411368153</f>
        <v>-749.89011231669622</v>
      </c>
      <c r="W2248" t="s">
        <v>43855</v>
      </c>
      <c r="X2248" t="s">
        <v>43856</v>
      </c>
      <c r="Y2248" t="s">
        <v>43857</v>
      </c>
    </row>
    <row r="2249" spans="1:25" x14ac:dyDescent="0.3">
      <c r="A2249">
        <v>112400</v>
      </c>
      <c r="B2249" t="s">
        <v>43858</v>
      </c>
      <c r="C2249" t="s">
        <v>43859</v>
      </c>
      <c r="D2249" t="s">
        <v>43860</v>
      </c>
      <c r="E2249" t="s">
        <v>43861</v>
      </c>
      <c r="F2249" t="s">
        <v>43862</v>
      </c>
      <c r="G2249" t="s">
        <v>43863</v>
      </c>
      <c r="H2249" t="s">
        <v>43864</v>
      </c>
      <c r="I2249" t="s">
        <v>43865</v>
      </c>
      <c r="J2249" t="s">
        <v>43866</v>
      </c>
      <c r="K2249" t="s">
        <v>43867</v>
      </c>
      <c r="L2249" t="s">
        <v>43868</v>
      </c>
      <c r="M2249" t="s">
        <v>43869</v>
      </c>
      <c r="N2249">
        <f>-656.881538384692 -16.1267502538315 -528.617497973511</f>
        <v>-1201.6257866120345</v>
      </c>
      <c r="O2249">
        <f>-661.980073918485 -168.457216818804 -495.350346360543</f>
        <v>-1325.787637097832</v>
      </c>
      <c r="P2249">
        <f>-637.086478632292 -189.763865695846 -215.163065656814</f>
        <v>-1042.013409984952</v>
      </c>
      <c r="Q2249">
        <f>-470.736367895506 -107.558408179783 -354.871263564157</f>
        <v>-933.16603963944613</v>
      </c>
      <c r="R2249" t="s">
        <v>43870</v>
      </c>
      <c r="S2249" t="s">
        <v>43871</v>
      </c>
      <c r="T2249" t="s">
        <v>43872</v>
      </c>
      <c r="U2249" t="s">
        <v>43873</v>
      </c>
      <c r="V2249">
        <f>-595.833286454487 -59.7884809651505 -92.7758458007127</f>
        <v>-748.39761322035019</v>
      </c>
      <c r="W2249" t="s">
        <v>43874</v>
      </c>
      <c r="X2249" t="s">
        <v>43875</v>
      </c>
      <c r="Y2249" t="s">
        <v>43876</v>
      </c>
    </row>
    <row r="2250" spans="1:25" x14ac:dyDescent="0.3">
      <c r="A2250">
        <v>112450</v>
      </c>
      <c r="B2250" t="s">
        <v>43877</v>
      </c>
      <c r="C2250" t="s">
        <v>43878</v>
      </c>
      <c r="D2250" t="s">
        <v>43879</v>
      </c>
      <c r="E2250" t="s">
        <v>43880</v>
      </c>
      <c r="F2250" t="s">
        <v>43881</v>
      </c>
      <c r="G2250" t="s">
        <v>43882</v>
      </c>
      <c r="H2250" t="s">
        <v>43883</v>
      </c>
      <c r="I2250" t="s">
        <v>43884</v>
      </c>
      <c r="J2250" t="s">
        <v>43885</v>
      </c>
      <c r="K2250" t="s">
        <v>43886</v>
      </c>
      <c r="L2250" t="s">
        <v>43887</v>
      </c>
      <c r="M2250" t="s">
        <v>43888</v>
      </c>
      <c r="N2250">
        <f>-656.704084061332 -15.5318084411747 -528.562103646892</f>
        <v>-1200.7979961493986</v>
      </c>
      <c r="O2250">
        <f>-661.869904804623 -167.882680929963 -495.394490579578</f>
        <v>-1325.1470763141642</v>
      </c>
      <c r="P2250">
        <f>-636.613528373609 -189.244541897141 -215.243952180082</f>
        <v>-1041.102022450832</v>
      </c>
      <c r="Q2250">
        <f>-470.405425063289 -107.476887384085 -355.377574243058</f>
        <v>-933.25988669043204</v>
      </c>
      <c r="R2250" t="s">
        <v>43889</v>
      </c>
      <c r="S2250" t="s">
        <v>43890</v>
      </c>
      <c r="T2250" t="s">
        <v>43891</v>
      </c>
      <c r="U2250" t="s">
        <v>43892</v>
      </c>
      <c r="V2250">
        <f>-595.657908799321 -59.4048185164027 -92.701903368634</f>
        <v>-747.76463068435771</v>
      </c>
      <c r="W2250" t="s">
        <v>43893</v>
      </c>
      <c r="X2250" t="s">
        <v>43894</v>
      </c>
      <c r="Y2250" t="s">
        <v>43895</v>
      </c>
    </row>
    <row r="2251" spans="1:25" x14ac:dyDescent="0.3">
      <c r="A2251">
        <v>112500</v>
      </c>
      <c r="B2251" t="s">
        <v>43896</v>
      </c>
      <c r="C2251" t="s">
        <v>43897</v>
      </c>
      <c r="D2251" t="s">
        <v>43898</v>
      </c>
      <c r="E2251" t="s">
        <v>43899</v>
      </c>
      <c r="F2251" t="s">
        <v>43900</v>
      </c>
      <c r="G2251" t="s">
        <v>43901</v>
      </c>
      <c r="H2251" t="s">
        <v>43902</v>
      </c>
      <c r="I2251" t="s">
        <v>43903</v>
      </c>
      <c r="J2251" t="s">
        <v>43904</v>
      </c>
      <c r="K2251" t="s">
        <v>43905</v>
      </c>
      <c r="L2251" t="s">
        <v>43906</v>
      </c>
      <c r="M2251" t="s">
        <v>43907</v>
      </c>
      <c r="N2251">
        <f>-656.603132304526 -14.5635427709183 -528.516326499832</f>
        <v>-1199.6830015752762</v>
      </c>
      <c r="O2251">
        <f>-661.77867753966 -166.952995200877 -495.515553087926</f>
        <v>-1324.2472258284629</v>
      </c>
      <c r="P2251">
        <f>-635.602917862762 -188.4825218797 -215.462079482</f>
        <v>-1039.5475192244619</v>
      </c>
      <c r="Q2251">
        <f>-469.633999056708 -107.537349823267 -356.35472280452</f>
        <v>-933.52607168449504</v>
      </c>
      <c r="R2251" t="s">
        <v>43908</v>
      </c>
      <c r="S2251" t="s">
        <v>43909</v>
      </c>
      <c r="T2251" t="s">
        <v>43910</v>
      </c>
      <c r="U2251" t="s">
        <v>43911</v>
      </c>
      <c r="V2251">
        <f>-595.461858118505 -58.9947415314523 -92.6230969012674</f>
        <v>-747.07969655122474</v>
      </c>
      <c r="W2251" t="s">
        <v>43912</v>
      </c>
      <c r="X2251" t="s">
        <v>43913</v>
      </c>
      <c r="Y2251" t="s">
        <v>43914</v>
      </c>
    </row>
    <row r="2252" spans="1:25" x14ac:dyDescent="0.3">
      <c r="A2252">
        <v>112550</v>
      </c>
      <c r="B2252" t="s">
        <v>43915</v>
      </c>
      <c r="C2252" t="s">
        <v>43916</v>
      </c>
      <c r="D2252" t="s">
        <v>43917</v>
      </c>
      <c r="E2252" t="s">
        <v>43918</v>
      </c>
      <c r="F2252" t="s">
        <v>43919</v>
      </c>
      <c r="G2252" t="s">
        <v>43920</v>
      </c>
      <c r="H2252" t="s">
        <v>43921</v>
      </c>
      <c r="I2252" t="s">
        <v>43922</v>
      </c>
      <c r="J2252" t="s">
        <v>43923</v>
      </c>
      <c r="K2252" t="s">
        <v>43924</v>
      </c>
      <c r="L2252" t="s">
        <v>43925</v>
      </c>
      <c r="M2252" t="s">
        <v>43926</v>
      </c>
      <c r="N2252">
        <f>-656.653282148014 -14.16317427545 -528.517017148411</f>
        <v>-1199.3334735718749</v>
      </c>
      <c r="O2252">
        <f>-661.742142631043 -166.570370825206 -495.598746021368</f>
        <v>-1323.911259477617</v>
      </c>
      <c r="P2252">
        <f>-635.412715331574 -188.207666392166 -215.568170957915</f>
        <v>-1039.188552681655</v>
      </c>
      <c r="Q2252">
        <f>-469.023041721372 -107.622332674383 -356.17056491914</f>
        <v>-932.81593931489499</v>
      </c>
      <c r="R2252" t="s">
        <v>43927</v>
      </c>
      <c r="S2252" t="s">
        <v>43928</v>
      </c>
      <c r="T2252" t="s">
        <v>43929</v>
      </c>
      <c r="U2252" t="s">
        <v>43930</v>
      </c>
      <c r="V2252">
        <f>-595.466142045383 -58.8837011765206 -92.6155780045759</f>
        <v>-746.96542122647952</v>
      </c>
      <c r="W2252" t="s">
        <v>43931</v>
      </c>
      <c r="X2252" t="s">
        <v>43932</v>
      </c>
      <c r="Y2252" t="s">
        <v>43933</v>
      </c>
    </row>
    <row r="2253" spans="1:25" x14ac:dyDescent="0.3">
      <c r="A2253">
        <v>112600</v>
      </c>
      <c r="B2253" t="s">
        <v>43934</v>
      </c>
      <c r="C2253" t="s">
        <v>43935</v>
      </c>
      <c r="D2253" t="s">
        <v>43936</v>
      </c>
      <c r="E2253" t="s">
        <v>43937</v>
      </c>
      <c r="F2253" t="s">
        <v>43938</v>
      </c>
      <c r="G2253" t="s">
        <v>43939</v>
      </c>
      <c r="H2253" t="s">
        <v>43940</v>
      </c>
      <c r="I2253" t="s">
        <v>43941</v>
      </c>
      <c r="J2253" t="s">
        <v>43942</v>
      </c>
      <c r="K2253" t="s">
        <v>43943</v>
      </c>
      <c r="L2253" t="s">
        <v>43944</v>
      </c>
      <c r="M2253" t="s">
        <v>43945</v>
      </c>
      <c r="N2253">
        <f>-656.755226131612 -13.2951539695114 -528.630068748069</f>
        <v>-1198.6804488491923</v>
      </c>
      <c r="O2253">
        <f>-661.703427360622 -165.744086072795 -495.872574355037</f>
        <v>-1323.320087788454</v>
      </c>
      <c r="P2253">
        <f>-635.727475616566 -187.260844772512 -215.799601637717</f>
        <v>-1038.7879220267951</v>
      </c>
      <c r="Q2253">
        <f>-468.726025359558 -106.448250903345 -355.54347365345</f>
        <v>-930.71774991635289</v>
      </c>
      <c r="R2253" t="s">
        <v>43946</v>
      </c>
      <c r="S2253" t="s">
        <v>43947</v>
      </c>
      <c r="T2253" t="s">
        <v>43948</v>
      </c>
      <c r="U2253" t="s">
        <v>43949</v>
      </c>
      <c r="V2253">
        <f>-595.766278233027 -58.5464174552073 -92.7028220409022</f>
        <v>-747.0155177291366</v>
      </c>
      <c r="W2253" t="s">
        <v>43950</v>
      </c>
      <c r="X2253" t="s">
        <v>43951</v>
      </c>
      <c r="Y2253" t="s">
        <v>43952</v>
      </c>
    </row>
    <row r="2254" spans="1:25" x14ac:dyDescent="0.3">
      <c r="A2254">
        <v>112650</v>
      </c>
      <c r="B2254" t="s">
        <v>43953</v>
      </c>
      <c r="C2254" t="s">
        <v>43954</v>
      </c>
      <c r="D2254" t="s">
        <v>43955</v>
      </c>
      <c r="E2254" t="s">
        <v>43956</v>
      </c>
      <c r="F2254" t="s">
        <v>43957</v>
      </c>
      <c r="G2254" t="s">
        <v>43958</v>
      </c>
      <c r="H2254" t="s">
        <v>43959</v>
      </c>
      <c r="I2254" t="s">
        <v>43960</v>
      </c>
      <c r="J2254" t="s">
        <v>43961</v>
      </c>
      <c r="K2254" t="s">
        <v>43962</v>
      </c>
      <c r="L2254" t="s">
        <v>43963</v>
      </c>
      <c r="M2254" t="s">
        <v>43964</v>
      </c>
      <c r="N2254">
        <f>-656.757279165566 -12.8518833896248 -528.739540598787</f>
        <v>-1198.348703153978</v>
      </c>
      <c r="O2254">
        <f>-661.622966641268 -165.326510110392 -496.127254134412</f>
        <v>-1323.076730886072</v>
      </c>
      <c r="P2254">
        <f>-635.953667695928 -186.959054365913 -216.034997113291</f>
        <v>-1038.9477191751319</v>
      </c>
      <c r="Q2254">
        <f>-469.245416176213 -105.443499364123 -355.72066231246</f>
        <v>-930.40957785279602</v>
      </c>
      <c r="R2254" t="s">
        <v>43965</v>
      </c>
      <c r="S2254" t="s">
        <v>43966</v>
      </c>
      <c r="T2254" t="s">
        <v>43967</v>
      </c>
      <c r="U2254" t="s">
        <v>43968</v>
      </c>
      <c r="V2254">
        <f>-595.959284679039 -58.3307268614412 -92.7850374943936</f>
        <v>-747.07504903487381</v>
      </c>
      <c r="W2254" t="s">
        <v>43969</v>
      </c>
      <c r="X2254" t="s">
        <v>43970</v>
      </c>
      <c r="Y2254" t="s">
        <v>43971</v>
      </c>
    </row>
    <row r="2255" spans="1:25" x14ac:dyDescent="0.3">
      <c r="A2255">
        <v>112700</v>
      </c>
      <c r="B2255" t="s">
        <v>43972</v>
      </c>
      <c r="C2255" t="s">
        <v>43973</v>
      </c>
      <c r="D2255" t="s">
        <v>43974</v>
      </c>
      <c r="E2255" t="s">
        <v>43975</v>
      </c>
      <c r="F2255" t="s">
        <v>43976</v>
      </c>
      <c r="G2255" t="s">
        <v>43977</v>
      </c>
      <c r="H2255" t="s">
        <v>43978</v>
      </c>
      <c r="I2255" t="s">
        <v>43979</v>
      </c>
      <c r="J2255" t="s">
        <v>43980</v>
      </c>
      <c r="K2255" t="s">
        <v>43981</v>
      </c>
      <c r="L2255" t="s">
        <v>43982</v>
      </c>
      <c r="M2255" t="s">
        <v>43983</v>
      </c>
      <c r="N2255">
        <f>-656.724153140282 -11.8838550320138 -528.943203027852</f>
        <v>-1197.5512112001479</v>
      </c>
      <c r="O2255">
        <f>-661.569988747969 -164.42704112708 -496.633068006725</f>
        <v>-1322.630097881774</v>
      </c>
      <c r="P2255">
        <f>-636.215716886715 -186.266723836511 -216.528045343583</f>
        <v>-1039.0104860668089</v>
      </c>
      <c r="Q2255">
        <f>-470.37977116057 -103.85796797585 -356.727115111881</f>
        <v>-930.96485424830098</v>
      </c>
      <c r="R2255" t="s">
        <v>43984</v>
      </c>
      <c r="S2255" t="s">
        <v>43985</v>
      </c>
      <c r="T2255" t="s">
        <v>43986</v>
      </c>
      <c r="U2255" t="s">
        <v>43987</v>
      </c>
      <c r="V2255">
        <f>-596.069908123836 -57.9515692105342 -92.9129147233833</f>
        <v>-746.93439205775348</v>
      </c>
      <c r="W2255" t="s">
        <v>43988</v>
      </c>
      <c r="X2255" t="s">
        <v>43989</v>
      </c>
      <c r="Y2255" t="s">
        <v>43990</v>
      </c>
    </row>
    <row r="2256" spans="1:25" x14ac:dyDescent="0.3">
      <c r="A2256">
        <v>112750</v>
      </c>
      <c r="B2256" t="s">
        <v>43991</v>
      </c>
      <c r="C2256" t="s">
        <v>43992</v>
      </c>
      <c r="D2256" t="s">
        <v>43993</v>
      </c>
      <c r="E2256" t="s">
        <v>43994</v>
      </c>
      <c r="F2256" t="s">
        <v>43995</v>
      </c>
      <c r="G2256" t="s">
        <v>43996</v>
      </c>
      <c r="H2256" t="s">
        <v>43997</v>
      </c>
      <c r="I2256" t="s">
        <v>43998</v>
      </c>
      <c r="J2256" t="s">
        <v>43999</v>
      </c>
      <c r="K2256" t="s">
        <v>44000</v>
      </c>
      <c r="L2256" t="s">
        <v>44001</v>
      </c>
      <c r="M2256" t="s">
        <v>44002</v>
      </c>
      <c r="N2256">
        <f>-656.746120704251 -11.4975363240651 -529.00269368046</f>
        <v>-1197.2463507087759</v>
      </c>
      <c r="O2256">
        <f>-661.518730440037 -164.05958432314 -496.793257087312</f>
        <v>-1322.3715718504891</v>
      </c>
      <c r="P2256">
        <f>-636.043532887622 -186.210094081653 -216.723725502243</f>
        <v>-1038.9773524715179</v>
      </c>
      <c r="Q2256">
        <f>-470.844593566798 -103.408705723423 -357.442342841888</f>
        <v>-931.69564213210901</v>
      </c>
      <c r="R2256" t="s">
        <v>44003</v>
      </c>
      <c r="S2256" t="s">
        <v>44004</v>
      </c>
      <c r="T2256" t="s">
        <v>44005</v>
      </c>
      <c r="U2256" t="s">
        <v>44006</v>
      </c>
      <c r="V2256">
        <f>-596.0591183508 -57.8699070317969 -92.9449142296994</f>
        <v>-746.87393961229623</v>
      </c>
      <c r="W2256" t="s">
        <v>44007</v>
      </c>
      <c r="X2256" t="s">
        <v>44008</v>
      </c>
      <c r="Y2256" t="s">
        <v>44009</v>
      </c>
    </row>
    <row r="2257" spans="1:25" x14ac:dyDescent="0.3">
      <c r="A2257">
        <v>112800</v>
      </c>
      <c r="B2257" t="s">
        <v>44010</v>
      </c>
      <c r="C2257" t="s">
        <v>44011</v>
      </c>
      <c r="D2257" t="s">
        <v>44012</v>
      </c>
      <c r="E2257" t="s">
        <v>44013</v>
      </c>
      <c r="F2257" t="s">
        <v>44014</v>
      </c>
      <c r="G2257" t="s">
        <v>44015</v>
      </c>
      <c r="H2257" t="s">
        <v>44016</v>
      </c>
      <c r="I2257" t="s">
        <v>44017</v>
      </c>
      <c r="J2257" t="s">
        <v>44018</v>
      </c>
      <c r="K2257" t="s">
        <v>44019</v>
      </c>
      <c r="L2257" t="s">
        <v>44020</v>
      </c>
      <c r="M2257" t="s">
        <v>44021</v>
      </c>
      <c r="N2257">
        <f>-656.825543789198 -10.4891060268662 -529.153193208875</f>
        <v>-1196.4678430249392</v>
      </c>
      <c r="O2257">
        <f>-661.590326699534 -163.13216820254 -497.263022274207</f>
        <v>-1321.9855171762811</v>
      </c>
      <c r="P2257">
        <f>-635.490968550303 -185.6462058325 -217.279856766351</f>
        <v>-1038.4170311491539</v>
      </c>
      <c r="Q2257">
        <f>-470.526768841457 -103.262747698702 -358.518521491326</f>
        <v>-932.30803803148501</v>
      </c>
      <c r="R2257" t="s">
        <v>44022</v>
      </c>
      <c r="S2257" t="s">
        <v>44023</v>
      </c>
      <c r="T2257" t="s">
        <v>44024</v>
      </c>
      <c r="U2257" t="s">
        <v>44025</v>
      </c>
      <c r="V2257">
        <f>-596.05801742173 -57.6053618666901 -92.9817117571823</f>
        <v>-746.6450910456025</v>
      </c>
      <c r="W2257" t="s">
        <v>44026</v>
      </c>
      <c r="X2257" t="s">
        <v>44027</v>
      </c>
      <c r="Y2257" t="s">
        <v>44028</v>
      </c>
    </row>
    <row r="2258" spans="1:25" x14ac:dyDescent="0.3">
      <c r="A2258">
        <v>112850</v>
      </c>
      <c r="B2258" t="s">
        <v>44029</v>
      </c>
      <c r="C2258" t="s">
        <v>44030</v>
      </c>
      <c r="D2258" t="s">
        <v>44031</v>
      </c>
      <c r="E2258" t="s">
        <v>44032</v>
      </c>
      <c r="F2258" t="s">
        <v>44033</v>
      </c>
      <c r="G2258" t="s">
        <v>44034</v>
      </c>
      <c r="H2258" t="s">
        <v>44035</v>
      </c>
      <c r="I2258" t="s">
        <v>44036</v>
      </c>
      <c r="J2258" t="s">
        <v>44037</v>
      </c>
      <c r="K2258" t="s">
        <v>44038</v>
      </c>
      <c r="L2258" t="s">
        <v>44039</v>
      </c>
      <c r="M2258" t="s">
        <v>44040</v>
      </c>
      <c r="N2258">
        <f>-656.794815296986 -10.1247053831717 -529.212768312376</f>
        <v>-1196.1322889925336</v>
      </c>
      <c r="O2258">
        <f>-661.534885093513 -162.793482003378 -497.497430044951</f>
        <v>-1321.825797141842</v>
      </c>
      <c r="P2258">
        <f>-635.218784155115 -185.70846952353 -217.567031517657</f>
        <v>-1038.4942851963019</v>
      </c>
      <c r="Q2258">
        <f>-470.303508732835 -103.451630743213 -358.936516735606</f>
        <v>-932.69165621165405</v>
      </c>
      <c r="R2258" t="s">
        <v>44041</v>
      </c>
      <c r="S2258" t="s">
        <v>44042</v>
      </c>
      <c r="T2258" t="s">
        <v>44043</v>
      </c>
      <c r="U2258" t="s">
        <v>44044</v>
      </c>
      <c r="V2258">
        <f>-596.101173948781 -57.5682847322778 -92.995770634888</f>
        <v>-746.66522931594682</v>
      </c>
      <c r="W2258" t="s">
        <v>44045</v>
      </c>
      <c r="X2258" t="s">
        <v>44046</v>
      </c>
      <c r="Y2258" t="s">
        <v>44047</v>
      </c>
    </row>
    <row r="2259" spans="1:25" x14ac:dyDescent="0.3">
      <c r="A2259">
        <v>112900</v>
      </c>
      <c r="B2259" t="s">
        <v>44048</v>
      </c>
      <c r="C2259" t="s">
        <v>44049</v>
      </c>
      <c r="D2259" t="s">
        <v>44050</v>
      </c>
      <c r="E2259" t="s">
        <v>44051</v>
      </c>
      <c r="F2259" t="s">
        <v>44052</v>
      </c>
      <c r="G2259" t="s">
        <v>44053</v>
      </c>
      <c r="H2259" t="s">
        <v>44054</v>
      </c>
      <c r="I2259" t="s">
        <v>44055</v>
      </c>
      <c r="J2259" t="s">
        <v>44056</v>
      </c>
      <c r="K2259" t="s">
        <v>44057</v>
      </c>
      <c r="L2259" t="s">
        <v>44058</v>
      </c>
      <c r="M2259" t="s">
        <v>44059</v>
      </c>
      <c r="N2259">
        <f>-656.708170194365 -9.36064702259523 -529.338424422741</f>
        <v>-1195.4072416397012</v>
      </c>
      <c r="O2259">
        <f>-661.346256285438 -162.111029556542 -497.9734847471</f>
        <v>-1321.4307705890801</v>
      </c>
      <c r="P2259">
        <f>-634.801360210651 -185.735975543835 -218.1239189322</f>
        <v>-1038.6612546866859</v>
      </c>
      <c r="Q2259">
        <f>-469.666953264159 -103.574386030725 -359.292616288757</f>
        <v>-932.53395558364105</v>
      </c>
      <c r="R2259" t="s">
        <v>44060</v>
      </c>
      <c r="S2259" t="s">
        <v>44061</v>
      </c>
      <c r="T2259" t="s">
        <v>44062</v>
      </c>
      <c r="U2259" t="s">
        <v>44063</v>
      </c>
      <c r="V2259">
        <f>-596.076868878336 -57.1826963659114 -93.0315077482627</f>
        <v>-746.29107299251007</v>
      </c>
      <c r="W2259" t="s">
        <v>44064</v>
      </c>
      <c r="X2259" t="s">
        <v>44065</v>
      </c>
      <c r="Y2259" t="s">
        <v>44066</v>
      </c>
    </row>
    <row r="2260" spans="1:25" x14ac:dyDescent="0.3">
      <c r="A2260">
        <v>112950</v>
      </c>
      <c r="B2260" t="s">
        <v>44067</v>
      </c>
      <c r="C2260" t="s">
        <v>44068</v>
      </c>
      <c r="D2260" t="s">
        <v>44069</v>
      </c>
      <c r="E2260" t="s">
        <v>44070</v>
      </c>
      <c r="F2260" t="s">
        <v>44071</v>
      </c>
      <c r="G2260" t="s">
        <v>44072</v>
      </c>
      <c r="H2260" t="s">
        <v>44073</v>
      </c>
      <c r="I2260" t="s">
        <v>44074</v>
      </c>
      <c r="J2260" t="s">
        <v>44075</v>
      </c>
      <c r="K2260" t="s">
        <v>44076</v>
      </c>
      <c r="L2260" t="s">
        <v>44077</v>
      </c>
      <c r="M2260" t="s">
        <v>44078</v>
      </c>
      <c r="N2260">
        <f>-656.739229899469 -9.00136370762266 -529.380931648026</f>
        <v>-1195.1215252551178</v>
      </c>
      <c r="O2260">
        <f>-661.281252758255 -161.7794460782 -498.136821626324</f>
        <v>-1321.197520462779</v>
      </c>
      <c r="P2260">
        <f>-634.822665245558 -185.647797975118 -218.299679604199</f>
        <v>-1038.7701428248752</v>
      </c>
      <c r="Q2260">
        <f>-469.540194797874 -103.536092152784 -359.324127149657</f>
        <v>-932.40041410031495</v>
      </c>
      <c r="R2260" t="s">
        <v>44079</v>
      </c>
      <c r="S2260" t="s">
        <v>44080</v>
      </c>
      <c r="T2260" t="s">
        <v>44081</v>
      </c>
      <c r="U2260" t="s">
        <v>44082</v>
      </c>
      <c r="V2260">
        <f>-596.143579890954 -57.0626681269371 -93.0462187780604</f>
        <v>-746.25246679595148</v>
      </c>
      <c r="W2260" t="s">
        <v>44083</v>
      </c>
      <c r="X2260" t="s">
        <v>44084</v>
      </c>
      <c r="Y2260" t="s">
        <v>44085</v>
      </c>
    </row>
    <row r="2261" spans="1:25" x14ac:dyDescent="0.3">
      <c r="A2261">
        <v>113000</v>
      </c>
      <c r="B2261" t="s">
        <v>44086</v>
      </c>
      <c r="C2261" t="s">
        <v>44087</v>
      </c>
      <c r="D2261" t="s">
        <v>44088</v>
      </c>
      <c r="E2261" t="s">
        <v>44089</v>
      </c>
      <c r="F2261" t="s">
        <v>44090</v>
      </c>
      <c r="G2261" t="s">
        <v>44091</v>
      </c>
      <c r="H2261" t="s">
        <v>44092</v>
      </c>
      <c r="I2261" t="s">
        <v>44093</v>
      </c>
      <c r="J2261" t="s">
        <v>44094</v>
      </c>
      <c r="K2261" t="s">
        <v>44095</v>
      </c>
      <c r="L2261" t="s">
        <v>44096</v>
      </c>
      <c r="M2261" t="s">
        <v>44097</v>
      </c>
      <c r="N2261">
        <f>-656.903995986645 -8.44723128152918 -529.455290638863</f>
        <v>-1194.8065179070372</v>
      </c>
      <c r="O2261">
        <f>-661.296892703131 -161.266433384858 -498.403302253141</f>
        <v>-1320.96662834113</v>
      </c>
      <c r="P2261">
        <f>-635.034716369666 -185.408606569343 -218.571061911285</f>
        <v>-1039.0143848502939</v>
      </c>
      <c r="Q2261">
        <f>-469.579284002216 -103.495550348101 -359.508244540853</f>
        <v>-932.58307889117009</v>
      </c>
      <c r="R2261" t="s">
        <v>44098</v>
      </c>
      <c r="S2261" t="s">
        <v>44099</v>
      </c>
      <c r="T2261" t="s">
        <v>44100</v>
      </c>
      <c r="U2261" t="s">
        <v>44101</v>
      </c>
      <c r="V2261">
        <f>-596.253462188504 -56.9743608027254 -93.0833886033988</f>
        <v>-746.31121159462828</v>
      </c>
      <c r="W2261" t="s">
        <v>44102</v>
      </c>
      <c r="X2261" t="s">
        <v>44103</v>
      </c>
      <c r="Y2261" t="s">
        <v>44104</v>
      </c>
    </row>
    <row r="2262" spans="1:25" x14ac:dyDescent="0.3">
      <c r="A2262">
        <v>113050</v>
      </c>
      <c r="B2262" t="s">
        <v>44105</v>
      </c>
      <c r="C2262" t="s">
        <v>44106</v>
      </c>
      <c r="D2262" t="s">
        <v>44107</v>
      </c>
      <c r="E2262" t="s">
        <v>44108</v>
      </c>
      <c r="F2262" t="s">
        <v>44109</v>
      </c>
      <c r="G2262" t="s">
        <v>44110</v>
      </c>
      <c r="H2262" t="s">
        <v>44111</v>
      </c>
      <c r="I2262" t="s">
        <v>44112</v>
      </c>
      <c r="J2262" t="s">
        <v>44113</v>
      </c>
      <c r="K2262" t="s">
        <v>44114</v>
      </c>
      <c r="L2262" t="s">
        <v>44115</v>
      </c>
      <c r="M2262" t="s">
        <v>44116</v>
      </c>
      <c r="N2262">
        <f>-657.050529701498 -8.28091164377111 -529.47524577628</f>
        <v>-1194.8066871215492</v>
      </c>
      <c r="O2262">
        <f>-661.398240937282 -161.116524165805 -498.511917378494</f>
        <v>-1321.026682481581</v>
      </c>
      <c r="P2262">
        <f>-635.177794232744 -185.491069239574 -218.696004972262</f>
        <v>-1039.36486844458</v>
      </c>
      <c r="Q2262">
        <f>-469.751101114887 -103.707278504158 -359.742045297679</f>
        <v>-933.20042491672393</v>
      </c>
      <c r="R2262" t="s">
        <v>44117</v>
      </c>
      <c r="S2262" t="s">
        <v>44118</v>
      </c>
      <c r="T2262" t="s">
        <v>44119</v>
      </c>
      <c r="U2262" t="s">
        <v>44120</v>
      </c>
      <c r="V2262">
        <f>-596.27549835891 -56.9583754826003 -93.0963265882465</f>
        <v>-746.33020042975681</v>
      </c>
      <c r="W2262" t="s">
        <v>44121</v>
      </c>
      <c r="X2262" t="s">
        <v>44122</v>
      </c>
      <c r="Y2262" t="s">
        <v>44123</v>
      </c>
    </row>
    <row r="2263" spans="1:25" x14ac:dyDescent="0.3">
      <c r="A2263">
        <v>113100</v>
      </c>
      <c r="B2263" t="s">
        <v>44124</v>
      </c>
      <c r="C2263" t="s">
        <v>44125</v>
      </c>
      <c r="D2263" t="s">
        <v>44126</v>
      </c>
      <c r="E2263" t="s">
        <v>44127</v>
      </c>
      <c r="F2263" t="s">
        <v>44128</v>
      </c>
      <c r="G2263" t="s">
        <v>44129</v>
      </c>
      <c r="H2263" t="s">
        <v>44130</v>
      </c>
      <c r="I2263" t="s">
        <v>44131</v>
      </c>
      <c r="J2263" t="s">
        <v>44132</v>
      </c>
      <c r="K2263" t="s">
        <v>44133</v>
      </c>
      <c r="L2263" t="s">
        <v>44134</v>
      </c>
      <c r="M2263" t="s">
        <v>44135</v>
      </c>
      <c r="N2263">
        <f>-657.462971387469 -7.89511080220018 -529.493588892575</f>
        <v>-1194.8516710822441</v>
      </c>
      <c r="O2263">
        <f>-661.808166560719 -160.759958154354 -498.643018841063</f>
        <v>-1321.211143556136</v>
      </c>
      <c r="P2263">
        <f>-635.341050517833 -185.245355435816 -218.860021561953</f>
        <v>-1039.446427515602</v>
      </c>
      <c r="Q2263">
        <f>-470.074275861921 -103.566764524391 -360.154119670666</f>
        <v>-933.79516005697803</v>
      </c>
      <c r="R2263" t="s">
        <v>44136</v>
      </c>
      <c r="S2263" t="s">
        <v>44137</v>
      </c>
      <c r="T2263" t="s">
        <v>44138</v>
      </c>
      <c r="U2263" t="s">
        <v>44139</v>
      </c>
      <c r="V2263">
        <f>-596.350195420011 -56.797445888516 -93.1048538225211</f>
        <v>-746.25249513104814</v>
      </c>
      <c r="W2263" t="s">
        <v>44140</v>
      </c>
      <c r="X2263" t="s">
        <v>44141</v>
      </c>
      <c r="Y2263" t="s">
        <v>44142</v>
      </c>
    </row>
    <row r="2264" spans="1:25" x14ac:dyDescent="0.3">
      <c r="A2264">
        <v>113150</v>
      </c>
      <c r="B2264" t="s">
        <v>44143</v>
      </c>
      <c r="C2264" t="s">
        <v>44144</v>
      </c>
      <c r="D2264" t="s">
        <v>44145</v>
      </c>
      <c r="E2264" t="s">
        <v>44146</v>
      </c>
      <c r="F2264" t="s">
        <v>44147</v>
      </c>
      <c r="G2264" t="s">
        <v>44148</v>
      </c>
      <c r="H2264" t="s">
        <v>44149</v>
      </c>
      <c r="I2264" t="s">
        <v>44150</v>
      </c>
      <c r="J2264" t="s">
        <v>44151</v>
      </c>
      <c r="K2264" t="s">
        <v>44152</v>
      </c>
      <c r="L2264" t="s">
        <v>44153</v>
      </c>
      <c r="M2264" t="s">
        <v>44154</v>
      </c>
      <c r="N2264">
        <f>-657.780574993821 -7.70319293585612 -529.478134768241</f>
        <v>-1194.961902697918</v>
      </c>
      <c r="O2264">
        <f>-662.109443645002 -160.568118363146 -498.648781915736</f>
        <v>-1321.326343923884</v>
      </c>
      <c r="P2264">
        <f>-635.404705330214 -185.135101894208 -218.895554829798</f>
        <v>-1039.4353620542199</v>
      </c>
      <c r="Q2264">
        <f>-470.373482015982 -103.311779941728 -360.381178336144</f>
        <v>-934.06644029385404</v>
      </c>
      <c r="R2264" t="s">
        <v>44155</v>
      </c>
      <c r="S2264" t="s">
        <v>44156</v>
      </c>
      <c r="T2264" t="s">
        <v>44157</v>
      </c>
      <c r="U2264" t="s">
        <v>44158</v>
      </c>
      <c r="V2264">
        <f>-596.443053146581 -56.6405434458777 -93.1012853187194</f>
        <v>-746.18488191117808</v>
      </c>
      <c r="W2264" t="s">
        <v>44159</v>
      </c>
      <c r="X2264" t="s">
        <v>44160</v>
      </c>
      <c r="Y2264" t="s">
        <v>44161</v>
      </c>
    </row>
    <row r="2265" spans="1:25" x14ac:dyDescent="0.3">
      <c r="A2265">
        <v>113200</v>
      </c>
      <c r="B2265" t="s">
        <v>44162</v>
      </c>
      <c r="C2265" t="s">
        <v>44163</v>
      </c>
      <c r="D2265" t="s">
        <v>44164</v>
      </c>
      <c r="E2265" t="s">
        <v>44165</v>
      </c>
      <c r="F2265" t="s">
        <v>44166</v>
      </c>
      <c r="G2265" t="s">
        <v>44167</v>
      </c>
      <c r="H2265" t="s">
        <v>44168</v>
      </c>
      <c r="I2265" t="s">
        <v>44169</v>
      </c>
      <c r="J2265" t="s">
        <v>44170</v>
      </c>
      <c r="K2265" t="s">
        <v>44171</v>
      </c>
      <c r="L2265" t="s">
        <v>44172</v>
      </c>
      <c r="M2265" t="s">
        <v>44173</v>
      </c>
      <c r="N2265">
        <f>-658.40423797721 -7.36862161662839 -529.447649062163</f>
        <v>-1195.2205086560014</v>
      </c>
      <c r="O2265">
        <f>-662.68391011805 -160.237065751928 -498.620662445152</f>
        <v>-1321.5416383151301</v>
      </c>
      <c r="P2265">
        <f>-635.674163447946 -185.007103515644 -218.914555518127</f>
        <v>-1039.5958224817168</v>
      </c>
      <c r="Q2265">
        <f>-471.278280963737 -102.857371353424 -360.949690902067</f>
        <v>-935.08534321922798</v>
      </c>
      <c r="R2265" t="s">
        <v>44174</v>
      </c>
      <c r="S2265" t="s">
        <v>44175</v>
      </c>
      <c r="T2265" t="s">
        <v>44176</v>
      </c>
      <c r="U2265" t="s">
        <v>44177</v>
      </c>
      <c r="V2265">
        <f>-596.754142232185 -56.341234957355 -93.1063356472614</f>
        <v>-746.20171283680145</v>
      </c>
      <c r="W2265" t="s">
        <v>44178</v>
      </c>
      <c r="X2265" t="s">
        <v>44179</v>
      </c>
      <c r="Y2265" t="s">
        <v>44180</v>
      </c>
    </row>
    <row r="2266" spans="1:25" x14ac:dyDescent="0.3">
      <c r="A2266">
        <v>113250</v>
      </c>
      <c r="B2266" t="s">
        <v>44181</v>
      </c>
      <c r="C2266" t="s">
        <v>44182</v>
      </c>
      <c r="D2266" t="s">
        <v>44183</v>
      </c>
      <c r="E2266" t="s">
        <v>44184</v>
      </c>
      <c r="F2266" t="s">
        <v>44185</v>
      </c>
      <c r="G2266" t="s">
        <v>44186</v>
      </c>
      <c r="H2266" t="s">
        <v>44187</v>
      </c>
      <c r="I2266" t="s">
        <v>44188</v>
      </c>
      <c r="J2266" t="s">
        <v>44189</v>
      </c>
      <c r="K2266" t="s">
        <v>44190</v>
      </c>
      <c r="L2266" t="s">
        <v>44191</v>
      </c>
      <c r="M2266" t="s">
        <v>44192</v>
      </c>
      <c r="N2266">
        <f>-658.804356698622 -7.15992490196027 -529.441084111733</f>
        <v>-1195.4053657123152</v>
      </c>
      <c r="O2266">
        <f>-663.109138589621 -160.025936940837 -498.596051927266</f>
        <v>-1321.7311274577241</v>
      </c>
      <c r="P2266">
        <f>-635.654693341342 -184.792159659384 -218.932823402489</f>
        <v>-1039.3796764032149</v>
      </c>
      <c r="Q2266">
        <f>-471.685960214189 -102.520625860984 -361.390482777267</f>
        <v>-935.59706885243986</v>
      </c>
      <c r="R2266" t="s">
        <v>44193</v>
      </c>
      <c r="S2266" t="s">
        <v>44194</v>
      </c>
      <c r="T2266" t="s">
        <v>44195</v>
      </c>
      <c r="U2266" t="s">
        <v>44196</v>
      </c>
      <c r="V2266">
        <f>-596.982450755572 -56.1728926139006 -93.1174347815959</f>
        <v>-746.27277815106845</v>
      </c>
      <c r="W2266" t="s">
        <v>44197</v>
      </c>
      <c r="X2266" t="s">
        <v>44198</v>
      </c>
      <c r="Y2266" t="s">
        <v>44199</v>
      </c>
    </row>
    <row r="2267" spans="1:25" x14ac:dyDescent="0.3">
      <c r="A2267">
        <v>113300</v>
      </c>
      <c r="B2267" t="s">
        <v>44181</v>
      </c>
      <c r="C2267" t="s">
        <v>44182</v>
      </c>
      <c r="D2267" t="s">
        <v>44183</v>
      </c>
      <c r="E2267" t="s">
        <v>44184</v>
      </c>
      <c r="F2267" t="s">
        <v>44185</v>
      </c>
      <c r="G2267" t="s">
        <v>44186</v>
      </c>
      <c r="H2267" t="s">
        <v>44187</v>
      </c>
      <c r="I2267" t="s">
        <v>44188</v>
      </c>
      <c r="J2267" t="s">
        <v>44189</v>
      </c>
      <c r="K2267" t="s">
        <v>44190</v>
      </c>
      <c r="L2267" t="s">
        <v>44191</v>
      </c>
      <c r="M2267" t="s">
        <v>44192</v>
      </c>
      <c r="N2267">
        <f>-658.804356698622 -7.15992490196027 -529.441084111733</f>
        <v>-1195.4053657123152</v>
      </c>
      <c r="O2267">
        <f>-663.109138589621 -160.025936940837 -498.596051927266</f>
        <v>-1321.7311274577241</v>
      </c>
      <c r="P2267">
        <f>-635.654693341342 -184.792159659384 -218.932823402489</f>
        <v>-1039.3796764032149</v>
      </c>
      <c r="Q2267">
        <f>-471.685960214189 -102.520625860984 -361.390482777267</f>
        <v>-935.59706885243986</v>
      </c>
      <c r="R2267" t="s">
        <v>44193</v>
      </c>
      <c r="S2267" t="s">
        <v>44194</v>
      </c>
      <c r="T2267" t="s">
        <v>44195</v>
      </c>
      <c r="U2267" t="s">
        <v>44196</v>
      </c>
      <c r="V2267">
        <f>-596.982450755572 -56.1728926139006 -93.1174347815959</f>
        <v>-746.27277815106845</v>
      </c>
      <c r="W2267" t="s">
        <v>44197</v>
      </c>
      <c r="X2267" t="s">
        <v>44198</v>
      </c>
      <c r="Y2267" t="s">
        <v>44199</v>
      </c>
    </row>
    <row r="2268" spans="1:25" x14ac:dyDescent="0.3">
      <c r="A2268">
        <v>113350</v>
      </c>
      <c r="B2268" t="s">
        <v>44181</v>
      </c>
      <c r="C2268" t="s">
        <v>44182</v>
      </c>
      <c r="D2268" t="s">
        <v>44183</v>
      </c>
      <c r="E2268" t="s">
        <v>44184</v>
      </c>
      <c r="F2268" t="s">
        <v>44185</v>
      </c>
      <c r="G2268" t="s">
        <v>44186</v>
      </c>
      <c r="H2268" t="s">
        <v>44187</v>
      </c>
      <c r="I2268" t="s">
        <v>44188</v>
      </c>
      <c r="J2268" t="s">
        <v>44189</v>
      </c>
      <c r="K2268" t="s">
        <v>44190</v>
      </c>
      <c r="L2268" t="s">
        <v>44191</v>
      </c>
      <c r="M2268" t="s">
        <v>44192</v>
      </c>
      <c r="N2268">
        <f>-658.804356698622 -7.15992490196027 -529.441084111733</f>
        <v>-1195.4053657123152</v>
      </c>
      <c r="O2268">
        <f>-663.109138589621 -160.025936940837 -498.596051927266</f>
        <v>-1321.7311274577241</v>
      </c>
      <c r="P2268">
        <f>-635.654693341342 -184.792159659384 -218.932823402489</f>
        <v>-1039.3796764032149</v>
      </c>
      <c r="Q2268">
        <f>-471.685960214189 -102.520625860984 -361.390482777267</f>
        <v>-935.59706885243986</v>
      </c>
      <c r="R2268" t="s">
        <v>44193</v>
      </c>
      <c r="S2268" t="s">
        <v>44194</v>
      </c>
      <c r="T2268" t="s">
        <v>44195</v>
      </c>
      <c r="U2268" t="s">
        <v>44196</v>
      </c>
      <c r="V2268">
        <f>-596.982450755572 -56.1728926139006 -93.1174347815959</f>
        <v>-746.27277815106845</v>
      </c>
      <c r="W2268" t="s">
        <v>44197</v>
      </c>
      <c r="X2268" t="s">
        <v>44198</v>
      </c>
      <c r="Y2268" t="s">
        <v>44199</v>
      </c>
    </row>
    <row r="2269" spans="1:25" x14ac:dyDescent="0.3">
      <c r="A2269">
        <v>113400</v>
      </c>
      <c r="B2269" t="s">
        <v>44200</v>
      </c>
      <c r="C2269" t="s">
        <v>44201</v>
      </c>
      <c r="D2269" t="s">
        <v>44202</v>
      </c>
      <c r="E2269" t="s">
        <v>44203</v>
      </c>
      <c r="F2269" t="s">
        <v>44204</v>
      </c>
      <c r="G2269" t="s">
        <v>44205</v>
      </c>
      <c r="H2269" t="s">
        <v>44206</v>
      </c>
      <c r="I2269" t="s">
        <v>44207</v>
      </c>
      <c r="J2269" t="s">
        <v>44208</v>
      </c>
      <c r="K2269" t="s">
        <v>44209</v>
      </c>
      <c r="L2269" t="s">
        <v>44210</v>
      </c>
      <c r="M2269" t="s">
        <v>44211</v>
      </c>
      <c r="N2269">
        <f>-659.269640773083 -7.00222764040132 -529.428920033589</f>
        <v>-1195.7007884470731</v>
      </c>
      <c r="O2269">
        <f>-663.570606244787 -159.863254180085 -498.554575070836</f>
        <v>-1321.988435495708</v>
      </c>
      <c r="P2269">
        <f>-635.630478156403 -184.597218275075 -218.936717953916</f>
        <v>-1039.1644143853939</v>
      </c>
      <c r="Q2269">
        <f>-472.086558308095 -102.148137668183 -361.779612383101</f>
        <v>-936.0143083593789</v>
      </c>
      <c r="R2269" t="s">
        <v>44212</v>
      </c>
      <c r="S2269" t="s">
        <v>44213</v>
      </c>
      <c r="T2269" t="s">
        <v>44214</v>
      </c>
      <c r="U2269" t="s">
        <v>44215</v>
      </c>
      <c r="V2269">
        <f>-597.23852090865 -56.0138231730557 -93.1253825852598</f>
        <v>-746.37772666696549</v>
      </c>
      <c r="W2269" t="s">
        <v>44216</v>
      </c>
      <c r="X2269" t="s">
        <v>44217</v>
      </c>
      <c r="Y2269" t="s">
        <v>44218</v>
      </c>
    </row>
    <row r="2270" spans="1:25" x14ac:dyDescent="0.3">
      <c r="A2270">
        <v>113450</v>
      </c>
      <c r="B2270" t="s">
        <v>44200</v>
      </c>
      <c r="C2270" t="s">
        <v>44201</v>
      </c>
      <c r="D2270" t="s">
        <v>44202</v>
      </c>
      <c r="E2270" t="s">
        <v>44203</v>
      </c>
      <c r="F2270" t="s">
        <v>44204</v>
      </c>
      <c r="G2270" t="s">
        <v>44205</v>
      </c>
      <c r="H2270" t="s">
        <v>44206</v>
      </c>
      <c r="I2270" t="s">
        <v>44207</v>
      </c>
      <c r="J2270" t="s">
        <v>44208</v>
      </c>
      <c r="K2270" t="s">
        <v>44209</v>
      </c>
      <c r="L2270" t="s">
        <v>44210</v>
      </c>
      <c r="M2270" t="s">
        <v>44211</v>
      </c>
      <c r="N2270">
        <f>-659.269640773083 -7.00222764040132 -529.428920033589</f>
        <v>-1195.7007884470731</v>
      </c>
      <c r="O2270">
        <f>-663.570606244787 -159.863254180085 -498.554575070836</f>
        <v>-1321.988435495708</v>
      </c>
      <c r="P2270">
        <f>-635.630478156403 -184.597218275075 -218.936717953916</f>
        <v>-1039.1644143853939</v>
      </c>
      <c r="Q2270">
        <f>-472.086558308095 -102.148137668183 -361.779612383101</f>
        <v>-936.0143083593789</v>
      </c>
      <c r="R2270" t="s">
        <v>44212</v>
      </c>
      <c r="S2270" t="s">
        <v>44213</v>
      </c>
      <c r="T2270" t="s">
        <v>44214</v>
      </c>
      <c r="U2270" t="s">
        <v>44215</v>
      </c>
      <c r="V2270">
        <f>-597.23852090865 -56.0138231730557 -93.1253825852598</f>
        <v>-746.37772666696549</v>
      </c>
      <c r="W2270" t="s">
        <v>44216</v>
      </c>
      <c r="X2270" t="s">
        <v>44217</v>
      </c>
      <c r="Y2270" t="s">
        <v>44218</v>
      </c>
    </row>
    <row r="2271" spans="1:25" x14ac:dyDescent="0.3">
      <c r="A2271">
        <v>113500</v>
      </c>
      <c r="B2271" t="s">
        <v>44200</v>
      </c>
      <c r="C2271" t="s">
        <v>44201</v>
      </c>
      <c r="D2271" t="s">
        <v>44202</v>
      </c>
      <c r="E2271" t="s">
        <v>44203</v>
      </c>
      <c r="F2271" t="s">
        <v>44204</v>
      </c>
      <c r="G2271" t="s">
        <v>44205</v>
      </c>
      <c r="H2271" t="s">
        <v>44206</v>
      </c>
      <c r="I2271" t="s">
        <v>44207</v>
      </c>
      <c r="J2271" t="s">
        <v>44208</v>
      </c>
      <c r="K2271" t="s">
        <v>44209</v>
      </c>
      <c r="L2271" t="s">
        <v>44210</v>
      </c>
      <c r="M2271" t="s">
        <v>44211</v>
      </c>
      <c r="N2271">
        <f>-659.269640773083 -7.00222764040132 -529.428920033589</f>
        <v>-1195.7007884470731</v>
      </c>
      <c r="O2271">
        <f>-663.570606244787 -159.863254180085 -498.554575070836</f>
        <v>-1321.988435495708</v>
      </c>
      <c r="P2271">
        <f>-635.630478156403 -184.597218275075 -218.936717953916</f>
        <v>-1039.1644143853939</v>
      </c>
      <c r="Q2271">
        <f>-472.086558308095 -102.148137668183 -361.779612383101</f>
        <v>-936.0143083593789</v>
      </c>
      <c r="R2271" t="s">
        <v>44212</v>
      </c>
      <c r="S2271" t="s">
        <v>44213</v>
      </c>
      <c r="T2271" t="s">
        <v>44214</v>
      </c>
      <c r="U2271" t="s">
        <v>44215</v>
      </c>
      <c r="V2271">
        <f>-597.23852090865 -56.0138231730557 -93.1253825852598</f>
        <v>-746.37772666696549</v>
      </c>
      <c r="W2271" t="s">
        <v>44216</v>
      </c>
      <c r="X2271" t="s">
        <v>44217</v>
      </c>
      <c r="Y2271" t="s">
        <v>44218</v>
      </c>
    </row>
    <row r="2272" spans="1:25" x14ac:dyDescent="0.3">
      <c r="A2272">
        <v>113550</v>
      </c>
      <c r="B2272" t="s">
        <v>44219</v>
      </c>
      <c r="C2272" t="s">
        <v>44220</v>
      </c>
      <c r="D2272" t="s">
        <v>44221</v>
      </c>
      <c r="E2272" t="s">
        <v>44222</v>
      </c>
      <c r="F2272" t="s">
        <v>44223</v>
      </c>
      <c r="G2272" t="s">
        <v>44224</v>
      </c>
      <c r="H2272" t="s">
        <v>44225</v>
      </c>
      <c r="I2272" t="s">
        <v>44226</v>
      </c>
      <c r="J2272" t="s">
        <v>44227</v>
      </c>
      <c r="K2272" t="s">
        <v>44228</v>
      </c>
      <c r="L2272" t="s">
        <v>44229</v>
      </c>
      <c r="M2272" t="s">
        <v>44230</v>
      </c>
      <c r="N2272">
        <f>-664.014351562388 -6.31611637184483 -529.030750188832</f>
        <v>-1199.3612181230649</v>
      </c>
      <c r="O2272">
        <f>-667.699756959856 -159.077125347292 -497.596574492162</f>
        <v>-1324.3734567993101</v>
      </c>
      <c r="P2272">
        <f>-637.946466224913 -182.612510255354 -218.062292325943</f>
        <v>-1038.6212688062101</v>
      </c>
      <c r="Q2272">
        <f>-475.17495915066 -100.127195409751 -361.763795068519</f>
        <v>-937.06594962893007</v>
      </c>
      <c r="R2272" t="s">
        <v>44231</v>
      </c>
      <c r="S2272" t="s">
        <v>44232</v>
      </c>
      <c r="T2272" t="s">
        <v>44233</v>
      </c>
      <c r="U2272" t="s">
        <v>44234</v>
      </c>
      <c r="V2272">
        <f>-599.221877163968 -54.6643147435123 -93.2279436581108</f>
        <v>-747.11413556559103</v>
      </c>
      <c r="W2272" t="s">
        <v>44235</v>
      </c>
      <c r="X2272" t="s">
        <v>44236</v>
      </c>
      <c r="Y2272" t="s">
        <v>44237</v>
      </c>
    </row>
    <row r="2273" spans="1:25" x14ac:dyDescent="0.3">
      <c r="A2273">
        <v>113600</v>
      </c>
      <c r="B2273" t="s">
        <v>44238</v>
      </c>
      <c r="C2273" t="s">
        <v>44239</v>
      </c>
      <c r="D2273" t="s">
        <v>44240</v>
      </c>
      <c r="E2273" t="s">
        <v>44241</v>
      </c>
      <c r="F2273" t="s">
        <v>44242</v>
      </c>
      <c r="G2273" t="s">
        <v>44243</v>
      </c>
      <c r="H2273" t="s">
        <v>44244</v>
      </c>
      <c r="I2273" t="s">
        <v>44245</v>
      </c>
      <c r="J2273" t="s">
        <v>44246</v>
      </c>
      <c r="K2273" t="s">
        <v>44247</v>
      </c>
      <c r="L2273" t="s">
        <v>44248</v>
      </c>
      <c r="M2273" t="s">
        <v>44249</v>
      </c>
      <c r="N2273">
        <f>-665.513617449699 -6.21465262596803 -528.902276592635</f>
        <v>-1200.630546668302</v>
      </c>
      <c r="O2273">
        <f>-669.215136675159 -158.945197548276 -497.307124584977</f>
        <v>-1325.4674588084119</v>
      </c>
      <c r="P2273">
        <f>-639.187172299374 -182.271694689147 -217.784729440721</f>
        <v>-1039.243596429242</v>
      </c>
      <c r="Q2273">
        <f>-476.544003924826 -99.9599946946721 -361.730913113387</f>
        <v>-938.23491173288517</v>
      </c>
      <c r="R2273" t="s">
        <v>44250</v>
      </c>
      <c r="S2273" t="s">
        <v>44251</v>
      </c>
      <c r="T2273" t="s">
        <v>44252</v>
      </c>
      <c r="U2273" t="s">
        <v>44253</v>
      </c>
      <c r="V2273">
        <f>-599.954570273739 -54.5430006720248 -93.253503556696</f>
        <v>-747.75107450245991</v>
      </c>
      <c r="W2273" t="s">
        <v>44254</v>
      </c>
      <c r="X2273" t="s">
        <v>44255</v>
      </c>
      <c r="Y2273" t="s">
        <v>44256</v>
      </c>
    </row>
    <row r="2274" spans="1:25" x14ac:dyDescent="0.3">
      <c r="A2274">
        <v>113650</v>
      </c>
      <c r="B2274" t="s">
        <v>44257</v>
      </c>
      <c r="C2274" t="s">
        <v>44258</v>
      </c>
      <c r="D2274" t="s">
        <v>44259</v>
      </c>
      <c r="E2274" t="s">
        <v>44260</v>
      </c>
      <c r="F2274" t="s">
        <v>44261</v>
      </c>
      <c r="G2274" t="s">
        <v>44262</v>
      </c>
      <c r="H2274" t="s">
        <v>44263</v>
      </c>
      <c r="I2274" t="s">
        <v>44264</v>
      </c>
      <c r="J2274" t="s">
        <v>44265</v>
      </c>
      <c r="K2274" t="s">
        <v>44266</v>
      </c>
      <c r="L2274" t="s">
        <v>44267</v>
      </c>
      <c r="M2274" t="s">
        <v>44268</v>
      </c>
      <c r="N2274">
        <f>-666.225812475832 -6.25804686460947 -528.861547464541</f>
        <v>-1201.3454068049823</v>
      </c>
      <c r="O2274">
        <f>-669.97233973311 -158.973242435803 -497.221456621349</f>
        <v>-1326.167038790262</v>
      </c>
      <c r="P2274">
        <f>-639.708176115773 -182.147020676866 -217.711776155904</f>
        <v>-1039.566972948543</v>
      </c>
      <c r="Q2274">
        <f>-477.235428202867 -99.849302152053 -361.858394117801</f>
        <v>-938.94312447272102</v>
      </c>
      <c r="R2274" t="s">
        <v>44269</v>
      </c>
      <c r="S2274" t="s">
        <v>44270</v>
      </c>
      <c r="T2274" t="s">
        <v>44271</v>
      </c>
      <c r="U2274" t="s">
        <v>44272</v>
      </c>
      <c r="V2274">
        <f>-600.423093336196 -54.5290088104935 -93.263315087356</f>
        <v>-748.21541723404539</v>
      </c>
      <c r="W2274" t="s">
        <v>44273</v>
      </c>
      <c r="X2274" t="s">
        <v>44274</v>
      </c>
      <c r="Y2274" t="s">
        <v>44275</v>
      </c>
    </row>
    <row r="2275" spans="1:25" x14ac:dyDescent="0.3">
      <c r="A2275">
        <v>113700</v>
      </c>
      <c r="B2275" t="s">
        <v>44276</v>
      </c>
      <c r="C2275" t="s">
        <v>44277</v>
      </c>
      <c r="D2275" t="s">
        <v>44278</v>
      </c>
      <c r="E2275" t="s">
        <v>44279</v>
      </c>
      <c r="F2275" t="s">
        <v>44280</v>
      </c>
      <c r="G2275" t="s">
        <v>44281</v>
      </c>
      <c r="H2275" t="s">
        <v>44282</v>
      </c>
      <c r="I2275" t="s">
        <v>44283</v>
      </c>
      <c r="J2275" t="s">
        <v>44284</v>
      </c>
      <c r="K2275" t="s">
        <v>44285</v>
      </c>
      <c r="L2275" t="s">
        <v>44286</v>
      </c>
      <c r="M2275" t="s">
        <v>44287</v>
      </c>
      <c r="N2275">
        <f>-667.697861776618 -6.22736287387897 -528.710182203632</f>
        <v>-1202.6354068541291</v>
      </c>
      <c r="O2275">
        <f>-671.505073776296 -158.923010656502 -496.975101684386</f>
        <v>-1327.4031861171839</v>
      </c>
      <c r="P2275">
        <f>-640.630901449606 -182.101968064167 -217.53255011553</f>
        <v>-1040.2654196293031</v>
      </c>
      <c r="Q2275">
        <f>-478.519891732579 -99.7814816215237 -362.072847492491</f>
        <v>-940.37422084659374</v>
      </c>
      <c r="R2275" t="s">
        <v>44288</v>
      </c>
      <c r="S2275" t="s">
        <v>44289</v>
      </c>
      <c r="T2275" t="s">
        <v>44290</v>
      </c>
      <c r="U2275" t="s">
        <v>44291</v>
      </c>
      <c r="V2275">
        <f>-601.274733864146 -54.3463637797074 -93.2667890881355</f>
        <v>-748.88788673198894</v>
      </c>
      <c r="W2275" t="s">
        <v>44292</v>
      </c>
      <c r="X2275" t="s">
        <v>44293</v>
      </c>
      <c r="Y2275" t="s">
        <v>44294</v>
      </c>
    </row>
    <row r="2276" spans="1:25" x14ac:dyDescent="0.3">
      <c r="A2276">
        <v>113750</v>
      </c>
      <c r="B2276" t="s">
        <v>44295</v>
      </c>
      <c r="C2276" t="s">
        <v>44296</v>
      </c>
      <c r="D2276" t="s">
        <v>44297</v>
      </c>
      <c r="E2276" t="s">
        <v>44298</v>
      </c>
      <c r="F2276" t="s">
        <v>44299</v>
      </c>
      <c r="G2276" t="s">
        <v>44300</v>
      </c>
      <c r="H2276" t="s">
        <v>44301</v>
      </c>
      <c r="I2276" t="s">
        <v>44302</v>
      </c>
      <c r="J2276" t="s">
        <v>44303</v>
      </c>
      <c r="K2276" t="s">
        <v>44304</v>
      </c>
      <c r="L2276" t="s">
        <v>44305</v>
      </c>
      <c r="M2276" t="s">
        <v>44306</v>
      </c>
      <c r="N2276">
        <f>-668.453670567022 -6.1050887590211 -528.6294543891</f>
        <v>-1203.1882137151431</v>
      </c>
      <c r="O2276">
        <f>-672.271900858119 -158.787814869092 -496.82857084647</f>
        <v>-1327.8882865736809</v>
      </c>
      <c r="P2276">
        <f>-641.057721125882 -181.886964353582 -217.417197990764</f>
        <v>-1040.3618834702281</v>
      </c>
      <c r="Q2276">
        <f>-479.091307188745 -99.6578243476376 -362.171482943776</f>
        <v>-940.92061448015863</v>
      </c>
      <c r="R2276" t="s">
        <v>44307</v>
      </c>
      <c r="S2276" t="s">
        <v>44308</v>
      </c>
      <c r="T2276" t="s">
        <v>44309</v>
      </c>
      <c r="U2276" t="s">
        <v>44310</v>
      </c>
      <c r="V2276">
        <f>-601.615593695073 -54.1362376080283 -93.2619631428852</f>
        <v>-749.01379444598649</v>
      </c>
      <c r="W2276" t="s">
        <v>44311</v>
      </c>
      <c r="X2276" t="s">
        <v>44312</v>
      </c>
      <c r="Y2276" t="s">
        <v>44313</v>
      </c>
    </row>
    <row r="2277" spans="1:25" x14ac:dyDescent="0.3">
      <c r="A2277">
        <v>113800</v>
      </c>
      <c r="B2277" t="s">
        <v>44314</v>
      </c>
      <c r="C2277" t="s">
        <v>44315</v>
      </c>
      <c r="D2277" t="s">
        <v>44316</v>
      </c>
      <c r="E2277" t="s">
        <v>44317</v>
      </c>
      <c r="F2277" t="s">
        <v>44318</v>
      </c>
      <c r="G2277" t="s">
        <v>44319</v>
      </c>
      <c r="H2277" t="s">
        <v>44320</v>
      </c>
      <c r="I2277" t="s">
        <v>44321</v>
      </c>
      <c r="J2277" t="s">
        <v>44322</v>
      </c>
      <c r="K2277" t="s">
        <v>44323</v>
      </c>
      <c r="L2277" t="s">
        <v>44324</v>
      </c>
      <c r="M2277" t="s">
        <v>44325</v>
      </c>
      <c r="N2277">
        <f>-669.987032257518 -5.60375577091827 -528.452981214505</f>
        <v>-1204.0437692429414</v>
      </c>
      <c r="O2277">
        <f>-673.877434390934 -158.276116506334 -496.600101118854</f>
        <v>-1328.753652016122</v>
      </c>
      <c r="P2277">
        <f>-642.071347517182 -181.184166108797 -217.239734178153</f>
        <v>-1040.4952478041318</v>
      </c>
      <c r="Q2277">
        <f>-480.409539308162 -99.1550613952995 -362.447301256511</f>
        <v>-942.01190195997242</v>
      </c>
      <c r="R2277" t="s">
        <v>44326</v>
      </c>
      <c r="S2277" t="s">
        <v>44327</v>
      </c>
      <c r="T2277" t="s">
        <v>44328</v>
      </c>
      <c r="U2277" t="s">
        <v>44329</v>
      </c>
      <c r="V2277">
        <f>-602.149469928172 -53.5696954384782 -93.2327635870683</f>
        <v>-748.95192895371861</v>
      </c>
      <c r="W2277" t="s">
        <v>44330</v>
      </c>
      <c r="X2277" t="s">
        <v>44331</v>
      </c>
      <c r="Y2277" t="s">
        <v>44332</v>
      </c>
    </row>
    <row r="2278" spans="1:25" x14ac:dyDescent="0.3">
      <c r="A2278">
        <v>113850</v>
      </c>
      <c r="B2278" t="s">
        <v>44333</v>
      </c>
      <c r="C2278" t="s">
        <v>44334</v>
      </c>
      <c r="D2278" t="s">
        <v>44335</v>
      </c>
      <c r="E2278" t="s">
        <v>44336</v>
      </c>
      <c r="F2278" t="s">
        <v>44337</v>
      </c>
      <c r="G2278" t="s">
        <v>44338</v>
      </c>
      <c r="H2278" t="s">
        <v>44339</v>
      </c>
      <c r="I2278" t="s">
        <v>44340</v>
      </c>
      <c r="J2278" t="s">
        <v>44341</v>
      </c>
      <c r="K2278" t="s">
        <v>44342</v>
      </c>
      <c r="L2278" t="s">
        <v>44343</v>
      </c>
      <c r="M2278" t="s">
        <v>44344</v>
      </c>
      <c r="N2278">
        <f>-670.744695383475 -5.29857484406216 -528.361136756353</f>
        <v>-1204.4044069838901</v>
      </c>
      <c r="O2278">
        <f>-674.662067897943 -157.96569164015 -496.516728032966</f>
        <v>-1329.144487571059</v>
      </c>
      <c r="P2278">
        <f>-642.554102566846 -180.904499963912 -217.193404983745</f>
        <v>-1040.6520075145031</v>
      </c>
      <c r="Q2278">
        <f>-481.129229007366 -98.8267958955137 -362.636897720947</f>
        <v>-942.59292262382667</v>
      </c>
      <c r="R2278" t="s">
        <v>44345</v>
      </c>
      <c r="S2278" t="s">
        <v>44346</v>
      </c>
      <c r="T2278" t="s">
        <v>44347</v>
      </c>
      <c r="U2278" t="s">
        <v>44348</v>
      </c>
      <c r="V2278">
        <f>-602.391945970659 -53.3295238100852 -93.2063286664715</f>
        <v>-748.92779844721576</v>
      </c>
      <c r="W2278" t="s">
        <v>44349</v>
      </c>
      <c r="X2278" t="s">
        <v>44350</v>
      </c>
      <c r="Y2278" t="s">
        <v>44351</v>
      </c>
    </row>
    <row r="2279" spans="1:25" x14ac:dyDescent="0.3">
      <c r="A2279">
        <v>113900</v>
      </c>
      <c r="B2279" t="s">
        <v>44352</v>
      </c>
      <c r="C2279" t="s">
        <v>44353</v>
      </c>
      <c r="D2279" t="s">
        <v>44354</v>
      </c>
      <c r="E2279" t="s">
        <v>44355</v>
      </c>
      <c r="F2279" t="s">
        <v>44356</v>
      </c>
      <c r="G2279" t="s">
        <v>44357</v>
      </c>
      <c r="H2279" t="s">
        <v>44358</v>
      </c>
      <c r="I2279" t="s">
        <v>44359</v>
      </c>
      <c r="J2279" t="s">
        <v>44360</v>
      </c>
      <c r="K2279" t="s">
        <v>44361</v>
      </c>
      <c r="L2279" t="s">
        <v>44362</v>
      </c>
      <c r="M2279" t="s">
        <v>44363</v>
      </c>
      <c r="N2279">
        <f>-672.134752837093 -4.68881132139745 -528.186453319697</f>
        <v>-1205.0100174781874</v>
      </c>
      <c r="O2279">
        <f>-676.049066426324 -157.369450025912 -496.397413810446</f>
        <v>-1329.8159302626818</v>
      </c>
      <c r="P2279">
        <f>-643.131332255787 -180.550129477996 -217.188361714699</f>
        <v>-1040.8698234484818</v>
      </c>
      <c r="Q2279">
        <f>-482.378133499657 -98.2302103659933 -363.237665746322</f>
        <v>-943.84600961197236</v>
      </c>
      <c r="R2279" t="s">
        <v>44364</v>
      </c>
      <c r="S2279" t="s">
        <v>44365</v>
      </c>
      <c r="T2279" t="s">
        <v>44366</v>
      </c>
      <c r="U2279" t="s">
        <v>44367</v>
      </c>
      <c r="V2279">
        <f>-602.843401154758 -52.9548403162287 -93.1758752281575</f>
        <v>-748.97411669914413</v>
      </c>
      <c r="W2279" t="s">
        <v>44368</v>
      </c>
      <c r="X2279" t="s">
        <v>44369</v>
      </c>
      <c r="Y2279" t="s">
        <v>44370</v>
      </c>
    </row>
    <row r="2280" spans="1:25" x14ac:dyDescent="0.3">
      <c r="A2280">
        <v>113950</v>
      </c>
      <c r="B2280" t="s">
        <v>44371</v>
      </c>
      <c r="C2280" t="s">
        <v>44372</v>
      </c>
      <c r="D2280" t="s">
        <v>44373</v>
      </c>
      <c r="E2280" t="s">
        <v>44374</v>
      </c>
      <c r="F2280" t="s">
        <v>44375</v>
      </c>
      <c r="G2280" t="s">
        <v>44376</v>
      </c>
      <c r="H2280" t="s">
        <v>44377</v>
      </c>
      <c r="I2280" t="s">
        <v>44378</v>
      </c>
      <c r="J2280" t="s">
        <v>44379</v>
      </c>
      <c r="K2280" t="s">
        <v>44380</v>
      </c>
      <c r="L2280" t="s">
        <v>44381</v>
      </c>
      <c r="M2280" t="s">
        <v>44382</v>
      </c>
      <c r="N2280">
        <f>-672.796931568923 -4.32030640306971 -528.107432976465</f>
        <v>-1205.2246709484577</v>
      </c>
      <c r="O2280">
        <f>-676.729746727173 -157.012088707857 -496.36378159593</f>
        <v>-1330.10561703096</v>
      </c>
      <c r="P2280">
        <f>-643.310845551433 -180.195374806957 -217.214452564062</f>
        <v>-1040.720672922452</v>
      </c>
      <c r="Q2280">
        <f>-482.879004138391 -97.7804681300406 -363.563231674978</f>
        <v>-944.22270394340967</v>
      </c>
      <c r="R2280" t="s">
        <v>44383</v>
      </c>
      <c r="S2280" t="s">
        <v>44384</v>
      </c>
      <c r="T2280" t="s">
        <v>44385</v>
      </c>
      <c r="U2280" t="s">
        <v>44386</v>
      </c>
      <c r="V2280">
        <f>-603.074523641314 -52.7524335780449 -93.1687084524299</f>
        <v>-748.99566567178886</v>
      </c>
      <c r="W2280" t="s">
        <v>44387</v>
      </c>
      <c r="X2280" t="s">
        <v>44388</v>
      </c>
      <c r="Y2280" t="s">
        <v>44389</v>
      </c>
    </row>
    <row r="2281" spans="1:25" x14ac:dyDescent="0.3">
      <c r="A2281">
        <v>114000</v>
      </c>
      <c r="B2281" t="s">
        <v>44390</v>
      </c>
      <c r="C2281" t="s">
        <v>44391</v>
      </c>
      <c r="D2281" t="s">
        <v>44392</v>
      </c>
      <c r="E2281" t="s">
        <v>44393</v>
      </c>
      <c r="F2281" t="s">
        <v>44394</v>
      </c>
      <c r="G2281" t="s">
        <v>44395</v>
      </c>
      <c r="H2281" t="s">
        <v>44396</v>
      </c>
      <c r="I2281" t="s">
        <v>44397</v>
      </c>
      <c r="J2281" t="s">
        <v>44398</v>
      </c>
      <c r="K2281" t="s">
        <v>44399</v>
      </c>
      <c r="L2281" t="s">
        <v>44400</v>
      </c>
      <c r="M2281" t="s">
        <v>44401</v>
      </c>
      <c r="N2281">
        <f>-673.959241567446 -3.59672376934554 -527.986005218987</f>
        <v>-1205.5419705557786</v>
      </c>
      <c r="O2281">
        <f>-677.81435767559 -156.30742426558 -496.328667638348</f>
        <v>-1330.4504495795181</v>
      </c>
      <c r="P2281">
        <f>-643.384359089166 -179.666340971186 -217.316923295348</f>
        <v>-1040.3676233557001</v>
      </c>
      <c r="Q2281">
        <f>-483.674572867239 -96.7466908262707 -364.169375849994</f>
        <v>-944.5906395435037</v>
      </c>
      <c r="R2281" t="s">
        <v>44402</v>
      </c>
      <c r="S2281" t="s">
        <v>44403</v>
      </c>
      <c r="T2281" t="s">
        <v>44404</v>
      </c>
      <c r="U2281" t="s">
        <v>44405</v>
      </c>
      <c r="V2281">
        <f>-603.637695266551 -52.3652266779939 -93.1547558894728</f>
        <v>-749.15767783401759</v>
      </c>
      <c r="W2281" t="s">
        <v>44406</v>
      </c>
      <c r="X2281" t="s">
        <v>44407</v>
      </c>
      <c r="Y2281" t="s">
        <v>44408</v>
      </c>
    </row>
    <row r="2282" spans="1:25" x14ac:dyDescent="0.3">
      <c r="A2282">
        <v>114050</v>
      </c>
      <c r="B2282" t="s">
        <v>44409</v>
      </c>
      <c r="C2282" t="s">
        <v>44410</v>
      </c>
      <c r="D2282" t="s">
        <v>44411</v>
      </c>
      <c r="E2282" t="s">
        <v>44412</v>
      </c>
      <c r="F2282" t="s">
        <v>44413</v>
      </c>
      <c r="G2282" t="s">
        <v>44414</v>
      </c>
      <c r="H2282" t="s">
        <v>44415</v>
      </c>
      <c r="I2282" t="s">
        <v>44416</v>
      </c>
      <c r="J2282" t="s">
        <v>44417</v>
      </c>
      <c r="K2282" t="s">
        <v>44418</v>
      </c>
      <c r="L2282" t="s">
        <v>44419</v>
      </c>
      <c r="M2282" t="s">
        <v>44420</v>
      </c>
      <c r="N2282">
        <f>-674.562298080062 -3.20010972311411 -527.926353595995</f>
        <v>-1205.6887613991712</v>
      </c>
      <c r="O2282">
        <f>-678.345938068239 -155.930087933798 -496.334210615728</f>
        <v>-1330.6102366177652</v>
      </c>
      <c r="P2282">
        <f>-643.281966217408 -179.465050358036 -217.416195704841</f>
        <v>-1040.1632122802851</v>
      </c>
      <c r="Q2282">
        <f>-484.097171856331 -96.0677661978134 -364.568027645869</f>
        <v>-944.73296570001344</v>
      </c>
      <c r="R2282" t="s">
        <v>44421</v>
      </c>
      <c r="S2282" t="s">
        <v>44422</v>
      </c>
      <c r="T2282" t="s">
        <v>44423</v>
      </c>
      <c r="U2282" t="s">
        <v>44424</v>
      </c>
      <c r="V2282">
        <f>-603.989099768559 -52.192342563686 -93.1458421598832</f>
        <v>-749.32728449212811</v>
      </c>
      <c r="W2282" t="s">
        <v>44425</v>
      </c>
      <c r="X2282" t="s">
        <v>44426</v>
      </c>
      <c r="Y2282" t="s">
        <v>44427</v>
      </c>
    </row>
    <row r="2283" spans="1:25" x14ac:dyDescent="0.3">
      <c r="A2283">
        <v>114100</v>
      </c>
      <c r="B2283" t="s">
        <v>44428</v>
      </c>
      <c r="C2283" t="s">
        <v>44429</v>
      </c>
      <c r="D2283" t="s">
        <v>44430</v>
      </c>
      <c r="E2283" t="s">
        <v>44431</v>
      </c>
      <c r="F2283" t="s">
        <v>44432</v>
      </c>
      <c r="G2283" t="s">
        <v>44433</v>
      </c>
      <c r="H2283" t="s">
        <v>44434</v>
      </c>
      <c r="I2283" t="s">
        <v>44435</v>
      </c>
      <c r="J2283" t="s">
        <v>44436</v>
      </c>
      <c r="K2283" t="s">
        <v>44437</v>
      </c>
      <c r="L2283" t="s">
        <v>44438</v>
      </c>
      <c r="M2283" t="s">
        <v>44439</v>
      </c>
      <c r="N2283">
        <f>-675.19002268424 -2.77664561405254 -527.886166644599</f>
        <v>-1205.8528349428916</v>
      </c>
      <c r="O2283">
        <f>-678.918116756052 -155.518781029264 -496.370198299051</f>
        <v>-1330.807096084367</v>
      </c>
      <c r="P2283">
        <f>-643.093765449546 -179.308816772227 -217.570515317563</f>
        <v>-1039.9730975393361</v>
      </c>
      <c r="Q2283">
        <f>-484.577624980431 -95.2447627695278 -365.064331728242</f>
        <v>-944.8867194782008</v>
      </c>
      <c r="R2283" t="s">
        <v>44440</v>
      </c>
      <c r="S2283" t="s">
        <v>44441</v>
      </c>
      <c r="T2283" t="s">
        <v>44442</v>
      </c>
      <c r="U2283" t="s">
        <v>44443</v>
      </c>
      <c r="V2283">
        <f>-604.41610508129 -52.0388022742293 -93.1371745071</f>
        <v>-749.59208186261924</v>
      </c>
      <c r="W2283" t="s">
        <v>44444</v>
      </c>
      <c r="X2283" t="s">
        <v>44445</v>
      </c>
      <c r="Y2283" t="s">
        <v>44446</v>
      </c>
    </row>
    <row r="2284" spans="1:25" x14ac:dyDescent="0.3">
      <c r="A2284">
        <v>114150</v>
      </c>
      <c r="B2284" t="s">
        <v>44447</v>
      </c>
      <c r="C2284" t="s">
        <v>44448</v>
      </c>
      <c r="D2284" t="s">
        <v>44449</v>
      </c>
      <c r="E2284" t="s">
        <v>44450</v>
      </c>
      <c r="F2284" t="s">
        <v>44451</v>
      </c>
      <c r="G2284" t="s">
        <v>44452</v>
      </c>
      <c r="H2284" t="s">
        <v>44453</v>
      </c>
      <c r="I2284" t="s">
        <v>44454</v>
      </c>
      <c r="J2284" t="s">
        <v>44455</v>
      </c>
      <c r="K2284" t="s">
        <v>44456</v>
      </c>
      <c r="L2284" t="s">
        <v>44457</v>
      </c>
      <c r="M2284" t="s">
        <v>44458</v>
      </c>
      <c r="N2284">
        <f>-676.310829221181 -1.9561793383134 -527.823535785778</f>
        <v>-1206.0905443452725</v>
      </c>
      <c r="O2284">
        <f>-679.884296400902 -154.754714043952 -496.555589430287</f>
        <v>-1331.194599875141</v>
      </c>
      <c r="P2284">
        <f>-642.172686678854 -179.311833263737 -218.071435559559</f>
        <v>-1039.55595550215</v>
      </c>
      <c r="Q2284">
        <f>-485.484024232959 -93.4099234313037 -366.456144564584</f>
        <v>-945.35009222884673</v>
      </c>
      <c r="R2284" t="s">
        <v>44459</v>
      </c>
      <c r="S2284" t="s">
        <v>44460</v>
      </c>
      <c r="T2284" t="s">
        <v>44461</v>
      </c>
      <c r="U2284" t="s">
        <v>44462</v>
      </c>
      <c r="V2284">
        <f>-605.312264087277 -51.7251002147561 -93.1185891682103</f>
        <v>-750.15595347024339</v>
      </c>
      <c r="W2284" t="s">
        <v>44463</v>
      </c>
      <c r="X2284" t="s">
        <v>44464</v>
      </c>
      <c r="Y2284" t="s">
        <v>44465</v>
      </c>
    </row>
    <row r="2285" spans="1:25" x14ac:dyDescent="0.3">
      <c r="A2285">
        <v>114200</v>
      </c>
      <c r="B2285" t="s">
        <v>44466</v>
      </c>
      <c r="C2285" t="s">
        <v>44467</v>
      </c>
      <c r="D2285" t="s">
        <v>44468</v>
      </c>
      <c r="E2285" t="s">
        <v>44469</v>
      </c>
      <c r="F2285" t="s">
        <v>44470</v>
      </c>
      <c r="G2285" t="s">
        <v>44471</v>
      </c>
      <c r="H2285" t="s">
        <v>44472</v>
      </c>
      <c r="I2285" t="s">
        <v>44473</v>
      </c>
      <c r="J2285" t="s">
        <v>44474</v>
      </c>
      <c r="K2285" t="s">
        <v>44475</v>
      </c>
      <c r="L2285" t="s">
        <v>44476</v>
      </c>
      <c r="M2285" t="s">
        <v>44477</v>
      </c>
      <c r="N2285">
        <f>-677.383093403548 -0.95118754358441 -527.770038139763</f>
        <v>-1206.1043190868954</v>
      </c>
      <c r="O2285">
        <f>-680.723193177821 -153.804809579464 -496.754729908185</f>
        <v>-1331.2827326654701</v>
      </c>
      <c r="P2285">
        <f>-640.850280893567 -179.064222474952 -218.634772207411</f>
        <v>-1038.5492755759299</v>
      </c>
      <c r="Q2285">
        <f>-486.309436154966 -91.055571620095 -368.034034641923</f>
        <v>-945.399042416984</v>
      </c>
      <c r="R2285" t="s">
        <v>44478</v>
      </c>
      <c r="S2285" t="s">
        <v>44479</v>
      </c>
      <c r="T2285" t="s">
        <v>44480</v>
      </c>
      <c r="U2285" t="s">
        <v>44481</v>
      </c>
      <c r="V2285">
        <f>-606.134149572269 -51.347188558269 -93.0915208780839</f>
        <v>-750.57285900862189</v>
      </c>
      <c r="W2285" t="s">
        <v>44482</v>
      </c>
      <c r="X2285" t="s">
        <v>44483</v>
      </c>
      <c r="Y2285" t="s">
        <v>44484</v>
      </c>
    </row>
    <row r="2286" spans="1:25" x14ac:dyDescent="0.3">
      <c r="A2286">
        <v>114250</v>
      </c>
      <c r="B2286" t="s">
        <v>44485</v>
      </c>
      <c r="C2286" t="s">
        <v>44486</v>
      </c>
      <c r="D2286" t="s">
        <v>44487</v>
      </c>
      <c r="E2286" t="s">
        <v>44488</v>
      </c>
      <c r="F2286" t="s">
        <v>44489</v>
      </c>
      <c r="G2286" t="s">
        <v>44490</v>
      </c>
      <c r="H2286" t="s">
        <v>44491</v>
      </c>
      <c r="I2286" t="s">
        <v>44492</v>
      </c>
      <c r="J2286" t="s">
        <v>44493</v>
      </c>
      <c r="K2286" t="s">
        <v>44494</v>
      </c>
      <c r="L2286" t="s">
        <v>44495</v>
      </c>
      <c r="M2286" t="s">
        <v>44496</v>
      </c>
      <c r="N2286">
        <f>-677.769379775031 -0.444884700777493 -527.759492356549</f>
        <v>-1205.9737568323576</v>
      </c>
      <c r="O2286">
        <f>-680.947846665669 -153.338443162547 -496.916978316863</f>
        <v>-1331.2032681450789</v>
      </c>
      <c r="P2286">
        <f>-640.248235080024 -178.895522093969 -218.943998722661</f>
        <v>-1038.087755896654</v>
      </c>
      <c r="Q2286">
        <f>-486.647094392867 -89.8825921015612 -368.716880540629</f>
        <v>-945.2465670350573</v>
      </c>
      <c r="R2286" t="s">
        <v>44497</v>
      </c>
      <c r="S2286" t="s">
        <v>44498</v>
      </c>
      <c r="T2286" t="s">
        <v>44499</v>
      </c>
      <c r="U2286" t="s">
        <v>44500</v>
      </c>
      <c r="V2286">
        <f>-606.478501823843 -51.204089074578 -93.0809657420707</f>
        <v>-750.76355664049163</v>
      </c>
      <c r="W2286" t="s">
        <v>44501</v>
      </c>
      <c r="X2286" t="s">
        <v>44502</v>
      </c>
      <c r="Y2286" t="s">
        <v>44503</v>
      </c>
    </row>
    <row r="2287" spans="1:25" x14ac:dyDescent="0.3">
      <c r="A2287">
        <v>114300</v>
      </c>
      <c r="B2287" t="s">
        <v>44504</v>
      </c>
      <c r="C2287" t="s">
        <v>44505</v>
      </c>
      <c r="D2287" t="s">
        <v>44506</v>
      </c>
      <c r="E2287" t="s">
        <v>44507</v>
      </c>
      <c r="F2287" t="s">
        <v>44508</v>
      </c>
      <c r="G2287" t="s">
        <v>44509</v>
      </c>
      <c r="H2287" t="s">
        <v>44510</v>
      </c>
      <c r="I2287" t="s">
        <v>44511</v>
      </c>
      <c r="J2287" t="s">
        <v>44512</v>
      </c>
      <c r="K2287" t="s">
        <v>44513</v>
      </c>
      <c r="L2287" t="s">
        <v>44514</v>
      </c>
      <c r="M2287" t="s">
        <v>44515</v>
      </c>
      <c r="N2287" t="s">
        <v>44516</v>
      </c>
      <c r="O2287">
        <f>-681.189993386199 -152.526916829668 -497.29584918399</f>
        <v>-1331.012759399857</v>
      </c>
      <c r="P2287">
        <f>-639.540531849446 -178.744003093346 -219.525051921796</f>
        <v>-1037.809586864588</v>
      </c>
      <c r="Q2287">
        <f>-487.227489982968 -87.9760213387626 -369.559924724998</f>
        <v>-944.76343604672866</v>
      </c>
      <c r="R2287" t="s">
        <v>44517</v>
      </c>
      <c r="S2287" t="s">
        <v>44518</v>
      </c>
      <c r="T2287" t="s">
        <v>44519</v>
      </c>
      <c r="U2287" t="s">
        <v>44520</v>
      </c>
      <c r="V2287">
        <f>-606.930426564162 -50.9512580578476 -93.0393961615437</f>
        <v>-750.92108078355318</v>
      </c>
      <c r="W2287" t="s">
        <v>44521</v>
      </c>
      <c r="X2287" t="s">
        <v>44522</v>
      </c>
      <c r="Y2287" t="s">
        <v>44523</v>
      </c>
    </row>
    <row r="2288" spans="1:25" x14ac:dyDescent="0.3">
      <c r="A2288">
        <v>114350</v>
      </c>
      <c r="B2288" t="s">
        <v>44524</v>
      </c>
      <c r="C2288" t="s">
        <v>44525</v>
      </c>
      <c r="D2288" t="s">
        <v>44526</v>
      </c>
      <c r="E2288" t="s">
        <v>44527</v>
      </c>
      <c r="F2288" t="s">
        <v>44528</v>
      </c>
      <c r="G2288" t="s">
        <v>44529</v>
      </c>
      <c r="H2288" t="s">
        <v>44530</v>
      </c>
      <c r="I2288" t="s">
        <v>44531</v>
      </c>
      <c r="J2288" t="s">
        <v>44532</v>
      </c>
      <c r="K2288" t="s">
        <v>44533</v>
      </c>
      <c r="L2288" t="s">
        <v>44534</v>
      </c>
      <c r="M2288" t="s">
        <v>44535</v>
      </c>
      <c r="N2288" t="s">
        <v>44536</v>
      </c>
      <c r="O2288">
        <f>-681.23993570669 -152.149143077679 -497.516410307135</f>
        <v>-1330.905489091504</v>
      </c>
      <c r="P2288">
        <f>-639.418567547635 -178.638029588359 -219.79727818085</f>
        <v>-1037.8538753168441</v>
      </c>
      <c r="Q2288">
        <f>-487.443390907157 -87.3309242888354 -369.847557163866</f>
        <v>-944.62187235985834</v>
      </c>
      <c r="R2288" t="s">
        <v>44537</v>
      </c>
      <c r="S2288" t="s">
        <v>44538</v>
      </c>
      <c r="T2288" t="s">
        <v>44539</v>
      </c>
      <c r="U2288" t="s">
        <v>44540</v>
      </c>
      <c r="V2288">
        <f>-607.070519767035 -50.8960646395474 -93.0180099017837</f>
        <v>-750.98459430836601</v>
      </c>
      <c r="W2288" t="s">
        <v>44541</v>
      </c>
      <c r="X2288" t="s">
        <v>44542</v>
      </c>
      <c r="Y2288" t="s">
        <v>44543</v>
      </c>
    </row>
    <row r="2289" spans="1:25" x14ac:dyDescent="0.3">
      <c r="A2289">
        <v>114400</v>
      </c>
      <c r="B2289" t="s">
        <v>44544</v>
      </c>
      <c r="C2289" t="s">
        <v>44545</v>
      </c>
      <c r="D2289" t="s">
        <v>44546</v>
      </c>
      <c r="E2289" t="s">
        <v>44547</v>
      </c>
      <c r="F2289" t="s">
        <v>44548</v>
      </c>
      <c r="G2289" t="s">
        <v>44549</v>
      </c>
      <c r="H2289" t="s">
        <v>44550</v>
      </c>
      <c r="I2289" t="s">
        <v>44551</v>
      </c>
      <c r="J2289" t="s">
        <v>44552</v>
      </c>
      <c r="K2289" t="s">
        <v>44553</v>
      </c>
      <c r="L2289" t="s">
        <v>44554</v>
      </c>
      <c r="M2289" t="s">
        <v>44555</v>
      </c>
      <c r="N2289" t="s">
        <v>44556</v>
      </c>
      <c r="O2289">
        <f>-681.303132489643 -151.308863590394 -497.959783382226</f>
        <v>-1330.5717794622631</v>
      </c>
      <c r="P2289">
        <f>-639.613936914179 -178.237322918836 -220.263055854634</f>
        <v>-1038.1143156876492</v>
      </c>
      <c r="Q2289">
        <f>-487.746839530184 -86.4813028145707 -370.148974933871</f>
        <v>-944.37711727862575</v>
      </c>
      <c r="R2289" t="s">
        <v>44557</v>
      </c>
      <c r="S2289" t="s">
        <v>44558</v>
      </c>
      <c r="T2289" t="s">
        <v>44559</v>
      </c>
      <c r="U2289" t="s">
        <v>44560</v>
      </c>
      <c r="V2289">
        <f>-607.320861699061 -50.8153740149908 -93.0010911343127</f>
        <v>-751.13732684836441</v>
      </c>
      <c r="W2289" t="s">
        <v>44561</v>
      </c>
      <c r="X2289" t="s">
        <v>44562</v>
      </c>
      <c r="Y2289" t="s">
        <v>44563</v>
      </c>
    </row>
    <row r="2290" spans="1:25" x14ac:dyDescent="0.3">
      <c r="A2290">
        <v>114450</v>
      </c>
      <c r="B2290" t="s">
        <v>44564</v>
      </c>
      <c r="C2290" t="s">
        <v>44565</v>
      </c>
      <c r="D2290" t="s">
        <v>44566</v>
      </c>
      <c r="E2290" t="s">
        <v>44567</v>
      </c>
      <c r="F2290" t="s">
        <v>44568</v>
      </c>
      <c r="G2290" t="s">
        <v>44569</v>
      </c>
      <c r="H2290" t="s">
        <v>44570</v>
      </c>
      <c r="I2290" t="s">
        <v>44571</v>
      </c>
      <c r="J2290" t="s">
        <v>44572</v>
      </c>
      <c r="K2290" t="s">
        <v>44573</v>
      </c>
      <c r="L2290" t="s">
        <v>44574</v>
      </c>
      <c r="M2290" t="s">
        <v>44575</v>
      </c>
      <c r="N2290" t="s">
        <v>44576</v>
      </c>
      <c r="O2290">
        <f>-681.208649340284 -150.856703225883 -498.239867109882</f>
        <v>-1330.3052196760489</v>
      </c>
      <c r="P2290">
        <f>-639.733267626966 -178.109824621187 -220.542770961709</f>
        <v>-1038.385863209862</v>
      </c>
      <c r="Q2290">
        <f>-487.835174140118 -86.1676422425242 -370.28305747848</f>
        <v>-944.28587386112213</v>
      </c>
      <c r="R2290" t="s">
        <v>44577</v>
      </c>
      <c r="S2290" t="s">
        <v>44578</v>
      </c>
      <c r="T2290" t="s">
        <v>44579</v>
      </c>
      <c r="U2290" t="s">
        <v>44580</v>
      </c>
      <c r="V2290">
        <f>-607.481708403969 -50.7747276647285 -92.991881225504</f>
        <v>-751.24831729420157</v>
      </c>
      <c r="W2290" t="s">
        <v>44581</v>
      </c>
      <c r="X2290" t="s">
        <v>44582</v>
      </c>
      <c r="Y2290" t="s">
        <v>44583</v>
      </c>
    </row>
    <row r="2291" spans="1:25" x14ac:dyDescent="0.3">
      <c r="A2291">
        <v>114500</v>
      </c>
      <c r="B2291" t="s">
        <v>44584</v>
      </c>
      <c r="C2291" t="s">
        <v>44585</v>
      </c>
      <c r="D2291" t="s">
        <v>44586</v>
      </c>
      <c r="E2291" t="s">
        <v>44587</v>
      </c>
      <c r="F2291" t="s">
        <v>44588</v>
      </c>
      <c r="G2291" t="s">
        <v>44589</v>
      </c>
      <c r="H2291" t="s">
        <v>44590</v>
      </c>
      <c r="I2291" t="s">
        <v>44591</v>
      </c>
      <c r="J2291" t="s">
        <v>44592</v>
      </c>
      <c r="K2291" t="s">
        <v>44593</v>
      </c>
      <c r="L2291" t="s">
        <v>44594</v>
      </c>
      <c r="M2291" t="s">
        <v>44595</v>
      </c>
      <c r="N2291" t="s">
        <v>44596</v>
      </c>
      <c r="O2291">
        <f>-681.09795640905 -150.169851802052 -498.862733485499</f>
        <v>-1330.1305416966011</v>
      </c>
      <c r="P2291">
        <f>-639.95446609558 -178.255952169418 -221.199316658178</f>
        <v>-1039.4097349231761</v>
      </c>
      <c r="Q2291">
        <f>-487.965004290228 -85.9236979981167 -370.606423462118</f>
        <v>-944.49512575046265</v>
      </c>
      <c r="R2291" t="s">
        <v>44597</v>
      </c>
      <c r="S2291" t="s">
        <v>44598</v>
      </c>
      <c r="T2291" t="s">
        <v>44599</v>
      </c>
      <c r="U2291" t="s">
        <v>44600</v>
      </c>
      <c r="V2291">
        <f>-607.862420132719 -50.8019086396871 -92.9828630038177</f>
        <v>-751.64719177622374</v>
      </c>
      <c r="W2291" t="s">
        <v>44601</v>
      </c>
      <c r="X2291" t="s">
        <v>44602</v>
      </c>
      <c r="Y2291" t="s">
        <v>44603</v>
      </c>
    </row>
    <row r="2292" spans="1:25" x14ac:dyDescent="0.3">
      <c r="A2292">
        <v>114550</v>
      </c>
      <c r="B2292" t="s">
        <v>44604</v>
      </c>
      <c r="C2292" t="s">
        <v>44605</v>
      </c>
      <c r="D2292" t="s">
        <v>44606</v>
      </c>
      <c r="E2292" t="s">
        <v>44607</v>
      </c>
      <c r="F2292" t="s">
        <v>44608</v>
      </c>
      <c r="G2292" t="s">
        <v>44609</v>
      </c>
      <c r="H2292" t="s">
        <v>44610</v>
      </c>
      <c r="I2292" t="s">
        <v>44611</v>
      </c>
      <c r="J2292" t="s">
        <v>44612</v>
      </c>
      <c r="K2292" t="s">
        <v>44613</v>
      </c>
      <c r="L2292" t="s">
        <v>44614</v>
      </c>
      <c r="M2292" t="s">
        <v>44615</v>
      </c>
      <c r="N2292" t="s">
        <v>44616</v>
      </c>
      <c r="O2292">
        <f>-681.172098200204 -149.86633690506 -499.084057269218</f>
        <v>-1330.1224923744819</v>
      </c>
      <c r="P2292">
        <f>-640.03321851399 -178.324724152915 -221.457942012958</f>
        <v>-1039.8158846798631</v>
      </c>
      <c r="Q2292">
        <f>-488.018913164627 -85.8068444626965 -370.724808498707</f>
        <v>-944.55056612603039</v>
      </c>
      <c r="R2292" t="s">
        <v>44617</v>
      </c>
      <c r="S2292" t="s">
        <v>44618</v>
      </c>
      <c r="T2292" t="s">
        <v>44619</v>
      </c>
      <c r="U2292" t="s">
        <v>44620</v>
      </c>
      <c r="V2292">
        <f>-608.05090753808 -50.8431924473625 -92.9862041718002</f>
        <v>-751.88030415724268</v>
      </c>
      <c r="W2292" t="s">
        <v>44621</v>
      </c>
      <c r="X2292" t="s">
        <v>44622</v>
      </c>
      <c r="Y2292" t="s">
        <v>44623</v>
      </c>
    </row>
    <row r="2293" spans="1:25" x14ac:dyDescent="0.3">
      <c r="A2293">
        <v>114600</v>
      </c>
      <c r="B2293" t="s">
        <v>44624</v>
      </c>
      <c r="C2293" t="s">
        <v>44625</v>
      </c>
      <c r="D2293" t="s">
        <v>44626</v>
      </c>
      <c r="E2293" t="s">
        <v>44627</v>
      </c>
      <c r="F2293" t="s">
        <v>44628</v>
      </c>
      <c r="G2293" t="s">
        <v>44629</v>
      </c>
      <c r="H2293" t="s">
        <v>44630</v>
      </c>
      <c r="I2293" t="s">
        <v>44631</v>
      </c>
      <c r="J2293" t="s">
        <v>44632</v>
      </c>
      <c r="K2293" t="s">
        <v>44633</v>
      </c>
      <c r="L2293" t="s">
        <v>44634</v>
      </c>
      <c r="M2293" t="s">
        <v>44635</v>
      </c>
      <c r="N2293" t="s">
        <v>44636</v>
      </c>
      <c r="O2293">
        <f>-681.326472065838 -149.321147441521 -499.529380889947</f>
        <v>-1330.1770003973061</v>
      </c>
      <c r="P2293">
        <f>-640.381296904449 -178.417829458273 -221.940661521439</f>
        <v>-1040.7397878841609</v>
      </c>
      <c r="Q2293">
        <f>-488.17929282239 -85.6889378081364 -370.885072463568</f>
        <v>-944.75330309409435</v>
      </c>
      <c r="R2293" t="s">
        <v>44637</v>
      </c>
      <c r="S2293" t="s">
        <v>44638</v>
      </c>
      <c r="T2293" t="s">
        <v>44639</v>
      </c>
      <c r="U2293" t="s">
        <v>44640</v>
      </c>
      <c r="V2293">
        <f>-608.412160785453 -50.8645798637044 -93.0043984415368</f>
        <v>-752.28113909069418</v>
      </c>
      <c r="W2293" t="s">
        <v>44641</v>
      </c>
      <c r="X2293" t="s">
        <v>44642</v>
      </c>
      <c r="Y2293" t="s">
        <v>44643</v>
      </c>
    </row>
    <row r="2294" spans="1:25" x14ac:dyDescent="0.3">
      <c r="A2294">
        <v>114650</v>
      </c>
      <c r="B2294" t="s">
        <v>44644</v>
      </c>
      <c r="C2294" t="s">
        <v>44645</v>
      </c>
      <c r="D2294" t="s">
        <v>44646</v>
      </c>
      <c r="E2294" t="s">
        <v>44647</v>
      </c>
      <c r="F2294" t="s">
        <v>44648</v>
      </c>
      <c r="G2294" t="s">
        <v>44649</v>
      </c>
      <c r="H2294" t="s">
        <v>44650</v>
      </c>
      <c r="I2294" t="s">
        <v>44651</v>
      </c>
      <c r="J2294" t="s">
        <v>44652</v>
      </c>
      <c r="K2294" t="s">
        <v>44653</v>
      </c>
      <c r="L2294" t="s">
        <v>44654</v>
      </c>
      <c r="M2294" t="s">
        <v>44655</v>
      </c>
      <c r="N2294" t="s">
        <v>44656</v>
      </c>
      <c r="O2294">
        <f>-681.369182293389 -148.986670898317 -499.750848276215</f>
        <v>-1330.1067014679211</v>
      </c>
      <c r="P2294">
        <f>-640.596348795142 -178.345849992348 -222.164482650682</f>
        <v>-1041.106681438172</v>
      </c>
      <c r="Q2294">
        <f>-488.226096485716 -85.5936476493032 -370.922295437047</f>
        <v>-944.74203957206623</v>
      </c>
      <c r="R2294" t="s">
        <v>44657</v>
      </c>
      <c r="S2294" t="s">
        <v>44658</v>
      </c>
      <c r="T2294" t="s">
        <v>44659</v>
      </c>
      <c r="U2294" t="s">
        <v>44660</v>
      </c>
      <c r="V2294">
        <f>-608.568947036922 -50.9070790203436 -93.0117500048474</f>
        <v>-752.48777606211308</v>
      </c>
      <c r="W2294" t="s">
        <v>44661</v>
      </c>
      <c r="X2294" t="s">
        <v>44662</v>
      </c>
      <c r="Y2294" t="s">
        <v>44663</v>
      </c>
    </row>
    <row r="2295" spans="1:25" x14ac:dyDescent="0.3">
      <c r="A2295">
        <v>114700</v>
      </c>
      <c r="B2295" t="s">
        <v>44664</v>
      </c>
      <c r="C2295" t="s">
        <v>44665</v>
      </c>
      <c r="D2295" t="s">
        <v>44666</v>
      </c>
      <c r="E2295" t="s">
        <v>44667</v>
      </c>
      <c r="F2295" t="s">
        <v>44668</v>
      </c>
      <c r="G2295" t="s">
        <v>44669</v>
      </c>
      <c r="H2295" t="s">
        <v>44670</v>
      </c>
      <c r="I2295" t="s">
        <v>44671</v>
      </c>
      <c r="J2295" t="s">
        <v>44672</v>
      </c>
      <c r="K2295" t="s">
        <v>44673</v>
      </c>
      <c r="L2295" t="s">
        <v>44674</v>
      </c>
      <c r="M2295" t="s">
        <v>44675</v>
      </c>
      <c r="N2295" t="s">
        <v>44676</v>
      </c>
      <c r="O2295">
        <f>-681.425905401654 -148.329580332086 -500.181545012025</f>
        <v>-1329.937030745765</v>
      </c>
      <c r="P2295">
        <f>-641.176038250371 -178.318323436353 -222.586095013676</f>
        <v>-1042.0804567004</v>
      </c>
      <c r="Q2295">
        <f>-488.481549975498 -85.3472344512722 -370.874055538795</f>
        <v>-944.7028399655652</v>
      </c>
      <c r="R2295" t="s">
        <v>44677</v>
      </c>
      <c r="S2295" t="s">
        <v>44678</v>
      </c>
      <c r="T2295" t="s">
        <v>44679</v>
      </c>
      <c r="U2295" t="s">
        <v>44680</v>
      </c>
      <c r="V2295">
        <f>-608.891950096637 -50.8786399642033 -93.0119707702864</f>
        <v>-752.78256083112672</v>
      </c>
      <c r="W2295" t="s">
        <v>44681</v>
      </c>
      <c r="X2295" t="s">
        <v>44682</v>
      </c>
      <c r="Y2295" t="s">
        <v>44683</v>
      </c>
    </row>
    <row r="2296" spans="1:25" x14ac:dyDescent="0.3">
      <c r="A2296">
        <v>114750</v>
      </c>
      <c r="B2296" t="s">
        <v>44684</v>
      </c>
      <c r="C2296" t="s">
        <v>44685</v>
      </c>
      <c r="D2296" t="s">
        <v>44686</v>
      </c>
      <c r="E2296" t="s">
        <v>44687</v>
      </c>
      <c r="F2296" t="s">
        <v>44688</v>
      </c>
      <c r="G2296" t="s">
        <v>44689</v>
      </c>
      <c r="H2296" t="s">
        <v>44690</v>
      </c>
      <c r="I2296" t="s">
        <v>44691</v>
      </c>
      <c r="J2296" t="s">
        <v>44692</v>
      </c>
      <c r="K2296" t="s">
        <v>44693</v>
      </c>
      <c r="L2296" t="s">
        <v>44694</v>
      </c>
      <c r="M2296" t="s">
        <v>44695</v>
      </c>
      <c r="N2296" t="s">
        <v>44696</v>
      </c>
      <c r="O2296">
        <f>-681.463268774156 -147.981333194543 -500.415753517125</f>
        <v>-1329.8603554858239</v>
      </c>
      <c r="P2296">
        <f>-641.369530399148 -178.297961919656 -222.833356892897</f>
        <v>-1042.5008492117011</v>
      </c>
      <c r="Q2296">
        <f>-488.537481438429 -85.2077637120169 -370.904707240204</f>
        <v>-944.64995239064979</v>
      </c>
      <c r="R2296" t="s">
        <v>44697</v>
      </c>
      <c r="S2296" t="s">
        <v>44698</v>
      </c>
      <c r="T2296" t="s">
        <v>44699</v>
      </c>
      <c r="U2296" t="s">
        <v>44700</v>
      </c>
      <c r="V2296">
        <f>-609.004452092366 -50.8169283030181 -93.0158385192387</f>
        <v>-752.83721891462289</v>
      </c>
      <c r="W2296" t="s">
        <v>44701</v>
      </c>
      <c r="X2296" t="s">
        <v>44702</v>
      </c>
      <c r="Y2296" t="s">
        <v>44703</v>
      </c>
    </row>
    <row r="2297" spans="1:25" x14ac:dyDescent="0.3">
      <c r="A2297">
        <v>114800</v>
      </c>
      <c r="B2297" t="s">
        <v>44704</v>
      </c>
      <c r="C2297" t="s">
        <v>44705</v>
      </c>
      <c r="D2297" t="s">
        <v>44706</v>
      </c>
      <c r="E2297" t="s">
        <v>44707</v>
      </c>
      <c r="F2297" t="s">
        <v>44708</v>
      </c>
      <c r="G2297" t="s">
        <v>44709</v>
      </c>
      <c r="H2297" t="s">
        <v>44710</v>
      </c>
      <c r="I2297" t="s">
        <v>44711</v>
      </c>
      <c r="J2297" t="s">
        <v>44712</v>
      </c>
      <c r="K2297" t="s">
        <v>44713</v>
      </c>
      <c r="L2297" t="s">
        <v>44714</v>
      </c>
      <c r="M2297" t="s">
        <v>44715</v>
      </c>
      <c r="N2297" t="s">
        <v>44716</v>
      </c>
      <c r="O2297">
        <f>-681.569730950455 -147.374098670904 -500.684170919466</f>
        <v>-1329.628000540825</v>
      </c>
      <c r="P2297">
        <f>-641.602418036402 -178.120897885925 -223.130962664459</f>
        <v>-1042.854278586786</v>
      </c>
      <c r="Q2297">
        <f>-488.483020102412 -84.8914882449328 -370.817319395659</f>
        <v>-944.19182774300384</v>
      </c>
      <c r="R2297" t="s">
        <v>44717</v>
      </c>
      <c r="S2297" t="s">
        <v>44718</v>
      </c>
      <c r="T2297" t="s">
        <v>44719</v>
      </c>
      <c r="U2297" t="s">
        <v>44720</v>
      </c>
      <c r="V2297">
        <f>-609.119523689283 -50.5266370114264 -93.00124910567</f>
        <v>-752.64740980637941</v>
      </c>
      <c r="W2297" t="s">
        <v>44721</v>
      </c>
      <c r="X2297" t="s">
        <v>44722</v>
      </c>
      <c r="Y2297" t="s">
        <v>44723</v>
      </c>
    </row>
    <row r="2298" spans="1:25" x14ac:dyDescent="0.3">
      <c r="A2298">
        <v>114850</v>
      </c>
      <c r="B2298" t="s">
        <v>44724</v>
      </c>
      <c r="C2298" t="s">
        <v>44725</v>
      </c>
      <c r="D2298" t="s">
        <v>44726</v>
      </c>
      <c r="E2298" t="s">
        <v>44727</v>
      </c>
      <c r="F2298" t="s">
        <v>44728</v>
      </c>
      <c r="G2298" t="s">
        <v>44729</v>
      </c>
      <c r="H2298" t="s">
        <v>44730</v>
      </c>
      <c r="I2298" t="s">
        <v>44731</v>
      </c>
      <c r="J2298" t="s">
        <v>44732</v>
      </c>
      <c r="K2298" t="s">
        <v>44733</v>
      </c>
      <c r="L2298" t="s">
        <v>44734</v>
      </c>
      <c r="M2298" t="s">
        <v>44735</v>
      </c>
      <c r="N2298" t="s">
        <v>44736</v>
      </c>
      <c r="O2298">
        <f>-681.562828920532 -147.100506258434 -500.737519928025</f>
        <v>-1329.400855106991</v>
      </c>
      <c r="P2298">
        <f>-641.591960302908 -177.948852596032 -223.196007762185</f>
        <v>-1042.736820661125</v>
      </c>
      <c r="Q2298">
        <f>-488.436350512965 -84.5977928316017 -370.767961667816</f>
        <v>-943.80210501238275</v>
      </c>
      <c r="R2298" t="s">
        <v>44737</v>
      </c>
      <c r="S2298" t="s">
        <v>44738</v>
      </c>
      <c r="T2298" t="s">
        <v>44739</v>
      </c>
      <c r="U2298" t="s">
        <v>44740</v>
      </c>
      <c r="V2298">
        <f>-609.09011907323 -50.3717442941606 -92.9811939827785</f>
        <v>-752.44305735016906</v>
      </c>
      <c r="W2298" t="s">
        <v>44741</v>
      </c>
      <c r="X2298" t="s">
        <v>44742</v>
      </c>
      <c r="Y2298" t="s">
        <v>44743</v>
      </c>
    </row>
    <row r="2299" spans="1:25" x14ac:dyDescent="0.3">
      <c r="A2299">
        <v>114900</v>
      </c>
      <c r="B2299" t="s">
        <v>44744</v>
      </c>
      <c r="C2299" t="s">
        <v>44745</v>
      </c>
      <c r="D2299" t="s">
        <v>44746</v>
      </c>
      <c r="E2299" t="s">
        <v>44747</v>
      </c>
      <c r="F2299" t="s">
        <v>44748</v>
      </c>
      <c r="G2299" t="s">
        <v>44749</v>
      </c>
      <c r="H2299" t="s">
        <v>44750</v>
      </c>
      <c r="I2299" t="s">
        <v>44751</v>
      </c>
      <c r="J2299" t="s">
        <v>44752</v>
      </c>
      <c r="K2299" t="s">
        <v>44753</v>
      </c>
      <c r="L2299" t="s">
        <v>44754</v>
      </c>
      <c r="M2299" t="s">
        <v>44755</v>
      </c>
      <c r="N2299" t="s">
        <v>44756</v>
      </c>
      <c r="O2299">
        <f>-681.523489517988 -146.673726132385 -500.805149977902</f>
        <v>-1329.0023656282749</v>
      </c>
      <c r="P2299">
        <f>-641.570427056523 -177.637895662108 -223.273872411105</f>
        <v>-1042.4821951297361</v>
      </c>
      <c r="Q2299">
        <f>-488.579013660014 -83.968344646446 -370.814264143025</f>
        <v>-943.36162244948514</v>
      </c>
      <c r="R2299" t="s">
        <v>44757</v>
      </c>
      <c r="S2299" t="s">
        <v>44758</v>
      </c>
      <c r="T2299" t="s">
        <v>44759</v>
      </c>
      <c r="U2299" t="s">
        <v>44760</v>
      </c>
      <c r="V2299">
        <f>-608.963860698743 -50.034612227691 -92.9373271144194</f>
        <v>-751.93580004085345</v>
      </c>
      <c r="W2299" t="s">
        <v>44761</v>
      </c>
      <c r="X2299" t="s">
        <v>44762</v>
      </c>
      <c r="Y2299" t="s">
        <v>44763</v>
      </c>
    </row>
    <row r="2300" spans="1:25" x14ac:dyDescent="0.3">
      <c r="A2300">
        <v>114950</v>
      </c>
      <c r="B2300" t="s">
        <v>44764</v>
      </c>
      <c r="C2300" t="s">
        <v>44765</v>
      </c>
      <c r="D2300" t="s">
        <v>44766</v>
      </c>
      <c r="E2300" t="s">
        <v>44767</v>
      </c>
      <c r="F2300" t="s">
        <v>44768</v>
      </c>
      <c r="G2300" t="s">
        <v>44769</v>
      </c>
      <c r="H2300" t="s">
        <v>44770</v>
      </c>
      <c r="I2300" t="s">
        <v>44771</v>
      </c>
      <c r="J2300" t="s">
        <v>44772</v>
      </c>
      <c r="K2300" t="s">
        <v>44773</v>
      </c>
      <c r="L2300" t="s">
        <v>44774</v>
      </c>
      <c r="M2300" t="s">
        <v>44775</v>
      </c>
      <c r="N2300" t="s">
        <v>44776</v>
      </c>
      <c r="O2300">
        <f>-681.496728989737 -146.553728873753 -500.825997635866</f>
        <v>-1328.8764554993559</v>
      </c>
      <c r="P2300">
        <f>-641.449658100941 -177.649129808803 -223.323025156149</f>
        <v>-1042.4218130658928</v>
      </c>
      <c r="Q2300">
        <f>-488.574690856841 -83.7980715865926 -370.868788389691</f>
        <v>-943.24155083312462</v>
      </c>
      <c r="R2300" t="s">
        <v>44777</v>
      </c>
      <c r="S2300" t="s">
        <v>44778</v>
      </c>
      <c r="T2300" t="s">
        <v>44779</v>
      </c>
      <c r="U2300" t="s">
        <v>44780</v>
      </c>
      <c r="V2300">
        <f>-608.886263295131 -49.8851549737099 -92.9210225361467</f>
        <v>-751.69244080498754</v>
      </c>
      <c r="W2300" t="s">
        <v>44781</v>
      </c>
      <c r="X2300" t="s">
        <v>44782</v>
      </c>
      <c r="Y2300" t="s">
        <v>44783</v>
      </c>
    </row>
    <row r="2301" spans="1:25" x14ac:dyDescent="0.3">
      <c r="A2301">
        <v>115000</v>
      </c>
      <c r="B2301" t="s">
        <v>44784</v>
      </c>
      <c r="C2301" t="s">
        <v>44785</v>
      </c>
      <c r="D2301" t="s">
        <v>44786</v>
      </c>
      <c r="E2301" t="s">
        <v>44787</v>
      </c>
      <c r="F2301" t="s">
        <v>44788</v>
      </c>
      <c r="G2301" t="s">
        <v>44789</v>
      </c>
      <c r="H2301" t="s">
        <v>44790</v>
      </c>
      <c r="I2301" t="s">
        <v>44791</v>
      </c>
      <c r="J2301" t="s">
        <v>44792</v>
      </c>
      <c r="K2301" t="s">
        <v>44793</v>
      </c>
      <c r="L2301" t="s">
        <v>44794</v>
      </c>
      <c r="M2301" t="s">
        <v>44795</v>
      </c>
      <c r="N2301" t="s">
        <v>44796</v>
      </c>
      <c r="O2301">
        <f>-681.216316206309 -146.47824526472 -500.857309841239</f>
        <v>-1328.5518713122678</v>
      </c>
      <c r="P2301">
        <f>-641.104037774231 -177.7284197861 -223.381183538957</f>
        <v>-1042.213641099288</v>
      </c>
      <c r="Q2301">
        <f>-488.628127110632 -83.4034661978999 -371.037711330974</f>
        <v>-943.06930463950584</v>
      </c>
      <c r="R2301" t="s">
        <v>44797</v>
      </c>
      <c r="S2301" t="s">
        <v>44798</v>
      </c>
      <c r="T2301" t="s">
        <v>44799</v>
      </c>
      <c r="U2301" t="s">
        <v>44800</v>
      </c>
      <c r="V2301">
        <f>-608.778250146089 -49.6286392455515 -92.8967259921507</f>
        <v>-751.30361538379123</v>
      </c>
      <c r="W2301" t="s">
        <v>44801</v>
      </c>
      <c r="X2301" t="s">
        <v>44802</v>
      </c>
      <c r="Y2301" t="s">
        <v>44803</v>
      </c>
    </row>
    <row r="2302" spans="1:25" x14ac:dyDescent="0.3">
      <c r="A2302">
        <v>115050</v>
      </c>
      <c r="B2302" t="s">
        <v>44804</v>
      </c>
      <c r="C2302" t="s">
        <v>44805</v>
      </c>
      <c r="D2302" t="s">
        <v>44806</v>
      </c>
      <c r="E2302" t="s">
        <v>44807</v>
      </c>
      <c r="F2302" t="s">
        <v>44808</v>
      </c>
      <c r="G2302" t="s">
        <v>44809</v>
      </c>
      <c r="H2302" t="s">
        <v>44810</v>
      </c>
      <c r="I2302" t="s">
        <v>44811</v>
      </c>
      <c r="J2302" t="s">
        <v>44812</v>
      </c>
      <c r="K2302" t="s">
        <v>44813</v>
      </c>
      <c r="L2302" t="s">
        <v>44814</v>
      </c>
      <c r="M2302" t="s">
        <v>44815</v>
      </c>
      <c r="N2302" t="s">
        <v>44816</v>
      </c>
      <c r="O2302">
        <f>-681.051954227039 -146.486937184982 -500.902916287218</f>
        <v>-1328.441807699239</v>
      </c>
      <c r="P2302">
        <f>-640.935645686812 -177.842641757236 -223.439138505865</f>
        <v>-1042.2174259499129</v>
      </c>
      <c r="Q2302">
        <f>-488.86240538204 -83.135993979085 -371.266610501326</f>
        <v>-943.26500986245094</v>
      </c>
      <c r="R2302" t="s">
        <v>44817</v>
      </c>
      <c r="S2302" t="s">
        <v>44818</v>
      </c>
      <c r="T2302" t="s">
        <v>44819</v>
      </c>
      <c r="U2302" t="s">
        <v>44820</v>
      </c>
      <c r="V2302">
        <f>-608.77702212925 -49.5627661682579 -92.8925734041381</f>
        <v>-751.23236170164603</v>
      </c>
      <c r="W2302" t="s">
        <v>44821</v>
      </c>
      <c r="X2302" t="s">
        <v>44822</v>
      </c>
      <c r="Y2302" t="s">
        <v>44823</v>
      </c>
    </row>
    <row r="2303" spans="1:25" x14ac:dyDescent="0.3">
      <c r="A2303">
        <v>115100</v>
      </c>
      <c r="B2303" t="s">
        <v>44824</v>
      </c>
      <c r="C2303" t="s">
        <v>44825</v>
      </c>
      <c r="D2303" t="s">
        <v>44826</v>
      </c>
      <c r="E2303" t="s">
        <v>44827</v>
      </c>
      <c r="F2303" t="s">
        <v>44828</v>
      </c>
      <c r="G2303" t="s">
        <v>44829</v>
      </c>
      <c r="H2303" t="s">
        <v>44830</v>
      </c>
      <c r="I2303" t="s">
        <v>44831</v>
      </c>
      <c r="J2303" t="s">
        <v>44832</v>
      </c>
      <c r="K2303" t="s">
        <v>44833</v>
      </c>
      <c r="L2303" t="s">
        <v>44834</v>
      </c>
      <c r="M2303" t="s">
        <v>44835</v>
      </c>
      <c r="N2303" t="s">
        <v>44836</v>
      </c>
      <c r="O2303">
        <f>-680.706993416184 -146.442590324669 -501.062425705709</f>
        <v>-1328.212009446562</v>
      </c>
      <c r="P2303">
        <f>-640.517379264467 -177.846085725595 -223.614948825919</f>
        <v>-1041.978413815981</v>
      </c>
      <c r="Q2303">
        <f>-489.231451380953 -82.402074834537 -371.775506804006</f>
        <v>-943.40903301949595</v>
      </c>
      <c r="R2303" t="s">
        <v>44837</v>
      </c>
      <c r="S2303" t="s">
        <v>44838</v>
      </c>
      <c r="T2303" t="s">
        <v>44839</v>
      </c>
      <c r="U2303" t="s">
        <v>44840</v>
      </c>
      <c r="V2303">
        <f>-608.925657429916 -49.4804171368862 -92.9025245145071</f>
        <v>-751.30859908130935</v>
      </c>
      <c r="W2303" t="s">
        <v>44841</v>
      </c>
      <c r="X2303" t="s">
        <v>44842</v>
      </c>
      <c r="Y2303" t="s">
        <v>44843</v>
      </c>
    </row>
    <row r="2304" spans="1:25" x14ac:dyDescent="0.3">
      <c r="A2304">
        <v>115150</v>
      </c>
      <c r="B2304" t="s">
        <v>44844</v>
      </c>
      <c r="C2304" t="s">
        <v>44845</v>
      </c>
      <c r="D2304" t="s">
        <v>44846</v>
      </c>
      <c r="E2304" t="s">
        <v>44847</v>
      </c>
      <c r="F2304" t="s">
        <v>44848</v>
      </c>
      <c r="G2304" t="s">
        <v>44849</v>
      </c>
      <c r="H2304" t="s">
        <v>44850</v>
      </c>
      <c r="I2304" t="s">
        <v>44851</v>
      </c>
      <c r="J2304" t="s">
        <v>44852</v>
      </c>
      <c r="K2304" t="s">
        <v>44853</v>
      </c>
      <c r="L2304" t="s">
        <v>44854</v>
      </c>
      <c r="M2304" t="s">
        <v>44855</v>
      </c>
      <c r="N2304" t="s">
        <v>44856</v>
      </c>
      <c r="O2304">
        <f>-680.318998360715 -146.471856465584 -501.190241233789</f>
        <v>-1327.981096060088</v>
      </c>
      <c r="P2304">
        <f>-640.126362277493 -177.99809529005 -223.75697887237</f>
        <v>-1041.8814364399129</v>
      </c>
      <c r="Q2304">
        <f>-489.126241150983 -82.0572904914243 -371.888155150083</f>
        <v>-943.07168679249025</v>
      </c>
      <c r="R2304" t="s">
        <v>44857</v>
      </c>
      <c r="S2304" t="s">
        <v>44858</v>
      </c>
      <c r="T2304" t="s">
        <v>44859</v>
      </c>
      <c r="U2304" t="s">
        <v>44860</v>
      </c>
      <c r="V2304">
        <f>-609.015893130922 -49.4241641669751 -92.9074035877504</f>
        <v>-751.34746088564748</v>
      </c>
      <c r="W2304" t="s">
        <v>44861</v>
      </c>
      <c r="X2304" t="s">
        <v>44862</v>
      </c>
      <c r="Y2304" t="s">
        <v>44863</v>
      </c>
    </row>
    <row r="2305" spans="1:25" x14ac:dyDescent="0.3">
      <c r="A2305">
        <v>115200</v>
      </c>
      <c r="B2305" t="s">
        <v>44864</v>
      </c>
      <c r="C2305" t="s">
        <v>44865</v>
      </c>
      <c r="D2305" t="s">
        <v>44866</v>
      </c>
      <c r="E2305" t="s">
        <v>44867</v>
      </c>
      <c r="F2305" t="s">
        <v>44868</v>
      </c>
      <c r="G2305" t="s">
        <v>44869</v>
      </c>
      <c r="H2305" t="s">
        <v>44870</v>
      </c>
      <c r="I2305" t="s">
        <v>44871</v>
      </c>
      <c r="J2305" t="s">
        <v>44872</v>
      </c>
      <c r="K2305" t="s">
        <v>44873</v>
      </c>
      <c r="L2305" t="s">
        <v>44874</v>
      </c>
      <c r="M2305" t="s">
        <v>44875</v>
      </c>
      <c r="N2305" t="s">
        <v>44876</v>
      </c>
      <c r="O2305">
        <f>-679.425185942844 -146.326667119834 -501.564070362398</f>
        <v>-1327.3159234250761</v>
      </c>
      <c r="P2305">
        <f>-639.225727101174 -178.371228971055 -224.191212967653</f>
        <v>-1041.788169039882</v>
      </c>
      <c r="Q2305">
        <f>-488.657513932367 -81.5145143973809 -372.165689573362</f>
        <v>-942.33771790310993</v>
      </c>
      <c r="R2305" t="s">
        <v>44877</v>
      </c>
      <c r="S2305" t="s">
        <v>44878</v>
      </c>
      <c r="T2305" t="s">
        <v>44879</v>
      </c>
      <c r="U2305" t="s">
        <v>44880</v>
      </c>
      <c r="V2305">
        <f>-609.025351285038 -49.2991289480376 -92.9258868513465</f>
        <v>-751.25036708442212</v>
      </c>
      <c r="W2305" t="s">
        <v>44881</v>
      </c>
      <c r="X2305" t="s">
        <v>44882</v>
      </c>
      <c r="Y2305" t="s">
        <v>44883</v>
      </c>
    </row>
    <row r="2306" spans="1:25" x14ac:dyDescent="0.3">
      <c r="A2306">
        <v>115250</v>
      </c>
      <c r="B2306" t="s">
        <v>44884</v>
      </c>
      <c r="C2306" t="s">
        <v>44885</v>
      </c>
      <c r="D2306" t="s">
        <v>44886</v>
      </c>
      <c r="E2306" t="s">
        <v>44887</v>
      </c>
      <c r="F2306" t="s">
        <v>44888</v>
      </c>
      <c r="G2306" t="s">
        <v>44889</v>
      </c>
      <c r="H2306" t="s">
        <v>44890</v>
      </c>
      <c r="I2306" t="s">
        <v>44891</v>
      </c>
      <c r="J2306" t="s">
        <v>44892</v>
      </c>
      <c r="K2306" t="s">
        <v>44893</v>
      </c>
      <c r="L2306" t="s">
        <v>44894</v>
      </c>
      <c r="M2306" t="s">
        <v>44895</v>
      </c>
      <c r="N2306" t="s">
        <v>44896</v>
      </c>
      <c r="O2306">
        <f>-679.134861528549 -146.241582716925 -501.700428172149</f>
        <v>-1327.076872417623</v>
      </c>
      <c r="P2306">
        <f>-638.863913364177 -178.246568229942 -224.33335637918</f>
        <v>-1041.443837973299</v>
      </c>
      <c r="Q2306">
        <f>-488.352049238972 -81.160526798973 -372.215061449611</f>
        <v>-941.72763748755597</v>
      </c>
      <c r="R2306" t="s">
        <v>44897</v>
      </c>
      <c r="S2306" t="s">
        <v>44898</v>
      </c>
      <c r="T2306" t="s">
        <v>44899</v>
      </c>
      <c r="U2306" t="s">
        <v>44900</v>
      </c>
      <c r="V2306">
        <f>-608.989290105748 -49.2983542736256 -92.9345577899251</f>
        <v>-751.22220216929861</v>
      </c>
      <c r="W2306" t="s">
        <v>44901</v>
      </c>
      <c r="X2306" t="s">
        <v>44902</v>
      </c>
      <c r="Y2306" t="s">
        <v>44903</v>
      </c>
    </row>
    <row r="2307" spans="1:25" x14ac:dyDescent="0.3">
      <c r="A2307">
        <v>115300</v>
      </c>
      <c r="B2307" t="s">
        <v>44904</v>
      </c>
      <c r="C2307" t="s">
        <v>44905</v>
      </c>
      <c r="D2307" t="s">
        <v>44906</v>
      </c>
      <c r="E2307" t="s">
        <v>44907</v>
      </c>
      <c r="F2307" t="s">
        <v>44908</v>
      </c>
      <c r="G2307" t="s">
        <v>44909</v>
      </c>
      <c r="H2307" t="s">
        <v>44910</v>
      </c>
      <c r="I2307" t="s">
        <v>44911</v>
      </c>
      <c r="J2307" t="s">
        <v>44912</v>
      </c>
      <c r="K2307" t="s">
        <v>44913</v>
      </c>
      <c r="L2307" t="s">
        <v>44914</v>
      </c>
      <c r="M2307" t="s">
        <v>44915</v>
      </c>
      <c r="N2307" t="s">
        <v>44916</v>
      </c>
      <c r="O2307">
        <f>-678.304924498476 -146.090399074213 -501.897941337816</f>
        <v>-1326.2932649105051</v>
      </c>
      <c r="P2307">
        <f>-637.9461175898 -178.001794753891 -224.532681027673</f>
        <v>-1040.480593371364</v>
      </c>
      <c r="Q2307">
        <f>-487.569872096764 -80.4174500023623 -372.22424499604</f>
        <v>-940.2115670951664</v>
      </c>
      <c r="R2307" t="s">
        <v>44917</v>
      </c>
      <c r="S2307" t="s">
        <v>44918</v>
      </c>
      <c r="T2307" t="s">
        <v>44919</v>
      </c>
      <c r="U2307" t="s">
        <v>44920</v>
      </c>
      <c r="V2307">
        <f>-608.732438669022 -49.2969881482463 -92.9388011004535</f>
        <v>-750.96822791772183</v>
      </c>
      <c r="W2307" t="s">
        <v>44921</v>
      </c>
      <c r="X2307" t="s">
        <v>44922</v>
      </c>
      <c r="Y2307" t="s">
        <v>44923</v>
      </c>
    </row>
    <row r="2308" spans="1:25" x14ac:dyDescent="0.3">
      <c r="A2308">
        <v>115350</v>
      </c>
      <c r="B2308" t="s">
        <v>44924</v>
      </c>
      <c r="C2308" t="s">
        <v>44925</v>
      </c>
      <c r="D2308" t="s">
        <v>44926</v>
      </c>
      <c r="E2308" t="s">
        <v>44927</v>
      </c>
      <c r="F2308" t="s">
        <v>44928</v>
      </c>
      <c r="G2308" t="s">
        <v>44929</v>
      </c>
      <c r="H2308" t="s">
        <v>44930</v>
      </c>
      <c r="I2308" t="s">
        <v>44931</v>
      </c>
      <c r="J2308" t="s">
        <v>44932</v>
      </c>
      <c r="K2308" t="s">
        <v>44933</v>
      </c>
      <c r="L2308" t="s">
        <v>44934</v>
      </c>
      <c r="M2308" t="s">
        <v>44935</v>
      </c>
      <c r="N2308" t="s">
        <v>44936</v>
      </c>
      <c r="O2308">
        <f>-677.64949525681 -146.172214997059 -502.062531395261</f>
        <v>-1325.88424164913</v>
      </c>
      <c r="P2308">
        <f>-637.436210432933 -178.114051288853 -224.67971366919</f>
        <v>-1040.2299753909761</v>
      </c>
      <c r="Q2308">
        <f>-487.15654413104 -80.2974573682829 -372.31614749102</f>
        <v>-939.77014899034293</v>
      </c>
      <c r="R2308" t="s">
        <v>44937</v>
      </c>
      <c r="S2308" t="s">
        <v>44938</v>
      </c>
      <c r="T2308" t="s">
        <v>44939</v>
      </c>
      <c r="U2308" t="s">
        <v>44940</v>
      </c>
      <c r="V2308">
        <f>-608.480716279335 -49.3519704265043 -92.9444219483876</f>
        <v>-750.77710865422682</v>
      </c>
      <c r="W2308" t="s">
        <v>44941</v>
      </c>
      <c r="X2308" t="s">
        <v>44942</v>
      </c>
      <c r="Y2308" t="s">
        <v>44943</v>
      </c>
    </row>
    <row r="2309" spans="1:25" x14ac:dyDescent="0.3">
      <c r="A2309">
        <v>115400</v>
      </c>
      <c r="B2309" t="s">
        <v>44944</v>
      </c>
      <c r="C2309" t="s">
        <v>44945</v>
      </c>
      <c r="D2309" t="s">
        <v>44946</v>
      </c>
      <c r="E2309" t="s">
        <v>44947</v>
      </c>
      <c r="F2309" t="s">
        <v>44948</v>
      </c>
      <c r="G2309" t="s">
        <v>44949</v>
      </c>
      <c r="H2309" t="s">
        <v>44950</v>
      </c>
      <c r="I2309" t="s">
        <v>44951</v>
      </c>
      <c r="J2309" t="s">
        <v>44952</v>
      </c>
      <c r="K2309" t="s">
        <v>44953</v>
      </c>
      <c r="L2309" t="s">
        <v>44954</v>
      </c>
      <c r="M2309" t="s">
        <v>44955</v>
      </c>
      <c r="N2309" t="s">
        <v>44956</v>
      </c>
      <c r="O2309">
        <f>-676.369230351858 -146.25898530578 -502.260807565011</f>
        <v>-1324.889023222649</v>
      </c>
      <c r="P2309">
        <f>-636.346147868646 -178.518392061631 -224.88717206621</f>
        <v>-1039.7517119964871</v>
      </c>
      <c r="Q2309">
        <f>-486.106886201366 -80.2465588486632 -372.262187453387</f>
        <v>-938.61563250341624</v>
      </c>
      <c r="R2309" t="s">
        <v>44957</v>
      </c>
      <c r="S2309" t="s">
        <v>44958</v>
      </c>
      <c r="T2309" t="s">
        <v>44959</v>
      </c>
      <c r="U2309" t="s">
        <v>44960</v>
      </c>
      <c r="V2309">
        <f>-607.539142486042 -49.4555077773371 -92.8654431573314</f>
        <v>-749.86009342071043</v>
      </c>
      <c r="W2309" t="s">
        <v>44961</v>
      </c>
      <c r="X2309" t="s">
        <v>44962</v>
      </c>
      <c r="Y2309" t="s">
        <v>44963</v>
      </c>
    </row>
    <row r="2310" spans="1:25" x14ac:dyDescent="0.3">
      <c r="A2310">
        <v>115450</v>
      </c>
      <c r="B2310" t="s">
        <v>44964</v>
      </c>
      <c r="C2310" t="s">
        <v>44965</v>
      </c>
      <c r="D2310" t="s">
        <v>44966</v>
      </c>
      <c r="E2310" t="s">
        <v>44967</v>
      </c>
      <c r="F2310" t="s">
        <v>44968</v>
      </c>
      <c r="G2310" t="s">
        <v>44969</v>
      </c>
      <c r="H2310" t="s">
        <v>44970</v>
      </c>
      <c r="I2310" t="s">
        <v>44971</v>
      </c>
      <c r="J2310" t="s">
        <v>44972</v>
      </c>
      <c r="K2310" t="s">
        <v>44973</v>
      </c>
      <c r="L2310" t="s">
        <v>44974</v>
      </c>
      <c r="M2310" t="s">
        <v>44975</v>
      </c>
      <c r="N2310" t="s">
        <v>44976</v>
      </c>
      <c r="O2310">
        <f>-675.608520856898 -146.279268536395 -502.296545792722</f>
        <v>-1324.184335186015</v>
      </c>
      <c r="P2310">
        <f>-635.582763931456 -178.58410953348 -224.928736740435</f>
        <v>-1039.095610205371</v>
      </c>
      <c r="Q2310">
        <f>-485.351632257623 -80.1339858433737 -372.19284803867</f>
        <v>-937.67846613966663</v>
      </c>
      <c r="R2310" t="s">
        <v>44977</v>
      </c>
      <c r="S2310" t="s">
        <v>44978</v>
      </c>
      <c r="T2310" t="s">
        <v>44979</v>
      </c>
      <c r="U2310" t="s">
        <v>44980</v>
      </c>
      <c r="V2310">
        <f>-606.874584262714 -49.539924928941 -92.7779846090882</f>
        <v>-749.19249380074325</v>
      </c>
      <c r="W2310" t="s">
        <v>44981</v>
      </c>
      <c r="X2310" t="s">
        <v>44982</v>
      </c>
      <c r="Y2310" t="s">
        <v>44983</v>
      </c>
    </row>
    <row r="2311" spans="1:25" x14ac:dyDescent="0.3">
      <c r="A2311">
        <v>115500</v>
      </c>
      <c r="B2311" t="s">
        <v>44984</v>
      </c>
      <c r="C2311" t="s">
        <v>44985</v>
      </c>
      <c r="D2311" t="s">
        <v>44986</v>
      </c>
      <c r="E2311" t="s">
        <v>44987</v>
      </c>
      <c r="F2311" t="s">
        <v>44988</v>
      </c>
      <c r="G2311" t="s">
        <v>44989</v>
      </c>
      <c r="H2311" t="s">
        <v>44990</v>
      </c>
      <c r="I2311" t="s">
        <v>44991</v>
      </c>
      <c r="J2311" t="s">
        <v>44992</v>
      </c>
      <c r="K2311" t="s">
        <v>44993</v>
      </c>
      <c r="L2311" t="s">
        <v>44994</v>
      </c>
      <c r="M2311" t="s">
        <v>44995</v>
      </c>
      <c r="N2311" t="s">
        <v>44996</v>
      </c>
      <c r="O2311">
        <f>-674.186874841563 -146.188669530696 -502.364927804857</f>
        <v>-1322.7404721771161</v>
      </c>
      <c r="P2311">
        <f>-634.255355361679 -178.650640780443 -225.001719358005</f>
        <v>-1037.9077155001271</v>
      </c>
      <c r="Q2311">
        <f>-483.848994234618 -79.7486333252552 -371.783386327862</f>
        <v>-935.38101388773521</v>
      </c>
      <c r="R2311" t="s">
        <v>44997</v>
      </c>
      <c r="S2311" t="s">
        <v>44998</v>
      </c>
      <c r="T2311" t="s">
        <v>44999</v>
      </c>
      <c r="U2311" t="s">
        <v>45000</v>
      </c>
      <c r="V2311">
        <f>-605.516554051641 -49.5695320448031 -92.5982519963491</f>
        <v>-747.68433809279315</v>
      </c>
      <c r="W2311" t="s">
        <v>45001</v>
      </c>
      <c r="X2311" t="s">
        <v>45002</v>
      </c>
      <c r="Y2311" t="s">
        <v>45003</v>
      </c>
    </row>
    <row r="2312" spans="1:25" x14ac:dyDescent="0.3">
      <c r="A2312">
        <v>115550</v>
      </c>
      <c r="B2312" t="s">
        <v>45004</v>
      </c>
      <c r="C2312" t="s">
        <v>45005</v>
      </c>
      <c r="D2312" t="s">
        <v>45006</v>
      </c>
      <c r="E2312" t="s">
        <v>45007</v>
      </c>
      <c r="F2312" t="s">
        <v>45008</v>
      </c>
      <c r="G2312" t="s">
        <v>45009</v>
      </c>
      <c r="H2312" t="s">
        <v>45010</v>
      </c>
      <c r="I2312" t="s">
        <v>45011</v>
      </c>
      <c r="J2312" t="s">
        <v>45012</v>
      </c>
      <c r="K2312" t="s">
        <v>45013</v>
      </c>
      <c r="L2312" t="s">
        <v>45014</v>
      </c>
      <c r="M2312" t="s">
        <v>45015</v>
      </c>
      <c r="N2312" t="s">
        <v>45016</v>
      </c>
      <c r="O2312">
        <f>-673.566547363192 -146.194490880707 -502.384873116864</f>
        <v>-1322.145911360763</v>
      </c>
      <c r="P2312">
        <f>-633.510693873992 -178.742900583575 -225.049923641947</f>
        <v>-1037.3035180995139</v>
      </c>
      <c r="Q2312">
        <f>-483.097149230016 -79.4375086304108 -371.551631055551</f>
        <v>-934.08628891597778</v>
      </c>
      <c r="R2312" t="s">
        <v>45017</v>
      </c>
      <c r="S2312" t="s">
        <v>45018</v>
      </c>
      <c r="T2312" t="s">
        <v>45019</v>
      </c>
      <c r="U2312" t="s">
        <v>45020</v>
      </c>
      <c r="V2312">
        <f>-604.834178307849 -49.7228432150343 -92.5134607068385</f>
        <v>-747.07048222972185</v>
      </c>
      <c r="W2312" t="s">
        <v>45021</v>
      </c>
      <c r="X2312" t="s">
        <v>45022</v>
      </c>
      <c r="Y2312" t="s">
        <v>45023</v>
      </c>
    </row>
    <row r="2313" spans="1:25" x14ac:dyDescent="0.3">
      <c r="A2313">
        <v>115600</v>
      </c>
      <c r="B2313" t="s">
        <v>45024</v>
      </c>
      <c r="C2313" t="s">
        <v>45025</v>
      </c>
      <c r="D2313" t="s">
        <v>45026</v>
      </c>
      <c r="E2313" t="s">
        <v>45027</v>
      </c>
      <c r="F2313" t="s">
        <v>45028</v>
      </c>
      <c r="G2313" t="s">
        <v>45029</v>
      </c>
      <c r="H2313" t="s">
        <v>45030</v>
      </c>
      <c r="I2313" t="s">
        <v>45031</v>
      </c>
      <c r="J2313" t="s">
        <v>45032</v>
      </c>
      <c r="K2313" t="s">
        <v>45033</v>
      </c>
      <c r="L2313" t="s">
        <v>45034</v>
      </c>
      <c r="M2313" t="s">
        <v>45035</v>
      </c>
      <c r="N2313" t="s">
        <v>45036</v>
      </c>
      <c r="O2313">
        <f>-672.056940964385 -146.252493820045 -502.523443872568</f>
        <v>-1320.8328786569982</v>
      </c>
      <c r="P2313">
        <f>-631.752362633551 -179.100252056392 -225.259765324935</f>
        <v>-1036.112380014878</v>
      </c>
      <c r="Q2313">
        <f>-481.479806370315 -78.7510981819798 -371.193846686383</f>
        <v>-931.4247512386778</v>
      </c>
      <c r="R2313" t="s">
        <v>45037</v>
      </c>
      <c r="S2313" t="s">
        <v>45038</v>
      </c>
      <c r="T2313" t="s">
        <v>45039</v>
      </c>
      <c r="U2313" t="s">
        <v>45040</v>
      </c>
      <c r="V2313">
        <f>-603.369168075037 -50.0024049656074 -92.4473142170928</f>
        <v>-745.81888725773717</v>
      </c>
      <c r="W2313" t="s">
        <v>45041</v>
      </c>
      <c r="X2313" t="s">
        <v>45042</v>
      </c>
      <c r="Y2313" t="s">
        <v>45043</v>
      </c>
    </row>
    <row r="2314" spans="1:25" x14ac:dyDescent="0.3">
      <c r="A2314">
        <v>115650</v>
      </c>
      <c r="B2314" t="s">
        <v>45044</v>
      </c>
      <c r="C2314" t="s">
        <v>45045</v>
      </c>
      <c r="D2314" t="s">
        <v>45046</v>
      </c>
      <c r="E2314" t="s">
        <v>45047</v>
      </c>
      <c r="F2314" t="s">
        <v>45048</v>
      </c>
      <c r="G2314" t="s">
        <v>45049</v>
      </c>
      <c r="H2314" t="s">
        <v>45050</v>
      </c>
      <c r="I2314" t="s">
        <v>45051</v>
      </c>
      <c r="J2314" t="s">
        <v>45052</v>
      </c>
      <c r="K2314" t="s">
        <v>45053</v>
      </c>
      <c r="L2314" t="s">
        <v>45054</v>
      </c>
      <c r="M2314" t="s">
        <v>45055</v>
      </c>
      <c r="N2314" t="s">
        <v>45056</v>
      </c>
      <c r="O2314">
        <f>-671.330428494502 -146.290479087469 -502.640760394971</f>
        <v>-1320.2616679769421</v>
      </c>
      <c r="P2314">
        <f>-630.858618321088 -179.349620801188 -225.426515287833</f>
        <v>-1035.6347544101091</v>
      </c>
      <c r="Q2314">
        <f>-480.783092147682 -78.3033251253673 -371.08189443882</f>
        <v>-930.16831171186925</v>
      </c>
      <c r="R2314" t="s">
        <v>45057</v>
      </c>
      <c r="S2314" t="s">
        <v>45058</v>
      </c>
      <c r="T2314" t="s">
        <v>45059</v>
      </c>
      <c r="U2314" t="s">
        <v>45060</v>
      </c>
      <c r="V2314">
        <f>-602.753433270017 -50.1448879301445 -92.4519112659084</f>
        <v>-745.35023246606988</v>
      </c>
      <c r="W2314" t="s">
        <v>45061</v>
      </c>
      <c r="X2314" t="s">
        <v>45062</v>
      </c>
      <c r="Y2314" t="s">
        <v>45063</v>
      </c>
    </row>
    <row r="2315" spans="1:25" x14ac:dyDescent="0.3">
      <c r="A2315">
        <v>115700</v>
      </c>
      <c r="B2315" t="s">
        <v>45064</v>
      </c>
      <c r="C2315" t="s">
        <v>45065</v>
      </c>
      <c r="D2315" t="s">
        <v>45066</v>
      </c>
      <c r="E2315" t="s">
        <v>45067</v>
      </c>
      <c r="F2315" t="s">
        <v>45068</v>
      </c>
      <c r="G2315" t="s">
        <v>45069</v>
      </c>
      <c r="H2315" t="s">
        <v>45070</v>
      </c>
      <c r="I2315" t="s">
        <v>45071</v>
      </c>
      <c r="J2315" t="s">
        <v>45072</v>
      </c>
      <c r="K2315" t="s">
        <v>45073</v>
      </c>
      <c r="L2315" t="s">
        <v>45074</v>
      </c>
      <c r="M2315" t="s">
        <v>45075</v>
      </c>
      <c r="N2315" t="s">
        <v>45076</v>
      </c>
      <c r="O2315">
        <f>-669.886312592866 -146.292121850691 -502.970609589629</f>
        <v>-1319.1490440331861</v>
      </c>
      <c r="P2315">
        <f>-629.088358437959 -179.648917328227 -225.839789948645</f>
        <v>-1034.577065714831</v>
      </c>
      <c r="Q2315">
        <f>-479.542419163229 -77.3696548661926 -371.179073591288</f>
        <v>-928.09114762070953</v>
      </c>
      <c r="R2315" t="s">
        <v>45077</v>
      </c>
      <c r="S2315" t="s">
        <v>45078</v>
      </c>
      <c r="T2315" t="s">
        <v>45079</v>
      </c>
      <c r="U2315" t="s">
        <v>45080</v>
      </c>
      <c r="V2315">
        <f>-601.82797257681 -50.4117167489844 -92.4779185473566</f>
        <v>-744.717607873151</v>
      </c>
      <c r="W2315" t="s">
        <v>45081</v>
      </c>
      <c r="X2315" t="s">
        <v>45082</v>
      </c>
      <c r="Y2315" t="s">
        <v>45083</v>
      </c>
    </row>
    <row r="2316" spans="1:25" x14ac:dyDescent="0.3">
      <c r="A2316">
        <v>115750</v>
      </c>
      <c r="B2316" t="s">
        <v>45084</v>
      </c>
      <c r="C2316" t="s">
        <v>45085</v>
      </c>
      <c r="D2316" t="s">
        <v>45086</v>
      </c>
      <c r="E2316" t="s">
        <v>45087</v>
      </c>
      <c r="F2316" t="s">
        <v>45088</v>
      </c>
      <c r="G2316" t="s">
        <v>45089</v>
      </c>
      <c r="H2316" t="s">
        <v>45090</v>
      </c>
      <c r="I2316" t="s">
        <v>45091</v>
      </c>
      <c r="J2316" t="s">
        <v>45092</v>
      </c>
      <c r="K2316" t="s">
        <v>45093</v>
      </c>
      <c r="L2316" t="s">
        <v>45094</v>
      </c>
      <c r="M2316" t="s">
        <v>45095</v>
      </c>
      <c r="N2316" t="s">
        <v>45096</v>
      </c>
      <c r="O2316">
        <f>-669.156463511021 -146.267692772472 -503.117790221053</f>
        <v>-1318.5419465045459</v>
      </c>
      <c r="P2316">
        <f>-628.196824558871 -179.668115733464 -226.016235798509</f>
        <v>-1033.8811760908438</v>
      </c>
      <c r="Q2316">
        <f>-478.846489684946 -76.9320371215267 -371.23423419699</f>
        <v>-927.01276100346263</v>
      </c>
      <c r="R2316" t="s">
        <v>45097</v>
      </c>
      <c r="S2316" t="s">
        <v>45098</v>
      </c>
      <c r="T2316" t="s">
        <v>45099</v>
      </c>
      <c r="U2316" t="s">
        <v>45100</v>
      </c>
      <c r="V2316">
        <f>-601.435242628864 -50.5579736594243 -92.4983953590025</f>
        <v>-744.49161164729082</v>
      </c>
      <c r="W2316" t="s">
        <v>45101</v>
      </c>
      <c r="X2316" t="s">
        <v>45102</v>
      </c>
      <c r="Y2316" t="s">
        <v>45103</v>
      </c>
    </row>
    <row r="2317" spans="1:25" x14ac:dyDescent="0.3">
      <c r="A2317">
        <v>115800</v>
      </c>
      <c r="B2317" t="s">
        <v>45104</v>
      </c>
      <c r="C2317" t="s">
        <v>45105</v>
      </c>
      <c r="D2317" t="s">
        <v>45106</v>
      </c>
      <c r="E2317" t="s">
        <v>45107</v>
      </c>
      <c r="F2317" t="s">
        <v>45108</v>
      </c>
      <c r="G2317" t="s">
        <v>45109</v>
      </c>
      <c r="H2317" t="s">
        <v>45110</v>
      </c>
      <c r="I2317" t="s">
        <v>45111</v>
      </c>
      <c r="J2317" t="s">
        <v>45112</v>
      </c>
      <c r="K2317" t="s">
        <v>45113</v>
      </c>
      <c r="L2317" t="s">
        <v>45114</v>
      </c>
      <c r="M2317" t="s">
        <v>45115</v>
      </c>
      <c r="N2317" t="s">
        <v>45116</v>
      </c>
      <c r="O2317">
        <f>-667.485617076339 -146.36601631456 -503.428887700653</f>
        <v>-1317.2805210915519</v>
      </c>
      <c r="P2317">
        <f>-626.343591283261 -179.902239660345 -226.370710921802</f>
        <v>-1032.616541865408</v>
      </c>
      <c r="Q2317">
        <f>-477.063423723209 -76.4777052404004 -371.17164255281</f>
        <v>-924.71277151641937</v>
      </c>
      <c r="R2317" t="s">
        <v>45117</v>
      </c>
      <c r="S2317" t="s">
        <v>45118</v>
      </c>
      <c r="T2317" t="s">
        <v>45119</v>
      </c>
      <c r="U2317" t="s">
        <v>45120</v>
      </c>
      <c r="V2317">
        <f>-600.640633212527 -51.0057914540162 -92.5407035324982</f>
        <v>-744.18712819904135</v>
      </c>
      <c r="W2317" t="s">
        <v>45121</v>
      </c>
      <c r="X2317" t="s">
        <v>45122</v>
      </c>
      <c r="Y2317" t="s">
        <v>45123</v>
      </c>
    </row>
    <row r="2318" spans="1:25" x14ac:dyDescent="0.3">
      <c r="A2318">
        <v>115850</v>
      </c>
      <c r="B2318" t="s">
        <v>45124</v>
      </c>
      <c r="C2318" t="s">
        <v>45125</v>
      </c>
      <c r="D2318" t="s">
        <v>45126</v>
      </c>
      <c r="E2318" t="s">
        <v>45127</v>
      </c>
      <c r="F2318" t="s">
        <v>45128</v>
      </c>
      <c r="G2318" t="s">
        <v>45129</v>
      </c>
      <c r="H2318" t="s">
        <v>45130</v>
      </c>
      <c r="I2318" t="s">
        <v>45131</v>
      </c>
      <c r="J2318" t="s">
        <v>45132</v>
      </c>
      <c r="K2318" t="s">
        <v>45133</v>
      </c>
      <c r="L2318" t="s">
        <v>45134</v>
      </c>
      <c r="M2318" t="s">
        <v>45135</v>
      </c>
      <c r="N2318" t="s">
        <v>45136</v>
      </c>
      <c r="O2318">
        <f>-666.558898419271 -146.356612220581 -503.542505229684</f>
        <v>-1316.4580158695362</v>
      </c>
      <c r="P2318">
        <f>-625.41221231376 -179.89794729401 -226.485588316741</f>
        <v>-1031.795747924511</v>
      </c>
      <c r="Q2318">
        <f>-476.118272901113 -76.2049297457309 -371.080227132149</f>
        <v>-923.40342977899286</v>
      </c>
      <c r="R2318" t="s">
        <v>45137</v>
      </c>
      <c r="S2318" t="s">
        <v>45138</v>
      </c>
      <c r="T2318" t="s">
        <v>45139</v>
      </c>
      <c r="U2318" t="s">
        <v>45140</v>
      </c>
      <c r="V2318">
        <f>-600.149532167146 -51.1242186568622 -92.5778206273458</f>
        <v>-743.85157145135406</v>
      </c>
      <c r="W2318" t="s">
        <v>45141</v>
      </c>
      <c r="X2318" t="s">
        <v>45142</v>
      </c>
      <c r="Y2318" t="s">
        <v>45143</v>
      </c>
    </row>
    <row r="2319" spans="1:25" x14ac:dyDescent="0.3">
      <c r="A2319">
        <v>115900</v>
      </c>
      <c r="B2319" t="s">
        <v>45144</v>
      </c>
      <c r="C2319" t="s">
        <v>45145</v>
      </c>
      <c r="D2319" t="s">
        <v>45146</v>
      </c>
      <c r="E2319" t="s">
        <v>45147</v>
      </c>
      <c r="F2319" t="s">
        <v>45148</v>
      </c>
      <c r="G2319" t="s">
        <v>45149</v>
      </c>
      <c r="H2319" t="s">
        <v>45150</v>
      </c>
      <c r="I2319" t="s">
        <v>45151</v>
      </c>
      <c r="J2319" t="s">
        <v>45152</v>
      </c>
      <c r="K2319" t="s">
        <v>45153</v>
      </c>
      <c r="L2319" t="s">
        <v>45154</v>
      </c>
      <c r="M2319" t="s">
        <v>45155</v>
      </c>
      <c r="N2319" t="s">
        <v>45156</v>
      </c>
      <c r="O2319">
        <f>-664.541105311088 -146.214419974108 -503.789125124202</f>
        <v>-1314.5446504093979</v>
      </c>
      <c r="P2319">
        <f>-623.482378254718 -179.613251531663 -226.70194605834</f>
        <v>-1029.797575844721</v>
      </c>
      <c r="Q2319">
        <f>-474.407337091451 -75.3882020479127 -371.139789701481</f>
        <v>-920.9353288408447</v>
      </c>
      <c r="R2319" t="s">
        <v>45157</v>
      </c>
      <c r="S2319" t="s">
        <v>45158</v>
      </c>
      <c r="T2319" t="s">
        <v>45159</v>
      </c>
      <c r="U2319" t="s">
        <v>45160</v>
      </c>
      <c r="V2319">
        <f>-599.031943062782 -51.0561145527795 -92.6393664186429</f>
        <v>-742.72742403420443</v>
      </c>
      <c r="W2319" t="s">
        <v>45161</v>
      </c>
      <c r="X2319" t="s">
        <v>45162</v>
      </c>
      <c r="Y2319" t="s">
        <v>45163</v>
      </c>
    </row>
    <row r="2320" spans="1:25" x14ac:dyDescent="0.3">
      <c r="A2320">
        <v>115950</v>
      </c>
      <c r="B2320" t="s">
        <v>45164</v>
      </c>
      <c r="C2320" t="s">
        <v>45165</v>
      </c>
      <c r="D2320" t="s">
        <v>45166</v>
      </c>
      <c r="E2320" t="s">
        <v>45167</v>
      </c>
      <c r="F2320" t="s">
        <v>45168</v>
      </c>
      <c r="G2320" t="s">
        <v>45169</v>
      </c>
      <c r="H2320" t="s">
        <v>45170</v>
      </c>
      <c r="I2320" t="s">
        <v>45171</v>
      </c>
      <c r="J2320" t="s">
        <v>45172</v>
      </c>
      <c r="K2320" t="s">
        <v>45173</v>
      </c>
      <c r="L2320" t="s">
        <v>45174</v>
      </c>
      <c r="M2320" t="s">
        <v>45175</v>
      </c>
      <c r="N2320" t="s">
        <v>45176</v>
      </c>
      <c r="O2320">
        <f>-663.479530273917 -146.132357934655 -503.862311044935</f>
        <v>-1313.4741992535071</v>
      </c>
      <c r="P2320">
        <f>-622.411184409381 -179.471810266341 -226.76934243006</f>
        <v>-1028.652337105782</v>
      </c>
      <c r="Q2320">
        <f>-473.604624635193 -74.8697126975899 -371.211529946391</f>
        <v>-919.68586727917386</v>
      </c>
      <c r="R2320" t="s">
        <v>45177</v>
      </c>
      <c r="S2320" t="s">
        <v>45178</v>
      </c>
      <c r="T2320" t="s">
        <v>45179</v>
      </c>
      <c r="U2320" t="s">
        <v>45180</v>
      </c>
      <c r="V2320">
        <f>-598.457090184154 -50.9759422779136 -92.6522467976333</f>
        <v>-742.085279259701</v>
      </c>
      <c r="W2320" t="s">
        <v>45181</v>
      </c>
      <c r="X2320" t="s">
        <v>45182</v>
      </c>
      <c r="Y2320" t="s">
        <v>45183</v>
      </c>
    </row>
    <row r="2321" spans="1:25" x14ac:dyDescent="0.3">
      <c r="A2321">
        <v>116000</v>
      </c>
      <c r="B2321" t="s">
        <v>45184</v>
      </c>
      <c r="C2321" t="s">
        <v>45185</v>
      </c>
      <c r="D2321" t="s">
        <v>45186</v>
      </c>
      <c r="E2321" t="s">
        <v>45187</v>
      </c>
      <c r="F2321" t="s">
        <v>45188</v>
      </c>
      <c r="G2321" t="s">
        <v>45189</v>
      </c>
      <c r="H2321" t="s">
        <v>45190</v>
      </c>
      <c r="I2321" t="s">
        <v>45191</v>
      </c>
      <c r="J2321" t="s">
        <v>45192</v>
      </c>
      <c r="K2321" t="s">
        <v>45193</v>
      </c>
      <c r="L2321" t="s">
        <v>45194</v>
      </c>
      <c r="M2321" t="s">
        <v>45195</v>
      </c>
      <c r="N2321" t="s">
        <v>45196</v>
      </c>
      <c r="O2321">
        <f>-661.323803427522 -145.928761121056 -503.94468480905</f>
        <v>-1311.1972493576279</v>
      </c>
      <c r="P2321">
        <f>-620.025971622965 -179.098523211996 -226.86546586957</f>
        <v>-1025.9899607045311</v>
      </c>
      <c r="Q2321">
        <f>-471.701922052255 -73.779650456979 -371.28299984698</f>
        <v>-916.76457235621388</v>
      </c>
      <c r="R2321" t="s">
        <v>45197</v>
      </c>
      <c r="S2321" t="s">
        <v>45198</v>
      </c>
      <c r="T2321" t="s">
        <v>45199</v>
      </c>
      <c r="U2321" t="s">
        <v>45200</v>
      </c>
      <c r="V2321">
        <f>-597.340761855178 -50.6291173028403 -92.6557967112007</f>
        <v>-740.62567586921898</v>
      </c>
      <c r="W2321" t="s">
        <v>45201</v>
      </c>
      <c r="X2321" t="s">
        <v>45202</v>
      </c>
      <c r="Y2321" t="s">
        <v>45203</v>
      </c>
    </row>
    <row r="2322" spans="1:25" x14ac:dyDescent="0.3">
      <c r="A2322">
        <v>116050</v>
      </c>
      <c r="B2322" t="s">
        <v>45204</v>
      </c>
      <c r="C2322" t="s">
        <v>45205</v>
      </c>
      <c r="D2322" t="s">
        <v>45206</v>
      </c>
      <c r="E2322" t="s">
        <v>45207</v>
      </c>
      <c r="F2322" t="s">
        <v>45208</v>
      </c>
      <c r="G2322" t="s">
        <v>45209</v>
      </c>
      <c r="H2322" t="s">
        <v>45210</v>
      </c>
      <c r="I2322" t="s">
        <v>45211</v>
      </c>
      <c r="J2322" t="s">
        <v>45212</v>
      </c>
      <c r="K2322" t="s">
        <v>45213</v>
      </c>
      <c r="L2322" t="s">
        <v>45214</v>
      </c>
      <c r="M2322" t="s">
        <v>45215</v>
      </c>
      <c r="N2322" t="s">
        <v>45216</v>
      </c>
      <c r="O2322">
        <f>-660.326044837046 -145.713268930061 -503.919076142422</f>
        <v>-1309.9583899095289</v>
      </c>
      <c r="P2322">
        <f>-618.872212010295 -178.617291705988 -226.831635656664</f>
        <v>-1024.3211393729471</v>
      </c>
      <c r="Q2322">
        <f>-470.731956486682 -73.0467179095344 -371.253901419697</f>
        <v>-915.03257581591333</v>
      </c>
      <c r="R2322" t="s">
        <v>45217</v>
      </c>
      <c r="S2322" t="s">
        <v>45218</v>
      </c>
      <c r="T2322" t="s">
        <v>45219</v>
      </c>
      <c r="U2322" t="s">
        <v>45220</v>
      </c>
      <c r="V2322">
        <f>-596.845112666162 -50.4427057542953 -92.6548798527726</f>
        <v>-739.94269827322989</v>
      </c>
      <c r="W2322" t="s">
        <v>45221</v>
      </c>
      <c r="X2322" t="s">
        <v>45222</v>
      </c>
      <c r="Y2322" t="s">
        <v>45223</v>
      </c>
    </row>
    <row r="2323" spans="1:25" x14ac:dyDescent="0.3">
      <c r="A2323">
        <v>116100</v>
      </c>
      <c r="B2323" t="s">
        <v>45224</v>
      </c>
      <c r="C2323" t="s">
        <v>45225</v>
      </c>
      <c r="D2323" t="s">
        <v>45226</v>
      </c>
      <c r="E2323" t="s">
        <v>45227</v>
      </c>
      <c r="F2323" t="s">
        <v>45228</v>
      </c>
      <c r="G2323" t="s">
        <v>45229</v>
      </c>
      <c r="H2323" t="s">
        <v>45230</v>
      </c>
      <c r="I2323" t="s">
        <v>45231</v>
      </c>
      <c r="J2323" t="s">
        <v>45232</v>
      </c>
      <c r="K2323" t="s">
        <v>45233</v>
      </c>
      <c r="L2323" t="s">
        <v>45234</v>
      </c>
      <c r="M2323" t="s">
        <v>45235</v>
      </c>
      <c r="N2323" t="s">
        <v>45236</v>
      </c>
      <c r="O2323">
        <f>-658.220553210622 -145.213899652932 -504.011557905622</f>
        <v>-1307.4460107691762</v>
      </c>
      <c r="P2323">
        <f>-616.775710761659 -177.780450305962 -226.882802705482</f>
        <v>-1021.4389637731028</v>
      </c>
      <c r="Q2323">
        <f>-468.838339458941 -71.556742808719 -371.034250952343</f>
        <v>-911.42933322000295</v>
      </c>
      <c r="R2323" t="s">
        <v>45237</v>
      </c>
      <c r="S2323" t="s">
        <v>45238</v>
      </c>
      <c r="T2323" t="s">
        <v>45239</v>
      </c>
      <c r="U2323" t="s">
        <v>45240</v>
      </c>
      <c r="V2323">
        <f>-596.021560837182 -50.0178865281109 -92.6469878221415</f>
        <v>-738.68643518743443</v>
      </c>
      <c r="W2323" t="s">
        <v>45241</v>
      </c>
      <c r="X2323" t="s">
        <v>45242</v>
      </c>
      <c r="Y2323" t="s">
        <v>45243</v>
      </c>
    </row>
    <row r="2324" spans="1:25" x14ac:dyDescent="0.3">
      <c r="A2324">
        <v>116150</v>
      </c>
      <c r="B2324" t="s">
        <v>45244</v>
      </c>
      <c r="C2324" t="s">
        <v>45245</v>
      </c>
      <c r="D2324" t="s">
        <v>45246</v>
      </c>
      <c r="E2324" t="s">
        <v>45247</v>
      </c>
      <c r="F2324" t="s">
        <v>45248</v>
      </c>
      <c r="G2324" t="s">
        <v>45249</v>
      </c>
      <c r="H2324" t="s">
        <v>45250</v>
      </c>
      <c r="I2324" t="s">
        <v>45251</v>
      </c>
      <c r="J2324" t="s">
        <v>45252</v>
      </c>
      <c r="K2324" t="s">
        <v>45253</v>
      </c>
      <c r="L2324" t="s">
        <v>45254</v>
      </c>
      <c r="M2324" t="s">
        <v>45255</v>
      </c>
      <c r="N2324" t="s">
        <v>45256</v>
      </c>
      <c r="O2324">
        <f>-656.987949956242 -144.916511315327 -504.135441080146</f>
        <v>-1306.039902351715</v>
      </c>
      <c r="P2324">
        <f>-615.670018584203 -177.407337302725 -226.978808398717</f>
        <v>-1020.056164285645</v>
      </c>
      <c r="Q2324">
        <f>-467.747133768193 -70.7859732022359 -370.850988410232</f>
        <v>-909.38409538066094</v>
      </c>
      <c r="R2324" t="s">
        <v>45257</v>
      </c>
      <c r="S2324" t="s">
        <v>45258</v>
      </c>
      <c r="T2324" t="s">
        <v>45259</v>
      </c>
      <c r="U2324" t="s">
        <v>45260</v>
      </c>
      <c r="V2324">
        <f>-595.65429353429 -49.7717681559498 -92.6409043874775</f>
        <v>-738.06696607771721</v>
      </c>
      <c r="W2324" t="s">
        <v>45261</v>
      </c>
      <c r="X2324" t="s">
        <v>45262</v>
      </c>
      <c r="Y2324" t="s">
        <v>45263</v>
      </c>
    </row>
    <row r="2325" spans="1:25" x14ac:dyDescent="0.3">
      <c r="A2325">
        <v>116200</v>
      </c>
      <c r="B2325" t="s">
        <v>45264</v>
      </c>
      <c r="C2325" t="s">
        <v>45265</v>
      </c>
      <c r="D2325" t="s">
        <v>45266</v>
      </c>
      <c r="E2325" t="s">
        <v>45267</v>
      </c>
      <c r="F2325" t="s">
        <v>45268</v>
      </c>
      <c r="G2325" t="s">
        <v>45269</v>
      </c>
      <c r="H2325" t="s">
        <v>45270</v>
      </c>
      <c r="I2325" t="s">
        <v>45271</v>
      </c>
      <c r="J2325" t="s">
        <v>45272</v>
      </c>
      <c r="K2325" t="s">
        <v>45273</v>
      </c>
      <c r="L2325" t="s">
        <v>45274</v>
      </c>
      <c r="M2325" t="s">
        <v>45275</v>
      </c>
      <c r="N2325" t="s">
        <v>45276</v>
      </c>
      <c r="O2325">
        <f>-654.581360726056 -144.600660464473 -504.332441864247</f>
        <v>-1303.5144630547761</v>
      </c>
      <c r="P2325">
        <f>-613.759443406844 -177.214205246111 -227.116872140231</f>
        <v>-1018.090520793186</v>
      </c>
      <c r="Q2325">
        <f>-465.750939821918 -69.8251227189237 -370.328525992022</f>
        <v>-905.90458853286373</v>
      </c>
      <c r="R2325" t="s">
        <v>45277</v>
      </c>
      <c r="S2325" t="s">
        <v>45278</v>
      </c>
      <c r="T2325" t="s">
        <v>45279</v>
      </c>
      <c r="U2325" t="s">
        <v>45280</v>
      </c>
      <c r="V2325">
        <f>-594.954867527607 -49.4179748162182 -92.6196103250152</f>
        <v>-736.99245266884043</v>
      </c>
      <c r="W2325" t="s">
        <v>45281</v>
      </c>
      <c r="X2325" t="s">
        <v>45282</v>
      </c>
      <c r="Y2325" t="s">
        <v>45283</v>
      </c>
    </row>
    <row r="2326" spans="1:25" x14ac:dyDescent="0.3">
      <c r="A2326">
        <v>116250</v>
      </c>
      <c r="B2326" t="s">
        <v>45284</v>
      </c>
      <c r="C2326" t="s">
        <v>45285</v>
      </c>
      <c r="D2326" t="s">
        <v>45286</v>
      </c>
      <c r="E2326" t="s">
        <v>45287</v>
      </c>
      <c r="F2326" t="s">
        <v>45288</v>
      </c>
      <c r="G2326" t="s">
        <v>45289</v>
      </c>
      <c r="H2326" t="s">
        <v>45290</v>
      </c>
      <c r="I2326" t="s">
        <v>45291</v>
      </c>
      <c r="J2326" t="s">
        <v>45292</v>
      </c>
      <c r="K2326" t="s">
        <v>45293</v>
      </c>
      <c r="L2326" t="s">
        <v>45294</v>
      </c>
      <c r="M2326" t="s">
        <v>45295</v>
      </c>
      <c r="N2326" t="s">
        <v>45296</v>
      </c>
      <c r="O2326">
        <f>-653.551263838323 -144.520825465578 -504.381503435595</f>
        <v>-1302.4535927394961</v>
      </c>
      <c r="P2326">
        <f>-612.919744003466 -177.074172587523 -227.13081592542</f>
        <v>-1017.124732516409</v>
      </c>
      <c r="Q2326">
        <f>-464.97528827483 -69.4597614062038 -370.239557128672</f>
        <v>-904.67460680970578</v>
      </c>
      <c r="R2326" t="s">
        <v>45297</v>
      </c>
      <c r="S2326" t="s">
        <v>45298</v>
      </c>
      <c r="T2326" t="s">
        <v>45299</v>
      </c>
      <c r="U2326" t="s">
        <v>45300</v>
      </c>
      <c r="V2326">
        <f>-594.662691075091 -49.3254066853565 -92.6053829031714</f>
        <v>-736.59348066361883</v>
      </c>
      <c r="W2326" t="s">
        <v>45301</v>
      </c>
      <c r="X2326" t="s">
        <v>45302</v>
      </c>
      <c r="Y2326" t="s">
        <v>45303</v>
      </c>
    </row>
    <row r="2327" spans="1:25" x14ac:dyDescent="0.3">
      <c r="A2327">
        <v>116300</v>
      </c>
      <c r="B2327" t="s">
        <v>45304</v>
      </c>
      <c r="C2327" t="s">
        <v>45305</v>
      </c>
      <c r="D2327" t="s">
        <v>45306</v>
      </c>
      <c r="E2327" t="s">
        <v>45307</v>
      </c>
      <c r="F2327" t="s">
        <v>45308</v>
      </c>
      <c r="G2327" t="s">
        <v>45309</v>
      </c>
      <c r="H2327" t="s">
        <v>45310</v>
      </c>
      <c r="I2327" t="s">
        <v>45311</v>
      </c>
      <c r="J2327" t="s">
        <v>45312</v>
      </c>
      <c r="K2327" t="s">
        <v>45313</v>
      </c>
      <c r="L2327" t="s">
        <v>45314</v>
      </c>
      <c r="M2327" t="s">
        <v>45315</v>
      </c>
      <c r="N2327" t="s">
        <v>45316</v>
      </c>
      <c r="O2327">
        <f>-651.831914057448 -144.331810753361 -504.443996782025</f>
        <v>-1300.607721592834</v>
      </c>
      <c r="P2327">
        <f>-611.561227642002 -176.465468070869 -227.091735310757</f>
        <v>-1015.1184310236281</v>
      </c>
      <c r="Q2327">
        <f>-463.580402323006 -68.8277798671309 -370.145256999837</f>
        <v>-902.55343918997391</v>
      </c>
      <c r="R2327" t="s">
        <v>45317</v>
      </c>
      <c r="S2327" t="s">
        <v>45318</v>
      </c>
      <c r="T2327" t="s">
        <v>45319</v>
      </c>
      <c r="U2327" t="s">
        <v>45320</v>
      </c>
      <c r="V2327">
        <f>-594.105099409024 -49.083706069285 -92.6055976638321</f>
        <v>-735.79440314214105</v>
      </c>
      <c r="W2327" t="s">
        <v>45321</v>
      </c>
      <c r="X2327" t="s">
        <v>45322</v>
      </c>
      <c r="Y2327" t="s">
        <v>45323</v>
      </c>
    </row>
    <row r="2328" spans="1:25" x14ac:dyDescent="0.3">
      <c r="A2328">
        <v>116350</v>
      </c>
      <c r="B2328" t="s">
        <v>45324</v>
      </c>
      <c r="C2328" t="s">
        <v>45325</v>
      </c>
      <c r="D2328" t="s">
        <v>45326</v>
      </c>
      <c r="E2328" t="s">
        <v>45327</v>
      </c>
      <c r="F2328" t="s">
        <v>45328</v>
      </c>
      <c r="G2328" t="s">
        <v>45329</v>
      </c>
      <c r="H2328" t="s">
        <v>45330</v>
      </c>
      <c r="I2328" t="s">
        <v>45331</v>
      </c>
      <c r="J2328" t="s">
        <v>45332</v>
      </c>
      <c r="K2328" t="s">
        <v>45333</v>
      </c>
      <c r="L2328" t="s">
        <v>45334</v>
      </c>
      <c r="M2328" t="s">
        <v>45335</v>
      </c>
      <c r="N2328" t="s">
        <v>45336</v>
      </c>
      <c r="O2328">
        <f>-651.091797410168 -144.248667592273 -504.467000753009</f>
        <v>-1299.80746575545</v>
      </c>
      <c r="P2328">
        <f>-610.999232857342 -176.276622706363 -227.076762780762</f>
        <v>-1014.352618344467</v>
      </c>
      <c r="Q2328">
        <f>-462.8962675704 -68.6557434533142 -370.016603724497</f>
        <v>-901.5686147482113</v>
      </c>
      <c r="R2328" t="s">
        <v>45337</v>
      </c>
      <c r="S2328" t="s">
        <v>45338</v>
      </c>
      <c r="T2328" t="s">
        <v>45339</v>
      </c>
      <c r="U2328" t="s">
        <v>45340</v>
      </c>
      <c r="V2328">
        <f>-593.884492313987 -48.9696957288534 -92.6003280966586</f>
        <v>-735.45451613949899</v>
      </c>
      <c r="W2328" t="s">
        <v>45341</v>
      </c>
      <c r="X2328" t="s">
        <v>45342</v>
      </c>
      <c r="Y2328" t="s">
        <v>45343</v>
      </c>
    </row>
    <row r="2329" spans="1:25" x14ac:dyDescent="0.3">
      <c r="A2329">
        <v>116400</v>
      </c>
      <c r="B2329" t="s">
        <v>45344</v>
      </c>
      <c r="C2329" t="s">
        <v>45345</v>
      </c>
      <c r="D2329" t="s">
        <v>45346</v>
      </c>
      <c r="E2329" t="s">
        <v>45347</v>
      </c>
      <c r="F2329" t="s">
        <v>45348</v>
      </c>
      <c r="G2329" t="s">
        <v>45349</v>
      </c>
      <c r="H2329" t="s">
        <v>45350</v>
      </c>
      <c r="I2329" t="s">
        <v>45351</v>
      </c>
      <c r="J2329" t="s">
        <v>45352</v>
      </c>
      <c r="K2329" t="s">
        <v>45353</v>
      </c>
      <c r="L2329" t="s">
        <v>45354</v>
      </c>
      <c r="M2329" t="s">
        <v>45355</v>
      </c>
      <c r="N2329" t="s">
        <v>45356</v>
      </c>
      <c r="O2329">
        <f>-649.81955266681 -144.012561778432 -504.456618145318</f>
        <v>-1298.2887325905599</v>
      </c>
      <c r="P2329">
        <f>-609.809424192727 -176.040612067895 -227.054455923028</f>
        <v>-1012.9044921836501</v>
      </c>
      <c r="Q2329">
        <f>-461.476721223428 -68.2781456560717 -369.649011941303</f>
        <v>-899.40387882080267</v>
      </c>
      <c r="R2329" t="s">
        <v>45357</v>
      </c>
      <c r="S2329" t="s">
        <v>45358</v>
      </c>
      <c r="T2329" t="s">
        <v>45359</v>
      </c>
      <c r="U2329" t="s">
        <v>45360</v>
      </c>
      <c r="V2329">
        <f>-593.390329878784 -48.7654090810836 -92.5740154334256</f>
        <v>-734.72975439329321</v>
      </c>
      <c r="W2329" t="s">
        <v>45361</v>
      </c>
      <c r="X2329" t="s">
        <v>45362</v>
      </c>
      <c r="Y2329" t="s">
        <v>45363</v>
      </c>
    </row>
    <row r="2330" spans="1:25" x14ac:dyDescent="0.3">
      <c r="A2330">
        <v>116450</v>
      </c>
      <c r="B2330" t="s">
        <v>45364</v>
      </c>
      <c r="C2330" t="s">
        <v>45365</v>
      </c>
      <c r="D2330" t="s">
        <v>45366</v>
      </c>
      <c r="E2330" t="s">
        <v>45367</v>
      </c>
      <c r="F2330" t="s">
        <v>45368</v>
      </c>
      <c r="G2330" t="s">
        <v>45369</v>
      </c>
      <c r="H2330" t="s">
        <v>45370</v>
      </c>
      <c r="I2330" t="s">
        <v>45371</v>
      </c>
      <c r="J2330" t="s">
        <v>45372</v>
      </c>
      <c r="K2330" t="s">
        <v>45373</v>
      </c>
      <c r="L2330" t="s">
        <v>45374</v>
      </c>
      <c r="M2330" t="s">
        <v>45375</v>
      </c>
      <c r="N2330" t="s">
        <v>45376</v>
      </c>
      <c r="O2330">
        <f>-649.286248545474 -143.986902587201 -504.434093553761</f>
        <v>-1297.7072446864361</v>
      </c>
      <c r="P2330">
        <f>-609.275409391194 -175.915304833389 -227.020337959609</f>
        <v>-1012.211052184192</v>
      </c>
      <c r="Q2330">
        <f>-460.887553573703 -68.0904712874144 -369.510213348678</f>
        <v>-898.48823820979533</v>
      </c>
      <c r="R2330" t="s">
        <v>45377</v>
      </c>
      <c r="S2330" t="s">
        <v>45378</v>
      </c>
      <c r="T2330" t="s">
        <v>45379</v>
      </c>
      <c r="U2330" t="s">
        <v>45380</v>
      </c>
      <c r="V2330">
        <f>-593.118290418416 -48.7333436592512 -92.5626167981462</f>
        <v>-734.41425087581342</v>
      </c>
      <c r="W2330" t="s">
        <v>45381</v>
      </c>
      <c r="X2330" t="s">
        <v>45382</v>
      </c>
      <c r="Y2330" t="s">
        <v>45383</v>
      </c>
    </row>
    <row r="2331" spans="1:25" x14ac:dyDescent="0.3">
      <c r="A2331">
        <v>116500</v>
      </c>
      <c r="B2331" t="s">
        <v>45384</v>
      </c>
      <c r="C2331" t="s">
        <v>45385</v>
      </c>
      <c r="D2331" t="s">
        <v>45386</v>
      </c>
      <c r="E2331" t="s">
        <v>45387</v>
      </c>
      <c r="F2331" t="s">
        <v>45388</v>
      </c>
      <c r="G2331" t="s">
        <v>45389</v>
      </c>
      <c r="H2331" t="s">
        <v>45390</v>
      </c>
      <c r="I2331" t="s">
        <v>45391</v>
      </c>
      <c r="J2331" t="s">
        <v>45392</v>
      </c>
      <c r="K2331" t="s">
        <v>45393</v>
      </c>
      <c r="L2331" t="s">
        <v>45394</v>
      </c>
      <c r="M2331" t="s">
        <v>45395</v>
      </c>
      <c r="N2331" t="s">
        <v>45396</v>
      </c>
      <c r="O2331">
        <f>-648.399908331046 -143.805859793601 -504.403628486094</f>
        <v>-1296.609396610741</v>
      </c>
      <c r="P2331">
        <f>-608.470212791636 -175.591048853009 -226.961943291517</f>
        <v>-1011.0232049361618</v>
      </c>
      <c r="Q2331">
        <f>-459.978165712372 -67.5685728700114 -369.193440618061</f>
        <v>-896.74017920044435</v>
      </c>
      <c r="R2331" t="s">
        <v>45397</v>
      </c>
      <c r="S2331" t="s">
        <v>45398</v>
      </c>
      <c r="T2331" t="s">
        <v>45399</v>
      </c>
      <c r="U2331" t="s">
        <v>45400</v>
      </c>
      <c r="V2331">
        <f>-592.496780710377 -48.5550923393832 -92.5340704170147</f>
        <v>-733.58594346677501</v>
      </c>
      <c r="W2331" t="s">
        <v>45401</v>
      </c>
      <c r="X2331" t="s">
        <v>45402</v>
      </c>
      <c r="Y2331" t="s">
        <v>45403</v>
      </c>
    </row>
    <row r="2332" spans="1:25" x14ac:dyDescent="0.3">
      <c r="A2332">
        <v>116550</v>
      </c>
      <c r="B2332" t="s">
        <v>45404</v>
      </c>
      <c r="C2332" t="s">
        <v>45405</v>
      </c>
      <c r="D2332" t="s">
        <v>45406</v>
      </c>
      <c r="E2332" t="s">
        <v>45407</v>
      </c>
      <c r="F2332" t="s">
        <v>45408</v>
      </c>
      <c r="G2332" t="s">
        <v>45409</v>
      </c>
      <c r="H2332" t="s">
        <v>45410</v>
      </c>
      <c r="I2332" t="s">
        <v>45411</v>
      </c>
      <c r="J2332" t="s">
        <v>45412</v>
      </c>
      <c r="K2332" t="s">
        <v>45413</v>
      </c>
      <c r="L2332" t="s">
        <v>45414</v>
      </c>
      <c r="M2332" t="s">
        <v>45415</v>
      </c>
      <c r="N2332" t="s">
        <v>45416</v>
      </c>
      <c r="O2332">
        <f>-648.041850917969 -143.683864483807 -504.408732675295</f>
        <v>-1296.1344480770711</v>
      </c>
      <c r="P2332">
        <f>-608.15498129121 -175.45397617512 -226.959076964126</f>
        <v>-1010.568034430456</v>
      </c>
      <c r="Q2332">
        <f>-459.583176336651 -67.346881712707 -369.04282268463</f>
        <v>-895.97288073398795</v>
      </c>
      <c r="R2332" t="s">
        <v>45417</v>
      </c>
      <c r="S2332" t="s">
        <v>45418</v>
      </c>
      <c r="T2332" t="s">
        <v>45419</v>
      </c>
      <c r="U2332" t="s">
        <v>45420</v>
      </c>
      <c r="V2332">
        <f>-592.175022664822 -48.4942575846533 -92.5075783988422</f>
        <v>-733.17685864831742</v>
      </c>
      <c r="W2332" t="s">
        <v>45421</v>
      </c>
      <c r="X2332" t="s">
        <v>45422</v>
      </c>
      <c r="Y2332" t="s">
        <v>45423</v>
      </c>
    </row>
    <row r="2333" spans="1:25" x14ac:dyDescent="0.3">
      <c r="A2333">
        <v>116600</v>
      </c>
      <c r="B2333" t="s">
        <v>45424</v>
      </c>
      <c r="C2333" t="s">
        <v>45425</v>
      </c>
      <c r="D2333" t="s">
        <v>45426</v>
      </c>
      <c r="E2333" t="s">
        <v>45427</v>
      </c>
      <c r="F2333" t="s">
        <v>45428</v>
      </c>
      <c r="G2333" t="s">
        <v>45429</v>
      </c>
      <c r="H2333" t="s">
        <v>45430</v>
      </c>
      <c r="I2333" t="s">
        <v>45431</v>
      </c>
      <c r="J2333" t="s">
        <v>45432</v>
      </c>
      <c r="K2333" t="s">
        <v>45433</v>
      </c>
      <c r="L2333" t="s">
        <v>45434</v>
      </c>
      <c r="M2333" t="s">
        <v>45435</v>
      </c>
      <c r="N2333" t="s">
        <v>45436</v>
      </c>
      <c r="O2333">
        <f>-647.284496780644 -143.437329853309 -504.446346568016</f>
        <v>-1295.168173201969</v>
      </c>
      <c r="P2333">
        <f>-607.405615262687 -175.393232387068 -227.016801124769</f>
        <v>-1009.815648774524</v>
      </c>
      <c r="Q2333">
        <f>-458.850968852532 -66.9284009872752 -368.84574657675</f>
        <v>-894.62511641655715</v>
      </c>
      <c r="R2333" t="s">
        <v>45437</v>
      </c>
      <c r="S2333" t="s">
        <v>45438</v>
      </c>
      <c r="T2333" t="s">
        <v>45439</v>
      </c>
      <c r="U2333" t="s">
        <v>45440</v>
      </c>
      <c r="V2333">
        <f>-591.542473518514 -48.3588423498566 -92.470980079618</f>
        <v>-732.37229594798862</v>
      </c>
      <c r="W2333" t="s">
        <v>45441</v>
      </c>
      <c r="X2333" t="s">
        <v>45442</v>
      </c>
      <c r="Y2333" t="s">
        <v>45443</v>
      </c>
    </row>
    <row r="2334" spans="1:25" x14ac:dyDescent="0.3">
      <c r="A2334">
        <v>116650</v>
      </c>
      <c r="B2334" t="s">
        <v>45444</v>
      </c>
      <c r="C2334" t="s">
        <v>45445</v>
      </c>
      <c r="D2334" t="s">
        <v>45446</v>
      </c>
      <c r="E2334" t="s">
        <v>45447</v>
      </c>
      <c r="F2334" t="s">
        <v>45448</v>
      </c>
      <c r="G2334" t="s">
        <v>45449</v>
      </c>
      <c r="H2334" t="s">
        <v>45450</v>
      </c>
      <c r="I2334" t="s">
        <v>45451</v>
      </c>
      <c r="J2334" t="s">
        <v>45452</v>
      </c>
      <c r="K2334" t="s">
        <v>45453</v>
      </c>
      <c r="L2334" t="s">
        <v>45454</v>
      </c>
      <c r="M2334" t="s">
        <v>45455</v>
      </c>
      <c r="N2334" t="s">
        <v>45456</v>
      </c>
      <c r="O2334">
        <f>-647.034468975059 -143.326756063417 -504.469756262664</f>
        <v>-1294.8309813011401</v>
      </c>
      <c r="P2334">
        <f>-607.030590786869 -175.33195816197 -227.064145798699</f>
        <v>-1009.4266947475379</v>
      </c>
      <c r="Q2334">
        <f>-458.536922559679 -66.7397182188024 -368.859249215104</f>
        <v>-894.13588999358535</v>
      </c>
      <c r="R2334" t="s">
        <v>45457</v>
      </c>
      <c r="S2334" t="s">
        <v>45458</v>
      </c>
      <c r="T2334" t="s">
        <v>45459</v>
      </c>
      <c r="U2334" t="s">
        <v>45460</v>
      </c>
      <c r="V2334">
        <f>-591.272755535908 -48.381708626719 -92.458648046884</f>
        <v>-732.11311220951109</v>
      </c>
      <c r="W2334" t="s">
        <v>45461</v>
      </c>
      <c r="X2334" t="s">
        <v>45462</v>
      </c>
      <c r="Y2334" t="s">
        <v>45463</v>
      </c>
    </row>
    <row r="2335" spans="1:25" x14ac:dyDescent="0.3">
      <c r="A2335">
        <v>116700</v>
      </c>
      <c r="B2335" t="s">
        <v>45464</v>
      </c>
      <c r="C2335" t="s">
        <v>45465</v>
      </c>
      <c r="D2335" t="s">
        <v>45466</v>
      </c>
      <c r="E2335" t="s">
        <v>45467</v>
      </c>
      <c r="F2335" t="s">
        <v>45468</v>
      </c>
      <c r="G2335" t="s">
        <v>45469</v>
      </c>
      <c r="H2335" t="s">
        <v>45470</v>
      </c>
      <c r="I2335" t="s">
        <v>45471</v>
      </c>
      <c r="J2335" t="s">
        <v>45472</v>
      </c>
      <c r="K2335" t="s">
        <v>45473</v>
      </c>
      <c r="L2335" t="s">
        <v>45474</v>
      </c>
      <c r="M2335" t="s">
        <v>45475</v>
      </c>
      <c r="N2335" t="s">
        <v>45476</v>
      </c>
      <c r="O2335">
        <f>-646.676350389671 -143.119815266839 -504.474126129383</f>
        <v>-1294.2702917858931</v>
      </c>
      <c r="P2335">
        <f>-606.029045179867 -175.126970278112 -227.162182540507</f>
        <v>-1008.3181979984861</v>
      </c>
      <c r="Q2335">
        <f>-457.799115229711 -66.2517762382431 -369.016312763334</f>
        <v>-893.06720423128809</v>
      </c>
      <c r="R2335" t="s">
        <v>45477</v>
      </c>
      <c r="S2335" t="s">
        <v>45478</v>
      </c>
      <c r="T2335" t="s">
        <v>45479</v>
      </c>
      <c r="U2335" t="s">
        <v>45480</v>
      </c>
      <c r="V2335">
        <f>-590.67059932205 -48.3490920258701 -92.4281915840764</f>
        <v>-731.44788293199645</v>
      </c>
      <c r="W2335" t="s">
        <v>45481</v>
      </c>
      <c r="X2335" t="s">
        <v>45482</v>
      </c>
      <c r="Y2335" t="s">
        <v>45483</v>
      </c>
    </row>
    <row r="2336" spans="1:25" x14ac:dyDescent="0.3">
      <c r="A2336">
        <v>116750</v>
      </c>
      <c r="B2336" t="s">
        <v>45484</v>
      </c>
      <c r="C2336" t="s">
        <v>45485</v>
      </c>
      <c r="D2336" t="s">
        <v>45486</v>
      </c>
      <c r="E2336" t="s">
        <v>45487</v>
      </c>
      <c r="F2336" t="s">
        <v>45488</v>
      </c>
      <c r="G2336" t="s">
        <v>45489</v>
      </c>
      <c r="H2336" t="s">
        <v>45490</v>
      </c>
      <c r="I2336" t="s">
        <v>45491</v>
      </c>
      <c r="J2336" t="s">
        <v>45492</v>
      </c>
      <c r="K2336" t="s">
        <v>45493</v>
      </c>
      <c r="L2336" t="s">
        <v>45494</v>
      </c>
      <c r="M2336" t="s">
        <v>45495</v>
      </c>
      <c r="N2336" t="s">
        <v>45496</v>
      </c>
      <c r="O2336">
        <f>-646.528829259201 -142.977057682873 -504.489363693219</f>
        <v>-1293.9952506352929</v>
      </c>
      <c r="P2336">
        <f>-605.425500394134 -174.926536117682 -227.237892662265</f>
        <v>-1007.589929174081</v>
      </c>
      <c r="Q2336">
        <f>-457.426316239799 -65.8633375914412 -369.188371666237</f>
        <v>-892.47802549747723</v>
      </c>
      <c r="R2336" t="s">
        <v>45497</v>
      </c>
      <c r="S2336" t="s">
        <v>45498</v>
      </c>
      <c r="T2336" t="s">
        <v>45499</v>
      </c>
      <c r="U2336" t="s">
        <v>45500</v>
      </c>
      <c r="V2336">
        <f>-590.367660757327 -48.3012437169168 -92.4038405583875</f>
        <v>-731.07274503263136</v>
      </c>
      <c r="W2336" t="s">
        <v>45501</v>
      </c>
      <c r="X2336" t="s">
        <v>45502</v>
      </c>
      <c r="Y2336" t="s">
        <v>45503</v>
      </c>
    </row>
    <row r="2337" spans="1:25" x14ac:dyDescent="0.3">
      <c r="A2337">
        <v>116800</v>
      </c>
      <c r="B2337" t="s">
        <v>45504</v>
      </c>
      <c r="C2337" t="s">
        <v>45505</v>
      </c>
      <c r="D2337" t="s">
        <v>45506</v>
      </c>
      <c r="E2337" t="s">
        <v>45507</v>
      </c>
      <c r="F2337" t="s">
        <v>45508</v>
      </c>
      <c r="G2337" t="s">
        <v>45509</v>
      </c>
      <c r="H2337" t="s">
        <v>45510</v>
      </c>
      <c r="I2337" t="s">
        <v>45511</v>
      </c>
      <c r="J2337" t="s">
        <v>45512</v>
      </c>
      <c r="K2337" t="s">
        <v>45513</v>
      </c>
      <c r="L2337" t="s">
        <v>45514</v>
      </c>
      <c r="M2337" t="s">
        <v>45515</v>
      </c>
      <c r="N2337" t="s">
        <v>45516</v>
      </c>
      <c r="O2337">
        <f>-646.185922532403 -142.641642458283 -504.583086986861</f>
        <v>-1293.4106519775469</v>
      </c>
      <c r="P2337">
        <f>-604.174314238336 -174.669831136325 -227.477015375313</f>
        <v>-1006.3211607499741</v>
      </c>
      <c r="Q2337">
        <f>-456.800410081905 -65.0891044350794 -369.679502868765</f>
        <v>-891.56901738574936</v>
      </c>
      <c r="R2337" t="s">
        <v>45517</v>
      </c>
      <c r="S2337" t="s">
        <v>45518</v>
      </c>
      <c r="T2337" t="s">
        <v>45519</v>
      </c>
      <c r="U2337" t="s">
        <v>45520</v>
      </c>
      <c r="V2337">
        <f>-589.787333115102 -48.1166403632194 -92.3552554330983</f>
        <v>-730.25922891141977</v>
      </c>
      <c r="W2337" t="s">
        <v>45521</v>
      </c>
      <c r="X2337" t="s">
        <v>45522</v>
      </c>
      <c r="Y2337" t="s">
        <v>45523</v>
      </c>
    </row>
    <row r="2338" spans="1:25" x14ac:dyDescent="0.3">
      <c r="A2338">
        <v>116850</v>
      </c>
      <c r="B2338" t="s">
        <v>45524</v>
      </c>
      <c r="C2338" t="s">
        <v>45525</v>
      </c>
      <c r="D2338" t="s">
        <v>45526</v>
      </c>
      <c r="E2338" t="s">
        <v>45527</v>
      </c>
      <c r="F2338" t="s">
        <v>45528</v>
      </c>
      <c r="G2338" t="s">
        <v>45529</v>
      </c>
      <c r="H2338" t="s">
        <v>45530</v>
      </c>
      <c r="I2338" t="s">
        <v>45531</v>
      </c>
      <c r="J2338" t="s">
        <v>45532</v>
      </c>
      <c r="K2338" t="s">
        <v>45533</v>
      </c>
      <c r="L2338" t="s">
        <v>45534</v>
      </c>
      <c r="M2338" t="s">
        <v>45535</v>
      </c>
      <c r="N2338" t="s">
        <v>45536</v>
      </c>
      <c r="O2338">
        <f>-646.059806229628 -142.437611910127 -504.640247471725</f>
        <v>-1293.1376656114799</v>
      </c>
      <c r="P2338">
        <f>-603.562050153042 -174.539776281296 -227.616801158137</f>
        <v>-1005.7186275924751</v>
      </c>
      <c r="Q2338">
        <f>-456.639755187854 -64.5530211860182 -369.97298894958</f>
        <v>-891.16576532345221</v>
      </c>
      <c r="R2338" t="s">
        <v>45537</v>
      </c>
      <c r="S2338" t="s">
        <v>45538</v>
      </c>
      <c r="T2338" t="s">
        <v>45539</v>
      </c>
      <c r="U2338" t="s">
        <v>45540</v>
      </c>
      <c r="V2338">
        <f>-589.541601531487 -47.9714621865012 -92.3317702150973</f>
        <v>-729.84483393308551</v>
      </c>
      <c r="W2338" t="s">
        <v>45541</v>
      </c>
      <c r="X2338" t="s">
        <v>45542</v>
      </c>
      <c r="Y2338" t="s">
        <v>45543</v>
      </c>
    </row>
    <row r="2339" spans="1:25" x14ac:dyDescent="0.3">
      <c r="A2339">
        <v>116900</v>
      </c>
      <c r="B2339" t="s">
        <v>45544</v>
      </c>
      <c r="C2339" t="s">
        <v>45545</v>
      </c>
      <c r="D2339" t="s">
        <v>45546</v>
      </c>
      <c r="E2339" t="s">
        <v>45547</v>
      </c>
      <c r="F2339" t="s">
        <v>45548</v>
      </c>
      <c r="G2339" t="s">
        <v>45549</v>
      </c>
      <c r="H2339" t="s">
        <v>45550</v>
      </c>
      <c r="I2339" t="s">
        <v>45551</v>
      </c>
      <c r="J2339" t="s">
        <v>45552</v>
      </c>
      <c r="K2339" t="s">
        <v>45553</v>
      </c>
      <c r="L2339" t="s">
        <v>45554</v>
      </c>
      <c r="M2339" t="s">
        <v>45555</v>
      </c>
      <c r="N2339" t="s">
        <v>45556</v>
      </c>
      <c r="O2339">
        <f>-645.829508244429 -141.864470905663 -504.78935469508</f>
        <v>-1292.483333845172</v>
      </c>
      <c r="P2339">
        <f>-602.32581142646 -174.212295744658 -227.9507201261</f>
        <v>-1004.488827297218</v>
      </c>
      <c r="Q2339">
        <f>-456.411545942281 -63.0801585898002 -370.454083156767</f>
        <v>-889.94578768884821</v>
      </c>
      <c r="R2339" t="s">
        <v>45557</v>
      </c>
      <c r="S2339" t="s">
        <v>45558</v>
      </c>
      <c r="T2339" t="s">
        <v>45559</v>
      </c>
      <c r="U2339" t="s">
        <v>45560</v>
      </c>
      <c r="V2339">
        <f>-589.26415102322 -47.6850139680164 -92.2941483308565</f>
        <v>-729.24331332209294</v>
      </c>
      <c r="W2339" t="s">
        <v>45561</v>
      </c>
      <c r="X2339" t="s">
        <v>45562</v>
      </c>
      <c r="Y2339" t="s">
        <v>45563</v>
      </c>
    </row>
    <row r="2340" spans="1:25" x14ac:dyDescent="0.3">
      <c r="A2340">
        <v>116950</v>
      </c>
      <c r="B2340" t="s">
        <v>45564</v>
      </c>
      <c r="C2340" t="s">
        <v>45565</v>
      </c>
      <c r="D2340" t="s">
        <v>45566</v>
      </c>
      <c r="E2340" t="s">
        <v>45567</v>
      </c>
      <c r="F2340" t="s">
        <v>45568</v>
      </c>
      <c r="G2340" t="s">
        <v>45569</v>
      </c>
      <c r="H2340" t="s">
        <v>45570</v>
      </c>
      <c r="I2340" t="s">
        <v>45571</v>
      </c>
      <c r="J2340" t="s">
        <v>45572</v>
      </c>
      <c r="K2340" t="s">
        <v>45573</v>
      </c>
      <c r="L2340" t="s">
        <v>45574</v>
      </c>
      <c r="M2340" t="s">
        <v>45575</v>
      </c>
      <c r="N2340" t="s">
        <v>45576</v>
      </c>
      <c r="O2340">
        <f>-645.595586570101 -141.50827003601 -504.950153551939</f>
        <v>-1292.05401015805</v>
      </c>
      <c r="P2340">
        <f>-601.702839965071 -174.011471891777 -228.191207873737</f>
        <v>-1003.905519730585</v>
      </c>
      <c r="Q2340">
        <f>-456.230200682371 -62.2363460214467 -370.643153533009</f>
        <v>-889.10970023682671</v>
      </c>
      <c r="R2340" t="s">
        <v>45577</v>
      </c>
      <c r="S2340" t="s">
        <v>45578</v>
      </c>
      <c r="T2340" t="s">
        <v>45579</v>
      </c>
      <c r="U2340" t="s">
        <v>45580</v>
      </c>
      <c r="V2340">
        <f>-589.219830355373 -47.533883234637 -92.2850301531172</f>
        <v>-729.03874374312716</v>
      </c>
      <c r="W2340" t="s">
        <v>45581</v>
      </c>
      <c r="X2340" t="s">
        <v>45582</v>
      </c>
      <c r="Y2340" t="s">
        <v>45583</v>
      </c>
    </row>
    <row r="2341" spans="1:25" x14ac:dyDescent="0.3">
      <c r="A2341">
        <v>117000</v>
      </c>
      <c r="B2341" t="s">
        <v>45584</v>
      </c>
      <c r="C2341" t="s">
        <v>45585</v>
      </c>
      <c r="D2341" t="s">
        <v>45586</v>
      </c>
      <c r="E2341" t="s">
        <v>45587</v>
      </c>
      <c r="F2341" t="s">
        <v>45588</v>
      </c>
      <c r="G2341" t="s">
        <v>45589</v>
      </c>
      <c r="H2341" t="s">
        <v>45590</v>
      </c>
      <c r="I2341" t="s">
        <v>45591</v>
      </c>
      <c r="J2341" t="s">
        <v>45592</v>
      </c>
      <c r="K2341" t="s">
        <v>45593</v>
      </c>
      <c r="L2341" t="s">
        <v>45594</v>
      </c>
      <c r="M2341" t="s">
        <v>45595</v>
      </c>
      <c r="N2341" t="s">
        <v>45596</v>
      </c>
      <c r="O2341">
        <f>-645.161789857247 -140.865095099193 -505.313956460578</f>
        <v>-1291.3408414170181</v>
      </c>
      <c r="P2341">
        <f>-600.40534825654 -173.962870460965 -228.763721806107</f>
        <v>-1003.131940523612</v>
      </c>
      <c r="Q2341">
        <f>-455.770571357797 -60.4339647071574 -370.681099433304</f>
        <v>-886.88563549825835</v>
      </c>
      <c r="R2341" t="s">
        <v>45597</v>
      </c>
      <c r="S2341" t="s">
        <v>45598</v>
      </c>
      <c r="T2341" t="s">
        <v>45599</v>
      </c>
      <c r="U2341" t="s">
        <v>45600</v>
      </c>
      <c r="V2341">
        <f>-589.186570374423 -47.1292659515702 -92.2577661461105</f>
        <v>-728.57360247210374</v>
      </c>
      <c r="W2341" t="s">
        <v>45601</v>
      </c>
      <c r="X2341" t="s">
        <v>45602</v>
      </c>
      <c r="Y2341" t="s">
        <v>45603</v>
      </c>
    </row>
    <row r="2342" spans="1:25" x14ac:dyDescent="0.3">
      <c r="A2342">
        <v>117050</v>
      </c>
      <c r="B2342" t="s">
        <v>45604</v>
      </c>
      <c r="C2342" t="s">
        <v>45605</v>
      </c>
      <c r="D2342" t="s">
        <v>45606</v>
      </c>
      <c r="E2342" t="s">
        <v>45607</v>
      </c>
      <c r="F2342" t="s">
        <v>45608</v>
      </c>
      <c r="G2342" t="s">
        <v>45609</v>
      </c>
      <c r="H2342" t="s">
        <v>45610</v>
      </c>
      <c r="I2342" t="s">
        <v>45611</v>
      </c>
      <c r="J2342" t="s">
        <v>45612</v>
      </c>
      <c r="K2342" t="s">
        <v>45613</v>
      </c>
      <c r="L2342" t="s">
        <v>45614</v>
      </c>
      <c r="M2342" t="s">
        <v>45615</v>
      </c>
      <c r="N2342" t="s">
        <v>45616</v>
      </c>
      <c r="O2342">
        <f>-645.003830483196 -140.610353912403 -505.415131354964</f>
        <v>-1291.029315750563</v>
      </c>
      <c r="P2342">
        <f>-599.908042378622 -173.92313290419 -228.946036102325</f>
        <v>-1002.777211385137</v>
      </c>
      <c r="Q2342">
        <f>-455.449394682484 -59.7231098817624 -370.503800423236</f>
        <v>-885.67630498748235</v>
      </c>
      <c r="R2342" t="s">
        <v>45617</v>
      </c>
      <c r="S2342" t="s">
        <v>45618</v>
      </c>
      <c r="T2342" t="s">
        <v>45619</v>
      </c>
      <c r="U2342" t="s">
        <v>45620</v>
      </c>
      <c r="V2342">
        <f>-589.15753173197 -46.9905995075144 -92.2533689384816</f>
        <v>-728.401500177966</v>
      </c>
      <c r="W2342" t="s">
        <v>45621</v>
      </c>
      <c r="X2342" t="s">
        <v>45622</v>
      </c>
      <c r="Y2342" t="s">
        <v>45623</v>
      </c>
    </row>
    <row r="2343" spans="1:25" x14ac:dyDescent="0.3">
      <c r="A2343">
        <v>117100</v>
      </c>
      <c r="B2343" t="s">
        <v>45624</v>
      </c>
      <c r="C2343" t="s">
        <v>45625</v>
      </c>
      <c r="D2343" t="s">
        <v>45626</v>
      </c>
      <c r="E2343" t="s">
        <v>45627</v>
      </c>
      <c r="F2343" t="s">
        <v>45628</v>
      </c>
      <c r="G2343" t="s">
        <v>45629</v>
      </c>
      <c r="H2343" t="s">
        <v>45630</v>
      </c>
      <c r="I2343" t="s">
        <v>45631</v>
      </c>
      <c r="J2343" t="s">
        <v>45632</v>
      </c>
      <c r="K2343" t="s">
        <v>45633</v>
      </c>
      <c r="L2343" t="s">
        <v>45634</v>
      </c>
      <c r="M2343" t="s">
        <v>45635</v>
      </c>
      <c r="N2343" t="s">
        <v>45636</v>
      </c>
      <c r="O2343">
        <f>-644.769443896666 -140.186799569238 -505.634649305051</f>
        <v>-1290.590892770955</v>
      </c>
      <c r="P2343">
        <f>-599.407353323647 -173.937684634138 -229.26215347454</f>
        <v>-1002.6071914323251</v>
      </c>
      <c r="Q2343">
        <f>-455.204245852832 -58.4987870601151 -370.073445843979</f>
        <v>-883.77647875692617</v>
      </c>
      <c r="R2343" t="s">
        <v>45637</v>
      </c>
      <c r="S2343" t="s">
        <v>45638</v>
      </c>
      <c r="T2343" t="s">
        <v>45639</v>
      </c>
      <c r="U2343" t="s">
        <v>45640</v>
      </c>
      <c r="V2343">
        <f>-589.080883854078 -46.7815202434435 -92.2590742114576</f>
        <v>-728.12147830897914</v>
      </c>
      <c r="W2343" t="s">
        <v>45641</v>
      </c>
      <c r="X2343" t="s">
        <v>45642</v>
      </c>
      <c r="Y2343" t="s">
        <v>45643</v>
      </c>
    </row>
    <row r="2344" spans="1:25" x14ac:dyDescent="0.3">
      <c r="A2344">
        <v>117150</v>
      </c>
      <c r="B2344" t="s">
        <v>45644</v>
      </c>
      <c r="C2344" t="s">
        <v>45645</v>
      </c>
      <c r="D2344" t="s">
        <v>45646</v>
      </c>
      <c r="E2344" t="s">
        <v>45647</v>
      </c>
      <c r="F2344" t="s">
        <v>45648</v>
      </c>
      <c r="G2344" t="s">
        <v>45649</v>
      </c>
      <c r="H2344" t="s">
        <v>45650</v>
      </c>
      <c r="I2344" t="s">
        <v>45651</v>
      </c>
      <c r="J2344" t="s">
        <v>45652</v>
      </c>
      <c r="K2344" t="s">
        <v>45653</v>
      </c>
      <c r="L2344" t="s">
        <v>45654</v>
      </c>
      <c r="M2344" t="s">
        <v>45655</v>
      </c>
      <c r="N2344" t="s">
        <v>45656</v>
      </c>
      <c r="O2344">
        <f>-644.70902701826 -139.951525135178 -505.757354277656</f>
        <v>-1290.417906431094</v>
      </c>
      <c r="P2344">
        <f>-599.324937190095 -173.903575013471 -229.413216467181</f>
        <v>-1002.6417286707471</v>
      </c>
      <c r="Q2344">
        <f>-455.147072979884 -57.9424989125755 -369.820836182415</f>
        <v>-882.91040807487457</v>
      </c>
      <c r="R2344" t="s">
        <v>45657</v>
      </c>
      <c r="S2344" t="s">
        <v>45658</v>
      </c>
      <c r="T2344" t="s">
        <v>45659</v>
      </c>
      <c r="U2344" t="s">
        <v>45660</v>
      </c>
      <c r="V2344">
        <f>-588.999739434835 -46.7245038773897 -92.2526717329212</f>
        <v>-727.9769150451458</v>
      </c>
      <c r="W2344" t="s">
        <v>45661</v>
      </c>
      <c r="X2344" t="s">
        <v>45662</v>
      </c>
      <c r="Y2344" t="s">
        <v>45663</v>
      </c>
    </row>
    <row r="2345" spans="1:25" x14ac:dyDescent="0.3">
      <c r="A2345">
        <v>117200</v>
      </c>
      <c r="B2345" t="s">
        <v>45664</v>
      </c>
      <c r="C2345" t="s">
        <v>45665</v>
      </c>
      <c r="D2345" t="s">
        <v>45666</v>
      </c>
      <c r="E2345" t="s">
        <v>45667</v>
      </c>
      <c r="F2345" t="s">
        <v>45668</v>
      </c>
      <c r="G2345" t="s">
        <v>45669</v>
      </c>
      <c r="H2345" t="s">
        <v>45670</v>
      </c>
      <c r="I2345" t="s">
        <v>45671</v>
      </c>
      <c r="J2345" t="s">
        <v>45672</v>
      </c>
      <c r="K2345" t="s">
        <v>45673</v>
      </c>
      <c r="L2345" t="s">
        <v>45674</v>
      </c>
      <c r="M2345" t="s">
        <v>45675</v>
      </c>
      <c r="N2345" t="s">
        <v>45676</v>
      </c>
      <c r="O2345">
        <f>-644.779927615769 -139.413593200659 -505.944438533425</f>
        <v>-1290.137959349853</v>
      </c>
      <c r="P2345">
        <f>-599.375772812696 -173.6617592493 -229.640079653384</f>
        <v>-1002.67761171538</v>
      </c>
      <c r="Q2345">
        <f>-455.141922031137 -56.9190410929264 -369.340659758377</f>
        <v>-881.40162288244039</v>
      </c>
      <c r="R2345" t="s">
        <v>45677</v>
      </c>
      <c r="S2345" t="s">
        <v>45678</v>
      </c>
      <c r="T2345" t="s">
        <v>45679</v>
      </c>
      <c r="U2345" t="s">
        <v>45680</v>
      </c>
      <c r="V2345">
        <f>-588.886745356168 -46.5072770242361 -92.224657759051</f>
        <v>-727.61868013945514</v>
      </c>
      <c r="W2345" t="s">
        <v>45681</v>
      </c>
      <c r="X2345" t="s">
        <v>45682</v>
      </c>
      <c r="Y2345" t="s">
        <v>45683</v>
      </c>
    </row>
    <row r="2346" spans="1:25" x14ac:dyDescent="0.3">
      <c r="A2346">
        <v>117250</v>
      </c>
      <c r="B2346" t="s">
        <v>45684</v>
      </c>
      <c r="C2346" t="s">
        <v>45685</v>
      </c>
      <c r="D2346" t="s">
        <v>45686</v>
      </c>
      <c r="E2346" t="s">
        <v>45687</v>
      </c>
      <c r="F2346" t="s">
        <v>45688</v>
      </c>
      <c r="G2346" t="s">
        <v>45689</v>
      </c>
      <c r="H2346" t="s">
        <v>45690</v>
      </c>
      <c r="I2346" t="s">
        <v>45691</v>
      </c>
      <c r="J2346" t="s">
        <v>45692</v>
      </c>
      <c r="K2346" t="s">
        <v>45693</v>
      </c>
      <c r="L2346" t="s">
        <v>45694</v>
      </c>
      <c r="M2346" t="s">
        <v>45695</v>
      </c>
      <c r="N2346" t="s">
        <v>45696</v>
      </c>
      <c r="O2346">
        <f>-644.838625438769 -139.146656517314 -506.031742824923</f>
        <v>-1290.0170247810061</v>
      </c>
      <c r="P2346">
        <f>-599.465315573366 -173.575688220915 -229.744860874718</f>
        <v>-1002.785864668999</v>
      </c>
      <c r="Q2346">
        <f>-455.164052674812 -56.5706799128895 -369.156077579335</f>
        <v>-880.89081016703653</v>
      </c>
      <c r="R2346" t="s">
        <v>45697</v>
      </c>
      <c r="S2346" t="s">
        <v>45698</v>
      </c>
      <c r="T2346" t="s">
        <v>45699</v>
      </c>
      <c r="U2346" t="s">
        <v>45700</v>
      </c>
      <c r="V2346">
        <f>-588.885985528507 -46.3726199187158 -92.2092778688987</f>
        <v>-727.46788331612152</v>
      </c>
      <c r="W2346" t="s">
        <v>45701</v>
      </c>
      <c r="X2346" t="s">
        <v>45702</v>
      </c>
      <c r="Y2346" t="s">
        <v>45703</v>
      </c>
    </row>
    <row r="2347" spans="1:25" x14ac:dyDescent="0.3">
      <c r="A2347">
        <v>117300</v>
      </c>
      <c r="B2347" t="s">
        <v>45704</v>
      </c>
      <c r="C2347" t="s">
        <v>45705</v>
      </c>
      <c r="D2347" t="s">
        <v>45706</v>
      </c>
      <c r="E2347" t="s">
        <v>45707</v>
      </c>
      <c r="F2347" t="s">
        <v>45708</v>
      </c>
      <c r="G2347" t="s">
        <v>45709</v>
      </c>
      <c r="H2347" t="s">
        <v>45710</v>
      </c>
      <c r="I2347" t="s">
        <v>45711</v>
      </c>
      <c r="J2347" t="s">
        <v>45712</v>
      </c>
      <c r="K2347" t="s">
        <v>45713</v>
      </c>
      <c r="L2347" t="s">
        <v>45714</v>
      </c>
      <c r="M2347" t="s">
        <v>45715</v>
      </c>
      <c r="N2347" t="s">
        <v>45716</v>
      </c>
      <c r="O2347">
        <f>-645.113072534821 -138.599757529711 -506.171858147122</f>
        <v>-1289.8846882116541</v>
      </c>
      <c r="P2347">
        <f>-599.718829800655 -173.239617859275 -229.914649394861</f>
        <v>-1002.8730970547911</v>
      </c>
      <c r="Q2347">
        <f>-455.148149897231 -55.9251577364842 -368.785688513652</f>
        <v>-879.85899614736718</v>
      </c>
      <c r="R2347" t="s">
        <v>45717</v>
      </c>
      <c r="S2347" t="s">
        <v>45718</v>
      </c>
      <c r="T2347" t="s">
        <v>45719</v>
      </c>
      <c r="U2347" t="s">
        <v>45720</v>
      </c>
      <c r="V2347">
        <f>-588.967659403323 -46.0059537384736 -92.1758495065003</f>
        <v>-727.14946264829689</v>
      </c>
      <c r="W2347" t="s">
        <v>45721</v>
      </c>
      <c r="X2347" t="s">
        <v>45722</v>
      </c>
      <c r="Y2347" t="s">
        <v>45723</v>
      </c>
    </row>
    <row r="2348" spans="1:25" x14ac:dyDescent="0.3">
      <c r="A2348">
        <v>117350</v>
      </c>
      <c r="B2348" t="s">
        <v>45724</v>
      </c>
      <c r="C2348" t="s">
        <v>45725</v>
      </c>
      <c r="D2348" t="s">
        <v>45726</v>
      </c>
      <c r="E2348" t="s">
        <v>45727</v>
      </c>
      <c r="F2348" t="s">
        <v>45728</v>
      </c>
      <c r="G2348" t="s">
        <v>45729</v>
      </c>
      <c r="H2348" t="s">
        <v>45730</v>
      </c>
      <c r="I2348" t="s">
        <v>45731</v>
      </c>
      <c r="J2348" t="s">
        <v>45732</v>
      </c>
      <c r="K2348" t="s">
        <v>45733</v>
      </c>
      <c r="L2348" t="s">
        <v>45734</v>
      </c>
      <c r="M2348" t="s">
        <v>45735</v>
      </c>
      <c r="N2348" t="s">
        <v>45736</v>
      </c>
      <c r="O2348">
        <f>-645.338067543999 -138.313457847338 -506.212404883534</f>
        <v>-1289.8639302748711</v>
      </c>
      <c r="P2348">
        <f>-599.884324502437 -173.122217635124 -229.98626310526</f>
        <v>-1002.9928052428211</v>
      </c>
      <c r="Q2348">
        <f>-455.227241578 -55.4921675017156 -368.499893775946</f>
        <v>-879.21930285566168</v>
      </c>
      <c r="R2348" t="s">
        <v>45737</v>
      </c>
      <c r="S2348" t="s">
        <v>45738</v>
      </c>
      <c r="T2348" t="s">
        <v>45739</v>
      </c>
      <c r="U2348" t="s">
        <v>45740</v>
      </c>
      <c r="V2348">
        <f>-589.062674232997 -45.8616708398076 -92.1652997746911</f>
        <v>-727.08964484749572</v>
      </c>
      <c r="W2348" t="s">
        <v>45741</v>
      </c>
      <c r="X2348" t="s">
        <v>45742</v>
      </c>
      <c r="Y2348" t="s">
        <v>45743</v>
      </c>
    </row>
    <row r="2349" spans="1:25" x14ac:dyDescent="0.3">
      <c r="A2349">
        <v>117400</v>
      </c>
      <c r="B2349" t="s">
        <v>45744</v>
      </c>
      <c r="C2349" t="s">
        <v>45745</v>
      </c>
      <c r="D2349" t="s">
        <v>45746</v>
      </c>
      <c r="E2349" t="s">
        <v>45747</v>
      </c>
      <c r="F2349" t="s">
        <v>45748</v>
      </c>
      <c r="G2349" t="s">
        <v>45749</v>
      </c>
      <c r="H2349" t="s">
        <v>45750</v>
      </c>
      <c r="I2349" t="s">
        <v>45751</v>
      </c>
      <c r="J2349" t="s">
        <v>45752</v>
      </c>
      <c r="K2349" t="s">
        <v>45753</v>
      </c>
      <c r="L2349" t="s">
        <v>45754</v>
      </c>
      <c r="M2349" t="s">
        <v>45755</v>
      </c>
      <c r="N2349" t="s">
        <v>45756</v>
      </c>
      <c r="O2349">
        <f>-645.966171235697 -137.853383664596 -506.298334106421</f>
        <v>-1290.117889006714</v>
      </c>
      <c r="P2349">
        <f>-600.378513907871 -172.772178226232 -230.1081517958</f>
        <v>-1003.258843929903</v>
      </c>
      <c r="Q2349">
        <f>-455.408304602043 -54.674423162114 -367.894560176809</f>
        <v>-877.97728794096611</v>
      </c>
      <c r="R2349" t="s">
        <v>45757</v>
      </c>
      <c r="S2349" t="s">
        <v>45758</v>
      </c>
      <c r="T2349" t="s">
        <v>45759</v>
      </c>
      <c r="U2349" t="s">
        <v>45760</v>
      </c>
      <c r="V2349">
        <f>-589.308648455567 -45.6345610583901 -92.1560178374115</f>
        <v>-727.09922735136854</v>
      </c>
      <c r="W2349" t="s">
        <v>45761</v>
      </c>
      <c r="X2349" t="s">
        <v>45762</v>
      </c>
      <c r="Y2349" t="s">
        <v>45763</v>
      </c>
    </row>
    <row r="2350" spans="1:25" x14ac:dyDescent="0.3">
      <c r="A2350">
        <v>117450</v>
      </c>
      <c r="B2350" t="s">
        <v>45764</v>
      </c>
      <c r="C2350" t="s">
        <v>45765</v>
      </c>
      <c r="D2350" t="s">
        <v>45766</v>
      </c>
      <c r="E2350" t="s">
        <v>45767</v>
      </c>
      <c r="F2350" t="s">
        <v>45768</v>
      </c>
      <c r="G2350" t="s">
        <v>45769</v>
      </c>
      <c r="H2350" t="s">
        <v>45770</v>
      </c>
      <c r="I2350" t="s">
        <v>45771</v>
      </c>
      <c r="J2350" t="s">
        <v>45772</v>
      </c>
      <c r="K2350" t="s">
        <v>45773</v>
      </c>
      <c r="L2350" t="s">
        <v>45774</v>
      </c>
      <c r="M2350" t="s">
        <v>45775</v>
      </c>
      <c r="N2350" t="s">
        <v>45776</v>
      </c>
      <c r="O2350">
        <f>-646.323140303542 -137.710368129639 -506.313055192169</f>
        <v>-1290.34656362535</v>
      </c>
      <c r="P2350">
        <f>-600.650871094576 -172.731978918673 -230.149832770954</f>
        <v>-1003.532682784203</v>
      </c>
      <c r="Q2350">
        <f>-455.571293793339 -54.3443984732135 -367.571919678325</f>
        <v>-877.48761194487747</v>
      </c>
      <c r="R2350" t="s">
        <v>45777</v>
      </c>
      <c r="S2350" t="s">
        <v>45778</v>
      </c>
      <c r="T2350" t="s">
        <v>45779</v>
      </c>
      <c r="U2350" t="s">
        <v>45780</v>
      </c>
      <c r="V2350">
        <f>-589.468616948951 -45.5789655314627 -92.159910398388</f>
        <v>-727.20749287880165</v>
      </c>
      <c r="W2350" t="s">
        <v>45781</v>
      </c>
      <c r="X2350" t="s">
        <v>45782</v>
      </c>
      <c r="Y2350" t="s">
        <v>45783</v>
      </c>
    </row>
    <row r="2351" spans="1:25" x14ac:dyDescent="0.3">
      <c r="A2351">
        <v>117500</v>
      </c>
      <c r="B2351" t="s">
        <v>45784</v>
      </c>
      <c r="C2351" t="s">
        <v>45785</v>
      </c>
      <c r="D2351" t="s">
        <v>45786</v>
      </c>
      <c r="E2351" t="s">
        <v>45787</v>
      </c>
      <c r="F2351" t="s">
        <v>45788</v>
      </c>
      <c r="G2351" t="s">
        <v>45789</v>
      </c>
      <c r="H2351" t="s">
        <v>45790</v>
      </c>
      <c r="I2351" t="s">
        <v>45791</v>
      </c>
      <c r="J2351" t="s">
        <v>45792</v>
      </c>
      <c r="K2351" t="s">
        <v>45793</v>
      </c>
      <c r="L2351" t="s">
        <v>45794</v>
      </c>
      <c r="M2351" t="s">
        <v>45795</v>
      </c>
      <c r="N2351" t="s">
        <v>45796</v>
      </c>
      <c r="O2351">
        <f>-647.248265298388 -137.549484172886 -506.265718485235</f>
        <v>-1291.0634679565089</v>
      </c>
      <c r="P2351">
        <f>-601.219166832924 -172.499841462202 -230.152747459297</f>
        <v>-1003.8717557544229</v>
      </c>
      <c r="Q2351">
        <f>-455.641850895334 -53.849855255811 -366.819849784125</f>
        <v>-876.31155593527001</v>
      </c>
      <c r="R2351" t="s">
        <v>45797</v>
      </c>
      <c r="S2351" t="s">
        <v>45798</v>
      </c>
      <c r="T2351" t="s">
        <v>45799</v>
      </c>
      <c r="U2351" t="s">
        <v>45800</v>
      </c>
      <c r="V2351">
        <f>-589.77061188761 -45.4641049486675 -92.162608436201</f>
        <v>-727.3973252724785</v>
      </c>
      <c r="W2351" t="s">
        <v>45801</v>
      </c>
      <c r="X2351" t="s">
        <v>45802</v>
      </c>
      <c r="Y2351" t="s">
        <v>45803</v>
      </c>
    </row>
    <row r="2352" spans="1:25" x14ac:dyDescent="0.3">
      <c r="A2352">
        <v>117550</v>
      </c>
      <c r="B2352" t="s">
        <v>45804</v>
      </c>
      <c r="C2352" t="s">
        <v>45805</v>
      </c>
      <c r="D2352" t="s">
        <v>45806</v>
      </c>
      <c r="E2352" t="s">
        <v>45807</v>
      </c>
      <c r="F2352" t="s">
        <v>45808</v>
      </c>
      <c r="G2352" t="s">
        <v>45809</v>
      </c>
      <c r="H2352" t="s">
        <v>45810</v>
      </c>
      <c r="I2352" t="s">
        <v>45811</v>
      </c>
      <c r="J2352" t="s">
        <v>45812</v>
      </c>
      <c r="K2352" t="s">
        <v>45813</v>
      </c>
      <c r="L2352" t="s">
        <v>45814</v>
      </c>
      <c r="M2352" t="s">
        <v>45815</v>
      </c>
      <c r="N2352" t="s">
        <v>45816</v>
      </c>
      <c r="O2352">
        <f>-647.745595401244 -137.435112915201 -506.211301536028</f>
        <v>-1291.3920098524729</v>
      </c>
      <c r="P2352">
        <f>-601.541882903934 -172.323757025586 -230.119622801593</f>
        <v>-1003.985262731113</v>
      </c>
      <c r="Q2352">
        <f>-455.803897442895 -53.3937630010953 -366.371907413207</f>
        <v>-875.56956785719728</v>
      </c>
      <c r="R2352" t="s">
        <v>45817</v>
      </c>
      <c r="S2352" t="s">
        <v>45818</v>
      </c>
      <c r="T2352" t="s">
        <v>45819</v>
      </c>
      <c r="U2352" t="s">
        <v>45820</v>
      </c>
      <c r="V2352">
        <f>-589.916428233646 -45.3742015831367 -92.1584250890317</f>
        <v>-727.44905490581436</v>
      </c>
      <c r="W2352" t="s">
        <v>45821</v>
      </c>
      <c r="X2352" t="s">
        <v>45822</v>
      </c>
      <c r="Y2352" t="s">
        <v>45823</v>
      </c>
    </row>
    <row r="2353" spans="1:25" x14ac:dyDescent="0.3">
      <c r="A2353">
        <v>117600</v>
      </c>
      <c r="B2353" t="s">
        <v>45824</v>
      </c>
      <c r="C2353" t="s">
        <v>45825</v>
      </c>
      <c r="D2353" t="s">
        <v>45826</v>
      </c>
      <c r="E2353" t="s">
        <v>45827</v>
      </c>
      <c r="F2353" t="s">
        <v>45828</v>
      </c>
      <c r="G2353" t="s">
        <v>45829</v>
      </c>
      <c r="H2353" t="s">
        <v>45830</v>
      </c>
      <c r="I2353" t="s">
        <v>45831</v>
      </c>
      <c r="J2353" t="s">
        <v>45832</v>
      </c>
      <c r="K2353" t="s">
        <v>45833</v>
      </c>
      <c r="L2353" t="s">
        <v>45834</v>
      </c>
      <c r="M2353" t="s">
        <v>45835</v>
      </c>
      <c r="N2353" t="s">
        <v>45836</v>
      </c>
      <c r="O2353">
        <f>-648.482729653099 -137.211181555785 -506.231208498494</f>
        <v>-1291.9251197073779</v>
      </c>
      <c r="P2353">
        <f>-602.147872272507 -172.33860846567 -230.191798424107</f>
        <v>-1004.6782791622841</v>
      </c>
      <c r="Q2353">
        <f>-456.364254972424 -52.4939094103588 -365.590624589933</f>
        <v>-874.44878897271587</v>
      </c>
      <c r="R2353" t="s">
        <v>45837</v>
      </c>
      <c r="S2353" t="s">
        <v>45838</v>
      </c>
      <c r="T2353" t="s">
        <v>45839</v>
      </c>
      <c r="U2353" t="s">
        <v>45840</v>
      </c>
      <c r="V2353">
        <f>-590.241000213108 -45.1740987075527 -92.1498305220811</f>
        <v>-727.5649294427418</v>
      </c>
      <c r="W2353" t="s">
        <v>45841</v>
      </c>
      <c r="X2353" t="s">
        <v>45842</v>
      </c>
      <c r="Y2353" t="s">
        <v>45843</v>
      </c>
    </row>
    <row r="2354" spans="1:25" x14ac:dyDescent="0.3">
      <c r="A2354">
        <v>117650</v>
      </c>
      <c r="B2354" t="s">
        <v>45844</v>
      </c>
      <c r="C2354" t="s">
        <v>45845</v>
      </c>
      <c r="D2354" t="s">
        <v>45846</v>
      </c>
      <c r="E2354" t="s">
        <v>45847</v>
      </c>
      <c r="F2354" t="s">
        <v>45848</v>
      </c>
      <c r="G2354" t="s">
        <v>45849</v>
      </c>
      <c r="H2354" t="s">
        <v>45850</v>
      </c>
      <c r="I2354" t="s">
        <v>45851</v>
      </c>
      <c r="J2354" t="s">
        <v>45852</v>
      </c>
      <c r="K2354" t="s">
        <v>45853</v>
      </c>
      <c r="L2354" t="s">
        <v>45854</v>
      </c>
      <c r="M2354" t="s">
        <v>45855</v>
      </c>
      <c r="N2354" t="s">
        <v>45856</v>
      </c>
      <c r="O2354">
        <f>-648.93058104126 -137.078963541285 -506.247255404705</f>
        <v>-1292.2567999872499</v>
      </c>
      <c r="P2354">
        <f>-602.433108138556 -172.100898088082 -230.221845335263</f>
        <v>-1004.755851561901</v>
      </c>
      <c r="Q2354">
        <f>-456.673960936148 -51.9957355501322 -365.416512074527</f>
        <v>-874.08620856080722</v>
      </c>
      <c r="R2354" t="s">
        <v>45857</v>
      </c>
      <c r="S2354" t="s">
        <v>45858</v>
      </c>
      <c r="T2354" t="s">
        <v>45859</v>
      </c>
      <c r="U2354" t="s">
        <v>45860</v>
      </c>
      <c r="V2354">
        <f>-590.420187168505 -45.0867608845883 -92.1436854056335</f>
        <v>-727.65063345872682</v>
      </c>
      <c r="W2354" t="s">
        <v>45861</v>
      </c>
      <c r="X2354" t="s">
        <v>45862</v>
      </c>
      <c r="Y2354" t="s">
        <v>45863</v>
      </c>
    </row>
    <row r="2355" spans="1:25" x14ac:dyDescent="0.3">
      <c r="A2355">
        <v>117700</v>
      </c>
      <c r="B2355" t="s">
        <v>45864</v>
      </c>
      <c r="C2355" t="s">
        <v>45865</v>
      </c>
      <c r="D2355" t="s">
        <v>45866</v>
      </c>
      <c r="E2355" t="s">
        <v>45867</v>
      </c>
      <c r="F2355" t="s">
        <v>45868</v>
      </c>
      <c r="G2355" t="s">
        <v>45869</v>
      </c>
      <c r="H2355" t="s">
        <v>45870</v>
      </c>
      <c r="I2355" t="s">
        <v>45871</v>
      </c>
      <c r="J2355" t="s">
        <v>45872</v>
      </c>
      <c r="K2355" t="s">
        <v>45873</v>
      </c>
      <c r="L2355" t="s">
        <v>45874</v>
      </c>
      <c r="M2355" t="s">
        <v>45875</v>
      </c>
      <c r="N2355" t="s">
        <v>45876</v>
      </c>
      <c r="O2355">
        <f>-649.933787021458 -136.954254037428 -506.20351594489</f>
        <v>-1293.091557003776</v>
      </c>
      <c r="P2355">
        <f>-603.053900692809 -171.917440680747 -230.235421557235</f>
        <v>-1005.206762930791</v>
      </c>
      <c r="Q2355">
        <f>-457.403846181427 -51.0009386975232 -364.823081183277</f>
        <v>-873.22786606222724</v>
      </c>
      <c r="R2355" t="s">
        <v>45877</v>
      </c>
      <c r="S2355" t="s">
        <v>45878</v>
      </c>
      <c r="T2355" t="s">
        <v>45879</v>
      </c>
      <c r="U2355" t="s">
        <v>45880</v>
      </c>
      <c r="V2355">
        <f>-590.895235901243 -44.9647231244512 -92.1449102475588</f>
        <v>-728.00486927325301</v>
      </c>
      <c r="W2355" t="s">
        <v>45881</v>
      </c>
      <c r="X2355" t="s">
        <v>45882</v>
      </c>
      <c r="Y2355" t="s">
        <v>45883</v>
      </c>
    </row>
    <row r="2356" spans="1:25" x14ac:dyDescent="0.3">
      <c r="A2356">
        <v>117750</v>
      </c>
      <c r="B2356" t="s">
        <v>45884</v>
      </c>
      <c r="C2356" t="s">
        <v>45885</v>
      </c>
      <c r="D2356" t="s">
        <v>45886</v>
      </c>
      <c r="E2356" t="s">
        <v>45887</v>
      </c>
      <c r="F2356" t="s">
        <v>45888</v>
      </c>
      <c r="G2356" t="s">
        <v>45889</v>
      </c>
      <c r="H2356" t="s">
        <v>45890</v>
      </c>
      <c r="I2356" t="s">
        <v>45891</v>
      </c>
      <c r="J2356" t="s">
        <v>45892</v>
      </c>
      <c r="K2356" t="s">
        <v>45893</v>
      </c>
      <c r="L2356" t="s">
        <v>45894</v>
      </c>
      <c r="M2356" t="s">
        <v>45895</v>
      </c>
      <c r="N2356" t="s">
        <v>45896</v>
      </c>
      <c r="O2356">
        <f>-650.405002652755 -136.854066856812 -506.211000177206</f>
        <v>-1293.4700696867731</v>
      </c>
      <c r="P2356">
        <f>-603.385677995429 -171.816685048604 -230.266607885869</f>
        <v>-1005.468970929902</v>
      </c>
      <c r="Q2356">
        <f>-457.657596276364 -50.5145743518672 -364.421912478751</f>
        <v>-872.59408310698223</v>
      </c>
      <c r="R2356" t="s">
        <v>45897</v>
      </c>
      <c r="S2356" t="s">
        <v>45898</v>
      </c>
      <c r="T2356" t="s">
        <v>45899</v>
      </c>
      <c r="U2356" t="s">
        <v>45900</v>
      </c>
      <c r="V2356">
        <f>-591.150050316689 -44.958010111973 -92.162072685668</f>
        <v>-728.27013311432995</v>
      </c>
      <c r="W2356" t="s">
        <v>45901</v>
      </c>
      <c r="X2356" t="s">
        <v>45902</v>
      </c>
      <c r="Y2356" t="s">
        <v>45903</v>
      </c>
    </row>
    <row r="2357" spans="1:25" x14ac:dyDescent="0.3">
      <c r="A2357">
        <v>117800</v>
      </c>
      <c r="B2357" t="s">
        <v>45904</v>
      </c>
      <c r="C2357" t="s">
        <v>45905</v>
      </c>
      <c r="D2357" t="s">
        <v>45906</v>
      </c>
      <c r="E2357" t="s">
        <v>45907</v>
      </c>
      <c r="F2357" t="s">
        <v>45908</v>
      </c>
      <c r="G2357" t="s">
        <v>45909</v>
      </c>
      <c r="H2357" t="s">
        <v>45910</v>
      </c>
      <c r="I2357" t="s">
        <v>45911</v>
      </c>
      <c r="J2357" t="s">
        <v>45912</v>
      </c>
      <c r="K2357" t="s">
        <v>45913</v>
      </c>
      <c r="L2357" t="s">
        <v>45914</v>
      </c>
      <c r="M2357" t="s">
        <v>45915</v>
      </c>
      <c r="N2357" t="s">
        <v>45916</v>
      </c>
      <c r="O2357">
        <f>-650.70443356353 -136.467667581566 -506.374059474167</f>
        <v>-1293.546160619263</v>
      </c>
      <c r="P2357">
        <f>-603.900610003427 -171.611745591501 -230.415996669995</f>
        <v>-1005.9283522649231</v>
      </c>
      <c r="Q2357">
        <f>-457.714936717935 -49.4741533214651 -363.309389598834</f>
        <v>-870.49847963823413</v>
      </c>
      <c r="R2357" t="s">
        <v>45917</v>
      </c>
      <c r="S2357" t="s">
        <v>45918</v>
      </c>
      <c r="T2357" t="s">
        <v>45919</v>
      </c>
      <c r="U2357" t="s">
        <v>45920</v>
      </c>
      <c r="V2357">
        <f>-591.564805510132 -44.5765375674125 -92.1780300381449</f>
        <v>-728.31937311568947</v>
      </c>
      <c r="W2357" t="s">
        <v>45921</v>
      </c>
      <c r="X2357" t="s">
        <v>45922</v>
      </c>
      <c r="Y2357" t="s">
        <v>45923</v>
      </c>
    </row>
    <row r="2358" spans="1:25" x14ac:dyDescent="0.3">
      <c r="A2358">
        <v>117850</v>
      </c>
      <c r="B2358" t="s">
        <v>45924</v>
      </c>
      <c r="C2358" t="s">
        <v>45925</v>
      </c>
      <c r="D2358" t="s">
        <v>45926</v>
      </c>
      <c r="E2358" t="s">
        <v>45927</v>
      </c>
      <c r="F2358" t="s">
        <v>45928</v>
      </c>
      <c r="G2358" t="s">
        <v>45929</v>
      </c>
      <c r="H2358" t="s">
        <v>45930</v>
      </c>
      <c r="I2358" t="s">
        <v>45931</v>
      </c>
      <c r="J2358" t="s">
        <v>45932</v>
      </c>
      <c r="K2358" t="s">
        <v>45933</v>
      </c>
      <c r="L2358" t="s">
        <v>45934</v>
      </c>
      <c r="M2358" t="s">
        <v>45935</v>
      </c>
      <c r="N2358" t="s">
        <v>45936</v>
      </c>
      <c r="O2358">
        <f>-650.744764489991 -136.345321445448 -506.43526135622</f>
        <v>-1293.525347291659</v>
      </c>
      <c r="P2358">
        <f>-604.119293000965 -171.630168539143 -230.464964200677</f>
        <v>-1006.2144257407849</v>
      </c>
      <c r="Q2358">
        <f>-458.022660871702 -48.8768056327822 -362.888151276939</f>
        <v>-869.78761778142325</v>
      </c>
      <c r="R2358" t="s">
        <v>45937</v>
      </c>
      <c r="S2358" t="s">
        <v>45938</v>
      </c>
      <c r="T2358" t="s">
        <v>45939</v>
      </c>
      <c r="U2358" t="s">
        <v>45940</v>
      </c>
      <c r="V2358">
        <f>-591.782545159382 -44.4178531646878 -92.1830925549702</f>
        <v>-728.3834908790401</v>
      </c>
      <c r="W2358" t="s">
        <v>45941</v>
      </c>
      <c r="X2358" t="s">
        <v>45942</v>
      </c>
      <c r="Y2358" t="s">
        <v>45943</v>
      </c>
    </row>
    <row r="2359" spans="1:25" x14ac:dyDescent="0.3">
      <c r="A2359">
        <v>117900</v>
      </c>
      <c r="B2359" t="s">
        <v>45944</v>
      </c>
      <c r="C2359" t="s">
        <v>45945</v>
      </c>
      <c r="D2359" t="s">
        <v>45946</v>
      </c>
      <c r="E2359" t="s">
        <v>45947</v>
      </c>
      <c r="F2359" t="s">
        <v>45948</v>
      </c>
      <c r="G2359" t="s">
        <v>45949</v>
      </c>
      <c r="H2359" t="s">
        <v>45950</v>
      </c>
      <c r="I2359" t="s">
        <v>45951</v>
      </c>
      <c r="J2359" t="s">
        <v>45952</v>
      </c>
      <c r="K2359" t="s">
        <v>45953</v>
      </c>
      <c r="L2359" t="s">
        <v>45954</v>
      </c>
      <c r="M2359" t="s">
        <v>45955</v>
      </c>
      <c r="N2359" t="s">
        <v>45956</v>
      </c>
      <c r="O2359">
        <f>-650.992969008354 -136.074846306056 -506.46129303656</f>
        <v>-1293.5291083509699</v>
      </c>
      <c r="P2359">
        <f>-604.322528721698 -171.345398767468 -230.496703781649</f>
        <v>-1006.164631270815</v>
      </c>
      <c r="Q2359">
        <f>-458.675521589114 -47.7414406768546 -362.623646012828</f>
        <v>-869.04060827879653</v>
      </c>
      <c r="R2359" t="s">
        <v>45957</v>
      </c>
      <c r="S2359" t="s">
        <v>45958</v>
      </c>
      <c r="T2359" t="s">
        <v>45959</v>
      </c>
      <c r="U2359" t="s">
        <v>45960</v>
      </c>
      <c r="V2359">
        <f>-592.126197801183 -44.1941084075911 -92.202204626524</f>
        <v>-728.52251083529814</v>
      </c>
      <c r="W2359" t="s">
        <v>45961</v>
      </c>
      <c r="X2359" t="s">
        <v>45962</v>
      </c>
      <c r="Y2359" t="s">
        <v>45963</v>
      </c>
    </row>
    <row r="2360" spans="1:25" x14ac:dyDescent="0.3">
      <c r="A2360">
        <v>117950</v>
      </c>
      <c r="B2360" t="s">
        <v>45964</v>
      </c>
      <c r="C2360" t="s">
        <v>45965</v>
      </c>
      <c r="D2360" t="s">
        <v>45966</v>
      </c>
      <c r="E2360" t="s">
        <v>45967</v>
      </c>
      <c r="F2360" t="s">
        <v>45968</v>
      </c>
      <c r="G2360" t="s">
        <v>45969</v>
      </c>
      <c r="H2360" t="s">
        <v>45970</v>
      </c>
      <c r="I2360" t="s">
        <v>45971</v>
      </c>
      <c r="J2360" t="s">
        <v>45972</v>
      </c>
      <c r="K2360" t="s">
        <v>45973</v>
      </c>
      <c r="L2360" t="s">
        <v>45974</v>
      </c>
      <c r="M2360" t="s">
        <v>45975</v>
      </c>
      <c r="N2360" t="s">
        <v>45976</v>
      </c>
      <c r="O2360">
        <f>-651.258805100115 -135.972341269825 -506.457560967819</f>
        <v>-1293.6887073377591</v>
      </c>
      <c r="P2360">
        <f>-604.395126106502 -171.078488589932 -230.504837074602</f>
        <v>-1005.9784517710359</v>
      </c>
      <c r="Q2360">
        <f>-458.884197576341 -47.247159458379 -362.56867426466</f>
        <v>-868.70003129938004</v>
      </c>
      <c r="R2360" t="s">
        <v>45977</v>
      </c>
      <c r="S2360" t="s">
        <v>45978</v>
      </c>
      <c r="T2360" t="s">
        <v>45979</v>
      </c>
      <c r="U2360" t="s">
        <v>45980</v>
      </c>
      <c r="V2360">
        <f>-592.245996568779 -44.1264131721564 -92.2167765129966</f>
        <v>-728.58918625393198</v>
      </c>
      <c r="W2360" t="s">
        <v>45981</v>
      </c>
      <c r="X2360" t="s">
        <v>45982</v>
      </c>
      <c r="Y2360" t="s">
        <v>45983</v>
      </c>
    </row>
    <row r="2361" spans="1:25" x14ac:dyDescent="0.3">
      <c r="A2361">
        <v>118000</v>
      </c>
      <c r="B2361" t="s">
        <v>45984</v>
      </c>
      <c r="C2361" t="s">
        <v>45985</v>
      </c>
      <c r="D2361" t="s">
        <v>45986</v>
      </c>
      <c r="E2361" t="s">
        <v>45987</v>
      </c>
      <c r="F2361" t="s">
        <v>45988</v>
      </c>
      <c r="G2361" t="s">
        <v>45989</v>
      </c>
      <c r="H2361" t="s">
        <v>45990</v>
      </c>
      <c r="I2361" t="s">
        <v>45991</v>
      </c>
      <c r="J2361" t="s">
        <v>45992</v>
      </c>
      <c r="K2361" t="s">
        <v>45993</v>
      </c>
      <c r="L2361" t="s">
        <v>45994</v>
      </c>
      <c r="M2361" t="s">
        <v>45995</v>
      </c>
      <c r="N2361" t="s">
        <v>45996</v>
      </c>
      <c r="O2361">
        <f>-651.876758422862 -135.737154983668 -506.464557440252</f>
        <v>-1294.0784708467831</v>
      </c>
      <c r="P2361">
        <f>-604.702989109768 -170.670603761528 -230.542524011712</f>
        <v>-1005.916116883008</v>
      </c>
      <c r="Q2361">
        <f>-459.535750991803 -46.5786181492722 -362.740001527914</f>
        <v>-868.85437066898919</v>
      </c>
      <c r="R2361" t="s">
        <v>45997</v>
      </c>
      <c r="S2361" t="s">
        <v>45998</v>
      </c>
      <c r="T2361" t="s">
        <v>45999</v>
      </c>
      <c r="U2361" t="s">
        <v>46000</v>
      </c>
      <c r="V2361">
        <f>-592.492606086288 -44.0036154740153 -92.2317446533325</f>
        <v>-728.7279662136358</v>
      </c>
      <c r="W2361" t="s">
        <v>46001</v>
      </c>
      <c r="X2361" t="s">
        <v>46002</v>
      </c>
      <c r="Y2361" t="s">
        <v>46003</v>
      </c>
    </row>
    <row r="2362" spans="1:25" x14ac:dyDescent="0.3">
      <c r="A2362">
        <v>118050</v>
      </c>
      <c r="B2362" t="s">
        <v>46004</v>
      </c>
      <c r="C2362" t="s">
        <v>46005</v>
      </c>
      <c r="D2362" t="s">
        <v>46006</v>
      </c>
      <c r="E2362" t="s">
        <v>46007</v>
      </c>
      <c r="F2362" t="s">
        <v>46008</v>
      </c>
      <c r="G2362" t="s">
        <v>46009</v>
      </c>
      <c r="H2362" t="s">
        <v>46010</v>
      </c>
      <c r="I2362" t="s">
        <v>46011</v>
      </c>
      <c r="J2362" t="s">
        <v>46012</v>
      </c>
      <c r="K2362" t="s">
        <v>46013</v>
      </c>
      <c r="L2362" t="s">
        <v>46014</v>
      </c>
      <c r="M2362" t="s">
        <v>46015</v>
      </c>
      <c r="N2362" t="s">
        <v>46016</v>
      </c>
      <c r="O2362">
        <f>-652.2879121252 -135.559464332787 -506.480186575211</f>
        <v>-1294.327563033198</v>
      </c>
      <c r="P2362">
        <f>-604.72713856261 -170.504659453086 -230.626248620255</f>
        <v>-1005.858046635951</v>
      </c>
      <c r="Q2362">
        <f>-459.742874118359 -46.2641692276757 -362.885225197649</f>
        <v>-868.89226854368371</v>
      </c>
      <c r="R2362" t="s">
        <v>46017</v>
      </c>
      <c r="S2362" t="s">
        <v>46018</v>
      </c>
      <c r="T2362" t="s">
        <v>46019</v>
      </c>
      <c r="U2362" t="s">
        <v>46020</v>
      </c>
      <c r="V2362">
        <f>-592.628103228744 -43.910737758066 -92.2339202813649</f>
        <v>-728.77276126817492</v>
      </c>
      <c r="W2362" t="s">
        <v>46021</v>
      </c>
      <c r="X2362" t="s">
        <v>46022</v>
      </c>
      <c r="Y2362" t="s">
        <v>46023</v>
      </c>
    </row>
    <row r="2363" spans="1:25" x14ac:dyDescent="0.3">
      <c r="A2363">
        <v>118100</v>
      </c>
      <c r="B2363" t="s">
        <v>46024</v>
      </c>
      <c r="C2363" t="s">
        <v>46025</v>
      </c>
      <c r="D2363" t="s">
        <v>46026</v>
      </c>
      <c r="E2363" t="s">
        <v>46027</v>
      </c>
      <c r="F2363" t="s">
        <v>46028</v>
      </c>
      <c r="G2363" t="s">
        <v>46029</v>
      </c>
      <c r="H2363" t="s">
        <v>46030</v>
      </c>
      <c r="I2363" t="s">
        <v>46031</v>
      </c>
      <c r="J2363" t="s">
        <v>46032</v>
      </c>
      <c r="K2363" t="s">
        <v>46033</v>
      </c>
      <c r="L2363" t="s">
        <v>46034</v>
      </c>
      <c r="M2363" t="s">
        <v>46035</v>
      </c>
      <c r="N2363" t="s">
        <v>46036</v>
      </c>
      <c r="O2363">
        <f>-653.232432853072 -135.146784215307 -506.563554720781</f>
        <v>-1294.9427717891599</v>
      </c>
      <c r="P2363">
        <f>-605.084125284248 -170.1295916643 -230.816221444992</f>
        <v>-1006.02993839354</v>
      </c>
      <c r="Q2363">
        <f>-460.322067233705 -45.323864111223 -362.786042590132</f>
        <v>-868.43197393506011</v>
      </c>
      <c r="R2363" t="s">
        <v>46037</v>
      </c>
      <c r="S2363" t="s">
        <v>46038</v>
      </c>
      <c r="T2363" t="s">
        <v>46039</v>
      </c>
      <c r="U2363" t="s">
        <v>46040</v>
      </c>
      <c r="V2363">
        <f>-592.893399466143 -43.6682698816389 -92.2472470772814</f>
        <v>-728.80891642506333</v>
      </c>
      <c r="W2363" t="s">
        <v>46041</v>
      </c>
      <c r="X2363" t="s">
        <v>46042</v>
      </c>
      <c r="Y2363" t="s">
        <v>46043</v>
      </c>
    </row>
    <row r="2364" spans="1:25" x14ac:dyDescent="0.3">
      <c r="A2364">
        <v>118150</v>
      </c>
      <c r="B2364" t="s">
        <v>46044</v>
      </c>
      <c r="C2364" t="s">
        <v>46045</v>
      </c>
      <c r="D2364" t="s">
        <v>46046</v>
      </c>
      <c r="E2364" t="s">
        <v>46047</v>
      </c>
      <c r="F2364" t="s">
        <v>46048</v>
      </c>
      <c r="G2364" t="s">
        <v>46049</v>
      </c>
      <c r="H2364" t="s">
        <v>46050</v>
      </c>
      <c r="I2364" t="s">
        <v>46051</v>
      </c>
      <c r="J2364" t="s">
        <v>46052</v>
      </c>
      <c r="K2364" t="s">
        <v>46053</v>
      </c>
      <c r="L2364" t="s">
        <v>46054</v>
      </c>
      <c r="M2364" t="s">
        <v>46055</v>
      </c>
      <c r="N2364" t="s">
        <v>46056</v>
      </c>
      <c r="O2364">
        <f>-653.615202151202 -135.060465907943 -506.581977054986</f>
        <v>-1295.257645114131</v>
      </c>
      <c r="P2364">
        <f>-605.274669788487 -170.133649108365 -230.879840644294</f>
        <v>-1006.2881595411461</v>
      </c>
      <c r="Q2364">
        <f>-460.640754348087 -45.0153804477768 -362.694100661364</f>
        <v>-868.35023545722788</v>
      </c>
      <c r="R2364" t="s">
        <v>46057</v>
      </c>
      <c r="S2364" t="s">
        <v>46058</v>
      </c>
      <c r="T2364" t="s">
        <v>46059</v>
      </c>
      <c r="U2364" t="s">
        <v>46060</v>
      </c>
      <c r="V2364">
        <f>-593.034240155842 -43.6597153026291 -92.2624501196707</f>
        <v>-728.95640557814181</v>
      </c>
      <c r="W2364" t="s">
        <v>46061</v>
      </c>
      <c r="X2364" t="s">
        <v>46062</v>
      </c>
      <c r="Y2364" t="s">
        <v>46063</v>
      </c>
    </row>
    <row r="2365" spans="1:25" x14ac:dyDescent="0.3">
      <c r="A2365">
        <v>118200</v>
      </c>
      <c r="B2365" t="s">
        <v>46064</v>
      </c>
      <c r="C2365" t="s">
        <v>46065</v>
      </c>
      <c r="D2365" t="s">
        <v>46066</v>
      </c>
      <c r="E2365" t="s">
        <v>46067</v>
      </c>
      <c r="F2365" t="s">
        <v>46068</v>
      </c>
      <c r="G2365" t="s">
        <v>46069</v>
      </c>
      <c r="H2365" t="s">
        <v>46070</v>
      </c>
      <c r="I2365" t="s">
        <v>46071</v>
      </c>
      <c r="J2365" t="s">
        <v>46072</v>
      </c>
      <c r="K2365" t="s">
        <v>46073</v>
      </c>
      <c r="L2365" t="s">
        <v>46074</v>
      </c>
      <c r="M2365" t="s">
        <v>46075</v>
      </c>
      <c r="N2365" t="s">
        <v>46076</v>
      </c>
      <c r="O2365">
        <f>-654.589851284683 -134.882201391791 -506.645618634786</f>
        <v>-1296.11767131126</v>
      </c>
      <c r="P2365">
        <f>-606.03649319293 -169.91641656822 -230.97606204725</f>
        <v>-1006.9289718084001</v>
      </c>
      <c r="Q2365">
        <f>-461.631024142192 -44.329312854954 -362.59462958994</f>
        <v>-868.55496658708603</v>
      </c>
      <c r="R2365" t="s">
        <v>46077</v>
      </c>
      <c r="S2365" t="s">
        <v>46078</v>
      </c>
      <c r="T2365" t="s">
        <v>46079</v>
      </c>
      <c r="U2365" t="s">
        <v>46080</v>
      </c>
      <c r="V2365">
        <f>-593.482918729581 -43.6139224948963 -92.3100192013648</f>
        <v>-729.40686042584207</v>
      </c>
      <c r="W2365" t="s">
        <v>46081</v>
      </c>
      <c r="X2365" t="s">
        <v>46082</v>
      </c>
      <c r="Y2365" t="s">
        <v>46083</v>
      </c>
    </row>
    <row r="2366" spans="1:25" x14ac:dyDescent="0.3">
      <c r="A2366">
        <v>118250</v>
      </c>
      <c r="B2366" t="s">
        <v>46084</v>
      </c>
      <c r="C2366" t="s">
        <v>46085</v>
      </c>
      <c r="D2366" t="s">
        <v>46086</v>
      </c>
      <c r="E2366" t="s">
        <v>46087</v>
      </c>
      <c r="F2366" t="s">
        <v>46088</v>
      </c>
      <c r="G2366" t="s">
        <v>46089</v>
      </c>
      <c r="H2366" t="s">
        <v>46090</v>
      </c>
      <c r="I2366" t="s">
        <v>46091</v>
      </c>
      <c r="J2366" t="s">
        <v>46092</v>
      </c>
      <c r="K2366" t="s">
        <v>46093</v>
      </c>
      <c r="L2366" t="s">
        <v>46094</v>
      </c>
      <c r="M2366" t="s">
        <v>46095</v>
      </c>
      <c r="N2366" t="s">
        <v>46096</v>
      </c>
      <c r="O2366">
        <f>-655.160452414902 -134.789505408098 -506.67547180174</f>
        <v>-1296.62542962474</v>
      </c>
      <c r="P2366">
        <f>-606.444628659136 -169.902666334059 -231.044486557493</f>
        <v>-1007.3917815506879</v>
      </c>
      <c r="Q2366">
        <f>-462.096624031849 -44.1401335850865 -362.558664608735</f>
        <v>-868.79542222567056</v>
      </c>
      <c r="R2366" t="s">
        <v>46097</v>
      </c>
      <c r="S2366" t="s">
        <v>46098</v>
      </c>
      <c r="T2366" t="s">
        <v>46099</v>
      </c>
      <c r="U2366" t="s">
        <v>46100</v>
      </c>
      <c r="V2366">
        <f>-593.716057169214 -43.5850464415369 -92.3372160533424</f>
        <v>-729.63831966409327</v>
      </c>
      <c r="W2366" t="s">
        <v>46101</v>
      </c>
      <c r="X2366" t="s">
        <v>46102</v>
      </c>
      <c r="Y2366" t="s">
        <v>46103</v>
      </c>
    </row>
    <row r="2367" spans="1:25" x14ac:dyDescent="0.3">
      <c r="A2367">
        <v>118300</v>
      </c>
      <c r="B2367" t="s">
        <v>46104</v>
      </c>
      <c r="C2367" t="s">
        <v>46105</v>
      </c>
      <c r="D2367" t="s">
        <v>46106</v>
      </c>
      <c r="E2367" t="s">
        <v>46107</v>
      </c>
      <c r="F2367" t="s">
        <v>46108</v>
      </c>
      <c r="G2367" t="s">
        <v>46109</v>
      </c>
      <c r="H2367" t="s">
        <v>46110</v>
      </c>
      <c r="I2367" t="s">
        <v>46111</v>
      </c>
      <c r="J2367" t="s">
        <v>46112</v>
      </c>
      <c r="K2367" t="s">
        <v>46113</v>
      </c>
      <c r="L2367" t="s">
        <v>46114</v>
      </c>
      <c r="M2367" t="s">
        <v>46115</v>
      </c>
      <c r="N2367" t="s">
        <v>46116</v>
      </c>
      <c r="O2367">
        <f>-656.302885949601 -134.61970434806 -506.732555242583</f>
        <v>-1297.6551455402439</v>
      </c>
      <c r="P2367">
        <f>-607.134911231465 -169.952428364886 -231.209998543461</f>
        <v>-1008.297338139812</v>
      </c>
      <c r="Q2367">
        <f>-462.757938000766 -43.9110898117951 -362.425198203926</f>
        <v>-869.09422601648703</v>
      </c>
      <c r="R2367" t="s">
        <v>46117</v>
      </c>
      <c r="S2367" t="s">
        <v>46118</v>
      </c>
      <c r="T2367" t="s">
        <v>46119</v>
      </c>
      <c r="U2367" t="s">
        <v>46120</v>
      </c>
      <c r="V2367">
        <f>-594.131956851482 -43.5957093228672 -92.3825363137265</f>
        <v>-730.11020248807563</v>
      </c>
      <c r="W2367" t="s">
        <v>46121</v>
      </c>
      <c r="X2367" t="s">
        <v>46122</v>
      </c>
      <c r="Y2367" t="s">
        <v>46123</v>
      </c>
    </row>
    <row r="2368" spans="1:25" x14ac:dyDescent="0.3">
      <c r="A2368">
        <v>118350</v>
      </c>
      <c r="B2368" t="s">
        <v>46124</v>
      </c>
      <c r="C2368" t="s">
        <v>46125</v>
      </c>
      <c r="D2368" t="s">
        <v>46126</v>
      </c>
      <c r="E2368" t="s">
        <v>46127</v>
      </c>
      <c r="F2368" t="s">
        <v>46128</v>
      </c>
      <c r="G2368" t="s">
        <v>46129</v>
      </c>
      <c r="H2368" t="s">
        <v>46130</v>
      </c>
      <c r="I2368" t="s">
        <v>46131</v>
      </c>
      <c r="J2368" t="s">
        <v>46132</v>
      </c>
      <c r="K2368" t="s">
        <v>46133</v>
      </c>
      <c r="L2368" t="s">
        <v>46134</v>
      </c>
      <c r="M2368" t="s">
        <v>46135</v>
      </c>
      <c r="N2368" t="s">
        <v>46136</v>
      </c>
      <c r="O2368">
        <f>-656.867825060395 -134.49040359425 -506.756657712786</f>
        <v>-1298.1148863674312</v>
      </c>
      <c r="P2368">
        <f>-607.612439077672 -169.870042540454 -231.255681249526</f>
        <v>-1008.738162867652</v>
      </c>
      <c r="Q2368">
        <f>-463.189863536077 -43.7312097006275 -362.326893034797</f>
        <v>-869.24796627150158</v>
      </c>
      <c r="R2368" t="s">
        <v>46137</v>
      </c>
      <c r="S2368" t="s">
        <v>46138</v>
      </c>
      <c r="T2368" t="s">
        <v>46139</v>
      </c>
      <c r="U2368" t="s">
        <v>46140</v>
      </c>
      <c r="V2368">
        <f>-594.292994520701 -43.5422250902634 -92.4013071656691</f>
        <v>-730.23652677663347</v>
      </c>
      <c r="W2368" t="s">
        <v>46141</v>
      </c>
      <c r="X2368" t="s">
        <v>46142</v>
      </c>
      <c r="Y2368" t="s">
        <v>46143</v>
      </c>
    </row>
    <row r="2369" spans="1:25" x14ac:dyDescent="0.3">
      <c r="A2369">
        <v>118400</v>
      </c>
      <c r="B2369" t="s">
        <v>46144</v>
      </c>
      <c r="C2369" t="s">
        <v>46145</v>
      </c>
      <c r="D2369" t="s">
        <v>46146</v>
      </c>
      <c r="E2369" t="s">
        <v>46147</v>
      </c>
      <c r="F2369" t="s">
        <v>46148</v>
      </c>
      <c r="G2369" t="s">
        <v>46149</v>
      </c>
      <c r="H2369" t="s">
        <v>46150</v>
      </c>
      <c r="I2369" t="s">
        <v>46151</v>
      </c>
      <c r="J2369" t="s">
        <v>46152</v>
      </c>
      <c r="K2369" t="s">
        <v>46153</v>
      </c>
      <c r="L2369" t="s">
        <v>46154</v>
      </c>
      <c r="M2369" t="s">
        <v>46155</v>
      </c>
      <c r="N2369" t="s">
        <v>46156</v>
      </c>
      <c r="O2369">
        <f>-658.02793041738 -134.170480071607 -506.806647440557</f>
        <v>-1299.0050579295441</v>
      </c>
      <c r="P2369">
        <f>-608.783502294404 -169.629947229944 -231.313969060652</f>
        <v>-1009.727418585</v>
      </c>
      <c r="Q2369">
        <f>-463.849707728928 -43.6592702073428 -361.981812574326</f>
        <v>-869.49079051059675</v>
      </c>
      <c r="R2369" t="s">
        <v>46157</v>
      </c>
      <c r="S2369" t="s">
        <v>46158</v>
      </c>
      <c r="T2369" t="s">
        <v>46159</v>
      </c>
      <c r="U2369" t="s">
        <v>46160</v>
      </c>
      <c r="V2369">
        <f>-594.691408102006 -43.3977268230535 -92.4137610060819</f>
        <v>-730.50289593114144</v>
      </c>
      <c r="W2369" t="s">
        <v>46161</v>
      </c>
      <c r="X2369" t="s">
        <v>46162</v>
      </c>
      <c r="Y2369" t="s">
        <v>46163</v>
      </c>
    </row>
    <row r="2370" spans="1:25" x14ac:dyDescent="0.3">
      <c r="A2370">
        <v>118450</v>
      </c>
      <c r="B2370" t="s">
        <v>46164</v>
      </c>
      <c r="C2370" t="s">
        <v>46165</v>
      </c>
      <c r="D2370" t="s">
        <v>46166</v>
      </c>
      <c r="E2370" t="s">
        <v>46167</v>
      </c>
      <c r="F2370" t="s">
        <v>46168</v>
      </c>
      <c r="G2370" t="s">
        <v>46169</v>
      </c>
      <c r="H2370" t="s">
        <v>46170</v>
      </c>
      <c r="I2370" t="s">
        <v>46171</v>
      </c>
      <c r="J2370" t="s">
        <v>46172</v>
      </c>
      <c r="K2370" t="s">
        <v>46173</v>
      </c>
      <c r="L2370" t="s">
        <v>46174</v>
      </c>
      <c r="M2370" t="s">
        <v>46175</v>
      </c>
      <c r="N2370" t="s">
        <v>46176</v>
      </c>
      <c r="O2370">
        <f>-658.476330915692 -134.021121650288 -506.843497848171</f>
        <v>-1299.3409504141509</v>
      </c>
      <c r="P2370">
        <f>-609.403884149677 -169.678624925551 -231.345718029669</f>
        <v>-1010.428227104897</v>
      </c>
      <c r="Q2370">
        <f>-464.222382966284 -43.8207269687957 -361.847432768825</f>
        <v>-869.89054270390466</v>
      </c>
      <c r="R2370" t="s">
        <v>46177</v>
      </c>
      <c r="S2370" t="s">
        <v>46178</v>
      </c>
      <c r="T2370" t="s">
        <v>46179</v>
      </c>
      <c r="U2370" t="s">
        <v>46180</v>
      </c>
      <c r="V2370">
        <f>-594.892327360772 -43.2741402534843 -92.4175159136672</f>
        <v>-730.58398352792358</v>
      </c>
      <c r="W2370" t="s">
        <v>46181</v>
      </c>
      <c r="X2370" t="s">
        <v>46182</v>
      </c>
      <c r="Y2370" t="s">
        <v>46183</v>
      </c>
    </row>
    <row r="2371" spans="1:25" x14ac:dyDescent="0.3">
      <c r="A2371">
        <v>118500</v>
      </c>
      <c r="B2371" t="s">
        <v>46184</v>
      </c>
      <c r="C2371" t="s">
        <v>46185</v>
      </c>
      <c r="D2371" t="s">
        <v>46186</v>
      </c>
      <c r="E2371" t="s">
        <v>46187</v>
      </c>
      <c r="F2371" t="s">
        <v>46188</v>
      </c>
      <c r="G2371" t="s">
        <v>46189</v>
      </c>
      <c r="H2371" t="s">
        <v>46190</v>
      </c>
      <c r="I2371" t="s">
        <v>46191</v>
      </c>
      <c r="J2371" t="s">
        <v>46192</v>
      </c>
      <c r="K2371" t="s">
        <v>46193</v>
      </c>
      <c r="L2371" t="s">
        <v>46194</v>
      </c>
      <c r="M2371" t="s">
        <v>46195</v>
      </c>
      <c r="N2371" t="s">
        <v>46196</v>
      </c>
      <c r="O2371">
        <f>-659.047026667587 -133.879051102375 -506.893491130441</f>
        <v>-1299.8195689004031</v>
      </c>
      <c r="P2371">
        <f>-610.573735754855 -169.911217331281 -231.338382574533</f>
        <v>-1011.823335660669</v>
      </c>
      <c r="Q2371">
        <f>-465.152188459917 -44.3443871701743 -361.852986722901</f>
        <v>-871.34956235299228</v>
      </c>
      <c r="R2371" t="s">
        <v>46197</v>
      </c>
      <c r="S2371" t="s">
        <v>46198</v>
      </c>
      <c r="T2371" t="s">
        <v>46199</v>
      </c>
      <c r="U2371" t="s">
        <v>46200</v>
      </c>
      <c r="V2371">
        <f>-595.182615492786 -43.0634369343275 -92.4614498139292</f>
        <v>-730.70750224104268</v>
      </c>
      <c r="W2371" t="s">
        <v>46201</v>
      </c>
      <c r="X2371" t="s">
        <v>46202</v>
      </c>
      <c r="Y2371" t="s">
        <v>46203</v>
      </c>
    </row>
    <row r="2372" spans="1:25" x14ac:dyDescent="0.3">
      <c r="A2372">
        <v>118550</v>
      </c>
      <c r="B2372" t="s">
        <v>46204</v>
      </c>
      <c r="C2372" t="s">
        <v>46205</v>
      </c>
      <c r="D2372" t="s">
        <v>46206</v>
      </c>
      <c r="E2372" t="s">
        <v>46207</v>
      </c>
      <c r="F2372" t="s">
        <v>46208</v>
      </c>
      <c r="G2372" t="s">
        <v>46209</v>
      </c>
      <c r="H2372" t="s">
        <v>46210</v>
      </c>
      <c r="I2372" t="s">
        <v>46211</v>
      </c>
      <c r="J2372" t="s">
        <v>46212</v>
      </c>
      <c r="K2372" t="s">
        <v>46213</v>
      </c>
      <c r="L2372" t="s">
        <v>46214</v>
      </c>
      <c r="M2372" t="s">
        <v>46215</v>
      </c>
      <c r="N2372" t="s">
        <v>46216</v>
      </c>
      <c r="O2372">
        <f>-659.319648229389 -133.817059441657 -506.896596896214</f>
        <v>-1300.0333045672601</v>
      </c>
      <c r="P2372">
        <f>-611.193390358636 -170.03309810048 -231.304713523254</f>
        <v>-1012.5312019823699</v>
      </c>
      <c r="Q2372">
        <f>-465.923197805794 -44.3584015913791 -361.883984035929</f>
        <v>-872.16558343310214</v>
      </c>
      <c r="R2372" t="s">
        <v>46217</v>
      </c>
      <c r="S2372" t="s">
        <v>46218</v>
      </c>
      <c r="T2372" t="s">
        <v>46219</v>
      </c>
      <c r="U2372" t="s">
        <v>46220</v>
      </c>
      <c r="V2372">
        <f>-595.308118423322 -42.962988218686 -92.4980647608911</f>
        <v>-730.76917140289902</v>
      </c>
      <c r="W2372" t="s">
        <v>46221</v>
      </c>
      <c r="X2372" t="s">
        <v>46222</v>
      </c>
      <c r="Y2372" t="s">
        <v>46223</v>
      </c>
    </row>
    <row r="2373" spans="1:25" x14ac:dyDescent="0.3">
      <c r="A2373">
        <v>118600</v>
      </c>
      <c r="B2373" t="s">
        <v>46224</v>
      </c>
      <c r="C2373" t="s">
        <v>46225</v>
      </c>
      <c r="D2373" t="s">
        <v>46226</v>
      </c>
      <c r="E2373" t="s">
        <v>46227</v>
      </c>
      <c r="F2373" t="s">
        <v>46228</v>
      </c>
      <c r="G2373" t="s">
        <v>46229</v>
      </c>
      <c r="H2373" t="s">
        <v>46230</v>
      </c>
      <c r="I2373" t="s">
        <v>46231</v>
      </c>
      <c r="J2373" t="s">
        <v>46232</v>
      </c>
      <c r="K2373" t="s">
        <v>46233</v>
      </c>
      <c r="L2373" t="s">
        <v>46234</v>
      </c>
      <c r="M2373" t="s">
        <v>46235</v>
      </c>
      <c r="N2373" t="s">
        <v>46236</v>
      </c>
      <c r="O2373">
        <f>-659.786947414353 -133.805457757393 -506.983183701077</f>
        <v>-1300.5755888728231</v>
      </c>
      <c r="P2373">
        <f>-612.015274705285 -170.212192482345 -231.354828128237</f>
        <v>-1013.582295315867</v>
      </c>
      <c r="Q2373">
        <f>-467.271441838435 -43.954578081197 -361.956205589751</f>
        <v>-873.18222550938299</v>
      </c>
      <c r="R2373" t="s">
        <v>46237</v>
      </c>
      <c r="S2373" t="s">
        <v>46238</v>
      </c>
      <c r="T2373" t="s">
        <v>46239</v>
      </c>
      <c r="U2373" t="s">
        <v>46240</v>
      </c>
      <c r="V2373">
        <f>-595.685403761904 -43.0987957148345 -92.5590289706583</f>
        <v>-731.34322844739688</v>
      </c>
      <c r="W2373" t="s">
        <v>46241</v>
      </c>
      <c r="X2373" t="s">
        <v>46242</v>
      </c>
      <c r="Y2373" t="s">
        <v>46243</v>
      </c>
    </row>
    <row r="2374" spans="1:25" x14ac:dyDescent="0.3">
      <c r="A2374">
        <v>118650</v>
      </c>
      <c r="B2374" t="s">
        <v>46244</v>
      </c>
      <c r="C2374" t="s">
        <v>46245</v>
      </c>
      <c r="D2374" t="s">
        <v>46246</v>
      </c>
      <c r="E2374" t="s">
        <v>46247</v>
      </c>
      <c r="F2374" t="s">
        <v>46248</v>
      </c>
      <c r="G2374" t="s">
        <v>46249</v>
      </c>
      <c r="H2374" t="s">
        <v>46250</v>
      </c>
      <c r="I2374" t="s">
        <v>46251</v>
      </c>
      <c r="J2374" t="s">
        <v>46252</v>
      </c>
      <c r="K2374" t="s">
        <v>46253</v>
      </c>
      <c r="L2374" t="s">
        <v>46254</v>
      </c>
      <c r="M2374" t="s">
        <v>46255</v>
      </c>
      <c r="N2374" t="s">
        <v>46256</v>
      </c>
      <c r="O2374">
        <f>-659.970072684399 -133.962272690519 -507.081209158891</f>
        <v>-1301.0135545338089</v>
      </c>
      <c r="P2374">
        <f>-612.264266260456 -170.403585366924 -231.446042496037</f>
        <v>-1014.113894123417</v>
      </c>
      <c r="Q2374">
        <f>-467.682587656104 -44.0002790735862 -362.086363415635</f>
        <v>-873.7692301453252</v>
      </c>
      <c r="R2374" t="s">
        <v>46257</v>
      </c>
      <c r="S2374" t="s">
        <v>46258</v>
      </c>
      <c r="T2374" t="s">
        <v>46259</v>
      </c>
      <c r="U2374" t="s">
        <v>46260</v>
      </c>
      <c r="V2374">
        <f>-595.898431243062 -43.2963609767637 -92.5994223384218</f>
        <v>-731.79421455824752</v>
      </c>
      <c r="W2374" t="s">
        <v>46261</v>
      </c>
      <c r="X2374" t="s">
        <v>46262</v>
      </c>
      <c r="Y2374" t="s">
        <v>46263</v>
      </c>
    </row>
    <row r="2375" spans="1:25" x14ac:dyDescent="0.3">
      <c r="A2375">
        <v>118700</v>
      </c>
      <c r="B2375" t="s">
        <v>46264</v>
      </c>
      <c r="C2375" t="s">
        <v>46265</v>
      </c>
      <c r="D2375" t="s">
        <v>46266</v>
      </c>
      <c r="E2375" t="s">
        <v>46267</v>
      </c>
      <c r="F2375" t="s">
        <v>46268</v>
      </c>
      <c r="G2375" t="s">
        <v>46269</v>
      </c>
      <c r="H2375" t="s">
        <v>46270</v>
      </c>
      <c r="I2375" t="s">
        <v>46271</v>
      </c>
      <c r="J2375" t="s">
        <v>46272</v>
      </c>
      <c r="K2375" t="s">
        <v>46273</v>
      </c>
      <c r="L2375" t="s">
        <v>46274</v>
      </c>
      <c r="M2375" t="s">
        <v>46275</v>
      </c>
      <c r="N2375" t="s">
        <v>46276</v>
      </c>
      <c r="O2375">
        <f>-660.38021747564 -134.259480945352 -507.136962848354</f>
        <v>-1301.7766612693461</v>
      </c>
      <c r="P2375">
        <f>-612.485507046897 -171.039253422056 -231.579429981491</f>
        <v>-1015.104190450444</v>
      </c>
      <c r="Q2375">
        <f>-468.182629348762 -44.3442089514976 -362.245476907793</f>
        <v>-874.77231520805265</v>
      </c>
      <c r="R2375" t="s">
        <v>46277</v>
      </c>
      <c r="S2375" t="s">
        <v>46278</v>
      </c>
      <c r="T2375" t="s">
        <v>46279</v>
      </c>
      <c r="U2375" t="s">
        <v>46280</v>
      </c>
      <c r="V2375">
        <f>-596.099421957101 -43.598836503611 -92.6432955430388</f>
        <v>-732.34155400375073</v>
      </c>
      <c r="W2375" t="s">
        <v>46281</v>
      </c>
      <c r="X2375" t="s">
        <v>46282</v>
      </c>
      <c r="Y2375" t="s">
        <v>46283</v>
      </c>
    </row>
    <row r="2376" spans="1:25" x14ac:dyDescent="0.3">
      <c r="A2376">
        <v>118750</v>
      </c>
      <c r="B2376" t="s">
        <v>46284</v>
      </c>
      <c r="C2376" t="s">
        <v>46285</v>
      </c>
      <c r="D2376" t="s">
        <v>46286</v>
      </c>
      <c r="E2376" t="s">
        <v>46287</v>
      </c>
      <c r="F2376" t="s">
        <v>46288</v>
      </c>
      <c r="G2376" t="s">
        <v>46289</v>
      </c>
      <c r="H2376" t="s">
        <v>46290</v>
      </c>
      <c r="I2376" t="s">
        <v>46291</v>
      </c>
      <c r="J2376" t="s">
        <v>46292</v>
      </c>
      <c r="K2376" t="s">
        <v>46293</v>
      </c>
      <c r="L2376" t="s">
        <v>46294</v>
      </c>
      <c r="M2376" t="s">
        <v>46295</v>
      </c>
      <c r="N2376" t="s">
        <v>46296</v>
      </c>
      <c r="O2376">
        <f>-660.594509238697 -134.427285660519 -507.134175523496</f>
        <v>-1302.155970422712</v>
      </c>
      <c r="P2376">
        <f>-612.637100472164 -171.390043349713 -231.61212039744</f>
        <v>-1015.6392642193169</v>
      </c>
      <c r="Q2376">
        <f>-468.26378188062 -44.5853442461321 -362.093680455836</f>
        <v>-874.94280658258822</v>
      </c>
      <c r="R2376" t="s">
        <v>46297</v>
      </c>
      <c r="S2376" t="s">
        <v>46298</v>
      </c>
      <c r="T2376" t="s">
        <v>46299</v>
      </c>
      <c r="U2376" t="s">
        <v>46300</v>
      </c>
      <c r="V2376">
        <f>-596.122168069778 -43.7518791307525 -92.6525100098529</f>
        <v>-732.52655721038343</v>
      </c>
      <c r="W2376" t="s">
        <v>46301</v>
      </c>
      <c r="X2376" t="s">
        <v>46302</v>
      </c>
      <c r="Y2376" t="s">
        <v>46303</v>
      </c>
    </row>
    <row r="2377" spans="1:25" x14ac:dyDescent="0.3">
      <c r="A2377">
        <v>118800</v>
      </c>
      <c r="B2377" t="s">
        <v>46304</v>
      </c>
      <c r="C2377" t="s">
        <v>46305</v>
      </c>
      <c r="D2377" t="s">
        <v>46306</v>
      </c>
      <c r="E2377" t="s">
        <v>46307</v>
      </c>
      <c r="F2377" t="s">
        <v>46308</v>
      </c>
      <c r="G2377" t="s">
        <v>46309</v>
      </c>
      <c r="H2377" t="s">
        <v>46310</v>
      </c>
      <c r="I2377" t="s">
        <v>46311</v>
      </c>
      <c r="J2377" t="s">
        <v>46312</v>
      </c>
      <c r="K2377" t="s">
        <v>46313</v>
      </c>
      <c r="L2377" t="s">
        <v>46314</v>
      </c>
      <c r="M2377" t="s">
        <v>46315</v>
      </c>
      <c r="N2377" t="s">
        <v>46316</v>
      </c>
      <c r="O2377">
        <f>-661.05562834787 -134.648001791003 -507.151161776894</f>
        <v>-1302.854791915767</v>
      </c>
      <c r="P2377">
        <f>-613.144207090253 -171.894953347611 -231.659415542842</f>
        <v>-1016.698575980706</v>
      </c>
      <c r="Q2377">
        <f>-468.178132219515 -44.5999380621192 -361.001329453621</f>
        <v>-873.7793997352552</v>
      </c>
      <c r="R2377" t="s">
        <v>46317</v>
      </c>
      <c r="S2377" t="s">
        <v>46318</v>
      </c>
      <c r="T2377" t="s">
        <v>46319</v>
      </c>
      <c r="U2377" t="s">
        <v>46320</v>
      </c>
      <c r="V2377">
        <f>-596.159803063831 -44.1513397833305 -92.6784641256153</f>
        <v>-732.98960697277676</v>
      </c>
      <c r="W2377" t="s">
        <v>46321</v>
      </c>
      <c r="X2377" t="s">
        <v>46322</v>
      </c>
      <c r="Y2377" t="s">
        <v>46323</v>
      </c>
    </row>
    <row r="2378" spans="1:25" x14ac:dyDescent="0.3">
      <c r="A2378">
        <v>118850</v>
      </c>
      <c r="B2378" t="s">
        <v>46324</v>
      </c>
      <c r="C2378" t="s">
        <v>46325</v>
      </c>
      <c r="D2378" t="s">
        <v>46326</v>
      </c>
      <c r="E2378" t="s">
        <v>46327</v>
      </c>
      <c r="F2378" t="s">
        <v>46328</v>
      </c>
      <c r="G2378" t="s">
        <v>46329</v>
      </c>
      <c r="H2378" t="s">
        <v>46330</v>
      </c>
      <c r="I2378" t="s">
        <v>46331</v>
      </c>
      <c r="J2378" t="s">
        <v>46332</v>
      </c>
      <c r="K2378" t="s">
        <v>46333</v>
      </c>
      <c r="L2378" t="s">
        <v>46334</v>
      </c>
      <c r="M2378" t="s">
        <v>46335</v>
      </c>
      <c r="N2378" t="s">
        <v>46336</v>
      </c>
      <c r="O2378">
        <f>-661.331367397217 -134.767784396478 -507.171347164358</f>
        <v>-1303.2704989580529</v>
      </c>
      <c r="P2378">
        <f>-613.544876336052 -172.148776535029 -231.676117492906</f>
        <v>-1017.369770363987</v>
      </c>
      <c r="Q2378">
        <f>-468.446539306311 -44.5312124817631 -360.550966049146</f>
        <v>-873.52871783722003</v>
      </c>
      <c r="R2378" t="s">
        <v>46337</v>
      </c>
      <c r="S2378" t="s">
        <v>46338</v>
      </c>
      <c r="T2378" t="s">
        <v>46339</v>
      </c>
      <c r="U2378" t="s">
        <v>46340</v>
      </c>
      <c r="V2378">
        <f>-596.234640238392 -44.3393735259269 -92.6857372783222</f>
        <v>-733.25975104264114</v>
      </c>
      <c r="W2378" t="s">
        <v>46341</v>
      </c>
      <c r="X2378" t="s">
        <v>46342</v>
      </c>
      <c r="Y2378" t="s">
        <v>46343</v>
      </c>
    </row>
    <row r="2379" spans="1:25" x14ac:dyDescent="0.3">
      <c r="A2379">
        <v>118900</v>
      </c>
      <c r="B2379" t="s">
        <v>46344</v>
      </c>
      <c r="C2379" t="s">
        <v>46345</v>
      </c>
      <c r="D2379" t="s">
        <v>46346</v>
      </c>
      <c r="E2379" t="s">
        <v>46347</v>
      </c>
      <c r="F2379" t="s">
        <v>46348</v>
      </c>
      <c r="G2379" t="s">
        <v>46349</v>
      </c>
      <c r="H2379" t="s">
        <v>46350</v>
      </c>
      <c r="I2379" t="s">
        <v>46351</v>
      </c>
      <c r="J2379" t="s">
        <v>46352</v>
      </c>
      <c r="K2379" t="s">
        <v>46353</v>
      </c>
      <c r="L2379" t="s">
        <v>46354</v>
      </c>
      <c r="M2379" t="s">
        <v>46355</v>
      </c>
      <c r="N2379" t="s">
        <v>46356</v>
      </c>
      <c r="O2379">
        <f>-661.790625465409 -134.86254731358 -507.307911887303</f>
        <v>-1303.961084666292</v>
      </c>
      <c r="P2379">
        <f>-614.14269236804 -172.501790630757 -231.823773147432</f>
        <v>-1018.468256146229</v>
      </c>
      <c r="Q2379">
        <f>-469.190945942606 -44.1018326484657 -360.084954812529</f>
        <v>-873.37773340360081</v>
      </c>
      <c r="R2379" t="s">
        <v>46357</v>
      </c>
      <c r="S2379" t="s">
        <v>46358</v>
      </c>
      <c r="T2379" t="s">
        <v>46359</v>
      </c>
      <c r="U2379" t="s">
        <v>46360</v>
      </c>
      <c r="V2379">
        <f>-596.469569155697 -44.5834301137213 -92.7291787367878</f>
        <v>-733.7821780062061</v>
      </c>
      <c r="W2379" t="s">
        <v>46361</v>
      </c>
      <c r="X2379" t="s">
        <v>46362</v>
      </c>
      <c r="Y2379" t="s">
        <v>46363</v>
      </c>
    </row>
    <row r="2380" spans="1:25" x14ac:dyDescent="0.3">
      <c r="A2380">
        <v>118950</v>
      </c>
      <c r="B2380" t="s">
        <v>46364</v>
      </c>
      <c r="C2380" t="s">
        <v>46365</v>
      </c>
      <c r="D2380" t="s">
        <v>46366</v>
      </c>
      <c r="E2380" t="s">
        <v>46367</v>
      </c>
      <c r="F2380" t="s">
        <v>46368</v>
      </c>
      <c r="G2380" t="s">
        <v>46369</v>
      </c>
      <c r="H2380" t="s">
        <v>46370</v>
      </c>
      <c r="I2380" t="s">
        <v>46371</v>
      </c>
      <c r="J2380" t="s">
        <v>46372</v>
      </c>
      <c r="K2380" t="s">
        <v>46373</v>
      </c>
      <c r="L2380" t="s">
        <v>46374</v>
      </c>
      <c r="M2380" t="s">
        <v>46375</v>
      </c>
      <c r="N2380" t="s">
        <v>46376</v>
      </c>
      <c r="O2380">
        <f>-661.958443047592 -134.944597036853 -507.359791497214</f>
        <v>-1304.2628315816592</v>
      </c>
      <c r="P2380">
        <f>-614.399787723539 -172.701804039735 -231.876373380772</f>
        <v>-1018.977965144046</v>
      </c>
      <c r="Q2380">
        <f>-469.44554212855 -44.0505119371453 -359.882799037705</f>
        <v>-873.37885310340027</v>
      </c>
      <c r="R2380" t="s">
        <v>46377</v>
      </c>
      <c r="S2380" t="s">
        <v>46378</v>
      </c>
      <c r="T2380" t="s">
        <v>46379</v>
      </c>
      <c r="U2380" t="s">
        <v>46380</v>
      </c>
      <c r="V2380">
        <f>-596.604188965384 -44.7193709794817 -92.7600708698915</f>
        <v>-734.08363081475716</v>
      </c>
      <c r="W2380" t="s">
        <v>46381</v>
      </c>
      <c r="X2380" t="s">
        <v>46382</v>
      </c>
      <c r="Y2380" t="s">
        <v>46383</v>
      </c>
    </row>
    <row r="2381" spans="1:25" x14ac:dyDescent="0.3">
      <c r="A2381">
        <v>119000</v>
      </c>
      <c r="B2381" t="s">
        <v>46384</v>
      </c>
      <c r="C2381" t="s">
        <v>46385</v>
      </c>
      <c r="D2381" t="s">
        <v>46386</v>
      </c>
      <c r="E2381" t="s">
        <v>46387</v>
      </c>
      <c r="F2381" t="s">
        <v>46388</v>
      </c>
      <c r="G2381" t="s">
        <v>46389</v>
      </c>
      <c r="H2381" t="s">
        <v>46390</v>
      </c>
      <c r="I2381" t="s">
        <v>46391</v>
      </c>
      <c r="J2381" t="s">
        <v>46392</v>
      </c>
      <c r="K2381" t="s">
        <v>46393</v>
      </c>
      <c r="L2381" t="s">
        <v>46394</v>
      </c>
      <c r="M2381" t="s">
        <v>46395</v>
      </c>
      <c r="N2381" t="s">
        <v>46396</v>
      </c>
      <c r="O2381">
        <f>-662.496272421828 -135.019843523478 -507.447902705083</f>
        <v>-1304.9640186503891</v>
      </c>
      <c r="P2381">
        <f>-614.849232513624 -172.808132878292 -231.983919538494</f>
        <v>-1019.6412849304099</v>
      </c>
      <c r="Q2381">
        <f>-470.048553095927 -43.6631178230434 -359.666532043867</f>
        <v>-873.37820296283735</v>
      </c>
      <c r="R2381" t="s">
        <v>46397</v>
      </c>
      <c r="S2381" t="s">
        <v>46398</v>
      </c>
      <c r="T2381" t="s">
        <v>46399</v>
      </c>
      <c r="U2381" t="s">
        <v>46400</v>
      </c>
      <c r="V2381">
        <f>-597.049465914311 -45.0546123524177 -92.7903929716551</f>
        <v>-734.89447123838386</v>
      </c>
      <c r="W2381" t="s">
        <v>46401</v>
      </c>
      <c r="X2381" t="s">
        <v>46402</v>
      </c>
      <c r="Y2381" t="s">
        <v>46403</v>
      </c>
    </row>
    <row r="2382" spans="1:25" x14ac:dyDescent="0.3">
      <c r="A2382">
        <v>119050</v>
      </c>
      <c r="B2382" t="s">
        <v>46404</v>
      </c>
      <c r="C2382" t="s">
        <v>46405</v>
      </c>
      <c r="D2382" t="s">
        <v>46406</v>
      </c>
      <c r="E2382" t="s">
        <v>46407</v>
      </c>
      <c r="F2382" t="s">
        <v>46408</v>
      </c>
      <c r="G2382" t="s">
        <v>46409</v>
      </c>
      <c r="H2382" t="s">
        <v>46410</v>
      </c>
      <c r="I2382" t="s">
        <v>46411</v>
      </c>
      <c r="J2382" t="s">
        <v>46412</v>
      </c>
      <c r="K2382" t="s">
        <v>46413</v>
      </c>
      <c r="L2382" t="s">
        <v>46414</v>
      </c>
      <c r="M2382" t="s">
        <v>46415</v>
      </c>
      <c r="N2382" t="s">
        <v>46416</v>
      </c>
      <c r="O2382">
        <f>-662.879548148326 -134.974174804657 -507.500747533417</f>
        <v>-1305.3544704863998</v>
      </c>
      <c r="P2382">
        <f>-615.046326321644 -172.818784329603 -232.076716755098</f>
        <v>-1019.9418274063449</v>
      </c>
      <c r="Q2382">
        <f>-470.386048400388 -43.4376714112411 -359.679669570082</f>
        <v>-873.50338938171103</v>
      </c>
      <c r="R2382" t="s">
        <v>46417</v>
      </c>
      <c r="S2382" t="s">
        <v>46418</v>
      </c>
      <c r="T2382" t="s">
        <v>46419</v>
      </c>
      <c r="U2382" t="s">
        <v>46420</v>
      </c>
      <c r="V2382">
        <f>-597.290750242996 -45.0795358602177 -92.8005359035502</f>
        <v>-735.17082200676384</v>
      </c>
      <c r="W2382" t="s">
        <v>46421</v>
      </c>
      <c r="X2382" t="s">
        <v>46422</v>
      </c>
      <c r="Y2382" t="s">
        <v>46423</v>
      </c>
    </row>
    <row r="2383" spans="1:25" x14ac:dyDescent="0.3">
      <c r="A2383">
        <v>119100</v>
      </c>
      <c r="B2383" t="s">
        <v>46424</v>
      </c>
      <c r="C2383" t="s">
        <v>46425</v>
      </c>
      <c r="D2383" t="s">
        <v>46426</v>
      </c>
      <c r="E2383" t="s">
        <v>46427</v>
      </c>
      <c r="F2383" t="s">
        <v>46428</v>
      </c>
      <c r="G2383" t="s">
        <v>46429</v>
      </c>
      <c r="H2383" t="s">
        <v>46430</v>
      </c>
      <c r="I2383" t="s">
        <v>46431</v>
      </c>
      <c r="J2383" t="s">
        <v>46432</v>
      </c>
      <c r="K2383" t="s">
        <v>46433</v>
      </c>
      <c r="L2383" t="s">
        <v>46434</v>
      </c>
      <c r="M2383" t="s">
        <v>46435</v>
      </c>
      <c r="N2383" t="s">
        <v>46436</v>
      </c>
      <c r="O2383">
        <f>-663.501227903236 -134.706269744375 -507.605668735019</f>
        <v>-1305.81316638263</v>
      </c>
      <c r="P2383">
        <f>-615.309495246555 -172.819421406935 -232.281200275325</f>
        <v>-1020.410116928815</v>
      </c>
      <c r="Q2383">
        <f>-471.030468137609 -42.8774812128868 -359.745846657507</f>
        <v>-873.6537960080027</v>
      </c>
      <c r="R2383" t="s">
        <v>46437</v>
      </c>
      <c r="S2383" t="s">
        <v>46438</v>
      </c>
      <c r="T2383" t="s">
        <v>46439</v>
      </c>
      <c r="U2383" t="s">
        <v>46440</v>
      </c>
      <c r="V2383">
        <f>-597.750553130473 -45.0001369211464 -92.8146314023332</f>
        <v>-735.56532145395261</v>
      </c>
      <c r="W2383" t="s">
        <v>46441</v>
      </c>
      <c r="X2383" t="s">
        <v>46442</v>
      </c>
      <c r="Y2383" t="s">
        <v>46443</v>
      </c>
    </row>
    <row r="2384" spans="1:25" x14ac:dyDescent="0.3">
      <c r="A2384">
        <v>119150</v>
      </c>
      <c r="B2384" t="s">
        <v>46444</v>
      </c>
      <c r="C2384" t="s">
        <v>46445</v>
      </c>
      <c r="D2384" t="s">
        <v>46446</v>
      </c>
      <c r="E2384" t="s">
        <v>46447</v>
      </c>
      <c r="F2384" t="s">
        <v>46448</v>
      </c>
      <c r="G2384" t="s">
        <v>46449</v>
      </c>
      <c r="H2384" t="s">
        <v>46450</v>
      </c>
      <c r="I2384" t="s">
        <v>46451</v>
      </c>
      <c r="J2384" t="s">
        <v>46452</v>
      </c>
      <c r="K2384" t="s">
        <v>46453</v>
      </c>
      <c r="L2384" t="s">
        <v>46454</v>
      </c>
      <c r="M2384" t="s">
        <v>46455</v>
      </c>
      <c r="N2384" t="s">
        <v>46456</v>
      </c>
      <c r="O2384">
        <f>-663.82099511399 -134.623388240381 -507.598473495229</f>
        <v>-1306.0428568496</v>
      </c>
      <c r="P2384">
        <f>-615.541894012413 -172.803927006312 -232.298749439025</f>
        <v>-1020.64457045775</v>
      </c>
      <c r="Q2384">
        <f>-471.460874361973 -42.593483192363 -359.713059621495</f>
        <v>-873.76741717583104</v>
      </c>
      <c r="R2384" t="s">
        <v>46457</v>
      </c>
      <c r="S2384" t="s">
        <v>46458</v>
      </c>
      <c r="T2384" t="s">
        <v>46459</v>
      </c>
      <c r="U2384" t="s">
        <v>46460</v>
      </c>
      <c r="V2384">
        <f>-597.928686872352 -44.9348003184559 -92.8060310909266</f>
        <v>-735.66951828173455</v>
      </c>
      <c r="W2384" t="s">
        <v>46461</v>
      </c>
      <c r="X2384" t="s">
        <v>46462</v>
      </c>
      <c r="Y2384" t="s">
        <v>46463</v>
      </c>
    </row>
    <row r="2385" spans="1:25" x14ac:dyDescent="0.3">
      <c r="A2385">
        <v>119200</v>
      </c>
      <c r="B2385" t="s">
        <v>46464</v>
      </c>
      <c r="C2385" t="s">
        <v>46465</v>
      </c>
      <c r="D2385" t="s">
        <v>46466</v>
      </c>
      <c r="E2385" t="s">
        <v>46467</v>
      </c>
      <c r="F2385" t="s">
        <v>46468</v>
      </c>
      <c r="G2385" t="s">
        <v>46469</v>
      </c>
      <c r="H2385" t="s">
        <v>46470</v>
      </c>
      <c r="I2385" t="s">
        <v>46471</v>
      </c>
      <c r="J2385" t="s">
        <v>46472</v>
      </c>
      <c r="K2385" t="s">
        <v>46473</v>
      </c>
      <c r="L2385" t="s">
        <v>46474</v>
      </c>
      <c r="M2385" t="s">
        <v>46475</v>
      </c>
      <c r="N2385" t="s">
        <v>46476</v>
      </c>
      <c r="O2385">
        <f>-664.345169915485 -134.648969760368 -507.511844665564</f>
        <v>-1306.5059843414169</v>
      </c>
      <c r="P2385">
        <f>-616.273620398914 -172.640543724802 -232.149734703542</f>
        <v>-1021.063898827258</v>
      </c>
      <c r="Q2385">
        <f>-472.533827991238 -41.7667809165575 -359.269581706569</f>
        <v>-873.57019061436449</v>
      </c>
      <c r="R2385" t="s">
        <v>46477</v>
      </c>
      <c r="S2385" t="s">
        <v>46478</v>
      </c>
      <c r="T2385" t="s">
        <v>46479</v>
      </c>
      <c r="U2385" t="s">
        <v>46480</v>
      </c>
      <c r="V2385">
        <f>-598.286144512318 -44.8975009924652 -92.7741691217426</f>
        <v>-735.95781462652576</v>
      </c>
      <c r="W2385" t="s">
        <v>46481</v>
      </c>
      <c r="X2385" t="s">
        <v>46482</v>
      </c>
      <c r="Y2385" t="s">
        <v>46483</v>
      </c>
    </row>
    <row r="2386" spans="1:25" x14ac:dyDescent="0.3">
      <c r="A2386">
        <v>119250</v>
      </c>
      <c r="B2386" t="s">
        <v>46484</v>
      </c>
      <c r="C2386" t="s">
        <v>46485</v>
      </c>
      <c r="D2386" t="s">
        <v>46486</v>
      </c>
      <c r="E2386" t="s">
        <v>46487</v>
      </c>
      <c r="F2386" t="s">
        <v>46488</v>
      </c>
      <c r="G2386" t="s">
        <v>46489</v>
      </c>
      <c r="H2386" t="s">
        <v>46490</v>
      </c>
      <c r="I2386" t="s">
        <v>46491</v>
      </c>
      <c r="J2386" t="s">
        <v>46492</v>
      </c>
      <c r="K2386" t="s">
        <v>46493</v>
      </c>
      <c r="L2386" t="s">
        <v>46494</v>
      </c>
      <c r="M2386" t="s">
        <v>46495</v>
      </c>
      <c r="N2386" t="s">
        <v>46496</v>
      </c>
      <c r="O2386">
        <f>-664.522103228791 -134.727004588305 -507.437534986833</f>
        <v>-1306.6866428039291</v>
      </c>
      <c r="P2386">
        <f>-616.579321567012 -172.634962890486 -232.041444060627</f>
        <v>-1021.255728518125</v>
      </c>
      <c r="Q2386">
        <f>-473.050392995818 -41.2963406504941 -358.919687073178</f>
        <v>-873.26642071949016</v>
      </c>
      <c r="R2386" t="s">
        <v>46497</v>
      </c>
      <c r="S2386" t="s">
        <v>46498</v>
      </c>
      <c r="T2386" t="s">
        <v>46499</v>
      </c>
      <c r="U2386" t="s">
        <v>46500</v>
      </c>
      <c r="V2386">
        <f>-598.402823034181 -44.8444076049527 -92.7683336827993</f>
        <v>-736.01556432193297</v>
      </c>
      <c r="W2386" t="s">
        <v>46501</v>
      </c>
      <c r="X2386" t="s">
        <v>46502</v>
      </c>
      <c r="Y2386" t="s">
        <v>46503</v>
      </c>
    </row>
    <row r="2387" spans="1:25" x14ac:dyDescent="0.3">
      <c r="A2387">
        <v>119300</v>
      </c>
      <c r="B2387" t="s">
        <v>46504</v>
      </c>
      <c r="C2387" t="s">
        <v>46505</v>
      </c>
      <c r="D2387" t="s">
        <v>46506</v>
      </c>
      <c r="E2387" t="s">
        <v>46507</v>
      </c>
      <c r="F2387" t="s">
        <v>46508</v>
      </c>
      <c r="G2387" t="s">
        <v>46509</v>
      </c>
      <c r="H2387" t="s">
        <v>46510</v>
      </c>
      <c r="I2387" t="s">
        <v>46511</v>
      </c>
      <c r="J2387" t="s">
        <v>46512</v>
      </c>
      <c r="K2387" t="s">
        <v>46513</v>
      </c>
      <c r="L2387" t="s">
        <v>46514</v>
      </c>
      <c r="M2387" t="s">
        <v>46515</v>
      </c>
      <c r="N2387" t="s">
        <v>46516</v>
      </c>
      <c r="O2387">
        <f>-664.793638986662 -134.796466054132 -507.296716937485</f>
        <v>-1306.8868219782789</v>
      </c>
      <c r="P2387">
        <f>-616.974739614778 -172.456459004924 -231.844925493494</f>
        <v>-1021.2761241131959</v>
      </c>
      <c r="Q2387">
        <f>-473.936199253561 -40.0916860781279 -358.20998108534</f>
        <v>-872.23786641702895</v>
      </c>
      <c r="R2387" t="s">
        <v>46517</v>
      </c>
      <c r="S2387" t="s">
        <v>46518</v>
      </c>
      <c r="T2387" t="s">
        <v>46519</v>
      </c>
      <c r="U2387" t="s">
        <v>46520</v>
      </c>
      <c r="V2387">
        <f>-598.623453519226 -44.6778340729236 -92.7431257597087</f>
        <v>-736.04441335185834</v>
      </c>
      <c r="W2387" t="s">
        <v>46521</v>
      </c>
      <c r="X2387" t="s">
        <v>46522</v>
      </c>
      <c r="Y2387" t="s">
        <v>46523</v>
      </c>
    </row>
    <row r="2388" spans="1:25" x14ac:dyDescent="0.3">
      <c r="A2388">
        <v>119350</v>
      </c>
      <c r="B2388" t="s">
        <v>46524</v>
      </c>
      <c r="C2388" t="s">
        <v>46525</v>
      </c>
      <c r="D2388" t="s">
        <v>46526</v>
      </c>
      <c r="E2388" t="s">
        <v>46527</v>
      </c>
      <c r="F2388" t="s">
        <v>46528</v>
      </c>
      <c r="G2388" t="s">
        <v>46529</v>
      </c>
      <c r="H2388" t="s">
        <v>46530</v>
      </c>
      <c r="I2388" t="s">
        <v>46531</v>
      </c>
      <c r="J2388" t="s">
        <v>46532</v>
      </c>
      <c r="K2388" t="s">
        <v>46533</v>
      </c>
      <c r="L2388" t="s">
        <v>46534</v>
      </c>
      <c r="M2388" t="s">
        <v>46535</v>
      </c>
      <c r="N2388" t="s">
        <v>46536</v>
      </c>
      <c r="O2388">
        <f>-664.938369279083 -134.752471247095 -507.255835002736</f>
        <v>-1306.9466755289138</v>
      </c>
      <c r="P2388">
        <f>-617.129962499759 -172.286843590625 -231.785117532486</f>
        <v>-1021.20192362287</v>
      </c>
      <c r="Q2388">
        <f>-474.378874932844 -39.4240378938259 -357.952398513691</f>
        <v>-871.75531134036078</v>
      </c>
      <c r="R2388" t="s">
        <v>46537</v>
      </c>
      <c r="S2388" t="s">
        <v>46538</v>
      </c>
      <c r="T2388" t="s">
        <v>46539</v>
      </c>
      <c r="U2388" t="s">
        <v>46540</v>
      </c>
      <c r="V2388">
        <f>-598.739777548358 -44.5027168930569 -92.7187776935165</f>
        <v>-735.96127213493139</v>
      </c>
      <c r="W2388" t="s">
        <v>46541</v>
      </c>
      <c r="X2388" t="s">
        <v>46542</v>
      </c>
      <c r="Y2388" t="s">
        <v>46543</v>
      </c>
    </row>
    <row r="2389" spans="1:25" x14ac:dyDescent="0.3">
      <c r="A2389">
        <v>119400</v>
      </c>
      <c r="B2389" t="s">
        <v>46544</v>
      </c>
      <c r="C2389" t="s">
        <v>46545</v>
      </c>
      <c r="D2389" t="s">
        <v>46546</v>
      </c>
      <c r="E2389" t="s">
        <v>46547</v>
      </c>
      <c r="F2389" t="s">
        <v>46548</v>
      </c>
      <c r="G2389" t="s">
        <v>46549</v>
      </c>
      <c r="H2389" t="s">
        <v>46550</v>
      </c>
      <c r="I2389" t="s">
        <v>46551</v>
      </c>
      <c r="J2389" t="s">
        <v>46552</v>
      </c>
      <c r="K2389" t="s">
        <v>46553</v>
      </c>
      <c r="L2389" t="s">
        <v>46554</v>
      </c>
      <c r="M2389" t="s">
        <v>46555</v>
      </c>
      <c r="N2389" t="s">
        <v>46556</v>
      </c>
      <c r="O2389">
        <f>-665.806646875127 -134.411220421165 -507.241156786973</f>
        <v>-1307.4590240832649</v>
      </c>
      <c r="P2389">
        <f>-617.741582125632 -172.098856812132 -231.836023561239</f>
        <v>-1021.676462499003</v>
      </c>
      <c r="Q2389">
        <f>-475.706784243855 -38.1080850927215 -357.618008745761</f>
        <v>-871.43287808233754</v>
      </c>
      <c r="R2389" t="s">
        <v>46557</v>
      </c>
      <c r="S2389" t="s">
        <v>46558</v>
      </c>
      <c r="T2389" t="s">
        <v>46559</v>
      </c>
      <c r="U2389" t="s">
        <v>46560</v>
      </c>
      <c r="V2389">
        <f>-599.018945789887 -44.0208006071898 -92.6763746514988</f>
        <v>-735.71612104857559</v>
      </c>
      <c r="W2389" t="s">
        <v>46561</v>
      </c>
      <c r="X2389" t="s">
        <v>46562</v>
      </c>
      <c r="Y2389" t="s">
        <v>46563</v>
      </c>
    </row>
    <row r="2390" spans="1:25" x14ac:dyDescent="0.3">
      <c r="A2390">
        <v>119450</v>
      </c>
      <c r="B2390" t="s">
        <v>46564</v>
      </c>
      <c r="C2390" t="s">
        <v>46565</v>
      </c>
      <c r="D2390" t="s">
        <v>46566</v>
      </c>
      <c r="E2390" t="s">
        <v>46567</v>
      </c>
      <c r="F2390" t="s">
        <v>46568</v>
      </c>
      <c r="G2390" t="s">
        <v>46569</v>
      </c>
      <c r="H2390" t="s">
        <v>46570</v>
      </c>
      <c r="I2390" t="s">
        <v>46571</v>
      </c>
      <c r="J2390" t="s">
        <v>46572</v>
      </c>
      <c r="K2390" t="s">
        <v>46573</v>
      </c>
      <c r="L2390" t="s">
        <v>46574</v>
      </c>
      <c r="M2390" t="s">
        <v>46575</v>
      </c>
      <c r="N2390" t="s">
        <v>46576</v>
      </c>
      <c r="O2390">
        <f>-666.446830676807 -134.330537275737 -507.284046672612</f>
        <v>-1308.061414625156</v>
      </c>
      <c r="P2390">
        <f>-618.050997467494 -172.255427610193 -231.969595329885</f>
        <v>-1022.276020407572</v>
      </c>
      <c r="Q2390">
        <f>-476.479331386109 -37.5576968384064 -357.518556870812</f>
        <v>-871.55558509532739</v>
      </c>
      <c r="R2390" t="s">
        <v>46577</v>
      </c>
      <c r="S2390" t="s">
        <v>46578</v>
      </c>
      <c r="T2390" t="s">
        <v>46579</v>
      </c>
      <c r="U2390" t="s">
        <v>46580</v>
      </c>
      <c r="V2390">
        <f>-599.238480442998 -43.8046619751731 -92.6740410780181</f>
        <v>-735.71718349618925</v>
      </c>
      <c r="W2390" t="s">
        <v>46581</v>
      </c>
      <c r="X2390" t="s">
        <v>46582</v>
      </c>
      <c r="Y2390" t="s">
        <v>46583</v>
      </c>
    </row>
    <row r="2391" spans="1:25" x14ac:dyDescent="0.3">
      <c r="A2391">
        <v>119500</v>
      </c>
      <c r="B2391" t="s">
        <v>46584</v>
      </c>
      <c r="C2391" t="s">
        <v>46585</v>
      </c>
      <c r="D2391" t="s">
        <v>46586</v>
      </c>
      <c r="E2391" t="s">
        <v>46587</v>
      </c>
      <c r="F2391" t="s">
        <v>46588</v>
      </c>
      <c r="G2391" t="s">
        <v>46589</v>
      </c>
      <c r="H2391" t="s">
        <v>46590</v>
      </c>
      <c r="I2391" t="s">
        <v>46591</v>
      </c>
      <c r="J2391" t="s">
        <v>46592</v>
      </c>
      <c r="K2391" t="s">
        <v>46593</v>
      </c>
      <c r="L2391" t="s">
        <v>46594</v>
      </c>
      <c r="M2391" t="s">
        <v>46595</v>
      </c>
      <c r="N2391" t="s">
        <v>46596</v>
      </c>
      <c r="O2391">
        <f>-667.895964693595 -134.404240717888 -507.25238187304</f>
        <v>-1309.552587284523</v>
      </c>
      <c r="P2391">
        <f>-618.781836314915 -172.957281206812 -232.152348453923</f>
        <v>-1023.89146597565</v>
      </c>
      <c r="Q2391">
        <f>-478.355245260471 -36.8228535700048 -357.437347118152</f>
        <v>-872.61544594862789</v>
      </c>
      <c r="R2391" t="s">
        <v>46597</v>
      </c>
      <c r="S2391" t="s">
        <v>46598</v>
      </c>
      <c r="T2391" t="s">
        <v>46599</v>
      </c>
      <c r="U2391" t="s">
        <v>46600</v>
      </c>
      <c r="V2391">
        <f>-599.919086318779 -43.3397363118193 -92.6556220063472</f>
        <v>-735.91444463694552</v>
      </c>
      <c r="W2391" t="s">
        <v>46601</v>
      </c>
      <c r="X2391" t="s">
        <v>46602</v>
      </c>
      <c r="Y2391" t="s">
        <v>46603</v>
      </c>
    </row>
    <row r="2392" spans="1:25" x14ac:dyDescent="0.3">
      <c r="A2392">
        <v>119550</v>
      </c>
      <c r="B2392" t="s">
        <v>46604</v>
      </c>
      <c r="C2392" t="s">
        <v>46605</v>
      </c>
      <c r="D2392" t="s">
        <v>46606</v>
      </c>
      <c r="E2392" t="s">
        <v>46607</v>
      </c>
      <c r="F2392" t="s">
        <v>46608</v>
      </c>
      <c r="G2392" t="s">
        <v>46609</v>
      </c>
      <c r="H2392" t="s">
        <v>46610</v>
      </c>
      <c r="I2392" t="s">
        <v>46611</v>
      </c>
      <c r="J2392" t="s">
        <v>46612</v>
      </c>
      <c r="K2392" t="s">
        <v>46613</v>
      </c>
      <c r="L2392" t="s">
        <v>46614</v>
      </c>
      <c r="M2392" t="s">
        <v>46615</v>
      </c>
      <c r="N2392" t="s">
        <v>46616</v>
      </c>
      <c r="O2392">
        <f>-668.682777035325 -134.519990793257 -507.167936732345</f>
        <v>-1310.3707045609269</v>
      </c>
      <c r="P2392">
        <f>-619.063272149324 -173.191356816169 -232.175164970639</f>
        <v>-1024.429793936132</v>
      </c>
      <c r="Q2392">
        <f>-479.284317380386 -36.3933126707909 -357.461309192712</f>
        <v>-873.1389392438889</v>
      </c>
      <c r="R2392" t="s">
        <v>46617</v>
      </c>
      <c r="S2392" t="s">
        <v>46618</v>
      </c>
      <c r="T2392" t="s">
        <v>46619</v>
      </c>
      <c r="U2392" t="s">
        <v>46620</v>
      </c>
      <c r="V2392">
        <f>-600.255952985621 -43.1712869761348 -92.6508956179391</f>
        <v>-736.07813557969484</v>
      </c>
      <c r="W2392" t="s">
        <v>46621</v>
      </c>
      <c r="X2392" t="s">
        <v>46622</v>
      </c>
      <c r="Y2392" t="s">
        <v>46623</v>
      </c>
    </row>
    <row r="2393" spans="1:25" x14ac:dyDescent="0.3">
      <c r="A2393">
        <v>119600</v>
      </c>
      <c r="B2393" t="s">
        <v>46624</v>
      </c>
      <c r="C2393" t="s">
        <v>46625</v>
      </c>
      <c r="D2393" t="s">
        <v>46626</v>
      </c>
      <c r="E2393" t="s">
        <v>46627</v>
      </c>
      <c r="F2393" t="s">
        <v>46628</v>
      </c>
      <c r="G2393" t="s">
        <v>46629</v>
      </c>
      <c r="H2393" t="s">
        <v>46630</v>
      </c>
      <c r="I2393" t="s">
        <v>46631</v>
      </c>
      <c r="J2393" t="s">
        <v>46632</v>
      </c>
      <c r="K2393" t="s">
        <v>46633</v>
      </c>
      <c r="L2393" t="s">
        <v>46634</v>
      </c>
      <c r="M2393" t="s">
        <v>46635</v>
      </c>
      <c r="N2393" t="s">
        <v>46636</v>
      </c>
      <c r="O2393">
        <f>-670.576454066367 -135.031520284898 -506.729700251265</f>
        <v>-1312.3376746025299</v>
      </c>
      <c r="P2393">
        <f>-619.98622641081 -173.459161652325 -231.879796521567</f>
        <v>-1025.3251845847019</v>
      </c>
      <c r="Q2393">
        <f>-481.14250266032 -35.9928354445317 -357.474088851679</f>
        <v>-874.6094269565308</v>
      </c>
      <c r="R2393" t="s">
        <v>46637</v>
      </c>
      <c r="S2393" t="s">
        <v>46638</v>
      </c>
      <c r="T2393" t="s">
        <v>46639</v>
      </c>
      <c r="U2393" t="s">
        <v>46640</v>
      </c>
      <c r="V2393">
        <f>-601.082810074941 -43.1405540328408 -92.6379039051833</f>
        <v>-736.86126801296507</v>
      </c>
      <c r="W2393" t="s">
        <v>46641</v>
      </c>
      <c r="X2393" t="s">
        <v>46642</v>
      </c>
      <c r="Y2393" t="s">
        <v>46643</v>
      </c>
    </row>
    <row r="2394" spans="1:25" x14ac:dyDescent="0.3">
      <c r="A2394">
        <v>119650</v>
      </c>
      <c r="B2394" t="s">
        <v>46644</v>
      </c>
      <c r="C2394" t="s">
        <v>46645</v>
      </c>
      <c r="D2394" t="s">
        <v>46646</v>
      </c>
      <c r="E2394" t="s">
        <v>46647</v>
      </c>
      <c r="F2394" t="s">
        <v>46648</v>
      </c>
      <c r="G2394" t="s">
        <v>46649</v>
      </c>
      <c r="H2394" t="s">
        <v>46650</v>
      </c>
      <c r="I2394" t="s">
        <v>46651</v>
      </c>
      <c r="J2394" t="s">
        <v>46652</v>
      </c>
      <c r="K2394" t="s">
        <v>46653</v>
      </c>
      <c r="L2394" t="s">
        <v>46654</v>
      </c>
      <c r="M2394" t="s">
        <v>46655</v>
      </c>
      <c r="N2394" t="s">
        <v>46656</v>
      </c>
      <c r="O2394">
        <f>-671.751200854146 -135.40587744658 -506.416456768796</f>
        <v>-1313.573535069522</v>
      </c>
      <c r="P2394">
        <f>-620.782838660673 -173.606274858265 -231.604618145956</f>
        <v>-1025.9937316648939</v>
      </c>
      <c r="Q2394">
        <f>-482.205113439958 -36.0824704398194 -357.429760982811</f>
        <v>-875.71734486258833</v>
      </c>
      <c r="R2394" t="s">
        <v>46657</v>
      </c>
      <c r="S2394" t="s">
        <v>46658</v>
      </c>
      <c r="T2394" t="s">
        <v>46659</v>
      </c>
      <c r="U2394" t="s">
        <v>46660</v>
      </c>
      <c r="V2394">
        <f>-601.589706627413 -43.1993295861007 -92.6232775457233</f>
        <v>-737.41231375923701</v>
      </c>
      <c r="W2394" t="s">
        <v>46661</v>
      </c>
      <c r="X2394" t="s">
        <v>46662</v>
      </c>
      <c r="Y2394" t="s">
        <v>46663</v>
      </c>
    </row>
    <row r="2395" spans="1:25" x14ac:dyDescent="0.3">
      <c r="A2395">
        <v>119700</v>
      </c>
      <c r="B2395" t="s">
        <v>46664</v>
      </c>
      <c r="C2395" t="s">
        <v>46665</v>
      </c>
      <c r="D2395" t="s">
        <v>46666</v>
      </c>
      <c r="E2395" t="s">
        <v>46667</v>
      </c>
      <c r="F2395" t="s">
        <v>46668</v>
      </c>
      <c r="G2395" t="s">
        <v>46669</v>
      </c>
      <c r="H2395" t="s">
        <v>46670</v>
      </c>
      <c r="I2395" t="s">
        <v>46671</v>
      </c>
      <c r="J2395" t="s">
        <v>46672</v>
      </c>
      <c r="K2395" t="s">
        <v>46673</v>
      </c>
      <c r="L2395" t="s">
        <v>46674</v>
      </c>
      <c r="M2395" t="s">
        <v>46675</v>
      </c>
      <c r="N2395" t="s">
        <v>46676</v>
      </c>
      <c r="O2395">
        <f>-673.854099209754 -136.009492753356 -505.790765791024</f>
        <v>-1315.654357754134</v>
      </c>
      <c r="P2395">
        <f>-622.376581831252 -173.796019630357 -231.016596297039</f>
        <v>-1027.1891977586481</v>
      </c>
      <c r="Q2395">
        <f>-483.815686558464 -36.9311335726927 -357.57647953096</f>
        <v>-878.32329966211671</v>
      </c>
      <c r="R2395" t="s">
        <v>46677</v>
      </c>
      <c r="S2395" t="s">
        <v>46678</v>
      </c>
      <c r="T2395" t="s">
        <v>46679</v>
      </c>
      <c r="U2395" t="s">
        <v>46680</v>
      </c>
      <c r="V2395">
        <f>-602.49829630571 -43.4079334609578 -92.5803276326102</f>
        <v>-738.48655739927801</v>
      </c>
      <c r="W2395" t="s">
        <v>46681</v>
      </c>
      <c r="X2395" t="s">
        <v>46682</v>
      </c>
      <c r="Y2395" t="s">
        <v>46683</v>
      </c>
    </row>
    <row r="2396" spans="1:25" x14ac:dyDescent="0.3">
      <c r="A2396">
        <v>119750</v>
      </c>
      <c r="B2396" t="s">
        <v>46684</v>
      </c>
      <c r="C2396" t="s">
        <v>46685</v>
      </c>
      <c r="D2396" t="s">
        <v>46686</v>
      </c>
      <c r="E2396" t="s">
        <v>46687</v>
      </c>
      <c r="F2396" t="s">
        <v>46688</v>
      </c>
      <c r="G2396" t="s">
        <v>46689</v>
      </c>
      <c r="H2396" t="s">
        <v>46690</v>
      </c>
      <c r="I2396" t="s">
        <v>46691</v>
      </c>
      <c r="J2396" t="s">
        <v>46692</v>
      </c>
      <c r="K2396" t="s">
        <v>46693</v>
      </c>
      <c r="L2396" t="s">
        <v>46694</v>
      </c>
      <c r="M2396" t="s">
        <v>46695</v>
      </c>
      <c r="N2396" t="s">
        <v>46696</v>
      </c>
      <c r="O2396">
        <f>-674.579457856981 -136.182655264259 -505.546642568837</f>
        <v>-1316.3087556900769</v>
      </c>
      <c r="P2396">
        <f>-623.279637764545 -173.848299420875 -230.722786064792</f>
        <v>-1027.850723250212</v>
      </c>
      <c r="Q2396">
        <f>-484.340145565772 -37.6889489801538 -357.628235028735</f>
        <v>-879.65732957466071</v>
      </c>
      <c r="R2396" t="s">
        <v>46697</v>
      </c>
      <c r="S2396" t="s">
        <v>46698</v>
      </c>
      <c r="T2396" t="s">
        <v>46699</v>
      </c>
      <c r="U2396" t="s">
        <v>46700</v>
      </c>
      <c r="V2396">
        <f>-602.870540898561 -43.4290325209743 -92.566255594435</f>
        <v>-738.86582901397026</v>
      </c>
      <c r="W2396" t="s">
        <v>46701</v>
      </c>
      <c r="X2396" t="s">
        <v>46702</v>
      </c>
      <c r="Y2396" t="s">
        <v>46703</v>
      </c>
    </row>
    <row r="2397" spans="1:25" x14ac:dyDescent="0.3">
      <c r="A2397">
        <v>119800</v>
      </c>
      <c r="B2397" t="s">
        <v>46704</v>
      </c>
      <c r="C2397" t="s">
        <v>46705</v>
      </c>
      <c r="D2397" t="s">
        <v>46706</v>
      </c>
      <c r="E2397" t="s">
        <v>46707</v>
      </c>
      <c r="F2397" t="s">
        <v>46708</v>
      </c>
      <c r="G2397" t="s">
        <v>46709</v>
      </c>
      <c r="H2397" t="s">
        <v>46710</v>
      </c>
      <c r="I2397" t="s">
        <v>46711</v>
      </c>
      <c r="J2397" t="s">
        <v>46712</v>
      </c>
      <c r="K2397" t="s">
        <v>46713</v>
      </c>
      <c r="L2397" t="s">
        <v>46714</v>
      </c>
      <c r="M2397" t="s">
        <v>46715</v>
      </c>
      <c r="N2397" t="s">
        <v>46716</v>
      </c>
      <c r="O2397">
        <f>-675.846320362127 -136.426457681758 -505.109475769028</f>
        <v>-1317.3822538129129</v>
      </c>
      <c r="P2397">
        <f>-625.050425018057 -173.848213623565 -230.158625720848</f>
        <v>-1029.0572643624701</v>
      </c>
      <c r="Q2397">
        <f>-485.277275207432 -38.9064398027256 -357.448473848682</f>
        <v>-881.63218885883953</v>
      </c>
      <c r="R2397" t="s">
        <v>46717</v>
      </c>
      <c r="S2397" t="s">
        <v>46718</v>
      </c>
      <c r="T2397" t="s">
        <v>46719</v>
      </c>
      <c r="U2397" t="s">
        <v>46720</v>
      </c>
      <c r="V2397">
        <f>-603.378158946414 -43.4180787171135 -92.4786535834116</f>
        <v>-739.27489124693921</v>
      </c>
      <c r="W2397" t="s">
        <v>46721</v>
      </c>
      <c r="X2397" t="s">
        <v>46722</v>
      </c>
      <c r="Y2397" t="s">
        <v>46723</v>
      </c>
    </row>
    <row r="2398" spans="1:25" x14ac:dyDescent="0.3">
      <c r="A2398">
        <v>119850</v>
      </c>
      <c r="B2398" t="s">
        <v>46724</v>
      </c>
      <c r="C2398" t="s">
        <v>46725</v>
      </c>
      <c r="D2398" t="s">
        <v>46726</v>
      </c>
      <c r="E2398" t="s">
        <v>46727</v>
      </c>
      <c r="F2398" t="s">
        <v>46728</v>
      </c>
      <c r="G2398" t="s">
        <v>46729</v>
      </c>
      <c r="H2398" t="s">
        <v>46730</v>
      </c>
      <c r="I2398" t="s">
        <v>46731</v>
      </c>
      <c r="J2398" t="s">
        <v>46732</v>
      </c>
      <c r="K2398" t="s">
        <v>46733</v>
      </c>
      <c r="L2398" t="s">
        <v>46734</v>
      </c>
      <c r="M2398" t="s">
        <v>46735</v>
      </c>
      <c r="N2398" t="s">
        <v>46736</v>
      </c>
      <c r="O2398">
        <f>-676.282016266953 -136.4375182716 -504.843021360764</f>
        <v>-1317.562555899317</v>
      </c>
      <c r="P2398">
        <f>-625.637668434166 -173.539828742251 -229.820998996637</f>
        <v>-1028.998496173054</v>
      </c>
      <c r="Q2398">
        <f>-485.399301737732 -39.3631149149135 -357.407769992884</f>
        <v>-882.1701866455295</v>
      </c>
      <c r="R2398" t="s">
        <v>46737</v>
      </c>
      <c r="S2398" t="s">
        <v>46738</v>
      </c>
      <c r="T2398" t="s">
        <v>46739</v>
      </c>
      <c r="U2398" t="s">
        <v>46740</v>
      </c>
      <c r="V2398">
        <f>-603.451306960299 -43.3649065929776 -92.4233915871312</f>
        <v>-739.23960514040778</v>
      </c>
      <c r="W2398" t="s">
        <v>46741</v>
      </c>
      <c r="X2398" t="s">
        <v>46742</v>
      </c>
      <c r="Y2398" t="s">
        <v>46743</v>
      </c>
    </row>
    <row r="2399" spans="1:25" x14ac:dyDescent="0.3">
      <c r="A2399">
        <v>119900</v>
      </c>
      <c r="B2399" t="s">
        <v>46744</v>
      </c>
      <c r="C2399" t="s">
        <v>46745</v>
      </c>
      <c r="D2399" t="s">
        <v>46746</v>
      </c>
      <c r="E2399" t="s">
        <v>46747</v>
      </c>
      <c r="F2399" t="s">
        <v>46748</v>
      </c>
      <c r="G2399" t="s">
        <v>46749</v>
      </c>
      <c r="H2399" t="s">
        <v>46750</v>
      </c>
      <c r="I2399" t="s">
        <v>46751</v>
      </c>
      <c r="J2399" t="s">
        <v>46752</v>
      </c>
      <c r="K2399" t="s">
        <v>46753</v>
      </c>
      <c r="L2399" t="s">
        <v>46754</v>
      </c>
      <c r="M2399" t="s">
        <v>46755</v>
      </c>
      <c r="N2399" t="s">
        <v>46756</v>
      </c>
      <c r="O2399">
        <f>-675.976860997723 -136.393481944634 -504.476852941222</f>
        <v>-1316.8471958835789</v>
      </c>
      <c r="P2399">
        <f>-626.202460398927 -172.967927291508 -229.225334506311</f>
        <v>-1028.395722196746</v>
      </c>
      <c r="Q2399">
        <f>-484.597398518225 -40.6212558802633 -357.213129882021</f>
        <v>-882.43178428050931</v>
      </c>
      <c r="R2399" t="s">
        <v>46757</v>
      </c>
      <c r="S2399" t="s">
        <v>46758</v>
      </c>
      <c r="T2399" t="s">
        <v>46759</v>
      </c>
      <c r="U2399" t="s">
        <v>46760</v>
      </c>
      <c r="V2399">
        <f>-603.256745222898 -43.232591229219 -92.3506424309426</f>
        <v>-738.83997888305953</v>
      </c>
      <c r="W2399" t="s">
        <v>46761</v>
      </c>
      <c r="X2399" t="s">
        <v>46762</v>
      </c>
      <c r="Y2399" t="s">
        <v>46763</v>
      </c>
    </row>
    <row r="2400" spans="1:25" x14ac:dyDescent="0.3">
      <c r="A2400">
        <v>119950</v>
      </c>
      <c r="B2400" t="s">
        <v>46764</v>
      </c>
      <c r="C2400" t="s">
        <v>46765</v>
      </c>
      <c r="D2400" t="s">
        <v>46766</v>
      </c>
      <c r="E2400" t="s">
        <v>46767</v>
      </c>
      <c r="F2400" t="s">
        <v>46768</v>
      </c>
      <c r="G2400" t="s">
        <v>46769</v>
      </c>
      <c r="H2400" t="s">
        <v>46770</v>
      </c>
      <c r="I2400" t="s">
        <v>46771</v>
      </c>
      <c r="J2400" t="s">
        <v>46772</v>
      </c>
      <c r="K2400" t="s">
        <v>46773</v>
      </c>
      <c r="L2400" t="s">
        <v>46774</v>
      </c>
      <c r="M2400" t="s">
        <v>46775</v>
      </c>
      <c r="N2400" t="s">
        <v>46776</v>
      </c>
      <c r="O2400">
        <f>-675.688021713009 -136.45448328368 -504.347758358151</f>
        <v>-1316.49026335484</v>
      </c>
      <c r="P2400">
        <f>-626.398218470062 -172.782206962882 -228.976466498343</f>
        <v>-1028.156891931287</v>
      </c>
      <c r="Q2400">
        <f>-484.11816121723 -41.2528910357187 -357.058064130197</f>
        <v>-882.42911638314581</v>
      </c>
      <c r="R2400" t="s">
        <v>46777</v>
      </c>
      <c r="S2400" t="s">
        <v>46778</v>
      </c>
      <c r="T2400" t="s">
        <v>46779</v>
      </c>
      <c r="U2400" t="s">
        <v>46780</v>
      </c>
      <c r="V2400">
        <f>-602.989420024197 -43.1968742877471 -92.3254839195268</f>
        <v>-738.51177823147088</v>
      </c>
      <c r="W2400" t="s">
        <v>46781</v>
      </c>
      <c r="X2400" t="s">
        <v>46782</v>
      </c>
      <c r="Y2400" t="s">
        <v>46783</v>
      </c>
    </row>
    <row r="2401" spans="1:25" x14ac:dyDescent="0.3">
      <c r="A2401">
        <v>120000</v>
      </c>
      <c r="B2401" t="s">
        <v>46784</v>
      </c>
      <c r="C2401" t="s">
        <v>46785</v>
      </c>
      <c r="D2401" t="s">
        <v>46786</v>
      </c>
      <c r="E2401" t="s">
        <v>46787</v>
      </c>
      <c r="F2401" t="s">
        <v>46788</v>
      </c>
      <c r="G2401" t="s">
        <v>46789</v>
      </c>
      <c r="H2401" t="s">
        <v>46790</v>
      </c>
      <c r="I2401" t="s">
        <v>46791</v>
      </c>
      <c r="J2401" t="s">
        <v>46792</v>
      </c>
      <c r="K2401" t="s">
        <v>46793</v>
      </c>
      <c r="L2401" t="s">
        <v>46794</v>
      </c>
      <c r="M2401" t="s">
        <v>46795</v>
      </c>
      <c r="N2401" t="s">
        <v>46796</v>
      </c>
      <c r="O2401">
        <f>-674.513890914429 -136.40976275341 -504.272216668082</f>
        <v>-1315.195870335921</v>
      </c>
      <c r="P2401">
        <f>-625.267243918816 -172.668257588985 -228.883879307397</f>
        <v>-1026.819380815198</v>
      </c>
      <c r="Q2401">
        <f>-482.42475876762 -41.9469363041148 -357.166759182376</f>
        <v>-881.53845425411077</v>
      </c>
      <c r="R2401" t="s">
        <v>46797</v>
      </c>
      <c r="S2401" t="s">
        <v>46798</v>
      </c>
      <c r="T2401" t="s">
        <v>46799</v>
      </c>
      <c r="U2401" t="s">
        <v>46800</v>
      </c>
      <c r="V2401">
        <f>-601.941724545306 -43.1007966478555 -92.2743298577641</f>
        <v>-737.31685105092561</v>
      </c>
      <c r="W2401" t="s">
        <v>46801</v>
      </c>
      <c r="X2401" t="s">
        <v>46802</v>
      </c>
      <c r="Y2401" t="s">
        <v>46803</v>
      </c>
    </row>
    <row r="2402" spans="1:25" x14ac:dyDescent="0.3">
      <c r="A2402">
        <v>120050</v>
      </c>
      <c r="B2402" t="s">
        <v>46804</v>
      </c>
      <c r="C2402" t="s">
        <v>46805</v>
      </c>
      <c r="D2402" t="s">
        <v>46806</v>
      </c>
      <c r="E2402" t="s">
        <v>46807</v>
      </c>
      <c r="F2402" t="s">
        <v>46808</v>
      </c>
      <c r="G2402" t="s">
        <v>46809</v>
      </c>
      <c r="H2402" t="s">
        <v>46810</v>
      </c>
      <c r="I2402" t="s">
        <v>46811</v>
      </c>
      <c r="J2402" t="s">
        <v>46812</v>
      </c>
      <c r="K2402" t="s">
        <v>46813</v>
      </c>
      <c r="L2402" t="s">
        <v>46814</v>
      </c>
      <c r="M2402" t="s">
        <v>46815</v>
      </c>
      <c r="N2402" t="s">
        <v>46816</v>
      </c>
      <c r="O2402">
        <f>-673.60939352103 -136.484415994487 -504.332911431021</f>
        <v>-1314.4267209465379</v>
      </c>
      <c r="P2402">
        <f>-624.301319798556 -172.733873818732 -228.954516317598</f>
        <v>-1025.9897099348862</v>
      </c>
      <c r="Q2402">
        <f>-481.635319754042 -42.0234493397988 -357.444536016428</f>
        <v>-881.10330511026882</v>
      </c>
      <c r="R2402" t="s">
        <v>46817</v>
      </c>
      <c r="S2402" t="s">
        <v>46818</v>
      </c>
      <c r="T2402" t="s">
        <v>46819</v>
      </c>
      <c r="U2402" t="s">
        <v>46820</v>
      </c>
      <c r="V2402">
        <f>-601.274377499961 -43.0102216112675 -92.2688868295954</f>
        <v>-736.55348594082398</v>
      </c>
      <c r="W2402" t="s">
        <v>46821</v>
      </c>
      <c r="X2402" t="s">
        <v>46822</v>
      </c>
      <c r="Y2402" t="s">
        <v>46823</v>
      </c>
    </row>
    <row r="2403" spans="1:25" x14ac:dyDescent="0.3">
      <c r="A2403">
        <v>120100</v>
      </c>
      <c r="B2403" t="s">
        <v>46824</v>
      </c>
      <c r="C2403" t="s">
        <v>46825</v>
      </c>
      <c r="D2403" t="s">
        <v>46826</v>
      </c>
      <c r="E2403" t="s">
        <v>46827</v>
      </c>
      <c r="F2403" t="s">
        <v>46828</v>
      </c>
      <c r="G2403" t="s">
        <v>46829</v>
      </c>
      <c r="H2403" t="s">
        <v>46830</v>
      </c>
      <c r="I2403" t="s">
        <v>46831</v>
      </c>
      <c r="J2403" t="s">
        <v>46832</v>
      </c>
      <c r="K2403" t="s">
        <v>46833</v>
      </c>
      <c r="L2403" t="s">
        <v>46834</v>
      </c>
      <c r="M2403" t="s">
        <v>46835</v>
      </c>
      <c r="N2403" t="s">
        <v>46836</v>
      </c>
      <c r="O2403">
        <f>-672.446782819183 -136.435915085567 -504.323403856909</f>
        <v>-1313.2061017616591</v>
      </c>
      <c r="P2403">
        <f>-622.18510153665 -171.953974831925 -229.022087600082</f>
        <v>-1023.1611639686569</v>
      </c>
      <c r="Q2403">
        <f>-480.692475411803 -40.5287707083291 -358.079301957778</f>
        <v>-879.30054807791021</v>
      </c>
      <c r="R2403" t="s">
        <v>46837</v>
      </c>
      <c r="S2403" t="s">
        <v>46838</v>
      </c>
      <c r="T2403" t="s">
        <v>46839</v>
      </c>
      <c r="U2403" t="s">
        <v>46840</v>
      </c>
      <c r="V2403">
        <f>-599.965128153514 -42.9063459101526 -92.2755073053989</f>
        <v>-735.14698136906554</v>
      </c>
      <c r="W2403" t="s">
        <v>46841</v>
      </c>
      <c r="X2403" t="s">
        <v>46842</v>
      </c>
      <c r="Y2403" t="s">
        <v>46843</v>
      </c>
    </row>
    <row r="2404" spans="1:25" x14ac:dyDescent="0.3">
      <c r="A2404">
        <v>120150</v>
      </c>
      <c r="B2404" t="s">
        <v>46844</v>
      </c>
      <c r="C2404" t="s">
        <v>46845</v>
      </c>
      <c r="D2404" t="s">
        <v>46846</v>
      </c>
      <c r="E2404" t="s">
        <v>46847</v>
      </c>
      <c r="F2404" t="s">
        <v>46848</v>
      </c>
      <c r="G2404" t="s">
        <v>46849</v>
      </c>
      <c r="H2404" t="s">
        <v>46850</v>
      </c>
      <c r="I2404" t="s">
        <v>46851</v>
      </c>
      <c r="J2404" t="s">
        <v>46852</v>
      </c>
      <c r="K2404" t="s">
        <v>46853</v>
      </c>
      <c r="L2404" t="s">
        <v>46854</v>
      </c>
      <c r="M2404" t="s">
        <v>46855</v>
      </c>
      <c r="N2404" t="s">
        <v>46856</v>
      </c>
      <c r="O2404">
        <f>-672.084627804558 -136.349537175908 -504.329247901084</f>
        <v>-1312.76341288155</v>
      </c>
      <c r="P2404">
        <f>-621.157077713846 -171.547705066389 -229.109224472197</f>
        <v>-1021.814007252432</v>
      </c>
      <c r="Q2404">
        <f>-480.559515326521 -39.5195297727123 -358.528888896222</f>
        <v>-878.60793399545537</v>
      </c>
      <c r="R2404" t="s">
        <v>46857</v>
      </c>
      <c r="S2404" t="s">
        <v>46858</v>
      </c>
      <c r="T2404" t="s">
        <v>46859</v>
      </c>
      <c r="U2404" t="s">
        <v>46860</v>
      </c>
      <c r="V2404">
        <f>-599.316371654644 -42.9507864536597 -92.2822465623959</f>
        <v>-734.54940467069957</v>
      </c>
      <c r="W2404" t="s">
        <v>46861</v>
      </c>
      <c r="X2404" t="s">
        <v>46862</v>
      </c>
      <c r="Y2404" t="s">
        <v>46863</v>
      </c>
    </row>
    <row r="2405" spans="1:25" x14ac:dyDescent="0.3">
      <c r="A2405">
        <v>120200</v>
      </c>
      <c r="B2405" t="s">
        <v>46864</v>
      </c>
      <c r="C2405" t="s">
        <v>46865</v>
      </c>
      <c r="D2405" t="s">
        <v>46866</v>
      </c>
      <c r="E2405" t="s">
        <v>46867</v>
      </c>
      <c r="F2405" t="s">
        <v>46868</v>
      </c>
      <c r="G2405" t="s">
        <v>46869</v>
      </c>
      <c r="H2405" t="s">
        <v>46870</v>
      </c>
      <c r="I2405" t="s">
        <v>46871</v>
      </c>
      <c r="J2405" t="s">
        <v>46872</v>
      </c>
      <c r="K2405" t="s">
        <v>46873</v>
      </c>
      <c r="L2405" t="s">
        <v>46874</v>
      </c>
      <c r="M2405" t="s">
        <v>46875</v>
      </c>
      <c r="N2405" t="s">
        <v>46876</v>
      </c>
      <c r="O2405">
        <f>-670.663226667523 -136.451781179379 -504.558713466107</f>
        <v>-1311.6737213130091</v>
      </c>
      <c r="P2405">
        <f>-618.703285540686 -171.364792573947 -229.495354114677</f>
        <v>-1019.5634322293099</v>
      </c>
      <c r="Q2405">
        <f>-480.004361482651 -37.9784157578626 -359.569345486967</f>
        <v>-877.55212272748065</v>
      </c>
      <c r="R2405" t="s">
        <v>46877</v>
      </c>
      <c r="S2405" t="s">
        <v>46878</v>
      </c>
      <c r="T2405" t="s">
        <v>46879</v>
      </c>
      <c r="U2405" t="s">
        <v>46880</v>
      </c>
      <c r="V2405">
        <f>-598.229854148301 -43.4574551872163 -92.3495070501651</f>
        <v>-734.03681638568241</v>
      </c>
      <c r="W2405" t="s">
        <v>46881</v>
      </c>
      <c r="X2405" t="s">
        <v>46882</v>
      </c>
      <c r="Y2405" t="s">
        <v>46883</v>
      </c>
    </row>
    <row r="2406" spans="1:25" x14ac:dyDescent="0.3">
      <c r="A2406">
        <v>120250</v>
      </c>
      <c r="B2406" t="s">
        <v>46884</v>
      </c>
      <c r="C2406" t="s">
        <v>46885</v>
      </c>
      <c r="D2406" t="s">
        <v>46886</v>
      </c>
      <c r="E2406" t="s">
        <v>46887</v>
      </c>
      <c r="F2406" t="s">
        <v>46888</v>
      </c>
      <c r="G2406" t="s">
        <v>46889</v>
      </c>
      <c r="H2406" t="s">
        <v>46890</v>
      </c>
      <c r="I2406" t="s">
        <v>46891</v>
      </c>
      <c r="J2406" t="s">
        <v>46892</v>
      </c>
      <c r="K2406" t="s">
        <v>46893</v>
      </c>
      <c r="L2406" t="s">
        <v>46894</v>
      </c>
      <c r="M2406" t="s">
        <v>46895</v>
      </c>
      <c r="N2406" t="s">
        <v>46896</v>
      </c>
      <c r="O2406">
        <f>-669.432297702824 -136.418149403571 -504.844342713319</f>
        <v>-1310.6947898197141</v>
      </c>
      <c r="P2406">
        <f>-616.927202662182 -171.475740059239 -229.90292268118</f>
        <v>-1018.3058654026011</v>
      </c>
      <c r="Q2406">
        <f>-479.101909339968 -37.2922523330274 -360.085584001914</f>
        <v>-876.47974567490951</v>
      </c>
      <c r="R2406" t="s">
        <v>46897</v>
      </c>
      <c r="S2406" t="s">
        <v>46898</v>
      </c>
      <c r="T2406" t="s">
        <v>46899</v>
      </c>
      <c r="U2406" t="s">
        <v>46900</v>
      </c>
      <c r="V2406">
        <f>-597.75657358178 -43.8649010589709 -92.3752193449034</f>
        <v>-733.99669398565425</v>
      </c>
      <c r="W2406" t="s">
        <v>46901</v>
      </c>
      <c r="X2406" t="s">
        <v>46902</v>
      </c>
      <c r="Y2406" t="s">
        <v>46903</v>
      </c>
    </row>
    <row r="2407" spans="1:25" x14ac:dyDescent="0.3">
      <c r="A2407">
        <v>120300</v>
      </c>
      <c r="B2407" t="s">
        <v>46904</v>
      </c>
      <c r="C2407" t="s">
        <v>46905</v>
      </c>
      <c r="D2407" t="s">
        <v>46906</v>
      </c>
      <c r="E2407" t="s">
        <v>46907</v>
      </c>
      <c r="F2407" t="s">
        <v>46908</v>
      </c>
      <c r="G2407" t="s">
        <v>46909</v>
      </c>
      <c r="H2407" t="s">
        <v>46910</v>
      </c>
      <c r="I2407" t="s">
        <v>46911</v>
      </c>
      <c r="J2407" t="s">
        <v>46912</v>
      </c>
      <c r="K2407" t="s">
        <v>46913</v>
      </c>
      <c r="L2407" t="s">
        <v>46914</v>
      </c>
      <c r="M2407" t="s">
        <v>46915</v>
      </c>
      <c r="N2407" t="s">
        <v>46916</v>
      </c>
      <c r="O2407">
        <f>-667.134841324538 -136.914263870569 -505.305567071599</f>
        <v>-1309.3546722667061</v>
      </c>
      <c r="P2407">
        <f>-613.196835974376 -172.67074231578 -230.731687096928</f>
        <v>-1016.599265387084</v>
      </c>
      <c r="Q2407">
        <f>-477.042282317985 -36.5511553240285 -360.662291841499</f>
        <v>-874.25572948351237</v>
      </c>
      <c r="R2407" t="s">
        <v>46917</v>
      </c>
      <c r="S2407" t="s">
        <v>46918</v>
      </c>
      <c r="T2407" t="s">
        <v>46919</v>
      </c>
      <c r="U2407" t="s">
        <v>46920</v>
      </c>
      <c r="V2407">
        <f>-596.656912505593 -44.6293515309865 -92.3832529143965</f>
        <v>-733.669516950976</v>
      </c>
      <c r="W2407" t="s">
        <v>46921</v>
      </c>
      <c r="X2407" t="s">
        <v>46922</v>
      </c>
      <c r="Y2407" t="s">
        <v>46923</v>
      </c>
    </row>
    <row r="2408" spans="1:25" x14ac:dyDescent="0.3">
      <c r="A2408">
        <v>120350</v>
      </c>
      <c r="B2408" t="s">
        <v>46924</v>
      </c>
      <c r="C2408" t="s">
        <v>46925</v>
      </c>
      <c r="D2408" t="s">
        <v>46926</v>
      </c>
      <c r="E2408" t="s">
        <v>46927</v>
      </c>
      <c r="F2408" t="s">
        <v>46928</v>
      </c>
      <c r="G2408" t="s">
        <v>46929</v>
      </c>
      <c r="H2408" t="s">
        <v>46930</v>
      </c>
      <c r="I2408" t="s">
        <v>46931</v>
      </c>
      <c r="J2408" t="s">
        <v>46932</v>
      </c>
      <c r="K2408" t="s">
        <v>46933</v>
      </c>
      <c r="L2408" t="s">
        <v>46934</v>
      </c>
      <c r="M2408" t="s">
        <v>46935</v>
      </c>
      <c r="N2408" t="s">
        <v>46936</v>
      </c>
      <c r="O2408">
        <f>-666.183339424082 -137.212228224955 -505.504549459575</f>
        <v>-1308.900117108612</v>
      </c>
      <c r="P2408">
        <f>-611.49716164162 -173.257161059247 -231.116547957597</f>
        <v>-1015.8708706584639</v>
      </c>
      <c r="Q2408">
        <f>-476.230884807751 -36.0706738453043 -360.852656518868</f>
        <v>-873.15421517192328</v>
      </c>
      <c r="R2408" t="s">
        <v>46937</v>
      </c>
      <c r="S2408" t="s">
        <v>46938</v>
      </c>
      <c r="T2408" t="s">
        <v>46939</v>
      </c>
      <c r="U2408" t="s">
        <v>46940</v>
      </c>
      <c r="V2408">
        <f>-596.117767383593 -45.0462496591506 -92.3708994187608</f>
        <v>-733.53491646150439</v>
      </c>
      <c r="W2408" t="s">
        <v>46941</v>
      </c>
      <c r="X2408" t="s">
        <v>46942</v>
      </c>
      <c r="Y2408" t="s">
        <v>46943</v>
      </c>
    </row>
    <row r="2409" spans="1:25" x14ac:dyDescent="0.3">
      <c r="A2409">
        <v>120400</v>
      </c>
      <c r="B2409" t="s">
        <v>46944</v>
      </c>
      <c r="C2409" t="s">
        <v>46945</v>
      </c>
      <c r="D2409" t="s">
        <v>46946</v>
      </c>
      <c r="E2409" t="s">
        <v>46947</v>
      </c>
      <c r="F2409" t="s">
        <v>46948</v>
      </c>
      <c r="G2409" t="s">
        <v>46949</v>
      </c>
      <c r="H2409" t="s">
        <v>46950</v>
      </c>
      <c r="I2409" t="s">
        <v>46951</v>
      </c>
      <c r="J2409" t="s">
        <v>46952</v>
      </c>
      <c r="K2409" t="s">
        <v>46953</v>
      </c>
      <c r="L2409" t="s">
        <v>46954</v>
      </c>
      <c r="M2409" t="s">
        <v>46955</v>
      </c>
      <c r="N2409" t="s">
        <v>46956</v>
      </c>
      <c r="O2409">
        <f>-663.931074717812 -137.669519453613 -505.906495513441</f>
        <v>-1307.5070896848661</v>
      </c>
      <c r="P2409">
        <f>-608.073300625607 -173.875889530626 -231.775906260965</f>
        <v>-1013.7250964171981</v>
      </c>
      <c r="Q2409">
        <f>-475.059823562653 -34.4227556006449 -361.424607334198</f>
        <v>-870.9071864974959</v>
      </c>
      <c r="R2409" t="s">
        <v>46957</v>
      </c>
      <c r="S2409" t="s">
        <v>46958</v>
      </c>
      <c r="T2409" t="s">
        <v>46959</v>
      </c>
      <c r="U2409" t="s">
        <v>46960</v>
      </c>
      <c r="V2409">
        <f>-594.99158242127 -45.4984869084237 -92.3562032351532</f>
        <v>-732.84627256484691</v>
      </c>
      <c r="W2409" t="s">
        <v>46961</v>
      </c>
      <c r="X2409" t="s">
        <v>46962</v>
      </c>
      <c r="Y2409" t="s">
        <v>46963</v>
      </c>
    </row>
    <row r="2410" spans="1:25" x14ac:dyDescent="0.3">
      <c r="A2410">
        <v>120450</v>
      </c>
      <c r="B2410" t="s">
        <v>46964</v>
      </c>
      <c r="C2410" t="s">
        <v>46965</v>
      </c>
      <c r="D2410" t="s">
        <v>46966</v>
      </c>
      <c r="E2410" t="s">
        <v>46967</v>
      </c>
      <c r="F2410" t="s">
        <v>46968</v>
      </c>
      <c r="G2410" t="s">
        <v>46969</v>
      </c>
      <c r="H2410" t="s">
        <v>46970</v>
      </c>
      <c r="I2410" t="s">
        <v>46971</v>
      </c>
      <c r="J2410" t="s">
        <v>46972</v>
      </c>
      <c r="K2410" t="s">
        <v>46973</v>
      </c>
      <c r="L2410" t="s">
        <v>46974</v>
      </c>
      <c r="M2410" t="s">
        <v>46975</v>
      </c>
      <c r="N2410" t="s">
        <v>46976</v>
      </c>
      <c r="O2410">
        <f>-662.871023137605 -137.846777730141 -506.038053634258</f>
        <v>-1306.755854502004</v>
      </c>
      <c r="P2410">
        <f>-606.445530485565 -174.023986777073 -232.019771810296</f>
        <v>-1012.489289072934</v>
      </c>
      <c r="Q2410">
        <f>-474.702327918 -33.3781828255712 -361.677271739047</f>
        <v>-869.75778248261815</v>
      </c>
      <c r="R2410" t="s">
        <v>46977</v>
      </c>
      <c r="S2410" t="s">
        <v>46978</v>
      </c>
      <c r="T2410" t="s">
        <v>46979</v>
      </c>
      <c r="U2410" t="s">
        <v>46980</v>
      </c>
      <c r="V2410">
        <f>-594.399912095429 -45.5077840624692 -92.3420123397145</f>
        <v>-732.2497084976128</v>
      </c>
      <c r="W2410" t="s">
        <v>46981</v>
      </c>
      <c r="X2410" t="s">
        <v>46982</v>
      </c>
      <c r="Y2410" t="s">
        <v>46983</v>
      </c>
    </row>
    <row r="2411" spans="1:25" x14ac:dyDescent="0.3">
      <c r="A2411">
        <v>120500</v>
      </c>
      <c r="B2411" t="s">
        <v>46984</v>
      </c>
      <c r="C2411" t="s">
        <v>46985</v>
      </c>
      <c r="D2411" t="s">
        <v>46986</v>
      </c>
      <c r="E2411" t="s">
        <v>46987</v>
      </c>
      <c r="F2411" t="s">
        <v>46988</v>
      </c>
      <c r="G2411" t="s">
        <v>46989</v>
      </c>
      <c r="H2411" t="s">
        <v>46990</v>
      </c>
      <c r="I2411" t="s">
        <v>46991</v>
      </c>
      <c r="J2411" t="s">
        <v>46992</v>
      </c>
      <c r="K2411" t="s">
        <v>46993</v>
      </c>
      <c r="L2411" t="s">
        <v>46994</v>
      </c>
      <c r="M2411" t="s">
        <v>46995</v>
      </c>
      <c r="N2411" t="s">
        <v>46996</v>
      </c>
      <c r="O2411">
        <f>-660.985469636437 -138.238902296291 -506.149959347285</f>
        <v>-1305.3743312800129</v>
      </c>
      <c r="P2411">
        <f>-602.78976743295 -174.79780747214 -232.552957724457</f>
        <v>-1010.140532629547</v>
      </c>
      <c r="Q2411">
        <f>-473.849366650501 -31.3900852830047 -362.002293924319</f>
        <v>-867.24174585782475</v>
      </c>
      <c r="R2411" t="s">
        <v>46997</v>
      </c>
      <c r="S2411" t="s">
        <v>46998</v>
      </c>
      <c r="T2411" t="s">
        <v>46999</v>
      </c>
      <c r="U2411" t="s">
        <v>47000</v>
      </c>
      <c r="V2411">
        <f>-593.276889372387 -45.4318199352344 -92.2960539122723</f>
        <v>-731.00476321989379</v>
      </c>
      <c r="W2411" t="s">
        <v>47001</v>
      </c>
      <c r="X2411" t="s">
        <v>47002</v>
      </c>
      <c r="Y2411" t="s">
        <v>47003</v>
      </c>
    </row>
    <row r="2412" spans="1:25" x14ac:dyDescent="0.3">
      <c r="A2412">
        <v>120550</v>
      </c>
      <c r="B2412" t="s">
        <v>47004</v>
      </c>
      <c r="C2412" t="s">
        <v>47005</v>
      </c>
      <c r="D2412" t="s">
        <v>47006</v>
      </c>
      <c r="E2412" t="s">
        <v>47007</v>
      </c>
      <c r="F2412" t="s">
        <v>47008</v>
      </c>
      <c r="G2412" t="s">
        <v>47009</v>
      </c>
      <c r="H2412" t="s">
        <v>47010</v>
      </c>
      <c r="I2412" t="s">
        <v>47011</v>
      </c>
      <c r="J2412" t="s">
        <v>47012</v>
      </c>
      <c r="K2412" t="s">
        <v>47013</v>
      </c>
      <c r="L2412" t="s">
        <v>47014</v>
      </c>
      <c r="M2412" t="s">
        <v>47015</v>
      </c>
      <c r="N2412" t="s">
        <v>47016</v>
      </c>
      <c r="O2412">
        <f>-660.207064691588 -138.477111340995 -506.139209891794</f>
        <v>-1304.8233859243771</v>
      </c>
      <c r="P2412">
        <f>-601.088942453625 -175.10115776467 -232.748790537776</f>
        <v>-1008.938890756071</v>
      </c>
      <c r="Q2412">
        <f>-473.478730939836 -30.5463883869184 -362.240250435085</f>
        <v>-866.26536976183934</v>
      </c>
      <c r="R2412" t="s">
        <v>47017</v>
      </c>
      <c r="S2412" t="s">
        <v>47018</v>
      </c>
      <c r="T2412" t="s">
        <v>47019</v>
      </c>
      <c r="U2412" t="s">
        <v>47020</v>
      </c>
      <c r="V2412">
        <f>-592.805231346477 -45.4153107038962 -92.2760391290599</f>
        <v>-730.49658117943306</v>
      </c>
      <c r="W2412" t="s">
        <v>47021</v>
      </c>
      <c r="X2412" t="s">
        <v>47022</v>
      </c>
      <c r="Y2412" t="s">
        <v>47023</v>
      </c>
    </row>
    <row r="2413" spans="1:25" x14ac:dyDescent="0.3">
      <c r="A2413">
        <v>120600</v>
      </c>
      <c r="B2413" t="s">
        <v>47024</v>
      </c>
      <c r="C2413" t="s">
        <v>47025</v>
      </c>
      <c r="D2413" t="s">
        <v>47026</v>
      </c>
      <c r="E2413" t="s">
        <v>47027</v>
      </c>
      <c r="F2413" t="s">
        <v>47028</v>
      </c>
      <c r="G2413" t="s">
        <v>47029</v>
      </c>
      <c r="H2413" t="s">
        <v>47030</v>
      </c>
      <c r="I2413" t="s">
        <v>47031</v>
      </c>
      <c r="J2413" t="s">
        <v>47032</v>
      </c>
      <c r="K2413" t="s">
        <v>47033</v>
      </c>
      <c r="L2413" t="s">
        <v>47034</v>
      </c>
      <c r="M2413" t="s">
        <v>47035</v>
      </c>
      <c r="N2413" t="s">
        <v>47036</v>
      </c>
      <c r="O2413">
        <f>-659.11156536279 -138.692472353732 -506.073020814326</f>
        <v>-1303.877058530848</v>
      </c>
      <c r="P2413">
        <f>-598.22532794309 -175.167024060766 -233.050798193121</f>
        <v>-1006.4431501969771</v>
      </c>
      <c r="Q2413">
        <f>-473.593863227648 -28.4229467276423 -362.98046594906</f>
        <v>-864.99727590435032</v>
      </c>
      <c r="R2413" t="s">
        <v>47037</v>
      </c>
      <c r="S2413" t="s">
        <v>47038</v>
      </c>
      <c r="T2413" t="s">
        <v>47039</v>
      </c>
      <c r="U2413" t="s">
        <v>47040</v>
      </c>
      <c r="V2413">
        <f>-592.240986439184 -45.1541770558545 -92.2431776831746</f>
        <v>-729.63834117821307</v>
      </c>
      <c r="W2413" t="s">
        <v>47041</v>
      </c>
      <c r="X2413" t="s">
        <v>47042</v>
      </c>
      <c r="Y2413" t="s">
        <v>47043</v>
      </c>
    </row>
    <row r="2414" spans="1:25" x14ac:dyDescent="0.3">
      <c r="A2414">
        <v>120650</v>
      </c>
      <c r="B2414" t="s">
        <v>47044</v>
      </c>
      <c r="C2414" t="s">
        <v>47045</v>
      </c>
      <c r="D2414" t="s">
        <v>47046</v>
      </c>
      <c r="E2414" t="s">
        <v>47047</v>
      </c>
      <c r="F2414" t="s">
        <v>47048</v>
      </c>
      <c r="G2414" t="s">
        <v>47049</v>
      </c>
      <c r="H2414" t="s">
        <v>47050</v>
      </c>
      <c r="I2414" t="s">
        <v>47051</v>
      </c>
      <c r="J2414" t="s">
        <v>47052</v>
      </c>
      <c r="K2414" t="s">
        <v>47053</v>
      </c>
      <c r="L2414" t="s">
        <v>47054</v>
      </c>
      <c r="M2414" t="s">
        <v>47055</v>
      </c>
      <c r="N2414" t="s">
        <v>47056</v>
      </c>
      <c r="O2414">
        <f>-658.827563035293 -138.673235316102 -506.003018975249</f>
        <v>-1303.5038173266439</v>
      </c>
      <c r="P2414">
        <f>-596.953129502357 -174.965382628198 -233.178859137133</f>
        <v>-1005.097371267688</v>
      </c>
      <c r="Q2414">
        <f>-474.04642144935 -27.1240435219106 -363.506956598387</f>
        <v>-864.67742156964755</v>
      </c>
      <c r="R2414" t="s">
        <v>47057</v>
      </c>
      <c r="S2414" t="s">
        <v>47058</v>
      </c>
      <c r="T2414" t="s">
        <v>47059</v>
      </c>
      <c r="U2414" t="s">
        <v>47060</v>
      </c>
      <c r="V2414">
        <f>-592.120047096505 -44.9773260154618 -92.2358984672778</f>
        <v>-729.33327157924464</v>
      </c>
      <c r="W2414" t="s">
        <v>47061</v>
      </c>
      <c r="X2414" t="s">
        <v>47062</v>
      </c>
      <c r="Y2414" t="s">
        <v>47063</v>
      </c>
    </row>
    <row r="2415" spans="1:25" x14ac:dyDescent="0.3">
      <c r="A2415">
        <v>120700</v>
      </c>
      <c r="B2415" t="s">
        <v>47064</v>
      </c>
      <c r="C2415" t="s">
        <v>47065</v>
      </c>
      <c r="D2415" t="s">
        <v>47066</v>
      </c>
      <c r="E2415" t="s">
        <v>47067</v>
      </c>
      <c r="F2415" t="s">
        <v>47068</v>
      </c>
      <c r="G2415" t="s">
        <v>47069</v>
      </c>
      <c r="H2415" t="s">
        <v>47070</v>
      </c>
      <c r="I2415" t="s">
        <v>47071</v>
      </c>
      <c r="J2415" t="s">
        <v>47072</v>
      </c>
      <c r="K2415" t="s">
        <v>47073</v>
      </c>
      <c r="L2415" t="s">
        <v>47074</v>
      </c>
      <c r="M2415" t="s">
        <v>47075</v>
      </c>
      <c r="N2415" t="s">
        <v>47076</v>
      </c>
      <c r="O2415">
        <f>-658.323567661539 -138.783256833541 -505.798506593032</f>
        <v>-1302.905331088112</v>
      </c>
      <c r="P2415">
        <f>-594.31340806386 -175.085750112172 -233.468902752964</f>
        <v>-1002.8680609289961</v>
      </c>
      <c r="Q2415">
        <f>-475.065154596489 -24.6364601807952 -364.210803271198</f>
        <v>-863.91241804848221</v>
      </c>
      <c r="R2415" t="s">
        <v>47077</v>
      </c>
      <c r="S2415" t="s">
        <v>47078</v>
      </c>
      <c r="T2415" t="s">
        <v>47079</v>
      </c>
      <c r="U2415" t="s">
        <v>47080</v>
      </c>
      <c r="V2415">
        <f>-592.062181195029 -44.5746501065285 -92.2351659928312</f>
        <v>-728.87199729438862</v>
      </c>
      <c r="W2415" t="s">
        <v>47081</v>
      </c>
      <c r="X2415" t="s">
        <v>47082</v>
      </c>
      <c r="Y2415" t="s">
        <v>47083</v>
      </c>
    </row>
    <row r="2416" spans="1:25" x14ac:dyDescent="0.3">
      <c r="A2416">
        <v>120750</v>
      </c>
      <c r="B2416" t="s">
        <v>47084</v>
      </c>
      <c r="C2416" t="s">
        <v>47085</v>
      </c>
      <c r="D2416" t="s">
        <v>47086</v>
      </c>
      <c r="E2416" t="s">
        <v>47087</v>
      </c>
      <c r="F2416" t="s">
        <v>47088</v>
      </c>
      <c r="G2416" t="s">
        <v>47089</v>
      </c>
      <c r="H2416" t="s">
        <v>47090</v>
      </c>
      <c r="I2416" t="s">
        <v>47091</v>
      </c>
      <c r="J2416" t="s">
        <v>47092</v>
      </c>
      <c r="K2416" t="s">
        <v>47093</v>
      </c>
      <c r="L2416" t="s">
        <v>47094</v>
      </c>
      <c r="M2416" t="s">
        <v>47095</v>
      </c>
      <c r="N2416" t="s">
        <v>47096</v>
      </c>
      <c r="O2416">
        <f>-658.324811243393 -138.888352621046 -505.663453142979</f>
        <v>-1302.876617007418</v>
      </c>
      <c r="P2416">
        <f>-593.326597566188 -175.076872940297 -233.552840075141</f>
        <v>-1001.956310581626</v>
      </c>
      <c r="Q2416">
        <f>-475.592186227493 -23.4097773487615 -364.259354404471</f>
        <v>-863.26131798072561</v>
      </c>
      <c r="R2416" t="s">
        <v>47097</v>
      </c>
      <c r="S2416" t="s">
        <v>47098</v>
      </c>
      <c r="T2416" t="s">
        <v>47099</v>
      </c>
      <c r="U2416" t="s">
        <v>47100</v>
      </c>
      <c r="V2416">
        <f>-592.089119661027 -44.4997712939576 -92.2366635588232</f>
        <v>-728.82555451380779</v>
      </c>
      <c r="W2416" t="s">
        <v>47101</v>
      </c>
      <c r="X2416" t="s">
        <v>47102</v>
      </c>
      <c r="Y2416" t="s">
        <v>47103</v>
      </c>
    </row>
    <row r="2417" spans="1:25" x14ac:dyDescent="0.3">
      <c r="A2417">
        <v>120800</v>
      </c>
      <c r="B2417" t="s">
        <v>47104</v>
      </c>
      <c r="C2417" t="s">
        <v>47105</v>
      </c>
      <c r="D2417" t="s">
        <v>47106</v>
      </c>
      <c r="E2417" t="s">
        <v>47107</v>
      </c>
      <c r="F2417" t="s">
        <v>47108</v>
      </c>
      <c r="G2417" t="s">
        <v>47109</v>
      </c>
      <c r="H2417" t="s">
        <v>47110</v>
      </c>
      <c r="I2417" t="s">
        <v>47111</v>
      </c>
      <c r="J2417" t="s">
        <v>47112</v>
      </c>
      <c r="K2417" t="s">
        <v>47113</v>
      </c>
      <c r="L2417" t="s">
        <v>47114</v>
      </c>
      <c r="M2417" t="s">
        <v>47115</v>
      </c>
      <c r="N2417" t="s">
        <v>47116</v>
      </c>
      <c r="O2417">
        <f>-658.081282896241 -138.99141276338 -505.483975702201</f>
        <v>-1302.5566713618221</v>
      </c>
      <c r="P2417">
        <f>-592.030510552387 -174.85420266718 -233.583771091357</f>
        <v>-1000.4684843109239</v>
      </c>
      <c r="Q2417">
        <f>-476.160398573665 -21.6050625363764 -364.110792567004</f>
        <v>-861.8762536770455</v>
      </c>
      <c r="R2417" t="s">
        <v>47117</v>
      </c>
      <c r="S2417" t="s">
        <v>47118</v>
      </c>
      <c r="T2417" t="s">
        <v>47119</v>
      </c>
      <c r="U2417" t="s">
        <v>47120</v>
      </c>
      <c r="V2417">
        <f>-592.150926335049 -44.5491144933746 -92.2171713912032</f>
        <v>-728.91721221962689</v>
      </c>
      <c r="W2417" t="s">
        <v>47121</v>
      </c>
      <c r="X2417" t="s">
        <v>47122</v>
      </c>
      <c r="Y2417" t="s">
        <v>47123</v>
      </c>
    </row>
    <row r="2418" spans="1:25" x14ac:dyDescent="0.3">
      <c r="A2418">
        <v>120850</v>
      </c>
      <c r="B2418" t="s">
        <v>47124</v>
      </c>
      <c r="C2418" t="s">
        <v>47125</v>
      </c>
      <c r="D2418" t="s">
        <v>47126</v>
      </c>
      <c r="E2418" t="s">
        <v>47127</v>
      </c>
      <c r="F2418" t="s">
        <v>47128</v>
      </c>
      <c r="G2418" t="s">
        <v>47129</v>
      </c>
      <c r="H2418" t="s">
        <v>47130</v>
      </c>
      <c r="I2418" t="s">
        <v>47131</v>
      </c>
      <c r="J2418" t="s">
        <v>47132</v>
      </c>
      <c r="K2418" t="s">
        <v>47133</v>
      </c>
      <c r="L2418" t="s">
        <v>47134</v>
      </c>
      <c r="M2418" t="s">
        <v>47135</v>
      </c>
      <c r="N2418" t="s">
        <v>47136</v>
      </c>
      <c r="O2418">
        <f>-657.613187435002 -138.920098664538 -505.555221855962</f>
        <v>-1302.0885079555019</v>
      </c>
      <c r="P2418">
        <f>-591.628573341099 -174.793035863811 -233.640239678193</f>
        <v>-1000.061848883103</v>
      </c>
      <c r="Q2418">
        <f>-476.253408182291 -21.0594079209957 -364.035947307859</f>
        <v>-861.34876341114568</v>
      </c>
      <c r="R2418" t="s">
        <v>47137</v>
      </c>
      <c r="S2418" t="s">
        <v>47138</v>
      </c>
      <c r="T2418" t="s">
        <v>47139</v>
      </c>
      <c r="U2418" t="s">
        <v>47140</v>
      </c>
      <c r="V2418">
        <f>-592.111955663376 -44.5531752538022 -92.2156849148349</f>
        <v>-728.88081583201313</v>
      </c>
      <c r="W2418" t="s">
        <v>47141</v>
      </c>
      <c r="X2418" t="s">
        <v>47142</v>
      </c>
      <c r="Y2418" t="s">
        <v>47143</v>
      </c>
    </row>
    <row r="2419" spans="1:25" x14ac:dyDescent="0.3">
      <c r="A2419">
        <v>120900</v>
      </c>
      <c r="B2419" t="s">
        <v>47144</v>
      </c>
      <c r="C2419" t="s">
        <v>47145</v>
      </c>
      <c r="D2419" t="s">
        <v>47146</v>
      </c>
      <c r="E2419" t="s">
        <v>47147</v>
      </c>
      <c r="F2419" t="s">
        <v>47148</v>
      </c>
      <c r="G2419" t="s">
        <v>47149</v>
      </c>
      <c r="H2419" t="s">
        <v>47150</v>
      </c>
      <c r="I2419" t="s">
        <v>47151</v>
      </c>
      <c r="J2419" t="s">
        <v>47152</v>
      </c>
      <c r="K2419" t="s">
        <v>47153</v>
      </c>
      <c r="L2419" t="s">
        <v>47154</v>
      </c>
      <c r="M2419" t="s">
        <v>47155</v>
      </c>
      <c r="N2419" t="s">
        <v>47156</v>
      </c>
      <c r="O2419">
        <f>-656.37403851604 -138.768688523867 -505.815423167173</f>
        <v>-1300.9581502070801</v>
      </c>
      <c r="P2419">
        <f>-590.697791150186 -175.168476478986 -233.895742382721</f>
        <v>-999.76201001189304</v>
      </c>
      <c r="Q2419">
        <f>-475.971093499377 -20.3180043315194 -363.540120750647</f>
        <v>-859.82921858154339</v>
      </c>
      <c r="R2419" t="s">
        <v>47157</v>
      </c>
      <c r="S2419" t="s">
        <v>47158</v>
      </c>
      <c r="T2419" t="s">
        <v>47159</v>
      </c>
      <c r="U2419" t="s">
        <v>47160</v>
      </c>
      <c r="V2419">
        <f>-591.829571210114 -44.4052767895407 -92.2094914883719</f>
        <v>-728.44433948802657</v>
      </c>
      <c r="W2419" t="s">
        <v>47161</v>
      </c>
      <c r="X2419" t="s">
        <v>47162</v>
      </c>
      <c r="Y2419" t="s">
        <v>47163</v>
      </c>
    </row>
    <row r="2420" spans="1:25" x14ac:dyDescent="0.3">
      <c r="A2420">
        <v>120950</v>
      </c>
      <c r="B2420" t="s">
        <v>47164</v>
      </c>
      <c r="C2420" t="s">
        <v>47165</v>
      </c>
      <c r="D2420" t="s">
        <v>47166</v>
      </c>
      <c r="E2420" t="s">
        <v>47167</v>
      </c>
      <c r="F2420" t="s">
        <v>47168</v>
      </c>
      <c r="G2420" t="s">
        <v>47169</v>
      </c>
      <c r="H2420" t="s">
        <v>47170</v>
      </c>
      <c r="I2420" t="s">
        <v>47171</v>
      </c>
      <c r="J2420" t="s">
        <v>47172</v>
      </c>
      <c r="K2420" t="s">
        <v>47173</v>
      </c>
      <c r="L2420" t="s">
        <v>47174</v>
      </c>
      <c r="M2420" t="s">
        <v>47175</v>
      </c>
      <c r="N2420" t="s">
        <v>47176</v>
      </c>
      <c r="O2420">
        <f>-655.876110509131 -138.700245624216 -505.924906905165</f>
        <v>-1300.501263038512</v>
      </c>
      <c r="P2420">
        <f>-590.279934754013 -175.335471611219 -234.017573636853</f>
        <v>-999.63298000208488</v>
      </c>
      <c r="Q2420">
        <f>-475.8752550213 -19.8781110973189 -363.219431972989</f>
        <v>-858.97279809160796</v>
      </c>
      <c r="R2420" t="s">
        <v>47177</v>
      </c>
      <c r="S2420" t="s">
        <v>47178</v>
      </c>
      <c r="T2420" t="s">
        <v>47179</v>
      </c>
      <c r="U2420" t="s">
        <v>47180</v>
      </c>
      <c r="V2420">
        <f>-591.674217110097 -44.3730159787938 -92.2047722893537</f>
        <v>-728.25200537824446</v>
      </c>
      <c r="W2420" t="s">
        <v>47181</v>
      </c>
      <c r="X2420" t="s">
        <v>47182</v>
      </c>
      <c r="Y2420" t="s">
        <v>47183</v>
      </c>
    </row>
    <row r="2421" spans="1:25" x14ac:dyDescent="0.3">
      <c r="A2421">
        <v>121000</v>
      </c>
      <c r="B2421" t="s">
        <v>47184</v>
      </c>
      <c r="C2421" t="s">
        <v>47185</v>
      </c>
      <c r="D2421" t="s">
        <v>47186</v>
      </c>
      <c r="E2421" t="s">
        <v>47187</v>
      </c>
      <c r="F2421" t="s">
        <v>47188</v>
      </c>
      <c r="G2421" t="s">
        <v>47189</v>
      </c>
      <c r="H2421" t="s">
        <v>47190</v>
      </c>
      <c r="I2421" t="s">
        <v>47191</v>
      </c>
      <c r="J2421" t="s">
        <v>47192</v>
      </c>
      <c r="K2421" t="s">
        <v>47193</v>
      </c>
      <c r="L2421" t="s">
        <v>47194</v>
      </c>
      <c r="M2421" t="s">
        <v>47195</v>
      </c>
      <c r="N2421" t="s">
        <v>47196</v>
      </c>
      <c r="O2421">
        <f>-655.03377435708 -138.586172148219 -506.21663778404</f>
        <v>-1299.836584289339</v>
      </c>
      <c r="P2421">
        <f>-589.522416032216 -175.443496711106 -234.318879498899</f>
        <v>-999.2847922422211</v>
      </c>
      <c r="Q2421">
        <f>-475.781740986339 -18.9024472647186 -362.796402301333</f>
        <v>-857.48059055239059</v>
      </c>
      <c r="R2421" t="s">
        <v>47197</v>
      </c>
      <c r="S2421" t="s">
        <v>47198</v>
      </c>
      <c r="T2421" t="s">
        <v>47199</v>
      </c>
      <c r="U2421" t="s">
        <v>47200</v>
      </c>
      <c r="V2421">
        <f>-591.440894094809 -44.4243926748079 -92.2005524696937</f>
        <v>-728.06583923931055</v>
      </c>
      <c r="W2421" t="s">
        <v>47201</v>
      </c>
      <c r="X2421" t="s">
        <v>47202</v>
      </c>
      <c r="Y2421" t="s">
        <v>47203</v>
      </c>
    </row>
    <row r="2422" spans="1:25" x14ac:dyDescent="0.3">
      <c r="A2422">
        <v>121050</v>
      </c>
      <c r="B2422" t="s">
        <v>47204</v>
      </c>
      <c r="C2422" t="s">
        <v>47205</v>
      </c>
      <c r="D2422" t="s">
        <v>47206</v>
      </c>
      <c r="E2422" t="s">
        <v>47207</v>
      </c>
      <c r="F2422" t="s">
        <v>47208</v>
      </c>
      <c r="G2422" t="s">
        <v>47209</v>
      </c>
      <c r="H2422" t="s">
        <v>47210</v>
      </c>
      <c r="I2422" t="s">
        <v>47211</v>
      </c>
      <c r="J2422" t="s">
        <v>47212</v>
      </c>
      <c r="K2422" t="s">
        <v>47213</v>
      </c>
      <c r="L2422" t="s">
        <v>47214</v>
      </c>
      <c r="M2422" t="s">
        <v>47215</v>
      </c>
      <c r="N2422" t="s">
        <v>47216</v>
      </c>
      <c r="O2422">
        <f>-654.574354671131 -138.462516666127 -506.438530473001</f>
        <v>-1299.475401810259</v>
      </c>
      <c r="P2422">
        <f>-589.097071628581 -175.465677115907 -234.552393612757</f>
        <v>-999.11514235724508</v>
      </c>
      <c r="Q2422">
        <f>-475.74916380254 -18.3821394218185 -362.714452462121</f>
        <v>-856.84575568647961</v>
      </c>
      <c r="R2422" t="s">
        <v>47217</v>
      </c>
      <c r="S2422" t="s">
        <v>47218</v>
      </c>
      <c r="T2422" t="s">
        <v>47219</v>
      </c>
      <c r="U2422" t="s">
        <v>47220</v>
      </c>
      <c r="V2422">
        <f>-591.374376962591 -44.4531735758453 -92.2001581487143</f>
        <v>-728.02770868715061</v>
      </c>
      <c r="W2422" t="s">
        <v>47221</v>
      </c>
      <c r="X2422" t="s">
        <v>47222</v>
      </c>
      <c r="Y2422" t="s">
        <v>47223</v>
      </c>
    </row>
    <row r="2423" spans="1:25" x14ac:dyDescent="0.3">
      <c r="A2423">
        <v>121100</v>
      </c>
      <c r="B2423" t="s">
        <v>47224</v>
      </c>
      <c r="C2423" t="s">
        <v>47225</v>
      </c>
      <c r="D2423" t="s">
        <v>47226</v>
      </c>
      <c r="E2423" t="s">
        <v>47227</v>
      </c>
      <c r="F2423" t="s">
        <v>47228</v>
      </c>
      <c r="G2423" t="s">
        <v>47229</v>
      </c>
      <c r="H2423" t="s">
        <v>47230</v>
      </c>
      <c r="I2423" t="s">
        <v>47231</v>
      </c>
      <c r="J2423" t="s">
        <v>47232</v>
      </c>
      <c r="K2423" t="s">
        <v>47233</v>
      </c>
      <c r="L2423" t="s">
        <v>47234</v>
      </c>
      <c r="M2423" t="s">
        <v>47235</v>
      </c>
      <c r="N2423" t="s">
        <v>47236</v>
      </c>
      <c r="O2423">
        <f>-653.993383912232 -138.309291906877 -506.785740750428</f>
        <v>-1299.088416569537</v>
      </c>
      <c r="P2423">
        <f>-588.706896163928 -175.841715227758 -234.926201034091</f>
        <v>-999.47481242577703</v>
      </c>
      <c r="Q2423">
        <f>-476.088135572102 -17.6229774505698 -362.332482499954</f>
        <v>-856.04359552262576</v>
      </c>
      <c r="R2423" t="s">
        <v>47237</v>
      </c>
      <c r="S2423" t="s">
        <v>47238</v>
      </c>
      <c r="T2423" t="s">
        <v>47239</v>
      </c>
      <c r="U2423" t="s">
        <v>47240</v>
      </c>
      <c r="V2423">
        <f>-591.274624976149 -44.4727932417352 -92.2403078432778</f>
        <v>-727.98772606116199</v>
      </c>
      <c r="W2423" t="s">
        <v>47241</v>
      </c>
      <c r="X2423" t="s">
        <v>47242</v>
      </c>
      <c r="Y2423" t="s">
        <v>47243</v>
      </c>
    </row>
    <row r="2424" spans="1:25" x14ac:dyDescent="0.3">
      <c r="A2424">
        <v>121150</v>
      </c>
      <c r="B2424" t="s">
        <v>47244</v>
      </c>
      <c r="C2424" t="s">
        <v>47245</v>
      </c>
      <c r="D2424" t="s">
        <v>47246</v>
      </c>
      <c r="E2424" t="s">
        <v>47247</v>
      </c>
      <c r="F2424" t="s">
        <v>47248</v>
      </c>
      <c r="G2424" t="s">
        <v>47249</v>
      </c>
      <c r="H2424" t="s">
        <v>47250</v>
      </c>
      <c r="I2424" t="s">
        <v>47251</v>
      </c>
      <c r="J2424" t="s">
        <v>47252</v>
      </c>
      <c r="K2424" t="s">
        <v>47253</v>
      </c>
      <c r="L2424" t="s">
        <v>47254</v>
      </c>
      <c r="M2424" t="s">
        <v>47255</v>
      </c>
      <c r="N2424" t="s">
        <v>47256</v>
      </c>
      <c r="O2424">
        <f>-653.746279902334 -138.269827059387 -506.945499245064</f>
        <v>-1298.9616062067851</v>
      </c>
      <c r="P2424">
        <f>-588.623660840753 -175.989786436382 -235.072600853126</f>
        <v>-999.68604813026104</v>
      </c>
      <c r="Q2424">
        <f>-476.116453951513 -17.3610324990896 -362.06701201019</f>
        <v>-855.54449846079262</v>
      </c>
      <c r="R2424" t="s">
        <v>47257</v>
      </c>
      <c r="S2424" t="s">
        <v>47258</v>
      </c>
      <c r="T2424" t="s">
        <v>47259</v>
      </c>
      <c r="U2424" t="s">
        <v>47260</v>
      </c>
      <c r="V2424">
        <f>-591.209648800688 -44.5334862592244 -92.2625394148286</f>
        <v>-728.005674474741</v>
      </c>
      <c r="W2424" t="s">
        <v>47261</v>
      </c>
      <c r="X2424" t="s">
        <v>47262</v>
      </c>
      <c r="Y2424" t="s">
        <v>47263</v>
      </c>
    </row>
    <row r="2425" spans="1:25" x14ac:dyDescent="0.3">
      <c r="A2425">
        <v>121200</v>
      </c>
      <c r="B2425" t="s">
        <v>47264</v>
      </c>
      <c r="C2425" t="s">
        <v>47265</v>
      </c>
      <c r="D2425" t="s">
        <v>47266</v>
      </c>
      <c r="E2425" t="s">
        <v>47267</v>
      </c>
      <c r="F2425" t="s">
        <v>47268</v>
      </c>
      <c r="G2425" t="s">
        <v>47269</v>
      </c>
      <c r="H2425" t="s">
        <v>47270</v>
      </c>
      <c r="I2425" t="s">
        <v>47271</v>
      </c>
      <c r="J2425" t="s">
        <v>47272</v>
      </c>
      <c r="K2425" t="s">
        <v>47273</v>
      </c>
      <c r="L2425" t="s">
        <v>47274</v>
      </c>
      <c r="M2425" t="s">
        <v>47275</v>
      </c>
      <c r="N2425" t="s">
        <v>47276</v>
      </c>
      <c r="O2425">
        <f>-653.257802932317 -138.09965682995 -507.26423319326</f>
        <v>-1298.6216929555269</v>
      </c>
      <c r="P2425">
        <f>-588.520350065517 -176.052828888602 -235.331863121851</f>
        <v>-999.90504207597007</v>
      </c>
      <c r="Q2425">
        <f>-475.731709936942 -17.0326097189029 -361.58484270654</f>
        <v>-854.34916236238496</v>
      </c>
      <c r="R2425" t="s">
        <v>47277</v>
      </c>
      <c r="S2425" t="s">
        <v>47278</v>
      </c>
      <c r="T2425" t="s">
        <v>47279</v>
      </c>
      <c r="U2425" t="s">
        <v>47280</v>
      </c>
      <c r="V2425">
        <f>-591.124945979374 -44.6376288803574 -92.3122568878543</f>
        <v>-728.07483174758579</v>
      </c>
      <c r="W2425" t="s">
        <v>47281</v>
      </c>
      <c r="X2425" t="s">
        <v>47282</v>
      </c>
      <c r="Y2425" t="s">
        <v>47283</v>
      </c>
    </row>
    <row r="2426" spans="1:25" x14ac:dyDescent="0.3">
      <c r="A2426">
        <v>121250</v>
      </c>
      <c r="B2426" t="s">
        <v>47284</v>
      </c>
      <c r="C2426" t="s">
        <v>47285</v>
      </c>
      <c r="D2426" t="s">
        <v>47286</v>
      </c>
      <c r="E2426" t="s">
        <v>47287</v>
      </c>
      <c r="F2426" t="s">
        <v>47288</v>
      </c>
      <c r="G2426" t="s">
        <v>47289</v>
      </c>
      <c r="H2426" t="s">
        <v>47290</v>
      </c>
      <c r="I2426" t="s">
        <v>47291</v>
      </c>
      <c r="J2426" t="s">
        <v>47292</v>
      </c>
      <c r="K2426" t="s">
        <v>47293</v>
      </c>
      <c r="L2426" t="s">
        <v>47294</v>
      </c>
      <c r="M2426" t="s">
        <v>47295</v>
      </c>
      <c r="N2426" t="s">
        <v>47296</v>
      </c>
      <c r="O2426">
        <f>-653.056515825326 -138.020534124504 -507.397334280706</f>
        <v>-1298.4743842305361</v>
      </c>
      <c r="P2426">
        <f>-588.634579403951 -176.14204640381 -235.413541922719</f>
        <v>-1000.19016773048</v>
      </c>
      <c r="Q2426">
        <f>-475.651537583377 -17.000367224405 -361.339303854546</f>
        <v>-853.99120866232806</v>
      </c>
      <c r="R2426" t="s">
        <v>47297</v>
      </c>
      <c r="S2426" t="s">
        <v>47298</v>
      </c>
      <c r="T2426" t="s">
        <v>47299</v>
      </c>
      <c r="U2426" t="s">
        <v>47300</v>
      </c>
      <c r="V2426">
        <f>-591.182479603541 -44.7266379071068 -92.3352589217055</f>
        <v>-728.24437643235331</v>
      </c>
      <c r="W2426" t="s">
        <v>47301</v>
      </c>
      <c r="X2426" t="s">
        <v>47302</v>
      </c>
      <c r="Y2426" t="s">
        <v>47303</v>
      </c>
    </row>
    <row r="2427" spans="1:25" x14ac:dyDescent="0.3">
      <c r="A2427">
        <v>121300</v>
      </c>
      <c r="B2427" t="s">
        <v>47304</v>
      </c>
      <c r="C2427" t="s">
        <v>47305</v>
      </c>
      <c r="D2427" t="s">
        <v>47306</v>
      </c>
      <c r="E2427" t="s">
        <v>47307</v>
      </c>
      <c r="F2427" t="s">
        <v>47308</v>
      </c>
      <c r="G2427" t="s">
        <v>47309</v>
      </c>
      <c r="H2427" t="s">
        <v>47310</v>
      </c>
      <c r="I2427" t="s">
        <v>47311</v>
      </c>
      <c r="J2427" t="s">
        <v>47312</v>
      </c>
      <c r="K2427" t="s">
        <v>47313</v>
      </c>
      <c r="L2427" t="s">
        <v>47314</v>
      </c>
      <c r="M2427" t="s">
        <v>47315</v>
      </c>
      <c r="N2427" t="s">
        <v>47316</v>
      </c>
      <c r="O2427">
        <f>-652.520945111134 -137.739151509682 -507.699780124728</f>
        <v>-1297.9598767455441</v>
      </c>
      <c r="P2427">
        <f>-588.866411566919 -176.272176365693 -235.593355705767</f>
        <v>-1000.7319436383791</v>
      </c>
      <c r="Q2427">
        <f>-475.672399971946 -16.875283982677 -361.005874604028</f>
        <v>-853.55355855865105</v>
      </c>
      <c r="R2427" t="s">
        <v>47317</v>
      </c>
      <c r="S2427" t="s">
        <v>47318</v>
      </c>
      <c r="T2427" t="s">
        <v>47319</v>
      </c>
      <c r="U2427" t="s">
        <v>47320</v>
      </c>
      <c r="V2427">
        <f>-591.34756123348 -44.757721480848 -92.3703955171495</f>
        <v>-728.47567823147745</v>
      </c>
      <c r="W2427" t="s">
        <v>47321</v>
      </c>
      <c r="X2427" t="s">
        <v>47322</v>
      </c>
      <c r="Y2427" t="s">
        <v>47323</v>
      </c>
    </row>
    <row r="2428" spans="1:25" x14ac:dyDescent="0.3">
      <c r="A2428">
        <v>121350</v>
      </c>
      <c r="B2428" t="s">
        <v>47324</v>
      </c>
      <c r="C2428" t="s">
        <v>47325</v>
      </c>
      <c r="D2428" t="s">
        <v>47326</v>
      </c>
      <c r="E2428" t="s">
        <v>47327</v>
      </c>
      <c r="F2428" t="s">
        <v>47328</v>
      </c>
      <c r="G2428" t="s">
        <v>47329</v>
      </c>
      <c r="H2428" t="s">
        <v>47330</v>
      </c>
      <c r="I2428" t="s">
        <v>47331</v>
      </c>
      <c r="J2428" t="s">
        <v>47332</v>
      </c>
      <c r="K2428" t="s">
        <v>47333</v>
      </c>
      <c r="L2428" t="s">
        <v>47334</v>
      </c>
      <c r="M2428" t="s">
        <v>47335</v>
      </c>
      <c r="N2428" t="s">
        <v>47336</v>
      </c>
      <c r="O2428">
        <f>-652.33804634211 -137.653118437151 -507.819456172538</f>
        <v>-1297.8106209517991</v>
      </c>
      <c r="P2428">
        <f>-588.972839127787 -176.374293595332 -235.672182042941</f>
        <v>-1001.01931476606</v>
      </c>
      <c r="Q2428">
        <f>-475.714227634562 -16.8809082978291 -360.903476283805</f>
        <v>-853.49861221619608</v>
      </c>
      <c r="R2428" t="s">
        <v>47337</v>
      </c>
      <c r="S2428" t="s">
        <v>47338</v>
      </c>
      <c r="T2428" t="s">
        <v>47339</v>
      </c>
      <c r="U2428" t="s">
        <v>47340</v>
      </c>
      <c r="V2428">
        <f>-591.478305379383 -44.8179025360789 -92.379630485342</f>
        <v>-728.67583840080385</v>
      </c>
      <c r="W2428" t="s">
        <v>47341</v>
      </c>
      <c r="X2428" t="s">
        <v>47342</v>
      </c>
      <c r="Y2428" t="s">
        <v>47343</v>
      </c>
    </row>
    <row r="2429" spans="1:25" x14ac:dyDescent="0.3">
      <c r="A2429">
        <v>121400</v>
      </c>
      <c r="B2429" t="s">
        <v>47344</v>
      </c>
      <c r="C2429" t="s">
        <v>47345</v>
      </c>
      <c r="D2429" t="s">
        <v>47346</v>
      </c>
      <c r="E2429" t="s">
        <v>47347</v>
      </c>
      <c r="F2429" t="s">
        <v>47348</v>
      </c>
      <c r="G2429" t="s">
        <v>47349</v>
      </c>
      <c r="H2429" t="s">
        <v>47350</v>
      </c>
      <c r="I2429" t="s">
        <v>47351</v>
      </c>
      <c r="J2429" t="s">
        <v>47352</v>
      </c>
      <c r="K2429" t="s">
        <v>47353</v>
      </c>
      <c r="L2429" t="s">
        <v>47354</v>
      </c>
      <c r="M2429" t="s">
        <v>47355</v>
      </c>
      <c r="N2429" t="s">
        <v>47356</v>
      </c>
      <c r="O2429">
        <f>-652.174532850496 -137.621882323877 -507.895942085547</f>
        <v>-1297.6923572599201</v>
      </c>
      <c r="P2429">
        <f>-589.248797623541 -176.398852571266 -235.654731142225</f>
        <v>-1001.3023813370321</v>
      </c>
      <c r="Q2429">
        <f>-475.638588628535 -17.0854338544118 -360.796539306165</f>
        <v>-853.52056178911175</v>
      </c>
      <c r="R2429" t="s">
        <v>47357</v>
      </c>
      <c r="S2429" t="s">
        <v>47358</v>
      </c>
      <c r="T2429" t="s">
        <v>47359</v>
      </c>
      <c r="U2429" t="s">
        <v>47360</v>
      </c>
      <c r="V2429">
        <f>-591.936734254179 -44.9173006848564 -92.4005887403614</f>
        <v>-729.25462367939679</v>
      </c>
      <c r="W2429" t="s">
        <v>47361</v>
      </c>
      <c r="X2429" t="s">
        <v>47362</v>
      </c>
      <c r="Y2429" t="s">
        <v>47363</v>
      </c>
    </row>
    <row r="2430" spans="1:25" x14ac:dyDescent="0.3">
      <c r="A2430">
        <v>121450</v>
      </c>
      <c r="B2430" t="s">
        <v>47364</v>
      </c>
      <c r="C2430" t="s">
        <v>47365</v>
      </c>
      <c r="D2430" t="s">
        <v>47366</v>
      </c>
      <c r="E2430" t="s">
        <v>47367</v>
      </c>
      <c r="F2430" t="s">
        <v>47368</v>
      </c>
      <c r="G2430" t="s">
        <v>47369</v>
      </c>
      <c r="H2430" t="s">
        <v>47370</v>
      </c>
      <c r="I2430" t="s">
        <v>47371</v>
      </c>
      <c r="J2430" t="s">
        <v>47372</v>
      </c>
      <c r="K2430" t="s">
        <v>47373</v>
      </c>
      <c r="L2430" t="s">
        <v>47374</v>
      </c>
      <c r="M2430" t="s">
        <v>47375</v>
      </c>
      <c r="N2430" t="s">
        <v>47376</v>
      </c>
      <c r="O2430">
        <f>-652.171200200691 -137.599033684535 -507.880732771601</f>
        <v>-1297.650966656827</v>
      </c>
      <c r="P2430">
        <f>-589.451258142009 -176.30513785062 -235.58201172871</f>
        <v>-1001.338407721339</v>
      </c>
      <c r="Q2430">
        <f>-475.519791132461 -17.2348198071193 -360.740962392524</f>
        <v>-853.49557333210441</v>
      </c>
      <c r="R2430" t="s">
        <v>47377</v>
      </c>
      <c r="S2430" t="s">
        <v>47378</v>
      </c>
      <c r="T2430" t="s">
        <v>47379</v>
      </c>
      <c r="U2430" t="s">
        <v>47380</v>
      </c>
      <c r="V2430">
        <f>-592.216273185338 -45.0502027174052 -92.4091415003501</f>
        <v>-729.67561740309327</v>
      </c>
      <c r="W2430" t="s">
        <v>47381</v>
      </c>
      <c r="X2430" t="s">
        <v>47382</v>
      </c>
      <c r="Y2430" t="s">
        <v>47383</v>
      </c>
    </row>
    <row r="2431" spans="1:25" x14ac:dyDescent="0.3">
      <c r="A2431">
        <v>121500</v>
      </c>
      <c r="B2431" t="s">
        <v>47384</v>
      </c>
      <c r="C2431" t="s">
        <v>47385</v>
      </c>
      <c r="D2431" t="s">
        <v>47386</v>
      </c>
      <c r="E2431" t="s">
        <v>47387</v>
      </c>
      <c r="F2431" t="s">
        <v>47388</v>
      </c>
      <c r="G2431" t="s">
        <v>47389</v>
      </c>
      <c r="H2431" t="s">
        <v>47390</v>
      </c>
      <c r="I2431" t="s">
        <v>47391</v>
      </c>
      <c r="J2431" t="s">
        <v>47392</v>
      </c>
      <c r="K2431" t="s">
        <v>47393</v>
      </c>
      <c r="L2431" t="s">
        <v>47394</v>
      </c>
      <c r="M2431" t="s">
        <v>47395</v>
      </c>
      <c r="N2431" t="s">
        <v>47396</v>
      </c>
      <c r="O2431">
        <f>-652.139659307585 -137.65381963096 -507.833579877753</f>
        <v>-1297.6270588162979</v>
      </c>
      <c r="P2431">
        <f>-590.045911859852 -176.327417349162 -235.386703192438</f>
        <v>-1001.760032401452</v>
      </c>
      <c r="Q2431">
        <f>-475.203854054687 -17.8960956164199 -360.523996686414</f>
        <v>-853.62394635752094</v>
      </c>
      <c r="R2431" t="s">
        <v>47397</v>
      </c>
      <c r="S2431" t="s">
        <v>47398</v>
      </c>
      <c r="T2431" t="s">
        <v>47399</v>
      </c>
      <c r="U2431" t="s">
        <v>47400</v>
      </c>
      <c r="V2431">
        <f>-592.858288695463 -45.2499606318265 -92.4171417114374</f>
        <v>-730.52539103872687</v>
      </c>
      <c r="W2431" t="s">
        <v>47401</v>
      </c>
      <c r="X2431" t="s">
        <v>47402</v>
      </c>
      <c r="Y2431" t="s">
        <v>47403</v>
      </c>
    </row>
    <row r="2432" spans="1:25" x14ac:dyDescent="0.3">
      <c r="A2432">
        <v>121550</v>
      </c>
      <c r="B2432" t="s">
        <v>47404</v>
      </c>
      <c r="C2432" t="s">
        <v>47405</v>
      </c>
      <c r="D2432" t="s">
        <v>47406</v>
      </c>
      <c r="E2432" t="s">
        <v>47407</v>
      </c>
      <c r="F2432" t="s">
        <v>47408</v>
      </c>
      <c r="G2432" t="s">
        <v>47409</v>
      </c>
      <c r="H2432" t="s">
        <v>47410</v>
      </c>
      <c r="I2432" t="s">
        <v>47411</v>
      </c>
      <c r="J2432" t="s">
        <v>47412</v>
      </c>
      <c r="K2432" t="s">
        <v>47413</v>
      </c>
      <c r="L2432" t="s">
        <v>47414</v>
      </c>
      <c r="M2432" t="s">
        <v>47415</v>
      </c>
      <c r="N2432" t="s">
        <v>47416</v>
      </c>
      <c r="O2432">
        <f>-652.087411820357 -137.646063290433 -507.709015203132</f>
        <v>-1297.442490313922</v>
      </c>
      <c r="P2432">
        <f>-590.308037567417 -176.140389685708 -235.165360252521</f>
        <v>-1001.6137875056461</v>
      </c>
      <c r="Q2432">
        <f>-475.100232283951 -18.0365590518441 -360.380747785017</f>
        <v>-853.5175391208121</v>
      </c>
      <c r="R2432" t="s">
        <v>47417</v>
      </c>
      <c r="S2432" t="s">
        <v>47418</v>
      </c>
      <c r="T2432" t="s">
        <v>47419</v>
      </c>
      <c r="U2432" t="s">
        <v>47420</v>
      </c>
      <c r="V2432">
        <f>-593.035154432695 -45.1799888751982 -92.3853011696488</f>
        <v>-730.60044447754194</v>
      </c>
      <c r="W2432" t="s">
        <v>47421</v>
      </c>
      <c r="X2432" t="s">
        <v>47422</v>
      </c>
      <c r="Y2432" t="s">
        <v>47423</v>
      </c>
    </row>
    <row r="2433" spans="1:25" x14ac:dyDescent="0.3">
      <c r="A2433">
        <v>121600</v>
      </c>
      <c r="B2433" t="s">
        <v>47424</v>
      </c>
      <c r="C2433" t="s">
        <v>47425</v>
      </c>
      <c r="D2433" t="s">
        <v>47426</v>
      </c>
      <c r="E2433" t="s">
        <v>47427</v>
      </c>
      <c r="F2433" t="s">
        <v>47428</v>
      </c>
      <c r="G2433" t="s">
        <v>47429</v>
      </c>
      <c r="H2433" t="s">
        <v>47430</v>
      </c>
      <c r="I2433" t="s">
        <v>47431</v>
      </c>
      <c r="J2433" t="s">
        <v>47432</v>
      </c>
      <c r="K2433" t="s">
        <v>47433</v>
      </c>
      <c r="L2433" t="s">
        <v>47434</v>
      </c>
      <c r="M2433" t="s">
        <v>47435</v>
      </c>
      <c r="N2433" t="s">
        <v>47436</v>
      </c>
      <c r="O2433">
        <f>-652.120861694921 -137.482443482683 -507.318906094846</f>
        <v>-1296.9222112724501</v>
      </c>
      <c r="P2433">
        <f>-590.931413688563 -175.489199787088 -234.573738451888</f>
        <v>-1000.9943519275389</v>
      </c>
      <c r="Q2433">
        <f>-475.095803839015 -18.1326352037854 -360.150444871384</f>
        <v>-853.37888391418437</v>
      </c>
      <c r="R2433" t="s">
        <v>47437</v>
      </c>
      <c r="S2433" t="s">
        <v>47438</v>
      </c>
      <c r="T2433" t="s">
        <v>47439</v>
      </c>
      <c r="U2433" t="s">
        <v>47440</v>
      </c>
      <c r="V2433">
        <f>-593.171616850104 -44.8239989534648 -92.2997256348061</f>
        <v>-730.29534143837486</v>
      </c>
      <c r="W2433" t="s">
        <v>47441</v>
      </c>
      <c r="X2433" t="s">
        <v>47442</v>
      </c>
      <c r="Y2433" t="s">
        <v>47443</v>
      </c>
    </row>
    <row r="2434" spans="1:25" x14ac:dyDescent="0.3">
      <c r="A2434">
        <v>121650</v>
      </c>
      <c r="B2434" t="s">
        <v>47444</v>
      </c>
      <c r="C2434" t="s">
        <v>47445</v>
      </c>
      <c r="D2434" t="s">
        <v>47446</v>
      </c>
      <c r="E2434" t="s">
        <v>47447</v>
      </c>
      <c r="F2434" t="s">
        <v>47448</v>
      </c>
      <c r="G2434" t="s">
        <v>47449</v>
      </c>
      <c r="H2434" t="s">
        <v>47450</v>
      </c>
      <c r="I2434" t="s">
        <v>47451</v>
      </c>
      <c r="J2434" t="s">
        <v>47452</v>
      </c>
      <c r="K2434" t="s">
        <v>47453</v>
      </c>
      <c r="L2434" t="s">
        <v>47454</v>
      </c>
      <c r="M2434" t="s">
        <v>47455</v>
      </c>
      <c r="N2434" t="s">
        <v>47456</v>
      </c>
      <c r="O2434">
        <f>-652.193497896613 -137.439358309101 -507.131704448514</f>
        <v>-1296.764560654228</v>
      </c>
      <c r="P2434">
        <f>-591.307142996152 -175.247296893048 -234.29111858982</f>
        <v>-1000.84555847902</v>
      </c>
      <c r="Q2434">
        <f>-475.197373720748 -18.2568649692387 -360.072997973341</f>
        <v>-853.52723666332759</v>
      </c>
      <c r="R2434" t="s">
        <v>47457</v>
      </c>
      <c r="S2434" t="s">
        <v>47458</v>
      </c>
      <c r="T2434" t="s">
        <v>47459</v>
      </c>
      <c r="U2434" t="s">
        <v>47460</v>
      </c>
      <c r="V2434">
        <f>-593.214308992182 -44.6529648515673 -92.2550639861049</f>
        <v>-730.12233782985425</v>
      </c>
      <c r="W2434" t="s">
        <v>47461</v>
      </c>
      <c r="X2434" t="s">
        <v>47462</v>
      </c>
      <c r="Y2434" t="s">
        <v>47463</v>
      </c>
    </row>
    <row r="2435" spans="1:25" x14ac:dyDescent="0.3">
      <c r="A2435">
        <v>121700</v>
      </c>
      <c r="B2435" t="s">
        <v>47464</v>
      </c>
      <c r="C2435" t="s">
        <v>47465</v>
      </c>
      <c r="D2435" t="s">
        <v>47466</v>
      </c>
      <c r="E2435" t="s">
        <v>47467</v>
      </c>
      <c r="F2435" t="s">
        <v>47468</v>
      </c>
      <c r="G2435" t="s">
        <v>47469</v>
      </c>
      <c r="H2435" t="s">
        <v>47470</v>
      </c>
      <c r="I2435" t="s">
        <v>47471</v>
      </c>
      <c r="J2435" t="s">
        <v>47472</v>
      </c>
      <c r="K2435" t="s">
        <v>47473</v>
      </c>
      <c r="L2435" t="s">
        <v>47474</v>
      </c>
      <c r="M2435" t="s">
        <v>47475</v>
      </c>
      <c r="N2435" t="s">
        <v>47476</v>
      </c>
      <c r="O2435">
        <f>-652.693951471966 -137.365561906533 -506.673356554747</f>
        <v>-1296.7328699332461</v>
      </c>
      <c r="P2435">
        <f>-591.898238450314 -174.554135806861 -233.727429589454</f>
        <v>-1000.1798038466291</v>
      </c>
      <c r="Q2435">
        <f>-475.406190408604 -18.2270837882797 -359.981145976256</f>
        <v>-853.61442017313971</v>
      </c>
      <c r="R2435" t="s">
        <v>47477</v>
      </c>
      <c r="S2435" t="s">
        <v>47478</v>
      </c>
      <c r="T2435" t="s">
        <v>47479</v>
      </c>
      <c r="U2435" t="s">
        <v>47480</v>
      </c>
      <c r="V2435">
        <f>-593.375321644239 -44.2949475147213 -92.1803483995883</f>
        <v>-729.85061755854861</v>
      </c>
      <c r="W2435" t="s">
        <v>47481</v>
      </c>
      <c r="X2435" t="s">
        <v>47482</v>
      </c>
      <c r="Y2435" t="s">
        <v>47483</v>
      </c>
    </row>
    <row r="2436" spans="1:25" x14ac:dyDescent="0.3">
      <c r="A2436">
        <v>121750</v>
      </c>
      <c r="B2436" t="s">
        <v>47484</v>
      </c>
      <c r="C2436" t="s">
        <v>47485</v>
      </c>
      <c r="D2436" t="s">
        <v>47486</v>
      </c>
      <c r="E2436" t="s">
        <v>47487</v>
      </c>
      <c r="F2436" t="s">
        <v>47488</v>
      </c>
      <c r="G2436" t="s">
        <v>47489</v>
      </c>
      <c r="H2436" t="s">
        <v>47490</v>
      </c>
      <c r="I2436" t="s">
        <v>47491</v>
      </c>
      <c r="J2436" t="s">
        <v>47492</v>
      </c>
      <c r="K2436" t="s">
        <v>47493</v>
      </c>
      <c r="L2436" t="s">
        <v>47494</v>
      </c>
      <c r="M2436" t="s">
        <v>47495</v>
      </c>
      <c r="N2436" t="s">
        <v>47496</v>
      </c>
      <c r="O2436">
        <f>-653.076519196861 -137.324515228704 -506.427869079242</f>
        <v>-1296.8289035048069</v>
      </c>
      <c r="P2436">
        <f>-592.195751660097 -174.217565508535 -233.460850136049</f>
        <v>-999.87416730468101</v>
      </c>
      <c r="Q2436">
        <f>-475.604915810998 -18.2047787616668 -360.011523062047</f>
        <v>-853.82121763471184</v>
      </c>
      <c r="R2436" t="s">
        <v>47497</v>
      </c>
      <c r="S2436" t="s">
        <v>47498</v>
      </c>
      <c r="T2436" t="s">
        <v>47499</v>
      </c>
      <c r="U2436" t="s">
        <v>47500</v>
      </c>
      <c r="V2436">
        <f>-593.489767778885 -44.0671850940128 -92.1422006744012</f>
        <v>-729.69915354729903</v>
      </c>
      <c r="W2436" t="s">
        <v>47501</v>
      </c>
      <c r="X2436" t="s">
        <v>47502</v>
      </c>
      <c r="Y2436" t="s">
        <v>47503</v>
      </c>
    </row>
    <row r="2437" spans="1:25" x14ac:dyDescent="0.3">
      <c r="A2437">
        <v>121800</v>
      </c>
      <c r="B2437" t="s">
        <v>47504</v>
      </c>
      <c r="C2437" t="s">
        <v>47505</v>
      </c>
      <c r="D2437" t="s">
        <v>47506</v>
      </c>
      <c r="E2437" t="s">
        <v>47507</v>
      </c>
      <c r="F2437" t="s">
        <v>47508</v>
      </c>
      <c r="G2437" t="s">
        <v>47509</v>
      </c>
      <c r="H2437" t="s">
        <v>47510</v>
      </c>
      <c r="I2437" t="s">
        <v>47511</v>
      </c>
      <c r="J2437" t="s">
        <v>47512</v>
      </c>
      <c r="K2437" t="s">
        <v>47513</v>
      </c>
      <c r="L2437" t="s">
        <v>47514</v>
      </c>
      <c r="M2437" t="s">
        <v>47515</v>
      </c>
      <c r="N2437" t="s">
        <v>47516</v>
      </c>
      <c r="O2437">
        <f>-653.709412315109 -137.248348530959 -506.029096392275</f>
        <v>-1296.986857238343</v>
      </c>
      <c r="P2437">
        <f>-592.559664112684 -173.634711117108 -233.05427782352</f>
        <v>-999.24865305331207</v>
      </c>
      <c r="Q2437">
        <f>-476.031775497456 -17.9935716318307 -360.119546196005</f>
        <v>-854.14489332529172</v>
      </c>
      <c r="R2437" t="s">
        <v>47517</v>
      </c>
      <c r="S2437" t="s">
        <v>47518</v>
      </c>
      <c r="T2437" t="s">
        <v>47519</v>
      </c>
      <c r="U2437" t="s">
        <v>47520</v>
      </c>
      <c r="V2437">
        <f>-593.786910952236 -43.7279146045075 -92.0881120134118</f>
        <v>-729.60293757015529</v>
      </c>
      <c r="W2437" t="s">
        <v>47521</v>
      </c>
      <c r="X2437" t="s">
        <v>47522</v>
      </c>
      <c r="Y2437" t="s">
        <v>47523</v>
      </c>
    </row>
    <row r="2438" spans="1:25" x14ac:dyDescent="0.3">
      <c r="A2438">
        <v>121850</v>
      </c>
      <c r="B2438" t="s">
        <v>47524</v>
      </c>
      <c r="C2438" t="s">
        <v>47525</v>
      </c>
      <c r="D2438" t="s">
        <v>47526</v>
      </c>
      <c r="E2438" t="s">
        <v>47527</v>
      </c>
      <c r="F2438" t="s">
        <v>47528</v>
      </c>
      <c r="G2438" t="s">
        <v>47529</v>
      </c>
      <c r="H2438" t="s">
        <v>47530</v>
      </c>
      <c r="I2438" t="s">
        <v>47531</v>
      </c>
      <c r="J2438" t="s">
        <v>47532</v>
      </c>
      <c r="K2438" t="s">
        <v>47533</v>
      </c>
      <c r="L2438" t="s">
        <v>47534</v>
      </c>
      <c r="M2438" t="s">
        <v>47535</v>
      </c>
      <c r="N2438" t="s">
        <v>47536</v>
      </c>
      <c r="O2438">
        <f>-653.96199542467 -137.164061472346 -505.916641443109</f>
        <v>-1297.0426983401251</v>
      </c>
      <c r="P2438">
        <f>-592.701497190176 -173.384923660006 -232.944601375905</f>
        <v>-999.03102222608709</v>
      </c>
      <c r="Q2438">
        <f>-476.225907880373 -17.821449184125 -360.153130241121</f>
        <v>-854.20048730561894</v>
      </c>
      <c r="R2438" t="s">
        <v>47537</v>
      </c>
      <c r="S2438" t="s">
        <v>47538</v>
      </c>
      <c r="T2438" t="s">
        <v>47539</v>
      </c>
      <c r="U2438" t="s">
        <v>47540</v>
      </c>
      <c r="V2438">
        <f>-593.982772338007 -43.5486415837036 -92.0808184253206</f>
        <v>-729.61223234703107</v>
      </c>
      <c r="W2438" t="s">
        <v>47541</v>
      </c>
      <c r="X2438" t="s">
        <v>47542</v>
      </c>
      <c r="Y2438" t="s">
        <v>47543</v>
      </c>
    </row>
    <row r="2439" spans="1:25" x14ac:dyDescent="0.3">
      <c r="A2439">
        <v>121900</v>
      </c>
      <c r="B2439" t="s">
        <v>47544</v>
      </c>
      <c r="C2439" t="s">
        <v>47545</v>
      </c>
      <c r="D2439" t="s">
        <v>47546</v>
      </c>
      <c r="E2439" t="s">
        <v>47547</v>
      </c>
      <c r="F2439" t="s">
        <v>47548</v>
      </c>
      <c r="G2439" t="s">
        <v>47549</v>
      </c>
      <c r="H2439" t="s">
        <v>47550</v>
      </c>
      <c r="I2439" t="s">
        <v>47551</v>
      </c>
      <c r="J2439" t="s">
        <v>47552</v>
      </c>
      <c r="K2439" t="s">
        <v>47553</v>
      </c>
      <c r="L2439" t="s">
        <v>47554</v>
      </c>
      <c r="M2439" t="s">
        <v>47555</v>
      </c>
      <c r="N2439" t="s">
        <v>47556</v>
      </c>
      <c r="O2439">
        <f>-654.350743568958 -137.084595141087 -505.746772967331</f>
        <v>-1297.182111677376</v>
      </c>
      <c r="P2439">
        <f>-592.85074001185 -173.031630297421 -232.792230154396</f>
        <v>-998.67460046366705</v>
      </c>
      <c r="Q2439">
        <f>-476.576249319472 -17.5317402095302 -360.26207808061</f>
        <v>-854.37006760961231</v>
      </c>
      <c r="R2439" t="s">
        <v>47557</v>
      </c>
      <c r="S2439" t="s">
        <v>47558</v>
      </c>
      <c r="T2439" t="s">
        <v>47559</v>
      </c>
      <c r="U2439" t="s">
        <v>47560</v>
      </c>
      <c r="V2439">
        <f>-594.247416222209 -43.0682157982883 -92.1009545426692</f>
        <v>-729.41658656316656</v>
      </c>
      <c r="W2439" t="s">
        <v>47561</v>
      </c>
      <c r="X2439" t="s">
        <v>47562</v>
      </c>
      <c r="Y2439" t="s">
        <v>47563</v>
      </c>
    </row>
    <row r="2440" spans="1:25" x14ac:dyDescent="0.3">
      <c r="A2440">
        <v>121950</v>
      </c>
      <c r="B2440" t="s">
        <v>47564</v>
      </c>
      <c r="C2440" t="s">
        <v>47565</v>
      </c>
      <c r="D2440" t="s">
        <v>47566</v>
      </c>
      <c r="E2440" t="s">
        <v>47567</v>
      </c>
      <c r="F2440" t="s">
        <v>47568</v>
      </c>
      <c r="G2440" t="s">
        <v>47569</v>
      </c>
      <c r="H2440" t="s">
        <v>47570</v>
      </c>
      <c r="I2440" t="s">
        <v>47571</v>
      </c>
      <c r="J2440" t="s">
        <v>47572</v>
      </c>
      <c r="K2440" t="s">
        <v>47573</v>
      </c>
      <c r="L2440" t="s">
        <v>47574</v>
      </c>
      <c r="M2440" t="s">
        <v>47575</v>
      </c>
      <c r="N2440" t="s">
        <v>47576</v>
      </c>
      <c r="O2440">
        <f>-654.61030227929 -137.028152120321 -505.629973466573</f>
        <v>-1297.2684278661841</v>
      </c>
      <c r="P2440">
        <f>-592.928995750974 -172.780003579982 -232.690807033696</f>
        <v>-998.39980636465202</v>
      </c>
      <c r="Q2440">
        <f>-476.712926002932 -17.3701527870066 -360.323559355036</f>
        <v>-854.40663814497464</v>
      </c>
      <c r="R2440" t="s">
        <v>47577</v>
      </c>
      <c r="S2440" t="s">
        <v>47578</v>
      </c>
      <c r="T2440" t="s">
        <v>47579</v>
      </c>
      <c r="U2440" t="s">
        <v>47580</v>
      </c>
      <c r="V2440">
        <f>-594.300546959249 -42.8688598771009 -92.1105014327525</f>
        <v>-729.27990826910241</v>
      </c>
      <c r="W2440" t="s">
        <v>47581</v>
      </c>
      <c r="X2440" t="s">
        <v>47582</v>
      </c>
      <c r="Y2440" t="s">
        <v>47583</v>
      </c>
    </row>
    <row r="2441" spans="1:25" x14ac:dyDescent="0.3">
      <c r="A2441">
        <v>122000</v>
      </c>
      <c r="B2441" t="s">
        <v>47584</v>
      </c>
      <c r="C2441" t="s">
        <v>47585</v>
      </c>
      <c r="D2441" t="s">
        <v>47586</v>
      </c>
      <c r="E2441" t="s">
        <v>47587</v>
      </c>
      <c r="F2441" t="s">
        <v>47588</v>
      </c>
      <c r="G2441" t="s">
        <v>47589</v>
      </c>
      <c r="H2441" t="s">
        <v>47590</v>
      </c>
      <c r="I2441" t="s">
        <v>47591</v>
      </c>
      <c r="J2441" t="s">
        <v>47592</v>
      </c>
      <c r="K2441" t="s">
        <v>47593</v>
      </c>
      <c r="L2441" t="s">
        <v>47594</v>
      </c>
      <c r="M2441" t="s">
        <v>47595</v>
      </c>
      <c r="N2441" t="s">
        <v>47596</v>
      </c>
      <c r="O2441">
        <f>-655.205735209655 -136.999497420837 -505.445044705702</f>
        <v>-1297.650277336194</v>
      </c>
      <c r="P2441">
        <f>-593.285880105502 -172.422896494539 -232.516978208351</f>
        <v>-998.22575480839203</v>
      </c>
      <c r="Q2441">
        <f>-477.111464680858 -17.1971746288423 -360.411723312792</f>
        <v>-854.7203626224923</v>
      </c>
      <c r="R2441" t="s">
        <v>47597</v>
      </c>
      <c r="S2441" t="s">
        <v>47598</v>
      </c>
      <c r="T2441" t="s">
        <v>47599</v>
      </c>
      <c r="U2441" t="s">
        <v>47600</v>
      </c>
      <c r="V2441">
        <f>-594.457486181209 -42.6117165248859 -92.1227189621552</f>
        <v>-729.19192166825007</v>
      </c>
      <c r="W2441" t="s">
        <v>47601</v>
      </c>
      <c r="X2441" t="s">
        <v>47602</v>
      </c>
      <c r="Y2441" t="s">
        <v>47603</v>
      </c>
    </row>
    <row r="2442" spans="1:25" x14ac:dyDescent="0.3">
      <c r="A2442">
        <v>122050</v>
      </c>
      <c r="B2442" t="s">
        <v>47604</v>
      </c>
      <c r="C2442" t="s">
        <v>47605</v>
      </c>
      <c r="D2442" t="s">
        <v>47606</v>
      </c>
      <c r="E2442" t="s">
        <v>47607</v>
      </c>
      <c r="F2442" t="s">
        <v>47608</v>
      </c>
      <c r="G2442" t="s">
        <v>47609</v>
      </c>
      <c r="H2442" t="s">
        <v>47610</v>
      </c>
      <c r="I2442" t="s">
        <v>47611</v>
      </c>
      <c r="J2442" t="s">
        <v>47612</v>
      </c>
      <c r="K2442" t="s">
        <v>47613</v>
      </c>
      <c r="L2442" t="s">
        <v>47614</v>
      </c>
      <c r="M2442" t="s">
        <v>47615</v>
      </c>
      <c r="N2442" t="s">
        <v>47616</v>
      </c>
      <c r="O2442">
        <f>-655.593852280362 -137.001698059921 -505.34797947962</f>
        <v>-1297.9435298199028</v>
      </c>
      <c r="P2442">
        <f>-593.513637425841 -172.307477214416 -232.441216732566</f>
        <v>-998.26233137282304</v>
      </c>
      <c r="Q2442">
        <f>-477.454661862775 -17.0954472820729 -360.456951700999</f>
        <v>-855.00706084584692</v>
      </c>
      <c r="R2442" t="s">
        <v>47617</v>
      </c>
      <c r="S2442" t="s">
        <v>47618</v>
      </c>
      <c r="T2442" t="s">
        <v>47619</v>
      </c>
      <c r="U2442" t="s">
        <v>47620</v>
      </c>
      <c r="V2442">
        <f>-594.560613892798 -42.5298881109181 -92.1203799494818</f>
        <v>-729.21088195319794</v>
      </c>
      <c r="W2442" t="s">
        <v>47621</v>
      </c>
      <c r="X2442" t="s">
        <v>47622</v>
      </c>
      <c r="Y2442" t="s">
        <v>47623</v>
      </c>
    </row>
    <row r="2443" spans="1:25" x14ac:dyDescent="0.3">
      <c r="A2443">
        <v>122100</v>
      </c>
      <c r="B2443" t="s">
        <v>47624</v>
      </c>
      <c r="C2443" t="s">
        <v>47625</v>
      </c>
      <c r="D2443" t="s">
        <v>47626</v>
      </c>
      <c r="E2443" t="s">
        <v>47627</v>
      </c>
      <c r="F2443" t="s">
        <v>47628</v>
      </c>
      <c r="G2443" t="s">
        <v>47629</v>
      </c>
      <c r="H2443" t="s">
        <v>47630</v>
      </c>
      <c r="I2443" t="s">
        <v>47631</v>
      </c>
      <c r="J2443" t="s">
        <v>47632</v>
      </c>
      <c r="K2443" t="s">
        <v>47633</v>
      </c>
      <c r="L2443" t="s">
        <v>47634</v>
      </c>
      <c r="M2443" t="s">
        <v>47635</v>
      </c>
      <c r="N2443" t="s">
        <v>47636</v>
      </c>
      <c r="O2443">
        <f>-656.466151121179 -136.990988547954 -505.164545466352</f>
        <v>-1298.621685135485</v>
      </c>
      <c r="P2443">
        <f>-593.703218853007 -172.109424295194 -232.389821645775</f>
        <v>-998.20246479397599</v>
      </c>
      <c r="Q2443">
        <f>-477.905512207732 -16.905650368856 -360.651950849213</f>
        <v>-855.463113425801</v>
      </c>
      <c r="R2443" t="s">
        <v>47637</v>
      </c>
      <c r="S2443" t="s">
        <v>47638</v>
      </c>
      <c r="T2443" t="s">
        <v>47639</v>
      </c>
      <c r="U2443" t="s">
        <v>47640</v>
      </c>
      <c r="V2443">
        <f>-594.718519930869 -42.4692645361076 -92.1196411677164</f>
        <v>-729.307425634693</v>
      </c>
      <c r="W2443" t="s">
        <v>47641</v>
      </c>
      <c r="X2443" t="s">
        <v>47642</v>
      </c>
      <c r="Y2443" t="s">
        <v>47643</v>
      </c>
    </row>
    <row r="2444" spans="1:25" x14ac:dyDescent="0.3">
      <c r="A2444">
        <v>122150</v>
      </c>
      <c r="B2444" t="s">
        <v>47644</v>
      </c>
      <c r="C2444" t="s">
        <v>47645</v>
      </c>
      <c r="D2444" t="s">
        <v>47646</v>
      </c>
      <c r="E2444" t="s">
        <v>47647</v>
      </c>
      <c r="F2444" t="s">
        <v>47648</v>
      </c>
      <c r="G2444" t="s">
        <v>47649</v>
      </c>
      <c r="H2444" t="s">
        <v>47650</v>
      </c>
      <c r="I2444" t="s">
        <v>47651</v>
      </c>
      <c r="J2444" t="s">
        <v>47652</v>
      </c>
      <c r="K2444" t="s">
        <v>47653</v>
      </c>
      <c r="L2444" t="s">
        <v>47654</v>
      </c>
      <c r="M2444" t="s">
        <v>47655</v>
      </c>
      <c r="N2444" t="s">
        <v>47656</v>
      </c>
      <c r="O2444">
        <f>-656.926608022194 -137.007617626409 -505.081827820749</f>
        <v>-1299.0160534693521</v>
      </c>
      <c r="P2444">
        <f>-593.880411778891 -172.041645854206 -232.361581562301</f>
        <v>-998.283639195398</v>
      </c>
      <c r="Q2444">
        <f>-478.196394999684 -16.8690547119793 -360.764128136416</f>
        <v>-855.82957784807923</v>
      </c>
      <c r="R2444" t="s">
        <v>47657</v>
      </c>
      <c r="S2444" t="s">
        <v>47658</v>
      </c>
      <c r="T2444" t="s">
        <v>47659</v>
      </c>
      <c r="U2444" t="s">
        <v>47660</v>
      </c>
      <c r="V2444">
        <f>-594.769280400135 -42.4467762843851 -92.1270302306747</f>
        <v>-729.34308691519482</v>
      </c>
      <c r="W2444" t="s">
        <v>47661</v>
      </c>
      <c r="X2444" t="s">
        <v>47662</v>
      </c>
      <c r="Y2444" t="s">
        <v>47663</v>
      </c>
    </row>
    <row r="2445" spans="1:25" x14ac:dyDescent="0.3">
      <c r="A2445">
        <v>122200</v>
      </c>
      <c r="B2445" t="s">
        <v>47664</v>
      </c>
      <c r="C2445" t="s">
        <v>47665</v>
      </c>
      <c r="D2445" t="s">
        <v>47666</v>
      </c>
      <c r="E2445" t="s">
        <v>47667</v>
      </c>
      <c r="F2445" t="s">
        <v>47668</v>
      </c>
      <c r="G2445" t="s">
        <v>47669</v>
      </c>
      <c r="H2445" t="s">
        <v>47670</v>
      </c>
      <c r="I2445" t="s">
        <v>47671</v>
      </c>
      <c r="J2445" t="s">
        <v>47672</v>
      </c>
      <c r="K2445" t="s">
        <v>47673</v>
      </c>
      <c r="L2445" t="s">
        <v>47674</v>
      </c>
      <c r="M2445" t="s">
        <v>47675</v>
      </c>
      <c r="N2445" t="s">
        <v>47676</v>
      </c>
      <c r="O2445">
        <f>-657.568399465147 -136.885377558049 -504.957432571702</f>
        <v>-1299.4112095948979</v>
      </c>
      <c r="P2445">
        <f>-594.028740177806 -171.860765870685 -232.344197642208</f>
        <v>-998.23370369069892</v>
      </c>
      <c r="Q2445">
        <f>-478.592396600067 -16.7850437932382 -361.086140677334</f>
        <v>-856.46358107063918</v>
      </c>
      <c r="R2445" t="s">
        <v>47677</v>
      </c>
      <c r="S2445" t="s">
        <v>47678</v>
      </c>
      <c r="T2445" t="s">
        <v>47679</v>
      </c>
      <c r="U2445" t="s">
        <v>47680</v>
      </c>
      <c r="V2445">
        <f>-594.777842199418 -42.3497589409258 -92.126961297218</f>
        <v>-729.25456243756184</v>
      </c>
      <c r="W2445" t="s">
        <v>47681</v>
      </c>
      <c r="X2445" t="s">
        <v>47682</v>
      </c>
      <c r="Y2445" t="s">
        <v>47683</v>
      </c>
    </row>
    <row r="2446" spans="1:25" x14ac:dyDescent="0.3">
      <c r="A2446">
        <v>122250</v>
      </c>
      <c r="B2446" t="s">
        <v>47684</v>
      </c>
      <c r="C2446" t="s">
        <v>47685</v>
      </c>
      <c r="D2446" t="s">
        <v>47686</v>
      </c>
      <c r="E2446" t="s">
        <v>47687</v>
      </c>
      <c r="F2446" t="s">
        <v>47688</v>
      </c>
      <c r="G2446" t="s">
        <v>47689</v>
      </c>
      <c r="H2446" t="s">
        <v>47690</v>
      </c>
      <c r="I2446" t="s">
        <v>47691</v>
      </c>
      <c r="J2446" t="s">
        <v>47692</v>
      </c>
      <c r="K2446" t="s">
        <v>47693</v>
      </c>
      <c r="L2446" t="s">
        <v>47694</v>
      </c>
      <c r="M2446" t="s">
        <v>47695</v>
      </c>
      <c r="N2446" t="s">
        <v>47696</v>
      </c>
      <c r="O2446">
        <f>-657.840062190585 -136.769311345366 -504.917051435328</f>
        <v>-1299.5264249712789</v>
      </c>
      <c r="P2446">
        <f>-594.056533439378 -171.701531194427 -232.355055521722</f>
        <v>-998.11312015552687</v>
      </c>
      <c r="Q2446">
        <f>-478.634605638775 -16.7297613932496 -361.235320730454</f>
        <v>-856.59968776247865</v>
      </c>
      <c r="R2446" t="s">
        <v>47697</v>
      </c>
      <c r="S2446" t="s">
        <v>47698</v>
      </c>
      <c r="T2446" t="s">
        <v>47699</v>
      </c>
      <c r="U2446" t="s">
        <v>47700</v>
      </c>
      <c r="V2446">
        <f>-594.800762259544 -42.3441661422007 -92.1239755040596</f>
        <v>-729.26890390580422</v>
      </c>
      <c r="W2446" t="s">
        <v>47701</v>
      </c>
      <c r="X2446" t="s">
        <v>47702</v>
      </c>
      <c r="Y2446" t="s">
        <v>47703</v>
      </c>
    </row>
    <row r="2447" spans="1:25" x14ac:dyDescent="0.3">
      <c r="A2447">
        <v>122300</v>
      </c>
      <c r="B2447" t="s">
        <v>47704</v>
      </c>
      <c r="C2447" t="s">
        <v>47705</v>
      </c>
      <c r="D2447" t="s">
        <v>47706</v>
      </c>
      <c r="E2447" t="s">
        <v>47707</v>
      </c>
      <c r="F2447" t="s">
        <v>47708</v>
      </c>
      <c r="G2447" t="s">
        <v>47709</v>
      </c>
      <c r="H2447" t="s">
        <v>47710</v>
      </c>
      <c r="I2447" t="s">
        <v>47711</v>
      </c>
      <c r="J2447" t="s">
        <v>47712</v>
      </c>
      <c r="K2447" t="s">
        <v>47713</v>
      </c>
      <c r="L2447" t="s">
        <v>47714</v>
      </c>
      <c r="M2447" t="s">
        <v>47715</v>
      </c>
      <c r="N2447" t="s">
        <v>47716</v>
      </c>
      <c r="O2447">
        <f>-658.303228065626 -136.642439100518 -504.865110894826</f>
        <v>-1299.8107780609698</v>
      </c>
      <c r="P2447">
        <f>-594.193559975139 -171.624872275977 -232.386227431652</f>
        <v>-998.20465968276812</v>
      </c>
      <c r="Q2447">
        <f>-479.010217266463 -16.7152003896094 -361.554151061092</f>
        <v>-857.27956871716435</v>
      </c>
      <c r="R2447" t="s">
        <v>47717</v>
      </c>
      <c r="S2447" t="s">
        <v>47718</v>
      </c>
      <c r="T2447" t="s">
        <v>47719</v>
      </c>
      <c r="U2447" t="s">
        <v>47720</v>
      </c>
      <c r="V2447">
        <f>-594.936105840103 -42.3466902338248 -92.1401387141315</f>
        <v>-729.42293478805925</v>
      </c>
      <c r="W2447" t="s">
        <v>47721</v>
      </c>
      <c r="X2447" t="s">
        <v>47722</v>
      </c>
      <c r="Y2447" t="s">
        <v>47723</v>
      </c>
    </row>
    <row r="2448" spans="1:25" x14ac:dyDescent="0.3">
      <c r="A2448">
        <v>122350</v>
      </c>
      <c r="B2448" t="s">
        <v>47724</v>
      </c>
      <c r="C2448" t="s">
        <v>47725</v>
      </c>
      <c r="D2448" t="s">
        <v>47726</v>
      </c>
      <c r="E2448" t="s">
        <v>47727</v>
      </c>
      <c r="F2448" t="s">
        <v>47728</v>
      </c>
      <c r="G2448" t="s">
        <v>47729</v>
      </c>
      <c r="H2448" t="s">
        <v>47730</v>
      </c>
      <c r="I2448" t="s">
        <v>47731</v>
      </c>
      <c r="J2448" t="s">
        <v>47732</v>
      </c>
      <c r="K2448" t="s">
        <v>47733</v>
      </c>
      <c r="L2448" t="s">
        <v>47734</v>
      </c>
      <c r="M2448" t="s">
        <v>47735</v>
      </c>
      <c r="N2448" t="s">
        <v>47736</v>
      </c>
      <c r="O2448">
        <f>-658.469789307591 -136.513489662721 -504.866226388421</f>
        <v>-1299.849505358733</v>
      </c>
      <c r="P2448">
        <f>-594.25224080575 -171.601181851516 -232.426296907581</f>
        <v>-998.27971956484703</v>
      </c>
      <c r="Q2448">
        <f>-479.15561631467 -16.6670692722967 -361.641881314012</f>
        <v>-857.46456690097875</v>
      </c>
      <c r="R2448" t="s">
        <v>47737</v>
      </c>
      <c r="S2448" t="s">
        <v>47738</v>
      </c>
      <c r="T2448" t="s">
        <v>47739</v>
      </c>
      <c r="U2448" t="s">
        <v>47740</v>
      </c>
      <c r="V2448">
        <f>-595.034000937652 -42.3448637648114 -92.1565559527544</f>
        <v>-729.53542065521776</v>
      </c>
      <c r="W2448" t="s">
        <v>47741</v>
      </c>
      <c r="X2448" t="s">
        <v>47742</v>
      </c>
      <c r="Y2448" t="s">
        <v>47743</v>
      </c>
    </row>
    <row r="2449" spans="1:25" x14ac:dyDescent="0.3">
      <c r="A2449">
        <v>122400</v>
      </c>
      <c r="B2449" t="s">
        <v>47744</v>
      </c>
      <c r="C2449" t="s">
        <v>47745</v>
      </c>
      <c r="D2449" t="s">
        <v>47746</v>
      </c>
      <c r="E2449" t="s">
        <v>47747</v>
      </c>
      <c r="F2449" t="s">
        <v>47748</v>
      </c>
      <c r="G2449" t="s">
        <v>47749</v>
      </c>
      <c r="H2449" t="s">
        <v>47750</v>
      </c>
      <c r="I2449" t="s">
        <v>47751</v>
      </c>
      <c r="J2449" t="s">
        <v>47752</v>
      </c>
      <c r="K2449" t="s">
        <v>47753</v>
      </c>
      <c r="L2449" t="s">
        <v>47754</v>
      </c>
      <c r="M2449" t="s">
        <v>47755</v>
      </c>
      <c r="N2449" t="s">
        <v>47756</v>
      </c>
      <c r="O2449">
        <f>-658.766803505341 -136.427274765567 -504.859418846122</f>
        <v>-1300.05349711703</v>
      </c>
      <c r="P2449">
        <f>-594.651601457926 -171.615164022744 -232.408335486505</f>
        <v>-998.67510096717501</v>
      </c>
      <c r="Q2449">
        <f>-479.150987422691 -16.7859845918481 -361.389157422598</f>
        <v>-857.32612943713707</v>
      </c>
      <c r="R2449" t="s">
        <v>47757</v>
      </c>
      <c r="S2449" t="s">
        <v>47758</v>
      </c>
      <c r="T2449" t="s">
        <v>47759</v>
      </c>
      <c r="U2449" t="s">
        <v>47760</v>
      </c>
      <c r="V2449">
        <f>-595.209264513876 -42.3956324377946 -92.1776606439191</f>
        <v>-729.78255759558965</v>
      </c>
      <c r="W2449" t="s">
        <v>47761</v>
      </c>
      <c r="X2449" t="s">
        <v>47762</v>
      </c>
      <c r="Y2449" t="s">
        <v>47763</v>
      </c>
    </row>
    <row r="2450" spans="1:25" x14ac:dyDescent="0.3">
      <c r="A2450">
        <v>122450</v>
      </c>
      <c r="B2450" t="s">
        <v>47764</v>
      </c>
      <c r="C2450" t="s">
        <v>47765</v>
      </c>
      <c r="D2450" t="s">
        <v>47766</v>
      </c>
      <c r="E2450" t="s">
        <v>47767</v>
      </c>
      <c r="F2450" t="s">
        <v>47768</v>
      </c>
      <c r="G2450" t="s">
        <v>47769</v>
      </c>
      <c r="H2450" t="s">
        <v>47770</v>
      </c>
      <c r="I2450" t="s">
        <v>47771</v>
      </c>
      <c r="J2450" t="s">
        <v>47772</v>
      </c>
      <c r="K2450" t="s">
        <v>47773</v>
      </c>
      <c r="L2450" t="s">
        <v>47774</v>
      </c>
      <c r="M2450" t="s">
        <v>47775</v>
      </c>
      <c r="N2450" t="s">
        <v>47776</v>
      </c>
      <c r="O2450">
        <f>-658.900758426627 -136.430784921387 -504.859173141512</f>
        <v>-1300.190716489526</v>
      </c>
      <c r="P2450">
        <f>-594.883119402695 -171.787229831435 -232.406919293189</f>
        <v>-999.07726852731912</v>
      </c>
      <c r="Q2450">
        <f>-479.160457219174 -16.9289724558132 -361.153680398021</f>
        <v>-857.24311007300821</v>
      </c>
      <c r="R2450" t="s">
        <v>47777</v>
      </c>
      <c r="S2450" t="s">
        <v>47778</v>
      </c>
      <c r="T2450" t="s">
        <v>47779</v>
      </c>
      <c r="U2450" t="s">
        <v>47780</v>
      </c>
      <c r="V2450">
        <f>-595.27045236193 -42.4636328973918 -92.1841257650756</f>
        <v>-729.91821102439735</v>
      </c>
      <c r="W2450" t="s">
        <v>47781</v>
      </c>
      <c r="X2450" t="s">
        <v>47782</v>
      </c>
      <c r="Y2450" t="s">
        <v>47783</v>
      </c>
    </row>
    <row r="2451" spans="1:25" x14ac:dyDescent="0.3">
      <c r="A2451">
        <v>122500</v>
      </c>
      <c r="B2451" t="s">
        <v>47784</v>
      </c>
      <c r="C2451" t="s">
        <v>47785</v>
      </c>
      <c r="D2451" t="s">
        <v>47786</v>
      </c>
      <c r="E2451" t="s">
        <v>47787</v>
      </c>
      <c r="F2451" t="s">
        <v>47788</v>
      </c>
      <c r="G2451" t="s">
        <v>47789</v>
      </c>
      <c r="H2451" t="s">
        <v>47790</v>
      </c>
      <c r="I2451" t="s">
        <v>47791</v>
      </c>
      <c r="J2451" t="s">
        <v>47792</v>
      </c>
      <c r="K2451" t="s">
        <v>47793</v>
      </c>
      <c r="L2451" t="s">
        <v>47794</v>
      </c>
      <c r="M2451" t="s">
        <v>47795</v>
      </c>
      <c r="N2451" t="s">
        <v>47796</v>
      </c>
      <c r="O2451">
        <f>-659.181681634112 -136.493688217572 -504.957662242306</f>
        <v>-1300.6330320939901</v>
      </c>
      <c r="P2451">
        <f>-595.242526288126 -172.022716275509 -232.509449148888</f>
        <v>-999.77469171252301</v>
      </c>
      <c r="Q2451">
        <f>-479.349091335763 -17.0612936304954 -360.97818115142</f>
        <v>-857.38856611767847</v>
      </c>
      <c r="R2451" t="s">
        <v>47797</v>
      </c>
      <c r="S2451" t="s">
        <v>47798</v>
      </c>
      <c r="T2451" t="s">
        <v>47799</v>
      </c>
      <c r="U2451" t="s">
        <v>47800</v>
      </c>
      <c r="V2451">
        <f>-595.313917196357 -42.6420307368771 -92.215761527181</f>
        <v>-730.17170946041517</v>
      </c>
      <c r="W2451" t="s">
        <v>47801</v>
      </c>
      <c r="X2451" t="s">
        <v>47802</v>
      </c>
      <c r="Y2451" t="s">
        <v>47803</v>
      </c>
    </row>
    <row r="2452" spans="1:25" x14ac:dyDescent="0.3">
      <c r="A2452">
        <v>122550</v>
      </c>
      <c r="B2452" t="s">
        <v>47804</v>
      </c>
      <c r="C2452" t="s">
        <v>47805</v>
      </c>
      <c r="D2452" t="s">
        <v>47806</v>
      </c>
      <c r="E2452" t="s">
        <v>47807</v>
      </c>
      <c r="F2452" t="s">
        <v>47808</v>
      </c>
      <c r="G2452" t="s">
        <v>47809</v>
      </c>
      <c r="H2452" t="s">
        <v>47810</v>
      </c>
      <c r="I2452" t="s">
        <v>47811</v>
      </c>
      <c r="J2452" t="s">
        <v>47812</v>
      </c>
      <c r="K2452" t="s">
        <v>47813</v>
      </c>
      <c r="L2452" t="s">
        <v>47814</v>
      </c>
      <c r="M2452" t="s">
        <v>47815</v>
      </c>
      <c r="N2452" t="s">
        <v>47816</v>
      </c>
      <c r="O2452">
        <f>-659.366413305994 -136.575401162955 -504.985866814468</f>
        <v>-1300.9276812834171</v>
      </c>
      <c r="P2452">
        <f>-595.358622696379 -172.203232889152 -232.566474745293</f>
        <v>-1000.128330330824</v>
      </c>
      <c r="Q2452">
        <f>-479.419339583191 -17.253359384044 -361.007569921519</f>
        <v>-857.68026888875397</v>
      </c>
      <c r="R2452" t="s">
        <v>47817</v>
      </c>
      <c r="S2452" t="s">
        <v>47818</v>
      </c>
      <c r="T2452" t="s">
        <v>47819</v>
      </c>
      <c r="U2452" t="s">
        <v>47820</v>
      </c>
      <c r="V2452">
        <f>-595.305761063634 -42.7700114013769 -92.2271563374278</f>
        <v>-730.30292880243871</v>
      </c>
      <c r="W2452" t="s">
        <v>47821</v>
      </c>
      <c r="X2452" t="s">
        <v>47822</v>
      </c>
      <c r="Y2452" t="s">
        <v>47823</v>
      </c>
    </row>
    <row r="2453" spans="1:25" x14ac:dyDescent="0.3">
      <c r="A2453">
        <v>122600</v>
      </c>
      <c r="B2453" t="s">
        <v>47824</v>
      </c>
      <c r="C2453" t="s">
        <v>47825</v>
      </c>
      <c r="D2453" t="s">
        <v>47826</v>
      </c>
      <c r="E2453" t="s">
        <v>47827</v>
      </c>
      <c r="F2453" t="s">
        <v>47828</v>
      </c>
      <c r="G2453" t="s">
        <v>47829</v>
      </c>
      <c r="H2453" t="s">
        <v>47830</v>
      </c>
      <c r="I2453" t="s">
        <v>47831</v>
      </c>
      <c r="J2453" t="s">
        <v>47832</v>
      </c>
      <c r="K2453" t="s">
        <v>47833</v>
      </c>
      <c r="L2453" t="s">
        <v>47834</v>
      </c>
      <c r="M2453" t="s">
        <v>47835</v>
      </c>
      <c r="N2453" t="s">
        <v>47836</v>
      </c>
      <c r="O2453">
        <f>-659.938793393003 -136.876749133457 -504.984412273231</f>
        <v>-1301.799954799691</v>
      </c>
      <c r="P2453">
        <f>-595.457223562853 -172.829424207046 -232.719773747493</f>
        <v>-1001.006421517392</v>
      </c>
      <c r="Q2453">
        <f>-479.538941698956 -17.7929610985434 -361.075378127208</f>
        <v>-858.40728092470749</v>
      </c>
      <c r="R2453" t="s">
        <v>47837</v>
      </c>
      <c r="S2453" t="s">
        <v>47838</v>
      </c>
      <c r="T2453" t="s">
        <v>47839</v>
      </c>
      <c r="U2453" t="s">
        <v>47840</v>
      </c>
      <c r="V2453">
        <f>-595.104750404503 -42.9840382665404 -92.2380577764682</f>
        <v>-730.32684644751157</v>
      </c>
      <c r="W2453" t="s">
        <v>47841</v>
      </c>
      <c r="X2453" t="s">
        <v>47842</v>
      </c>
      <c r="Y2453" t="s">
        <v>47843</v>
      </c>
    </row>
    <row r="2454" spans="1:25" x14ac:dyDescent="0.3">
      <c r="A2454">
        <v>122650</v>
      </c>
      <c r="B2454" t="s">
        <v>47844</v>
      </c>
      <c r="C2454" t="s">
        <v>47845</v>
      </c>
      <c r="D2454" t="s">
        <v>47846</v>
      </c>
      <c r="E2454" t="s">
        <v>47847</v>
      </c>
      <c r="F2454" t="s">
        <v>47848</v>
      </c>
      <c r="G2454" t="s">
        <v>47849</v>
      </c>
      <c r="H2454" t="s">
        <v>47850</v>
      </c>
      <c r="I2454" t="s">
        <v>47851</v>
      </c>
      <c r="J2454" t="s">
        <v>47852</v>
      </c>
      <c r="K2454" t="s">
        <v>47853</v>
      </c>
      <c r="L2454" t="s">
        <v>47854</v>
      </c>
      <c r="M2454" t="s">
        <v>47855</v>
      </c>
      <c r="N2454" t="s">
        <v>47856</v>
      </c>
      <c r="O2454">
        <f>-660.213149124231 -137.075488869925 -504.956289639172</f>
        <v>-1302.244927633328</v>
      </c>
      <c r="P2454">
        <f>-595.408003588696 -173.140565866652 -232.783174678388</f>
        <v>-1001.331744133736</v>
      </c>
      <c r="Q2454">
        <f>-479.60212925371 -17.9657674154505 -361.073227954766</f>
        <v>-858.64112462392654</v>
      </c>
      <c r="R2454" t="s">
        <v>47857</v>
      </c>
      <c r="S2454" t="s">
        <v>47858</v>
      </c>
      <c r="T2454" t="s">
        <v>47859</v>
      </c>
      <c r="U2454" t="s">
        <v>47860</v>
      </c>
      <c r="V2454">
        <f>-595.061176702106 -43.1735798785951 -92.2324485070894</f>
        <v>-730.46720508779049</v>
      </c>
      <c r="W2454" t="s">
        <v>47861</v>
      </c>
      <c r="X2454" t="s">
        <v>47862</v>
      </c>
      <c r="Y2454" t="s">
        <v>47863</v>
      </c>
    </row>
    <row r="2455" spans="1:25" x14ac:dyDescent="0.3">
      <c r="A2455">
        <v>122700</v>
      </c>
      <c r="B2455" t="s">
        <v>47864</v>
      </c>
      <c r="C2455" t="s">
        <v>47865</v>
      </c>
      <c r="D2455" t="s">
        <v>47866</v>
      </c>
      <c r="E2455" t="s">
        <v>47867</v>
      </c>
      <c r="F2455" t="s">
        <v>47868</v>
      </c>
      <c r="G2455" t="s">
        <v>47869</v>
      </c>
      <c r="H2455" t="s">
        <v>47870</v>
      </c>
      <c r="I2455" t="s">
        <v>47871</v>
      </c>
      <c r="J2455" t="s">
        <v>47872</v>
      </c>
      <c r="K2455" t="s">
        <v>47873</v>
      </c>
      <c r="L2455" t="s">
        <v>47874</v>
      </c>
      <c r="M2455" t="s">
        <v>47875</v>
      </c>
      <c r="N2455" t="s">
        <v>47876</v>
      </c>
      <c r="O2455">
        <f>-660.836885350838 -137.629531275425 -504.842406867864</f>
        <v>-1303.308823494127</v>
      </c>
      <c r="P2455">
        <f>-595.499748178929 -173.903565234396 -232.824387875902</f>
        <v>-1002.2277012892271</v>
      </c>
      <c r="Q2455">
        <f>-479.923759255835 -18.4103685261969 -360.935918879138</f>
        <v>-859.27004666117</v>
      </c>
      <c r="R2455" t="s">
        <v>47877</v>
      </c>
      <c r="S2455" t="s">
        <v>47878</v>
      </c>
      <c r="T2455" t="s">
        <v>47879</v>
      </c>
      <c r="U2455" t="s">
        <v>47880</v>
      </c>
      <c r="V2455">
        <f>-594.69924813719 -43.3635634470402 -92.1896299078991</f>
        <v>-730.25244149212926</v>
      </c>
      <c r="W2455" t="s">
        <v>47881</v>
      </c>
      <c r="X2455" t="s">
        <v>47882</v>
      </c>
      <c r="Y2455" t="s">
        <v>47883</v>
      </c>
    </row>
    <row r="2456" spans="1:25" x14ac:dyDescent="0.3">
      <c r="A2456">
        <v>122750</v>
      </c>
      <c r="B2456" t="s">
        <v>47884</v>
      </c>
      <c r="C2456" t="s">
        <v>47885</v>
      </c>
      <c r="D2456" t="s">
        <v>47886</v>
      </c>
      <c r="E2456" t="s">
        <v>47887</v>
      </c>
      <c r="F2456" t="s">
        <v>47888</v>
      </c>
      <c r="G2456" t="s">
        <v>47889</v>
      </c>
      <c r="H2456" t="s">
        <v>47890</v>
      </c>
      <c r="I2456" t="s">
        <v>47891</v>
      </c>
      <c r="J2456" t="s">
        <v>47892</v>
      </c>
      <c r="K2456" t="s">
        <v>47893</v>
      </c>
      <c r="L2456" t="s">
        <v>47894</v>
      </c>
      <c r="M2456" t="s">
        <v>47895</v>
      </c>
      <c r="N2456" t="s">
        <v>47896</v>
      </c>
      <c r="O2456">
        <f>-661.328700877406 -137.812028068581 -504.650323748917</f>
        <v>-1303.791052694904</v>
      </c>
      <c r="P2456">
        <f>-595.707548736321 -174.057872947211 -232.69679899238</f>
        <v>-1002.4622206759119</v>
      </c>
      <c r="Q2456">
        <f>-480.174923700934 -18.5379838979807 -360.815163785859</f>
        <v>-859.52807138477374</v>
      </c>
      <c r="R2456" t="s">
        <v>47897</v>
      </c>
      <c r="S2456" t="s">
        <v>47898</v>
      </c>
      <c r="T2456" t="s">
        <v>47899</v>
      </c>
      <c r="U2456" t="s">
        <v>47900</v>
      </c>
      <c r="V2456">
        <f>-594.462341016107 -43.339684084191 -92.1367284017562</f>
        <v>-729.93875350205417</v>
      </c>
      <c r="W2456" t="s">
        <v>47901</v>
      </c>
      <c r="X2456" t="s">
        <v>47902</v>
      </c>
      <c r="Y2456" t="s">
        <v>47903</v>
      </c>
    </row>
    <row r="2457" spans="1:25" x14ac:dyDescent="0.3">
      <c r="A2457">
        <v>122800</v>
      </c>
      <c r="B2457" t="s">
        <v>47904</v>
      </c>
      <c r="C2457" t="s">
        <v>47905</v>
      </c>
      <c r="D2457" t="s">
        <v>47906</v>
      </c>
      <c r="E2457" t="s">
        <v>47907</v>
      </c>
      <c r="F2457" t="s">
        <v>47908</v>
      </c>
      <c r="G2457" t="s">
        <v>47909</v>
      </c>
      <c r="H2457" t="s">
        <v>47910</v>
      </c>
      <c r="I2457" t="s">
        <v>47911</v>
      </c>
      <c r="J2457" t="s">
        <v>47912</v>
      </c>
      <c r="K2457" t="s">
        <v>47913</v>
      </c>
      <c r="L2457" t="s">
        <v>47914</v>
      </c>
      <c r="M2457" t="s">
        <v>47915</v>
      </c>
      <c r="N2457" t="s">
        <v>47916</v>
      </c>
      <c r="O2457">
        <f>-662.134137209959 -138.335803654279 -504.251524676212</f>
        <v>-1304.72146554045</v>
      </c>
      <c r="P2457">
        <f>-596.250034196363 -174.573540785186 -232.360656987965</f>
        <v>-1003.184231969514</v>
      </c>
      <c r="Q2457">
        <f>-480.418399447271 -19.3906675440346 -360.617352433648</f>
        <v>-860.42641942495356</v>
      </c>
      <c r="R2457" t="s">
        <v>47917</v>
      </c>
      <c r="S2457" t="s">
        <v>47918</v>
      </c>
      <c r="T2457" t="s">
        <v>47919</v>
      </c>
      <c r="U2457" t="s">
        <v>47920</v>
      </c>
      <c r="V2457">
        <f>-594.11419533761 -43.6049748246471 -92.0620219397605</f>
        <v>-729.7811921020176</v>
      </c>
      <c r="W2457" t="s">
        <v>47921</v>
      </c>
      <c r="X2457" t="s">
        <v>47922</v>
      </c>
      <c r="Y2457" t="s">
        <v>47923</v>
      </c>
    </row>
    <row r="2458" spans="1:25" x14ac:dyDescent="0.3">
      <c r="A2458">
        <v>122850</v>
      </c>
      <c r="B2458" t="s">
        <v>47924</v>
      </c>
      <c r="C2458" t="s">
        <v>47925</v>
      </c>
      <c r="D2458" t="s">
        <v>47926</v>
      </c>
      <c r="E2458" t="s">
        <v>47927</v>
      </c>
      <c r="F2458" t="s">
        <v>47928</v>
      </c>
      <c r="G2458" t="s">
        <v>47929</v>
      </c>
      <c r="H2458" t="s">
        <v>47930</v>
      </c>
      <c r="I2458" t="s">
        <v>47931</v>
      </c>
      <c r="J2458" t="s">
        <v>47932</v>
      </c>
      <c r="K2458" t="s">
        <v>47933</v>
      </c>
      <c r="L2458" t="s">
        <v>47934</v>
      </c>
      <c r="M2458" t="s">
        <v>47935</v>
      </c>
      <c r="N2458" t="s">
        <v>47936</v>
      </c>
      <c r="O2458">
        <f>-662.560122381836 -138.606272942067 -504.097226027317</f>
        <v>-1305.2636213512201</v>
      </c>
      <c r="P2458">
        <f>-596.651338453177 -174.823128978672 -232.209441041178</f>
        <v>-1003.683908473027</v>
      </c>
      <c r="Q2458">
        <f>-480.726383325753 -19.8061824255215 -360.582640608304</f>
        <v>-861.11520635957845</v>
      </c>
      <c r="R2458" t="s">
        <v>47937</v>
      </c>
      <c r="S2458" t="s">
        <v>47938</v>
      </c>
      <c r="T2458" t="s">
        <v>47939</v>
      </c>
      <c r="U2458" t="s">
        <v>47940</v>
      </c>
      <c r="V2458">
        <f>-593.958867984842 -43.7019716204234 -92.0246395930196</f>
        <v>-729.68547919828495</v>
      </c>
      <c r="W2458" t="s">
        <v>47941</v>
      </c>
      <c r="X2458" t="s">
        <v>47942</v>
      </c>
      <c r="Y2458" t="s">
        <v>47943</v>
      </c>
    </row>
    <row r="2459" spans="1:25" x14ac:dyDescent="0.3">
      <c r="A2459">
        <v>122900</v>
      </c>
      <c r="B2459" t="s">
        <v>47944</v>
      </c>
      <c r="C2459" t="s">
        <v>47945</v>
      </c>
      <c r="D2459" t="s">
        <v>47946</v>
      </c>
      <c r="E2459" t="s">
        <v>47947</v>
      </c>
      <c r="F2459" t="s">
        <v>47948</v>
      </c>
      <c r="G2459" t="s">
        <v>47949</v>
      </c>
      <c r="H2459" t="s">
        <v>47950</v>
      </c>
      <c r="I2459" t="s">
        <v>47951</v>
      </c>
      <c r="J2459" t="s">
        <v>47952</v>
      </c>
      <c r="K2459" t="s">
        <v>47953</v>
      </c>
      <c r="L2459" t="s">
        <v>47954</v>
      </c>
      <c r="M2459" t="s">
        <v>47955</v>
      </c>
      <c r="N2459" t="s">
        <v>47956</v>
      </c>
      <c r="O2459">
        <f>-663.146085422336 -139.047703404066 -503.851913345348</f>
        <v>-1306.04570217175</v>
      </c>
      <c r="P2459">
        <f>-597.217724165733 -175.450663628719 -231.993746863458</f>
        <v>-1004.66213465791</v>
      </c>
      <c r="Q2459">
        <f>-481.138960907039 -20.6974769983622 -360.54622129698</f>
        <v>-862.38265920238121</v>
      </c>
      <c r="R2459" t="s">
        <v>47957</v>
      </c>
      <c r="S2459" t="s">
        <v>47958</v>
      </c>
      <c r="T2459" t="s">
        <v>47959</v>
      </c>
      <c r="U2459" t="s">
        <v>47960</v>
      </c>
      <c r="V2459">
        <f>-593.787821449161 -43.9491369847144 -91.9609261473573</f>
        <v>-729.69788458123276</v>
      </c>
      <c r="W2459" t="s">
        <v>47961</v>
      </c>
      <c r="X2459" t="s">
        <v>47962</v>
      </c>
      <c r="Y2459" t="s">
        <v>47963</v>
      </c>
    </row>
    <row r="2460" spans="1:25" x14ac:dyDescent="0.3">
      <c r="A2460">
        <v>122950</v>
      </c>
      <c r="B2460" t="s">
        <v>47964</v>
      </c>
      <c r="C2460" t="s">
        <v>47965</v>
      </c>
      <c r="D2460" t="s">
        <v>47966</v>
      </c>
      <c r="E2460" t="s">
        <v>47967</v>
      </c>
      <c r="F2460" t="s">
        <v>47968</v>
      </c>
      <c r="G2460" t="s">
        <v>47969</v>
      </c>
      <c r="H2460" t="s">
        <v>47970</v>
      </c>
      <c r="I2460" t="s">
        <v>47971</v>
      </c>
      <c r="J2460" t="s">
        <v>47972</v>
      </c>
      <c r="K2460" t="s">
        <v>47973</v>
      </c>
      <c r="L2460" t="s">
        <v>47974</v>
      </c>
      <c r="M2460" t="s">
        <v>47975</v>
      </c>
      <c r="N2460" t="s">
        <v>47976</v>
      </c>
      <c r="O2460">
        <f>-663.205806809996 -139.214195174965 -503.803487419812</f>
        <v>-1306.2234894047729</v>
      </c>
      <c r="P2460">
        <f>-597.378268397344 -175.632598342554 -231.922849405498</f>
        <v>-1004.9337161453959</v>
      </c>
      <c r="Q2460">
        <f>-481.144685039085 -21.0765681519808 -360.572565910126</f>
        <v>-862.79381910119173</v>
      </c>
      <c r="R2460" t="s">
        <v>47977</v>
      </c>
      <c r="S2460" t="s">
        <v>47978</v>
      </c>
      <c r="T2460" t="s">
        <v>47979</v>
      </c>
      <c r="U2460" t="s">
        <v>47980</v>
      </c>
      <c r="V2460">
        <f>-593.738934982573 -43.9629359842147 -91.9502626534613</f>
        <v>-729.65213362024906</v>
      </c>
      <c r="W2460" t="s">
        <v>47981</v>
      </c>
      <c r="X2460" t="s">
        <v>47982</v>
      </c>
      <c r="Y2460" t="s">
        <v>47983</v>
      </c>
    </row>
    <row r="2461" spans="1:25" x14ac:dyDescent="0.3">
      <c r="A2461">
        <v>123000</v>
      </c>
      <c r="B2461" t="s">
        <v>47984</v>
      </c>
      <c r="C2461" t="s">
        <v>47985</v>
      </c>
      <c r="D2461" t="s">
        <v>47986</v>
      </c>
      <c r="E2461" t="s">
        <v>47987</v>
      </c>
      <c r="F2461" t="s">
        <v>47988</v>
      </c>
      <c r="G2461" t="s">
        <v>47989</v>
      </c>
      <c r="H2461" t="s">
        <v>47990</v>
      </c>
      <c r="I2461" t="s">
        <v>47991</v>
      </c>
      <c r="J2461" t="s">
        <v>47992</v>
      </c>
      <c r="K2461" t="s">
        <v>47993</v>
      </c>
      <c r="L2461" t="s">
        <v>47994</v>
      </c>
      <c r="M2461" t="s">
        <v>47995</v>
      </c>
      <c r="N2461" t="s">
        <v>47996</v>
      </c>
      <c r="O2461">
        <f>-663.094492913136 -139.393077571911 -503.729457031694</f>
        <v>-1306.2170275167409</v>
      </c>
      <c r="P2461">
        <f>-597.410810938435 -175.566000558643 -231.781363580575</f>
        <v>-1004.7581750776529</v>
      </c>
      <c r="Q2461">
        <f>-480.944745334864 -21.2135891459384 -360.465266821833</f>
        <v>-862.62360130263539</v>
      </c>
      <c r="R2461" t="s">
        <v>47997</v>
      </c>
      <c r="S2461" t="s">
        <v>47998</v>
      </c>
      <c r="T2461" t="s">
        <v>47999</v>
      </c>
      <c r="U2461" t="s">
        <v>48000</v>
      </c>
      <c r="V2461">
        <f>-593.644685403472 -43.8469425753929 -91.9383659012406</f>
        <v>-729.42999388010537</v>
      </c>
      <c r="W2461" t="s">
        <v>48001</v>
      </c>
      <c r="X2461" t="s">
        <v>48002</v>
      </c>
      <c r="Y2461" t="s">
        <v>48003</v>
      </c>
    </row>
    <row r="2462" spans="1:25" x14ac:dyDescent="0.3">
      <c r="A2462">
        <v>123050</v>
      </c>
      <c r="B2462" t="s">
        <v>48004</v>
      </c>
      <c r="C2462" t="s">
        <v>48005</v>
      </c>
      <c r="D2462" t="s">
        <v>48006</v>
      </c>
      <c r="E2462" t="s">
        <v>48007</v>
      </c>
      <c r="F2462" t="s">
        <v>48008</v>
      </c>
      <c r="G2462" t="s">
        <v>48009</v>
      </c>
      <c r="H2462" t="s">
        <v>48010</v>
      </c>
      <c r="I2462" t="s">
        <v>48011</v>
      </c>
      <c r="J2462" t="s">
        <v>48012</v>
      </c>
      <c r="K2462" t="s">
        <v>48013</v>
      </c>
      <c r="L2462" t="s">
        <v>48014</v>
      </c>
      <c r="M2462" t="s">
        <v>48015</v>
      </c>
      <c r="N2462" t="s">
        <v>48016</v>
      </c>
      <c r="O2462">
        <f>-662.969455532181 -139.433661161827 -503.736745209744</f>
        <v>-1306.139861903752</v>
      </c>
      <c r="P2462">
        <f>-597.236148744595 -175.609555096115 -231.800943005987</f>
        <v>-1004.646646846697</v>
      </c>
      <c r="Q2462">
        <f>-480.855938110748 -21.1001150823286 -360.374128278223</f>
        <v>-862.33018147129962</v>
      </c>
      <c r="R2462" t="s">
        <v>48017</v>
      </c>
      <c r="S2462" t="s">
        <v>48018</v>
      </c>
      <c r="T2462" t="s">
        <v>48019</v>
      </c>
      <c r="U2462" t="s">
        <v>48020</v>
      </c>
      <c r="V2462">
        <f>-593.630872346424 -43.8138128589114 -91.9414289599225</f>
        <v>-729.38611416525794</v>
      </c>
      <c r="W2462" t="s">
        <v>48021</v>
      </c>
      <c r="X2462" t="s">
        <v>48022</v>
      </c>
      <c r="Y2462" t="s">
        <v>48023</v>
      </c>
    </row>
    <row r="2463" spans="1:25" x14ac:dyDescent="0.3">
      <c r="A2463">
        <v>123100</v>
      </c>
      <c r="B2463" t="s">
        <v>48024</v>
      </c>
      <c r="C2463" t="s">
        <v>48025</v>
      </c>
      <c r="D2463" t="s">
        <v>48026</v>
      </c>
      <c r="E2463" t="s">
        <v>48027</v>
      </c>
      <c r="F2463" t="s">
        <v>48028</v>
      </c>
      <c r="G2463" t="s">
        <v>48029</v>
      </c>
      <c r="H2463" t="s">
        <v>48030</v>
      </c>
      <c r="I2463" t="s">
        <v>48031</v>
      </c>
      <c r="J2463" t="s">
        <v>48032</v>
      </c>
      <c r="K2463" t="s">
        <v>48033</v>
      </c>
      <c r="L2463" t="s">
        <v>48034</v>
      </c>
      <c r="M2463" t="s">
        <v>48035</v>
      </c>
      <c r="N2463" t="s">
        <v>48036</v>
      </c>
      <c r="O2463">
        <f>-662.583715039675 -139.638756879359 -503.857135041115</f>
        <v>-1306.079606960149</v>
      </c>
      <c r="P2463">
        <f>-596.732247952584 -175.837883307419 -231.953118342291</f>
        <v>-1004.523249602294</v>
      </c>
      <c r="Q2463">
        <f>-480.891005815248 -20.6014349673244 -360.136560329812</f>
        <v>-861.62900111238446</v>
      </c>
      <c r="R2463" t="s">
        <v>48037</v>
      </c>
      <c r="S2463" t="s">
        <v>48038</v>
      </c>
      <c r="T2463" t="s">
        <v>48039</v>
      </c>
      <c r="U2463" t="s">
        <v>48040</v>
      </c>
      <c r="V2463">
        <f>-593.660156536952 -43.7219936586775 -91.9517497032546</f>
        <v>-729.33389989888406</v>
      </c>
      <c r="W2463" t="s">
        <v>48041</v>
      </c>
      <c r="X2463" t="s">
        <v>48042</v>
      </c>
      <c r="Y2463" t="s">
        <v>48043</v>
      </c>
    </row>
    <row r="2464" spans="1:25" x14ac:dyDescent="0.3">
      <c r="A2464">
        <v>123150</v>
      </c>
      <c r="B2464" t="s">
        <v>48044</v>
      </c>
      <c r="C2464" t="s">
        <v>48045</v>
      </c>
      <c r="D2464" t="s">
        <v>48046</v>
      </c>
      <c r="E2464" t="s">
        <v>48047</v>
      </c>
      <c r="F2464" t="s">
        <v>48048</v>
      </c>
      <c r="G2464" t="s">
        <v>48049</v>
      </c>
      <c r="H2464" t="s">
        <v>48050</v>
      </c>
      <c r="I2464" t="s">
        <v>48051</v>
      </c>
      <c r="J2464" t="s">
        <v>48052</v>
      </c>
      <c r="K2464" t="s">
        <v>48053</v>
      </c>
      <c r="L2464" t="s">
        <v>48054</v>
      </c>
      <c r="M2464" t="s">
        <v>48055</v>
      </c>
      <c r="N2464" t="s">
        <v>48056</v>
      </c>
      <c r="O2464">
        <f>-662.366777400526 -139.721875334945 -503.89775226754</f>
        <v>-1305.986405003011</v>
      </c>
      <c r="P2464">
        <f>-596.374907191269 -175.819494663803 -232.014192997828</f>
        <v>-1004.2085948529</v>
      </c>
      <c r="Q2464">
        <f>-480.886535965218 -20.1551337242761 -359.996962346048</f>
        <v>-861.03863203554215</v>
      </c>
      <c r="R2464" t="s">
        <v>48057</v>
      </c>
      <c r="S2464" t="s">
        <v>48058</v>
      </c>
      <c r="T2464" t="s">
        <v>48059</v>
      </c>
      <c r="U2464" t="s">
        <v>48060</v>
      </c>
      <c r="V2464">
        <f>-593.640221067966 -43.6414933217998 -91.9578325611341</f>
        <v>-729.23954695089981</v>
      </c>
      <c r="W2464" t="s">
        <v>48061</v>
      </c>
      <c r="X2464" t="s">
        <v>48062</v>
      </c>
      <c r="Y2464" t="s">
        <v>48063</v>
      </c>
    </row>
    <row r="2465" spans="1:25" x14ac:dyDescent="0.3">
      <c r="A2465">
        <v>123200</v>
      </c>
      <c r="B2465" t="s">
        <v>48064</v>
      </c>
      <c r="C2465" t="s">
        <v>48065</v>
      </c>
      <c r="D2465" t="s">
        <v>48066</v>
      </c>
      <c r="E2465" t="s">
        <v>48067</v>
      </c>
      <c r="F2465" t="s">
        <v>48068</v>
      </c>
      <c r="G2465" t="s">
        <v>48069</v>
      </c>
      <c r="H2465" t="s">
        <v>48070</v>
      </c>
      <c r="I2465" t="s">
        <v>48071</v>
      </c>
      <c r="J2465" t="s">
        <v>48072</v>
      </c>
      <c r="K2465" t="s">
        <v>48073</v>
      </c>
      <c r="L2465" t="s">
        <v>48074</v>
      </c>
      <c r="M2465" t="s">
        <v>48075</v>
      </c>
      <c r="N2465" t="s">
        <v>48076</v>
      </c>
      <c r="O2465">
        <f>-662.224751450153 -139.783909538119 -503.90902020861</f>
        <v>-1305.9176811968821</v>
      </c>
      <c r="P2465">
        <f>-595.962440116534 -175.683432633995 -232.065038287653</f>
        <v>-1003.7109110381821</v>
      </c>
      <c r="Q2465">
        <f>-481.28301539631 -19.0195860637041 -359.554727328686</f>
        <v>-859.8573287887001</v>
      </c>
      <c r="R2465" t="s">
        <v>48077</v>
      </c>
      <c r="S2465" t="s">
        <v>48078</v>
      </c>
      <c r="T2465" t="s">
        <v>48079</v>
      </c>
      <c r="U2465" t="s">
        <v>48080</v>
      </c>
      <c r="V2465">
        <f>-593.586965294583 -43.5054819187931 -92.0001568604137</f>
        <v>-729.09260407378974</v>
      </c>
      <c r="W2465" t="s">
        <v>48081</v>
      </c>
      <c r="X2465" t="s">
        <v>48082</v>
      </c>
      <c r="Y2465" t="s">
        <v>48083</v>
      </c>
    </row>
    <row r="2466" spans="1:25" x14ac:dyDescent="0.3">
      <c r="A2466">
        <v>123250</v>
      </c>
      <c r="B2466" t="s">
        <v>48084</v>
      </c>
      <c r="C2466" t="s">
        <v>48085</v>
      </c>
      <c r="D2466" t="s">
        <v>48086</v>
      </c>
      <c r="E2466" t="s">
        <v>48087</v>
      </c>
      <c r="F2466" t="s">
        <v>48088</v>
      </c>
      <c r="G2466" t="s">
        <v>48089</v>
      </c>
      <c r="H2466" t="s">
        <v>48090</v>
      </c>
      <c r="I2466" t="s">
        <v>48091</v>
      </c>
      <c r="J2466" t="s">
        <v>48092</v>
      </c>
      <c r="K2466" t="s">
        <v>48093</v>
      </c>
      <c r="L2466" t="s">
        <v>48094</v>
      </c>
      <c r="M2466" t="s">
        <v>48095</v>
      </c>
      <c r="N2466" t="s">
        <v>48096</v>
      </c>
      <c r="O2466">
        <f>-662.20373198083 -139.719214376241 -503.928317213612</f>
        <v>-1305.8512635706829</v>
      </c>
      <c r="P2466">
        <f>-595.857153944954 -175.611172439266 -232.103958915608</f>
        <v>-1003.5722852998281</v>
      </c>
      <c r="Q2466">
        <f>-481.517970965406 -18.4939563879032 -359.341011447496</f>
        <v>-859.35293880080519</v>
      </c>
      <c r="R2466" t="s">
        <v>48097</v>
      </c>
      <c r="S2466" t="s">
        <v>48098</v>
      </c>
      <c r="T2466" t="s">
        <v>48099</v>
      </c>
      <c r="U2466" t="s">
        <v>48100</v>
      </c>
      <c r="V2466">
        <f>-593.556503589954 -43.4333899979358 -92.0305941325379</f>
        <v>-729.0204877204277</v>
      </c>
      <c r="W2466" t="s">
        <v>48101</v>
      </c>
      <c r="X2466" t="s">
        <v>48102</v>
      </c>
      <c r="Y2466" t="s">
        <v>48103</v>
      </c>
    </row>
    <row r="2467" spans="1:25" x14ac:dyDescent="0.3">
      <c r="A2467">
        <v>123300</v>
      </c>
      <c r="B2467" t="s">
        <v>48104</v>
      </c>
      <c r="C2467" t="s">
        <v>48105</v>
      </c>
      <c r="D2467" t="s">
        <v>48106</v>
      </c>
      <c r="E2467" t="s">
        <v>48107</v>
      </c>
      <c r="F2467" t="s">
        <v>48108</v>
      </c>
      <c r="G2467" t="s">
        <v>48109</v>
      </c>
      <c r="H2467" t="s">
        <v>48110</v>
      </c>
      <c r="I2467" t="s">
        <v>48111</v>
      </c>
      <c r="J2467" t="s">
        <v>48112</v>
      </c>
      <c r="K2467" t="s">
        <v>48113</v>
      </c>
      <c r="L2467" t="s">
        <v>48114</v>
      </c>
      <c r="M2467" t="s">
        <v>48115</v>
      </c>
      <c r="N2467" t="s">
        <v>48116</v>
      </c>
      <c r="O2467">
        <f>-661.822023553582 -139.631090453507 -504.022124473977</f>
        <v>-1305.4752384810658</v>
      </c>
      <c r="P2467">
        <f>-595.48266466718 -175.407375435108 -232.180788770585</f>
        <v>-1003.0708288728729</v>
      </c>
      <c r="Q2467">
        <f>-481.730720435908 -17.7300965066786 -359.251181139666</f>
        <v>-858.71199808225265</v>
      </c>
      <c r="R2467" t="s">
        <v>48117</v>
      </c>
      <c r="S2467" t="s">
        <v>48118</v>
      </c>
      <c r="T2467" t="s">
        <v>48119</v>
      </c>
      <c r="U2467" t="s">
        <v>48120</v>
      </c>
      <c r="V2467">
        <f>-593.353351343207 -43.2681028506161 -92.1235280850615</f>
        <v>-728.74498227888455</v>
      </c>
      <c r="W2467" t="s">
        <v>48121</v>
      </c>
      <c r="X2467" t="s">
        <v>48122</v>
      </c>
      <c r="Y2467" t="s">
        <v>48123</v>
      </c>
    </row>
    <row r="2468" spans="1:25" x14ac:dyDescent="0.3">
      <c r="A2468">
        <v>123350</v>
      </c>
      <c r="B2468" t="s">
        <v>48124</v>
      </c>
      <c r="C2468" t="s">
        <v>48125</v>
      </c>
      <c r="D2468" t="s">
        <v>48126</v>
      </c>
      <c r="E2468" t="s">
        <v>48127</v>
      </c>
      <c r="F2468" t="s">
        <v>48128</v>
      </c>
      <c r="G2468" t="s">
        <v>48129</v>
      </c>
      <c r="H2468" t="s">
        <v>48130</v>
      </c>
      <c r="I2468" t="s">
        <v>48131</v>
      </c>
      <c r="J2468" t="s">
        <v>48132</v>
      </c>
      <c r="K2468" t="s">
        <v>48133</v>
      </c>
      <c r="L2468" t="s">
        <v>48134</v>
      </c>
      <c r="M2468" t="s">
        <v>48135</v>
      </c>
      <c r="N2468" t="s">
        <v>48136</v>
      </c>
      <c r="O2468">
        <f>-661.689982732583 -139.47486126547 -504.022976974574</f>
        <v>-1305.1878209726269</v>
      </c>
      <c r="P2468">
        <f>-595.285352107466 -175.174714223066 -232.187376256781</f>
        <v>-1002.647442587313</v>
      </c>
      <c r="Q2468">
        <f>-481.861752472445 -17.3062384345135 -359.314008467147</f>
        <v>-858.4819993741055</v>
      </c>
      <c r="R2468" t="s">
        <v>48137</v>
      </c>
      <c r="S2468" t="s">
        <v>48138</v>
      </c>
      <c r="T2468" t="s">
        <v>48139</v>
      </c>
      <c r="U2468" t="s">
        <v>48140</v>
      </c>
      <c r="V2468">
        <f>-593.272817424792 -43.0823524318064 -92.1666147060516</f>
        <v>-728.52178456265005</v>
      </c>
      <c r="W2468" t="s">
        <v>48141</v>
      </c>
      <c r="X2468" t="s">
        <v>48142</v>
      </c>
      <c r="Y2468" t="s">
        <v>48143</v>
      </c>
    </row>
    <row r="2469" spans="1:25" x14ac:dyDescent="0.3">
      <c r="A2469">
        <v>123400</v>
      </c>
      <c r="B2469" t="s">
        <v>48144</v>
      </c>
      <c r="C2469" t="s">
        <v>48145</v>
      </c>
      <c r="D2469" t="s">
        <v>48146</v>
      </c>
      <c r="E2469" t="s">
        <v>48147</v>
      </c>
      <c r="F2469" t="s">
        <v>48148</v>
      </c>
      <c r="G2469" t="s">
        <v>48149</v>
      </c>
      <c r="H2469" t="s">
        <v>48150</v>
      </c>
      <c r="I2469" t="s">
        <v>48151</v>
      </c>
      <c r="J2469" t="s">
        <v>48152</v>
      </c>
      <c r="K2469" t="s">
        <v>48153</v>
      </c>
      <c r="L2469" t="s">
        <v>48154</v>
      </c>
      <c r="M2469" t="s">
        <v>48155</v>
      </c>
      <c r="N2469" t="s">
        <v>48156</v>
      </c>
      <c r="O2469">
        <f>-661.521365323112 -138.802245275277 -504.075834214005</f>
        <v>-1304.399444812394</v>
      </c>
      <c r="P2469">
        <f>-594.88752567358 -174.43422400928 -232.287653565021</f>
        <v>-1001.6094032478809</v>
      </c>
      <c r="Q2469">
        <f>-481.849789701296 -16.409990806264 -359.564295899667</f>
        <v>-857.82407640722704</v>
      </c>
      <c r="R2469" t="s">
        <v>48157</v>
      </c>
      <c r="S2469" t="s">
        <v>48158</v>
      </c>
      <c r="T2469" t="s">
        <v>48159</v>
      </c>
      <c r="U2469" t="s">
        <v>48160</v>
      </c>
      <c r="V2469">
        <f>-593.142819827049 -42.6461971911419 -92.2281113147161</f>
        <v>-728.01712833290708</v>
      </c>
      <c r="W2469" t="s">
        <v>48161</v>
      </c>
      <c r="X2469" t="s">
        <v>48162</v>
      </c>
      <c r="Y2469" t="s">
        <v>48163</v>
      </c>
    </row>
    <row r="2470" spans="1:25" x14ac:dyDescent="0.3">
      <c r="A2470">
        <v>123450</v>
      </c>
      <c r="B2470" t="s">
        <v>48164</v>
      </c>
      <c r="C2470" t="s">
        <v>48165</v>
      </c>
      <c r="D2470" t="s">
        <v>48166</v>
      </c>
      <c r="E2470" t="s">
        <v>48167</v>
      </c>
      <c r="F2470" t="s">
        <v>48168</v>
      </c>
      <c r="G2470" t="s">
        <v>48169</v>
      </c>
      <c r="H2470" t="s">
        <v>48170</v>
      </c>
      <c r="I2470" t="s">
        <v>48171</v>
      </c>
      <c r="J2470" t="s">
        <v>48172</v>
      </c>
      <c r="K2470" t="s">
        <v>48173</v>
      </c>
      <c r="L2470" t="s">
        <v>48174</v>
      </c>
      <c r="M2470" t="s">
        <v>48175</v>
      </c>
      <c r="N2470" t="s">
        <v>48176</v>
      </c>
      <c r="O2470">
        <f>-661.432020704835 -138.381250246193 -504.160220806749</f>
        <v>-1303.9734917577771</v>
      </c>
      <c r="P2470">
        <f>-594.805563789636 -174.089140570802 -232.380192234752</f>
        <v>-1001.2748965951901</v>
      </c>
      <c r="Q2470">
        <f>-481.84914644695 -15.9466323433005 -359.582105579911</f>
        <v>-857.3778843701615</v>
      </c>
      <c r="R2470" t="s">
        <v>48177</v>
      </c>
      <c r="S2470" t="s">
        <v>48178</v>
      </c>
      <c r="T2470" t="s">
        <v>48179</v>
      </c>
      <c r="U2470" t="s">
        <v>48180</v>
      </c>
      <c r="V2470">
        <f>-593.163678564635 -42.3159578620543 -92.246562814502</f>
        <v>-727.72619924119135</v>
      </c>
      <c r="W2470" t="s">
        <v>48181</v>
      </c>
      <c r="X2470" t="s">
        <v>48182</v>
      </c>
      <c r="Y2470" t="s">
        <v>48183</v>
      </c>
    </row>
    <row r="2471" spans="1:25" x14ac:dyDescent="0.3">
      <c r="A2471">
        <v>123500</v>
      </c>
      <c r="B2471" t="s">
        <v>48184</v>
      </c>
      <c r="C2471" t="s">
        <v>48185</v>
      </c>
      <c r="D2471" t="s">
        <v>48186</v>
      </c>
      <c r="E2471" t="s">
        <v>48187</v>
      </c>
      <c r="F2471" t="s">
        <v>48188</v>
      </c>
      <c r="G2471" t="s">
        <v>48189</v>
      </c>
      <c r="H2471" t="s">
        <v>48190</v>
      </c>
      <c r="I2471" t="s">
        <v>48191</v>
      </c>
      <c r="J2471" t="s">
        <v>48192</v>
      </c>
      <c r="K2471" t="s">
        <v>48193</v>
      </c>
      <c r="L2471" t="s">
        <v>48194</v>
      </c>
      <c r="M2471" t="s">
        <v>48195</v>
      </c>
      <c r="N2471" t="s">
        <v>48196</v>
      </c>
      <c r="O2471">
        <f>-660.845626469721 -137.58595381147 -504.358472596023</f>
        <v>-1302.7900528772138</v>
      </c>
      <c r="P2471">
        <f>-594.433562247451 -173.529732735317 -232.556885732423</f>
        <v>-1000.520180715191</v>
      </c>
      <c r="Q2471">
        <f>-481.440823767408 -15.1178658955243 -359.390692439816</f>
        <v>-855.94938210274836</v>
      </c>
      <c r="R2471" t="s">
        <v>48197</v>
      </c>
      <c r="S2471" t="s">
        <v>48198</v>
      </c>
      <c r="T2471" t="s">
        <v>48199</v>
      </c>
      <c r="U2471" t="s">
        <v>48200</v>
      </c>
      <c r="V2471">
        <f>-593.365491262423 -41.6900500892589 -92.2703077750394</f>
        <v>-727.32584912672132</v>
      </c>
      <c r="W2471" t="s">
        <v>48201</v>
      </c>
      <c r="X2471" t="s">
        <v>48202</v>
      </c>
      <c r="Y2471" t="s">
        <v>48203</v>
      </c>
    </row>
    <row r="2472" spans="1:25" x14ac:dyDescent="0.3">
      <c r="A2472">
        <v>123550</v>
      </c>
      <c r="B2472" t="s">
        <v>48204</v>
      </c>
      <c r="C2472" t="s">
        <v>48205</v>
      </c>
      <c r="D2472" t="s">
        <v>48206</v>
      </c>
      <c r="E2472" t="s">
        <v>48207</v>
      </c>
      <c r="F2472" t="s">
        <v>48208</v>
      </c>
      <c r="G2472" t="s">
        <v>48209</v>
      </c>
      <c r="H2472" t="s">
        <v>48210</v>
      </c>
      <c r="I2472" t="s">
        <v>48211</v>
      </c>
      <c r="J2472" t="s">
        <v>48212</v>
      </c>
      <c r="K2472" t="s">
        <v>48213</v>
      </c>
      <c r="L2472" t="s">
        <v>48214</v>
      </c>
      <c r="M2472" t="s">
        <v>48215</v>
      </c>
      <c r="N2472" t="s">
        <v>48216</v>
      </c>
      <c r="O2472">
        <f>-660.502212154184 -137.153897011805 -504.429892265939</f>
        <v>-1302.0860014319278</v>
      </c>
      <c r="P2472">
        <f>-594.293617432799 -173.10497543566 -232.579720245235</f>
        <v>-999.97831311369396</v>
      </c>
      <c r="Q2472">
        <f>-481.159463928294 -14.6018262899977 -359.173402080674</f>
        <v>-854.93469229896573</v>
      </c>
      <c r="R2472" t="s">
        <v>48217</v>
      </c>
      <c r="S2472" t="s">
        <v>48218</v>
      </c>
      <c r="T2472" t="s">
        <v>48219</v>
      </c>
      <c r="U2472" t="s">
        <v>48220</v>
      </c>
      <c r="V2472">
        <f>-593.426357595313 -41.2976127841207 -92.2714077943521</f>
        <v>-726.99537817378575</v>
      </c>
      <c r="W2472" t="s">
        <v>48221</v>
      </c>
      <c r="X2472" t="s">
        <v>48222</v>
      </c>
      <c r="Y2472" t="s">
        <v>48223</v>
      </c>
    </row>
    <row r="2473" spans="1:25" x14ac:dyDescent="0.3">
      <c r="A2473">
        <v>123600</v>
      </c>
      <c r="B2473" t="s">
        <v>48224</v>
      </c>
      <c r="C2473" t="s">
        <v>48225</v>
      </c>
      <c r="D2473" t="s">
        <v>48226</v>
      </c>
      <c r="E2473" t="s">
        <v>48227</v>
      </c>
      <c r="F2473" t="s">
        <v>48228</v>
      </c>
      <c r="G2473" t="s">
        <v>48229</v>
      </c>
      <c r="H2473" t="s">
        <v>48230</v>
      </c>
      <c r="I2473" t="s">
        <v>48231</v>
      </c>
      <c r="J2473" t="s">
        <v>48232</v>
      </c>
      <c r="K2473" t="s">
        <v>48233</v>
      </c>
      <c r="L2473" t="s">
        <v>48234</v>
      </c>
      <c r="M2473" t="s">
        <v>48235</v>
      </c>
      <c r="N2473" t="s">
        <v>48236</v>
      </c>
      <c r="O2473">
        <f>-659.799729299781 -136.431275001032 -504.407079177716</f>
        <v>-1300.6380834785291</v>
      </c>
      <c r="P2473">
        <f>-594.050573804382 -172.164119793566 -232.416668747855</f>
        <v>-998.63136234580293</v>
      </c>
      <c r="Q2473">
        <f>-480.458955343662 -13.7284784614769 -358.6846573624</f>
        <v>-852.87209116753888</v>
      </c>
      <c r="R2473" t="s">
        <v>48237</v>
      </c>
      <c r="S2473" t="s">
        <v>48238</v>
      </c>
      <c r="T2473" t="s">
        <v>48239</v>
      </c>
      <c r="U2473" t="s">
        <v>48240</v>
      </c>
      <c r="V2473">
        <f>-593.41563813096 -40.6700524932251 -92.2496539644342</f>
        <v>-726.33534458861925</v>
      </c>
      <c r="W2473" t="s">
        <v>48241</v>
      </c>
      <c r="X2473" t="s">
        <v>48242</v>
      </c>
      <c r="Y2473" t="s">
        <v>48243</v>
      </c>
    </row>
    <row r="2474" spans="1:25" x14ac:dyDescent="0.3">
      <c r="A2474">
        <v>123650</v>
      </c>
      <c r="B2474" t="s">
        <v>48244</v>
      </c>
      <c r="C2474" t="s">
        <v>48245</v>
      </c>
      <c r="D2474" t="s">
        <v>48246</v>
      </c>
      <c r="E2474" t="s">
        <v>48247</v>
      </c>
      <c r="F2474" t="s">
        <v>48248</v>
      </c>
      <c r="G2474" t="s">
        <v>48249</v>
      </c>
      <c r="H2474" t="s">
        <v>48250</v>
      </c>
      <c r="I2474" t="s">
        <v>48251</v>
      </c>
      <c r="J2474" t="s">
        <v>48252</v>
      </c>
      <c r="K2474" t="s">
        <v>48253</v>
      </c>
      <c r="L2474" t="s">
        <v>48254</v>
      </c>
      <c r="M2474" t="s">
        <v>48255</v>
      </c>
      <c r="N2474" t="s">
        <v>48256</v>
      </c>
      <c r="O2474">
        <f>-659.504825723988 -136.073933155163 -504.405580907128</f>
        <v>-1299.984339786279</v>
      </c>
      <c r="P2474">
        <f>-594.023501419383 -171.703518396904 -232.336978788396</f>
        <v>-998.06399860468298</v>
      </c>
      <c r="Q2474">
        <f>-480.213981888771 -13.3408926687191 -358.500469347785</f>
        <v>-852.05534390527509</v>
      </c>
      <c r="R2474" t="s">
        <v>48257</v>
      </c>
      <c r="S2474" t="s">
        <v>48258</v>
      </c>
      <c r="T2474" t="s">
        <v>48259</v>
      </c>
      <c r="U2474" t="s">
        <v>48260</v>
      </c>
      <c r="V2474">
        <f>-593.364142125861 -40.3538752077529 -92.2453043857038</f>
        <v>-725.96332171931772</v>
      </c>
      <c r="W2474" t="s">
        <v>48261</v>
      </c>
      <c r="X2474" t="s">
        <v>48262</v>
      </c>
      <c r="Y2474" t="s">
        <v>48263</v>
      </c>
    </row>
    <row r="2475" spans="1:25" x14ac:dyDescent="0.3">
      <c r="A2475">
        <v>123700</v>
      </c>
      <c r="B2475" t="s">
        <v>48264</v>
      </c>
      <c r="C2475" t="s">
        <v>48265</v>
      </c>
      <c r="D2475" t="s">
        <v>48266</v>
      </c>
      <c r="E2475" t="s">
        <v>48267</v>
      </c>
      <c r="F2475" t="s">
        <v>48268</v>
      </c>
      <c r="G2475" t="s">
        <v>48269</v>
      </c>
      <c r="H2475" t="s">
        <v>48270</v>
      </c>
      <c r="I2475" t="s">
        <v>48271</v>
      </c>
      <c r="J2475" t="s">
        <v>48272</v>
      </c>
      <c r="K2475" t="s">
        <v>48273</v>
      </c>
      <c r="L2475" t="s">
        <v>48274</v>
      </c>
      <c r="M2475" t="s">
        <v>48275</v>
      </c>
      <c r="N2475" t="s">
        <v>48276</v>
      </c>
      <c r="O2475">
        <f>-659.199334278579 -135.368589494745 -504.402929239641</f>
        <v>-1298.9708530129651</v>
      </c>
      <c r="P2475">
        <f>-594.202462061389 -170.99521555913 -232.217771579017</f>
        <v>-997.41544919953606</v>
      </c>
      <c r="Q2475">
        <f>-479.808665776892 -12.8896371789949 -358.17511049365</f>
        <v>-850.87341344953688</v>
      </c>
      <c r="R2475" t="s">
        <v>48277</v>
      </c>
      <c r="S2475" t="s">
        <v>48278</v>
      </c>
      <c r="T2475" t="s">
        <v>48279</v>
      </c>
      <c r="U2475" t="s">
        <v>48280</v>
      </c>
      <c r="V2475">
        <f>-593.285682515783 -39.8581362728678 -92.253672438101</f>
        <v>-725.39749122675187</v>
      </c>
      <c r="W2475" t="s">
        <v>48281</v>
      </c>
      <c r="X2475" t="s">
        <v>48282</v>
      </c>
      <c r="Y2475" t="s">
        <v>48283</v>
      </c>
    </row>
    <row r="2476" spans="1:25" x14ac:dyDescent="0.3">
      <c r="A2476">
        <v>123750</v>
      </c>
      <c r="B2476" t="s">
        <v>48284</v>
      </c>
      <c r="C2476" t="s">
        <v>48285</v>
      </c>
      <c r="D2476" t="s">
        <v>48286</v>
      </c>
      <c r="E2476" t="s">
        <v>48287</v>
      </c>
      <c r="F2476" t="s">
        <v>48288</v>
      </c>
      <c r="G2476" t="s">
        <v>48289</v>
      </c>
      <c r="H2476" t="s">
        <v>48290</v>
      </c>
      <c r="I2476" t="s">
        <v>48291</v>
      </c>
      <c r="J2476" t="s">
        <v>48292</v>
      </c>
      <c r="K2476" t="s">
        <v>48293</v>
      </c>
      <c r="L2476" t="s">
        <v>48294</v>
      </c>
      <c r="M2476" t="s">
        <v>48295</v>
      </c>
      <c r="N2476" t="s">
        <v>48296</v>
      </c>
      <c r="O2476">
        <f>-659.098877128507 -135.000888703382 -504.424090710852</f>
        <v>-1298.523856542741</v>
      </c>
      <c r="P2476">
        <f>-594.302911765727 -170.684117257758 -232.198519611707</f>
        <v>-997.18554863519194</v>
      </c>
      <c r="Q2476">
        <f>-479.558335715246 -12.6911399440553 -357.97794090233</f>
        <v>-850.22741656163134</v>
      </c>
      <c r="R2476" t="s">
        <v>48297</v>
      </c>
      <c r="S2476" t="s">
        <v>48298</v>
      </c>
      <c r="T2476" t="s">
        <v>48299</v>
      </c>
      <c r="U2476" t="s">
        <v>48300</v>
      </c>
      <c r="V2476">
        <f>-593.26662639086 -39.6466814304918 -92.2622494614177</f>
        <v>-725.17555728276943</v>
      </c>
      <c r="W2476" t="s">
        <v>48301</v>
      </c>
      <c r="X2476" t="s">
        <v>48302</v>
      </c>
      <c r="Y2476" t="s">
        <v>48303</v>
      </c>
    </row>
    <row r="2477" spans="1:25" x14ac:dyDescent="0.3">
      <c r="A2477">
        <v>123800</v>
      </c>
      <c r="B2477" t="s">
        <v>48304</v>
      </c>
      <c r="C2477" t="s">
        <v>48305</v>
      </c>
      <c r="D2477" t="s">
        <v>48306</v>
      </c>
      <c r="E2477" t="s">
        <v>48307</v>
      </c>
      <c r="F2477" t="s">
        <v>48308</v>
      </c>
      <c r="G2477" t="s">
        <v>48309</v>
      </c>
      <c r="H2477" t="s">
        <v>48310</v>
      </c>
      <c r="I2477" t="s">
        <v>48311</v>
      </c>
      <c r="J2477" t="s">
        <v>48312</v>
      </c>
      <c r="K2477" t="s">
        <v>48313</v>
      </c>
      <c r="L2477" t="s">
        <v>48314</v>
      </c>
      <c r="M2477" t="s">
        <v>48315</v>
      </c>
      <c r="N2477" t="s">
        <v>48316</v>
      </c>
      <c r="O2477">
        <f>-658.945720713263 -134.410971675886 -504.44848643509</f>
        <v>-1297.805178824239</v>
      </c>
      <c r="P2477">
        <f>-594.619334262736 -170.068699431906 -232.108285058434</f>
        <v>-996.79631875307598</v>
      </c>
      <c r="Q2477">
        <f>-478.955771422228 -12.2332674297434 -357.241898542133</f>
        <v>-848.43093739410438</v>
      </c>
      <c r="R2477" t="s">
        <v>48317</v>
      </c>
      <c r="S2477" t="s">
        <v>48318</v>
      </c>
      <c r="T2477" t="s">
        <v>48319</v>
      </c>
      <c r="U2477" t="s">
        <v>48320</v>
      </c>
      <c r="V2477">
        <f>-593.236682505697 -39.2614730559312 -92.2903547383403</f>
        <v>-724.78851029996849</v>
      </c>
      <c r="W2477" t="s">
        <v>48321</v>
      </c>
      <c r="X2477" t="s">
        <v>48322</v>
      </c>
      <c r="Y2477" t="s">
        <v>48323</v>
      </c>
    </row>
    <row r="2478" spans="1:25" x14ac:dyDescent="0.3">
      <c r="A2478">
        <v>123850</v>
      </c>
      <c r="B2478" t="s">
        <v>48324</v>
      </c>
      <c r="C2478" t="s">
        <v>48325</v>
      </c>
      <c r="D2478" t="s">
        <v>48326</v>
      </c>
      <c r="E2478" t="s">
        <v>48327</v>
      </c>
      <c r="F2478" t="s">
        <v>48328</v>
      </c>
      <c r="G2478" t="s">
        <v>48329</v>
      </c>
      <c r="H2478" t="s">
        <v>48330</v>
      </c>
      <c r="I2478" t="s">
        <v>48331</v>
      </c>
      <c r="J2478" t="s">
        <v>48332</v>
      </c>
      <c r="K2478" t="s">
        <v>48333</v>
      </c>
      <c r="L2478" t="s">
        <v>48334</v>
      </c>
      <c r="M2478" t="s">
        <v>48335</v>
      </c>
      <c r="N2478" t="s">
        <v>48336</v>
      </c>
      <c r="O2478">
        <f>-658.911456746664 -134.142693347595 -504.448046830953</f>
        <v>-1297.502196925212</v>
      </c>
      <c r="P2478">
        <f>-595.018204228904 -169.770694525982 -232.001922684797</f>
        <v>-996.79082143968299</v>
      </c>
      <c r="Q2478">
        <f>-478.811704465311 -12.06134357158 -356.791239756856</f>
        <v>-847.66428779374701</v>
      </c>
      <c r="R2478" t="s">
        <v>48337</v>
      </c>
      <c r="S2478" t="s">
        <v>48338</v>
      </c>
      <c r="T2478" t="s">
        <v>48339</v>
      </c>
      <c r="U2478" t="s">
        <v>48340</v>
      </c>
      <c r="V2478">
        <f>-593.269690289263 -39.1158716594528 -92.3127324352663</f>
        <v>-724.6982943839821</v>
      </c>
      <c r="W2478" t="s">
        <v>48341</v>
      </c>
      <c r="X2478" t="s">
        <v>48342</v>
      </c>
      <c r="Y2478" t="s">
        <v>48343</v>
      </c>
    </row>
    <row r="2479" spans="1:25" x14ac:dyDescent="0.3">
      <c r="A2479">
        <v>123900</v>
      </c>
      <c r="B2479" t="s">
        <v>48344</v>
      </c>
      <c r="C2479" t="s">
        <v>48345</v>
      </c>
      <c r="D2479" t="s">
        <v>48346</v>
      </c>
      <c r="E2479" t="s">
        <v>48347</v>
      </c>
      <c r="F2479" t="s">
        <v>48348</v>
      </c>
      <c r="G2479" t="s">
        <v>48349</v>
      </c>
      <c r="H2479" t="s">
        <v>48350</v>
      </c>
      <c r="I2479" t="s">
        <v>48351</v>
      </c>
      <c r="J2479" t="s">
        <v>48352</v>
      </c>
      <c r="K2479" t="s">
        <v>48353</v>
      </c>
      <c r="L2479" t="s">
        <v>48354</v>
      </c>
      <c r="M2479" t="s">
        <v>48355</v>
      </c>
      <c r="N2479" t="s">
        <v>48356</v>
      </c>
      <c r="O2479">
        <f>-658.829001701505 -133.681457092661 -504.392911091555</f>
        <v>-1296.9033698857211</v>
      </c>
      <c r="P2479">
        <f>-595.929133715722 -169.207037956105 -231.702347261255</f>
        <v>-996.83851893308201</v>
      </c>
      <c r="Q2479">
        <f>-478.516905159016 -11.7083834042128 -355.625855337566</f>
        <v>-845.8511439007948</v>
      </c>
      <c r="R2479" t="s">
        <v>48357</v>
      </c>
      <c r="S2479" t="s">
        <v>48358</v>
      </c>
      <c r="T2479" t="s">
        <v>48359</v>
      </c>
      <c r="U2479" t="s">
        <v>48360</v>
      </c>
      <c r="V2479">
        <f>-593.361420983458 -38.8837005276532 -92.3653503126052</f>
        <v>-724.61047182371635</v>
      </c>
      <c r="W2479" t="s">
        <v>48361</v>
      </c>
      <c r="X2479" t="s">
        <v>48362</v>
      </c>
      <c r="Y2479" t="s">
        <v>48363</v>
      </c>
    </row>
    <row r="2480" spans="1:25" x14ac:dyDescent="0.3">
      <c r="A2480">
        <v>123950</v>
      </c>
      <c r="B2480" t="s">
        <v>48364</v>
      </c>
      <c r="C2480" t="s">
        <v>48365</v>
      </c>
      <c r="D2480" t="s">
        <v>48366</v>
      </c>
      <c r="E2480" t="s">
        <v>48367</v>
      </c>
      <c r="F2480" t="s">
        <v>48368</v>
      </c>
      <c r="G2480" t="s">
        <v>48369</v>
      </c>
      <c r="H2480" t="s">
        <v>48370</v>
      </c>
      <c r="I2480" t="s">
        <v>48371</v>
      </c>
      <c r="J2480" t="s">
        <v>48372</v>
      </c>
      <c r="K2480" t="s">
        <v>48373</v>
      </c>
      <c r="L2480" t="s">
        <v>48374</v>
      </c>
      <c r="M2480" t="s">
        <v>48375</v>
      </c>
      <c r="N2480" t="s">
        <v>48376</v>
      </c>
      <c r="O2480">
        <f>-658.755351422201 -133.601878122159 -504.350509747929</f>
        <v>-1296.707739292289</v>
      </c>
      <c r="P2480">
        <f>-596.437745571533 -168.976959804705 -231.506797898344</f>
        <v>-996.92150327458194</v>
      </c>
      <c r="Q2480">
        <f>-478.242134159329 -11.6653136468885 -354.922236889726</f>
        <v>-844.82968469594346</v>
      </c>
      <c r="R2480" t="s">
        <v>48377</v>
      </c>
      <c r="S2480" t="s">
        <v>48378</v>
      </c>
      <c r="T2480" t="s">
        <v>48379</v>
      </c>
      <c r="U2480" t="s">
        <v>48380</v>
      </c>
      <c r="V2480">
        <f>-593.387570089988 -38.8082958397661 -92.3853376535478</f>
        <v>-724.58120358330189</v>
      </c>
      <c r="W2480" t="s">
        <v>48381</v>
      </c>
      <c r="X2480" t="s">
        <v>48382</v>
      </c>
      <c r="Y2480" t="s">
        <v>48383</v>
      </c>
    </row>
    <row r="2481" spans="1:25" x14ac:dyDescent="0.3">
      <c r="A2481">
        <v>124000</v>
      </c>
      <c r="B2481" t="s">
        <v>48384</v>
      </c>
      <c r="C2481" t="s">
        <v>48385</v>
      </c>
      <c r="D2481" t="s">
        <v>48386</v>
      </c>
      <c r="E2481" t="s">
        <v>48387</v>
      </c>
      <c r="F2481" t="s">
        <v>48388</v>
      </c>
      <c r="G2481" t="s">
        <v>48389</v>
      </c>
      <c r="H2481" t="s">
        <v>48390</v>
      </c>
      <c r="I2481" t="s">
        <v>48391</v>
      </c>
      <c r="J2481" t="s">
        <v>48392</v>
      </c>
      <c r="K2481" t="s">
        <v>48393</v>
      </c>
      <c r="L2481" t="s">
        <v>48394</v>
      </c>
      <c r="M2481" t="s">
        <v>48395</v>
      </c>
      <c r="N2481" t="s">
        <v>48396</v>
      </c>
      <c r="O2481">
        <f>-658.353047626274 -133.443284650472 -504.227563979476</f>
        <v>-1296.0238962562221</v>
      </c>
      <c r="P2481">
        <f>-597.284942193683 -168.564059757557 -231.06855971834</f>
        <v>-996.9175616695801</v>
      </c>
      <c r="Q2481">
        <f>-477.569231634117 -11.6099275424267 -353.469809475489</f>
        <v>-842.64896865203264</v>
      </c>
      <c r="R2481" t="s">
        <v>48397</v>
      </c>
      <c r="S2481" t="s">
        <v>48398</v>
      </c>
      <c r="T2481" t="s">
        <v>48399</v>
      </c>
      <c r="U2481" t="s">
        <v>48400</v>
      </c>
      <c r="V2481">
        <f>-593.325958481088 -38.6449981886508 -92.3923322397106</f>
        <v>-724.36328890944947</v>
      </c>
      <c r="W2481" t="s">
        <v>48401</v>
      </c>
      <c r="X2481" t="s">
        <v>48402</v>
      </c>
      <c r="Y2481" t="s">
        <v>48403</v>
      </c>
    </row>
    <row r="2482" spans="1:25" x14ac:dyDescent="0.3">
      <c r="A2482">
        <v>124050</v>
      </c>
      <c r="B2482" t="s">
        <v>48404</v>
      </c>
      <c r="C2482" t="s">
        <v>48405</v>
      </c>
      <c r="D2482" t="s">
        <v>48406</v>
      </c>
      <c r="E2482" t="s">
        <v>48407</v>
      </c>
      <c r="F2482" t="s">
        <v>48408</v>
      </c>
      <c r="G2482" t="s">
        <v>48409</v>
      </c>
      <c r="H2482" t="s">
        <v>48410</v>
      </c>
      <c r="I2482" t="s">
        <v>48411</v>
      </c>
      <c r="J2482" t="s">
        <v>48412</v>
      </c>
      <c r="K2482" t="s">
        <v>48413</v>
      </c>
      <c r="L2482" t="s">
        <v>48414</v>
      </c>
      <c r="M2482" t="s">
        <v>48415</v>
      </c>
      <c r="N2482" t="s">
        <v>48416</v>
      </c>
      <c r="O2482">
        <f>-658.102159714177 -133.301433542779 -504.186400356651</f>
        <v>-1295.589993613607</v>
      </c>
      <c r="P2482">
        <f>-597.68343157885 -168.346234303082 -230.873260300757</f>
        <v>-996.90292618268904</v>
      </c>
      <c r="Q2482">
        <f>-477.360311825552 -11.4628381735238 -352.768872995164</f>
        <v>-841.59202299423976</v>
      </c>
      <c r="R2482" t="s">
        <v>48417</v>
      </c>
      <c r="S2482" t="s">
        <v>48418</v>
      </c>
      <c r="T2482" t="s">
        <v>48419</v>
      </c>
      <c r="U2482" t="s">
        <v>48420</v>
      </c>
      <c r="V2482">
        <f>-593.287480378666 -38.5509840953234 -92.3981100215731</f>
        <v>-724.23657449556254</v>
      </c>
      <c r="W2482" t="s">
        <v>48421</v>
      </c>
      <c r="X2482" t="s">
        <v>48422</v>
      </c>
      <c r="Y2482" t="s">
        <v>48423</v>
      </c>
    </row>
    <row r="2483" spans="1:25" x14ac:dyDescent="0.3">
      <c r="A2483">
        <v>124100</v>
      </c>
      <c r="B2483" t="s">
        <v>48424</v>
      </c>
      <c r="C2483" t="s">
        <v>48425</v>
      </c>
      <c r="D2483" t="s">
        <v>48426</v>
      </c>
      <c r="E2483" t="s">
        <v>48427</v>
      </c>
      <c r="F2483" t="s">
        <v>48428</v>
      </c>
      <c r="G2483" t="s">
        <v>48429</v>
      </c>
      <c r="H2483" t="s">
        <v>48430</v>
      </c>
      <c r="I2483" t="s">
        <v>48431</v>
      </c>
      <c r="J2483" t="s">
        <v>48432</v>
      </c>
      <c r="K2483" t="s">
        <v>48433</v>
      </c>
      <c r="L2483" t="s">
        <v>48434</v>
      </c>
      <c r="M2483" t="s">
        <v>48435</v>
      </c>
      <c r="N2483" t="s">
        <v>48436</v>
      </c>
      <c r="O2483">
        <f>-657.092573640936 -132.923967330712 -504.218185737605</f>
        <v>-1294.234726709253</v>
      </c>
      <c r="P2483">
        <f>-597.883228592909 -168.000214274075 -230.644781068924</f>
        <v>-996.52822393590793</v>
      </c>
      <c r="Q2483">
        <f>-476.322153437575 -11.287727736657 -351.527498933871</f>
        <v>-839.13738010810312</v>
      </c>
      <c r="R2483" t="s">
        <v>48437</v>
      </c>
      <c r="S2483" t="s">
        <v>48438</v>
      </c>
      <c r="T2483" t="s">
        <v>48439</v>
      </c>
      <c r="U2483" t="s">
        <v>48440</v>
      </c>
      <c r="V2483">
        <f>-593.093096742649 -38.2241966212766 -92.3996843051719</f>
        <v>-723.71697766909756</v>
      </c>
      <c r="W2483" t="s">
        <v>48441</v>
      </c>
      <c r="X2483" t="s">
        <v>48442</v>
      </c>
      <c r="Y2483" t="s">
        <v>48443</v>
      </c>
    </row>
    <row r="2484" spans="1:25" x14ac:dyDescent="0.3">
      <c r="A2484">
        <v>124150</v>
      </c>
      <c r="B2484" t="s">
        <v>48444</v>
      </c>
      <c r="C2484" t="s">
        <v>48445</v>
      </c>
      <c r="D2484" t="s">
        <v>48446</v>
      </c>
      <c r="E2484" t="s">
        <v>48447</v>
      </c>
      <c r="F2484" t="s">
        <v>48448</v>
      </c>
      <c r="G2484" t="s">
        <v>48449</v>
      </c>
      <c r="H2484" t="s">
        <v>48450</v>
      </c>
      <c r="I2484" t="s">
        <v>48451</v>
      </c>
      <c r="J2484" t="s">
        <v>48452</v>
      </c>
      <c r="K2484" t="s">
        <v>48453</v>
      </c>
      <c r="L2484" t="s">
        <v>48454</v>
      </c>
      <c r="M2484" t="s">
        <v>48455</v>
      </c>
      <c r="N2484" t="s">
        <v>48456</v>
      </c>
      <c r="O2484">
        <f>-656.447782952049 -132.74293238719 -504.238049276844</f>
        <v>-1293.4287646160828</v>
      </c>
      <c r="P2484">
        <f>-597.767455511726 -167.881366868291 -230.558503570231</f>
        <v>-996.20732595024799</v>
      </c>
      <c r="Q2484">
        <f>-475.650645298126 -11.2259018118555 -350.954029082759</f>
        <v>-837.83057619274052</v>
      </c>
      <c r="R2484" t="s">
        <v>48457</v>
      </c>
      <c r="S2484" t="s">
        <v>48458</v>
      </c>
      <c r="T2484" t="s">
        <v>48459</v>
      </c>
      <c r="U2484" t="s">
        <v>48460</v>
      </c>
      <c r="V2484">
        <f>-592.950908736948 -38.0777298036987 -92.3827535127677</f>
        <v>-723.41139205341449</v>
      </c>
      <c r="W2484" t="s">
        <v>48461</v>
      </c>
      <c r="X2484" t="s">
        <v>48462</v>
      </c>
      <c r="Y2484" t="s">
        <v>48463</v>
      </c>
    </row>
    <row r="2485" spans="1:25" x14ac:dyDescent="0.3">
      <c r="A2485">
        <v>124200</v>
      </c>
      <c r="B2485" t="s">
        <v>48464</v>
      </c>
      <c r="C2485" t="s">
        <v>48465</v>
      </c>
      <c r="D2485" t="s">
        <v>48466</v>
      </c>
      <c r="E2485" t="s">
        <v>48467</v>
      </c>
      <c r="F2485" t="s">
        <v>48468</v>
      </c>
      <c r="G2485" t="s">
        <v>48469</v>
      </c>
      <c r="H2485" t="s">
        <v>48470</v>
      </c>
      <c r="I2485" t="s">
        <v>48471</v>
      </c>
      <c r="J2485" t="s">
        <v>48472</v>
      </c>
      <c r="K2485" t="s">
        <v>48473</v>
      </c>
      <c r="L2485" t="s">
        <v>48474</v>
      </c>
      <c r="M2485" t="s">
        <v>48475</v>
      </c>
      <c r="N2485" t="s">
        <v>48476</v>
      </c>
      <c r="O2485">
        <f>-655.12766371419 -132.411842778187 -504.224693960455</f>
        <v>-1291.764200452832</v>
      </c>
      <c r="P2485">
        <f>-597.313036863434 -167.661308603865 -230.375345112336</f>
        <v>-995.34969057963508</v>
      </c>
      <c r="Q2485">
        <f>-474.33673711612 -10.7948884694661 -349.615642165898</f>
        <v>-834.74726775148406</v>
      </c>
      <c r="R2485" t="s">
        <v>48477</v>
      </c>
      <c r="S2485" t="s">
        <v>48478</v>
      </c>
      <c r="T2485" t="s">
        <v>48479</v>
      </c>
      <c r="U2485" t="s">
        <v>48480</v>
      </c>
      <c r="V2485">
        <f>-592.402791354523 -37.8391038176455 -92.3393100297226</f>
        <v>-722.58120520189107</v>
      </c>
      <c r="W2485" t="s">
        <v>48481</v>
      </c>
      <c r="X2485" t="s">
        <v>48482</v>
      </c>
      <c r="Y2485" t="s">
        <v>48483</v>
      </c>
    </row>
    <row r="2486" spans="1:25" x14ac:dyDescent="0.3">
      <c r="A2486">
        <v>124250</v>
      </c>
      <c r="B2486" t="s">
        <v>48484</v>
      </c>
      <c r="C2486" t="s">
        <v>48485</v>
      </c>
      <c r="D2486" t="s">
        <v>48486</v>
      </c>
      <c r="E2486" t="s">
        <v>48487</v>
      </c>
      <c r="F2486" t="s">
        <v>48488</v>
      </c>
      <c r="G2486" t="s">
        <v>48489</v>
      </c>
      <c r="H2486" t="s">
        <v>48490</v>
      </c>
      <c r="I2486" t="s">
        <v>48491</v>
      </c>
      <c r="J2486" t="s">
        <v>48492</v>
      </c>
      <c r="K2486" t="s">
        <v>48493</v>
      </c>
      <c r="L2486" t="s">
        <v>48494</v>
      </c>
      <c r="M2486" t="s">
        <v>48495</v>
      </c>
      <c r="N2486" t="s">
        <v>48496</v>
      </c>
      <c r="O2486">
        <f>-654.411575437736 -132.210421721981 -504.225187331939</f>
        <v>-1290.847184491656</v>
      </c>
      <c r="P2486">
        <f>-597.030544359367 -167.466599912924 -230.285382296841</f>
        <v>-994.78252656913207</v>
      </c>
      <c r="Q2486">
        <f>-473.657331864378 -10.4429181750588 -348.907434635531</f>
        <v>-833.00768467496778</v>
      </c>
      <c r="R2486" t="s">
        <v>48497</v>
      </c>
      <c r="S2486" t="s">
        <v>48498</v>
      </c>
      <c r="T2486" t="s">
        <v>48499</v>
      </c>
      <c r="U2486" t="s">
        <v>48500</v>
      </c>
      <c r="V2486">
        <f>-592.010153473109 -37.7050621516753 -92.3161044215062</f>
        <v>-722.03132004629049</v>
      </c>
      <c r="W2486" t="s">
        <v>48501</v>
      </c>
      <c r="X2486" t="s">
        <v>48502</v>
      </c>
      <c r="Y2486" t="s">
        <v>48503</v>
      </c>
    </row>
    <row r="2487" spans="1:25" x14ac:dyDescent="0.3">
      <c r="A2487">
        <v>124300</v>
      </c>
      <c r="B2487" t="s">
        <v>48504</v>
      </c>
      <c r="C2487" t="s">
        <v>48505</v>
      </c>
      <c r="D2487" t="s">
        <v>48506</v>
      </c>
      <c r="E2487" t="s">
        <v>48507</v>
      </c>
      <c r="F2487" t="s">
        <v>48508</v>
      </c>
      <c r="G2487" t="s">
        <v>48509</v>
      </c>
      <c r="H2487" t="s">
        <v>48510</v>
      </c>
      <c r="I2487" t="s">
        <v>48511</v>
      </c>
      <c r="J2487" t="s">
        <v>48512</v>
      </c>
      <c r="K2487" t="s">
        <v>48513</v>
      </c>
      <c r="L2487" t="s">
        <v>48514</v>
      </c>
      <c r="M2487" t="s">
        <v>48515</v>
      </c>
      <c r="N2487" t="s">
        <v>48516</v>
      </c>
      <c r="O2487">
        <f>-652.578651388138 -131.79063560598 -504.275412456153</f>
        <v>-1288.644699450271</v>
      </c>
      <c r="P2487">
        <f>-596.12371188566 -167.14759023331 -230.156247000769</f>
        <v>-993.42754911973896</v>
      </c>
      <c r="Q2487">
        <f>-471.783819637988 -9.64874737207469 -347.127558407723</f>
        <v>-828.56012541778568</v>
      </c>
      <c r="R2487" t="s">
        <v>48517</v>
      </c>
      <c r="S2487" t="s">
        <v>48518</v>
      </c>
      <c r="T2487" t="s">
        <v>48519</v>
      </c>
      <c r="U2487" t="s">
        <v>48520</v>
      </c>
      <c r="V2487">
        <f>-591.020319303247 -37.4629185868071 -92.2614238154948</f>
        <v>-720.74466170554888</v>
      </c>
      <c r="W2487" t="s">
        <v>48521</v>
      </c>
      <c r="X2487" t="s">
        <v>48522</v>
      </c>
      <c r="Y2487" t="s">
        <v>48523</v>
      </c>
    </row>
    <row r="2488" spans="1:25" x14ac:dyDescent="0.3">
      <c r="A2488">
        <v>124350</v>
      </c>
      <c r="B2488" t="s">
        <v>48524</v>
      </c>
      <c r="C2488" t="s">
        <v>48525</v>
      </c>
      <c r="D2488" t="s">
        <v>48526</v>
      </c>
      <c r="E2488" t="s">
        <v>48527</v>
      </c>
      <c r="F2488" t="s">
        <v>48528</v>
      </c>
      <c r="G2488" t="s">
        <v>48529</v>
      </c>
      <c r="H2488" t="s">
        <v>48530</v>
      </c>
      <c r="I2488" t="s">
        <v>48531</v>
      </c>
      <c r="J2488" t="s">
        <v>48532</v>
      </c>
      <c r="K2488" t="s">
        <v>48533</v>
      </c>
      <c r="L2488" t="s">
        <v>48534</v>
      </c>
      <c r="M2488" t="s">
        <v>48535</v>
      </c>
      <c r="N2488" t="s">
        <v>48536</v>
      </c>
      <c r="O2488">
        <f>-651.563675607819 -131.770617968934 -504.257607189433</f>
        <v>-1287.591900766186</v>
      </c>
      <c r="P2488">
        <f>-595.641416839494 -167.184756862771 -230.036693360008</f>
        <v>-992.86286706227304</v>
      </c>
      <c r="Q2488">
        <f>-470.756858940164 -9.40330427220306 -346.042557937485</f>
        <v>-826.2027211498521</v>
      </c>
      <c r="R2488" t="s">
        <v>48537</v>
      </c>
      <c r="S2488" t="s">
        <v>48538</v>
      </c>
      <c r="T2488" t="s">
        <v>48539</v>
      </c>
      <c r="U2488" t="s">
        <v>48540</v>
      </c>
      <c r="V2488">
        <f>-590.366831760416 -37.3724913283143 -92.2203047206071</f>
        <v>-719.95962780933735</v>
      </c>
      <c r="W2488" t="s">
        <v>48541</v>
      </c>
      <c r="X2488" t="s">
        <v>48542</v>
      </c>
      <c r="Y2488" t="s">
        <v>48543</v>
      </c>
    </row>
    <row r="2489" spans="1:25" x14ac:dyDescent="0.3">
      <c r="A2489">
        <v>124400</v>
      </c>
      <c r="B2489" t="s">
        <v>48544</v>
      </c>
      <c r="C2489" t="s">
        <v>48545</v>
      </c>
      <c r="D2489" t="s">
        <v>48546</v>
      </c>
      <c r="E2489" t="s">
        <v>48547</v>
      </c>
      <c r="F2489" t="s">
        <v>48548</v>
      </c>
      <c r="G2489" t="s">
        <v>48549</v>
      </c>
      <c r="H2489" t="s">
        <v>48550</v>
      </c>
      <c r="I2489" t="s">
        <v>48551</v>
      </c>
      <c r="J2489" t="s">
        <v>48552</v>
      </c>
      <c r="K2489" t="s">
        <v>48553</v>
      </c>
      <c r="L2489" t="s">
        <v>48554</v>
      </c>
      <c r="M2489" t="s">
        <v>48555</v>
      </c>
      <c r="N2489" t="s">
        <v>48556</v>
      </c>
      <c r="O2489">
        <f>-649.662930990223 -131.919783869778 -504.123426419007</f>
        <v>-1285.7061412790081</v>
      </c>
      <c r="P2489">
        <f>-594.625975801355 -167.241309108213 -229.711582213527</f>
        <v>-991.57886712309505</v>
      </c>
      <c r="Q2489">
        <f>-468.261442011671 -9.2451618478367 -343.806674421257</f>
        <v>-821.31327828076473</v>
      </c>
      <c r="R2489" t="s">
        <v>48557</v>
      </c>
      <c r="S2489" t="s">
        <v>48558</v>
      </c>
      <c r="T2489" t="s">
        <v>48559</v>
      </c>
      <c r="U2489" t="s">
        <v>48560</v>
      </c>
      <c r="V2489">
        <f>-588.972586218699 -37.3973041754068 -92.1595539653966</f>
        <v>-718.52944435950246</v>
      </c>
      <c r="W2489" t="s">
        <v>48561</v>
      </c>
      <c r="X2489" t="s">
        <v>48562</v>
      </c>
      <c r="Y2489" t="s">
        <v>48563</v>
      </c>
    </row>
    <row r="2490" spans="1:25" x14ac:dyDescent="0.3">
      <c r="A2490">
        <v>124450</v>
      </c>
      <c r="B2490" t="s">
        <v>48564</v>
      </c>
      <c r="C2490" t="s">
        <v>48565</v>
      </c>
      <c r="D2490" t="s">
        <v>48566</v>
      </c>
      <c r="E2490" t="s">
        <v>48567</v>
      </c>
      <c r="F2490" t="s">
        <v>48568</v>
      </c>
      <c r="G2490" t="s">
        <v>48569</v>
      </c>
      <c r="H2490" t="s">
        <v>48570</v>
      </c>
      <c r="I2490" t="s">
        <v>48571</v>
      </c>
      <c r="J2490" t="s">
        <v>48572</v>
      </c>
      <c r="K2490" t="s">
        <v>48573</v>
      </c>
      <c r="L2490" t="s">
        <v>48574</v>
      </c>
      <c r="M2490" t="s">
        <v>48575</v>
      </c>
      <c r="N2490" t="s">
        <v>48576</v>
      </c>
      <c r="O2490">
        <f>-648.781740526217 -131.937541319307 -504.049196826574</f>
        <v>-1284.7684786720981</v>
      </c>
      <c r="P2490">
        <f>-594.128585185271 -167.03839457041 -229.53231695314</f>
        <v>-990.69929670882107</v>
      </c>
      <c r="Q2490">
        <f>-466.50056186856 -9.57590337558077 -342.957088860604</f>
        <v>-819.03355410474478</v>
      </c>
      <c r="R2490" t="s">
        <v>48577</v>
      </c>
      <c r="S2490" t="s">
        <v>48578</v>
      </c>
      <c r="T2490" t="s">
        <v>48579</v>
      </c>
      <c r="U2490" t="s">
        <v>48580</v>
      </c>
      <c r="V2490">
        <f>-588.250101559678 -37.2545307999173 -92.115037177637</f>
        <v>-717.61966953723231</v>
      </c>
      <c r="W2490" t="s">
        <v>48581</v>
      </c>
      <c r="X2490" t="s">
        <v>48582</v>
      </c>
      <c r="Y2490" t="s">
        <v>48583</v>
      </c>
    </row>
    <row r="2491" spans="1:25" x14ac:dyDescent="0.3">
      <c r="A2491">
        <v>124500</v>
      </c>
      <c r="B2491" t="s">
        <v>48584</v>
      </c>
      <c r="C2491" t="s">
        <v>48585</v>
      </c>
      <c r="D2491" t="s">
        <v>48586</v>
      </c>
      <c r="E2491" t="s">
        <v>48587</v>
      </c>
      <c r="F2491" t="s">
        <v>48588</v>
      </c>
      <c r="G2491" t="s">
        <v>48589</v>
      </c>
      <c r="H2491" t="s">
        <v>48590</v>
      </c>
      <c r="I2491" t="s">
        <v>48591</v>
      </c>
      <c r="J2491" t="s">
        <v>48592</v>
      </c>
      <c r="K2491" t="s">
        <v>48593</v>
      </c>
      <c r="L2491" t="s">
        <v>48594</v>
      </c>
      <c r="M2491" t="s">
        <v>48595</v>
      </c>
      <c r="N2491" t="s">
        <v>48596</v>
      </c>
      <c r="O2491">
        <f>-647.314818839605 -132.142154097483 -503.902413424601</f>
        <v>-1283.3593863616891</v>
      </c>
      <c r="P2491">
        <f>-593.751339103981 -166.68479379937 -229.100228035091</f>
        <v>-989.53636093844193</v>
      </c>
      <c r="Q2491">
        <f>-463.442049358185 -10.434869511131 -341.144662941747</f>
        <v>-815.02158181106302</v>
      </c>
      <c r="R2491" t="s">
        <v>48597</v>
      </c>
      <c r="S2491" t="s">
        <v>48598</v>
      </c>
      <c r="T2491" t="s">
        <v>48599</v>
      </c>
      <c r="U2491" t="s">
        <v>48600</v>
      </c>
      <c r="V2491">
        <f>-587.068121403841 -37.3312700223348 -92.0747419129902</f>
        <v>-716.47413333916609</v>
      </c>
      <c r="W2491" t="s">
        <v>48601</v>
      </c>
      <c r="X2491" t="s">
        <v>48602</v>
      </c>
      <c r="Y2491" t="s">
        <v>48603</v>
      </c>
    </row>
    <row r="2492" spans="1:25" x14ac:dyDescent="0.3">
      <c r="A2492">
        <v>124550</v>
      </c>
      <c r="B2492" t="s">
        <v>48604</v>
      </c>
      <c r="C2492" t="s">
        <v>48605</v>
      </c>
      <c r="D2492" t="s">
        <v>48606</v>
      </c>
      <c r="E2492" t="s">
        <v>48607</v>
      </c>
      <c r="F2492" t="s">
        <v>48608</v>
      </c>
      <c r="G2492" t="s">
        <v>48609</v>
      </c>
      <c r="H2492" t="s">
        <v>48610</v>
      </c>
      <c r="I2492" t="s">
        <v>48611</v>
      </c>
      <c r="J2492" t="s">
        <v>48612</v>
      </c>
      <c r="K2492" t="s">
        <v>48613</v>
      </c>
      <c r="L2492" t="s">
        <v>48614</v>
      </c>
      <c r="M2492" t="s">
        <v>48615</v>
      </c>
      <c r="N2492" t="s">
        <v>48616</v>
      </c>
      <c r="O2492">
        <f>-646.803081560038 -132.258935635618 -503.793796565345</f>
        <v>-1282.8558137610009</v>
      </c>
      <c r="P2492">
        <f>-593.680404303211 -166.545555507444 -228.87371722226</f>
        <v>-989.099677032915</v>
      </c>
      <c r="Q2492">
        <f>-461.917258331311 -10.9977592440421 -340.192457071394</f>
        <v>-813.10747464674705</v>
      </c>
      <c r="R2492" t="s">
        <v>48617</v>
      </c>
      <c r="S2492" t="s">
        <v>48618</v>
      </c>
      <c r="T2492" t="s">
        <v>48619</v>
      </c>
      <c r="U2492" t="s">
        <v>48620</v>
      </c>
      <c r="V2492">
        <f>-586.560794203754 -37.4577246515703 -92.062135747543</f>
        <v>-716.0806546028673</v>
      </c>
      <c r="W2492" t="s">
        <v>48621</v>
      </c>
      <c r="X2492" t="s">
        <v>48622</v>
      </c>
      <c r="Y2492" t="s">
        <v>48623</v>
      </c>
    </row>
    <row r="2493" spans="1:25" x14ac:dyDescent="0.3">
      <c r="A2493">
        <v>124600</v>
      </c>
      <c r="B2493" t="s">
        <v>48624</v>
      </c>
      <c r="C2493" t="s">
        <v>48625</v>
      </c>
      <c r="D2493" t="s">
        <v>48626</v>
      </c>
      <c r="E2493" t="s">
        <v>48627</v>
      </c>
      <c r="F2493" t="s">
        <v>48628</v>
      </c>
      <c r="G2493" t="s">
        <v>48629</v>
      </c>
      <c r="H2493" t="s">
        <v>48630</v>
      </c>
      <c r="I2493" t="s">
        <v>48631</v>
      </c>
      <c r="J2493" t="s">
        <v>48632</v>
      </c>
      <c r="K2493" t="s">
        <v>48633</v>
      </c>
      <c r="L2493" t="s">
        <v>48634</v>
      </c>
      <c r="M2493" t="s">
        <v>48635</v>
      </c>
      <c r="N2493" t="s">
        <v>48636</v>
      </c>
      <c r="O2493">
        <f>-646.025803867417 -132.5298342156 -503.498138502703</f>
        <v>-1282.05377658572</v>
      </c>
      <c r="P2493">
        <f>-594.002750540418 -165.892319099163 -228.254421408694</f>
        <v>-988.14949104827497</v>
      </c>
      <c r="Q2493">
        <f>-459.025882092124 -12.262138952171 -338.379566602618</f>
        <v>-809.66758764691303</v>
      </c>
      <c r="R2493" t="s">
        <v>48637</v>
      </c>
      <c r="S2493" t="s">
        <v>48638</v>
      </c>
      <c r="T2493" t="s">
        <v>48639</v>
      </c>
      <c r="U2493" t="s">
        <v>48640</v>
      </c>
      <c r="V2493">
        <f>-585.687284294579 -37.5708526017625 -92.0235522759994</f>
        <v>-715.28168917234075</v>
      </c>
      <c r="W2493" t="s">
        <v>48641</v>
      </c>
      <c r="X2493" t="s">
        <v>48642</v>
      </c>
      <c r="Y2493" t="s">
        <v>48643</v>
      </c>
    </row>
    <row r="2494" spans="1:25" x14ac:dyDescent="0.3">
      <c r="A2494">
        <v>124650</v>
      </c>
      <c r="B2494" t="s">
        <v>48644</v>
      </c>
      <c r="C2494" t="s">
        <v>48645</v>
      </c>
      <c r="D2494" t="s">
        <v>48646</v>
      </c>
      <c r="E2494" t="s">
        <v>48647</v>
      </c>
      <c r="F2494" t="s">
        <v>48648</v>
      </c>
      <c r="G2494" t="s">
        <v>48649</v>
      </c>
      <c r="H2494" t="s">
        <v>48650</v>
      </c>
      <c r="I2494" t="s">
        <v>48651</v>
      </c>
      <c r="J2494" t="s">
        <v>48652</v>
      </c>
      <c r="K2494" t="s">
        <v>48653</v>
      </c>
      <c r="L2494" t="s">
        <v>48654</v>
      </c>
      <c r="M2494" t="s">
        <v>48655</v>
      </c>
      <c r="N2494" t="s">
        <v>48656</v>
      </c>
      <c r="O2494">
        <f>-645.656155305796 -132.814955142722 -503.243359915549</f>
        <v>-1281.714470364067</v>
      </c>
      <c r="P2494">
        <f>-594.53779707928 -165.623817384585 -227.763696676391</f>
        <v>-987.92531114025599</v>
      </c>
      <c r="Q2494">
        <f>-457.971608051144 -13.1884580805074 -337.589106944307</f>
        <v>-808.74917307595842</v>
      </c>
      <c r="R2494" t="s">
        <v>48657</v>
      </c>
      <c r="S2494" t="s">
        <v>48658</v>
      </c>
      <c r="T2494" t="s">
        <v>48659</v>
      </c>
      <c r="U2494" t="s">
        <v>48660</v>
      </c>
      <c r="V2494">
        <f>-585.320720972597 -37.5631076696247 -91.9937254813617</f>
        <v>-714.87755412358342</v>
      </c>
      <c r="W2494" t="s">
        <v>48661</v>
      </c>
      <c r="X2494" t="s">
        <v>48662</v>
      </c>
      <c r="Y2494" t="s">
        <v>48663</v>
      </c>
    </row>
    <row r="2495" spans="1:25" x14ac:dyDescent="0.3">
      <c r="A2495">
        <v>124700</v>
      </c>
      <c r="B2495" t="s">
        <v>48664</v>
      </c>
      <c r="C2495" t="s">
        <v>48665</v>
      </c>
      <c r="D2495" t="s">
        <v>48666</v>
      </c>
      <c r="E2495" t="s">
        <v>48667</v>
      </c>
      <c r="F2495" t="s">
        <v>48668</v>
      </c>
      <c r="G2495" t="s">
        <v>48669</v>
      </c>
      <c r="H2495" t="s">
        <v>48670</v>
      </c>
      <c r="I2495" t="s">
        <v>48671</v>
      </c>
      <c r="J2495" t="s">
        <v>48672</v>
      </c>
      <c r="K2495" t="s">
        <v>48673</v>
      </c>
      <c r="L2495" t="s">
        <v>48674</v>
      </c>
      <c r="M2495" t="s">
        <v>48675</v>
      </c>
      <c r="N2495" t="s">
        <v>48676</v>
      </c>
      <c r="O2495">
        <f>-645.136719534611 -133.504657840554 -502.504621844887</f>
        <v>-1281.1459992200519</v>
      </c>
      <c r="P2495">
        <f>-596.361491679124 -164.757516543774 -226.419769058725</f>
        <v>-987.53877728162297</v>
      </c>
      <c r="Q2495">
        <f>-455.773121060648 -15.6213991468555 -335.698675273397</f>
        <v>-807.09319548090048</v>
      </c>
      <c r="R2495" t="s">
        <v>48677</v>
      </c>
      <c r="S2495" t="s">
        <v>48678</v>
      </c>
      <c r="T2495" t="s">
        <v>48679</v>
      </c>
      <c r="U2495" t="s">
        <v>48680</v>
      </c>
      <c r="V2495">
        <f>-584.851446976121 -37.5404390688295 -91.9486084393055</f>
        <v>-714.34049448425606</v>
      </c>
      <c r="W2495" t="s">
        <v>48681</v>
      </c>
      <c r="X2495" t="s">
        <v>48682</v>
      </c>
      <c r="Y2495" t="s">
        <v>48683</v>
      </c>
    </row>
    <row r="2496" spans="1:25" x14ac:dyDescent="0.3">
      <c r="A2496">
        <v>124750</v>
      </c>
      <c r="B2496" t="s">
        <v>48684</v>
      </c>
      <c r="C2496" t="s">
        <v>48685</v>
      </c>
      <c r="D2496" t="s">
        <v>48686</v>
      </c>
      <c r="E2496" t="s">
        <v>48687</v>
      </c>
      <c r="F2496" t="s">
        <v>48688</v>
      </c>
      <c r="G2496" t="s">
        <v>48689</v>
      </c>
      <c r="H2496" t="s">
        <v>48690</v>
      </c>
      <c r="I2496" t="s">
        <v>48691</v>
      </c>
      <c r="J2496" t="s">
        <v>48692</v>
      </c>
      <c r="K2496" t="s">
        <v>48693</v>
      </c>
      <c r="L2496" t="s">
        <v>48694</v>
      </c>
      <c r="M2496" t="s">
        <v>48695</v>
      </c>
      <c r="N2496" t="s">
        <v>48696</v>
      </c>
      <c r="O2496">
        <f>-645.054952091826 -133.91708697197 -502.083827474322</f>
        <v>-1281.0558665381179</v>
      </c>
      <c r="P2496">
        <f>-597.294039054811 -164.27246618769 -225.721774527773</f>
        <v>-987.28827977027413</v>
      </c>
      <c r="Q2496">
        <f>-455.041388017686 -16.5526929138441 -334.77024411091</f>
        <v>-806.36432504244021</v>
      </c>
      <c r="R2496" t="s">
        <v>48697</v>
      </c>
      <c r="S2496" t="s">
        <v>48698</v>
      </c>
      <c r="T2496" t="s">
        <v>48699</v>
      </c>
      <c r="U2496" t="s">
        <v>48700</v>
      </c>
      <c r="V2496">
        <f>-584.699952625008 -37.5997991974918 -91.927100325162</f>
        <v>-714.22685214766182</v>
      </c>
      <c r="W2496" t="s">
        <v>48701</v>
      </c>
      <c r="X2496" t="s">
        <v>48702</v>
      </c>
      <c r="Y2496" t="s">
        <v>48703</v>
      </c>
    </row>
    <row r="2497" spans="1:25" x14ac:dyDescent="0.3">
      <c r="A2497">
        <v>124800</v>
      </c>
      <c r="B2497" t="s">
        <v>48704</v>
      </c>
      <c r="C2497" t="s">
        <v>48705</v>
      </c>
      <c r="D2497" t="s">
        <v>48706</v>
      </c>
      <c r="E2497" t="s">
        <v>48707</v>
      </c>
      <c r="F2497" t="s">
        <v>48708</v>
      </c>
      <c r="G2497" t="s">
        <v>48709</v>
      </c>
      <c r="H2497" t="s">
        <v>48710</v>
      </c>
      <c r="I2497" t="s">
        <v>48711</v>
      </c>
      <c r="J2497" t="s">
        <v>48712</v>
      </c>
      <c r="K2497" t="s">
        <v>48713</v>
      </c>
      <c r="L2497" t="s">
        <v>48714</v>
      </c>
      <c r="M2497" t="s">
        <v>48715</v>
      </c>
      <c r="N2497" t="s">
        <v>48716</v>
      </c>
      <c r="O2497">
        <f>-644.83947113693 -134.905459422738 -501.167730869548</f>
        <v>-1280.9126614292159</v>
      </c>
      <c r="P2497">
        <f>-599.051451360403 -163.571344827806 -224.291825582633</f>
        <v>-986.91462177084202</v>
      </c>
      <c r="Q2497">
        <f>-454.796020719448 -17.4988622719766 -332.927523090536</f>
        <v>-805.22240608196057</v>
      </c>
      <c r="R2497" t="s">
        <v>48717</v>
      </c>
      <c r="S2497" t="s">
        <v>48718</v>
      </c>
      <c r="T2497" t="s">
        <v>48719</v>
      </c>
      <c r="U2497" t="s">
        <v>48720</v>
      </c>
      <c r="V2497">
        <f>-584.54474436996 -37.7148924163364 -91.8581158477291</f>
        <v>-714.11775263402546</v>
      </c>
      <c r="W2497" t="s">
        <v>48721</v>
      </c>
      <c r="X2497" t="s">
        <v>48722</v>
      </c>
      <c r="Y2497" t="s">
        <v>48723</v>
      </c>
    </row>
    <row r="2498" spans="1:25" x14ac:dyDescent="0.3">
      <c r="A2498">
        <v>124850</v>
      </c>
      <c r="B2498" t="s">
        <v>48724</v>
      </c>
      <c r="C2498" t="s">
        <v>48725</v>
      </c>
      <c r="D2498" t="s">
        <v>48726</v>
      </c>
      <c r="E2498" t="s">
        <v>48727</v>
      </c>
      <c r="F2498" t="s">
        <v>48728</v>
      </c>
      <c r="G2498" t="s">
        <v>48729</v>
      </c>
      <c r="H2498" t="s">
        <v>48730</v>
      </c>
      <c r="I2498" t="s">
        <v>48731</v>
      </c>
      <c r="J2498" t="s">
        <v>48732</v>
      </c>
      <c r="K2498" t="s">
        <v>48733</v>
      </c>
      <c r="L2498" t="s">
        <v>48734</v>
      </c>
      <c r="M2498" t="s">
        <v>48735</v>
      </c>
      <c r="N2498" t="s">
        <v>48736</v>
      </c>
      <c r="O2498">
        <f>-644.733881301057 -135.382579125797 -500.687542716619</f>
        <v>-1280.804003143473</v>
      </c>
      <c r="P2498">
        <f>-599.759828801419 -163.437039451396 -223.615582979415</f>
        <v>-986.81245123222993</v>
      </c>
      <c r="Q2498">
        <f>-454.577938534182 -18.0956913671544 -331.997739214616</f>
        <v>-804.67136911595242</v>
      </c>
      <c r="R2498" t="s">
        <v>48737</v>
      </c>
      <c r="S2498" t="s">
        <v>48738</v>
      </c>
      <c r="T2498" t="s">
        <v>48739</v>
      </c>
      <c r="U2498" t="s">
        <v>48740</v>
      </c>
      <c r="V2498">
        <f>-584.505364250471 -37.7280537190711 -91.8181788114291</f>
        <v>-714.05159678097118</v>
      </c>
      <c r="W2498" t="s">
        <v>48741</v>
      </c>
      <c r="X2498" t="s">
        <v>48742</v>
      </c>
      <c r="Y2498" t="s">
        <v>48743</v>
      </c>
    </row>
    <row r="2499" spans="1:25" x14ac:dyDescent="0.3">
      <c r="A2499">
        <v>124900</v>
      </c>
      <c r="B2499" t="s">
        <v>48744</v>
      </c>
      <c r="C2499" t="s">
        <v>48745</v>
      </c>
      <c r="D2499" t="s">
        <v>48746</v>
      </c>
      <c r="E2499" t="s">
        <v>48747</v>
      </c>
      <c r="F2499" t="s">
        <v>48748</v>
      </c>
      <c r="G2499" t="s">
        <v>48749</v>
      </c>
      <c r="H2499" t="s">
        <v>48750</v>
      </c>
      <c r="I2499" t="s">
        <v>48751</v>
      </c>
      <c r="J2499" t="s">
        <v>48752</v>
      </c>
      <c r="K2499" t="s">
        <v>48753</v>
      </c>
      <c r="L2499" t="s">
        <v>48754</v>
      </c>
      <c r="M2499" t="s">
        <v>48755</v>
      </c>
      <c r="N2499" t="s">
        <v>48756</v>
      </c>
      <c r="O2499">
        <f>-644.430500048308 -136.331788320918 -499.778039431815</f>
        <v>-1280.540327801041</v>
      </c>
      <c r="P2499">
        <f>-600.894305478066 -163.332918985871 -222.371944419188</f>
        <v>-986.59916888312512</v>
      </c>
      <c r="Q2499">
        <f>-454.161767609904 -18.7260435967164 -329.642339856026</f>
        <v>-802.53015106264638</v>
      </c>
      <c r="R2499" t="s">
        <v>48757</v>
      </c>
      <c r="S2499" t="s">
        <v>48758</v>
      </c>
      <c r="T2499" t="s">
        <v>48759</v>
      </c>
      <c r="U2499" t="s">
        <v>48760</v>
      </c>
      <c r="V2499">
        <f>-584.577538228447 -37.7901856428755 -91.7013057962619</f>
        <v>-714.06902966758435</v>
      </c>
      <c r="W2499" t="s">
        <v>48761</v>
      </c>
      <c r="X2499" t="s">
        <v>48762</v>
      </c>
      <c r="Y2499" t="s">
        <v>48763</v>
      </c>
    </row>
    <row r="2500" spans="1:25" x14ac:dyDescent="0.3">
      <c r="A2500">
        <v>124950</v>
      </c>
      <c r="B2500" t="s">
        <v>48764</v>
      </c>
      <c r="C2500" t="s">
        <v>48765</v>
      </c>
      <c r="D2500" t="s">
        <v>48766</v>
      </c>
      <c r="E2500" t="s">
        <v>48767</v>
      </c>
      <c r="F2500" t="s">
        <v>48768</v>
      </c>
      <c r="G2500" t="s">
        <v>48769</v>
      </c>
      <c r="H2500" t="s">
        <v>48770</v>
      </c>
      <c r="I2500" t="s">
        <v>48771</v>
      </c>
      <c r="J2500" t="s">
        <v>48772</v>
      </c>
      <c r="K2500" t="s">
        <v>48773</v>
      </c>
      <c r="L2500" t="s">
        <v>48774</v>
      </c>
      <c r="M2500" t="s">
        <v>48775</v>
      </c>
      <c r="N2500" t="s">
        <v>48776</v>
      </c>
      <c r="O2500">
        <f>-644.321499064344 -136.852290788103 -499.330022497979</f>
        <v>-1280.503812350426</v>
      </c>
      <c r="P2500">
        <f>-601.306114162012 -163.349385602708 -221.794142036651</f>
        <v>-986.44964180137106</v>
      </c>
      <c r="Q2500">
        <f>-454.100383701169 -18.7358365953437 -328.405206560459</f>
        <v>-801.24142685697166</v>
      </c>
      <c r="R2500" t="s">
        <v>48777</v>
      </c>
      <c r="S2500" t="s">
        <v>48778</v>
      </c>
      <c r="T2500" t="s">
        <v>48779</v>
      </c>
      <c r="U2500" t="s">
        <v>48780</v>
      </c>
      <c r="V2500">
        <f>-584.628990144677 -37.9142261861589 -91.6436364843828</f>
        <v>-714.18685281521869</v>
      </c>
      <c r="W2500" t="s">
        <v>48781</v>
      </c>
      <c r="X2500" t="s">
        <v>48782</v>
      </c>
      <c r="Y2500" t="s">
        <v>48783</v>
      </c>
    </row>
    <row r="2501" spans="1:25" x14ac:dyDescent="0.3">
      <c r="A2501">
        <v>125000</v>
      </c>
      <c r="B2501" t="s">
        <v>48784</v>
      </c>
      <c r="C2501" t="s">
        <v>48785</v>
      </c>
      <c r="D2501" t="s">
        <v>48786</v>
      </c>
      <c r="E2501" t="s">
        <v>48787</v>
      </c>
      <c r="F2501" t="s">
        <v>48788</v>
      </c>
      <c r="G2501" t="s">
        <v>48789</v>
      </c>
      <c r="H2501" t="s">
        <v>48790</v>
      </c>
      <c r="I2501" t="s">
        <v>48791</v>
      </c>
      <c r="J2501" t="s">
        <v>48792</v>
      </c>
      <c r="K2501" t="s">
        <v>48793</v>
      </c>
      <c r="L2501" t="s">
        <v>48794</v>
      </c>
      <c r="M2501" t="s">
        <v>48795</v>
      </c>
      <c r="N2501" t="s">
        <v>48796</v>
      </c>
      <c r="O2501">
        <f>-644.156315830935 -137.74202305171 -498.454040905029</f>
        <v>-1280.352379787674</v>
      </c>
      <c r="P2501">
        <f>-602.332018204757 -163.275137349293 -220.645936982839</f>
        <v>-986.25309253688897</v>
      </c>
      <c r="Q2501">
        <f>-453.700872204111 -19.1836974815024 -325.978416502441</f>
        <v>-798.86298618805449</v>
      </c>
      <c r="R2501" t="s">
        <v>48797</v>
      </c>
      <c r="S2501" t="s">
        <v>48798</v>
      </c>
      <c r="T2501" t="s">
        <v>48799</v>
      </c>
      <c r="U2501" t="s">
        <v>48800</v>
      </c>
      <c r="V2501">
        <f>-584.502778127953 -38.0131646498833 -91.5171578502548</f>
        <v>-714.03310062809101</v>
      </c>
      <c r="W2501" t="s">
        <v>48801</v>
      </c>
      <c r="X2501" t="s">
        <v>48802</v>
      </c>
      <c r="Y2501" t="s">
        <v>48803</v>
      </c>
    </row>
    <row r="2502" spans="1:25" x14ac:dyDescent="0.3">
      <c r="A2502">
        <v>125050</v>
      </c>
      <c r="B2502" t="s">
        <v>48804</v>
      </c>
      <c r="C2502" t="s">
        <v>48805</v>
      </c>
      <c r="D2502" t="s">
        <v>48806</v>
      </c>
      <c r="E2502" t="s">
        <v>48807</v>
      </c>
      <c r="F2502" t="s">
        <v>48808</v>
      </c>
      <c r="G2502" t="s">
        <v>48809</v>
      </c>
      <c r="H2502" t="s">
        <v>48810</v>
      </c>
      <c r="I2502" t="s">
        <v>48811</v>
      </c>
      <c r="J2502" t="s">
        <v>48812</v>
      </c>
      <c r="K2502" t="s">
        <v>48813</v>
      </c>
      <c r="L2502" t="s">
        <v>48814</v>
      </c>
      <c r="M2502" t="s">
        <v>48815</v>
      </c>
      <c r="N2502" t="s">
        <v>48816</v>
      </c>
      <c r="O2502">
        <f>-644.009550250047 -138.157312156691 -498.076745143911</f>
        <v>-1280.2436075506489</v>
      </c>
      <c r="P2502">
        <f>-602.82307871396 -163.330450207332 -220.140291522449</f>
        <v>-986.29382044374097</v>
      </c>
      <c r="Q2502">
        <f>-453.483864026482 -19.4639999254769 -324.776771719983</f>
        <v>-797.724635671942</v>
      </c>
      <c r="R2502" t="s">
        <v>48817</v>
      </c>
      <c r="S2502" t="s">
        <v>48818</v>
      </c>
      <c r="T2502" t="s">
        <v>48819</v>
      </c>
      <c r="U2502" t="s">
        <v>48820</v>
      </c>
      <c r="V2502">
        <f>-584.369704063419 -38.061109755819 -91.4591191284928</f>
        <v>-713.88993294773081</v>
      </c>
      <c r="W2502" t="s">
        <v>48821</v>
      </c>
      <c r="X2502" t="s">
        <v>48822</v>
      </c>
      <c r="Y2502" t="s">
        <v>48823</v>
      </c>
    </row>
    <row r="2503" spans="1:25" x14ac:dyDescent="0.3">
      <c r="A2503">
        <v>125100</v>
      </c>
      <c r="B2503" t="s">
        <v>48824</v>
      </c>
      <c r="C2503" t="s">
        <v>48825</v>
      </c>
      <c r="D2503" t="s">
        <v>48826</v>
      </c>
      <c r="E2503" t="s">
        <v>48827</v>
      </c>
      <c r="F2503" t="s">
        <v>48828</v>
      </c>
      <c r="G2503" t="s">
        <v>48829</v>
      </c>
      <c r="H2503" t="s">
        <v>48830</v>
      </c>
      <c r="I2503" t="s">
        <v>48831</v>
      </c>
      <c r="J2503" t="s">
        <v>48832</v>
      </c>
      <c r="K2503" t="s">
        <v>48833</v>
      </c>
      <c r="L2503" t="s">
        <v>48834</v>
      </c>
      <c r="M2503" t="s">
        <v>48835</v>
      </c>
      <c r="N2503" t="s">
        <v>48836</v>
      </c>
      <c r="O2503">
        <f>-643.717848554433 -138.639211325942 -497.539042777054</f>
        <v>-1279.8961026574291</v>
      </c>
      <c r="P2503">
        <f>-603.529255874594 -162.984628341656 -219.383029488231</f>
        <v>-985.89691370448099</v>
      </c>
      <c r="Q2503">
        <f>-452.032911163367 -19.9857481956233 -322.089850375618</f>
        <v>-794.10850973460833</v>
      </c>
      <c r="R2503" t="s">
        <v>48837</v>
      </c>
      <c r="S2503" t="s">
        <v>48838</v>
      </c>
      <c r="T2503" t="s">
        <v>48839</v>
      </c>
      <c r="U2503" t="s">
        <v>48840</v>
      </c>
      <c r="V2503">
        <f>-584.13174783188 -38.074149902159 -91.3456674980927</f>
        <v>-713.55156523213168</v>
      </c>
      <c r="W2503" t="s">
        <v>48841</v>
      </c>
      <c r="X2503" t="s">
        <v>48842</v>
      </c>
      <c r="Y2503" t="s">
        <v>48843</v>
      </c>
    </row>
    <row r="2504" spans="1:25" x14ac:dyDescent="0.3">
      <c r="A2504">
        <v>125150</v>
      </c>
      <c r="B2504" t="s">
        <v>48844</v>
      </c>
      <c r="C2504" t="s">
        <v>48845</v>
      </c>
      <c r="D2504" t="s">
        <v>48846</v>
      </c>
      <c r="E2504" t="s">
        <v>48847</v>
      </c>
      <c r="F2504" t="s">
        <v>48848</v>
      </c>
      <c r="G2504" t="s">
        <v>48849</v>
      </c>
      <c r="H2504" t="s">
        <v>48850</v>
      </c>
      <c r="I2504" t="s">
        <v>48851</v>
      </c>
      <c r="J2504" t="s">
        <v>48852</v>
      </c>
      <c r="K2504" t="s">
        <v>48853</v>
      </c>
      <c r="L2504" t="s">
        <v>48854</v>
      </c>
      <c r="M2504" t="s">
        <v>48855</v>
      </c>
      <c r="N2504" t="s">
        <v>48856</v>
      </c>
      <c r="O2504">
        <f>-643.583513424043 -138.775099149304 -497.285427379217</f>
        <v>-1279.6440399525641</v>
      </c>
      <c r="P2504">
        <f>-603.795061299447 -162.756006291926 -219.04027004048</f>
        <v>-985.59133763185298</v>
      </c>
      <c r="Q2504">
        <f>-451.208813837907 -20.1561050049402 -320.682890953401</f>
        <v>-792.0478097962482</v>
      </c>
      <c r="R2504" t="s">
        <v>48857</v>
      </c>
      <c r="S2504" t="s">
        <v>48858</v>
      </c>
      <c r="T2504" t="s">
        <v>48859</v>
      </c>
      <c r="U2504" t="s">
        <v>48860</v>
      </c>
      <c r="V2504">
        <f>-584.012193681836 -38.0652878650922 -91.2994783583815</f>
        <v>-713.37695990530972</v>
      </c>
      <c r="W2504" t="s">
        <v>48861</v>
      </c>
      <c r="X2504" t="s">
        <v>48862</v>
      </c>
      <c r="Y2504" t="s">
        <v>48863</v>
      </c>
    </row>
    <row r="2505" spans="1:25" x14ac:dyDescent="0.3">
      <c r="A2505">
        <v>125200</v>
      </c>
      <c r="B2505" t="s">
        <v>48864</v>
      </c>
      <c r="C2505" t="s">
        <v>48865</v>
      </c>
      <c r="D2505" t="s">
        <v>48866</v>
      </c>
      <c r="E2505" t="s">
        <v>48867</v>
      </c>
      <c r="F2505" t="s">
        <v>48868</v>
      </c>
      <c r="G2505" t="s">
        <v>48869</v>
      </c>
      <c r="H2505" t="s">
        <v>48870</v>
      </c>
      <c r="I2505" t="s">
        <v>48871</v>
      </c>
      <c r="J2505" t="s">
        <v>48872</v>
      </c>
      <c r="K2505" t="s">
        <v>48873</v>
      </c>
      <c r="L2505" t="s">
        <v>48874</v>
      </c>
      <c r="M2505" t="s">
        <v>48875</v>
      </c>
      <c r="N2505" t="s">
        <v>48876</v>
      </c>
      <c r="O2505">
        <f>-643.396881512737 -139.117335427039 -496.930001744392</f>
        <v>-1279.4442186841679</v>
      </c>
      <c r="P2505">
        <f>-604.339600373612 -162.423711205577 -218.524013278556</f>
        <v>-985.28732485774503</v>
      </c>
      <c r="Q2505">
        <f>-449.068097493628 -20.9267756601448 -317.609330911328</f>
        <v>-787.60420406510082</v>
      </c>
      <c r="R2505" t="s">
        <v>48877</v>
      </c>
      <c r="S2505" t="s">
        <v>48878</v>
      </c>
      <c r="T2505" t="s">
        <v>48879</v>
      </c>
      <c r="U2505" t="s">
        <v>48880</v>
      </c>
      <c r="V2505">
        <f>-583.832201453531 -38.084202025929 -91.2756159748031</f>
        <v>-713.19201945426312</v>
      </c>
      <c r="W2505" t="s">
        <v>48881</v>
      </c>
      <c r="X2505" t="s">
        <v>48882</v>
      </c>
      <c r="Y2505" t="s">
        <v>48883</v>
      </c>
    </row>
    <row r="2506" spans="1:25" x14ac:dyDescent="0.3">
      <c r="A2506">
        <v>125250</v>
      </c>
      <c r="B2506" t="s">
        <v>48884</v>
      </c>
      <c r="C2506" t="s">
        <v>48885</v>
      </c>
      <c r="D2506" t="s">
        <v>48886</v>
      </c>
      <c r="E2506" t="s">
        <v>48887</v>
      </c>
      <c r="F2506" t="s">
        <v>48888</v>
      </c>
      <c r="G2506" t="s">
        <v>48889</v>
      </c>
      <c r="H2506" t="s">
        <v>48890</v>
      </c>
      <c r="I2506" t="s">
        <v>48891</v>
      </c>
      <c r="J2506" t="s">
        <v>48892</v>
      </c>
      <c r="K2506" t="s">
        <v>48893</v>
      </c>
      <c r="L2506" t="s">
        <v>48894</v>
      </c>
      <c r="M2506" t="s">
        <v>48895</v>
      </c>
      <c r="N2506" t="s">
        <v>48896</v>
      </c>
      <c r="O2506">
        <f>-643.421998939021 -139.251595855649 -496.83653205896</f>
        <v>-1279.51012685363</v>
      </c>
      <c r="P2506">
        <f>-604.845027887498 -162.097045489234 -218.325312766595</f>
        <v>-985.26738614332703</v>
      </c>
      <c r="Q2506">
        <f>-447.784180996279 -21.504852507619 -315.866255938819</f>
        <v>-785.15528944271705</v>
      </c>
      <c r="R2506" t="s">
        <v>48897</v>
      </c>
      <c r="S2506" t="s">
        <v>48898</v>
      </c>
      <c r="T2506" t="s">
        <v>48899</v>
      </c>
      <c r="U2506" t="s">
        <v>48900</v>
      </c>
      <c r="V2506">
        <f>-583.744394902615 -38.070398712201 -91.2835418254571</f>
        <v>-713.0983354402731</v>
      </c>
      <c r="W2506" t="s">
        <v>48901</v>
      </c>
      <c r="X2506" t="s">
        <v>48902</v>
      </c>
      <c r="Y2506" t="s">
        <v>48903</v>
      </c>
    </row>
    <row r="2507" spans="1:25" x14ac:dyDescent="0.3">
      <c r="A2507">
        <v>125300</v>
      </c>
      <c r="B2507" t="s">
        <v>48904</v>
      </c>
      <c r="C2507" t="s">
        <v>48905</v>
      </c>
      <c r="D2507" t="s">
        <v>48906</v>
      </c>
      <c r="E2507" t="s">
        <v>48907</v>
      </c>
      <c r="F2507" t="s">
        <v>48908</v>
      </c>
      <c r="G2507" t="s">
        <v>48909</v>
      </c>
      <c r="H2507" t="s">
        <v>48910</v>
      </c>
      <c r="I2507" t="s">
        <v>48911</v>
      </c>
      <c r="J2507" t="s">
        <v>48912</v>
      </c>
      <c r="K2507" t="s">
        <v>48913</v>
      </c>
      <c r="L2507" t="s">
        <v>48914</v>
      </c>
      <c r="M2507" t="s">
        <v>48915</v>
      </c>
      <c r="N2507" t="s">
        <v>48916</v>
      </c>
      <c r="O2507">
        <f>-643.891157881846 -139.411752794068 -496.575043091282</f>
        <v>-1279.877953767196</v>
      </c>
      <c r="P2507">
        <f>-605.900893615118 -161.597195984073 -217.929922994511</f>
        <v>-985.42801259370196</v>
      </c>
      <c r="Q2507">
        <f>-444.960883383048 -22.9611565175662 -311.881739927071</f>
        <v>-779.80377982768528</v>
      </c>
      <c r="R2507" t="s">
        <v>48917</v>
      </c>
      <c r="S2507" t="s">
        <v>48918</v>
      </c>
      <c r="T2507" t="s">
        <v>48919</v>
      </c>
      <c r="U2507" t="s">
        <v>48920</v>
      </c>
      <c r="V2507">
        <f>-583.629185116068 -38.060062885045 -91.2978387162183</f>
        <v>-712.98708671733129</v>
      </c>
      <c r="W2507" t="s">
        <v>48921</v>
      </c>
      <c r="X2507" t="s">
        <v>48922</v>
      </c>
      <c r="Y2507" t="s">
        <v>48923</v>
      </c>
    </row>
    <row r="2508" spans="1:25" x14ac:dyDescent="0.3">
      <c r="A2508">
        <v>125350</v>
      </c>
      <c r="B2508" t="s">
        <v>48924</v>
      </c>
      <c r="C2508" t="s">
        <v>48925</v>
      </c>
      <c r="D2508" t="s">
        <v>48926</v>
      </c>
      <c r="E2508" t="s">
        <v>48927</v>
      </c>
      <c r="F2508" t="s">
        <v>48928</v>
      </c>
      <c r="G2508" t="s">
        <v>48929</v>
      </c>
      <c r="H2508" t="s">
        <v>48930</v>
      </c>
      <c r="I2508" t="s">
        <v>48931</v>
      </c>
      <c r="J2508" t="s">
        <v>48932</v>
      </c>
      <c r="K2508" t="s">
        <v>48933</v>
      </c>
      <c r="L2508" t="s">
        <v>48934</v>
      </c>
      <c r="M2508" t="s">
        <v>48935</v>
      </c>
      <c r="N2508" t="s">
        <v>48936</v>
      </c>
      <c r="O2508">
        <f>-644.228434009663 -139.552515489436 -496.438739971397</f>
        <v>-1280.2196894704962</v>
      </c>
      <c r="P2508">
        <f>-606.611422475067 -161.486317471231 -217.722942051236</f>
        <v>-985.82068199753405</v>
      </c>
      <c r="Q2508">
        <f>-443.795713924207 -23.8347263060432 -309.873043012744</f>
        <v>-777.50348324299421</v>
      </c>
      <c r="R2508" t="s">
        <v>48937</v>
      </c>
      <c r="S2508" t="s">
        <v>48938</v>
      </c>
      <c r="T2508" t="s">
        <v>48939</v>
      </c>
      <c r="U2508" t="s">
        <v>48940</v>
      </c>
      <c r="V2508">
        <f>-583.562733351483 -38.100932861933 -91.3050887654612</f>
        <v>-712.96875497887709</v>
      </c>
      <c r="W2508" t="s">
        <v>48941</v>
      </c>
      <c r="X2508" t="s">
        <v>48942</v>
      </c>
      <c r="Y2508" t="s">
        <v>48943</v>
      </c>
    </row>
    <row r="2509" spans="1:25" x14ac:dyDescent="0.3">
      <c r="A2509">
        <v>125400</v>
      </c>
      <c r="B2509" t="s">
        <v>48944</v>
      </c>
      <c r="C2509" t="s">
        <v>48945</v>
      </c>
      <c r="D2509" t="s">
        <v>48946</v>
      </c>
      <c r="E2509" t="s">
        <v>48947</v>
      </c>
      <c r="F2509" t="s">
        <v>48948</v>
      </c>
      <c r="G2509" t="s">
        <v>48949</v>
      </c>
      <c r="H2509" t="s">
        <v>48950</v>
      </c>
      <c r="I2509" t="s">
        <v>48951</v>
      </c>
      <c r="J2509" t="s">
        <v>48952</v>
      </c>
      <c r="K2509" t="s">
        <v>48953</v>
      </c>
      <c r="L2509" t="s">
        <v>48954</v>
      </c>
      <c r="M2509" t="s">
        <v>48955</v>
      </c>
      <c r="N2509" t="s">
        <v>48956</v>
      </c>
      <c r="O2509">
        <f>-644.708814914518 -139.567222308669 -496.279254196307</f>
        <v>-1280.5552914194941</v>
      </c>
      <c r="P2509">
        <f>-608.098805096304 -161.139829108541 -217.401343444508</f>
        <v>-986.639977649353</v>
      </c>
      <c r="Q2509">
        <f>-441.323965576204 -25.7498089751969 -305.742617678585</f>
        <v>-772.81639222998592</v>
      </c>
      <c r="R2509" t="s">
        <v>48957</v>
      </c>
      <c r="S2509" t="s">
        <v>48958</v>
      </c>
      <c r="T2509" t="s">
        <v>48959</v>
      </c>
      <c r="U2509" t="s">
        <v>48960</v>
      </c>
      <c r="V2509">
        <f>-583.380832888763 -37.9532239558062 -91.3073533054452</f>
        <v>-712.64141015001439</v>
      </c>
      <c r="W2509" t="s">
        <v>48961</v>
      </c>
      <c r="X2509" t="s">
        <v>48962</v>
      </c>
      <c r="Y2509" t="s">
        <v>48963</v>
      </c>
    </row>
    <row r="2510" spans="1:25" x14ac:dyDescent="0.3">
      <c r="A2510">
        <v>125450</v>
      </c>
      <c r="B2510" t="s">
        <v>48964</v>
      </c>
      <c r="C2510" t="s">
        <v>48965</v>
      </c>
      <c r="D2510" t="s">
        <v>48966</v>
      </c>
      <c r="E2510" t="s">
        <v>48967</v>
      </c>
      <c r="F2510" t="s">
        <v>48968</v>
      </c>
      <c r="G2510" t="s">
        <v>48969</v>
      </c>
      <c r="H2510" t="s">
        <v>48970</v>
      </c>
      <c r="I2510" t="s">
        <v>48971</v>
      </c>
      <c r="J2510" t="s">
        <v>48972</v>
      </c>
      <c r="K2510" t="s">
        <v>48973</v>
      </c>
      <c r="L2510" t="s">
        <v>48974</v>
      </c>
      <c r="M2510" t="s">
        <v>48975</v>
      </c>
      <c r="N2510" t="s">
        <v>48976</v>
      </c>
      <c r="O2510">
        <f>-644.93058391901 -139.552924464564 -496.24827311605</f>
        <v>-1280.731781499624</v>
      </c>
      <c r="P2510">
        <f>-609.220611299805 -161.118480614797 -217.252947239377</f>
        <v>-987.59203915397904</v>
      </c>
      <c r="Q2510">
        <f>-440.309393084271 -26.9897554431054 -303.433199652696</f>
        <v>-770.73234818007245</v>
      </c>
      <c r="R2510" t="s">
        <v>48977</v>
      </c>
      <c r="S2510" t="s">
        <v>48978</v>
      </c>
      <c r="T2510" t="s">
        <v>48979</v>
      </c>
      <c r="U2510" t="s">
        <v>48980</v>
      </c>
      <c r="V2510">
        <f>-583.260544110022 -37.8360720319317 -91.3085517345975</f>
        <v>-712.40516787655122</v>
      </c>
      <c r="W2510" t="s">
        <v>48981</v>
      </c>
      <c r="X2510" t="s">
        <v>48982</v>
      </c>
      <c r="Y2510" t="s">
        <v>48983</v>
      </c>
    </row>
    <row r="2511" spans="1:25" x14ac:dyDescent="0.3">
      <c r="A2511">
        <v>125500</v>
      </c>
      <c r="B2511" t="s">
        <v>48984</v>
      </c>
      <c r="C2511" t="s">
        <v>48985</v>
      </c>
      <c r="D2511" t="s">
        <v>48986</v>
      </c>
      <c r="E2511" t="s">
        <v>48987</v>
      </c>
      <c r="F2511" t="s">
        <v>48988</v>
      </c>
      <c r="G2511" t="s">
        <v>48989</v>
      </c>
      <c r="H2511" t="s">
        <v>48990</v>
      </c>
      <c r="I2511" t="s">
        <v>48991</v>
      </c>
      <c r="J2511" t="s">
        <v>48992</v>
      </c>
      <c r="K2511" t="s">
        <v>48993</v>
      </c>
      <c r="L2511" t="s">
        <v>48994</v>
      </c>
      <c r="M2511" t="s">
        <v>48995</v>
      </c>
      <c r="N2511" t="s">
        <v>48996</v>
      </c>
      <c r="O2511">
        <f>-645.651750245861 -139.329231733235 -496.099022582184</f>
        <v>-1281.08000456128</v>
      </c>
      <c r="P2511">
        <f>-611.339015277413 -160.485301506764 -216.897359856686</f>
        <v>-988.72167664086294</v>
      </c>
      <c r="Q2511">
        <f>-438.493449330984 -28.7448873443861 -298.856862662797</f>
        <v>-766.09519933816705</v>
      </c>
      <c r="R2511" t="s">
        <v>48997</v>
      </c>
      <c r="S2511" t="s">
        <v>48998</v>
      </c>
      <c r="T2511" t="s">
        <v>48999</v>
      </c>
      <c r="U2511" t="s">
        <v>49000</v>
      </c>
      <c r="V2511">
        <f>-583.106574026578 -37.6333601158588 -91.2880297330797</f>
        <v>-712.02796387551643</v>
      </c>
      <c r="W2511" t="s">
        <v>49001</v>
      </c>
      <c r="X2511" t="s">
        <v>49002</v>
      </c>
      <c r="Y2511" t="s">
        <v>49003</v>
      </c>
    </row>
    <row r="2512" spans="1:25" x14ac:dyDescent="0.3">
      <c r="A2512">
        <v>125550</v>
      </c>
      <c r="B2512" t="s">
        <v>49004</v>
      </c>
      <c r="C2512" t="s">
        <v>49005</v>
      </c>
      <c r="D2512" t="s">
        <v>49006</v>
      </c>
      <c r="E2512" t="s">
        <v>49007</v>
      </c>
      <c r="F2512" t="s">
        <v>49008</v>
      </c>
      <c r="G2512" t="s">
        <v>49009</v>
      </c>
      <c r="H2512" t="s">
        <v>49010</v>
      </c>
      <c r="I2512" t="s">
        <v>49011</v>
      </c>
      <c r="J2512" t="s">
        <v>49012</v>
      </c>
      <c r="K2512" t="s">
        <v>49013</v>
      </c>
      <c r="L2512" t="s">
        <v>49014</v>
      </c>
      <c r="M2512" t="s">
        <v>49015</v>
      </c>
      <c r="N2512" t="s">
        <v>49016</v>
      </c>
      <c r="O2512">
        <f>-645.994675831072 -139.403639913564 -495.959132488787</f>
        <v>-1281.3574482334229</v>
      </c>
      <c r="P2512">
        <f>-612.595080433209 -160.365010290214 -216.631959612934</f>
        <v>-989.59205033635703</v>
      </c>
      <c r="Q2512">
        <f>-438.165391651443 -29.5123931902567 -296.634200526907</f>
        <v>-764.31198536860666</v>
      </c>
      <c r="R2512" t="s">
        <v>49017</v>
      </c>
      <c r="S2512" t="s">
        <v>49018</v>
      </c>
      <c r="T2512" t="s">
        <v>49019</v>
      </c>
      <c r="U2512" t="s">
        <v>49020</v>
      </c>
      <c r="V2512">
        <f>-583.015085326767 -37.5918663879843 -91.2813654051884</f>
        <v>-711.88831711993964</v>
      </c>
      <c r="W2512" t="s">
        <v>49021</v>
      </c>
      <c r="X2512" t="s">
        <v>49022</v>
      </c>
      <c r="Y2512" t="s">
        <v>49023</v>
      </c>
    </row>
    <row r="2513" spans="1:25" x14ac:dyDescent="0.3">
      <c r="A2513">
        <v>125600</v>
      </c>
      <c r="B2513" t="s">
        <v>49024</v>
      </c>
      <c r="C2513" t="s">
        <v>49025</v>
      </c>
      <c r="D2513" t="s">
        <v>49026</v>
      </c>
      <c r="E2513" t="s">
        <v>49027</v>
      </c>
      <c r="F2513" t="s">
        <v>49028</v>
      </c>
      <c r="G2513" t="s">
        <v>49029</v>
      </c>
      <c r="H2513" t="s">
        <v>49030</v>
      </c>
      <c r="I2513" t="s">
        <v>49031</v>
      </c>
      <c r="J2513" t="s">
        <v>49032</v>
      </c>
      <c r="K2513" t="s">
        <v>49033</v>
      </c>
      <c r="L2513" t="s">
        <v>49034</v>
      </c>
      <c r="M2513" t="s">
        <v>49035</v>
      </c>
      <c r="N2513" t="s">
        <v>49036</v>
      </c>
      <c r="O2513">
        <f>-646.833391910001 -139.45307065216 -495.740704335146</f>
        <v>-1282.0271668973069</v>
      </c>
      <c r="P2513">
        <f>-615.051888344428 -160.429566687943 -216.225888230814</f>
        <v>-991.70734326318507</v>
      </c>
      <c r="Q2513">
        <f>-437.873605949635 -30.5574386240007 -291.65539697814</f>
        <v>-760.08644155177581</v>
      </c>
      <c r="R2513" t="s">
        <v>49037</v>
      </c>
      <c r="S2513" t="s">
        <v>49038</v>
      </c>
      <c r="T2513" t="s">
        <v>49039</v>
      </c>
      <c r="U2513" t="s">
        <v>49040</v>
      </c>
      <c r="V2513">
        <f>-582.973788822702 -37.587445898276 -91.29458462194</f>
        <v>-711.85581934291793</v>
      </c>
      <c r="W2513" t="s">
        <v>49041</v>
      </c>
      <c r="X2513" t="s">
        <v>49042</v>
      </c>
      <c r="Y2513" t="s">
        <v>49043</v>
      </c>
    </row>
    <row r="2514" spans="1:25" x14ac:dyDescent="0.3">
      <c r="A2514">
        <v>125650</v>
      </c>
      <c r="B2514" t="s">
        <v>49044</v>
      </c>
      <c r="C2514" t="s">
        <v>49045</v>
      </c>
      <c r="D2514" t="s">
        <v>49046</v>
      </c>
      <c r="E2514" t="s">
        <v>49047</v>
      </c>
      <c r="F2514" t="s">
        <v>49048</v>
      </c>
      <c r="G2514" t="s">
        <v>49049</v>
      </c>
      <c r="H2514" t="s">
        <v>49050</v>
      </c>
      <c r="I2514" t="s">
        <v>49051</v>
      </c>
      <c r="J2514" t="s">
        <v>49052</v>
      </c>
      <c r="K2514" t="s">
        <v>49053</v>
      </c>
      <c r="L2514" t="s">
        <v>49054</v>
      </c>
      <c r="M2514" t="s">
        <v>49055</v>
      </c>
      <c r="N2514" t="s">
        <v>49056</v>
      </c>
      <c r="O2514">
        <f>-647.252081856909 -139.526320536322 -495.631794942502</f>
        <v>-1282.4101973357328</v>
      </c>
      <c r="P2514">
        <f>-616.505882217605 -160.82950438397 -216.025910018881</f>
        <v>-993.36129662045596</v>
      </c>
      <c r="Q2514">
        <f>-438.156921615126 -31.0880865656211 -288.877235625249</f>
        <v>-758.12224380599605</v>
      </c>
      <c r="R2514" t="s">
        <v>49057</v>
      </c>
      <c r="S2514" t="s">
        <v>49058</v>
      </c>
      <c r="T2514" t="s">
        <v>49059</v>
      </c>
      <c r="U2514" t="s">
        <v>49060</v>
      </c>
      <c r="V2514">
        <f>-582.953801211376 -37.567673540814 -91.2997977036966</f>
        <v>-711.82127245588663</v>
      </c>
      <c r="W2514" t="s">
        <v>49061</v>
      </c>
      <c r="X2514" t="s">
        <v>49062</v>
      </c>
      <c r="Y2514" t="s">
        <v>49063</v>
      </c>
    </row>
    <row r="2515" spans="1:25" x14ac:dyDescent="0.3">
      <c r="A2515">
        <v>125700</v>
      </c>
      <c r="B2515" t="s">
        <v>49064</v>
      </c>
      <c r="C2515" t="s">
        <v>49065</v>
      </c>
      <c r="D2515" t="s">
        <v>49066</v>
      </c>
      <c r="E2515" t="s">
        <v>49067</v>
      </c>
      <c r="F2515" t="s">
        <v>49068</v>
      </c>
      <c r="G2515" t="s">
        <v>49069</v>
      </c>
      <c r="H2515" t="s">
        <v>49070</v>
      </c>
      <c r="I2515" t="s">
        <v>49071</v>
      </c>
      <c r="J2515" t="s">
        <v>49072</v>
      </c>
      <c r="K2515" t="s">
        <v>49073</v>
      </c>
      <c r="L2515" t="s">
        <v>49074</v>
      </c>
      <c r="M2515" t="s">
        <v>49075</v>
      </c>
      <c r="N2515" t="s">
        <v>49076</v>
      </c>
      <c r="O2515">
        <f>-647.660702254306 -139.640782216403 -495.46896034875</f>
        <v>-1282.770444819459</v>
      </c>
      <c r="P2515">
        <f>-619.273656922693 -162.026251882789 -215.698138592864</f>
        <v>-996.99804739834599</v>
      </c>
      <c r="Q2515">
        <f>-438.963108479763 -32.0546015497393 -283.107270277322</f>
        <v>-754.12498030682423</v>
      </c>
      <c r="R2515" t="s">
        <v>49077</v>
      </c>
      <c r="S2515" t="s">
        <v>49078</v>
      </c>
      <c r="T2515" t="s">
        <v>49079</v>
      </c>
      <c r="U2515" t="s">
        <v>49080</v>
      </c>
      <c r="V2515">
        <f>-582.914289315831 -37.6266141960384 -91.3009001968594</f>
        <v>-711.84180370872878</v>
      </c>
      <c r="W2515" t="s">
        <v>49081</v>
      </c>
      <c r="X2515" t="s">
        <v>49082</v>
      </c>
      <c r="Y2515" t="s">
        <v>49083</v>
      </c>
    </row>
    <row r="2516" spans="1:25" x14ac:dyDescent="0.3">
      <c r="A2516">
        <v>125750</v>
      </c>
      <c r="B2516" t="s">
        <v>49084</v>
      </c>
      <c r="C2516" t="s">
        <v>49085</v>
      </c>
      <c r="D2516" t="s">
        <v>49086</v>
      </c>
      <c r="E2516" t="s">
        <v>49087</v>
      </c>
      <c r="F2516" t="s">
        <v>49088</v>
      </c>
      <c r="G2516" t="s">
        <v>49089</v>
      </c>
      <c r="H2516" t="s">
        <v>49090</v>
      </c>
      <c r="I2516" t="s">
        <v>49091</v>
      </c>
      <c r="J2516" t="s">
        <v>49092</v>
      </c>
      <c r="K2516" t="s">
        <v>49093</v>
      </c>
      <c r="L2516" t="s">
        <v>49094</v>
      </c>
      <c r="M2516" t="s">
        <v>49095</v>
      </c>
      <c r="N2516" t="s">
        <v>49096</v>
      </c>
      <c r="O2516">
        <f>-647.795065305447 -139.867050287723 -495.451166436375</f>
        <v>-1283.113282029545</v>
      </c>
      <c r="P2516">
        <f>-620.847505319459 -162.911339871742 -215.591603096774</f>
        <v>-999.35044828797504</v>
      </c>
      <c r="Q2516">
        <f>-439.779886641356 -32.6891862221387 -280.439886749909</f>
        <v>-752.90895961340368</v>
      </c>
      <c r="R2516" t="s">
        <v>49097</v>
      </c>
      <c r="S2516" t="s">
        <v>49098</v>
      </c>
      <c r="T2516" t="s">
        <v>49099</v>
      </c>
      <c r="U2516" t="s">
        <v>49100</v>
      </c>
      <c r="V2516">
        <f>-582.943047501881 -37.7573242900048 -91.3158257443115</f>
        <v>-712.0161975361973</v>
      </c>
      <c r="W2516" t="s">
        <v>49101</v>
      </c>
      <c r="X2516" t="s">
        <v>49102</v>
      </c>
      <c r="Y2516" t="s">
        <v>49103</v>
      </c>
    </row>
    <row r="2517" spans="1:25" x14ac:dyDescent="0.3">
      <c r="A2517">
        <v>125800</v>
      </c>
      <c r="B2517" t="s">
        <v>49104</v>
      </c>
      <c r="C2517" t="s">
        <v>49105</v>
      </c>
      <c r="D2517" t="s">
        <v>49106</v>
      </c>
      <c r="E2517" t="s">
        <v>49107</v>
      </c>
      <c r="F2517" t="s">
        <v>49108</v>
      </c>
      <c r="G2517" t="s">
        <v>49109</v>
      </c>
      <c r="H2517" t="s">
        <v>49110</v>
      </c>
      <c r="I2517" t="s">
        <v>49111</v>
      </c>
      <c r="J2517" t="s">
        <v>49112</v>
      </c>
      <c r="K2517" t="s">
        <v>49113</v>
      </c>
      <c r="L2517" t="s">
        <v>49114</v>
      </c>
      <c r="M2517" t="s">
        <v>49115</v>
      </c>
      <c r="N2517" t="s">
        <v>49116</v>
      </c>
      <c r="O2517">
        <f>-648.512919598852 -140.273207315877 -495.325387038917</f>
        <v>-1284.111513953646</v>
      </c>
      <c r="P2517">
        <f>-623.825938218577 -164.574437945829 -215.36372401086</f>
        <v>-1003.764100175266</v>
      </c>
      <c r="Q2517">
        <f>-441.819968343697 -33.5695074308658 -275.861962495249</f>
        <v>-751.25143826981184</v>
      </c>
      <c r="R2517" t="s">
        <v>49117</v>
      </c>
      <c r="S2517" t="s">
        <v>49118</v>
      </c>
      <c r="T2517" t="s">
        <v>49119</v>
      </c>
      <c r="U2517" t="s">
        <v>49120</v>
      </c>
      <c r="V2517">
        <f>-583.180568101337 -38.1539556261059 -91.3671202575821</f>
        <v>-712.70164398502504</v>
      </c>
      <c r="W2517" t="s">
        <v>49121</v>
      </c>
      <c r="X2517" t="s">
        <v>49122</v>
      </c>
      <c r="Y2517" t="s">
        <v>49123</v>
      </c>
    </row>
    <row r="2518" spans="1:25" x14ac:dyDescent="0.3">
      <c r="A2518">
        <v>125850</v>
      </c>
      <c r="B2518" t="s">
        <v>49124</v>
      </c>
      <c r="C2518" t="s">
        <v>49125</v>
      </c>
      <c r="D2518" t="s">
        <v>49126</v>
      </c>
      <c r="E2518" t="s">
        <v>49127</v>
      </c>
      <c r="F2518" t="s">
        <v>49128</v>
      </c>
      <c r="G2518" t="s">
        <v>49129</v>
      </c>
      <c r="H2518" t="s">
        <v>49130</v>
      </c>
      <c r="I2518" t="s">
        <v>49131</v>
      </c>
      <c r="J2518" t="s">
        <v>49132</v>
      </c>
      <c r="K2518" t="s">
        <v>49133</v>
      </c>
      <c r="L2518" t="s">
        <v>49134</v>
      </c>
      <c r="M2518" t="s">
        <v>49135</v>
      </c>
      <c r="N2518" t="s">
        <v>49136</v>
      </c>
      <c r="O2518">
        <f>-648.767780394947 -140.488561833267 -495.331384183775</f>
        <v>-1284.587726411989</v>
      </c>
      <c r="P2518">
        <f>-625.436003999201 -165.249286460821 -215.293677768276</f>
        <v>-1005.9789682282981</v>
      </c>
      <c r="Q2518">
        <f>-442.932485714052 -33.9986341983758 -273.725636075402</f>
        <v>-750.6567559878298</v>
      </c>
      <c r="R2518" t="s">
        <v>49137</v>
      </c>
      <c r="S2518" t="s">
        <v>49138</v>
      </c>
      <c r="T2518" t="s">
        <v>49139</v>
      </c>
      <c r="U2518" t="s">
        <v>49140</v>
      </c>
      <c r="V2518">
        <f>-583.322848556958 -38.3972910437096 -91.3946953368336</f>
        <v>-713.1148349375012</v>
      </c>
      <c r="W2518" t="s">
        <v>49141</v>
      </c>
      <c r="X2518" t="s">
        <v>49142</v>
      </c>
      <c r="Y2518" t="s">
        <v>49143</v>
      </c>
    </row>
    <row r="2519" spans="1:25" x14ac:dyDescent="0.3">
      <c r="A2519">
        <v>125900</v>
      </c>
      <c r="B2519" t="s">
        <v>49144</v>
      </c>
      <c r="C2519" t="s">
        <v>49145</v>
      </c>
      <c r="D2519" t="s">
        <v>49146</v>
      </c>
      <c r="E2519" t="s">
        <v>49147</v>
      </c>
      <c r="F2519" t="s">
        <v>49148</v>
      </c>
      <c r="G2519" t="s">
        <v>49149</v>
      </c>
      <c r="H2519" t="s">
        <v>49150</v>
      </c>
      <c r="I2519" t="s">
        <v>49151</v>
      </c>
      <c r="J2519" t="s">
        <v>49152</v>
      </c>
      <c r="K2519" t="s">
        <v>49153</v>
      </c>
      <c r="L2519" t="s">
        <v>49154</v>
      </c>
      <c r="M2519" t="s">
        <v>49155</v>
      </c>
      <c r="N2519" t="s">
        <v>49156</v>
      </c>
      <c r="O2519">
        <f>-649.368228361764 -140.723206281364 -495.455446405786</f>
        <v>-1285.546881048914</v>
      </c>
      <c r="P2519">
        <f>-628.025828397742 -166.272282579498 -215.329958295184</f>
        <v>-1009.628069272424</v>
      </c>
      <c r="Q2519">
        <f>-444.787610283838 -34.6136864312948 -270.451005701397</f>
        <v>-749.85230241652971</v>
      </c>
      <c r="R2519" t="s">
        <v>49157</v>
      </c>
      <c r="S2519" t="s">
        <v>49158</v>
      </c>
      <c r="T2519" t="s">
        <v>49159</v>
      </c>
      <c r="U2519" t="s">
        <v>49160</v>
      </c>
      <c r="V2519">
        <f>-583.594846021117 -38.887023007798 -91.4715914672125</f>
        <v>-713.95346049612749</v>
      </c>
      <c r="W2519" t="s">
        <v>49161</v>
      </c>
      <c r="X2519" t="s">
        <v>49162</v>
      </c>
      <c r="Y2519" t="s">
        <v>49163</v>
      </c>
    </row>
    <row r="2520" spans="1:25" x14ac:dyDescent="0.3">
      <c r="A2520">
        <v>125950</v>
      </c>
      <c r="B2520" t="s">
        <v>49164</v>
      </c>
      <c r="C2520" t="s">
        <v>49165</v>
      </c>
      <c r="D2520" t="s">
        <v>49166</v>
      </c>
      <c r="E2520" t="s">
        <v>49167</v>
      </c>
      <c r="F2520" t="s">
        <v>49168</v>
      </c>
      <c r="G2520" t="s">
        <v>49169</v>
      </c>
      <c r="H2520" t="s">
        <v>49170</v>
      </c>
      <c r="I2520" t="s">
        <v>49171</v>
      </c>
      <c r="J2520" t="s">
        <v>49172</v>
      </c>
      <c r="K2520" t="s">
        <v>49173</v>
      </c>
      <c r="L2520" t="s">
        <v>49174</v>
      </c>
      <c r="M2520" t="s">
        <v>49175</v>
      </c>
      <c r="N2520" t="s">
        <v>49176</v>
      </c>
      <c r="O2520">
        <f>-649.843544118555 -140.948036967447 -495.473180140514</f>
        <v>-1286.2647612265159</v>
      </c>
      <c r="P2520">
        <f>-629.50829256664 -166.873341801048 -215.30722499785</f>
        <v>-1011.688859365538</v>
      </c>
      <c r="Q2520">
        <f>-445.72120953965 -35.2608390413784 -268.683496101693</f>
        <v>-749.66554468272136</v>
      </c>
      <c r="R2520" t="s">
        <v>49177</v>
      </c>
      <c r="S2520" t="s">
        <v>49178</v>
      </c>
      <c r="T2520" t="s">
        <v>49179</v>
      </c>
      <c r="U2520" t="s">
        <v>49180</v>
      </c>
      <c r="V2520">
        <f>-583.806242528903 -39.2896127429892 -91.5091748959778</f>
        <v>-714.60503016787004</v>
      </c>
      <c r="W2520" t="s">
        <v>49181</v>
      </c>
      <c r="X2520" t="s">
        <v>49182</v>
      </c>
      <c r="Y2520" t="s">
        <v>49183</v>
      </c>
    </row>
    <row r="2521" spans="1:25" x14ac:dyDescent="0.3">
      <c r="A2521">
        <v>126000</v>
      </c>
      <c r="B2521" t="s">
        <v>49184</v>
      </c>
      <c r="C2521" t="s">
        <v>49185</v>
      </c>
      <c r="D2521" t="s">
        <v>49186</v>
      </c>
      <c r="E2521" t="s">
        <v>49187</v>
      </c>
      <c r="F2521" t="s">
        <v>49188</v>
      </c>
      <c r="G2521" t="s">
        <v>49189</v>
      </c>
      <c r="H2521" t="s">
        <v>49190</v>
      </c>
      <c r="I2521" t="s">
        <v>49191</v>
      </c>
      <c r="J2521" t="s">
        <v>49192</v>
      </c>
      <c r="K2521" t="s">
        <v>49193</v>
      </c>
      <c r="L2521" t="s">
        <v>49194</v>
      </c>
      <c r="M2521" t="s">
        <v>49195</v>
      </c>
      <c r="N2521" t="s">
        <v>49196</v>
      </c>
      <c r="O2521">
        <f>-651.041430197643 -141.685906193088 -495.358695039884</f>
        <v>-1288.0860314306149</v>
      </c>
      <c r="P2521">
        <f>-632.526358208524 -168.050997121559 -215.107772404225</f>
        <v>-1015.685127734308</v>
      </c>
      <c r="Q2521">
        <f>-447.878331327691 -36.7844709501976 -266.320593121612</f>
        <v>-750.98339539950052</v>
      </c>
      <c r="R2521" t="s">
        <v>49197</v>
      </c>
      <c r="S2521" t="s">
        <v>49198</v>
      </c>
      <c r="T2521" t="s">
        <v>49199</v>
      </c>
      <c r="U2521" t="s">
        <v>49200</v>
      </c>
      <c r="V2521">
        <f>-584.162920167403 -40.1883217219663 -91.5450263938558</f>
        <v>-715.89626828322503</v>
      </c>
      <c r="W2521" t="s">
        <v>49201</v>
      </c>
      <c r="X2521" t="s">
        <v>49202</v>
      </c>
      <c r="Y2521" t="s">
        <v>49203</v>
      </c>
    </row>
    <row r="2522" spans="1:25" x14ac:dyDescent="0.3">
      <c r="A2522">
        <v>126050</v>
      </c>
      <c r="B2522" t="s">
        <v>49204</v>
      </c>
      <c r="C2522" t="s">
        <v>49205</v>
      </c>
      <c r="D2522" t="s">
        <v>49206</v>
      </c>
      <c r="E2522" t="s">
        <v>49207</v>
      </c>
      <c r="F2522" t="s">
        <v>49208</v>
      </c>
      <c r="G2522" t="s">
        <v>49209</v>
      </c>
      <c r="H2522" t="s">
        <v>49210</v>
      </c>
      <c r="I2522" t="s">
        <v>49211</v>
      </c>
      <c r="J2522" t="s">
        <v>49212</v>
      </c>
      <c r="K2522" t="s">
        <v>49213</v>
      </c>
      <c r="L2522" t="s">
        <v>49214</v>
      </c>
      <c r="M2522" t="s">
        <v>49215</v>
      </c>
      <c r="N2522" t="s">
        <v>49216</v>
      </c>
      <c r="O2522">
        <f>-651.902460522256 -141.917512814143 -495.258687189011</f>
        <v>-1289.07866052541</v>
      </c>
      <c r="P2522">
        <f>-633.741030747314 -167.958135636777 -214.954211574295</f>
        <v>-1016.6533779583859</v>
      </c>
      <c r="Q2522">
        <f>-449.014242652877 -36.8027459365046 -266.167926585396</f>
        <v>-751.9849151747776</v>
      </c>
      <c r="R2522" t="s">
        <v>49217</v>
      </c>
      <c r="S2522" t="s">
        <v>49218</v>
      </c>
      <c r="T2522" t="s">
        <v>49219</v>
      </c>
      <c r="U2522" t="s">
        <v>49220</v>
      </c>
      <c r="V2522">
        <f>-584.300697894242 -40.5656287016095 -91.5748642393252</f>
        <v>-716.44119083517671</v>
      </c>
      <c r="W2522" t="s">
        <v>49221</v>
      </c>
      <c r="X2522" t="s">
        <v>49222</v>
      </c>
      <c r="Y2522" t="s">
        <v>49223</v>
      </c>
    </row>
    <row r="2523" spans="1:25" x14ac:dyDescent="0.3">
      <c r="A2523">
        <v>126100</v>
      </c>
      <c r="B2523" t="s">
        <v>49224</v>
      </c>
      <c r="C2523" t="s">
        <v>49225</v>
      </c>
      <c r="D2523" t="s">
        <v>49226</v>
      </c>
      <c r="E2523" t="s">
        <v>49227</v>
      </c>
      <c r="F2523" t="s">
        <v>49228</v>
      </c>
      <c r="G2523" t="s">
        <v>49229</v>
      </c>
      <c r="H2523" t="s">
        <v>49230</v>
      </c>
      <c r="I2523" t="s">
        <v>49231</v>
      </c>
      <c r="J2523" t="s">
        <v>49232</v>
      </c>
      <c r="K2523" t="s">
        <v>49233</v>
      </c>
      <c r="L2523" t="s">
        <v>49234</v>
      </c>
      <c r="M2523" t="s">
        <v>49235</v>
      </c>
      <c r="N2523" t="s">
        <v>49236</v>
      </c>
      <c r="O2523">
        <f>-653.834586975037 -142.383938646945 -494.845744131866</f>
        <v>-1291.0642697538481</v>
      </c>
      <c r="P2523">
        <f>-635.571730823685 -167.486735954868 -214.462264654873</f>
        <v>-1017.520731433426</v>
      </c>
      <c r="Q2523">
        <f>-450.829007860995 -36.6835607277476 -266.511965583635</f>
        <v>-754.02453417237757</v>
      </c>
      <c r="R2523" t="s">
        <v>49237</v>
      </c>
      <c r="S2523" t="s">
        <v>49238</v>
      </c>
      <c r="T2523" t="s">
        <v>49239</v>
      </c>
      <c r="U2523" t="s">
        <v>49240</v>
      </c>
      <c r="V2523">
        <f>-584.801587902111 -41.2425224030749 -91.6226988098947</f>
        <v>-717.66680911508058</v>
      </c>
      <c r="W2523" t="s">
        <v>49241</v>
      </c>
      <c r="X2523" t="s">
        <v>49242</v>
      </c>
      <c r="Y2523" t="s">
        <v>49243</v>
      </c>
    </row>
    <row r="2524" spans="1:25" x14ac:dyDescent="0.3">
      <c r="A2524">
        <v>126150</v>
      </c>
      <c r="B2524" t="s">
        <v>49244</v>
      </c>
      <c r="C2524" t="s">
        <v>49245</v>
      </c>
      <c r="D2524" t="s">
        <v>49246</v>
      </c>
      <c r="E2524" t="s">
        <v>49247</v>
      </c>
      <c r="F2524" t="s">
        <v>49248</v>
      </c>
      <c r="G2524" t="s">
        <v>49249</v>
      </c>
      <c r="H2524" t="s">
        <v>49250</v>
      </c>
      <c r="I2524" t="s">
        <v>49251</v>
      </c>
      <c r="J2524" t="s">
        <v>49252</v>
      </c>
      <c r="K2524" t="s">
        <v>49253</v>
      </c>
      <c r="L2524" t="s">
        <v>49254</v>
      </c>
      <c r="M2524" t="s">
        <v>49255</v>
      </c>
      <c r="N2524" t="s">
        <v>49256</v>
      </c>
      <c r="O2524">
        <f>-654.737754897481 -142.52814329945 -494.732102368125</f>
        <v>-1291.9980005650559</v>
      </c>
      <c r="P2524">
        <f>-636.244340157697 -167.513204461795 -214.353199958152</f>
        <v>-1018.110744577644</v>
      </c>
      <c r="Q2524">
        <f>-451.482367513574 -36.8794766751901 -266.758771721195</f>
        <v>-755.12061590995904</v>
      </c>
      <c r="R2524" t="s">
        <v>49257</v>
      </c>
      <c r="S2524" t="s">
        <v>49258</v>
      </c>
      <c r="T2524" t="s">
        <v>49259</v>
      </c>
      <c r="U2524" t="s">
        <v>49260</v>
      </c>
      <c r="V2524">
        <f>-585.039974103798 -41.5579806699441 -91.6394125239879</f>
        <v>-718.23736729772997</v>
      </c>
      <c r="W2524" t="s">
        <v>49261</v>
      </c>
      <c r="X2524" t="s">
        <v>49262</v>
      </c>
      <c r="Y2524" t="s">
        <v>49263</v>
      </c>
    </row>
    <row r="2525" spans="1:25" x14ac:dyDescent="0.3">
      <c r="A2525">
        <v>126200</v>
      </c>
      <c r="B2525" t="s">
        <v>49264</v>
      </c>
      <c r="C2525" t="s">
        <v>49265</v>
      </c>
      <c r="D2525" t="s">
        <v>49266</v>
      </c>
      <c r="E2525" t="s">
        <v>49267</v>
      </c>
      <c r="F2525" t="s">
        <v>49268</v>
      </c>
      <c r="G2525" t="s">
        <v>49269</v>
      </c>
      <c r="H2525" t="s">
        <v>49270</v>
      </c>
      <c r="I2525" t="s">
        <v>49271</v>
      </c>
      <c r="J2525" t="s">
        <v>49272</v>
      </c>
      <c r="K2525" t="s">
        <v>49273</v>
      </c>
      <c r="L2525" t="s">
        <v>49274</v>
      </c>
      <c r="M2525" t="s">
        <v>49275</v>
      </c>
      <c r="N2525" t="s">
        <v>49276</v>
      </c>
      <c r="O2525">
        <f>-655.795061505055 -142.600451282613 -494.82217119978</f>
        <v>-1293.2176839874478</v>
      </c>
      <c r="P2525">
        <f>-636.815039860276 -167.877311690901 -214.501898860042</f>
        <v>-1019.1942504112189</v>
      </c>
      <c r="Q2525">
        <f>-451.898957582285 -37.7606333929443 -267.645416165595</f>
        <v>-757.30500714082427</v>
      </c>
      <c r="R2525" t="s">
        <v>49277</v>
      </c>
      <c r="S2525" t="s">
        <v>49278</v>
      </c>
      <c r="T2525" t="s">
        <v>49279</v>
      </c>
      <c r="U2525" t="s">
        <v>49280</v>
      </c>
      <c r="V2525">
        <f>-585.2219789966 -41.9252604076744 -91.6535934636114</f>
        <v>-718.80083286788579</v>
      </c>
      <c r="W2525" t="s">
        <v>49281</v>
      </c>
      <c r="X2525" t="s">
        <v>49282</v>
      </c>
      <c r="Y2525" t="s">
        <v>49283</v>
      </c>
    </row>
    <row r="2526" spans="1:25" x14ac:dyDescent="0.3">
      <c r="A2526">
        <v>126250</v>
      </c>
      <c r="B2526" t="s">
        <v>49284</v>
      </c>
      <c r="C2526" t="s">
        <v>49285</v>
      </c>
      <c r="D2526" t="s">
        <v>49286</v>
      </c>
      <c r="E2526" t="s">
        <v>49287</v>
      </c>
      <c r="F2526" t="s">
        <v>49288</v>
      </c>
      <c r="G2526" t="s">
        <v>49289</v>
      </c>
      <c r="H2526" t="s">
        <v>49290</v>
      </c>
      <c r="I2526" t="s">
        <v>49291</v>
      </c>
      <c r="J2526" t="s">
        <v>49292</v>
      </c>
      <c r="K2526" t="s">
        <v>49293</v>
      </c>
      <c r="L2526" t="s">
        <v>49294</v>
      </c>
      <c r="M2526" t="s">
        <v>49295</v>
      </c>
      <c r="N2526" t="s">
        <v>49296</v>
      </c>
      <c r="O2526">
        <f>-655.985415150882 -142.759130750332 -494.892285620914</f>
        <v>-1293.636831522128</v>
      </c>
      <c r="P2526">
        <f>-637.111245652957 -168.06866982337 -214.567883330103</f>
        <v>-1019.74779880643</v>
      </c>
      <c r="Q2526">
        <f>-451.89514885494 -38.5965835090378 -268.238491283963</f>
        <v>-758.73022364794087</v>
      </c>
      <c r="R2526" t="s">
        <v>49297</v>
      </c>
      <c r="S2526" t="s">
        <v>49298</v>
      </c>
      <c r="T2526" t="s">
        <v>49299</v>
      </c>
      <c r="U2526" t="s">
        <v>49300</v>
      </c>
      <c r="V2526">
        <f>-585.218625973075 -42.1270726464873 -91.668332930187</f>
        <v>-719.01403154974923</v>
      </c>
      <c r="W2526" t="s">
        <v>49301</v>
      </c>
      <c r="X2526" t="s">
        <v>49302</v>
      </c>
      <c r="Y2526" t="s">
        <v>49303</v>
      </c>
    </row>
    <row r="2527" spans="1:25" x14ac:dyDescent="0.3">
      <c r="A2527">
        <v>126300</v>
      </c>
      <c r="B2527" t="s">
        <v>49304</v>
      </c>
      <c r="C2527" t="s">
        <v>49305</v>
      </c>
      <c r="D2527" t="s">
        <v>49306</v>
      </c>
      <c r="E2527" t="s">
        <v>49307</v>
      </c>
      <c r="F2527" t="s">
        <v>49308</v>
      </c>
      <c r="G2527" t="s">
        <v>49309</v>
      </c>
      <c r="H2527" t="s">
        <v>49310</v>
      </c>
      <c r="I2527" t="s">
        <v>49311</v>
      </c>
      <c r="J2527" t="s">
        <v>49312</v>
      </c>
      <c r="K2527" t="s">
        <v>49313</v>
      </c>
      <c r="L2527" t="s">
        <v>49314</v>
      </c>
      <c r="M2527" t="s">
        <v>49315</v>
      </c>
      <c r="N2527" t="s">
        <v>49316</v>
      </c>
      <c r="O2527">
        <f>-656.10852030718 -143.069996365694 -494.886381983308</f>
        <v>-1294.0648986561821</v>
      </c>
      <c r="P2527">
        <f>-637.466914854603 -167.792812546481 -214.493890383594</f>
        <v>-1019.7536177846781</v>
      </c>
      <c r="Q2527">
        <f>-451.301295844115 -40.069071476692 -269.060724964311</f>
        <v>-760.43109228511798</v>
      </c>
      <c r="R2527" t="s">
        <v>49317</v>
      </c>
      <c r="S2527" t="s">
        <v>49318</v>
      </c>
      <c r="T2527" t="s">
        <v>49319</v>
      </c>
      <c r="U2527" t="s">
        <v>49320</v>
      </c>
      <c r="V2527">
        <f>-585.054684033148 -42.4528962226243 -91.6785087833666</f>
        <v>-719.18608903913889</v>
      </c>
      <c r="W2527" t="s">
        <v>49321</v>
      </c>
      <c r="X2527" t="s">
        <v>49322</v>
      </c>
      <c r="Y2527" t="s">
        <v>49323</v>
      </c>
    </row>
    <row r="2528" spans="1:25" x14ac:dyDescent="0.3">
      <c r="A2528">
        <v>126350</v>
      </c>
      <c r="B2528" t="s">
        <v>49324</v>
      </c>
      <c r="C2528" t="s">
        <v>49325</v>
      </c>
      <c r="D2528" t="s">
        <v>49326</v>
      </c>
      <c r="E2528" t="s">
        <v>49327</v>
      </c>
      <c r="F2528" t="s">
        <v>49328</v>
      </c>
      <c r="G2528" t="s">
        <v>49329</v>
      </c>
      <c r="H2528" t="s">
        <v>49330</v>
      </c>
      <c r="I2528" t="s">
        <v>49331</v>
      </c>
      <c r="J2528" t="s">
        <v>49332</v>
      </c>
      <c r="K2528" t="s">
        <v>49333</v>
      </c>
      <c r="L2528" t="s">
        <v>49334</v>
      </c>
      <c r="M2528" t="s">
        <v>49335</v>
      </c>
      <c r="N2528" t="s">
        <v>49336</v>
      </c>
      <c r="O2528">
        <f>-656.184210455156 -143.24119415105 -494.808448432022</f>
        <v>-1294.2338530382278</v>
      </c>
      <c r="P2528">
        <f>-637.610142296202 -167.640889039868 -214.3832423125</f>
        <v>-1019.6342736485699</v>
      </c>
      <c r="Q2528">
        <f>-450.921348364095 -40.8246609310002 -269.277681012717</f>
        <v>-761.02369030781222</v>
      </c>
      <c r="R2528" t="s">
        <v>49337</v>
      </c>
      <c r="S2528" t="s">
        <v>49338</v>
      </c>
      <c r="T2528" t="s">
        <v>49339</v>
      </c>
      <c r="U2528" t="s">
        <v>49340</v>
      </c>
      <c r="V2528">
        <f>-584.943237281268 -42.6609027194543 -91.6682837059435</f>
        <v>-719.27242370666579</v>
      </c>
      <c r="W2528" t="s">
        <v>49341</v>
      </c>
      <c r="X2528" t="s">
        <v>49342</v>
      </c>
      <c r="Y2528" t="s">
        <v>49343</v>
      </c>
    </row>
    <row r="2529" spans="1:25" x14ac:dyDescent="0.3">
      <c r="A2529">
        <v>126400</v>
      </c>
      <c r="B2529" t="s">
        <v>49344</v>
      </c>
      <c r="C2529" t="s">
        <v>49345</v>
      </c>
      <c r="D2529" t="s">
        <v>49346</v>
      </c>
      <c r="E2529" t="s">
        <v>49347</v>
      </c>
      <c r="F2529" t="s">
        <v>49348</v>
      </c>
      <c r="G2529" t="s">
        <v>49349</v>
      </c>
      <c r="H2529" t="s">
        <v>49350</v>
      </c>
      <c r="I2529" t="s">
        <v>49351</v>
      </c>
      <c r="J2529" t="s">
        <v>49352</v>
      </c>
      <c r="K2529" t="s">
        <v>49353</v>
      </c>
      <c r="L2529" t="s">
        <v>49354</v>
      </c>
      <c r="M2529" t="s">
        <v>49355</v>
      </c>
      <c r="N2529" t="s">
        <v>49356</v>
      </c>
      <c r="O2529">
        <f>-656.51568496325 -143.761523733237 -494.540900811411</f>
        <v>-1294.818109507898</v>
      </c>
      <c r="P2529">
        <f>-637.972605696935 -167.511318486843 -214.05802393147</f>
        <v>-1019.541948115248</v>
      </c>
      <c r="Q2529">
        <f>-450.367580786292 -42.5359084670097 -270.040514006256</f>
        <v>-762.94400325955769</v>
      </c>
      <c r="R2529" t="s">
        <v>49357</v>
      </c>
      <c r="S2529" t="s">
        <v>49358</v>
      </c>
      <c r="T2529" t="s">
        <v>49359</v>
      </c>
      <c r="U2529" t="s">
        <v>49360</v>
      </c>
      <c r="V2529">
        <f>-584.575107034302 -43.0136365769413 -91.6352708240647</f>
        <v>-719.22401443530805</v>
      </c>
      <c r="W2529" t="s">
        <v>49361</v>
      </c>
      <c r="X2529" t="s">
        <v>49362</v>
      </c>
      <c r="Y2529" t="s">
        <v>49363</v>
      </c>
    </row>
    <row r="2530" spans="1:25" x14ac:dyDescent="0.3">
      <c r="A2530">
        <v>126450</v>
      </c>
      <c r="B2530" t="s">
        <v>49364</v>
      </c>
      <c r="C2530" t="s">
        <v>49365</v>
      </c>
      <c r="D2530" t="s">
        <v>49366</v>
      </c>
      <c r="E2530" t="s">
        <v>49367</v>
      </c>
      <c r="F2530" t="s">
        <v>49368</v>
      </c>
      <c r="G2530" t="s">
        <v>49369</v>
      </c>
      <c r="H2530" t="s">
        <v>49370</v>
      </c>
      <c r="I2530" t="s">
        <v>49371</v>
      </c>
      <c r="J2530" t="s">
        <v>49372</v>
      </c>
      <c r="K2530" t="s">
        <v>49373</v>
      </c>
      <c r="L2530" t="s">
        <v>49374</v>
      </c>
      <c r="M2530" t="s">
        <v>49375</v>
      </c>
      <c r="N2530" t="s">
        <v>49376</v>
      </c>
      <c r="O2530">
        <f>-656.667919148038 -144.049083435779 -494.338691884336</f>
        <v>-1295.055694468153</v>
      </c>
      <c r="P2530">
        <f>-638.000708286965 -167.555302008156 -213.84349518721</f>
        <v>-1019.3995054823311</v>
      </c>
      <c r="Q2530">
        <f>-450.056961860039 -43.5022974559306 -270.734227575716</f>
        <v>-764.29348689168557</v>
      </c>
      <c r="R2530" t="s">
        <v>49377</v>
      </c>
      <c r="S2530" t="s">
        <v>49378</v>
      </c>
      <c r="T2530" t="s">
        <v>49379</v>
      </c>
      <c r="U2530" t="s">
        <v>49380</v>
      </c>
      <c r="V2530">
        <f>-584.239935503842 -43.1314841566821 -91.5833815924866</f>
        <v>-718.95480125301071</v>
      </c>
      <c r="W2530" t="s">
        <v>49381</v>
      </c>
      <c r="X2530" t="s">
        <v>49382</v>
      </c>
      <c r="Y2530" t="s">
        <v>49383</v>
      </c>
    </row>
    <row r="2531" spans="1:25" x14ac:dyDescent="0.3">
      <c r="A2531">
        <v>126500</v>
      </c>
      <c r="B2531" t="s">
        <v>49384</v>
      </c>
      <c r="C2531" t="s">
        <v>49385</v>
      </c>
      <c r="D2531" t="s">
        <v>49386</v>
      </c>
      <c r="E2531" t="s">
        <v>49387</v>
      </c>
      <c r="F2531" t="s">
        <v>49388</v>
      </c>
      <c r="G2531" t="s">
        <v>49389</v>
      </c>
      <c r="H2531" t="s">
        <v>49390</v>
      </c>
      <c r="I2531" t="s">
        <v>49391</v>
      </c>
      <c r="J2531" t="s">
        <v>49392</v>
      </c>
      <c r="K2531" t="s">
        <v>49393</v>
      </c>
      <c r="L2531" t="s">
        <v>49394</v>
      </c>
      <c r="M2531" t="s">
        <v>49395</v>
      </c>
      <c r="N2531" t="s">
        <v>49396</v>
      </c>
      <c r="O2531">
        <f>-656.602725146336 -144.441671513256 -493.799042674076</f>
        <v>-1294.8434393336679</v>
      </c>
      <c r="P2531">
        <f>-637.496052086234 -167.410520692856 -213.288945935538</f>
        <v>-1018.1955187146281</v>
      </c>
      <c r="Q2531">
        <f>-448.733449705101 -45.7284982302758 -272.539907203683</f>
        <v>-767.0018551390599</v>
      </c>
      <c r="R2531" t="s">
        <v>49397</v>
      </c>
      <c r="S2531" t="s">
        <v>49398</v>
      </c>
      <c r="T2531" t="s">
        <v>49399</v>
      </c>
      <c r="U2531" t="s">
        <v>49400</v>
      </c>
      <c r="V2531">
        <f>-583.463491547419 -43.10855156452 -91.4584069451614</f>
        <v>-718.03045005710044</v>
      </c>
      <c r="W2531" t="s">
        <v>49401</v>
      </c>
      <c r="X2531" t="s">
        <v>49402</v>
      </c>
      <c r="Y2531" t="s">
        <v>49403</v>
      </c>
    </row>
    <row r="2532" spans="1:25" x14ac:dyDescent="0.3">
      <c r="A2532">
        <v>126550</v>
      </c>
      <c r="B2532" t="s">
        <v>49404</v>
      </c>
      <c r="C2532" t="s">
        <v>49405</v>
      </c>
      <c r="D2532" t="s">
        <v>49406</v>
      </c>
      <c r="E2532" t="s">
        <v>49407</v>
      </c>
      <c r="F2532" t="s">
        <v>49408</v>
      </c>
      <c r="G2532" t="s">
        <v>49409</v>
      </c>
      <c r="H2532" t="s">
        <v>49410</v>
      </c>
      <c r="I2532" t="s">
        <v>49411</v>
      </c>
      <c r="J2532" t="s">
        <v>49412</v>
      </c>
      <c r="K2532" t="s">
        <v>49413</v>
      </c>
      <c r="L2532" t="s">
        <v>49414</v>
      </c>
      <c r="M2532" t="s">
        <v>49415</v>
      </c>
      <c r="N2532" t="s">
        <v>49416</v>
      </c>
      <c r="O2532">
        <f>-656.510025838232 -144.526733989549 -493.502694132945</f>
        <v>-1294.539453960726</v>
      </c>
      <c r="P2532">
        <f>-637.168946791383 -167.029911653839 -212.970858957276</f>
        <v>-1017.169717402498</v>
      </c>
      <c r="Q2532">
        <f>-448.024060205367 -46.5657092884999 -273.478087459941</f>
        <v>-768.0678569538079</v>
      </c>
      <c r="R2532" t="s">
        <v>49417</v>
      </c>
      <c r="S2532" t="s">
        <v>49418</v>
      </c>
      <c r="T2532" t="s">
        <v>49419</v>
      </c>
      <c r="U2532" t="s">
        <v>49420</v>
      </c>
      <c r="V2532">
        <f>-583.041768944255 -43.0347523198702 -91.3936941094279</f>
        <v>-717.47021537355306</v>
      </c>
      <c r="W2532" t="s">
        <v>49421</v>
      </c>
      <c r="X2532" t="s">
        <v>49422</v>
      </c>
      <c r="Y2532" t="s">
        <v>49423</v>
      </c>
    </row>
    <row r="2533" spans="1:25" x14ac:dyDescent="0.3">
      <c r="A2533">
        <v>126600</v>
      </c>
      <c r="B2533" t="s">
        <v>49424</v>
      </c>
      <c r="C2533" t="s">
        <v>49425</v>
      </c>
      <c r="D2533" t="s">
        <v>49426</v>
      </c>
      <c r="E2533" t="s">
        <v>49427</v>
      </c>
      <c r="F2533" t="s">
        <v>49428</v>
      </c>
      <c r="G2533" t="s">
        <v>49429</v>
      </c>
      <c r="H2533" t="s">
        <v>49430</v>
      </c>
      <c r="I2533" t="s">
        <v>49431</v>
      </c>
      <c r="J2533" t="s">
        <v>49432</v>
      </c>
      <c r="K2533" t="s">
        <v>49433</v>
      </c>
      <c r="L2533" t="s">
        <v>49434</v>
      </c>
      <c r="M2533" t="s">
        <v>49435</v>
      </c>
      <c r="N2533" t="s">
        <v>49436</v>
      </c>
      <c r="O2533">
        <f>-656.486398867506 -144.949824901601 -492.914785529256</f>
        <v>-1294.3510092983629</v>
      </c>
      <c r="P2533">
        <f>-636.554216533847 -166.289091465051 -212.33341840846</f>
        <v>-1015.176726407358</v>
      </c>
      <c r="Q2533">
        <f>-446.957825680644 -47.7950473131805 -275.26893404189</f>
        <v>-770.02180703571457</v>
      </c>
      <c r="R2533" t="s">
        <v>49437</v>
      </c>
      <c r="S2533" t="s">
        <v>49438</v>
      </c>
      <c r="T2533" t="s">
        <v>49439</v>
      </c>
      <c r="U2533" t="s">
        <v>49440</v>
      </c>
      <c r="V2533">
        <f>-582.097777258617 -42.8212630990531 -91.2775153662028</f>
        <v>-716.19655572387296</v>
      </c>
      <c r="W2533" t="s">
        <v>49441</v>
      </c>
      <c r="X2533" t="s">
        <v>49442</v>
      </c>
      <c r="Y2533" t="s">
        <v>49443</v>
      </c>
    </row>
    <row r="2534" spans="1:25" x14ac:dyDescent="0.3">
      <c r="A2534">
        <v>126650</v>
      </c>
      <c r="B2534" t="s">
        <v>49444</v>
      </c>
      <c r="C2534" t="s">
        <v>49445</v>
      </c>
      <c r="D2534" t="s">
        <v>49446</v>
      </c>
      <c r="E2534" t="s">
        <v>49447</v>
      </c>
      <c r="F2534" t="s">
        <v>49448</v>
      </c>
      <c r="G2534" t="s">
        <v>49449</v>
      </c>
      <c r="H2534" t="s">
        <v>49450</v>
      </c>
      <c r="I2534" t="s">
        <v>49451</v>
      </c>
      <c r="J2534" t="s">
        <v>49452</v>
      </c>
      <c r="K2534" t="s">
        <v>49453</v>
      </c>
      <c r="L2534" t="s">
        <v>49454</v>
      </c>
      <c r="M2534" t="s">
        <v>49455</v>
      </c>
      <c r="N2534" t="s">
        <v>49456</v>
      </c>
      <c r="O2534">
        <f>-656.280897966674 -145.055180448236 -492.662447301427</f>
        <v>-1293.9985257163371</v>
      </c>
      <c r="P2534">
        <f>-635.987400480084 -166.155583209783 -212.088784677478</f>
        <v>-1014.231768367345</v>
      </c>
      <c r="Q2534">
        <f>-446.439179163038 -48.0839001149664 -275.957011104003</f>
        <v>-770.48009038200735</v>
      </c>
      <c r="R2534" t="s">
        <v>49457</v>
      </c>
      <c r="S2534" t="s">
        <v>49458</v>
      </c>
      <c r="T2534" t="s">
        <v>49459</v>
      </c>
      <c r="U2534" t="s">
        <v>49460</v>
      </c>
      <c r="V2534">
        <f>-581.594364635911 -42.8532685595655 -91.225964168238</f>
        <v>-715.67359736371452</v>
      </c>
      <c r="W2534" t="s">
        <v>49461</v>
      </c>
      <c r="X2534" t="s">
        <v>49462</v>
      </c>
      <c r="Y2534" t="s">
        <v>49463</v>
      </c>
    </row>
    <row r="2535" spans="1:25" x14ac:dyDescent="0.3">
      <c r="A2535">
        <v>126700</v>
      </c>
      <c r="B2535" t="s">
        <v>49464</v>
      </c>
      <c r="C2535" t="s">
        <v>49465</v>
      </c>
      <c r="D2535" t="s">
        <v>49466</v>
      </c>
      <c r="E2535" t="s">
        <v>49467</v>
      </c>
      <c r="F2535" t="s">
        <v>49468</v>
      </c>
      <c r="G2535" t="s">
        <v>49469</v>
      </c>
      <c r="H2535" t="s">
        <v>49470</v>
      </c>
      <c r="I2535" t="s">
        <v>49471</v>
      </c>
      <c r="J2535" t="s">
        <v>49472</v>
      </c>
      <c r="K2535" t="s">
        <v>49473</v>
      </c>
      <c r="L2535" t="s">
        <v>49474</v>
      </c>
      <c r="M2535" t="s">
        <v>49475</v>
      </c>
      <c r="N2535" t="s">
        <v>49476</v>
      </c>
      <c r="O2535">
        <f>-654.75465052858 -145.151724394818 -492.614332397923</f>
        <v>-1292.520707321321</v>
      </c>
      <c r="P2535">
        <f>-634.731366641526 -166.253359512196 -212.021423264066</f>
        <v>-1013.006149417788</v>
      </c>
      <c r="Q2535">
        <f>-445.82011999661 -48.0477777297212 -277.508377233913</f>
        <v>-771.37627496024425</v>
      </c>
      <c r="R2535" t="s">
        <v>49477</v>
      </c>
      <c r="S2535" t="s">
        <v>49478</v>
      </c>
      <c r="T2535" t="s">
        <v>49479</v>
      </c>
      <c r="U2535" t="s">
        <v>49480</v>
      </c>
      <c r="V2535">
        <f>-580.732142069389 -43.1294053657434 -91.1735378435025</f>
        <v>-715.03508527863494</v>
      </c>
      <c r="W2535" t="s">
        <v>49481</v>
      </c>
      <c r="X2535" t="s">
        <v>49482</v>
      </c>
      <c r="Y2535" t="s">
        <v>49483</v>
      </c>
    </row>
    <row r="2536" spans="1:25" x14ac:dyDescent="0.3">
      <c r="A2536">
        <v>126750</v>
      </c>
      <c r="B2536" t="s">
        <v>49484</v>
      </c>
      <c r="C2536" t="s">
        <v>49485</v>
      </c>
      <c r="D2536" t="s">
        <v>49486</v>
      </c>
      <c r="E2536" t="s">
        <v>49487</v>
      </c>
      <c r="F2536" t="s">
        <v>49488</v>
      </c>
      <c r="G2536" t="s">
        <v>49489</v>
      </c>
      <c r="H2536" t="s">
        <v>49490</v>
      </c>
      <c r="I2536" t="s">
        <v>49491</v>
      </c>
      <c r="J2536" t="s">
        <v>49492</v>
      </c>
      <c r="K2536" t="s">
        <v>49493</v>
      </c>
      <c r="L2536" t="s">
        <v>49494</v>
      </c>
      <c r="M2536" t="s">
        <v>49495</v>
      </c>
      <c r="N2536" t="s">
        <v>49496</v>
      </c>
      <c r="O2536">
        <f>-653.695431965821 -145.289307644942 -492.868278037914</f>
        <v>-1291.853017648677</v>
      </c>
      <c r="P2536">
        <f>-634.565775882421 -166.53528127787 -212.223880894232</f>
        <v>-1013.324938054523</v>
      </c>
      <c r="Q2536">
        <f>-446.176227815567 -47.7843374334623 -278.22482229576</f>
        <v>-772.18538754478936</v>
      </c>
      <c r="R2536" t="s">
        <v>49497</v>
      </c>
      <c r="S2536" t="s">
        <v>49498</v>
      </c>
      <c r="T2536" t="s">
        <v>49499</v>
      </c>
      <c r="U2536" t="s">
        <v>49500</v>
      </c>
      <c r="V2536">
        <f>-580.359619404705 -43.3584768198955 -91.1615357647623</f>
        <v>-714.87963198936279</v>
      </c>
      <c r="W2536" t="s">
        <v>49501</v>
      </c>
      <c r="X2536" t="s">
        <v>49502</v>
      </c>
      <c r="Y2536" t="s">
        <v>49503</v>
      </c>
    </row>
    <row r="2537" spans="1:25" x14ac:dyDescent="0.3">
      <c r="A2537">
        <v>126800</v>
      </c>
      <c r="B2537" t="s">
        <v>49504</v>
      </c>
      <c r="C2537" t="s">
        <v>49505</v>
      </c>
      <c r="D2537" t="s">
        <v>49506</v>
      </c>
      <c r="E2537" t="s">
        <v>49507</v>
      </c>
      <c r="F2537" t="s">
        <v>49508</v>
      </c>
      <c r="G2537" t="s">
        <v>49509</v>
      </c>
      <c r="H2537" t="s">
        <v>49510</v>
      </c>
      <c r="I2537" t="s">
        <v>49511</v>
      </c>
      <c r="J2537" t="s">
        <v>49512</v>
      </c>
      <c r="K2537" t="s">
        <v>49513</v>
      </c>
      <c r="L2537" t="s">
        <v>49514</v>
      </c>
      <c r="M2537" t="s">
        <v>49515</v>
      </c>
      <c r="N2537" t="s">
        <v>49516</v>
      </c>
      <c r="O2537">
        <f>-651.280955485814 -145.569793460524 -493.768077750721</f>
        <v>-1290.6188266970589</v>
      </c>
      <c r="P2537">
        <f>-633.901374973093 -168.031636961288 -213.104689087117</f>
        <v>-1015.0377010214979</v>
      </c>
      <c r="Q2537">
        <f>-447.617716266741 -46.1668608195432 -279.406427400063</f>
        <v>-773.19100448634731</v>
      </c>
      <c r="R2537" t="s">
        <v>49517</v>
      </c>
      <c r="S2537" t="s">
        <v>49518</v>
      </c>
      <c r="T2537" t="s">
        <v>49519</v>
      </c>
      <c r="U2537" t="s">
        <v>49520</v>
      </c>
      <c r="V2537">
        <f>-579.551371986843 -43.6854445667709 -91.1576040588895</f>
        <v>-714.3944206125035</v>
      </c>
      <c r="W2537" t="s">
        <v>49521</v>
      </c>
      <c r="X2537" t="s">
        <v>49522</v>
      </c>
      <c r="Y2537" t="s">
        <v>49523</v>
      </c>
    </row>
    <row r="2538" spans="1:25" x14ac:dyDescent="0.3">
      <c r="A2538">
        <v>126850</v>
      </c>
      <c r="B2538" t="s">
        <v>49524</v>
      </c>
      <c r="C2538" t="s">
        <v>49525</v>
      </c>
      <c r="D2538" t="s">
        <v>49526</v>
      </c>
      <c r="E2538" t="s">
        <v>49527</v>
      </c>
      <c r="F2538" t="s">
        <v>49528</v>
      </c>
      <c r="G2538" t="s">
        <v>49529</v>
      </c>
      <c r="H2538" t="s">
        <v>49530</v>
      </c>
      <c r="I2538" t="s">
        <v>49531</v>
      </c>
      <c r="J2538" t="s">
        <v>49532</v>
      </c>
      <c r="K2538" t="s">
        <v>49533</v>
      </c>
      <c r="L2538" t="s">
        <v>49534</v>
      </c>
      <c r="M2538" t="s">
        <v>49535</v>
      </c>
      <c r="N2538" t="s">
        <v>49536</v>
      </c>
      <c r="O2538">
        <f>-650.096170535814 -145.982775782601 -494.105336885127</f>
        <v>-1290.184283203542</v>
      </c>
      <c r="P2538">
        <f>-633.308787232375 -169.359376609747 -213.480418973127</f>
        <v>-1016.148582815249</v>
      </c>
      <c r="Q2538">
        <f>-448.478717979855 -45.2476066729239 -279.682243176586</f>
        <v>-773.40856782936487</v>
      </c>
      <c r="R2538" t="s">
        <v>49537</v>
      </c>
      <c r="S2538" t="s">
        <v>49538</v>
      </c>
      <c r="T2538" t="s">
        <v>49539</v>
      </c>
      <c r="U2538" t="s">
        <v>49540</v>
      </c>
      <c r="V2538">
        <f>-579.191747439651 -43.8966994872221 -91.1711831816415</f>
        <v>-714.25963010851456</v>
      </c>
      <c r="W2538" t="s">
        <v>49541</v>
      </c>
      <c r="X2538" t="s">
        <v>49542</v>
      </c>
      <c r="Y2538" t="s">
        <v>49543</v>
      </c>
    </row>
    <row r="2539" spans="1:25" x14ac:dyDescent="0.3">
      <c r="A2539">
        <v>126900</v>
      </c>
      <c r="B2539" t="s">
        <v>49544</v>
      </c>
      <c r="C2539" t="s">
        <v>49545</v>
      </c>
      <c r="D2539" t="s">
        <v>49546</v>
      </c>
      <c r="E2539" t="s">
        <v>49547</v>
      </c>
      <c r="F2539" t="s">
        <v>49548</v>
      </c>
      <c r="G2539" t="s">
        <v>49549</v>
      </c>
      <c r="H2539" t="s">
        <v>49550</v>
      </c>
      <c r="I2539" t="s">
        <v>49551</v>
      </c>
      <c r="J2539" t="s">
        <v>49552</v>
      </c>
      <c r="K2539" t="s">
        <v>49553</v>
      </c>
      <c r="L2539" t="s">
        <v>49554</v>
      </c>
      <c r="M2539" t="s">
        <v>49555</v>
      </c>
      <c r="N2539" t="s">
        <v>49556</v>
      </c>
      <c r="O2539">
        <f>-647.870730917788 -146.95221080323 -494.46293121135</f>
        <v>-1289.285872932368</v>
      </c>
      <c r="P2539">
        <f>-630.889221312058 -171.836854667075 -213.979402063123</f>
        <v>-1016.7054780422559</v>
      </c>
      <c r="Q2539">
        <f>-449.006882492703 -43.3935608923305 -280.083167854745</f>
        <v>-772.48361123977861</v>
      </c>
      <c r="R2539" t="s">
        <v>49557</v>
      </c>
      <c r="S2539" t="s">
        <v>49558</v>
      </c>
      <c r="T2539" t="s">
        <v>49559</v>
      </c>
      <c r="U2539" t="s">
        <v>49560</v>
      </c>
      <c r="V2539">
        <f>-578.517952327021 -44.3405977132836 -91.2030120690742</f>
        <v>-714.06156210937888</v>
      </c>
      <c r="W2539" t="s">
        <v>49561</v>
      </c>
      <c r="X2539" t="s">
        <v>49562</v>
      </c>
      <c r="Y2539" t="s">
        <v>49563</v>
      </c>
    </row>
    <row r="2540" spans="1:25" x14ac:dyDescent="0.3">
      <c r="A2540">
        <v>126950</v>
      </c>
      <c r="B2540" t="s">
        <v>49564</v>
      </c>
      <c r="C2540" t="s">
        <v>49565</v>
      </c>
      <c r="D2540" t="s">
        <v>49566</v>
      </c>
      <c r="E2540" t="s">
        <v>49567</v>
      </c>
      <c r="F2540" t="s">
        <v>49568</v>
      </c>
      <c r="G2540" t="s">
        <v>49569</v>
      </c>
      <c r="H2540" t="s">
        <v>49570</v>
      </c>
      <c r="I2540" t="s">
        <v>49571</v>
      </c>
      <c r="J2540" t="s">
        <v>49572</v>
      </c>
      <c r="K2540" t="s">
        <v>49573</v>
      </c>
      <c r="L2540" t="s">
        <v>49574</v>
      </c>
      <c r="M2540" t="s">
        <v>49575</v>
      </c>
      <c r="N2540" t="s">
        <v>49576</v>
      </c>
      <c r="O2540">
        <f>-647.110249785937 -147.353346993367 -494.562061788421</f>
        <v>-1289.025658567725</v>
      </c>
      <c r="P2540">
        <f>-629.428392775702 -172.919685296802 -214.183130327014</f>
        <v>-1016.5312083995179</v>
      </c>
      <c r="Q2540">
        <f>-449.173006482251 -42.2618942874071 -280.402867213902</f>
        <v>-771.83776798356018</v>
      </c>
      <c r="R2540" t="s">
        <v>49577</v>
      </c>
      <c r="S2540" t="s">
        <v>49578</v>
      </c>
      <c r="T2540" t="s">
        <v>49579</v>
      </c>
      <c r="U2540" t="s">
        <v>49580</v>
      </c>
      <c r="V2540">
        <f>-578.254918374661 -44.5143923734483 -91.2115647603491</f>
        <v>-713.98087550845844</v>
      </c>
      <c r="W2540" t="s">
        <v>49581</v>
      </c>
      <c r="X2540" t="s">
        <v>49582</v>
      </c>
      <c r="Y2540" t="s">
        <v>49583</v>
      </c>
    </row>
    <row r="2541" spans="1:25" x14ac:dyDescent="0.3">
      <c r="A2541">
        <v>127000</v>
      </c>
      <c r="B2541" t="s">
        <v>49584</v>
      </c>
      <c r="C2541" t="s">
        <v>49585</v>
      </c>
      <c r="D2541" t="s">
        <v>49586</v>
      </c>
      <c r="E2541" t="s">
        <v>49587</v>
      </c>
      <c r="F2541" t="s">
        <v>49588</v>
      </c>
      <c r="G2541" t="s">
        <v>49589</v>
      </c>
      <c r="H2541" t="s">
        <v>49590</v>
      </c>
      <c r="I2541" t="s">
        <v>49591</v>
      </c>
      <c r="J2541" t="s">
        <v>49592</v>
      </c>
      <c r="K2541" t="s">
        <v>49593</v>
      </c>
      <c r="L2541" t="s">
        <v>49594</v>
      </c>
      <c r="M2541" t="s">
        <v>49595</v>
      </c>
      <c r="N2541" t="s">
        <v>49596</v>
      </c>
      <c r="O2541">
        <f>-645.817175559938 -147.629441624115 -494.870525288132</f>
        <v>-1288.317142472185</v>
      </c>
      <c r="P2541">
        <f>-626.521104957577 -174.364267315867 -214.707265536412</f>
        <v>-1015.592637809856</v>
      </c>
      <c r="Q2541">
        <f>-449.723391843377 -39.3195234036421 -281.445987803219</f>
        <v>-770.48890305023815</v>
      </c>
      <c r="R2541" t="s">
        <v>49597</v>
      </c>
      <c r="S2541" t="s">
        <v>49598</v>
      </c>
      <c r="T2541" t="s">
        <v>49599</v>
      </c>
      <c r="U2541" t="s">
        <v>49600</v>
      </c>
      <c r="V2541">
        <f>-577.918672100266 -44.5273867093654 -91.1931235245306</f>
        <v>-713.639182334162</v>
      </c>
      <c r="W2541" t="s">
        <v>49601</v>
      </c>
      <c r="X2541" t="s">
        <v>49602</v>
      </c>
      <c r="Y2541" t="s">
        <v>49603</v>
      </c>
    </row>
    <row r="2542" spans="1:25" x14ac:dyDescent="0.3">
      <c r="A2542">
        <v>127050</v>
      </c>
      <c r="B2542" t="s">
        <v>49604</v>
      </c>
      <c r="C2542" t="s">
        <v>49605</v>
      </c>
      <c r="D2542" t="s">
        <v>49606</v>
      </c>
      <c r="E2542" t="s">
        <v>49607</v>
      </c>
      <c r="F2542" t="s">
        <v>49608</v>
      </c>
      <c r="G2542" t="s">
        <v>49609</v>
      </c>
      <c r="H2542" t="s">
        <v>49610</v>
      </c>
      <c r="I2542" t="s">
        <v>49611</v>
      </c>
      <c r="J2542" t="s">
        <v>49612</v>
      </c>
      <c r="K2542" t="s">
        <v>49613</v>
      </c>
      <c r="L2542" t="s">
        <v>49614</v>
      </c>
      <c r="M2542" t="s">
        <v>49615</v>
      </c>
      <c r="N2542" t="s">
        <v>49616</v>
      </c>
      <c r="O2542">
        <f>-645.262959241333 -147.738006404167 -495.018829781945</f>
        <v>-1288.0197954274449</v>
      </c>
      <c r="P2542">
        <f>-625.118675549318 -175.176797653717 -214.983240178335</f>
        <v>-1015.27871338137</v>
      </c>
      <c r="Q2542">
        <f>-450.199823248903 -37.8032724069888 -281.919402877386</f>
        <v>-769.9224985332778</v>
      </c>
      <c r="R2542" t="s">
        <v>49617</v>
      </c>
      <c r="S2542" t="s">
        <v>49618</v>
      </c>
      <c r="T2542" t="s">
        <v>49619</v>
      </c>
      <c r="U2542" t="s">
        <v>49620</v>
      </c>
      <c r="V2542">
        <f>-577.785776519803 -44.4643688521537 -91.19026422449</f>
        <v>-713.44040959644667</v>
      </c>
      <c r="W2542" t="s">
        <v>49621</v>
      </c>
      <c r="X2542" t="s">
        <v>49622</v>
      </c>
      <c r="Y2542" t="s">
        <v>49623</v>
      </c>
    </row>
    <row r="2543" spans="1:25" x14ac:dyDescent="0.3">
      <c r="A2543">
        <v>127100</v>
      </c>
      <c r="B2543" t="s">
        <v>49624</v>
      </c>
      <c r="C2543" t="s">
        <v>49625</v>
      </c>
      <c r="D2543" t="s">
        <v>49626</v>
      </c>
      <c r="E2543" t="s">
        <v>49627</v>
      </c>
      <c r="F2543" t="s">
        <v>49628</v>
      </c>
      <c r="G2543" t="s">
        <v>49629</v>
      </c>
      <c r="H2543" t="s">
        <v>49630</v>
      </c>
      <c r="I2543" t="s">
        <v>49631</v>
      </c>
      <c r="J2543" t="s">
        <v>49632</v>
      </c>
      <c r="K2543" t="s">
        <v>49633</v>
      </c>
      <c r="L2543" t="s">
        <v>49634</v>
      </c>
      <c r="M2543" t="s">
        <v>49635</v>
      </c>
      <c r="N2543" t="s">
        <v>49636</v>
      </c>
      <c r="O2543">
        <f>-644.679491018365 -147.973133976153 -495.218826442845</f>
        <v>-1287.871451437363</v>
      </c>
      <c r="P2543">
        <f>-622.741885402144 -176.726082829097 -215.44999464556</f>
        <v>-1014.917962876801</v>
      </c>
      <c r="Q2543">
        <f>-451.326723819333 -35.1794616868822 -282.754751174812</f>
        <v>-769.26093668102715</v>
      </c>
      <c r="R2543" t="s">
        <v>49637</v>
      </c>
      <c r="S2543" t="s">
        <v>49638</v>
      </c>
      <c r="T2543" t="s">
        <v>49639</v>
      </c>
      <c r="U2543" t="s">
        <v>49640</v>
      </c>
      <c r="V2543">
        <f>-577.532776629827 -44.5519436952784 -91.1701480080634</f>
        <v>-713.25486833316882</v>
      </c>
      <c r="W2543" t="s">
        <v>49641</v>
      </c>
      <c r="X2543" t="s">
        <v>49642</v>
      </c>
      <c r="Y2543" t="s">
        <v>49643</v>
      </c>
    </row>
    <row r="2544" spans="1:25" x14ac:dyDescent="0.3">
      <c r="A2544">
        <v>127150</v>
      </c>
      <c r="B2544" t="s">
        <v>49644</v>
      </c>
      <c r="C2544" t="s">
        <v>49645</v>
      </c>
      <c r="D2544" t="s">
        <v>49646</v>
      </c>
      <c r="E2544" t="s">
        <v>49647</v>
      </c>
      <c r="F2544" t="s">
        <v>49648</v>
      </c>
      <c r="G2544" t="s">
        <v>49649</v>
      </c>
      <c r="H2544" t="s">
        <v>49650</v>
      </c>
      <c r="I2544" t="s">
        <v>49651</v>
      </c>
      <c r="J2544" t="s">
        <v>49652</v>
      </c>
      <c r="K2544" t="s">
        <v>49653</v>
      </c>
      <c r="L2544" t="s">
        <v>49654</v>
      </c>
      <c r="M2544" t="s">
        <v>49655</v>
      </c>
      <c r="N2544" t="s">
        <v>49656</v>
      </c>
      <c r="O2544">
        <f>-644.335370421167 -147.978424437169 -495.315026716974</f>
        <v>-1287.62882157531</v>
      </c>
      <c r="P2544">
        <f>-621.584775812241 -177.244551727004 -215.664340582093</f>
        <v>-1014.493668121338</v>
      </c>
      <c r="Q2544">
        <f>-451.731831747694 -34.0125245958047 -283.363250183782</f>
        <v>-769.10760652728072</v>
      </c>
      <c r="R2544" t="s">
        <v>49657</v>
      </c>
      <c r="S2544" t="s">
        <v>49658</v>
      </c>
      <c r="T2544" t="s">
        <v>49659</v>
      </c>
      <c r="U2544" t="s">
        <v>49660</v>
      </c>
      <c r="V2544">
        <f>-577.293748245929 -44.5161994953569 -91.1352654484032</f>
        <v>-712.94521318968907</v>
      </c>
      <c r="W2544" t="s">
        <v>49661</v>
      </c>
      <c r="X2544" t="s">
        <v>49662</v>
      </c>
      <c r="Y2544" t="s">
        <v>49663</v>
      </c>
    </row>
    <row r="2545" spans="1:25" x14ac:dyDescent="0.3">
      <c r="A2545">
        <v>127200</v>
      </c>
      <c r="B2545" t="s">
        <v>49664</v>
      </c>
      <c r="C2545" t="s">
        <v>49665</v>
      </c>
      <c r="D2545" t="s">
        <v>49666</v>
      </c>
      <c r="E2545" t="s">
        <v>49667</v>
      </c>
      <c r="F2545" t="s">
        <v>49668</v>
      </c>
      <c r="G2545" t="s">
        <v>49669</v>
      </c>
      <c r="H2545" t="s">
        <v>49670</v>
      </c>
      <c r="I2545" t="s">
        <v>49671</v>
      </c>
      <c r="J2545" t="s">
        <v>49672</v>
      </c>
      <c r="K2545" t="s">
        <v>49673</v>
      </c>
      <c r="L2545" t="s">
        <v>49674</v>
      </c>
      <c r="M2545" t="s">
        <v>49675</v>
      </c>
      <c r="N2545" t="s">
        <v>49676</v>
      </c>
      <c r="O2545">
        <f>-643.79917787179 -147.835812701421 -495.519538369256</f>
        <v>-1287.1545289424671</v>
      </c>
      <c r="P2545">
        <f>-619.431490480338 -178.404655180099 -216.144637593814</f>
        <v>-1013.9807832542509</v>
      </c>
      <c r="Q2545">
        <f>-452.319817482837 -32.4602036541089 -284.864368076935</f>
        <v>-769.64438921388091</v>
      </c>
      <c r="R2545" t="s">
        <v>49677</v>
      </c>
      <c r="S2545" t="s">
        <v>49678</v>
      </c>
      <c r="T2545" t="s">
        <v>49679</v>
      </c>
      <c r="U2545" t="s">
        <v>49680</v>
      </c>
      <c r="V2545">
        <f>-576.787774490408 -44.4291927047209 -91.0524983697702</f>
        <v>-712.26946556489906</v>
      </c>
      <c r="W2545" t="s">
        <v>49681</v>
      </c>
      <c r="X2545" t="s">
        <v>49682</v>
      </c>
      <c r="Y2545" t="s">
        <v>49683</v>
      </c>
    </row>
    <row r="2546" spans="1:25" x14ac:dyDescent="0.3">
      <c r="A2546">
        <v>127250</v>
      </c>
      <c r="B2546" t="s">
        <v>49684</v>
      </c>
      <c r="C2546" t="s">
        <v>49685</v>
      </c>
      <c r="D2546" t="s">
        <v>49686</v>
      </c>
      <c r="E2546" t="s">
        <v>49687</v>
      </c>
      <c r="F2546" t="s">
        <v>49688</v>
      </c>
      <c r="G2546" t="s">
        <v>49689</v>
      </c>
      <c r="H2546" t="s">
        <v>49690</v>
      </c>
      <c r="I2546" t="s">
        <v>49691</v>
      </c>
      <c r="J2546" t="s">
        <v>49692</v>
      </c>
      <c r="K2546" t="s">
        <v>49693</v>
      </c>
      <c r="L2546" t="s">
        <v>49694</v>
      </c>
      <c r="M2546" t="s">
        <v>49695</v>
      </c>
      <c r="N2546" t="s">
        <v>49696</v>
      </c>
      <c r="O2546">
        <f>-643.522802038623 -147.688647114732 -495.69186813108</f>
        <v>-1286.9033172844352</v>
      </c>
      <c r="P2546">
        <f>-618.422784991066 -179.09857593616 -216.474994806817</f>
        <v>-1013.9963557340429</v>
      </c>
      <c r="Q2546">
        <f>-452.602410310311 -31.9754496214964 -285.807244603267</f>
        <v>-770.38510453507433</v>
      </c>
      <c r="R2546" t="s">
        <v>49697</v>
      </c>
      <c r="S2546" t="s">
        <v>49698</v>
      </c>
      <c r="T2546" t="s">
        <v>49699</v>
      </c>
      <c r="U2546" t="s">
        <v>49700</v>
      </c>
      <c r="V2546">
        <f>-576.605358719277 -44.3731277416839 -91.0234645693289</f>
        <v>-712.00195103028977</v>
      </c>
      <c r="W2546" t="s">
        <v>49701</v>
      </c>
      <c r="X2546" t="s">
        <v>49702</v>
      </c>
      <c r="Y2546" t="s">
        <v>49703</v>
      </c>
    </row>
    <row r="2547" spans="1:25" x14ac:dyDescent="0.3">
      <c r="A2547">
        <v>127300</v>
      </c>
      <c r="B2547" t="s">
        <v>49704</v>
      </c>
      <c r="C2547" t="s">
        <v>49705</v>
      </c>
      <c r="D2547" t="s">
        <v>49706</v>
      </c>
      <c r="E2547" t="s">
        <v>49707</v>
      </c>
      <c r="F2547" t="s">
        <v>49708</v>
      </c>
      <c r="G2547" t="s">
        <v>49709</v>
      </c>
      <c r="H2547" t="s">
        <v>49710</v>
      </c>
      <c r="I2547" t="s">
        <v>49711</v>
      </c>
      <c r="J2547" t="s">
        <v>49712</v>
      </c>
      <c r="K2547" t="s">
        <v>49713</v>
      </c>
      <c r="L2547" t="s">
        <v>49714</v>
      </c>
      <c r="M2547" t="s">
        <v>49715</v>
      </c>
      <c r="N2547" t="s">
        <v>49716</v>
      </c>
      <c r="O2547">
        <f>-643.253553736116 -147.097533664708 -496.085304722541</f>
        <v>-1286.4363921233651</v>
      </c>
      <c r="P2547">
        <f>-616.747116452839 -180.028187183515 -217.173930106226</f>
        <v>-1013.94923374258</v>
      </c>
      <c r="Q2547">
        <f>-452.956579176248 -31.1745590566777 -287.627711150175</f>
        <v>-771.75884938310071</v>
      </c>
      <c r="R2547" t="s">
        <v>49717</v>
      </c>
      <c r="S2547" t="s">
        <v>49718</v>
      </c>
      <c r="T2547" t="s">
        <v>49719</v>
      </c>
      <c r="U2547" t="s">
        <v>49720</v>
      </c>
      <c r="V2547">
        <f>-576.31967395478 -44.0615346207096 -90.9765421261534</f>
        <v>-711.357750701643</v>
      </c>
      <c r="W2547" t="s">
        <v>49721</v>
      </c>
      <c r="X2547" t="s">
        <v>49722</v>
      </c>
      <c r="Y2547" t="s">
        <v>49723</v>
      </c>
    </row>
    <row r="2548" spans="1:25" x14ac:dyDescent="0.3">
      <c r="A2548">
        <v>127350</v>
      </c>
      <c r="B2548" t="s">
        <v>49724</v>
      </c>
      <c r="C2548" t="s">
        <v>49725</v>
      </c>
      <c r="D2548" t="s">
        <v>49726</v>
      </c>
      <c r="E2548" t="s">
        <v>49727</v>
      </c>
      <c r="F2548" t="s">
        <v>49728</v>
      </c>
      <c r="G2548" t="s">
        <v>49729</v>
      </c>
      <c r="H2548" t="s">
        <v>49730</v>
      </c>
      <c r="I2548" t="s">
        <v>49731</v>
      </c>
      <c r="J2548" t="s">
        <v>49732</v>
      </c>
      <c r="K2548" t="s">
        <v>49733</v>
      </c>
      <c r="L2548" t="s">
        <v>49734</v>
      </c>
      <c r="M2548" t="s">
        <v>49735</v>
      </c>
      <c r="N2548" t="s">
        <v>49736</v>
      </c>
      <c r="O2548">
        <f>-643.25274331517 -146.877308770583 -496.282411454346</f>
        <v>-1286.412463540099</v>
      </c>
      <c r="P2548">
        <f>-616.250791788051 -180.383778341329 -217.487189784621</f>
        <v>-1014.1217599140009</v>
      </c>
      <c r="Q2548">
        <f>-453.138419475508 -31.0223375842781 -288.438066692948</f>
        <v>-772.59882375273401</v>
      </c>
      <c r="R2548" t="s">
        <v>49737</v>
      </c>
      <c r="S2548" t="s">
        <v>49738</v>
      </c>
      <c r="T2548" t="s">
        <v>49739</v>
      </c>
      <c r="U2548" t="s">
        <v>49740</v>
      </c>
      <c r="V2548">
        <f>-576.438073590285 -44.0265354863691 -90.981995308449</f>
        <v>-711.446604385103</v>
      </c>
      <c r="W2548" t="s">
        <v>49741</v>
      </c>
      <c r="X2548" t="s">
        <v>49742</v>
      </c>
      <c r="Y2548" t="s">
        <v>49743</v>
      </c>
    </row>
    <row r="2549" spans="1:25" x14ac:dyDescent="0.3">
      <c r="A2549">
        <v>127400</v>
      </c>
      <c r="B2549" t="s">
        <v>49744</v>
      </c>
      <c r="C2549" t="s">
        <v>49745</v>
      </c>
      <c r="D2549" t="s">
        <v>49746</v>
      </c>
      <c r="E2549" t="s">
        <v>49747</v>
      </c>
      <c r="F2549" t="s">
        <v>49748</v>
      </c>
      <c r="G2549" t="s">
        <v>49749</v>
      </c>
      <c r="H2549" t="s">
        <v>49750</v>
      </c>
      <c r="I2549" t="s">
        <v>49751</v>
      </c>
      <c r="J2549" t="s">
        <v>49752</v>
      </c>
      <c r="K2549" t="s">
        <v>49753</v>
      </c>
      <c r="L2549" t="s">
        <v>49754</v>
      </c>
      <c r="M2549" t="s">
        <v>49755</v>
      </c>
      <c r="N2549" t="s">
        <v>49756</v>
      </c>
      <c r="O2549">
        <f>-643.482468315008 -146.644518622615 -496.800314589284</f>
        <v>-1286.9273015269071</v>
      </c>
      <c r="P2549">
        <f>-615.647722087594 -181.306047753121 -218.228364987947</f>
        <v>-1015.182134828662</v>
      </c>
      <c r="Q2549">
        <f>-453.76484511728 -30.9939069795178 -289.982623434426</f>
        <v>-774.74137553122387</v>
      </c>
      <c r="R2549" t="s">
        <v>49757</v>
      </c>
      <c r="S2549" t="s">
        <v>49758</v>
      </c>
      <c r="T2549" t="s">
        <v>49759</v>
      </c>
      <c r="U2549" t="s">
        <v>49760</v>
      </c>
      <c r="V2549">
        <f>-577.094467990971 -44.3902920909236 -91.0492680807463</f>
        <v>-712.53402816264088</v>
      </c>
      <c r="W2549" t="s">
        <v>49761</v>
      </c>
      <c r="X2549" t="s">
        <v>49762</v>
      </c>
      <c r="Y2549" t="s">
        <v>49763</v>
      </c>
    </row>
    <row r="2550" spans="1:25" x14ac:dyDescent="0.3">
      <c r="A2550">
        <v>127450</v>
      </c>
      <c r="B2550" t="s">
        <v>49764</v>
      </c>
      <c r="C2550" t="s">
        <v>49765</v>
      </c>
      <c r="D2550" t="s">
        <v>49766</v>
      </c>
      <c r="E2550" t="s">
        <v>49767</v>
      </c>
      <c r="F2550" t="s">
        <v>49768</v>
      </c>
      <c r="G2550" t="s">
        <v>49769</v>
      </c>
      <c r="H2550" t="s">
        <v>49770</v>
      </c>
      <c r="I2550" t="s">
        <v>49771</v>
      </c>
      <c r="J2550" t="s">
        <v>49772</v>
      </c>
      <c r="K2550" t="s">
        <v>49773</v>
      </c>
      <c r="L2550" t="s">
        <v>49774</v>
      </c>
      <c r="M2550" t="s">
        <v>49775</v>
      </c>
      <c r="N2550" t="s">
        <v>49776</v>
      </c>
      <c r="O2550">
        <f>-643.579524406738 -146.614523330291 -497.311305052352</f>
        <v>-1287.505352789381</v>
      </c>
      <c r="P2550">
        <f>-615.150680494808 -182.538978822327 -218.959351000763</f>
        <v>-1016.649010317898</v>
      </c>
      <c r="Q2550">
        <f>-454.6350589373 -31.4007933233015 -292.038056433664</f>
        <v>-778.07390869426558</v>
      </c>
      <c r="R2550" t="s">
        <v>49777</v>
      </c>
      <c r="S2550" t="s">
        <v>49778</v>
      </c>
      <c r="T2550" t="s">
        <v>49779</v>
      </c>
      <c r="U2550" t="s">
        <v>49780</v>
      </c>
      <c r="V2550">
        <f>-577.801616605014 -44.4741075102102 -91.1322311175866</f>
        <v>-713.40795523281076</v>
      </c>
      <c r="W2550" t="s">
        <v>49781</v>
      </c>
      <c r="X2550" t="s">
        <v>49782</v>
      </c>
      <c r="Y2550" t="s">
        <v>49783</v>
      </c>
    </row>
    <row r="2551" spans="1:25" x14ac:dyDescent="0.3">
      <c r="A2551">
        <v>127500</v>
      </c>
      <c r="B2551" t="s">
        <v>49784</v>
      </c>
      <c r="C2551" t="s">
        <v>49785</v>
      </c>
      <c r="D2551" t="s">
        <v>49786</v>
      </c>
      <c r="E2551" t="s">
        <v>49787</v>
      </c>
      <c r="F2551" t="s">
        <v>49788</v>
      </c>
      <c r="G2551" t="s">
        <v>49789</v>
      </c>
      <c r="H2551" t="s">
        <v>49790</v>
      </c>
      <c r="I2551" t="s">
        <v>49791</v>
      </c>
      <c r="J2551" t="s">
        <v>49792</v>
      </c>
      <c r="K2551" t="s">
        <v>49793</v>
      </c>
      <c r="L2551" t="s">
        <v>49794</v>
      </c>
      <c r="M2551" t="s">
        <v>49795</v>
      </c>
      <c r="N2551" t="s">
        <v>49796</v>
      </c>
      <c r="O2551">
        <f>-643.803349150398 -146.535528020277 -497.517641184034</f>
        <v>-1287.8565183547089</v>
      </c>
      <c r="P2551">
        <f>-615.006343340363 -182.998318111166 -219.273540012266</f>
        <v>-1017.278201463795</v>
      </c>
      <c r="Q2551">
        <f>-455.016699482413 -31.628667291789 -293.023487187764</f>
        <v>-779.66885396196597</v>
      </c>
      <c r="R2551" t="s">
        <v>49797</v>
      </c>
      <c r="S2551" t="s">
        <v>49798</v>
      </c>
      <c r="T2551" t="s">
        <v>49799</v>
      </c>
      <c r="U2551" t="s">
        <v>49800</v>
      </c>
      <c r="V2551">
        <f>-578.060103361858 -44.5076077629042 -91.1651445404367</f>
        <v>-713.73285566519883</v>
      </c>
      <c r="W2551" t="s">
        <v>49801</v>
      </c>
      <c r="X2551" t="s">
        <v>49802</v>
      </c>
      <c r="Y2551" t="s">
        <v>49803</v>
      </c>
    </row>
    <row r="2552" spans="1:25" x14ac:dyDescent="0.3">
      <c r="A2552">
        <v>127550</v>
      </c>
      <c r="B2552" t="s">
        <v>49804</v>
      </c>
      <c r="C2552" t="s">
        <v>49805</v>
      </c>
      <c r="D2552" t="s">
        <v>49806</v>
      </c>
      <c r="E2552" t="s">
        <v>49807</v>
      </c>
      <c r="F2552" t="s">
        <v>49808</v>
      </c>
      <c r="G2552" t="s">
        <v>49809</v>
      </c>
      <c r="H2552" t="s">
        <v>49810</v>
      </c>
      <c r="I2552" t="s">
        <v>49811</v>
      </c>
      <c r="J2552" t="s">
        <v>49812</v>
      </c>
      <c r="K2552" t="s">
        <v>49813</v>
      </c>
      <c r="L2552" t="s">
        <v>49814</v>
      </c>
      <c r="M2552" t="s">
        <v>49815</v>
      </c>
      <c r="N2552" t="s">
        <v>49816</v>
      </c>
      <c r="O2552">
        <f>-644.147223334579 -146.410415951252 -497.665315875294</f>
        <v>-1288.2229551611251</v>
      </c>
      <c r="P2552">
        <f>-614.895414518182 -183.367869531038 -219.533894233393</f>
        <v>-1017.7971782826129</v>
      </c>
      <c r="Q2552">
        <f>-455.435002292943 -31.8008083320506 -294.020971188734</f>
        <v>-781.25678181372768</v>
      </c>
      <c r="R2552" t="s">
        <v>49817</v>
      </c>
      <c r="S2552" t="s">
        <v>49818</v>
      </c>
      <c r="T2552" t="s">
        <v>49819</v>
      </c>
      <c r="U2552" t="s">
        <v>49820</v>
      </c>
      <c r="V2552">
        <f>-578.287550582401 -44.482556287174 -91.1807785906582</f>
        <v>-713.95088546023317</v>
      </c>
      <c r="W2552" t="s">
        <v>49821</v>
      </c>
      <c r="X2552" t="s">
        <v>49822</v>
      </c>
      <c r="Y2552" t="s">
        <v>49823</v>
      </c>
    </row>
    <row r="2553" spans="1:25" x14ac:dyDescent="0.3">
      <c r="A2553">
        <v>127600</v>
      </c>
      <c r="B2553" t="s">
        <v>49824</v>
      </c>
      <c r="C2553" t="s">
        <v>49825</v>
      </c>
      <c r="D2553" t="s">
        <v>49826</v>
      </c>
      <c r="E2553" t="s">
        <v>49827</v>
      </c>
      <c r="F2553" t="s">
        <v>49828</v>
      </c>
      <c r="G2553" t="s">
        <v>49829</v>
      </c>
      <c r="H2553" t="s">
        <v>49830</v>
      </c>
      <c r="I2553" t="s">
        <v>49831</v>
      </c>
      <c r="J2553" t="s">
        <v>49832</v>
      </c>
      <c r="K2553" t="s">
        <v>49833</v>
      </c>
      <c r="L2553" t="s">
        <v>49834</v>
      </c>
      <c r="M2553" t="s">
        <v>49835</v>
      </c>
      <c r="N2553" t="s">
        <v>49836</v>
      </c>
      <c r="O2553">
        <f>-644.92607935001 -145.924047833733 -497.952250221892</f>
        <v>-1288.8023774056351</v>
      </c>
      <c r="P2553">
        <f>-614.826258041958 -183.794810047202 -220.034283974812</f>
        <v>-1018.655352063972</v>
      </c>
      <c r="Q2553">
        <f>-456.3147979862 -31.7670801160912 -295.600178190637</f>
        <v>-783.68205629292822</v>
      </c>
      <c r="R2553" t="s">
        <v>49837</v>
      </c>
      <c r="S2553" t="s">
        <v>49838</v>
      </c>
      <c r="T2553" t="s">
        <v>49839</v>
      </c>
      <c r="U2553" t="s">
        <v>49840</v>
      </c>
      <c r="V2553">
        <f>-578.794951234666 -44.2324709166207 -91.1799058320852</f>
        <v>-714.2073279833719</v>
      </c>
      <c r="W2553" t="s">
        <v>49841</v>
      </c>
      <c r="X2553" t="s">
        <v>49842</v>
      </c>
      <c r="Y2553" t="s">
        <v>49843</v>
      </c>
    </row>
    <row r="2554" spans="1:25" x14ac:dyDescent="0.3">
      <c r="A2554">
        <v>127650</v>
      </c>
      <c r="B2554" t="s">
        <v>49844</v>
      </c>
      <c r="C2554" t="s">
        <v>49845</v>
      </c>
      <c r="D2554" t="s">
        <v>49846</v>
      </c>
      <c r="E2554" t="s">
        <v>49847</v>
      </c>
      <c r="F2554" t="s">
        <v>49848</v>
      </c>
      <c r="G2554" t="s">
        <v>49849</v>
      </c>
      <c r="H2554" t="s">
        <v>49850</v>
      </c>
      <c r="I2554" t="s">
        <v>49851</v>
      </c>
      <c r="J2554" t="s">
        <v>49852</v>
      </c>
      <c r="K2554" t="s">
        <v>49853</v>
      </c>
      <c r="L2554" t="s">
        <v>49854</v>
      </c>
      <c r="M2554" t="s">
        <v>49855</v>
      </c>
      <c r="N2554" t="s">
        <v>49856</v>
      </c>
      <c r="O2554">
        <f>-645.328057479397 -145.496373063044 -498.073025014171</f>
        <v>-1288.8974555566119</v>
      </c>
      <c r="P2554">
        <f>-614.984440990779 -183.577113653168 -220.210256350897</f>
        <v>-1018.771810994844</v>
      </c>
      <c r="Q2554">
        <f>-456.747068259277 -31.428682116858 -296.106984229849</f>
        <v>-784.28273460598393</v>
      </c>
      <c r="R2554" t="s">
        <v>49857</v>
      </c>
      <c r="S2554" t="s">
        <v>49858</v>
      </c>
      <c r="T2554" t="s">
        <v>49859</v>
      </c>
      <c r="U2554" t="s">
        <v>49860</v>
      </c>
      <c r="V2554">
        <f>-579.031891158482 -43.9090881775383 -91.1928387962232</f>
        <v>-714.1338181322435</v>
      </c>
      <c r="W2554" t="s">
        <v>49861</v>
      </c>
      <c r="X2554" t="s">
        <v>49862</v>
      </c>
      <c r="Y2554" t="s">
        <v>49863</v>
      </c>
    </row>
    <row r="2555" spans="1:25" x14ac:dyDescent="0.3">
      <c r="A2555">
        <v>127700</v>
      </c>
      <c r="B2555" t="s">
        <v>49864</v>
      </c>
      <c r="C2555" t="s">
        <v>49865</v>
      </c>
      <c r="D2555" t="s">
        <v>49866</v>
      </c>
      <c r="E2555" t="s">
        <v>49867</v>
      </c>
      <c r="F2555" t="s">
        <v>49868</v>
      </c>
      <c r="G2555" t="s">
        <v>49869</v>
      </c>
      <c r="H2555" t="s">
        <v>49870</v>
      </c>
      <c r="I2555" t="s">
        <v>49871</v>
      </c>
      <c r="J2555" t="s">
        <v>49872</v>
      </c>
      <c r="K2555" t="s">
        <v>49873</v>
      </c>
      <c r="L2555" t="s">
        <v>49874</v>
      </c>
      <c r="M2555" t="s">
        <v>49875</v>
      </c>
      <c r="N2555" t="s">
        <v>49876</v>
      </c>
      <c r="O2555">
        <f>-646.055228113256 -144.282613885529 -498.368037567001</f>
        <v>-1288.7058795657861</v>
      </c>
      <c r="P2555">
        <f>-615.262170793122 -182.847006715991 -220.621450947229</f>
        <v>-1018.7306284563419</v>
      </c>
      <c r="Q2555">
        <f>-457.492995738823 -30.3522356073211 -296.79715511321</f>
        <v>-784.64238645935416</v>
      </c>
      <c r="R2555" t="s">
        <v>49877</v>
      </c>
      <c r="S2555" t="s">
        <v>49878</v>
      </c>
      <c r="T2555" t="s">
        <v>49879</v>
      </c>
      <c r="U2555" t="s">
        <v>49880</v>
      </c>
      <c r="V2555">
        <f>-579.4137130588 -43.4021143841517 -91.2460606853012</f>
        <v>-714.06188812825292</v>
      </c>
      <c r="W2555" t="s">
        <v>49881</v>
      </c>
      <c r="X2555" t="s">
        <v>49882</v>
      </c>
      <c r="Y2555" t="s">
        <v>49883</v>
      </c>
    </row>
    <row r="2556" spans="1:25" x14ac:dyDescent="0.3">
      <c r="A2556">
        <v>127750</v>
      </c>
      <c r="B2556" t="s">
        <v>49884</v>
      </c>
      <c r="C2556" t="s">
        <v>49885</v>
      </c>
      <c r="D2556" t="s">
        <v>49886</v>
      </c>
      <c r="E2556" t="s">
        <v>49887</v>
      </c>
      <c r="F2556" t="s">
        <v>49888</v>
      </c>
      <c r="G2556" t="s">
        <v>49889</v>
      </c>
      <c r="H2556" t="s">
        <v>49890</v>
      </c>
      <c r="I2556" t="s">
        <v>49891</v>
      </c>
      <c r="J2556" t="s">
        <v>49892</v>
      </c>
      <c r="K2556" t="s">
        <v>49893</v>
      </c>
      <c r="L2556" t="s">
        <v>49894</v>
      </c>
      <c r="M2556" t="s">
        <v>49895</v>
      </c>
      <c r="N2556" t="s">
        <v>49896</v>
      </c>
      <c r="O2556">
        <f>-646.15635488674 -143.693182139313 -498.59038886188</f>
        <v>-1288.439925887933</v>
      </c>
      <c r="P2556">
        <f>-615.533540925491 -182.597373233781 -220.872443879148</f>
        <v>-1019.0033580384201</v>
      </c>
      <c r="Q2556">
        <f>-457.794723824406 -30.0232055606266 -296.952258030384</f>
        <v>-784.77018741541656</v>
      </c>
      <c r="R2556" t="s">
        <v>49897</v>
      </c>
      <c r="S2556" t="s">
        <v>49898</v>
      </c>
      <c r="T2556" t="s">
        <v>49899</v>
      </c>
      <c r="U2556" t="s">
        <v>49900</v>
      </c>
      <c r="V2556">
        <f>-579.492575671302 -43.0965523983782 -91.2908398922789</f>
        <v>-713.8799679619591</v>
      </c>
      <c r="W2556" t="s">
        <v>49901</v>
      </c>
      <c r="X2556" t="s">
        <v>49902</v>
      </c>
      <c r="Y2556" t="s">
        <v>49903</v>
      </c>
    </row>
    <row r="2557" spans="1:25" x14ac:dyDescent="0.3">
      <c r="A2557">
        <v>127800</v>
      </c>
      <c r="B2557" t="s">
        <v>49904</v>
      </c>
      <c r="C2557" t="s">
        <v>49905</v>
      </c>
      <c r="D2557" t="s">
        <v>49906</v>
      </c>
      <c r="E2557" t="s">
        <v>49907</v>
      </c>
      <c r="F2557" t="s">
        <v>49908</v>
      </c>
      <c r="G2557" t="s">
        <v>49909</v>
      </c>
      <c r="H2557" t="s">
        <v>49910</v>
      </c>
      <c r="I2557" t="s">
        <v>49911</v>
      </c>
      <c r="J2557" t="s">
        <v>49912</v>
      </c>
      <c r="K2557" t="s">
        <v>49913</v>
      </c>
      <c r="L2557" t="s">
        <v>49914</v>
      </c>
      <c r="M2557" t="s">
        <v>49915</v>
      </c>
      <c r="N2557" t="s">
        <v>49916</v>
      </c>
      <c r="O2557">
        <f>-645.988642739016 -142.540642085102 -499.051652697049</f>
        <v>-1287.580937521167</v>
      </c>
      <c r="P2557">
        <f>-615.914185892239 -181.655868620819 -221.303408040785</f>
        <v>-1018.873462553843</v>
      </c>
      <c r="Q2557">
        <f>-458.012286148785 -29.0722982200066 -297.024928210151</f>
        <v>-784.1095125789426</v>
      </c>
      <c r="R2557" t="s">
        <v>49917</v>
      </c>
      <c r="S2557" t="s">
        <v>49918</v>
      </c>
      <c r="T2557" t="s">
        <v>49919</v>
      </c>
      <c r="U2557" t="s">
        <v>49920</v>
      </c>
      <c r="V2557">
        <f>-579.587823424277 -42.3621036435504 -91.3869971371599</f>
        <v>-713.33692420498733</v>
      </c>
      <c r="W2557" t="s">
        <v>49921</v>
      </c>
      <c r="X2557" t="s">
        <v>49922</v>
      </c>
      <c r="Y2557" t="s">
        <v>49923</v>
      </c>
    </row>
    <row r="2558" spans="1:25" x14ac:dyDescent="0.3">
      <c r="A2558">
        <v>127850</v>
      </c>
      <c r="B2558" t="s">
        <v>49924</v>
      </c>
      <c r="C2558" t="s">
        <v>49925</v>
      </c>
      <c r="D2558" t="s">
        <v>49926</v>
      </c>
      <c r="E2558" t="s">
        <v>49927</v>
      </c>
      <c r="F2558" t="s">
        <v>49928</v>
      </c>
      <c r="G2558" t="s">
        <v>49929</v>
      </c>
      <c r="H2558" t="s">
        <v>49930</v>
      </c>
      <c r="I2558" t="s">
        <v>49931</v>
      </c>
      <c r="J2558" t="s">
        <v>49932</v>
      </c>
      <c r="K2558" t="s">
        <v>49933</v>
      </c>
      <c r="L2558" t="s">
        <v>49934</v>
      </c>
      <c r="M2558" t="s">
        <v>49935</v>
      </c>
      <c r="N2558" t="s">
        <v>49936</v>
      </c>
      <c r="O2558">
        <f>-645.919106409643 -141.879141750789 -499.269019896228</f>
        <v>-1287.0672680566599</v>
      </c>
      <c r="P2558">
        <f>-615.793192278109 -181.06868813569 -221.536886886551</f>
        <v>-1018.39876730035</v>
      </c>
      <c r="Q2558">
        <f>-457.807203956613 -28.4430755680812 -296.998093814414</f>
        <v>-783.24837333910818</v>
      </c>
      <c r="R2558" t="s">
        <v>49937</v>
      </c>
      <c r="S2558" t="s">
        <v>49938</v>
      </c>
      <c r="T2558" t="s">
        <v>49939</v>
      </c>
      <c r="U2558" t="s">
        <v>49940</v>
      </c>
      <c r="V2558">
        <f>-579.584761390641 -41.9773375779041 -91.4142133884289</f>
        <v>-712.97631235697406</v>
      </c>
      <c r="W2558" t="s">
        <v>49941</v>
      </c>
      <c r="X2558" t="s">
        <v>49942</v>
      </c>
      <c r="Y2558" t="s">
        <v>49943</v>
      </c>
    </row>
    <row r="2559" spans="1:25" x14ac:dyDescent="0.3">
      <c r="A2559">
        <v>127900</v>
      </c>
      <c r="B2559" t="s">
        <v>49944</v>
      </c>
      <c r="C2559" t="s">
        <v>49945</v>
      </c>
      <c r="D2559" t="s">
        <v>49946</v>
      </c>
      <c r="E2559" t="s">
        <v>49947</v>
      </c>
      <c r="F2559" t="s">
        <v>49948</v>
      </c>
      <c r="G2559" t="s">
        <v>49949</v>
      </c>
      <c r="H2559" t="s">
        <v>49950</v>
      </c>
      <c r="I2559" t="s">
        <v>49951</v>
      </c>
      <c r="J2559" t="s">
        <v>49952</v>
      </c>
      <c r="K2559" t="s">
        <v>49953</v>
      </c>
      <c r="L2559" t="s">
        <v>49954</v>
      </c>
      <c r="M2559" t="s">
        <v>49955</v>
      </c>
      <c r="N2559" t="s">
        <v>49956</v>
      </c>
      <c r="O2559">
        <f>-645.565277932007 -140.675254875972 -499.662654811164</f>
        <v>-1285.903187619143</v>
      </c>
      <c r="P2559">
        <f>-615.475273601128 -180.059669051785 -221.954199893185</f>
        <v>-1017.489142546098</v>
      </c>
      <c r="Q2559">
        <f>-457.227364165455 -27.4984151427495 -296.995598163002</f>
        <v>-781.72137747120655</v>
      </c>
      <c r="R2559" t="s">
        <v>49957</v>
      </c>
      <c r="S2559" t="s">
        <v>49958</v>
      </c>
      <c r="T2559" t="s">
        <v>49959</v>
      </c>
      <c r="U2559" t="s">
        <v>49960</v>
      </c>
      <c r="V2559">
        <f>-579.57574413724 -41.2384078614791 -91.4452131274841</f>
        <v>-712.25936512620319</v>
      </c>
      <c r="W2559" t="s">
        <v>49961</v>
      </c>
      <c r="X2559" t="s">
        <v>49962</v>
      </c>
      <c r="Y2559" t="s">
        <v>49963</v>
      </c>
    </row>
    <row r="2560" spans="1:25" x14ac:dyDescent="0.3">
      <c r="A2560">
        <v>127950</v>
      </c>
      <c r="B2560" t="s">
        <v>49964</v>
      </c>
      <c r="C2560" t="s">
        <v>49965</v>
      </c>
      <c r="D2560" t="s">
        <v>49966</v>
      </c>
      <c r="E2560" t="s">
        <v>49967</v>
      </c>
      <c r="F2560" t="s">
        <v>49968</v>
      </c>
      <c r="G2560" t="s">
        <v>49969</v>
      </c>
      <c r="H2560" t="s">
        <v>49970</v>
      </c>
      <c r="I2560" t="s">
        <v>49971</v>
      </c>
      <c r="J2560" t="s">
        <v>49972</v>
      </c>
      <c r="K2560" t="s">
        <v>49973</v>
      </c>
      <c r="L2560" t="s">
        <v>49974</v>
      </c>
      <c r="M2560" t="s">
        <v>49975</v>
      </c>
      <c r="N2560" t="s">
        <v>49976</v>
      </c>
      <c r="O2560">
        <f>-645.269014350877 -140.134688843894 -499.903319323103</f>
        <v>-1285.307022517874</v>
      </c>
      <c r="P2560">
        <f>-615.306325432998 -179.643395203477 -222.198622109464</f>
        <v>-1017.1483427459391</v>
      </c>
      <c r="Q2560">
        <f>-456.845712481685 -27.2265931521258 -297.084235603998</f>
        <v>-781.15654123780882</v>
      </c>
      <c r="R2560" t="s">
        <v>49977</v>
      </c>
      <c r="S2560" t="s">
        <v>49978</v>
      </c>
      <c r="T2560" t="s">
        <v>49979</v>
      </c>
      <c r="U2560" t="s">
        <v>49980</v>
      </c>
      <c r="V2560">
        <f>-579.527612838879 -40.9756740752439 -91.4572797530932</f>
        <v>-711.96056666721609</v>
      </c>
      <c r="W2560" t="s">
        <v>49981</v>
      </c>
      <c r="X2560" t="s">
        <v>49982</v>
      </c>
      <c r="Y2560" t="s">
        <v>49983</v>
      </c>
    </row>
    <row r="2561" spans="1:25" x14ac:dyDescent="0.3">
      <c r="A2561">
        <v>128000</v>
      </c>
      <c r="B2561" t="s">
        <v>49984</v>
      </c>
      <c r="C2561" t="s">
        <v>49985</v>
      </c>
      <c r="D2561" t="s">
        <v>49986</v>
      </c>
      <c r="E2561" t="s">
        <v>49987</v>
      </c>
      <c r="F2561" t="s">
        <v>49988</v>
      </c>
      <c r="G2561" t="s">
        <v>49989</v>
      </c>
      <c r="H2561" t="s">
        <v>49990</v>
      </c>
      <c r="I2561" t="s">
        <v>49991</v>
      </c>
      <c r="J2561" t="s">
        <v>49992</v>
      </c>
      <c r="K2561" t="s">
        <v>49993</v>
      </c>
      <c r="L2561" t="s">
        <v>49994</v>
      </c>
      <c r="M2561" t="s">
        <v>49995</v>
      </c>
      <c r="N2561" t="s">
        <v>49996</v>
      </c>
      <c r="O2561">
        <f>-644.840547457082 -139.198847391177 -500.241824803767</f>
        <v>-1284.281219652026</v>
      </c>
      <c r="P2561">
        <f>-614.945473173074 -179.080526023165 -222.583085036311</f>
        <v>-1016.60908423255</v>
      </c>
      <c r="Q2561">
        <f>-456.064665479593 -26.9745671733983 -297.209804425197</f>
        <v>-780.24903707818817</v>
      </c>
      <c r="R2561" t="s">
        <v>49997</v>
      </c>
      <c r="S2561" t="s">
        <v>49998</v>
      </c>
      <c r="T2561" t="s">
        <v>49999</v>
      </c>
      <c r="U2561" t="s">
        <v>50000</v>
      </c>
      <c r="V2561">
        <f>-579.465020606017 -40.7639294209823 -91.450646292063</f>
        <v>-711.67959631906228</v>
      </c>
      <c r="W2561" t="s">
        <v>50001</v>
      </c>
      <c r="X2561" t="s">
        <v>50002</v>
      </c>
      <c r="Y2561" t="s">
        <v>50003</v>
      </c>
    </row>
    <row r="2562" spans="1:25" x14ac:dyDescent="0.3">
      <c r="A2562">
        <v>128050</v>
      </c>
      <c r="B2562" t="s">
        <v>50004</v>
      </c>
      <c r="C2562" t="s">
        <v>50005</v>
      </c>
      <c r="D2562" t="s">
        <v>50006</v>
      </c>
      <c r="E2562" t="s">
        <v>50007</v>
      </c>
      <c r="F2562" t="s">
        <v>50008</v>
      </c>
      <c r="G2562" t="s">
        <v>50009</v>
      </c>
      <c r="H2562" t="s">
        <v>50010</v>
      </c>
      <c r="I2562" t="s">
        <v>50011</v>
      </c>
      <c r="J2562" t="s">
        <v>50012</v>
      </c>
      <c r="K2562" t="s">
        <v>50013</v>
      </c>
      <c r="L2562" t="s">
        <v>50014</v>
      </c>
      <c r="M2562" t="s">
        <v>50015</v>
      </c>
      <c r="N2562" t="s">
        <v>50016</v>
      </c>
      <c r="O2562">
        <f>-644.425222870941 -138.791671897954 -500.393101368546</f>
        <v>-1283.6099961374409</v>
      </c>
      <c r="P2562">
        <f>-614.604005741781 -178.827148888485 -222.748552726705</f>
        <v>-1016.179707356971</v>
      </c>
      <c r="Q2562">
        <f>-455.513136163809 -26.8947760204023 -297.281484922648</f>
        <v>-779.68939710685936</v>
      </c>
      <c r="R2562" t="s">
        <v>50017</v>
      </c>
      <c r="S2562" t="s">
        <v>50018</v>
      </c>
      <c r="T2562" t="s">
        <v>50019</v>
      </c>
      <c r="U2562" t="s">
        <v>50020</v>
      </c>
      <c r="V2562">
        <f>-579.29124513907 -40.6673183569849 -91.4312196223279</f>
        <v>-711.38978311838287</v>
      </c>
      <c r="W2562" t="s">
        <v>50021</v>
      </c>
      <c r="X2562" t="s">
        <v>50022</v>
      </c>
      <c r="Y2562" t="s">
        <v>50023</v>
      </c>
    </row>
    <row r="2563" spans="1:25" x14ac:dyDescent="0.3">
      <c r="A2563">
        <v>128100</v>
      </c>
      <c r="B2563" t="s">
        <v>50024</v>
      </c>
      <c r="C2563" t="s">
        <v>50025</v>
      </c>
      <c r="D2563" t="s">
        <v>50026</v>
      </c>
      <c r="E2563" t="s">
        <v>50027</v>
      </c>
      <c r="F2563" t="s">
        <v>50028</v>
      </c>
      <c r="G2563" t="s">
        <v>50029</v>
      </c>
      <c r="H2563" t="s">
        <v>50030</v>
      </c>
      <c r="I2563" t="s">
        <v>50031</v>
      </c>
      <c r="J2563" t="s">
        <v>50032</v>
      </c>
      <c r="K2563" t="s">
        <v>50033</v>
      </c>
      <c r="L2563" t="s">
        <v>50034</v>
      </c>
      <c r="M2563" t="s">
        <v>50035</v>
      </c>
      <c r="N2563" t="s">
        <v>50036</v>
      </c>
      <c r="O2563">
        <f>-643.704181561456 -138.133914393667 -500.65403537339</f>
        <v>-1282.4921313285131</v>
      </c>
      <c r="P2563">
        <f>-614.067101001431 -178.341024361126 -223.014746154787</f>
        <v>-1015.4228715173439</v>
      </c>
      <c r="Q2563">
        <f>-454.343167833936 -26.9653135414885 -297.326020509443</f>
        <v>-778.63450188486752</v>
      </c>
      <c r="R2563" t="s">
        <v>50037</v>
      </c>
      <c r="S2563" t="s">
        <v>50038</v>
      </c>
      <c r="T2563" t="s">
        <v>50039</v>
      </c>
      <c r="U2563" t="s">
        <v>50040</v>
      </c>
      <c r="V2563">
        <f>-578.745180461008 -40.4759042574799 -91.3786100911095</f>
        <v>-710.59969480959739</v>
      </c>
      <c r="W2563" t="s">
        <v>50041</v>
      </c>
      <c r="X2563" t="s">
        <v>50042</v>
      </c>
      <c r="Y2563" t="s">
        <v>50043</v>
      </c>
    </row>
    <row r="2564" spans="1:25" x14ac:dyDescent="0.3">
      <c r="A2564">
        <v>128150</v>
      </c>
      <c r="B2564" t="s">
        <v>50044</v>
      </c>
      <c r="C2564" t="s">
        <v>50045</v>
      </c>
      <c r="D2564" t="s">
        <v>50046</v>
      </c>
      <c r="E2564" t="s">
        <v>50047</v>
      </c>
      <c r="F2564" t="s">
        <v>50048</v>
      </c>
      <c r="G2564" t="s">
        <v>50049</v>
      </c>
      <c r="H2564" t="s">
        <v>50050</v>
      </c>
      <c r="I2564" t="s">
        <v>50051</v>
      </c>
      <c r="J2564" t="s">
        <v>50052</v>
      </c>
      <c r="K2564" t="s">
        <v>50053</v>
      </c>
      <c r="L2564" t="s">
        <v>50054</v>
      </c>
      <c r="M2564" t="s">
        <v>50055</v>
      </c>
      <c r="N2564" t="s">
        <v>50056</v>
      </c>
      <c r="O2564">
        <f>-643.44785102174 -137.732665276882 -500.739009761503</f>
        <v>-1281.919526060125</v>
      </c>
      <c r="P2564">
        <f>-613.798504279786 -177.945501295249 -223.101719904384</f>
        <v>-1014.845725479419</v>
      </c>
      <c r="Q2564">
        <f>-453.799961049744 -26.8396211397437 -297.371406530443</f>
        <v>-778.01098871993077</v>
      </c>
      <c r="R2564" t="s">
        <v>50057</v>
      </c>
      <c r="S2564" t="s">
        <v>50058</v>
      </c>
      <c r="T2564" t="s">
        <v>50059</v>
      </c>
      <c r="U2564" t="s">
        <v>50060</v>
      </c>
      <c r="V2564">
        <f>-578.518619343136 -40.3566100408777 -91.3539453061481</f>
        <v>-710.22917469016193</v>
      </c>
      <c r="W2564" t="s">
        <v>50061</v>
      </c>
      <c r="X2564" t="s">
        <v>50062</v>
      </c>
      <c r="Y2564" t="s">
        <v>50063</v>
      </c>
    </row>
    <row r="2565" spans="1:25" x14ac:dyDescent="0.3">
      <c r="A2565">
        <v>128200</v>
      </c>
      <c r="B2565" t="s">
        <v>50064</v>
      </c>
      <c r="C2565" t="s">
        <v>50065</v>
      </c>
      <c r="D2565" t="s">
        <v>50066</v>
      </c>
      <c r="E2565" t="s">
        <v>50067</v>
      </c>
      <c r="F2565" t="s">
        <v>50068</v>
      </c>
      <c r="G2565" t="s">
        <v>50069</v>
      </c>
      <c r="H2565" t="s">
        <v>50070</v>
      </c>
      <c r="I2565" t="s">
        <v>50071</v>
      </c>
      <c r="J2565" t="s">
        <v>50072</v>
      </c>
      <c r="K2565" t="s">
        <v>50073</v>
      </c>
      <c r="L2565" t="s">
        <v>50074</v>
      </c>
      <c r="M2565" t="s">
        <v>50075</v>
      </c>
      <c r="N2565" t="s">
        <v>50076</v>
      </c>
      <c r="O2565">
        <f>-642.94961741027 -136.957677694975 -501.013347331894</f>
        <v>-1280.9206424371391</v>
      </c>
      <c r="P2565">
        <f>-613.229086514185 -177.528503491545 -223.435783331358</f>
        <v>-1014.193373337088</v>
      </c>
      <c r="Q2565">
        <f>-453.002746684062 -26.6700623032166 -297.71753024036</f>
        <v>-777.39033922763861</v>
      </c>
      <c r="R2565" t="s">
        <v>50077</v>
      </c>
      <c r="S2565" t="s">
        <v>50078</v>
      </c>
      <c r="T2565" t="s">
        <v>50079</v>
      </c>
      <c r="U2565" t="s">
        <v>50080</v>
      </c>
      <c r="V2565">
        <f>-578.137556048561 -40.2053436390031 -91.3217754317969</f>
        <v>-709.66467511936105</v>
      </c>
      <c r="W2565" t="s">
        <v>50081</v>
      </c>
      <c r="X2565" t="s">
        <v>50082</v>
      </c>
      <c r="Y2565" t="s">
        <v>50083</v>
      </c>
    </row>
    <row r="2566" spans="1:25" x14ac:dyDescent="0.3">
      <c r="A2566">
        <v>128250</v>
      </c>
      <c r="B2566" t="s">
        <v>50084</v>
      </c>
      <c r="C2566" t="s">
        <v>50085</v>
      </c>
      <c r="D2566" t="s">
        <v>50086</v>
      </c>
      <c r="E2566" t="s">
        <v>50087</v>
      </c>
      <c r="F2566" t="s">
        <v>50088</v>
      </c>
      <c r="G2566" t="s">
        <v>50089</v>
      </c>
      <c r="H2566" t="s">
        <v>50090</v>
      </c>
      <c r="I2566" t="s">
        <v>50091</v>
      </c>
      <c r="J2566" t="s">
        <v>50092</v>
      </c>
      <c r="K2566" t="s">
        <v>50093</v>
      </c>
      <c r="L2566" t="s">
        <v>50094</v>
      </c>
      <c r="M2566" t="s">
        <v>50095</v>
      </c>
      <c r="N2566" t="s">
        <v>50096</v>
      </c>
      <c r="O2566">
        <f>-642.5693241307 -136.662327683356 -501.253771952519</f>
        <v>-1280.485423766575</v>
      </c>
      <c r="P2566">
        <f>-612.817674172312 -177.461239101523 -223.712902306666</f>
        <v>-1013.991815580501</v>
      </c>
      <c r="Q2566">
        <f>-452.539510427556 -26.6450747138235 -297.968670327905</f>
        <v>-777.15325546928443</v>
      </c>
      <c r="R2566" t="s">
        <v>50097</v>
      </c>
      <c r="S2566" t="s">
        <v>50098</v>
      </c>
      <c r="T2566" t="s">
        <v>50099</v>
      </c>
      <c r="U2566" t="s">
        <v>50100</v>
      </c>
      <c r="V2566">
        <f>-577.956650174216 -40.1412056404045 -91.315122923348</f>
        <v>-709.41297873796839</v>
      </c>
      <c r="W2566" t="s">
        <v>50101</v>
      </c>
      <c r="X2566" t="s">
        <v>50102</v>
      </c>
      <c r="Y2566" t="s">
        <v>50103</v>
      </c>
    </row>
    <row r="2567" spans="1:25" x14ac:dyDescent="0.3">
      <c r="A2567">
        <v>128300</v>
      </c>
      <c r="B2567" t="s">
        <v>50104</v>
      </c>
      <c r="C2567" t="s">
        <v>50105</v>
      </c>
      <c r="D2567" t="s">
        <v>50106</v>
      </c>
      <c r="E2567" t="s">
        <v>50107</v>
      </c>
      <c r="F2567" t="s">
        <v>50108</v>
      </c>
      <c r="G2567" t="s">
        <v>50109</v>
      </c>
      <c r="H2567" t="s">
        <v>50110</v>
      </c>
      <c r="I2567" t="s">
        <v>50111</v>
      </c>
      <c r="J2567" t="s">
        <v>50112</v>
      </c>
      <c r="K2567" t="s">
        <v>50113</v>
      </c>
      <c r="L2567" t="s">
        <v>50114</v>
      </c>
      <c r="M2567" t="s">
        <v>50115</v>
      </c>
      <c r="N2567" t="s">
        <v>50116</v>
      </c>
      <c r="O2567">
        <f>-641.950679756191 -136.144656698032 -501.54888318445</f>
        <v>-1279.6442196386729</v>
      </c>
      <c r="P2567">
        <f>-612.004397988047 -177.464371940039 -224.106321014972</f>
        <v>-1013.5750909430579</v>
      </c>
      <c r="Q2567">
        <f>-451.647350979785 -26.5745091029787 -298.041153947164</f>
        <v>-776.26301402992772</v>
      </c>
      <c r="R2567" t="s">
        <v>50117</v>
      </c>
      <c r="S2567" t="s">
        <v>50118</v>
      </c>
      <c r="T2567" t="s">
        <v>50119</v>
      </c>
      <c r="U2567" t="s">
        <v>50120</v>
      </c>
      <c r="V2567">
        <f>-577.46714778142 -39.9513870704925 -91.271983044283</f>
        <v>-708.6905178961955</v>
      </c>
      <c r="W2567" t="s">
        <v>50121</v>
      </c>
      <c r="X2567" t="s">
        <v>50122</v>
      </c>
      <c r="Y2567" t="s">
        <v>50123</v>
      </c>
    </row>
    <row r="2568" spans="1:25" x14ac:dyDescent="0.3">
      <c r="A2568">
        <v>128350</v>
      </c>
      <c r="B2568" t="s">
        <v>50124</v>
      </c>
      <c r="C2568" t="s">
        <v>50125</v>
      </c>
      <c r="D2568" t="s">
        <v>50126</v>
      </c>
      <c r="E2568" t="s">
        <v>50127</v>
      </c>
      <c r="F2568" t="s">
        <v>50128</v>
      </c>
      <c r="G2568" t="s">
        <v>50129</v>
      </c>
      <c r="H2568" t="s">
        <v>50130</v>
      </c>
      <c r="I2568" t="s">
        <v>50131</v>
      </c>
      <c r="J2568" t="s">
        <v>50132</v>
      </c>
      <c r="K2568" t="s">
        <v>50133</v>
      </c>
      <c r="L2568" t="s">
        <v>50134</v>
      </c>
      <c r="M2568" t="s">
        <v>50135</v>
      </c>
      <c r="N2568" t="s">
        <v>50136</v>
      </c>
      <c r="O2568">
        <f>-641.785084440534 -135.876335054911 -501.64882370906</f>
        <v>-1279.310243204505</v>
      </c>
      <c r="P2568">
        <f>-611.611165579432 -177.250976780871 -224.238899453871</f>
        <v>-1013.1010418141741</v>
      </c>
      <c r="Q2568">
        <f>-451.033419965183 -26.5465006855893 -298.072697914409</f>
        <v>-775.65261856518123</v>
      </c>
      <c r="R2568" t="s">
        <v>50137</v>
      </c>
      <c r="S2568" t="s">
        <v>50138</v>
      </c>
      <c r="T2568" t="s">
        <v>50139</v>
      </c>
      <c r="U2568" t="s">
        <v>50140</v>
      </c>
      <c r="V2568">
        <f>-577.225082287791 -39.8878411875826 -91.2687971423642</f>
        <v>-708.38172061773776</v>
      </c>
      <c r="W2568" t="s">
        <v>50141</v>
      </c>
      <c r="X2568" t="s">
        <v>50142</v>
      </c>
      <c r="Y2568" t="s">
        <v>50143</v>
      </c>
    </row>
    <row r="2569" spans="1:25" x14ac:dyDescent="0.3">
      <c r="A2569">
        <v>128400</v>
      </c>
      <c r="B2569" t="s">
        <v>50144</v>
      </c>
      <c r="C2569" t="s">
        <v>50145</v>
      </c>
      <c r="D2569" t="s">
        <v>50146</v>
      </c>
      <c r="E2569" t="s">
        <v>50147</v>
      </c>
      <c r="F2569" t="s">
        <v>50148</v>
      </c>
      <c r="G2569" t="s">
        <v>50149</v>
      </c>
      <c r="H2569" t="s">
        <v>50150</v>
      </c>
      <c r="I2569" t="s">
        <v>50151</v>
      </c>
      <c r="J2569" t="s">
        <v>50152</v>
      </c>
      <c r="K2569" t="s">
        <v>50153</v>
      </c>
      <c r="L2569" t="s">
        <v>50154</v>
      </c>
      <c r="M2569" t="s">
        <v>50155</v>
      </c>
      <c r="N2569" t="s">
        <v>50156</v>
      </c>
      <c r="O2569">
        <f>-641.548079584192 -135.559647334647 -501.949518391914</f>
        <v>-1279.0572453107529</v>
      </c>
      <c r="P2569">
        <f>-611.429599771794 -177.323046011579 -224.591945109472</f>
        <v>-1013.344590892845</v>
      </c>
      <c r="Q2569">
        <f>-450.426576006973 -27.2086114960584 -298.701229414876</f>
        <v>-776.3364169179074</v>
      </c>
      <c r="R2569" t="s">
        <v>50157</v>
      </c>
      <c r="S2569" t="s">
        <v>50158</v>
      </c>
      <c r="T2569" t="s">
        <v>50159</v>
      </c>
      <c r="U2569" t="s">
        <v>50160</v>
      </c>
      <c r="V2569">
        <f>-576.877906940937 -39.9504983391394 -91.2784823512325</f>
        <v>-708.10688763130884</v>
      </c>
      <c r="W2569" t="s">
        <v>50161</v>
      </c>
      <c r="X2569" t="s">
        <v>50162</v>
      </c>
      <c r="Y2569" t="s">
        <v>50163</v>
      </c>
    </row>
    <row r="2570" spans="1:25" x14ac:dyDescent="0.3">
      <c r="A2570">
        <v>128450</v>
      </c>
      <c r="B2570" t="s">
        <v>50164</v>
      </c>
      <c r="C2570" t="s">
        <v>50165</v>
      </c>
      <c r="D2570" t="s">
        <v>50166</v>
      </c>
      <c r="E2570" t="s">
        <v>50167</v>
      </c>
      <c r="F2570" t="s">
        <v>50168</v>
      </c>
      <c r="G2570" t="s">
        <v>50169</v>
      </c>
      <c r="H2570" t="s">
        <v>50170</v>
      </c>
      <c r="I2570" t="s">
        <v>50171</v>
      </c>
      <c r="J2570" t="s">
        <v>50172</v>
      </c>
      <c r="K2570" t="s">
        <v>50173</v>
      </c>
      <c r="L2570" t="s">
        <v>50174</v>
      </c>
      <c r="M2570" t="s">
        <v>50175</v>
      </c>
      <c r="N2570" t="s">
        <v>50176</v>
      </c>
      <c r="O2570">
        <f>-641.481998045404 -135.378983281334 -502.104199236032</f>
        <v>-1278.96518056277</v>
      </c>
      <c r="P2570">
        <f>-611.409801761819 -177.456451916316 -224.789024182357</f>
        <v>-1013.6552778604921</v>
      </c>
      <c r="Q2570">
        <f>-450.408150409004 -27.5238347468689 -299.268551584354</f>
        <v>-777.20053674022688</v>
      </c>
      <c r="R2570" t="s">
        <v>50177</v>
      </c>
      <c r="S2570" t="s">
        <v>50178</v>
      </c>
      <c r="T2570" t="s">
        <v>50179</v>
      </c>
      <c r="U2570" t="s">
        <v>50180</v>
      </c>
      <c r="V2570">
        <f>-576.767592129409 -39.9307023005927 -91.2746341513799</f>
        <v>-707.97292858138155</v>
      </c>
      <c r="W2570" t="s">
        <v>50181</v>
      </c>
      <c r="X2570" t="s">
        <v>50182</v>
      </c>
      <c r="Y2570" t="s">
        <v>50183</v>
      </c>
    </row>
    <row r="2571" spans="1:25" x14ac:dyDescent="0.3">
      <c r="A2571">
        <v>128500</v>
      </c>
      <c r="B2571" t="s">
        <v>50184</v>
      </c>
      <c r="C2571" t="s">
        <v>50185</v>
      </c>
      <c r="D2571" t="s">
        <v>50186</v>
      </c>
      <c r="E2571" t="s">
        <v>50187</v>
      </c>
      <c r="F2571" t="s">
        <v>50188</v>
      </c>
      <c r="G2571" t="s">
        <v>50189</v>
      </c>
      <c r="H2571" t="s">
        <v>50190</v>
      </c>
      <c r="I2571" t="s">
        <v>50191</v>
      </c>
      <c r="J2571" t="s">
        <v>50192</v>
      </c>
      <c r="K2571" t="s">
        <v>50193</v>
      </c>
      <c r="L2571" t="s">
        <v>50194</v>
      </c>
      <c r="M2571" t="s">
        <v>50195</v>
      </c>
      <c r="N2571" t="s">
        <v>50196</v>
      </c>
      <c r="O2571">
        <f>-641.559242439117 -135.025736568835 -502.408612228064</f>
        <v>-1278.9935912360161</v>
      </c>
      <c r="P2571">
        <f>-611.399420606384 -177.635471027354 -225.184182520592</f>
        <v>-1014.21907415433</v>
      </c>
      <c r="Q2571">
        <f>-450.403282752962 -27.9305417849987 -300.132266161819</f>
        <v>-778.46609069977967</v>
      </c>
      <c r="R2571" t="s">
        <v>50197</v>
      </c>
      <c r="S2571" t="s">
        <v>50198</v>
      </c>
      <c r="T2571" t="s">
        <v>50199</v>
      </c>
      <c r="U2571" t="s">
        <v>50200</v>
      </c>
      <c r="V2571">
        <f>-576.647866394337 -39.9282052666756 -91.2746022827469</f>
        <v>-707.85067394375949</v>
      </c>
      <c r="W2571" t="s">
        <v>50201</v>
      </c>
      <c r="X2571" t="s">
        <v>50202</v>
      </c>
      <c r="Y2571" t="s">
        <v>50203</v>
      </c>
    </row>
    <row r="2572" spans="1:25" x14ac:dyDescent="0.3">
      <c r="A2572">
        <v>128550</v>
      </c>
      <c r="B2572" t="s">
        <v>50204</v>
      </c>
      <c r="C2572" t="s">
        <v>50205</v>
      </c>
      <c r="D2572" t="s">
        <v>50206</v>
      </c>
      <c r="E2572" t="s">
        <v>50207</v>
      </c>
      <c r="F2572" t="s">
        <v>50208</v>
      </c>
      <c r="G2572" t="s">
        <v>50209</v>
      </c>
      <c r="H2572" t="s">
        <v>50210</v>
      </c>
      <c r="I2572" t="s">
        <v>50211</v>
      </c>
      <c r="J2572" t="s">
        <v>50212</v>
      </c>
      <c r="K2572" t="s">
        <v>50213</v>
      </c>
      <c r="L2572" t="s">
        <v>50214</v>
      </c>
      <c r="M2572" t="s">
        <v>50215</v>
      </c>
      <c r="N2572" t="s">
        <v>50216</v>
      </c>
      <c r="O2572">
        <f>-641.706769140855 -134.909884724467 -502.478494543519</f>
        <v>-1279.0951484088409</v>
      </c>
      <c r="P2572">
        <f>-611.515452259502 -177.550465956587 -225.262354088642</f>
        <v>-1014.3282723047311</v>
      </c>
      <c r="Q2572">
        <f>-450.224155136846 -28.1788065446485 -300.240594959923</f>
        <v>-778.64355664141749</v>
      </c>
      <c r="R2572" t="s">
        <v>50217</v>
      </c>
      <c r="S2572" t="s">
        <v>50218</v>
      </c>
      <c r="T2572" t="s">
        <v>50219</v>
      </c>
      <c r="U2572" t="s">
        <v>50220</v>
      </c>
      <c r="V2572">
        <f>-576.644690394595 -39.9391184469214 -91.2795173633461</f>
        <v>-707.86332620486257</v>
      </c>
      <c r="W2572" t="s">
        <v>50221</v>
      </c>
      <c r="X2572" t="s">
        <v>50222</v>
      </c>
      <c r="Y2572" t="s">
        <v>50223</v>
      </c>
    </row>
    <row r="2573" spans="1:25" x14ac:dyDescent="0.3">
      <c r="A2573">
        <v>128600</v>
      </c>
      <c r="B2573" t="s">
        <v>50224</v>
      </c>
      <c r="C2573" t="s">
        <v>50225</v>
      </c>
      <c r="D2573" t="s">
        <v>50226</v>
      </c>
      <c r="E2573" t="s">
        <v>50227</v>
      </c>
      <c r="F2573" t="s">
        <v>50228</v>
      </c>
      <c r="G2573" t="s">
        <v>50229</v>
      </c>
      <c r="H2573" t="s">
        <v>50230</v>
      </c>
      <c r="I2573" t="s">
        <v>50231</v>
      </c>
      <c r="J2573" t="s">
        <v>50232</v>
      </c>
      <c r="K2573" t="s">
        <v>50233</v>
      </c>
      <c r="L2573" t="s">
        <v>50234</v>
      </c>
      <c r="M2573" t="s">
        <v>50235</v>
      </c>
      <c r="N2573" t="s">
        <v>50236</v>
      </c>
      <c r="O2573">
        <f>-642.19139386869 -134.704794504089 -502.59339130232</f>
        <v>-1279.4895796750991</v>
      </c>
      <c r="P2573">
        <f>-611.837577266829 -177.342214213792 -225.394369017813</f>
        <v>-1014.574160498434</v>
      </c>
      <c r="Q2573">
        <f>-449.996280361368 -28.316624560036 -299.87486193477</f>
        <v>-778.18776685617399</v>
      </c>
      <c r="R2573" t="s">
        <v>50237</v>
      </c>
      <c r="S2573" t="s">
        <v>50238</v>
      </c>
      <c r="T2573" t="s">
        <v>50239</v>
      </c>
      <c r="U2573" t="s">
        <v>50240</v>
      </c>
      <c r="V2573">
        <f>-576.832608281106 -39.9933022206651 -91.3157967903383</f>
        <v>-708.14170729210934</v>
      </c>
      <c r="W2573" t="s">
        <v>50241</v>
      </c>
      <c r="X2573" t="s">
        <v>50242</v>
      </c>
      <c r="Y2573" t="s">
        <v>50243</v>
      </c>
    </row>
    <row r="2574" spans="1:25" x14ac:dyDescent="0.3">
      <c r="A2574">
        <v>128650</v>
      </c>
      <c r="B2574" t="s">
        <v>50244</v>
      </c>
      <c r="C2574" t="s">
        <v>50245</v>
      </c>
      <c r="D2574" t="s">
        <v>50246</v>
      </c>
      <c r="E2574" t="s">
        <v>50247</v>
      </c>
      <c r="F2574" t="s">
        <v>50248</v>
      </c>
      <c r="G2574" t="s">
        <v>50249</v>
      </c>
      <c r="H2574" t="s">
        <v>50250</v>
      </c>
      <c r="I2574" t="s">
        <v>50251</v>
      </c>
      <c r="J2574" t="s">
        <v>50252</v>
      </c>
      <c r="K2574" t="s">
        <v>50253</v>
      </c>
      <c r="L2574" t="s">
        <v>50254</v>
      </c>
      <c r="M2574" t="s">
        <v>50255</v>
      </c>
      <c r="N2574" t="s">
        <v>50256</v>
      </c>
      <c r="O2574">
        <f>-642.531264371057 -134.623807818637 -502.613549013566</f>
        <v>-1279.76862120326</v>
      </c>
      <c r="P2574">
        <f>-612.172109191146 -177.25770991354 -225.414554782621</f>
        <v>-1014.844373887307</v>
      </c>
      <c r="Q2574">
        <f>-450.097527560428 -28.3095672860602 -299.541729442439</f>
        <v>-777.9488242889272</v>
      </c>
      <c r="R2574" t="s">
        <v>50257</v>
      </c>
      <c r="S2574" t="s">
        <v>50258</v>
      </c>
      <c r="T2574" t="s">
        <v>50259</v>
      </c>
      <c r="U2574" t="s">
        <v>50260</v>
      </c>
      <c r="V2574">
        <f>-576.957299535961 -40.0413743246327 -91.335618813357</f>
        <v>-708.3342926739507</v>
      </c>
      <c r="W2574" t="s">
        <v>50261</v>
      </c>
      <c r="X2574" t="s">
        <v>50262</v>
      </c>
      <c r="Y2574" t="s">
        <v>50263</v>
      </c>
    </row>
    <row r="2575" spans="1:25" x14ac:dyDescent="0.3">
      <c r="A2575">
        <v>128700</v>
      </c>
      <c r="B2575" t="s">
        <v>50264</v>
      </c>
      <c r="C2575" t="s">
        <v>50265</v>
      </c>
      <c r="D2575" t="s">
        <v>50266</v>
      </c>
      <c r="E2575" t="s">
        <v>50267</v>
      </c>
      <c r="F2575" t="s">
        <v>50268</v>
      </c>
      <c r="G2575" t="s">
        <v>50269</v>
      </c>
      <c r="H2575" t="s">
        <v>50270</v>
      </c>
      <c r="I2575" t="s">
        <v>50271</v>
      </c>
      <c r="J2575" t="s">
        <v>50272</v>
      </c>
      <c r="K2575" t="s">
        <v>50273</v>
      </c>
      <c r="L2575" t="s">
        <v>50274</v>
      </c>
      <c r="M2575" t="s">
        <v>50275</v>
      </c>
      <c r="N2575" t="s">
        <v>50276</v>
      </c>
      <c r="O2575">
        <f>-643.309981449868 -134.432287317633 -502.58893706751</f>
        <v>-1280.3312058350111</v>
      </c>
      <c r="P2575">
        <f>-612.938584717846 -176.965912854434 -225.375957558715</f>
        <v>-1015.2804551309949</v>
      </c>
      <c r="Q2575">
        <f>-450.410337761211 -28.3154942403235 -299.106441405143</f>
        <v>-777.83227340667759</v>
      </c>
      <c r="R2575" t="s">
        <v>50277</v>
      </c>
      <c r="S2575" t="s">
        <v>50278</v>
      </c>
      <c r="T2575" t="s">
        <v>50279</v>
      </c>
      <c r="U2575" t="s">
        <v>50280</v>
      </c>
      <c r="V2575">
        <f>-577.160285662766 -39.9956121535579 -91.3501084747885</f>
        <v>-708.50600629111239</v>
      </c>
      <c r="W2575" t="s">
        <v>50281</v>
      </c>
      <c r="X2575" t="s">
        <v>50282</v>
      </c>
      <c r="Y2575" t="s">
        <v>50283</v>
      </c>
    </row>
    <row r="2576" spans="1:25" x14ac:dyDescent="0.3">
      <c r="A2576">
        <v>128750</v>
      </c>
      <c r="B2576" t="s">
        <v>50284</v>
      </c>
      <c r="C2576" t="s">
        <v>50285</v>
      </c>
      <c r="D2576" t="s">
        <v>50286</v>
      </c>
      <c r="E2576" t="s">
        <v>50287</v>
      </c>
      <c r="F2576" t="s">
        <v>50288</v>
      </c>
      <c r="G2576" t="s">
        <v>50289</v>
      </c>
      <c r="H2576" t="s">
        <v>50290</v>
      </c>
      <c r="I2576" t="s">
        <v>50291</v>
      </c>
      <c r="J2576" t="s">
        <v>50292</v>
      </c>
      <c r="K2576" t="s">
        <v>50293</v>
      </c>
      <c r="L2576" t="s">
        <v>50294</v>
      </c>
      <c r="M2576" t="s">
        <v>50295</v>
      </c>
      <c r="N2576" t="s">
        <v>50296</v>
      </c>
      <c r="O2576">
        <f>-643.784036264779 -134.237682963871 -502.560262139224</f>
        <v>-1280.5819813678741</v>
      </c>
      <c r="P2576">
        <f>-613.26853454405 -176.743553073406 -225.358860282597</f>
        <v>-1015.370947900053</v>
      </c>
      <c r="Q2576">
        <f>-450.494845897723 -28.2771439452213 -298.918098429375</f>
        <v>-777.69008827231937</v>
      </c>
      <c r="R2576" t="s">
        <v>50297</v>
      </c>
      <c r="S2576" t="s">
        <v>50298</v>
      </c>
      <c r="T2576" t="s">
        <v>50299</v>
      </c>
      <c r="U2576" t="s">
        <v>50300</v>
      </c>
      <c r="V2576">
        <f>-577.270519631939 -39.8576920649543 -91.3477297523343</f>
        <v>-708.47594144922766</v>
      </c>
      <c r="W2576" t="s">
        <v>50301</v>
      </c>
      <c r="X2576" t="s">
        <v>50302</v>
      </c>
      <c r="Y2576" t="s">
        <v>50303</v>
      </c>
    </row>
    <row r="2577" spans="1:25" x14ac:dyDescent="0.3">
      <c r="A2577">
        <v>128800</v>
      </c>
      <c r="B2577" t="s">
        <v>50304</v>
      </c>
      <c r="C2577" t="s">
        <v>50305</v>
      </c>
      <c r="D2577" t="s">
        <v>50306</v>
      </c>
      <c r="E2577" t="s">
        <v>50307</v>
      </c>
      <c r="F2577" t="s">
        <v>50308</v>
      </c>
      <c r="G2577" t="s">
        <v>50309</v>
      </c>
      <c r="H2577" t="s">
        <v>50310</v>
      </c>
      <c r="I2577" t="s">
        <v>50311</v>
      </c>
      <c r="J2577" t="s">
        <v>50312</v>
      </c>
      <c r="K2577" t="s">
        <v>50313</v>
      </c>
      <c r="L2577" t="s">
        <v>50314</v>
      </c>
      <c r="M2577" t="s">
        <v>50315</v>
      </c>
      <c r="N2577" t="s">
        <v>50316</v>
      </c>
      <c r="O2577">
        <f>-644.920681488995 -134.014188172196 -502.419092425521</f>
        <v>-1281.353962086712</v>
      </c>
      <c r="P2577">
        <f>-614.222020784769 -176.284866172369 -225.201974851405</f>
        <v>-1015.708861808543</v>
      </c>
      <c r="Q2577">
        <f>-450.60188802008 -28.6291149468675 -298.514541653155</f>
        <v>-777.74554462010246</v>
      </c>
      <c r="R2577" t="s">
        <v>50317</v>
      </c>
      <c r="S2577" t="s">
        <v>50318</v>
      </c>
      <c r="T2577" t="s">
        <v>50319</v>
      </c>
      <c r="U2577" t="s">
        <v>50320</v>
      </c>
      <c r="V2577">
        <f>-577.607748551053 -39.7045839827888 -91.3441434565907</f>
        <v>-708.65647599043245</v>
      </c>
      <c r="W2577" t="s">
        <v>50321</v>
      </c>
      <c r="X2577" t="s">
        <v>50322</v>
      </c>
      <c r="Y2577" t="s">
        <v>50323</v>
      </c>
    </row>
    <row r="2578" spans="1:25" x14ac:dyDescent="0.3">
      <c r="A2578">
        <v>128850</v>
      </c>
      <c r="B2578" t="s">
        <v>50324</v>
      </c>
      <c r="C2578" t="s">
        <v>50325</v>
      </c>
      <c r="D2578" t="s">
        <v>50326</v>
      </c>
      <c r="E2578" t="s">
        <v>50327</v>
      </c>
      <c r="F2578" t="s">
        <v>50328</v>
      </c>
      <c r="G2578" t="s">
        <v>50329</v>
      </c>
      <c r="H2578" t="s">
        <v>50330</v>
      </c>
      <c r="I2578" t="s">
        <v>50331</v>
      </c>
      <c r="J2578" t="s">
        <v>50332</v>
      </c>
      <c r="K2578" t="s">
        <v>50333</v>
      </c>
      <c r="L2578" t="s">
        <v>50334</v>
      </c>
      <c r="M2578" t="s">
        <v>50335</v>
      </c>
      <c r="N2578" t="s">
        <v>50336</v>
      </c>
      <c r="O2578">
        <f>-645.478615738927 -134.077642694583 -502.320096176223</f>
        <v>-1281.876354609733</v>
      </c>
      <c r="P2578">
        <f>-614.751346123594 -176.166292828442 -225.078365404888</f>
        <v>-1015.996004356924</v>
      </c>
      <c r="Q2578">
        <f>-450.696186926724 -28.973393728168 -298.349626838128</f>
        <v>-778.01920749302008</v>
      </c>
      <c r="R2578" t="s">
        <v>50337</v>
      </c>
      <c r="S2578" t="s">
        <v>50338</v>
      </c>
      <c r="T2578" t="s">
        <v>50339</v>
      </c>
      <c r="U2578" t="s">
        <v>50340</v>
      </c>
      <c r="V2578">
        <f>-577.838126667026 -39.7045531551939 -91.3571093863224</f>
        <v>-708.89978920854242</v>
      </c>
      <c r="W2578" t="s">
        <v>50341</v>
      </c>
      <c r="X2578" t="s">
        <v>50342</v>
      </c>
      <c r="Y2578" t="s">
        <v>50343</v>
      </c>
    </row>
    <row r="2579" spans="1:25" x14ac:dyDescent="0.3">
      <c r="A2579">
        <v>128900</v>
      </c>
      <c r="B2579" t="s">
        <v>50344</v>
      </c>
      <c r="C2579" t="s">
        <v>50345</v>
      </c>
      <c r="D2579" t="s">
        <v>50346</v>
      </c>
      <c r="E2579" t="s">
        <v>50347</v>
      </c>
      <c r="F2579" t="s">
        <v>50348</v>
      </c>
      <c r="G2579" t="s">
        <v>50349</v>
      </c>
      <c r="H2579" t="s">
        <v>50350</v>
      </c>
      <c r="I2579" t="s">
        <v>50351</v>
      </c>
      <c r="J2579" t="s">
        <v>50352</v>
      </c>
      <c r="K2579" t="s">
        <v>50353</v>
      </c>
      <c r="L2579" t="s">
        <v>50354</v>
      </c>
      <c r="M2579" t="s">
        <v>50355</v>
      </c>
      <c r="N2579" t="s">
        <v>50356</v>
      </c>
      <c r="O2579">
        <f>-646.801507596831 -134.16887079809 -502.079819558296</f>
        <v>-1283.0501979532169</v>
      </c>
      <c r="P2579">
        <f>-616.001335848942 -175.382712431978 -224.714886057433</f>
        <v>-1016.0989343383529</v>
      </c>
      <c r="Q2579">
        <f>-450.787076686529 -29.7524974752041 -298.502639066022</f>
        <v>-779.04221322775516</v>
      </c>
      <c r="R2579" t="s">
        <v>50357</v>
      </c>
      <c r="S2579" t="s">
        <v>50358</v>
      </c>
      <c r="T2579" t="s">
        <v>50359</v>
      </c>
      <c r="U2579" t="s">
        <v>50360</v>
      </c>
      <c r="V2579">
        <f>-578.37414014543 -39.5611136145901 -91.3920367885729</f>
        <v>-709.32729054859306</v>
      </c>
      <c r="W2579" t="s">
        <v>50361</v>
      </c>
      <c r="X2579" t="s">
        <v>50362</v>
      </c>
      <c r="Y2579" t="s">
        <v>50363</v>
      </c>
    </row>
    <row r="2580" spans="1:25" x14ac:dyDescent="0.3">
      <c r="A2580">
        <v>128950</v>
      </c>
      <c r="B2580" t="s">
        <v>50364</v>
      </c>
      <c r="C2580" t="s">
        <v>50365</v>
      </c>
      <c r="D2580" t="s">
        <v>50366</v>
      </c>
      <c r="E2580" t="s">
        <v>50367</v>
      </c>
      <c r="F2580" t="s">
        <v>50368</v>
      </c>
      <c r="G2580" t="s">
        <v>50369</v>
      </c>
      <c r="H2580" t="s">
        <v>50370</v>
      </c>
      <c r="I2580" t="s">
        <v>50371</v>
      </c>
      <c r="J2580" t="s">
        <v>50372</v>
      </c>
      <c r="K2580" t="s">
        <v>50373</v>
      </c>
      <c r="L2580" t="s">
        <v>50374</v>
      </c>
      <c r="M2580" t="s">
        <v>50375</v>
      </c>
      <c r="N2580" t="s">
        <v>50376</v>
      </c>
      <c r="O2580">
        <f>-647.596306067223 -134.221020894244 -501.870923565686</f>
        <v>-1283.6882505271531</v>
      </c>
      <c r="P2580">
        <f>-616.771074203522 -174.998861989288 -224.444078585502</f>
        <v>-1016.2140147783119</v>
      </c>
      <c r="Q2580">
        <f>-451.018012336465 -30.1598652609468 -298.579803979025</f>
        <v>-779.75768157643677</v>
      </c>
      <c r="R2580" t="s">
        <v>50377</v>
      </c>
      <c r="S2580" t="s">
        <v>50378</v>
      </c>
      <c r="T2580" t="s">
        <v>50379</v>
      </c>
      <c r="U2580" t="s">
        <v>50380</v>
      </c>
      <c r="V2580">
        <f>-578.68350716647 -39.4763057589753 -91.4023573459215</f>
        <v>-709.56217027136677</v>
      </c>
      <c r="W2580" t="s">
        <v>50381</v>
      </c>
      <c r="X2580" t="s">
        <v>50382</v>
      </c>
      <c r="Y2580" t="s">
        <v>50383</v>
      </c>
    </row>
    <row r="2581" spans="1:25" x14ac:dyDescent="0.3">
      <c r="A2581">
        <v>129000</v>
      </c>
      <c r="B2581" t="s">
        <v>50384</v>
      </c>
      <c r="C2581" t="s">
        <v>50385</v>
      </c>
      <c r="D2581" t="s">
        <v>50386</v>
      </c>
      <c r="E2581" t="s">
        <v>50387</v>
      </c>
      <c r="F2581" t="s">
        <v>50388</v>
      </c>
      <c r="G2581" t="s">
        <v>50389</v>
      </c>
      <c r="H2581" t="s">
        <v>50390</v>
      </c>
      <c r="I2581" t="s">
        <v>50391</v>
      </c>
      <c r="J2581" t="s">
        <v>50392</v>
      </c>
      <c r="K2581" t="s">
        <v>50393</v>
      </c>
      <c r="L2581" t="s">
        <v>50394</v>
      </c>
      <c r="M2581" t="s">
        <v>50395</v>
      </c>
      <c r="N2581" t="s">
        <v>50396</v>
      </c>
      <c r="O2581">
        <f>-649.155301463517 -134.455895116426 -501.594209592499</f>
        <v>-1285.2054061724421</v>
      </c>
      <c r="P2581">
        <f>-618.842459477874 -173.999110642884 -223.932427888751</f>
        <v>-1016.773998009509</v>
      </c>
      <c r="Q2581">
        <f>-452.021316880829 -31.0067674744387 -299.247872467205</f>
        <v>-782.27595682247261</v>
      </c>
      <c r="R2581" t="s">
        <v>50397</v>
      </c>
      <c r="S2581" t="s">
        <v>50398</v>
      </c>
      <c r="T2581" t="s">
        <v>50399</v>
      </c>
      <c r="U2581" t="s">
        <v>50400</v>
      </c>
      <c r="V2581">
        <f>-579.428465030849 -39.3420856927564 -91.4281702908622</f>
        <v>-710.19872101446765</v>
      </c>
      <c r="W2581" t="s">
        <v>50401</v>
      </c>
      <c r="X2581" t="s">
        <v>50402</v>
      </c>
      <c r="Y2581" t="s">
        <v>50403</v>
      </c>
    </row>
    <row r="2582" spans="1:25" x14ac:dyDescent="0.3">
      <c r="A2582">
        <v>129050</v>
      </c>
      <c r="B2582" t="s">
        <v>50404</v>
      </c>
      <c r="C2582" t="s">
        <v>50405</v>
      </c>
      <c r="D2582" t="s">
        <v>50406</v>
      </c>
      <c r="E2582" t="s">
        <v>50407</v>
      </c>
      <c r="F2582" t="s">
        <v>50408</v>
      </c>
      <c r="G2582" t="s">
        <v>50409</v>
      </c>
      <c r="H2582" t="s">
        <v>50410</v>
      </c>
      <c r="I2582" t="s">
        <v>50411</v>
      </c>
      <c r="J2582" t="s">
        <v>50412</v>
      </c>
      <c r="K2582" t="s">
        <v>50413</v>
      </c>
      <c r="L2582" t="s">
        <v>50414</v>
      </c>
      <c r="M2582" t="s">
        <v>50415</v>
      </c>
      <c r="N2582" t="s">
        <v>50416</v>
      </c>
      <c r="O2582">
        <f>-649.917217916933 -134.507534172756 -501.490939945529</f>
        <v>-1285.9156920352179</v>
      </c>
      <c r="P2582">
        <f>-620.021147713674 -173.502521902118 -223.706408399469</f>
        <v>-1017.2300780152611</v>
      </c>
      <c r="Q2582">
        <f>-452.649525883267 -31.4559411892376 -299.588219407766</f>
        <v>-783.69368648027057</v>
      </c>
      <c r="R2582" t="s">
        <v>50417</v>
      </c>
      <c r="S2582" t="s">
        <v>50418</v>
      </c>
      <c r="T2582" t="s">
        <v>50419</v>
      </c>
      <c r="U2582" t="s">
        <v>50420</v>
      </c>
      <c r="V2582">
        <f>-579.849064963052 -39.238404382774 -91.4513760220557</f>
        <v>-710.53884536788166</v>
      </c>
      <c r="W2582" t="s">
        <v>50421</v>
      </c>
      <c r="X2582" t="s">
        <v>50422</v>
      </c>
      <c r="Y2582" t="s">
        <v>50423</v>
      </c>
    </row>
    <row r="2583" spans="1:25" x14ac:dyDescent="0.3">
      <c r="A2583">
        <v>129100</v>
      </c>
      <c r="B2583" t="s">
        <v>50424</v>
      </c>
      <c r="C2583" t="s">
        <v>50425</v>
      </c>
      <c r="D2583" t="s">
        <v>50426</v>
      </c>
      <c r="E2583" t="s">
        <v>50427</v>
      </c>
      <c r="F2583" t="s">
        <v>50428</v>
      </c>
      <c r="G2583" t="s">
        <v>50429</v>
      </c>
      <c r="H2583" t="s">
        <v>50430</v>
      </c>
      <c r="I2583" t="s">
        <v>50431</v>
      </c>
      <c r="J2583" t="s">
        <v>50432</v>
      </c>
      <c r="K2583" t="s">
        <v>50433</v>
      </c>
      <c r="L2583" t="s">
        <v>50434</v>
      </c>
      <c r="M2583" t="s">
        <v>50435</v>
      </c>
      <c r="N2583" t="s">
        <v>50436</v>
      </c>
      <c r="O2583">
        <f>-651.547515741357 -134.64336338733 -501.131435751299</f>
        <v>-1287.3223148799859</v>
      </c>
      <c r="P2583">
        <f>-622.315349760729 -172.232442057975 -223.082630755083</f>
        <v>-1017.6304225737869</v>
      </c>
      <c r="Q2583">
        <f>-453.30693262992 -32.5908707056344 -299.795588462523</f>
        <v>-785.69339179807753</v>
      </c>
      <c r="R2583" t="s">
        <v>50437</v>
      </c>
      <c r="S2583" t="s">
        <v>50438</v>
      </c>
      <c r="T2583" t="s">
        <v>50439</v>
      </c>
      <c r="U2583" t="s">
        <v>50440</v>
      </c>
      <c r="V2583">
        <f>-580.593652051259 -38.9131800095035 -91.4780160526825</f>
        <v>-710.98484811344508</v>
      </c>
      <c r="W2583" t="s">
        <v>50441</v>
      </c>
      <c r="X2583" t="s">
        <v>50442</v>
      </c>
      <c r="Y2583" t="s">
        <v>50443</v>
      </c>
    </row>
    <row r="2584" spans="1:25" x14ac:dyDescent="0.3">
      <c r="A2584">
        <v>129150</v>
      </c>
      <c r="B2584" t="s">
        <v>50444</v>
      </c>
      <c r="C2584" t="s">
        <v>50445</v>
      </c>
      <c r="D2584" t="s">
        <v>50446</v>
      </c>
      <c r="E2584" t="s">
        <v>50447</v>
      </c>
      <c r="F2584" t="s">
        <v>50448</v>
      </c>
      <c r="G2584" t="s">
        <v>50449</v>
      </c>
      <c r="H2584" t="s">
        <v>50450</v>
      </c>
      <c r="I2584" t="s">
        <v>50451</v>
      </c>
      <c r="J2584" t="s">
        <v>50452</v>
      </c>
      <c r="K2584" t="s">
        <v>50453</v>
      </c>
      <c r="L2584" t="s">
        <v>50454</v>
      </c>
      <c r="M2584" t="s">
        <v>50455</v>
      </c>
      <c r="N2584" t="s">
        <v>50456</v>
      </c>
      <c r="O2584">
        <f>-652.513356147082 -134.783597317396 -500.805182852961</f>
        <v>-1288.1021363174391</v>
      </c>
      <c r="P2584">
        <f>-623.414134362168 -171.790449022152 -222.664413358296</f>
        <v>-1017.868996742616</v>
      </c>
      <c r="Q2584">
        <f>-453.759813510696 -33.2976347002066 -300.03167510786</f>
        <v>-787.08912331876263</v>
      </c>
      <c r="R2584" t="s">
        <v>50457</v>
      </c>
      <c r="S2584" t="s">
        <v>50458</v>
      </c>
      <c r="T2584" t="s">
        <v>50459</v>
      </c>
      <c r="U2584" t="s">
        <v>50460</v>
      </c>
      <c r="V2584">
        <f>-580.90927524897 -38.7646564432062 -91.4778829628896</f>
        <v>-711.15181465506566</v>
      </c>
      <c r="W2584" t="s">
        <v>50461</v>
      </c>
      <c r="X2584" t="s">
        <v>50462</v>
      </c>
      <c r="Y2584" t="s">
        <v>50463</v>
      </c>
    </row>
    <row r="2585" spans="1:25" x14ac:dyDescent="0.3">
      <c r="A2585">
        <v>129200</v>
      </c>
      <c r="B2585" t="s">
        <v>50464</v>
      </c>
      <c r="C2585" t="s">
        <v>50465</v>
      </c>
      <c r="D2585" t="s">
        <v>50466</v>
      </c>
      <c r="E2585" t="s">
        <v>50467</v>
      </c>
      <c r="F2585" t="s">
        <v>50468</v>
      </c>
      <c r="G2585" t="s">
        <v>50469</v>
      </c>
      <c r="H2585" t="s">
        <v>50470</v>
      </c>
      <c r="I2585" t="s">
        <v>50471</v>
      </c>
      <c r="J2585" t="s">
        <v>50472</v>
      </c>
      <c r="K2585" t="s">
        <v>50473</v>
      </c>
      <c r="L2585" t="s">
        <v>50474</v>
      </c>
      <c r="M2585" t="s">
        <v>50475</v>
      </c>
      <c r="N2585" t="s">
        <v>50476</v>
      </c>
      <c r="O2585">
        <f>-654.705244179379 -134.980759210507 -500.158936199971</f>
        <v>-1289.8449395898569</v>
      </c>
      <c r="P2585">
        <f>-625.543432946844 -170.540783532099 -221.836114440173</f>
        <v>-1017.9203309191159</v>
      </c>
      <c r="Q2585">
        <f>-454.566934713031 -34.7087297363969 -300.989237028651</f>
        <v>-790.26490147807885</v>
      </c>
      <c r="R2585" t="s">
        <v>50477</v>
      </c>
      <c r="S2585" t="s">
        <v>50478</v>
      </c>
      <c r="T2585" t="s">
        <v>50479</v>
      </c>
      <c r="U2585" t="s">
        <v>50480</v>
      </c>
      <c r="V2585">
        <f>-581.468825647354 -38.464975789632 -91.4673572874465</f>
        <v>-711.40115872443255</v>
      </c>
      <c r="W2585" t="s">
        <v>50481</v>
      </c>
      <c r="X2585" t="s">
        <v>50482</v>
      </c>
      <c r="Y2585" t="s">
        <v>50483</v>
      </c>
    </row>
    <row r="2586" spans="1:25" x14ac:dyDescent="0.3">
      <c r="A2586">
        <v>129250</v>
      </c>
      <c r="B2586" t="s">
        <v>50484</v>
      </c>
      <c r="C2586" t="s">
        <v>50485</v>
      </c>
      <c r="D2586" t="s">
        <v>50486</v>
      </c>
      <c r="E2586" t="s">
        <v>50487</v>
      </c>
      <c r="F2586" t="s">
        <v>50488</v>
      </c>
      <c r="G2586" t="s">
        <v>50489</v>
      </c>
      <c r="H2586" t="s">
        <v>50490</v>
      </c>
      <c r="I2586" t="s">
        <v>50491</v>
      </c>
      <c r="J2586" t="s">
        <v>50492</v>
      </c>
      <c r="K2586" t="s">
        <v>50493</v>
      </c>
      <c r="L2586" t="s">
        <v>50494</v>
      </c>
      <c r="M2586" t="s">
        <v>50495</v>
      </c>
      <c r="N2586" t="s">
        <v>50496</v>
      </c>
      <c r="O2586">
        <f>-655.917809241892 -135.016803882238 -499.82709434502</f>
        <v>-1290.76170746915</v>
      </c>
      <c r="P2586">
        <f>-626.774884093159 -169.881873412205 -221.414158248268</f>
        <v>-1018.070915753632</v>
      </c>
      <c r="Q2586">
        <f>-455.178298411408 -35.3927286678247 -301.512965512711</f>
        <v>-792.08399259194368</v>
      </c>
      <c r="R2586" t="s">
        <v>50497</v>
      </c>
      <c r="S2586" t="s">
        <v>50498</v>
      </c>
      <c r="T2586" t="s">
        <v>50499</v>
      </c>
      <c r="U2586" t="s">
        <v>50500</v>
      </c>
      <c r="V2586">
        <f>-581.769612188319 -38.2889082959834 -91.4500878613698</f>
        <v>-711.5086083456722</v>
      </c>
      <c r="W2586" t="s">
        <v>50501</v>
      </c>
      <c r="X2586" t="s">
        <v>50502</v>
      </c>
      <c r="Y2586" t="s">
        <v>50503</v>
      </c>
    </row>
    <row r="2587" spans="1:25" x14ac:dyDescent="0.3">
      <c r="A2587">
        <v>129300</v>
      </c>
      <c r="B2587" t="s">
        <v>50504</v>
      </c>
      <c r="C2587" t="s">
        <v>50505</v>
      </c>
      <c r="D2587" t="s">
        <v>50506</v>
      </c>
      <c r="E2587" t="s">
        <v>50507</v>
      </c>
      <c r="F2587" t="s">
        <v>50508</v>
      </c>
      <c r="G2587" t="s">
        <v>50509</v>
      </c>
      <c r="H2587" t="s">
        <v>50510</v>
      </c>
      <c r="I2587" t="s">
        <v>50511</v>
      </c>
      <c r="J2587" t="s">
        <v>50512</v>
      </c>
      <c r="K2587" t="s">
        <v>50513</v>
      </c>
      <c r="L2587" t="s">
        <v>50514</v>
      </c>
      <c r="M2587" t="s">
        <v>50515</v>
      </c>
      <c r="N2587" t="s">
        <v>50516</v>
      </c>
      <c r="O2587">
        <f>-658.292127001067 -135.096161593024 -499.094998904134</f>
        <v>-1292.4832874982251</v>
      </c>
      <c r="P2587">
        <f>-629.835004965734 -168.151628058551 -220.39071359362</f>
        <v>-1018.3773466179051</v>
      </c>
      <c r="Q2587">
        <f>-455.902774178238 -37.5087265128332 -301.806569815666</f>
        <v>-795.21807050673726</v>
      </c>
      <c r="R2587" t="s">
        <v>50517</v>
      </c>
      <c r="S2587" t="s">
        <v>50518</v>
      </c>
      <c r="T2587" t="s">
        <v>50519</v>
      </c>
      <c r="U2587" t="s">
        <v>50520</v>
      </c>
      <c r="V2587">
        <f>-582.236244293617 -37.9979764147909 -91.4190755313864</f>
        <v>-711.65329623979426</v>
      </c>
      <c r="W2587" t="s">
        <v>50521</v>
      </c>
      <c r="X2587" t="s">
        <v>50522</v>
      </c>
      <c r="Y2587" t="s">
        <v>50523</v>
      </c>
    </row>
    <row r="2588" spans="1:25" x14ac:dyDescent="0.3">
      <c r="A2588">
        <v>129350</v>
      </c>
      <c r="B2588" t="s">
        <v>50524</v>
      </c>
      <c r="C2588" t="s">
        <v>50525</v>
      </c>
      <c r="D2588" t="s">
        <v>50526</v>
      </c>
      <c r="E2588" t="s">
        <v>50527</v>
      </c>
      <c r="F2588" t="s">
        <v>50528</v>
      </c>
      <c r="G2588" t="s">
        <v>50529</v>
      </c>
      <c r="H2588" t="s">
        <v>50530</v>
      </c>
      <c r="I2588" t="s">
        <v>50531</v>
      </c>
      <c r="J2588" t="s">
        <v>50532</v>
      </c>
      <c r="K2588" t="s">
        <v>50533</v>
      </c>
      <c r="L2588" t="s">
        <v>50534</v>
      </c>
      <c r="M2588" t="s">
        <v>50535</v>
      </c>
      <c r="N2588" t="s">
        <v>50536</v>
      </c>
      <c r="O2588">
        <f>-659.370071603658 -135.252922764673 -498.737667667179</f>
        <v>-1293.3606620355099</v>
      </c>
      <c r="P2588">
        <f>-631.560461077827 -167.040008524531 -219.820450591542</f>
        <v>-1018.4209201939</v>
      </c>
      <c r="Q2588">
        <f>-455.922712621622 -38.8713242492483 -301.507231624186</f>
        <v>-796.30126849505632</v>
      </c>
      <c r="R2588" t="s">
        <v>50537</v>
      </c>
      <c r="S2588" t="s">
        <v>50538</v>
      </c>
      <c r="T2588" t="s">
        <v>50539</v>
      </c>
      <c r="U2588" t="s">
        <v>50540</v>
      </c>
      <c r="V2588">
        <f>-582.460890067222 -37.9825593914522 -91.4096473164531</f>
        <v>-711.85309677512726</v>
      </c>
      <c r="W2588" t="s">
        <v>50541</v>
      </c>
      <c r="X2588" t="s">
        <v>50542</v>
      </c>
      <c r="Y2588" t="s">
        <v>50543</v>
      </c>
    </row>
    <row r="2589" spans="1:25" x14ac:dyDescent="0.3">
      <c r="A2589">
        <v>129400</v>
      </c>
      <c r="B2589" t="s">
        <v>50544</v>
      </c>
      <c r="C2589" t="s">
        <v>50545</v>
      </c>
      <c r="D2589" t="s">
        <v>50546</v>
      </c>
      <c r="E2589" t="s">
        <v>50547</v>
      </c>
      <c r="F2589" t="s">
        <v>50548</v>
      </c>
      <c r="G2589" t="s">
        <v>50549</v>
      </c>
      <c r="H2589" t="s">
        <v>50550</v>
      </c>
      <c r="I2589" t="s">
        <v>50551</v>
      </c>
      <c r="J2589" t="s">
        <v>50552</v>
      </c>
      <c r="K2589" t="s">
        <v>50553</v>
      </c>
      <c r="L2589" t="s">
        <v>50554</v>
      </c>
      <c r="M2589" t="s">
        <v>50555</v>
      </c>
      <c r="N2589" t="s">
        <v>50556</v>
      </c>
      <c r="O2589">
        <f>-661.364963122208 -135.864832329866 -498.041872995924</f>
        <v>-1295.2716684479979</v>
      </c>
      <c r="P2589">
        <f>-635.576016948658 -164.222004368421 -218.561452132464</f>
        <v>-1018.359473449543</v>
      </c>
      <c r="Q2589">
        <f>-455.148037472058 -42.8960331728531 -300.257611394939</f>
        <v>-798.30168203984999</v>
      </c>
      <c r="R2589" t="s">
        <v>50557</v>
      </c>
      <c r="S2589" t="s">
        <v>50558</v>
      </c>
      <c r="T2589" t="s">
        <v>50559</v>
      </c>
      <c r="U2589" t="s">
        <v>50560</v>
      </c>
      <c r="V2589">
        <f>-582.928420242196 -38.1353939677972 -91.4002093855261</f>
        <v>-712.46402359551928</v>
      </c>
      <c r="W2589" t="s">
        <v>50561</v>
      </c>
      <c r="X2589" t="s">
        <v>50562</v>
      </c>
      <c r="Y2589" t="s">
        <v>50563</v>
      </c>
    </row>
    <row r="2590" spans="1:25" x14ac:dyDescent="0.3">
      <c r="A2590">
        <v>129450</v>
      </c>
      <c r="B2590" t="s">
        <v>50564</v>
      </c>
      <c r="C2590" t="s">
        <v>50565</v>
      </c>
      <c r="D2590" t="s">
        <v>50566</v>
      </c>
      <c r="E2590" t="s">
        <v>50567</v>
      </c>
      <c r="F2590" t="s">
        <v>50568</v>
      </c>
      <c r="G2590" t="s">
        <v>50569</v>
      </c>
      <c r="H2590" t="s">
        <v>50570</v>
      </c>
      <c r="I2590" t="s">
        <v>50571</v>
      </c>
      <c r="J2590" t="s">
        <v>50572</v>
      </c>
      <c r="K2590" t="s">
        <v>50573</v>
      </c>
      <c r="L2590" t="s">
        <v>50574</v>
      </c>
      <c r="M2590" t="s">
        <v>50575</v>
      </c>
      <c r="N2590" t="s">
        <v>50576</v>
      </c>
      <c r="O2590">
        <f>-662.337796107947 -136.112936351789 -497.712986775005</f>
        <v>-1296.1637192347412</v>
      </c>
      <c r="P2590">
        <f>-637.26110647149 -162.624092554656 -217.986510475629</f>
        <v>-1017.8717095017749</v>
      </c>
      <c r="Q2590">
        <f>-454.56154288611 -44.7620299381533 -299.705217990863</f>
        <v>-799.02879081512629</v>
      </c>
      <c r="R2590" t="s">
        <v>50577</v>
      </c>
      <c r="S2590" t="s">
        <v>50578</v>
      </c>
      <c r="T2590" t="s">
        <v>50579</v>
      </c>
      <c r="U2590" t="s">
        <v>50580</v>
      </c>
      <c r="V2590">
        <f>-583.165465991636 -38.1732313338682 -91.4015103058383</f>
        <v>-712.74020763134251</v>
      </c>
      <c r="W2590" t="s">
        <v>50581</v>
      </c>
      <c r="X2590" t="s">
        <v>50582</v>
      </c>
      <c r="Y2590" t="s">
        <v>50583</v>
      </c>
    </row>
    <row r="2591" spans="1:25" x14ac:dyDescent="0.3">
      <c r="A2591">
        <v>129500</v>
      </c>
      <c r="B2591" t="s">
        <v>50584</v>
      </c>
      <c r="C2591" t="s">
        <v>50585</v>
      </c>
      <c r="D2591" t="s">
        <v>50586</v>
      </c>
      <c r="E2591" t="s">
        <v>50587</v>
      </c>
      <c r="F2591" t="s">
        <v>50588</v>
      </c>
      <c r="G2591" t="s">
        <v>50589</v>
      </c>
      <c r="H2591" t="s">
        <v>50590</v>
      </c>
      <c r="I2591" t="s">
        <v>50591</v>
      </c>
      <c r="J2591" t="s">
        <v>50592</v>
      </c>
      <c r="K2591" t="s">
        <v>50593</v>
      </c>
      <c r="L2591" t="s">
        <v>50594</v>
      </c>
      <c r="M2591" t="s">
        <v>50595</v>
      </c>
      <c r="N2591" t="s">
        <v>50596</v>
      </c>
      <c r="O2591">
        <f>-664.703910995853 -136.631699042889 -497.015902509305</f>
        <v>-1298.3515125480471</v>
      </c>
      <c r="P2591">
        <f>-640.676370535589 -160.600899423696 -216.968193137727</f>
        <v>-1018.2454630970119</v>
      </c>
      <c r="Q2591">
        <f>-454.869971941867 -47.8977299865962 -298.959212734362</f>
        <v>-801.72691466282515</v>
      </c>
      <c r="R2591" t="s">
        <v>50597</v>
      </c>
      <c r="S2591" t="s">
        <v>50598</v>
      </c>
      <c r="T2591" t="s">
        <v>50599</v>
      </c>
      <c r="U2591" t="s">
        <v>50600</v>
      </c>
      <c r="V2591">
        <f>-583.78044526252 -38.253504489122 -91.4097677723927</f>
        <v>-713.44371752403458</v>
      </c>
      <c r="W2591" t="s">
        <v>50601</v>
      </c>
      <c r="X2591" t="s">
        <v>50602</v>
      </c>
      <c r="Y2591" t="s">
        <v>50603</v>
      </c>
    </row>
    <row r="2592" spans="1:25" x14ac:dyDescent="0.3">
      <c r="A2592">
        <v>129550</v>
      </c>
      <c r="B2592" t="s">
        <v>50604</v>
      </c>
      <c r="C2592" t="s">
        <v>50605</v>
      </c>
      <c r="D2592" t="s">
        <v>50606</v>
      </c>
      <c r="E2592" t="s">
        <v>50607</v>
      </c>
      <c r="F2592" t="s">
        <v>50608</v>
      </c>
      <c r="G2592" t="s">
        <v>50609</v>
      </c>
      <c r="H2592" t="s">
        <v>50610</v>
      </c>
      <c r="I2592" t="s">
        <v>50611</v>
      </c>
      <c r="J2592" t="s">
        <v>50612</v>
      </c>
      <c r="K2592" t="s">
        <v>50613</v>
      </c>
      <c r="L2592" t="s">
        <v>50614</v>
      </c>
      <c r="M2592" t="s">
        <v>50615</v>
      </c>
      <c r="N2592" t="s">
        <v>50616</v>
      </c>
      <c r="O2592">
        <f>-665.949795411682 -136.89197275585 -496.687807866718</f>
        <v>-1299.5295760342501</v>
      </c>
      <c r="P2592">
        <f>-642.104876604278 -160.18894691079 -216.567777665616</f>
        <v>-1018.8616011806841</v>
      </c>
      <c r="Q2592">
        <f>-455.349155737467 -48.9872040556199 -298.451828359028</f>
        <v>-802.78818815211491</v>
      </c>
      <c r="R2592" t="s">
        <v>50617</v>
      </c>
      <c r="S2592" t="s">
        <v>50618</v>
      </c>
      <c r="T2592" t="s">
        <v>50619</v>
      </c>
      <c r="U2592" t="s">
        <v>50620</v>
      </c>
      <c r="V2592">
        <f>-584.080452210102 -38.2963341363311 -91.4187045643056</f>
        <v>-713.79549091073864</v>
      </c>
      <c r="W2592" t="s">
        <v>50621</v>
      </c>
      <c r="X2592" t="s">
        <v>50622</v>
      </c>
      <c r="Y2592" t="s">
        <v>50623</v>
      </c>
    </row>
    <row r="2593" spans="1:25" x14ac:dyDescent="0.3">
      <c r="A2593">
        <v>129600</v>
      </c>
      <c r="B2593" t="s">
        <v>50624</v>
      </c>
      <c r="C2593" t="s">
        <v>50625</v>
      </c>
      <c r="D2593" t="s">
        <v>50626</v>
      </c>
      <c r="E2593" t="s">
        <v>50627</v>
      </c>
      <c r="F2593" t="s">
        <v>50628</v>
      </c>
      <c r="G2593" t="s">
        <v>50629</v>
      </c>
      <c r="H2593" t="s">
        <v>50630</v>
      </c>
      <c r="I2593" t="s">
        <v>50631</v>
      </c>
      <c r="J2593" t="s">
        <v>50632</v>
      </c>
      <c r="K2593" t="s">
        <v>50633</v>
      </c>
      <c r="L2593" t="s">
        <v>50634</v>
      </c>
      <c r="M2593" t="s">
        <v>50635</v>
      </c>
      <c r="N2593" t="s">
        <v>50636</v>
      </c>
      <c r="O2593">
        <f>-668.661431684869 -137.304967161669 -495.942989562072</f>
        <v>-1301.9093884086099</v>
      </c>
      <c r="P2593">
        <f>-644.403472623419 -159.777808455924 -215.790922179788</f>
        <v>-1019.9722032591311</v>
      </c>
      <c r="Q2593">
        <f>-456.534543460818 -50.1979060520903 -297.314454914126</f>
        <v>-804.04690442703418</v>
      </c>
      <c r="R2593" t="s">
        <v>50637</v>
      </c>
      <c r="S2593" t="s">
        <v>50638</v>
      </c>
      <c r="T2593" t="s">
        <v>50639</v>
      </c>
      <c r="U2593" t="s">
        <v>50640</v>
      </c>
      <c r="V2593">
        <f>-584.755335489187 -38.4341093255446 -91.4245647153637</f>
        <v>-714.61400953009525</v>
      </c>
      <c r="W2593" t="s">
        <v>50641</v>
      </c>
      <c r="X2593" t="s">
        <v>50642</v>
      </c>
      <c r="Y2593" t="s">
        <v>50643</v>
      </c>
    </row>
    <row r="2594" spans="1:25" x14ac:dyDescent="0.3">
      <c r="A2594">
        <v>129650</v>
      </c>
      <c r="B2594" t="s">
        <v>50644</v>
      </c>
      <c r="C2594" t="s">
        <v>50645</v>
      </c>
      <c r="D2594" t="s">
        <v>50646</v>
      </c>
      <c r="E2594" t="s">
        <v>50647</v>
      </c>
      <c r="F2594" t="s">
        <v>50648</v>
      </c>
      <c r="G2594" t="s">
        <v>50649</v>
      </c>
      <c r="H2594" t="s">
        <v>50650</v>
      </c>
      <c r="I2594" t="s">
        <v>50651</v>
      </c>
      <c r="J2594" t="s">
        <v>50652</v>
      </c>
      <c r="K2594" t="s">
        <v>50653</v>
      </c>
      <c r="L2594" t="s">
        <v>50654</v>
      </c>
      <c r="M2594" t="s">
        <v>50655</v>
      </c>
      <c r="N2594" t="s">
        <v>50656</v>
      </c>
      <c r="O2594">
        <f>-670.085395570223 -137.594150256237 -495.532825227095</f>
        <v>-1303.212371053555</v>
      </c>
      <c r="P2594">
        <f>-645.443852482903 -160.012195719115 -215.409916284909</f>
        <v>-1020.8659644869269</v>
      </c>
      <c r="Q2594">
        <f>-457.533448948905 -50.50334033635 -296.932797278604</f>
        <v>-804.96958656385902</v>
      </c>
      <c r="R2594" t="s">
        <v>50657</v>
      </c>
      <c r="S2594" t="s">
        <v>50658</v>
      </c>
      <c r="T2594" t="s">
        <v>50659</v>
      </c>
      <c r="U2594" t="s">
        <v>50660</v>
      </c>
      <c r="V2594">
        <f>-585.17285408553 -38.546410933377 -91.4255001344878</f>
        <v>-715.14476515339493</v>
      </c>
      <c r="W2594" t="s">
        <v>50661</v>
      </c>
      <c r="X2594" t="s">
        <v>50662</v>
      </c>
      <c r="Y2594" t="s">
        <v>50663</v>
      </c>
    </row>
    <row r="2595" spans="1:25" x14ac:dyDescent="0.3">
      <c r="A2595">
        <v>129700</v>
      </c>
      <c r="B2595" t="s">
        <v>50664</v>
      </c>
      <c r="C2595" t="s">
        <v>50665</v>
      </c>
      <c r="D2595" t="s">
        <v>50666</v>
      </c>
      <c r="E2595" t="s">
        <v>50667</v>
      </c>
      <c r="F2595" t="s">
        <v>50668</v>
      </c>
      <c r="G2595" t="s">
        <v>50669</v>
      </c>
      <c r="H2595" t="s">
        <v>50670</v>
      </c>
      <c r="I2595" t="s">
        <v>50671</v>
      </c>
      <c r="J2595" t="s">
        <v>50672</v>
      </c>
      <c r="K2595" t="s">
        <v>50673</v>
      </c>
      <c r="L2595" t="s">
        <v>50674</v>
      </c>
      <c r="M2595" t="s">
        <v>50675</v>
      </c>
      <c r="N2595" t="s">
        <v>50676</v>
      </c>
      <c r="O2595">
        <f>-673.141965208785 -138.08235406372 -494.853291459666</f>
        <v>-1306.077610732171</v>
      </c>
      <c r="P2595">
        <f>-647.1562938476 -160.155297931548 -214.824627989206</f>
        <v>-1022.136219768354</v>
      </c>
      <c r="Q2595">
        <f>-459.57928957767 -50.1524209914639 -296.450307153419</f>
        <v>-806.18201772255293</v>
      </c>
      <c r="R2595" t="s">
        <v>50677</v>
      </c>
      <c r="S2595" t="s">
        <v>50678</v>
      </c>
      <c r="T2595" t="s">
        <v>50679</v>
      </c>
      <c r="U2595" t="s">
        <v>50680</v>
      </c>
      <c r="V2595">
        <f>-586.123006796849 -38.7289246158209 -91.4354334445053</f>
        <v>-716.28736485717525</v>
      </c>
      <c r="W2595" t="s">
        <v>50681</v>
      </c>
      <c r="X2595" t="s">
        <v>50682</v>
      </c>
      <c r="Y2595" t="s">
        <v>50683</v>
      </c>
    </row>
    <row r="2596" spans="1:25" x14ac:dyDescent="0.3">
      <c r="A2596">
        <v>129750</v>
      </c>
      <c r="B2596" t="s">
        <v>50684</v>
      </c>
      <c r="C2596" t="s">
        <v>50685</v>
      </c>
      <c r="D2596" t="s">
        <v>50686</v>
      </c>
      <c r="E2596" t="s">
        <v>50687</v>
      </c>
      <c r="F2596" t="s">
        <v>50688</v>
      </c>
      <c r="G2596" t="s">
        <v>50689</v>
      </c>
      <c r="H2596" t="s">
        <v>50690</v>
      </c>
      <c r="I2596" t="s">
        <v>50691</v>
      </c>
      <c r="J2596" t="s">
        <v>50692</v>
      </c>
      <c r="K2596" t="s">
        <v>50693</v>
      </c>
      <c r="L2596" t="s">
        <v>50694</v>
      </c>
      <c r="M2596" t="s">
        <v>50695</v>
      </c>
      <c r="N2596" t="s">
        <v>50696</v>
      </c>
      <c r="O2596">
        <f>-674.722506708648 -138.388321811811 -494.474633599115</f>
        <v>-1307.585462119574</v>
      </c>
      <c r="P2596">
        <f>-648.04590644256 -159.900145308117 -214.467194444576</f>
        <v>-1022.4132461952529</v>
      </c>
      <c r="Q2596">
        <f>-460.584431644289 -49.9220633843347 -296.391362877087</f>
        <v>-806.89785790571068</v>
      </c>
      <c r="R2596" t="s">
        <v>50697</v>
      </c>
      <c r="S2596" t="s">
        <v>50698</v>
      </c>
      <c r="T2596" t="s">
        <v>50699</v>
      </c>
      <c r="U2596" t="s">
        <v>50700</v>
      </c>
      <c r="V2596">
        <f>-586.679635612993 -38.8789781530932 -91.4465310412689</f>
        <v>-717.00514480735512</v>
      </c>
      <c r="W2596" t="s">
        <v>50701</v>
      </c>
      <c r="X2596" t="s">
        <v>50702</v>
      </c>
      <c r="Y2596" t="s">
        <v>50703</v>
      </c>
    </row>
    <row r="2597" spans="1:25" x14ac:dyDescent="0.3">
      <c r="A2597">
        <v>129800</v>
      </c>
      <c r="B2597" t="s">
        <v>50704</v>
      </c>
      <c r="C2597" t="s">
        <v>50705</v>
      </c>
      <c r="D2597" t="s">
        <v>50706</v>
      </c>
      <c r="E2597" t="s">
        <v>50707</v>
      </c>
      <c r="F2597" t="s">
        <v>50708</v>
      </c>
      <c r="G2597" t="s">
        <v>50709</v>
      </c>
      <c r="H2597" t="s">
        <v>50710</v>
      </c>
      <c r="I2597" t="s">
        <v>50711</v>
      </c>
      <c r="J2597" t="s">
        <v>50712</v>
      </c>
      <c r="K2597" t="s">
        <v>50713</v>
      </c>
      <c r="L2597" t="s">
        <v>50714</v>
      </c>
      <c r="M2597" t="s">
        <v>50715</v>
      </c>
      <c r="N2597" t="s">
        <v>50716</v>
      </c>
      <c r="O2597">
        <f>-677.510054936298 -139.199975444416 -493.632514686354</f>
        <v>-1310.3425450670679</v>
      </c>
      <c r="P2597">
        <f>-650.361913488668 -159.252613502126 -213.561957450628</f>
        <v>-1023.1764844414221</v>
      </c>
      <c r="Q2597">
        <f>-462.477009765335 -50.596149767561 -296.275786660264</f>
        <v>-809.34894619316003</v>
      </c>
      <c r="R2597" t="s">
        <v>50717</v>
      </c>
      <c r="S2597" t="s">
        <v>50718</v>
      </c>
      <c r="T2597" t="s">
        <v>50719</v>
      </c>
      <c r="U2597" t="s">
        <v>50720</v>
      </c>
      <c r="V2597">
        <f>-587.866570412973 -39.1895595869639 -91.4759149248314</f>
        <v>-718.53204492476834</v>
      </c>
      <c r="W2597" t="s">
        <v>50721</v>
      </c>
      <c r="X2597" t="s">
        <v>50722</v>
      </c>
      <c r="Y2597" t="s">
        <v>50723</v>
      </c>
    </row>
    <row r="2598" spans="1:25" x14ac:dyDescent="0.3">
      <c r="A2598">
        <v>129850</v>
      </c>
      <c r="B2598" t="s">
        <v>50724</v>
      </c>
      <c r="C2598" t="s">
        <v>50725</v>
      </c>
      <c r="D2598" t="s">
        <v>50726</v>
      </c>
      <c r="E2598" t="s">
        <v>50727</v>
      </c>
      <c r="F2598" t="s">
        <v>50728</v>
      </c>
      <c r="G2598" t="s">
        <v>50729</v>
      </c>
      <c r="H2598" t="s">
        <v>50730</v>
      </c>
      <c r="I2598" t="s">
        <v>50731</v>
      </c>
      <c r="J2598" t="s">
        <v>50732</v>
      </c>
      <c r="K2598" t="s">
        <v>50733</v>
      </c>
      <c r="L2598" t="s">
        <v>50734</v>
      </c>
      <c r="M2598" t="s">
        <v>50735</v>
      </c>
      <c r="N2598" t="s">
        <v>50736</v>
      </c>
      <c r="O2598">
        <f>-678.690572658493 -139.621136720998 -493.230933976316</f>
        <v>-1311.5426433558071</v>
      </c>
      <c r="P2598">
        <f>-651.573875783817 -159.119407802528 -213.118318512845</f>
        <v>-1023.8116020991901</v>
      </c>
      <c r="Q2598">
        <f>-463.220559413874 -51.4767503434286 -296.092197980185</f>
        <v>-810.78950773748761</v>
      </c>
      <c r="R2598" t="s">
        <v>50737</v>
      </c>
      <c r="S2598" t="s">
        <v>50738</v>
      </c>
      <c r="T2598" t="s">
        <v>50739</v>
      </c>
      <c r="U2598" t="s">
        <v>50740</v>
      </c>
      <c r="V2598">
        <f>-588.456324595867 -39.4096882151673 -91.4834723553275</f>
        <v>-719.34948516636189</v>
      </c>
      <c r="W2598" t="s">
        <v>50741</v>
      </c>
      <c r="X2598" t="s">
        <v>50742</v>
      </c>
      <c r="Y2598" t="s">
        <v>50743</v>
      </c>
    </row>
    <row r="2599" spans="1:25" x14ac:dyDescent="0.3">
      <c r="A2599">
        <v>129900</v>
      </c>
      <c r="B2599" t="s">
        <v>50744</v>
      </c>
      <c r="C2599" t="s">
        <v>50745</v>
      </c>
      <c r="D2599" t="s">
        <v>50746</v>
      </c>
      <c r="E2599" t="s">
        <v>50747</v>
      </c>
      <c r="F2599" t="s">
        <v>50748</v>
      </c>
      <c r="G2599" t="s">
        <v>50749</v>
      </c>
      <c r="H2599" t="s">
        <v>50750</v>
      </c>
      <c r="I2599" t="s">
        <v>50751</v>
      </c>
      <c r="J2599" t="s">
        <v>50752</v>
      </c>
      <c r="K2599" t="s">
        <v>50753</v>
      </c>
      <c r="L2599" t="s">
        <v>50754</v>
      </c>
      <c r="M2599" t="s">
        <v>50755</v>
      </c>
      <c r="N2599" t="s">
        <v>50756</v>
      </c>
      <c r="O2599">
        <f>-680.147189950205 -140.379054467887 -492.639331442214</f>
        <v>-1313.1655758603058</v>
      </c>
      <c r="P2599">
        <f>-654.059719075747 -158.352625709968 -212.326985551245</f>
        <v>-1024.7393303369599</v>
      </c>
      <c r="Q2599">
        <f>-464.295898604631 -53.467260520393 -295.617494136047</f>
        <v>-813.38065326107107</v>
      </c>
      <c r="R2599" t="s">
        <v>50757</v>
      </c>
      <c r="S2599" t="s">
        <v>50758</v>
      </c>
      <c r="T2599" t="s">
        <v>50759</v>
      </c>
      <c r="U2599" t="s">
        <v>50760</v>
      </c>
      <c r="V2599">
        <f>-589.645437425254 -39.7571483789106 -91.5335669977321</f>
        <v>-720.93615280189681</v>
      </c>
      <c r="W2599" t="s">
        <v>50761</v>
      </c>
      <c r="X2599" t="s">
        <v>50762</v>
      </c>
      <c r="Y2599" t="s">
        <v>50763</v>
      </c>
    </row>
    <row r="2600" spans="1:25" x14ac:dyDescent="0.3">
      <c r="A2600">
        <v>129950</v>
      </c>
      <c r="B2600" t="s">
        <v>50764</v>
      </c>
      <c r="C2600" t="s">
        <v>50765</v>
      </c>
      <c r="D2600" t="s">
        <v>50766</v>
      </c>
      <c r="E2600" t="s">
        <v>50767</v>
      </c>
      <c r="F2600" t="s">
        <v>50768</v>
      </c>
      <c r="G2600" t="s">
        <v>50769</v>
      </c>
      <c r="H2600" t="s">
        <v>50770</v>
      </c>
      <c r="I2600" t="s">
        <v>50771</v>
      </c>
      <c r="J2600" t="s">
        <v>50772</v>
      </c>
      <c r="K2600" t="s">
        <v>50773</v>
      </c>
      <c r="L2600" t="s">
        <v>50774</v>
      </c>
      <c r="M2600" t="s">
        <v>50775</v>
      </c>
      <c r="N2600" t="s">
        <v>50776</v>
      </c>
      <c r="O2600">
        <f>-680.77737315259 -140.683416367701 -492.42367704834</f>
        <v>-1313.8844665686311</v>
      </c>
      <c r="P2600">
        <f>-655.409293807474 -158.031411738615 -212.00604203638</f>
        <v>-1025.446747582469</v>
      </c>
      <c r="Q2600">
        <f>-464.921129645003 -54.3155286406675 -295.107351623652</f>
        <v>-814.34400990932249</v>
      </c>
      <c r="R2600" t="s">
        <v>50777</v>
      </c>
      <c r="S2600" t="s">
        <v>50778</v>
      </c>
      <c r="T2600" t="s">
        <v>50779</v>
      </c>
      <c r="U2600" t="s">
        <v>50780</v>
      </c>
      <c r="V2600">
        <f>-590.292774407597 -40.0087925893251 -91.5774409485399</f>
        <v>-721.87900794546204</v>
      </c>
      <c r="W2600" t="s">
        <v>50781</v>
      </c>
      <c r="X2600" t="s">
        <v>50782</v>
      </c>
      <c r="Y2600" t="s">
        <v>50783</v>
      </c>
    </row>
    <row r="2601" spans="1:25" x14ac:dyDescent="0.3">
      <c r="A2601">
        <v>130000</v>
      </c>
      <c r="B2601" t="s">
        <v>50784</v>
      </c>
      <c r="C2601" t="s">
        <v>50785</v>
      </c>
      <c r="D2601" t="s">
        <v>50786</v>
      </c>
      <c r="E2601" t="s">
        <v>50787</v>
      </c>
      <c r="F2601" t="s">
        <v>50788</v>
      </c>
      <c r="G2601" t="s">
        <v>50789</v>
      </c>
      <c r="H2601" t="s">
        <v>50790</v>
      </c>
      <c r="I2601" t="s">
        <v>50791</v>
      </c>
      <c r="J2601" t="s">
        <v>50792</v>
      </c>
      <c r="K2601" t="s">
        <v>50793</v>
      </c>
      <c r="L2601" t="s">
        <v>50794</v>
      </c>
      <c r="M2601" t="s">
        <v>50795</v>
      </c>
      <c r="N2601" t="s">
        <v>50796</v>
      </c>
      <c r="O2601">
        <f>-681.465564638252 -141.412595401938 -492.323182108154</f>
        <v>-1315.2013421483439</v>
      </c>
      <c r="P2601">
        <f>-657.885442778924 -157.939772295998 -211.699875392489</f>
        <v>-1027.525090467411</v>
      </c>
      <c r="Q2601">
        <f>-465.593175926839 -56.1007172411341 -292.946469750234</f>
        <v>-814.64036291820707</v>
      </c>
      <c r="R2601" t="s">
        <v>50797</v>
      </c>
      <c r="S2601" t="s">
        <v>50798</v>
      </c>
      <c r="T2601" t="s">
        <v>50799</v>
      </c>
      <c r="U2601" t="s">
        <v>50800</v>
      </c>
      <c r="V2601">
        <f>-591.746715341244 -40.7607975637206 -91.7243559296853</f>
        <v>-724.23186883464996</v>
      </c>
      <c r="W2601" t="s">
        <v>50801</v>
      </c>
      <c r="X2601" t="s">
        <v>50802</v>
      </c>
      <c r="Y2601" t="s">
        <v>50803</v>
      </c>
    </row>
    <row r="2602" spans="1:25" x14ac:dyDescent="0.3">
      <c r="A2602">
        <v>130050</v>
      </c>
      <c r="B2602" t="s">
        <v>50804</v>
      </c>
      <c r="C2602" t="s">
        <v>50805</v>
      </c>
      <c r="D2602" t="s">
        <v>50806</v>
      </c>
      <c r="E2602" t="s">
        <v>50807</v>
      </c>
      <c r="F2602" t="s">
        <v>50808</v>
      </c>
      <c r="G2602" t="s">
        <v>50809</v>
      </c>
      <c r="H2602" t="s">
        <v>50810</v>
      </c>
      <c r="I2602" t="s">
        <v>50811</v>
      </c>
      <c r="J2602" t="s">
        <v>50812</v>
      </c>
      <c r="K2602" t="s">
        <v>50813</v>
      </c>
      <c r="L2602" t="s">
        <v>50814</v>
      </c>
      <c r="M2602" t="s">
        <v>50815</v>
      </c>
      <c r="N2602" t="s">
        <v>50816</v>
      </c>
      <c r="O2602">
        <f>-681.644887143206 -141.81290640253 -492.444353102684</f>
        <v>-1315.9021466484201</v>
      </c>
      <c r="P2602">
        <f>-658.917078914355 -158.234309240358 -211.744607607939</f>
        <v>-1028.8959957626521</v>
      </c>
      <c r="Q2602">
        <f>-465.909435107105 -56.7177057181432 -291.687915471376</f>
        <v>-814.31505629662433</v>
      </c>
      <c r="R2602" t="s">
        <v>50817</v>
      </c>
      <c r="S2602" t="s">
        <v>50818</v>
      </c>
      <c r="T2602" t="s">
        <v>50819</v>
      </c>
      <c r="U2602" t="s">
        <v>50820</v>
      </c>
      <c r="V2602">
        <f>-592.463195883027 -41.1370432041463 -91.8110335953008</f>
        <v>-725.41127268247408</v>
      </c>
      <c r="W2602" t="s">
        <v>50821</v>
      </c>
      <c r="X2602" t="s">
        <v>50822</v>
      </c>
      <c r="Y2602" t="s">
        <v>50823</v>
      </c>
    </row>
    <row r="2603" spans="1:25" x14ac:dyDescent="0.3">
      <c r="A2603">
        <v>130100</v>
      </c>
      <c r="B2603" t="s">
        <v>50824</v>
      </c>
      <c r="C2603" t="s">
        <v>50825</v>
      </c>
      <c r="D2603" t="s">
        <v>50826</v>
      </c>
      <c r="E2603" t="s">
        <v>50827</v>
      </c>
      <c r="F2603" t="s">
        <v>50828</v>
      </c>
      <c r="G2603" t="s">
        <v>50829</v>
      </c>
      <c r="H2603" t="s">
        <v>50830</v>
      </c>
      <c r="I2603" t="s">
        <v>50831</v>
      </c>
      <c r="J2603" t="s">
        <v>50832</v>
      </c>
      <c r="K2603" t="s">
        <v>50833</v>
      </c>
      <c r="L2603" t="s">
        <v>50834</v>
      </c>
      <c r="M2603" t="s">
        <v>50835</v>
      </c>
      <c r="N2603" t="s">
        <v>50836</v>
      </c>
      <c r="O2603">
        <f>-681.851982051036 -142.935292479536 -492.648580939881</f>
        <v>-1317.4358554704529</v>
      </c>
      <c r="P2603">
        <f>-660.432725759181 -158.957957936082 -211.822920124123</f>
        <v>-1031.213603819386</v>
      </c>
      <c r="Q2603">
        <f>-466.495583868696 -57.4989006244975 -289.559432016667</f>
        <v>-813.55391650986053</v>
      </c>
      <c r="R2603" t="s">
        <v>50837</v>
      </c>
      <c r="S2603" t="s">
        <v>50838</v>
      </c>
      <c r="T2603" t="s">
        <v>50839</v>
      </c>
      <c r="U2603" t="s">
        <v>50840</v>
      </c>
      <c r="V2603">
        <f>-593.769423397328 -42.2271635256491 -91.9979247665636</f>
        <v>-727.99451168954067</v>
      </c>
      <c r="W2603" t="s">
        <v>50841</v>
      </c>
      <c r="X2603" t="s">
        <v>50842</v>
      </c>
      <c r="Y2603" t="s">
        <v>50843</v>
      </c>
    </row>
    <row r="2604" spans="1:25" x14ac:dyDescent="0.3">
      <c r="A2604">
        <v>130150</v>
      </c>
      <c r="B2604" t="s">
        <v>50844</v>
      </c>
      <c r="C2604" t="s">
        <v>50845</v>
      </c>
      <c r="D2604" t="s">
        <v>50846</v>
      </c>
      <c r="E2604" t="s">
        <v>50847</v>
      </c>
      <c r="F2604" t="s">
        <v>50848</v>
      </c>
      <c r="G2604" t="s">
        <v>50849</v>
      </c>
      <c r="H2604" t="s">
        <v>50850</v>
      </c>
      <c r="I2604" t="s">
        <v>50851</v>
      </c>
      <c r="J2604" t="s">
        <v>50852</v>
      </c>
      <c r="K2604" t="s">
        <v>50853</v>
      </c>
      <c r="L2604" t="s">
        <v>50854</v>
      </c>
      <c r="M2604" t="s">
        <v>50855</v>
      </c>
      <c r="N2604" t="s">
        <v>50856</v>
      </c>
      <c r="O2604">
        <f>-681.639894167898 -143.585377143727 -492.764380054361</f>
        <v>-1317.989651365986</v>
      </c>
      <c r="P2604">
        <f>-660.719627803701 -159.792237978705 -211.91153288897</f>
        <v>-1032.4233986713759</v>
      </c>
      <c r="Q2604">
        <f>-466.353065656794 -58.5515846132698 -288.85633184583</f>
        <v>-813.76098211589385</v>
      </c>
      <c r="R2604" t="s">
        <v>50857</v>
      </c>
      <c r="S2604" t="s">
        <v>50858</v>
      </c>
      <c r="T2604" t="s">
        <v>50859</v>
      </c>
      <c r="U2604" t="s">
        <v>50860</v>
      </c>
      <c r="V2604">
        <f>-594.215107041372 -42.7809645644052 -92.1134944633113</f>
        <v>-729.10956606908849</v>
      </c>
      <c r="W2604" t="s">
        <v>50861</v>
      </c>
      <c r="X2604" t="s">
        <v>50862</v>
      </c>
      <c r="Y2604" t="s">
        <v>50863</v>
      </c>
    </row>
    <row r="2605" spans="1:25" x14ac:dyDescent="0.3">
      <c r="A2605">
        <v>130200</v>
      </c>
      <c r="B2605" t="s">
        <v>50864</v>
      </c>
      <c r="C2605" t="s">
        <v>50865</v>
      </c>
      <c r="D2605" t="s">
        <v>50866</v>
      </c>
      <c r="E2605" t="s">
        <v>50867</v>
      </c>
      <c r="F2605" t="s">
        <v>50868</v>
      </c>
      <c r="G2605" t="s">
        <v>50869</v>
      </c>
      <c r="H2605" t="s">
        <v>50870</v>
      </c>
      <c r="I2605" t="s">
        <v>50871</v>
      </c>
      <c r="J2605" t="s">
        <v>50872</v>
      </c>
      <c r="K2605" t="s">
        <v>50873</v>
      </c>
      <c r="L2605" t="s">
        <v>50874</v>
      </c>
      <c r="M2605" t="s">
        <v>50875</v>
      </c>
      <c r="N2605" t="s">
        <v>50876</v>
      </c>
      <c r="O2605">
        <f>-680.942621207961 -144.34809922672 -493.18224182021</f>
        <v>-1318.4729622548909</v>
      </c>
      <c r="P2605">
        <f>-660.501685177936 -161.176875189179 -212.330696620785</f>
        <v>-1034.0092569879</v>
      </c>
      <c r="Q2605">
        <f>-465.487874055382 -60.4120459739149 -288.255531524619</f>
        <v>-814.15545155391601</v>
      </c>
      <c r="R2605" t="s">
        <v>50877</v>
      </c>
      <c r="S2605" t="s">
        <v>50878</v>
      </c>
      <c r="T2605" t="s">
        <v>50879</v>
      </c>
      <c r="U2605" t="s">
        <v>50880</v>
      </c>
      <c r="V2605">
        <f>-594.50598516189 -43.6458094515788 -92.2689715915805</f>
        <v>-730.42076620504918</v>
      </c>
      <c r="W2605" t="s">
        <v>50881</v>
      </c>
      <c r="X2605" t="s">
        <v>50882</v>
      </c>
      <c r="Y2605" t="s">
        <v>50883</v>
      </c>
    </row>
    <row r="2606" spans="1:25" x14ac:dyDescent="0.3">
      <c r="A2606">
        <v>130250</v>
      </c>
      <c r="B2606" t="s">
        <v>50884</v>
      </c>
      <c r="C2606" t="s">
        <v>50885</v>
      </c>
      <c r="D2606" t="s">
        <v>50886</v>
      </c>
      <c r="E2606" t="s">
        <v>50887</v>
      </c>
      <c r="F2606" t="s">
        <v>50888</v>
      </c>
      <c r="G2606" t="s">
        <v>50889</v>
      </c>
      <c r="H2606" t="s">
        <v>50890</v>
      </c>
      <c r="I2606" t="s">
        <v>50891</v>
      </c>
      <c r="J2606" t="s">
        <v>50892</v>
      </c>
      <c r="K2606" t="s">
        <v>50893</v>
      </c>
      <c r="L2606" t="s">
        <v>50894</v>
      </c>
      <c r="M2606" t="s">
        <v>50895</v>
      </c>
      <c r="N2606" t="s">
        <v>50896</v>
      </c>
      <c r="O2606">
        <f>-680.496206383845 -144.671961237069 -493.44223856755</f>
        <v>-1318.6104061884639</v>
      </c>
      <c r="P2606">
        <f>-660.152484063147 -161.909591008005 -212.608593833839</f>
        <v>-1034.6706689049911</v>
      </c>
      <c r="Q2606">
        <f>-465.033773126172 -61.2241280199039 -288.369112497477</f>
        <v>-814.62701364355291</v>
      </c>
      <c r="R2606" t="s">
        <v>50897</v>
      </c>
      <c r="S2606" t="s">
        <v>50898</v>
      </c>
      <c r="T2606" t="s">
        <v>50899</v>
      </c>
      <c r="U2606" t="s">
        <v>50900</v>
      </c>
      <c r="V2606">
        <f>-594.36083757691 -44.0639679625458 -92.3254756310976</f>
        <v>-730.75028117055331</v>
      </c>
      <c r="W2606" t="s">
        <v>50901</v>
      </c>
      <c r="X2606" t="s">
        <v>50902</v>
      </c>
      <c r="Y2606" t="s">
        <v>50903</v>
      </c>
    </row>
    <row r="2607" spans="1:25" x14ac:dyDescent="0.3">
      <c r="A2607">
        <v>130300</v>
      </c>
      <c r="B2607" t="s">
        <v>50904</v>
      </c>
      <c r="C2607" t="s">
        <v>50905</v>
      </c>
      <c r="D2607" t="s">
        <v>50906</v>
      </c>
      <c r="E2607" t="s">
        <v>50907</v>
      </c>
      <c r="F2607" t="s">
        <v>50908</v>
      </c>
      <c r="G2607" t="s">
        <v>50909</v>
      </c>
      <c r="H2607" t="s">
        <v>50910</v>
      </c>
      <c r="I2607" t="s">
        <v>50911</v>
      </c>
      <c r="J2607" t="s">
        <v>50912</v>
      </c>
      <c r="K2607" t="s">
        <v>50913</v>
      </c>
      <c r="L2607" t="s">
        <v>50914</v>
      </c>
      <c r="M2607" t="s">
        <v>50915</v>
      </c>
      <c r="N2607" t="s">
        <v>50916</v>
      </c>
      <c r="O2607">
        <f>-679.519966222914 -144.707366366862 -494.003797831507</f>
        <v>-1318.2311304212831</v>
      </c>
      <c r="P2607">
        <f>-659.133054853428 -162.928450318471 -213.235380016934</f>
        <v>-1035.2968851888329</v>
      </c>
      <c r="Q2607">
        <f>-464.328294877544 -61.7257042393649 -289.114361665071</f>
        <v>-815.16836078197991</v>
      </c>
      <c r="R2607" t="s">
        <v>50917</v>
      </c>
      <c r="S2607" t="s">
        <v>50918</v>
      </c>
      <c r="T2607" t="s">
        <v>50919</v>
      </c>
      <c r="U2607" t="s">
        <v>50920</v>
      </c>
      <c r="V2607">
        <f>-593.719867493207 -44.7236844066724 -92.3896814500068</f>
        <v>-730.8332333498862</v>
      </c>
      <c r="W2607" t="s">
        <v>50921</v>
      </c>
      <c r="X2607" t="s">
        <v>50922</v>
      </c>
      <c r="Y2607" t="s">
        <v>50923</v>
      </c>
    </row>
    <row r="2608" spans="1:25" x14ac:dyDescent="0.3">
      <c r="A2608">
        <v>130350</v>
      </c>
      <c r="B2608" t="s">
        <v>50924</v>
      </c>
      <c r="C2608" t="s">
        <v>50925</v>
      </c>
      <c r="D2608" t="s">
        <v>50926</v>
      </c>
      <c r="E2608" t="s">
        <v>50927</v>
      </c>
      <c r="F2608" t="s">
        <v>50928</v>
      </c>
      <c r="G2608" t="s">
        <v>50929</v>
      </c>
      <c r="H2608" t="s">
        <v>50930</v>
      </c>
      <c r="I2608" t="s">
        <v>50931</v>
      </c>
      <c r="J2608" t="s">
        <v>50932</v>
      </c>
      <c r="K2608" t="s">
        <v>50933</v>
      </c>
      <c r="L2608" t="s">
        <v>50934</v>
      </c>
      <c r="M2608" t="s">
        <v>50935</v>
      </c>
      <c r="N2608" t="s">
        <v>50936</v>
      </c>
      <c r="O2608">
        <f>-678.805379734891 -144.425558801775 -494.430536303712</f>
        <v>-1317.6614748403779</v>
      </c>
      <c r="P2608">
        <f>-658.275866768163 -163.35556316445 -213.719316111093</f>
        <v>-1035.3507460437061</v>
      </c>
      <c r="Q2608">
        <f>-463.925795154159 -61.3156325995719 -289.643289304432</f>
        <v>-814.88471705816301</v>
      </c>
      <c r="R2608" t="s">
        <v>50937</v>
      </c>
      <c r="S2608" t="s">
        <v>50938</v>
      </c>
      <c r="T2608" t="s">
        <v>50939</v>
      </c>
      <c r="U2608" t="s">
        <v>50940</v>
      </c>
      <c r="V2608">
        <f>-593.307154406698 -44.9217566631685 -92.4160061060049</f>
        <v>-730.64491717587146</v>
      </c>
      <c r="W2608" t="s">
        <v>50941</v>
      </c>
      <c r="X2608" t="s">
        <v>50942</v>
      </c>
      <c r="Y2608" t="s">
        <v>50943</v>
      </c>
    </row>
    <row r="2609" spans="1:25" x14ac:dyDescent="0.3">
      <c r="A2609">
        <v>130400</v>
      </c>
      <c r="B2609" t="s">
        <v>50944</v>
      </c>
      <c r="C2609" t="s">
        <v>50945</v>
      </c>
      <c r="D2609" t="s">
        <v>50946</v>
      </c>
      <c r="E2609" t="s">
        <v>50947</v>
      </c>
      <c r="F2609" t="s">
        <v>50948</v>
      </c>
      <c r="G2609" t="s">
        <v>50949</v>
      </c>
      <c r="H2609" t="s">
        <v>50950</v>
      </c>
      <c r="I2609" t="s">
        <v>50951</v>
      </c>
      <c r="J2609" t="s">
        <v>50952</v>
      </c>
      <c r="K2609" t="s">
        <v>50953</v>
      </c>
      <c r="L2609" t="s">
        <v>50954</v>
      </c>
      <c r="M2609" t="s">
        <v>50955</v>
      </c>
      <c r="N2609" t="s">
        <v>50956</v>
      </c>
      <c r="O2609">
        <f>-676.490758672558 -143.283593362146 -495.514298441534</f>
        <v>-1315.288650476238</v>
      </c>
      <c r="P2609">
        <f>-656.154181356512 -163.627254632063 -214.888039253801</f>
        <v>-1034.6694752423759</v>
      </c>
      <c r="Q2609">
        <f>-463.244529842934 -59.1013198661642 -291.103019566905</f>
        <v>-813.44886927600317</v>
      </c>
      <c r="R2609" t="s">
        <v>50957</v>
      </c>
      <c r="S2609" t="s">
        <v>50958</v>
      </c>
      <c r="T2609" t="s">
        <v>50959</v>
      </c>
      <c r="U2609" t="s">
        <v>50960</v>
      </c>
      <c r="V2609">
        <f>-592.535537943022 -45.1214350360958 -92.4241650555114</f>
        <v>-730.08113803462913</v>
      </c>
      <c r="W2609" t="s">
        <v>50961</v>
      </c>
      <c r="X2609" t="s">
        <v>50962</v>
      </c>
      <c r="Y2609" t="s">
        <v>50963</v>
      </c>
    </row>
    <row r="2610" spans="1:25" x14ac:dyDescent="0.3">
      <c r="A2610">
        <v>130450</v>
      </c>
      <c r="B2610" t="s">
        <v>50964</v>
      </c>
      <c r="C2610" t="s">
        <v>50965</v>
      </c>
      <c r="D2610" t="s">
        <v>50966</v>
      </c>
      <c r="E2610" t="s">
        <v>50967</v>
      </c>
      <c r="F2610" t="s">
        <v>50968</v>
      </c>
      <c r="G2610" t="s">
        <v>50969</v>
      </c>
      <c r="H2610" t="s">
        <v>50970</v>
      </c>
      <c r="I2610" t="s">
        <v>50971</v>
      </c>
      <c r="J2610" t="s">
        <v>50972</v>
      </c>
      <c r="K2610" t="s">
        <v>50973</v>
      </c>
      <c r="L2610" t="s">
        <v>50974</v>
      </c>
      <c r="M2610" t="s">
        <v>50975</v>
      </c>
      <c r="N2610" t="s">
        <v>50976</v>
      </c>
      <c r="O2610">
        <f>-675.070257717072 -142.817943751474 -496.174844745228</f>
        <v>-1314.063046213774</v>
      </c>
      <c r="P2610">
        <f>-655.112068076891 -164.139432016116 -215.593965123528</f>
        <v>-1034.8454652165349</v>
      </c>
      <c r="Q2610">
        <f>-463.000850186475 -58.0673529292424 -291.689401132836</f>
        <v>-812.75760424855343</v>
      </c>
      <c r="R2610" t="s">
        <v>50977</v>
      </c>
      <c r="S2610" t="s">
        <v>50978</v>
      </c>
      <c r="T2610" t="s">
        <v>50979</v>
      </c>
      <c r="U2610" t="s">
        <v>50980</v>
      </c>
      <c r="V2610">
        <f>-592.130114793311 -45.0890811469433 -92.415296048661</f>
        <v>-729.63449198891533</v>
      </c>
      <c r="W2610" t="s">
        <v>50981</v>
      </c>
      <c r="X2610" t="s">
        <v>50982</v>
      </c>
      <c r="Y2610" t="s">
        <v>50983</v>
      </c>
    </row>
    <row r="2611" spans="1:25" x14ac:dyDescent="0.3">
      <c r="A2611">
        <v>130500</v>
      </c>
      <c r="B2611" t="s">
        <v>50984</v>
      </c>
      <c r="C2611" t="s">
        <v>50985</v>
      </c>
      <c r="D2611" t="s">
        <v>50986</v>
      </c>
      <c r="E2611" t="s">
        <v>50987</v>
      </c>
      <c r="F2611" t="s">
        <v>50988</v>
      </c>
      <c r="G2611" t="s">
        <v>50989</v>
      </c>
      <c r="H2611" t="s">
        <v>50990</v>
      </c>
      <c r="I2611" t="s">
        <v>50991</v>
      </c>
      <c r="J2611" t="s">
        <v>50992</v>
      </c>
      <c r="K2611" t="s">
        <v>50993</v>
      </c>
      <c r="L2611" t="s">
        <v>50994</v>
      </c>
      <c r="M2611" t="s">
        <v>50995</v>
      </c>
      <c r="N2611" t="s">
        <v>50996</v>
      </c>
      <c r="O2611">
        <f>-672.285593823035 -142.427623468228 -497.516927896869</f>
        <v>-1312.2301451881322</v>
      </c>
      <c r="P2611">
        <f>-652.976855125758 -166.155842741166 -217.083813092808</f>
        <v>-1036.216510959732</v>
      </c>
      <c r="Q2611">
        <f>-462.740787074019 -56.2563192839771 -292.455138045203</f>
        <v>-811.45224440319907</v>
      </c>
      <c r="R2611" t="s">
        <v>50997</v>
      </c>
      <c r="S2611" t="s">
        <v>50998</v>
      </c>
      <c r="T2611" t="s">
        <v>50999</v>
      </c>
      <c r="U2611" t="s">
        <v>51000</v>
      </c>
      <c r="V2611">
        <f>-591.355985927577 -45.0977474183428 -92.3838540536624</f>
        <v>-728.83758739958216</v>
      </c>
      <c r="W2611" t="s">
        <v>51001</v>
      </c>
      <c r="X2611" t="s">
        <v>51002</v>
      </c>
      <c r="Y2611" t="s">
        <v>51003</v>
      </c>
    </row>
    <row r="2612" spans="1:25" x14ac:dyDescent="0.3">
      <c r="A2612">
        <v>130550</v>
      </c>
      <c r="B2612" t="s">
        <v>51004</v>
      </c>
      <c r="C2612" t="s">
        <v>51005</v>
      </c>
      <c r="D2612" t="s">
        <v>51006</v>
      </c>
      <c r="E2612" t="s">
        <v>51007</v>
      </c>
      <c r="F2612" t="s">
        <v>51008</v>
      </c>
      <c r="G2612" t="s">
        <v>51009</v>
      </c>
      <c r="H2612" t="s">
        <v>51010</v>
      </c>
      <c r="I2612" t="s">
        <v>51011</v>
      </c>
      <c r="J2612" t="s">
        <v>51012</v>
      </c>
      <c r="K2612" t="s">
        <v>51013</v>
      </c>
      <c r="L2612" t="s">
        <v>51014</v>
      </c>
      <c r="M2612" t="s">
        <v>51015</v>
      </c>
      <c r="N2612" t="s">
        <v>51016</v>
      </c>
      <c r="O2612">
        <f>-671.097152982247 -142.6603161199 -497.952306813345</f>
        <v>-1311.7097759154922</v>
      </c>
      <c r="P2612">
        <f>-651.615579597753 -167.506373122963 -217.628065331601</f>
        <v>-1036.750018052317</v>
      </c>
      <c r="Q2612">
        <f>-462.623864711228 -55.4592407719931 -292.967895406885</f>
        <v>-811.05100089010602</v>
      </c>
      <c r="R2612" t="s">
        <v>51017</v>
      </c>
      <c r="S2612" t="s">
        <v>51018</v>
      </c>
      <c r="T2612" t="s">
        <v>51019</v>
      </c>
      <c r="U2612" t="s">
        <v>51020</v>
      </c>
      <c r="V2612">
        <f>-590.834651288196 -45.0710282907455 -92.3628309020969</f>
        <v>-728.26851048103845</v>
      </c>
      <c r="W2612" t="s">
        <v>51021</v>
      </c>
      <c r="X2612" t="s">
        <v>51022</v>
      </c>
      <c r="Y2612" t="s">
        <v>51023</v>
      </c>
    </row>
    <row r="2613" spans="1:25" x14ac:dyDescent="0.3">
      <c r="A2613">
        <v>130600</v>
      </c>
      <c r="B2613" t="s">
        <v>51024</v>
      </c>
      <c r="C2613" t="s">
        <v>51025</v>
      </c>
      <c r="D2613" t="s">
        <v>51026</v>
      </c>
      <c r="E2613" t="s">
        <v>51027</v>
      </c>
      <c r="F2613" t="s">
        <v>51028</v>
      </c>
      <c r="G2613" t="s">
        <v>51029</v>
      </c>
      <c r="H2613" t="s">
        <v>51030</v>
      </c>
      <c r="I2613" t="s">
        <v>51031</v>
      </c>
      <c r="J2613" t="s">
        <v>51032</v>
      </c>
      <c r="K2613" t="s">
        <v>51033</v>
      </c>
      <c r="L2613" t="s">
        <v>51034</v>
      </c>
      <c r="M2613" t="s">
        <v>51035</v>
      </c>
      <c r="N2613" t="s">
        <v>51036</v>
      </c>
      <c r="O2613">
        <f>-669.845909142293 -143.255308333047 -498.202651198905</f>
        <v>-1311.303868674245</v>
      </c>
      <c r="P2613">
        <f>-648.508240530798 -169.124774758645 -218.106197224717</f>
        <v>-1035.73921251416</v>
      </c>
      <c r="Q2613">
        <f>-462.342910625819 -53.1200594083482 -294.486085020195</f>
        <v>-809.94905505436225</v>
      </c>
      <c r="R2613" t="s">
        <v>51037</v>
      </c>
      <c r="S2613" t="s">
        <v>51038</v>
      </c>
      <c r="T2613" t="s">
        <v>51039</v>
      </c>
      <c r="U2613" t="s">
        <v>51040</v>
      </c>
      <c r="V2613">
        <f>-589.855318324794 -45.2646452986569 -92.30911923493</f>
        <v>-727.42908285838087</v>
      </c>
      <c r="W2613" t="s">
        <v>51041</v>
      </c>
      <c r="X2613" t="s">
        <v>51042</v>
      </c>
      <c r="Y2613" t="s">
        <v>51043</v>
      </c>
    </row>
    <row r="2614" spans="1:25" x14ac:dyDescent="0.3">
      <c r="A2614">
        <v>130650</v>
      </c>
      <c r="B2614" t="s">
        <v>51044</v>
      </c>
      <c r="C2614" t="s">
        <v>51045</v>
      </c>
      <c r="D2614" t="s">
        <v>51046</v>
      </c>
      <c r="E2614" t="s">
        <v>51047</v>
      </c>
      <c r="F2614" t="s">
        <v>51048</v>
      </c>
      <c r="G2614" t="s">
        <v>51049</v>
      </c>
      <c r="H2614" t="s">
        <v>51050</v>
      </c>
      <c r="I2614" t="s">
        <v>51051</v>
      </c>
      <c r="J2614" t="s">
        <v>51052</v>
      </c>
      <c r="K2614" t="s">
        <v>51053</v>
      </c>
      <c r="L2614" t="s">
        <v>51054</v>
      </c>
      <c r="M2614" t="s">
        <v>51055</v>
      </c>
      <c r="N2614" t="s">
        <v>51056</v>
      </c>
      <c r="O2614">
        <f>-669.139903195494 -143.624068986786 -498.199013912048</f>
        <v>-1310.962986094328</v>
      </c>
      <c r="P2614">
        <f>-647.359206890024 -169.375719383602 -218.125803818604</f>
        <v>-1034.8607300922299</v>
      </c>
      <c r="Q2614">
        <f>-462.137654731446 -52.296373785111 -295.157992946756</f>
        <v>-809.5920214633129</v>
      </c>
      <c r="R2614" t="s">
        <v>51057</v>
      </c>
      <c r="S2614" t="s">
        <v>51058</v>
      </c>
      <c r="T2614" t="s">
        <v>51059</v>
      </c>
      <c r="U2614" t="s">
        <v>51060</v>
      </c>
      <c r="V2614">
        <f>-589.47810549926 -45.3665594179781 -92.280958428722</f>
        <v>-727.12562334596009</v>
      </c>
      <c r="W2614" t="s">
        <v>51061</v>
      </c>
      <c r="X2614" t="s">
        <v>51062</v>
      </c>
      <c r="Y2614" t="s">
        <v>51063</v>
      </c>
    </row>
    <row r="2615" spans="1:25" x14ac:dyDescent="0.3">
      <c r="A2615">
        <v>130700</v>
      </c>
      <c r="B2615" t="s">
        <v>51064</v>
      </c>
      <c r="C2615" t="s">
        <v>51065</v>
      </c>
      <c r="D2615" t="s">
        <v>51066</v>
      </c>
      <c r="E2615" t="s">
        <v>51067</v>
      </c>
      <c r="F2615" t="s">
        <v>51068</v>
      </c>
      <c r="G2615" t="s">
        <v>51069</v>
      </c>
      <c r="H2615" t="s">
        <v>51070</v>
      </c>
      <c r="I2615" t="s">
        <v>51071</v>
      </c>
      <c r="J2615" t="s">
        <v>51072</v>
      </c>
      <c r="K2615" t="s">
        <v>51073</v>
      </c>
      <c r="L2615" t="s">
        <v>51074</v>
      </c>
      <c r="M2615" t="s">
        <v>51075</v>
      </c>
      <c r="N2615" t="s">
        <v>51076</v>
      </c>
      <c r="O2615">
        <f>-667.696836893734 -143.832128645125 -498.332207282262</f>
        <v>-1309.861172821121</v>
      </c>
      <c r="P2615">
        <f>-644.833205126649 -170.258159450274 -218.408053835124</f>
        <v>-1033.4994184120469</v>
      </c>
      <c r="Q2615">
        <f>-461.072757665535 -51.2748864117107 -296.020426439174</f>
        <v>-808.36807051641972</v>
      </c>
      <c r="R2615" t="s">
        <v>51077</v>
      </c>
      <c r="S2615" t="s">
        <v>51078</v>
      </c>
      <c r="T2615" t="s">
        <v>51079</v>
      </c>
      <c r="U2615" t="s">
        <v>51080</v>
      </c>
      <c r="V2615">
        <f>-588.822817234131 -45.1823061117123 -92.1959471876165</f>
        <v>-726.20107053345976</v>
      </c>
      <c r="W2615" t="s">
        <v>51081</v>
      </c>
      <c r="X2615" t="s">
        <v>51082</v>
      </c>
      <c r="Y2615" t="s">
        <v>51083</v>
      </c>
    </row>
    <row r="2616" spans="1:25" x14ac:dyDescent="0.3">
      <c r="A2616">
        <v>130750</v>
      </c>
      <c r="B2616" t="s">
        <v>51084</v>
      </c>
      <c r="C2616" t="s">
        <v>51085</v>
      </c>
      <c r="D2616" t="s">
        <v>51086</v>
      </c>
      <c r="E2616" t="s">
        <v>51087</v>
      </c>
      <c r="F2616" t="s">
        <v>51088</v>
      </c>
      <c r="G2616" t="s">
        <v>51089</v>
      </c>
      <c r="H2616" t="s">
        <v>51090</v>
      </c>
      <c r="I2616" t="s">
        <v>51091</v>
      </c>
      <c r="J2616" t="s">
        <v>51092</v>
      </c>
      <c r="K2616" t="s">
        <v>51093</v>
      </c>
      <c r="L2616" t="s">
        <v>51094</v>
      </c>
      <c r="M2616" t="s">
        <v>51095</v>
      </c>
      <c r="N2616" t="s">
        <v>51096</v>
      </c>
      <c r="O2616">
        <f>-667.330622394082 -143.810955384199 -498.37337791447</f>
        <v>-1309.5149556927508</v>
      </c>
      <c r="P2616">
        <f>-643.797097273021 -170.896937777489 -218.567828363036</f>
        <v>-1033.2618634135461</v>
      </c>
      <c r="Q2616">
        <f>-460.911261066677 -50.6692379406397 -296.327736106455</f>
        <v>-807.90823511377175</v>
      </c>
      <c r="R2616" t="s">
        <v>51097</v>
      </c>
      <c r="S2616" t="s">
        <v>51098</v>
      </c>
      <c r="T2616" t="s">
        <v>51099</v>
      </c>
      <c r="U2616" t="s">
        <v>51100</v>
      </c>
      <c r="V2616">
        <f>-588.55499560009 -45.0472021909741 -92.1575319992993</f>
        <v>-725.75972979036339</v>
      </c>
      <c r="W2616" t="s">
        <v>51101</v>
      </c>
      <c r="X2616" t="s">
        <v>51102</v>
      </c>
      <c r="Y2616" t="s">
        <v>51103</v>
      </c>
    </row>
    <row r="2617" spans="1:25" x14ac:dyDescent="0.3">
      <c r="A2617">
        <v>130800</v>
      </c>
      <c r="B2617" t="s">
        <v>51104</v>
      </c>
      <c r="C2617" t="s">
        <v>51105</v>
      </c>
      <c r="D2617" t="s">
        <v>51106</v>
      </c>
      <c r="E2617" t="s">
        <v>51107</v>
      </c>
      <c r="F2617" t="s">
        <v>51108</v>
      </c>
      <c r="G2617" t="s">
        <v>51109</v>
      </c>
      <c r="H2617" t="s">
        <v>51110</v>
      </c>
      <c r="I2617" t="s">
        <v>51111</v>
      </c>
      <c r="J2617" t="s">
        <v>51112</v>
      </c>
      <c r="K2617" t="s">
        <v>51113</v>
      </c>
      <c r="L2617" t="s">
        <v>51114</v>
      </c>
      <c r="M2617" t="s">
        <v>51115</v>
      </c>
      <c r="N2617" t="s">
        <v>51116</v>
      </c>
      <c r="O2617">
        <f>-666.925872625116 -143.307982717449 -498.375118952126</f>
        <v>-1308.6089742946911</v>
      </c>
      <c r="P2617">
        <f>-642.269187499102 -171.458607344133 -218.771595019884</f>
        <v>-1032.4993898631189</v>
      </c>
      <c r="Q2617">
        <f>-460.633146370822 -49.3485508760052 -296.527797426406</f>
        <v>-806.50949467323312</v>
      </c>
      <c r="R2617" t="s">
        <v>51117</v>
      </c>
      <c r="S2617" t="s">
        <v>51118</v>
      </c>
      <c r="T2617" t="s">
        <v>51119</v>
      </c>
      <c r="U2617" t="s">
        <v>51120</v>
      </c>
      <c r="V2617">
        <f>-588.170334230583 -44.6184644270493 -92.0693993321818</f>
        <v>-724.85819798981402</v>
      </c>
      <c r="W2617" t="s">
        <v>51121</v>
      </c>
      <c r="X2617" t="s">
        <v>51122</v>
      </c>
      <c r="Y2617" t="s">
        <v>51123</v>
      </c>
    </row>
    <row r="2618" spans="1:25" x14ac:dyDescent="0.3">
      <c r="A2618">
        <v>130850</v>
      </c>
      <c r="B2618" t="s">
        <v>51124</v>
      </c>
      <c r="C2618" t="s">
        <v>51125</v>
      </c>
      <c r="D2618" t="s">
        <v>51126</v>
      </c>
      <c r="E2618" t="s">
        <v>51127</v>
      </c>
      <c r="F2618" t="s">
        <v>51128</v>
      </c>
      <c r="G2618" t="s">
        <v>51129</v>
      </c>
      <c r="H2618" t="s">
        <v>51130</v>
      </c>
      <c r="I2618" t="s">
        <v>51131</v>
      </c>
      <c r="J2618" t="s">
        <v>51132</v>
      </c>
      <c r="K2618" t="s">
        <v>51133</v>
      </c>
      <c r="L2618" t="s">
        <v>51134</v>
      </c>
      <c r="M2618" t="s">
        <v>51135</v>
      </c>
      <c r="N2618" t="s">
        <v>51136</v>
      </c>
      <c r="O2618">
        <f>-666.648774323507 -143.090787578263 -498.380206991795</f>
        <v>-1308.1197688935649</v>
      </c>
      <c r="P2618">
        <f>-641.881568714051 -171.205848759423 -218.782757093959</f>
        <v>-1031.870174567433</v>
      </c>
      <c r="Q2618">
        <f>-460.287421047211 -49.0768839769373 -296.607111768749</f>
        <v>-805.97141679289734</v>
      </c>
      <c r="R2618" t="s">
        <v>51137</v>
      </c>
      <c r="S2618" t="s">
        <v>51138</v>
      </c>
      <c r="T2618" t="s">
        <v>51139</v>
      </c>
      <c r="U2618" t="s">
        <v>51140</v>
      </c>
      <c r="V2618">
        <f>-587.955212386356 -44.4790530421235 -92.0210006091075</f>
        <v>-724.45526603758708</v>
      </c>
      <c r="W2618" t="s">
        <v>51141</v>
      </c>
      <c r="X2618" t="s">
        <v>51142</v>
      </c>
      <c r="Y2618" t="s">
        <v>51143</v>
      </c>
    </row>
    <row r="2619" spans="1:25" x14ac:dyDescent="0.3">
      <c r="A2619">
        <v>130900</v>
      </c>
      <c r="B2619" t="s">
        <v>51144</v>
      </c>
      <c r="C2619" t="s">
        <v>51145</v>
      </c>
      <c r="D2619" t="s">
        <v>51146</v>
      </c>
      <c r="E2619" t="s">
        <v>51147</v>
      </c>
      <c r="F2619" t="s">
        <v>51148</v>
      </c>
      <c r="G2619" t="s">
        <v>51149</v>
      </c>
      <c r="H2619" t="s">
        <v>51150</v>
      </c>
      <c r="I2619" t="s">
        <v>51151</v>
      </c>
      <c r="J2619" t="s">
        <v>51152</v>
      </c>
      <c r="K2619" t="s">
        <v>51153</v>
      </c>
      <c r="L2619" t="s">
        <v>51154</v>
      </c>
      <c r="M2619" t="s">
        <v>51155</v>
      </c>
      <c r="N2619" t="s">
        <v>51156</v>
      </c>
      <c r="O2619">
        <f>-666.147866685638 -142.577485701644 -498.334610639155</f>
        <v>-1307.0599630264369</v>
      </c>
      <c r="P2619">
        <f>-641.401410422594 -170.806209544247 -218.746856516686</f>
        <v>-1030.9544764835271</v>
      </c>
      <c r="Q2619">
        <f>-459.660643727139 -49.0260790860762 -296.775160035182</f>
        <v>-805.46188284839718</v>
      </c>
      <c r="R2619" t="s">
        <v>51157</v>
      </c>
      <c r="S2619" t="s">
        <v>51158</v>
      </c>
      <c r="T2619" t="s">
        <v>51159</v>
      </c>
      <c r="U2619" t="s">
        <v>51160</v>
      </c>
      <c r="V2619">
        <f>-587.435042209242 -44.1063663230461 -91.9152194665249</f>
        <v>-723.45662799881313</v>
      </c>
      <c r="W2619" t="s">
        <v>51161</v>
      </c>
      <c r="X2619" t="s">
        <v>51162</v>
      </c>
      <c r="Y2619" t="s">
        <v>51163</v>
      </c>
    </row>
    <row r="2620" spans="1:25" x14ac:dyDescent="0.3">
      <c r="A2620">
        <v>130950</v>
      </c>
      <c r="B2620" t="s">
        <v>51164</v>
      </c>
      <c r="C2620" t="s">
        <v>51165</v>
      </c>
      <c r="D2620" t="s">
        <v>51166</v>
      </c>
      <c r="E2620" t="s">
        <v>51167</v>
      </c>
      <c r="F2620" t="s">
        <v>51168</v>
      </c>
      <c r="G2620" t="s">
        <v>51169</v>
      </c>
      <c r="H2620" t="s">
        <v>51170</v>
      </c>
      <c r="I2620" t="s">
        <v>51171</v>
      </c>
      <c r="J2620" t="s">
        <v>51172</v>
      </c>
      <c r="K2620" t="s">
        <v>51173</v>
      </c>
      <c r="L2620" t="s">
        <v>51174</v>
      </c>
      <c r="M2620" t="s">
        <v>51175</v>
      </c>
      <c r="N2620" t="s">
        <v>51176</v>
      </c>
      <c r="O2620">
        <f>-665.8012082716 -142.241796313102 -498.31887521943</f>
        <v>-1306.3618798041321</v>
      </c>
      <c r="P2620">
        <f>-640.962025519211 -170.591167960553 -218.751575802489</f>
        <v>-1030.3047692822529</v>
      </c>
      <c r="Q2620">
        <f>-459.16902813795 -49.0580491125768 -297.042884487006</f>
        <v>-805.26996173753287</v>
      </c>
      <c r="R2620" t="s">
        <v>51177</v>
      </c>
      <c r="S2620" t="s">
        <v>51178</v>
      </c>
      <c r="T2620" t="s">
        <v>51179</v>
      </c>
      <c r="U2620" t="s">
        <v>51180</v>
      </c>
      <c r="V2620">
        <f>-587.00848955445 -43.890031834515 -91.8597142471282</f>
        <v>-722.7582356360931</v>
      </c>
      <c r="W2620" t="s">
        <v>51181</v>
      </c>
      <c r="X2620" t="s">
        <v>51182</v>
      </c>
      <c r="Y2620" t="s">
        <v>51183</v>
      </c>
    </row>
    <row r="2621" spans="1:25" x14ac:dyDescent="0.3">
      <c r="A2621">
        <v>131000</v>
      </c>
      <c r="B2621" t="s">
        <v>51184</v>
      </c>
      <c r="C2621" t="s">
        <v>51185</v>
      </c>
      <c r="D2621" t="s">
        <v>51186</v>
      </c>
      <c r="E2621" t="s">
        <v>51187</v>
      </c>
      <c r="F2621" t="s">
        <v>51188</v>
      </c>
      <c r="G2621" t="s">
        <v>51189</v>
      </c>
      <c r="H2621" t="s">
        <v>51190</v>
      </c>
      <c r="I2621" t="s">
        <v>51191</v>
      </c>
      <c r="J2621" t="s">
        <v>51192</v>
      </c>
      <c r="K2621" t="s">
        <v>51193</v>
      </c>
      <c r="L2621" t="s">
        <v>51194</v>
      </c>
      <c r="M2621" t="s">
        <v>51195</v>
      </c>
      <c r="N2621" t="s">
        <v>51196</v>
      </c>
      <c r="O2621">
        <f>-664.913213038212 -141.59280695087 -498.180154054169</f>
        <v>-1304.686174043251</v>
      </c>
      <c r="P2621">
        <f>-639.625826980586 -169.966510641864 -218.655412733133</f>
        <v>-1028.2477503555831</v>
      </c>
      <c r="Q2621">
        <f>-457.850871772029 -48.829864804298 -297.600344616553</f>
        <v>-804.28108119288004</v>
      </c>
      <c r="R2621" t="s">
        <v>51197</v>
      </c>
      <c r="S2621" t="s">
        <v>51198</v>
      </c>
      <c r="T2621" t="s">
        <v>51199</v>
      </c>
      <c r="U2621" t="s">
        <v>51200</v>
      </c>
      <c r="V2621">
        <f>-585.927704785691 -43.1983261467021 -91.7241906321527</f>
        <v>-720.8502215645459</v>
      </c>
      <c r="W2621" t="s">
        <v>51201</v>
      </c>
      <c r="X2621" t="s">
        <v>51202</v>
      </c>
      <c r="Y2621" t="s">
        <v>51203</v>
      </c>
    </row>
    <row r="2622" spans="1:25" x14ac:dyDescent="0.3">
      <c r="A2622">
        <v>131050</v>
      </c>
      <c r="B2622" t="s">
        <v>51204</v>
      </c>
      <c r="C2622" t="s">
        <v>51205</v>
      </c>
      <c r="D2622" t="s">
        <v>51206</v>
      </c>
      <c r="E2622" t="s">
        <v>51207</v>
      </c>
      <c r="F2622" t="s">
        <v>51208</v>
      </c>
      <c r="G2622" t="s">
        <v>51209</v>
      </c>
      <c r="H2622" t="s">
        <v>51210</v>
      </c>
      <c r="I2622" t="s">
        <v>51211</v>
      </c>
      <c r="J2622" t="s">
        <v>51212</v>
      </c>
      <c r="K2622" t="s">
        <v>51213</v>
      </c>
      <c r="L2622" t="s">
        <v>51214</v>
      </c>
      <c r="M2622" t="s">
        <v>51215</v>
      </c>
      <c r="N2622" t="s">
        <v>51216</v>
      </c>
      <c r="O2622">
        <f>-664.46237965134 -141.184644762952 -498.111303211833</f>
        <v>-1303.758327626125</v>
      </c>
      <c r="P2622">
        <f>-638.866412329135 -169.218118315372 -218.580236571675</f>
        <v>-1026.6647672161819</v>
      </c>
      <c r="Q2622">
        <f>-457.031789873298 -48.3738342644019 -297.835465751803</f>
        <v>-803.24108988950297</v>
      </c>
      <c r="R2622" t="s">
        <v>51217</v>
      </c>
      <c r="S2622" t="s">
        <v>51218</v>
      </c>
      <c r="T2622" t="s">
        <v>51219</v>
      </c>
      <c r="U2622" t="s">
        <v>51220</v>
      </c>
      <c r="V2622">
        <f>-585.340323051437 -42.8475019500959 -91.6622546341912</f>
        <v>-719.85007963572411</v>
      </c>
      <c r="W2622" t="s">
        <v>51221</v>
      </c>
      <c r="X2622" t="s">
        <v>51222</v>
      </c>
      <c r="Y2622" t="s">
        <v>51223</v>
      </c>
    </row>
    <row r="2623" spans="1:25" x14ac:dyDescent="0.3">
      <c r="A2623">
        <v>131100</v>
      </c>
      <c r="B2623" t="s">
        <v>51224</v>
      </c>
      <c r="C2623" t="s">
        <v>51225</v>
      </c>
      <c r="D2623" t="s">
        <v>51226</v>
      </c>
      <c r="E2623" t="s">
        <v>51227</v>
      </c>
      <c r="F2623" t="s">
        <v>51228</v>
      </c>
      <c r="G2623" t="s">
        <v>51229</v>
      </c>
      <c r="H2623" t="s">
        <v>51230</v>
      </c>
      <c r="I2623" t="s">
        <v>51231</v>
      </c>
      <c r="J2623" t="s">
        <v>51232</v>
      </c>
      <c r="K2623" t="s">
        <v>51233</v>
      </c>
      <c r="L2623" t="s">
        <v>51234</v>
      </c>
      <c r="M2623" t="s">
        <v>51235</v>
      </c>
      <c r="N2623" t="s">
        <v>51236</v>
      </c>
      <c r="O2623">
        <f>-663.342831202462 -140.459970849609 -498.053874513251</f>
        <v>-1301.856676565322</v>
      </c>
      <c r="P2623">
        <f>-637.015863446221 -168.300902548059 -218.571622746863</f>
        <v>-1023.8883887411431</v>
      </c>
      <c r="Q2623">
        <f>-455.41169849273 -47.4632846153224 -298.363442223894</f>
        <v>-801.23842533194647</v>
      </c>
      <c r="R2623" t="s">
        <v>51237</v>
      </c>
      <c r="S2623" t="s">
        <v>51238</v>
      </c>
      <c r="T2623" t="s">
        <v>51239</v>
      </c>
      <c r="U2623" t="s">
        <v>51240</v>
      </c>
      <c r="V2623">
        <f>-584.315376437444 -42.2847692593682 -91.5493665035357</f>
        <v>-718.14951220034789</v>
      </c>
      <c r="W2623" t="s">
        <v>51241</v>
      </c>
      <c r="X2623" t="s">
        <v>51242</v>
      </c>
      <c r="Y2623" t="s">
        <v>51243</v>
      </c>
    </row>
    <row r="2624" spans="1:25" x14ac:dyDescent="0.3">
      <c r="A2624">
        <v>131150</v>
      </c>
      <c r="B2624" t="s">
        <v>51244</v>
      </c>
      <c r="C2624" t="s">
        <v>51245</v>
      </c>
      <c r="D2624" t="s">
        <v>51246</v>
      </c>
      <c r="E2624" t="s">
        <v>51247</v>
      </c>
      <c r="F2624" t="s">
        <v>51248</v>
      </c>
      <c r="G2624" t="s">
        <v>51249</v>
      </c>
      <c r="H2624" t="s">
        <v>51250</v>
      </c>
      <c r="I2624" t="s">
        <v>51251</v>
      </c>
      <c r="J2624" t="s">
        <v>51252</v>
      </c>
      <c r="K2624" t="s">
        <v>51253</v>
      </c>
      <c r="L2624" t="s">
        <v>51254</v>
      </c>
      <c r="M2624" t="s">
        <v>51255</v>
      </c>
      <c r="N2624" t="s">
        <v>51256</v>
      </c>
      <c r="O2624">
        <f>-662.700700051362 -140.269728756291 -498.131905938974</f>
        <v>-1301.1023347466271</v>
      </c>
      <c r="P2624">
        <f>-636.064045883072 -168.199535888703 -218.68775139709</f>
        <v>-1022.9513331688651</v>
      </c>
      <c r="Q2624">
        <f>-454.784501144697 -47.0484604609171 -298.742234954691</f>
        <v>-800.57519656030513</v>
      </c>
      <c r="R2624" t="s">
        <v>51257</v>
      </c>
      <c r="S2624" t="s">
        <v>51258</v>
      </c>
      <c r="T2624" t="s">
        <v>51259</v>
      </c>
      <c r="U2624" t="s">
        <v>51260</v>
      </c>
      <c r="V2624">
        <f>-583.967300374213 -42.1543720387974 -91.5293409818109</f>
        <v>-717.65101339482135</v>
      </c>
      <c r="W2624" t="s">
        <v>51261</v>
      </c>
      <c r="X2624" t="s">
        <v>51262</v>
      </c>
      <c r="Y2624" t="s">
        <v>51263</v>
      </c>
    </row>
    <row r="2625" spans="1:25" x14ac:dyDescent="0.3">
      <c r="A2625">
        <v>131200</v>
      </c>
      <c r="B2625" t="s">
        <v>51264</v>
      </c>
      <c r="C2625" t="s">
        <v>51265</v>
      </c>
      <c r="D2625" t="s">
        <v>51266</v>
      </c>
      <c r="E2625" t="s">
        <v>51267</v>
      </c>
      <c r="F2625" t="s">
        <v>51268</v>
      </c>
      <c r="G2625" t="s">
        <v>51269</v>
      </c>
      <c r="H2625" t="s">
        <v>51270</v>
      </c>
      <c r="I2625" t="s">
        <v>51271</v>
      </c>
      <c r="J2625" t="s">
        <v>51272</v>
      </c>
      <c r="K2625" t="s">
        <v>51273</v>
      </c>
      <c r="L2625" t="s">
        <v>51274</v>
      </c>
      <c r="M2625" t="s">
        <v>51275</v>
      </c>
      <c r="N2625" t="s">
        <v>51276</v>
      </c>
      <c r="O2625">
        <f>-661.496542424429 -140.075220939152 -498.284417257209</f>
        <v>-1299.8561806207899</v>
      </c>
      <c r="P2625">
        <f>-634.445243621673 -167.976221505514 -218.877202904302</f>
        <v>-1021.2986680314889</v>
      </c>
      <c r="Q2625">
        <f>-453.850845253976 -46.1392109607775 -299.437651806547</f>
        <v>-799.42770802130053</v>
      </c>
      <c r="R2625" t="s">
        <v>51277</v>
      </c>
      <c r="S2625" t="s">
        <v>51278</v>
      </c>
      <c r="T2625" t="s">
        <v>51279</v>
      </c>
      <c r="U2625" t="s">
        <v>51280</v>
      </c>
      <c r="V2625">
        <f>-583.486575169772 -42.0889740229386 -91.5096146997366</f>
        <v>-717.08516389244721</v>
      </c>
      <c r="W2625" t="s">
        <v>51281</v>
      </c>
      <c r="X2625" t="s">
        <v>51282</v>
      </c>
      <c r="Y2625" t="s">
        <v>51283</v>
      </c>
    </row>
    <row r="2626" spans="1:25" x14ac:dyDescent="0.3">
      <c r="A2626">
        <v>131250</v>
      </c>
      <c r="B2626" t="s">
        <v>51284</v>
      </c>
      <c r="C2626" t="s">
        <v>51285</v>
      </c>
      <c r="D2626" t="s">
        <v>51286</v>
      </c>
      <c r="E2626" t="s">
        <v>51287</v>
      </c>
      <c r="F2626" t="s">
        <v>51288</v>
      </c>
      <c r="G2626" t="s">
        <v>51289</v>
      </c>
      <c r="H2626" t="s">
        <v>51290</v>
      </c>
      <c r="I2626" t="s">
        <v>51291</v>
      </c>
      <c r="J2626" t="s">
        <v>51292</v>
      </c>
      <c r="K2626" t="s">
        <v>51293</v>
      </c>
      <c r="L2626" t="s">
        <v>51294</v>
      </c>
      <c r="M2626" t="s">
        <v>51295</v>
      </c>
      <c r="N2626" t="s">
        <v>51296</v>
      </c>
      <c r="O2626">
        <f>-660.805044408867 -139.93164101833 -498.446973013144</f>
        <v>-1299.1836584403409</v>
      </c>
      <c r="P2626">
        <f>-633.628230269334 -168.113412691562 -219.080175821976</f>
        <v>-1020.821818782872</v>
      </c>
      <c r="Q2626">
        <f>-453.449020628559 -45.759895166153 -299.787176183947</f>
        <v>-798.99609197865902</v>
      </c>
      <c r="R2626" t="s">
        <v>51297</v>
      </c>
      <c r="S2626" t="s">
        <v>51298</v>
      </c>
      <c r="T2626" t="s">
        <v>51299</v>
      </c>
      <c r="U2626" t="s">
        <v>51300</v>
      </c>
      <c r="V2626">
        <f>-583.251440368041 -41.9393335851053 -91.4916717426048</f>
        <v>-716.68244569575108</v>
      </c>
      <c r="W2626" t="s">
        <v>51301</v>
      </c>
      <c r="X2626" t="s">
        <v>51302</v>
      </c>
      <c r="Y2626" t="s">
        <v>51303</v>
      </c>
    </row>
    <row r="2627" spans="1:25" x14ac:dyDescent="0.3">
      <c r="A2627">
        <v>131300</v>
      </c>
      <c r="B2627" t="s">
        <v>51304</v>
      </c>
      <c r="C2627" t="s">
        <v>51305</v>
      </c>
      <c r="D2627" t="s">
        <v>51306</v>
      </c>
      <c r="E2627" t="s">
        <v>51307</v>
      </c>
      <c r="F2627" t="s">
        <v>51308</v>
      </c>
      <c r="G2627" t="s">
        <v>51309</v>
      </c>
      <c r="H2627" t="s">
        <v>51310</v>
      </c>
      <c r="I2627" t="s">
        <v>51311</v>
      </c>
      <c r="J2627" t="s">
        <v>51312</v>
      </c>
      <c r="K2627" t="s">
        <v>51313</v>
      </c>
      <c r="L2627" t="s">
        <v>51314</v>
      </c>
      <c r="M2627" t="s">
        <v>51315</v>
      </c>
      <c r="N2627" t="s">
        <v>51316</v>
      </c>
      <c r="O2627">
        <f>-659.698247003608 -139.801996511128 -498.830308504309</f>
        <v>-1298.3305520190449</v>
      </c>
      <c r="P2627">
        <f>-632.308449145794 -168.030302653037 -219.488999924912</f>
        <v>-1019.8277517237431</v>
      </c>
      <c r="Q2627">
        <f>-452.960966994583 -44.6960796621872 -300.554734342097</f>
        <v>-798.2117809988672</v>
      </c>
      <c r="R2627" t="s">
        <v>51317</v>
      </c>
      <c r="S2627" t="s">
        <v>51318</v>
      </c>
      <c r="T2627" t="s">
        <v>51319</v>
      </c>
      <c r="U2627" t="s">
        <v>51320</v>
      </c>
      <c r="V2627">
        <f>-582.912756492752 -41.7683650165561 -91.4759128148265</f>
        <v>-716.15703432413466</v>
      </c>
      <c r="W2627" t="s">
        <v>51321</v>
      </c>
      <c r="X2627" t="s">
        <v>51322</v>
      </c>
      <c r="Y2627" t="s">
        <v>51323</v>
      </c>
    </row>
    <row r="2628" spans="1:25" x14ac:dyDescent="0.3">
      <c r="A2628">
        <v>131350</v>
      </c>
      <c r="B2628" t="s">
        <v>51324</v>
      </c>
      <c r="C2628" t="s">
        <v>51325</v>
      </c>
      <c r="D2628" t="s">
        <v>51326</v>
      </c>
      <c r="E2628" t="s">
        <v>51327</v>
      </c>
      <c r="F2628" t="s">
        <v>51328</v>
      </c>
      <c r="G2628" t="s">
        <v>51329</v>
      </c>
      <c r="H2628" t="s">
        <v>51330</v>
      </c>
      <c r="I2628" t="s">
        <v>51331</v>
      </c>
      <c r="J2628" t="s">
        <v>51332</v>
      </c>
      <c r="K2628" t="s">
        <v>51333</v>
      </c>
      <c r="L2628" t="s">
        <v>51334</v>
      </c>
      <c r="M2628" t="s">
        <v>51335</v>
      </c>
      <c r="N2628" t="s">
        <v>51336</v>
      </c>
      <c r="O2628">
        <f>-659.335510829486 -139.70794964571 -499.002770810225</f>
        <v>-1298.0462312854211</v>
      </c>
      <c r="P2628">
        <f>-631.716745737888 -167.97302095945 -219.687870017472</f>
        <v>-1019.37763671481</v>
      </c>
      <c r="Q2628">
        <f>-452.783323505769 -44.2104111001913 -301.01521586287</f>
        <v>-798.00895046883034</v>
      </c>
      <c r="R2628" t="s">
        <v>51337</v>
      </c>
      <c r="S2628" t="s">
        <v>51338</v>
      </c>
      <c r="T2628" t="s">
        <v>51339</v>
      </c>
      <c r="U2628" t="s">
        <v>51340</v>
      </c>
      <c r="V2628">
        <f>-582.833999120739 -41.7395834319364 -91.4924407984979</f>
        <v>-716.06602335117327</v>
      </c>
      <c r="W2628" t="s">
        <v>51341</v>
      </c>
      <c r="X2628" t="s">
        <v>51342</v>
      </c>
      <c r="Y2628" t="s">
        <v>51343</v>
      </c>
    </row>
    <row r="2629" spans="1:25" x14ac:dyDescent="0.3">
      <c r="A2629">
        <v>131400</v>
      </c>
      <c r="B2629" t="s">
        <v>51344</v>
      </c>
      <c r="C2629" t="s">
        <v>51345</v>
      </c>
      <c r="D2629" t="s">
        <v>51346</v>
      </c>
      <c r="E2629" t="s">
        <v>51347</v>
      </c>
      <c r="F2629" t="s">
        <v>51348</v>
      </c>
      <c r="G2629" t="s">
        <v>51349</v>
      </c>
      <c r="H2629" t="s">
        <v>51350</v>
      </c>
      <c r="I2629" t="s">
        <v>51351</v>
      </c>
      <c r="J2629" t="s">
        <v>51352</v>
      </c>
      <c r="K2629" t="s">
        <v>51353</v>
      </c>
      <c r="L2629" t="s">
        <v>51354</v>
      </c>
      <c r="M2629" t="s">
        <v>51355</v>
      </c>
      <c r="N2629" t="s">
        <v>51356</v>
      </c>
      <c r="O2629">
        <f>-658.922527348181 -139.399188564664 -499.397025006463</f>
        <v>-1297.7187409193079</v>
      </c>
      <c r="P2629">
        <f>-631.016315951376 -167.811577661715 -220.125592839001</f>
        <v>-1018.953486452092</v>
      </c>
      <c r="Q2629">
        <f>-452.64649810361 -43.5305351458969 -301.899315316019</f>
        <v>-798.0763485655259</v>
      </c>
      <c r="R2629" t="s">
        <v>51357</v>
      </c>
      <c r="S2629" t="s">
        <v>51358</v>
      </c>
      <c r="T2629" t="s">
        <v>51359</v>
      </c>
      <c r="U2629" t="s">
        <v>51360</v>
      </c>
      <c r="V2629">
        <f>-582.758458220591 -41.736222796214 -91.5459286967805</f>
        <v>-716.04060971358547</v>
      </c>
      <c r="W2629" t="s">
        <v>51361</v>
      </c>
      <c r="X2629" t="s">
        <v>51362</v>
      </c>
      <c r="Y2629" t="s">
        <v>51363</v>
      </c>
    </row>
    <row r="2630" spans="1:25" x14ac:dyDescent="0.3">
      <c r="A2630">
        <v>131450</v>
      </c>
      <c r="B2630" t="s">
        <v>51364</v>
      </c>
      <c r="C2630" t="s">
        <v>51365</v>
      </c>
      <c r="D2630" t="s">
        <v>51366</v>
      </c>
      <c r="E2630" t="s">
        <v>51367</v>
      </c>
      <c r="F2630" t="s">
        <v>51368</v>
      </c>
      <c r="G2630" t="s">
        <v>51369</v>
      </c>
      <c r="H2630" t="s">
        <v>51370</v>
      </c>
      <c r="I2630" t="s">
        <v>51371</v>
      </c>
      <c r="J2630" t="s">
        <v>51372</v>
      </c>
      <c r="K2630" t="s">
        <v>51373</v>
      </c>
      <c r="L2630" t="s">
        <v>51374</v>
      </c>
      <c r="M2630" t="s">
        <v>51375</v>
      </c>
      <c r="N2630" t="s">
        <v>51376</v>
      </c>
      <c r="O2630">
        <f>-658.653234206645 -139.290058836185 -499.665068401348</f>
        <v>-1297.6083614441782</v>
      </c>
      <c r="P2630">
        <f>-630.810115633694 -167.922265753815 -220.409646340208</f>
        <v>-1019.1420277277169</v>
      </c>
      <c r="Q2630">
        <f>-452.56657296884 -43.5388414581421 -302.302903886474</f>
        <v>-798.40831831345599</v>
      </c>
      <c r="R2630" t="s">
        <v>51377</v>
      </c>
      <c r="S2630" t="s">
        <v>51378</v>
      </c>
      <c r="T2630" t="s">
        <v>51379</v>
      </c>
      <c r="U2630" t="s">
        <v>51380</v>
      </c>
      <c r="V2630">
        <f>-582.813125097635 -41.7828645512207 -91.5860098216549</f>
        <v>-716.1819994705105</v>
      </c>
      <c r="W2630" t="s">
        <v>51381</v>
      </c>
      <c r="X2630" t="s">
        <v>51382</v>
      </c>
      <c r="Y2630" t="s">
        <v>51383</v>
      </c>
    </row>
    <row r="2631" spans="1:25" x14ac:dyDescent="0.3">
      <c r="A2631">
        <v>131500</v>
      </c>
      <c r="B2631" t="s">
        <v>51384</v>
      </c>
      <c r="C2631" t="s">
        <v>51385</v>
      </c>
      <c r="D2631" t="s">
        <v>51386</v>
      </c>
      <c r="E2631" t="s">
        <v>51387</v>
      </c>
      <c r="F2631" t="s">
        <v>51388</v>
      </c>
      <c r="G2631" t="s">
        <v>51389</v>
      </c>
      <c r="H2631" t="s">
        <v>51390</v>
      </c>
      <c r="I2631" t="s">
        <v>51391</v>
      </c>
      <c r="J2631" t="s">
        <v>51392</v>
      </c>
      <c r="K2631" t="s">
        <v>51393</v>
      </c>
      <c r="L2631" t="s">
        <v>51394</v>
      </c>
      <c r="M2631" t="s">
        <v>51395</v>
      </c>
      <c r="N2631" t="s">
        <v>51396</v>
      </c>
      <c r="O2631">
        <f>-658.335327484963 -138.895083079858 -500.298679772325</f>
        <v>-1297.529090337146</v>
      </c>
      <c r="P2631">
        <f>-630.402258072732 -167.961675537725 -221.097253630341</f>
        <v>-1019.461187240798</v>
      </c>
      <c r="Q2631">
        <f>-452.305636381948 -43.444327976312 -303.106918117852</f>
        <v>-798.85688247611199</v>
      </c>
      <c r="R2631" t="s">
        <v>51397</v>
      </c>
      <c r="S2631" t="s">
        <v>51398</v>
      </c>
      <c r="T2631" t="s">
        <v>51399</v>
      </c>
      <c r="U2631" t="s">
        <v>51400</v>
      </c>
      <c r="V2631">
        <f>-582.936319558102 -41.8278352657137 -91.6541603253336</f>
        <v>-716.41831514914929</v>
      </c>
      <c r="W2631" t="s">
        <v>51401</v>
      </c>
      <c r="X2631" t="s">
        <v>51402</v>
      </c>
      <c r="Y2631" t="s">
        <v>51403</v>
      </c>
    </row>
    <row r="2632" spans="1:25" x14ac:dyDescent="0.3">
      <c r="A2632">
        <v>131550</v>
      </c>
      <c r="B2632" t="s">
        <v>51404</v>
      </c>
      <c r="C2632" t="s">
        <v>51405</v>
      </c>
      <c r="D2632" t="s">
        <v>51406</v>
      </c>
      <c r="E2632" t="s">
        <v>51407</v>
      </c>
      <c r="F2632" t="s">
        <v>51408</v>
      </c>
      <c r="G2632" t="s">
        <v>51409</v>
      </c>
      <c r="H2632" t="s">
        <v>51410</v>
      </c>
      <c r="I2632" t="s">
        <v>51411</v>
      </c>
      <c r="J2632" t="s">
        <v>51412</v>
      </c>
      <c r="K2632" t="s">
        <v>51413</v>
      </c>
      <c r="L2632" t="s">
        <v>51414</v>
      </c>
      <c r="M2632" t="s">
        <v>51415</v>
      </c>
      <c r="N2632" t="s">
        <v>51416</v>
      </c>
      <c r="O2632">
        <f>-658.312641636737 -138.718510777663 -500.54753440343</f>
        <v>-1297.57868681783</v>
      </c>
      <c r="P2632">
        <f>-630.284250455069 -168.041927195965 -221.382511734178</f>
        <v>-1019.708689385212</v>
      </c>
      <c r="Q2632">
        <f>-452.219306160369 -43.5107739895707 -303.43979010016</f>
        <v>-799.16987025009962</v>
      </c>
      <c r="R2632" t="s">
        <v>51417</v>
      </c>
      <c r="S2632" t="s">
        <v>51418</v>
      </c>
      <c r="T2632" t="s">
        <v>51419</v>
      </c>
      <c r="U2632" t="s">
        <v>51420</v>
      </c>
      <c r="V2632">
        <f>-582.998085959627 -41.8522977650355 -91.6916024719607</f>
        <v>-716.54198619662316</v>
      </c>
      <c r="W2632" t="s">
        <v>51421</v>
      </c>
      <c r="X2632" t="s">
        <v>51422</v>
      </c>
      <c r="Y2632" t="s">
        <v>51423</v>
      </c>
    </row>
    <row r="2633" spans="1:25" x14ac:dyDescent="0.3">
      <c r="A2633">
        <v>131600</v>
      </c>
      <c r="B2633" t="s">
        <v>51424</v>
      </c>
      <c r="C2633" t="s">
        <v>51425</v>
      </c>
      <c r="D2633" t="s">
        <v>51426</v>
      </c>
      <c r="E2633" t="s">
        <v>51427</v>
      </c>
      <c r="F2633" t="s">
        <v>51428</v>
      </c>
      <c r="G2633" t="s">
        <v>51429</v>
      </c>
      <c r="H2633" t="s">
        <v>51430</v>
      </c>
      <c r="I2633" t="s">
        <v>51431</v>
      </c>
      <c r="J2633" t="s">
        <v>51432</v>
      </c>
      <c r="K2633" t="s">
        <v>51433</v>
      </c>
      <c r="L2633" t="s">
        <v>51434</v>
      </c>
      <c r="M2633" t="s">
        <v>51435</v>
      </c>
      <c r="N2633" t="s">
        <v>51436</v>
      </c>
      <c r="O2633">
        <f>-658.766865732302 -138.241562019267 -500.987801115309</f>
        <v>-1297.996228866878</v>
      </c>
      <c r="P2633">
        <f>-630.161321519089 -167.706107917701 -221.89619237888</f>
        <v>-1019.7636218156699</v>
      </c>
      <c r="Q2633">
        <f>-452.162163316985 -43.2707126979383 -304.240969503171</f>
        <v>-799.67384551809437</v>
      </c>
      <c r="R2633" t="s">
        <v>51437</v>
      </c>
      <c r="S2633" t="s">
        <v>51438</v>
      </c>
      <c r="T2633" t="s">
        <v>51439</v>
      </c>
      <c r="U2633" t="s">
        <v>51440</v>
      </c>
      <c r="V2633">
        <f>-583.29014535611 -41.9312575643985 -91.7676844069372</f>
        <v>-716.98908732744565</v>
      </c>
      <c r="W2633" t="s">
        <v>51441</v>
      </c>
      <c r="X2633" t="s">
        <v>51442</v>
      </c>
      <c r="Y2633" t="s">
        <v>51443</v>
      </c>
    </row>
    <row r="2634" spans="1:25" x14ac:dyDescent="0.3">
      <c r="A2634">
        <v>131650</v>
      </c>
      <c r="B2634" t="s">
        <v>51444</v>
      </c>
      <c r="C2634" t="s">
        <v>51445</v>
      </c>
      <c r="D2634" t="s">
        <v>51446</v>
      </c>
      <c r="E2634" t="s">
        <v>51447</v>
      </c>
      <c r="F2634" t="s">
        <v>51448</v>
      </c>
      <c r="G2634" t="s">
        <v>51449</v>
      </c>
      <c r="H2634" t="s">
        <v>51450</v>
      </c>
      <c r="I2634" t="s">
        <v>51451</v>
      </c>
      <c r="J2634" t="s">
        <v>51452</v>
      </c>
      <c r="K2634" t="s">
        <v>51453</v>
      </c>
      <c r="L2634" t="s">
        <v>51454</v>
      </c>
      <c r="M2634" t="s">
        <v>51455</v>
      </c>
      <c r="N2634" t="s">
        <v>51456</v>
      </c>
      <c r="O2634">
        <f>-659.17243031446 -137.919973664314 -501.168661900374</f>
        <v>-1298.261065879148</v>
      </c>
      <c r="P2634">
        <f>-630.106187658802 -167.502030450529 -222.137077792941</f>
        <v>-1019.745295902272</v>
      </c>
      <c r="Q2634">
        <f>-452.213697509193 -43.0952116766302 -304.755270012539</f>
        <v>-800.06417919836213</v>
      </c>
      <c r="R2634" t="s">
        <v>51457</v>
      </c>
      <c r="S2634" t="s">
        <v>51458</v>
      </c>
      <c r="T2634" t="s">
        <v>51459</v>
      </c>
      <c r="U2634" t="s">
        <v>51460</v>
      </c>
      <c r="V2634">
        <f>-583.471355538389 -41.9800918908302 -91.7982808421734</f>
        <v>-717.24972827139266</v>
      </c>
      <c r="W2634" t="s">
        <v>51461</v>
      </c>
      <c r="X2634" t="s">
        <v>51462</v>
      </c>
      <c r="Y2634" t="s">
        <v>51463</v>
      </c>
    </row>
    <row r="2635" spans="1:25" x14ac:dyDescent="0.3">
      <c r="A2635">
        <v>131700</v>
      </c>
      <c r="B2635" t="s">
        <v>51464</v>
      </c>
      <c r="C2635" t="s">
        <v>51465</v>
      </c>
      <c r="D2635" t="s">
        <v>51466</v>
      </c>
      <c r="E2635" t="s">
        <v>51467</v>
      </c>
      <c r="F2635" t="s">
        <v>51468</v>
      </c>
      <c r="G2635" t="s">
        <v>51469</v>
      </c>
      <c r="H2635" t="s">
        <v>51470</v>
      </c>
      <c r="I2635" t="s">
        <v>51471</v>
      </c>
      <c r="J2635" t="s">
        <v>51472</v>
      </c>
      <c r="K2635" t="s">
        <v>51473</v>
      </c>
      <c r="L2635" t="s">
        <v>51474</v>
      </c>
      <c r="M2635" t="s">
        <v>51475</v>
      </c>
      <c r="N2635" t="s">
        <v>51476</v>
      </c>
      <c r="O2635">
        <f>-659.986917666826 -137.201047448697 -501.548487614876</f>
        <v>-1298.7364527303989</v>
      </c>
      <c r="P2635">
        <f>-630.345775247806 -166.959807509739 -222.596090234455</f>
        <v>-1019.901672992</v>
      </c>
      <c r="Q2635">
        <f>-452.332647406836 -43.0256804260209 -305.663305015926</f>
        <v>-801.02163284878293</v>
      </c>
      <c r="R2635" t="s">
        <v>51477</v>
      </c>
      <c r="S2635" t="s">
        <v>51478</v>
      </c>
      <c r="T2635" t="s">
        <v>51479</v>
      </c>
      <c r="U2635" t="s">
        <v>51480</v>
      </c>
      <c r="V2635">
        <f>-583.799281372752 -41.8643766978812 -91.8353429175129</f>
        <v>-717.49900098814612</v>
      </c>
      <c r="W2635" t="s">
        <v>51481</v>
      </c>
      <c r="X2635" t="s">
        <v>51482</v>
      </c>
      <c r="Y2635" t="s">
        <v>51483</v>
      </c>
    </row>
    <row r="2636" spans="1:25" x14ac:dyDescent="0.3">
      <c r="A2636">
        <v>131750</v>
      </c>
      <c r="B2636" t="s">
        <v>51484</v>
      </c>
      <c r="C2636" t="s">
        <v>51485</v>
      </c>
      <c r="D2636" t="s">
        <v>51486</v>
      </c>
      <c r="E2636" t="s">
        <v>51487</v>
      </c>
      <c r="F2636" t="s">
        <v>51488</v>
      </c>
      <c r="G2636" t="s">
        <v>51489</v>
      </c>
      <c r="H2636" t="s">
        <v>51490</v>
      </c>
      <c r="I2636" t="s">
        <v>51491</v>
      </c>
      <c r="J2636" t="s">
        <v>51492</v>
      </c>
      <c r="K2636" t="s">
        <v>51493</v>
      </c>
      <c r="L2636" t="s">
        <v>51494</v>
      </c>
      <c r="M2636" t="s">
        <v>51495</v>
      </c>
      <c r="N2636" t="s">
        <v>51496</v>
      </c>
      <c r="O2636">
        <f>-660.441644987833 -136.838378760867 -501.675484589421</f>
        <v>-1298.955508338121</v>
      </c>
      <c r="P2636">
        <f>-630.433670414351 -166.719160848273 -222.77544544992</f>
        <v>-1019.9282767125439</v>
      </c>
      <c r="Q2636">
        <f>-452.205230314658 -43.1747481192322 -305.961751516856</f>
        <v>-801.34172995074618</v>
      </c>
      <c r="R2636" t="s">
        <v>51497</v>
      </c>
      <c r="S2636" t="s">
        <v>51498</v>
      </c>
      <c r="T2636" t="s">
        <v>51499</v>
      </c>
      <c r="U2636" t="s">
        <v>51500</v>
      </c>
      <c r="V2636">
        <f>-583.940331733814 -41.7575026453696 -91.8410261656402</f>
        <v>-717.53886054482382</v>
      </c>
      <c r="W2636" t="s">
        <v>51501</v>
      </c>
      <c r="X2636" t="s">
        <v>51502</v>
      </c>
      <c r="Y2636" t="s">
        <v>51503</v>
      </c>
    </row>
    <row r="2637" spans="1:25" x14ac:dyDescent="0.3">
      <c r="A2637">
        <v>131800</v>
      </c>
      <c r="B2637" t="s">
        <v>51504</v>
      </c>
      <c r="C2637" t="s">
        <v>51505</v>
      </c>
      <c r="D2637" t="s">
        <v>51506</v>
      </c>
      <c r="E2637" t="s">
        <v>51507</v>
      </c>
      <c r="F2637" t="s">
        <v>51508</v>
      </c>
      <c r="G2637" t="s">
        <v>51509</v>
      </c>
      <c r="H2637" t="s">
        <v>51510</v>
      </c>
      <c r="I2637" t="s">
        <v>51511</v>
      </c>
      <c r="J2637" t="s">
        <v>51512</v>
      </c>
      <c r="K2637" t="s">
        <v>51513</v>
      </c>
      <c r="L2637" t="s">
        <v>51514</v>
      </c>
      <c r="M2637" t="s">
        <v>51515</v>
      </c>
      <c r="N2637" t="s">
        <v>51516</v>
      </c>
      <c r="O2637">
        <f>-661.284286651824 -136.208455463121 -501.747800498113</f>
        <v>-1299.2405426130581</v>
      </c>
      <c r="P2637">
        <f>-630.816028962505 -166.267808617809 -222.916788441098</f>
        <v>-1020.000626021412</v>
      </c>
      <c r="Q2637">
        <f>-452.330765710304 -43.5292797984891 -306.742643269705</f>
        <v>-802.60268877849808</v>
      </c>
      <c r="R2637" t="s">
        <v>51517</v>
      </c>
      <c r="S2637" t="s">
        <v>51518</v>
      </c>
      <c r="T2637" t="s">
        <v>51519</v>
      </c>
      <c r="U2637" t="s">
        <v>51520</v>
      </c>
      <c r="V2637">
        <f>-584.136382849122 -41.3493232871144 -91.8443234839464</f>
        <v>-717.33002962018281</v>
      </c>
      <c r="W2637" t="s">
        <v>51521</v>
      </c>
      <c r="X2637" t="s">
        <v>51522</v>
      </c>
      <c r="Y2637" t="s">
        <v>51523</v>
      </c>
    </row>
    <row r="2638" spans="1:25" x14ac:dyDescent="0.3">
      <c r="A2638">
        <v>131850</v>
      </c>
      <c r="B2638" t="s">
        <v>51524</v>
      </c>
      <c r="C2638" t="s">
        <v>51525</v>
      </c>
      <c r="D2638" t="s">
        <v>51526</v>
      </c>
      <c r="E2638" t="s">
        <v>51527</v>
      </c>
      <c r="F2638" t="s">
        <v>51528</v>
      </c>
      <c r="G2638" t="s">
        <v>51529</v>
      </c>
      <c r="H2638" t="s">
        <v>51530</v>
      </c>
      <c r="I2638" t="s">
        <v>51531</v>
      </c>
      <c r="J2638" t="s">
        <v>51532</v>
      </c>
      <c r="K2638" t="s">
        <v>51533</v>
      </c>
      <c r="L2638" t="s">
        <v>51534</v>
      </c>
      <c r="M2638" t="s">
        <v>51535</v>
      </c>
      <c r="N2638" t="s">
        <v>51536</v>
      </c>
      <c r="O2638">
        <f>-661.756847377894 -135.896469032599 -501.721921151189</f>
        <v>-1299.3752375616821</v>
      </c>
      <c r="P2638">
        <f>-630.994944883605 -165.921077425465 -222.919489873202</f>
        <v>-1019.8355121822719</v>
      </c>
      <c r="Q2638">
        <f>-452.507460834956 -43.4899789435112 -307.189254450529</f>
        <v>-803.1866942289962</v>
      </c>
      <c r="R2638" t="s">
        <v>51537</v>
      </c>
      <c r="S2638" t="s">
        <v>51538</v>
      </c>
      <c r="T2638" t="s">
        <v>51539</v>
      </c>
      <c r="U2638" t="s">
        <v>51540</v>
      </c>
      <c r="V2638">
        <f>-584.26198084448 -41.1463632756011 -91.841407317234</f>
        <v>-717.24975143731513</v>
      </c>
      <c r="W2638" t="s">
        <v>51541</v>
      </c>
      <c r="X2638" t="s">
        <v>51542</v>
      </c>
      <c r="Y2638" t="s">
        <v>51543</v>
      </c>
    </row>
    <row r="2639" spans="1:25" x14ac:dyDescent="0.3">
      <c r="A2639">
        <v>131900</v>
      </c>
      <c r="B2639" t="s">
        <v>51544</v>
      </c>
      <c r="C2639" t="s">
        <v>51545</v>
      </c>
      <c r="D2639" t="s">
        <v>51546</v>
      </c>
      <c r="E2639" t="s">
        <v>51547</v>
      </c>
      <c r="F2639" t="s">
        <v>51548</v>
      </c>
      <c r="G2639" t="s">
        <v>51549</v>
      </c>
      <c r="H2639" t="s">
        <v>51550</v>
      </c>
      <c r="I2639" t="s">
        <v>51551</v>
      </c>
      <c r="J2639" t="s">
        <v>51552</v>
      </c>
      <c r="K2639" t="s">
        <v>51553</v>
      </c>
      <c r="L2639" t="s">
        <v>51554</v>
      </c>
      <c r="M2639" t="s">
        <v>51555</v>
      </c>
      <c r="N2639" t="s">
        <v>51556</v>
      </c>
      <c r="O2639">
        <f>-662.776791179503 -135.224528590127 -501.613981814309</f>
        <v>-1299.6153015839391</v>
      </c>
      <c r="P2639">
        <f>-631.377762532183 -165.003156556313 -222.85619050267</f>
        <v>-1019.237109591166</v>
      </c>
      <c r="Q2639">
        <f>-452.996162564388 -42.9954848542063 -307.959977870542</f>
        <v>-803.95162528913625</v>
      </c>
      <c r="R2639" t="s">
        <v>51557</v>
      </c>
      <c r="S2639" t="s">
        <v>51558</v>
      </c>
      <c r="T2639" t="s">
        <v>51559</v>
      </c>
      <c r="U2639" t="s">
        <v>51560</v>
      </c>
      <c r="V2639">
        <f>-584.574143463465 -40.6678675906144 -91.8294738762507</f>
        <v>-717.07148493033014</v>
      </c>
      <c r="W2639" t="s">
        <v>51561</v>
      </c>
      <c r="X2639" t="s">
        <v>51562</v>
      </c>
      <c r="Y2639" t="s">
        <v>51563</v>
      </c>
    </row>
    <row r="2640" spans="1:25" x14ac:dyDescent="0.3">
      <c r="A2640">
        <v>131950</v>
      </c>
      <c r="B2640" t="s">
        <v>51564</v>
      </c>
      <c r="C2640" t="s">
        <v>51565</v>
      </c>
      <c r="D2640" t="s">
        <v>51566</v>
      </c>
      <c r="E2640" t="s">
        <v>51567</v>
      </c>
      <c r="F2640" t="s">
        <v>51568</v>
      </c>
      <c r="G2640" t="s">
        <v>51569</v>
      </c>
      <c r="H2640" t="s">
        <v>51570</v>
      </c>
      <c r="I2640" t="s">
        <v>51571</v>
      </c>
      <c r="J2640" t="s">
        <v>51572</v>
      </c>
      <c r="K2640" t="s">
        <v>51573</v>
      </c>
      <c r="L2640" t="s">
        <v>51574</v>
      </c>
      <c r="M2640" t="s">
        <v>51575</v>
      </c>
      <c r="N2640" t="s">
        <v>51576</v>
      </c>
      <c r="O2640">
        <f>-663.282812572532 -134.859725757864 -501.554256271435</f>
        <v>-1299.696794601831</v>
      </c>
      <c r="P2640">
        <f>-631.548877078624 -164.660758151334 -222.836699609154</f>
        <v>-1019.046334839112</v>
      </c>
      <c r="Q2640">
        <f>-453.258136655681 -42.6570076893818 -308.136005138873</f>
        <v>-804.05114948393577</v>
      </c>
      <c r="R2640" t="s">
        <v>51577</v>
      </c>
      <c r="S2640" t="s">
        <v>51578</v>
      </c>
      <c r="T2640" t="s">
        <v>51579</v>
      </c>
      <c r="U2640" t="s">
        <v>51580</v>
      </c>
      <c r="V2640">
        <f>-584.71520761414 -40.383810058124 -91.8228654444067</f>
        <v>-716.92188311667076</v>
      </c>
      <c r="W2640" t="s">
        <v>51581</v>
      </c>
      <c r="X2640" t="s">
        <v>51582</v>
      </c>
      <c r="Y2640" t="s">
        <v>51583</v>
      </c>
    </row>
    <row r="2641" spans="1:25" x14ac:dyDescent="0.3">
      <c r="A2641">
        <v>132000</v>
      </c>
      <c r="B2641" t="s">
        <v>51584</v>
      </c>
      <c r="C2641" t="s">
        <v>51585</v>
      </c>
      <c r="D2641" t="s">
        <v>51586</v>
      </c>
      <c r="E2641" t="s">
        <v>51587</v>
      </c>
      <c r="F2641" t="s">
        <v>51588</v>
      </c>
      <c r="G2641" t="s">
        <v>51589</v>
      </c>
      <c r="H2641" t="s">
        <v>51590</v>
      </c>
      <c r="I2641" t="s">
        <v>51591</v>
      </c>
      <c r="J2641" t="s">
        <v>51592</v>
      </c>
      <c r="K2641" t="s">
        <v>51593</v>
      </c>
      <c r="L2641" t="s">
        <v>51594</v>
      </c>
      <c r="M2641" t="s">
        <v>51595</v>
      </c>
      <c r="N2641" t="s">
        <v>51596</v>
      </c>
      <c r="O2641">
        <f>-664.238605045334 -134.209412421773 -501.472711169673</f>
        <v>-1299.92072863678</v>
      </c>
      <c r="P2641">
        <f>-631.978991923124 -164.057281436913 -222.820518977579</f>
        <v>-1018.8567923376161</v>
      </c>
      <c r="Q2641">
        <f>-454.151320469262 -41.7170861108709 -308.603514074818</f>
        <v>-804.47192065495096</v>
      </c>
      <c r="R2641" t="s">
        <v>51597</v>
      </c>
      <c r="S2641" t="s">
        <v>51598</v>
      </c>
      <c r="T2641" t="s">
        <v>51599</v>
      </c>
      <c r="U2641" t="s">
        <v>51600</v>
      </c>
      <c r="V2641">
        <f>-584.975506083247 -39.8565335090143 -91.8247481463574</f>
        <v>-716.65678773861862</v>
      </c>
      <c r="W2641" t="s">
        <v>51601</v>
      </c>
      <c r="X2641" t="s">
        <v>51602</v>
      </c>
      <c r="Y2641" t="s">
        <v>51603</v>
      </c>
    </row>
    <row r="2642" spans="1:25" x14ac:dyDescent="0.3">
      <c r="A2642">
        <v>132050</v>
      </c>
      <c r="B2642" t="s">
        <v>51604</v>
      </c>
      <c r="C2642" t="s">
        <v>51605</v>
      </c>
      <c r="D2642" t="s">
        <v>51606</v>
      </c>
      <c r="E2642" t="s">
        <v>51607</v>
      </c>
      <c r="F2642" t="s">
        <v>51608</v>
      </c>
      <c r="G2642" t="s">
        <v>51609</v>
      </c>
      <c r="H2642" t="s">
        <v>51610</v>
      </c>
      <c r="I2642" t="s">
        <v>51611</v>
      </c>
      <c r="J2642" t="s">
        <v>51612</v>
      </c>
      <c r="K2642" t="s">
        <v>51613</v>
      </c>
      <c r="L2642" t="s">
        <v>51614</v>
      </c>
      <c r="M2642" t="s">
        <v>51615</v>
      </c>
      <c r="N2642" t="s">
        <v>51616</v>
      </c>
      <c r="O2642">
        <f>-664.637585720366 -133.880030105192 -501.48318302037</f>
        <v>-1300.0007988459279</v>
      </c>
      <c r="P2642">
        <f>-632.106659497754 -163.676165763969 -222.857128931571</f>
        <v>-1018.639954193294</v>
      </c>
      <c r="Q2642">
        <f>-454.486148113374 -41.199706347343 -308.874587290737</f>
        <v>-804.56044175145394</v>
      </c>
      <c r="R2642" t="s">
        <v>51617</v>
      </c>
      <c r="S2642" t="s">
        <v>51618</v>
      </c>
      <c r="T2642" t="s">
        <v>51619</v>
      </c>
      <c r="U2642" t="s">
        <v>51620</v>
      </c>
      <c r="V2642">
        <f>-585.067225997581 -39.688259795231 -91.8360976468323</f>
        <v>-716.5915834396443</v>
      </c>
      <c r="W2642" t="s">
        <v>51621</v>
      </c>
      <c r="X2642" t="s">
        <v>51622</v>
      </c>
      <c r="Y2642" t="s">
        <v>51623</v>
      </c>
    </row>
    <row r="2643" spans="1:25" x14ac:dyDescent="0.3">
      <c r="A2643">
        <v>132100</v>
      </c>
      <c r="B2643" t="s">
        <v>51624</v>
      </c>
      <c r="C2643" t="s">
        <v>51625</v>
      </c>
      <c r="D2643" t="s">
        <v>51626</v>
      </c>
      <c r="E2643" t="s">
        <v>51627</v>
      </c>
      <c r="F2643" t="s">
        <v>51628</v>
      </c>
      <c r="G2643" t="s">
        <v>51629</v>
      </c>
      <c r="H2643" t="s">
        <v>51630</v>
      </c>
      <c r="I2643" t="s">
        <v>51631</v>
      </c>
      <c r="J2643" t="s">
        <v>51632</v>
      </c>
      <c r="K2643" t="s">
        <v>51633</v>
      </c>
      <c r="L2643" t="s">
        <v>51634</v>
      </c>
      <c r="M2643" t="s">
        <v>51635</v>
      </c>
      <c r="N2643" t="s">
        <v>51636</v>
      </c>
      <c r="O2643">
        <f>-665.224711668145 -133.1657256703 -501.630143594718</f>
        <v>-1300.020580933163</v>
      </c>
      <c r="P2643">
        <f>-631.97642734178 -163.352505284122 -223.130804149649</f>
        <v>-1018.4597367755509</v>
      </c>
      <c r="Q2643">
        <f>-454.786565042099 -40.4086331189565 -309.369438471194</f>
        <v>-804.56463663224952</v>
      </c>
      <c r="R2643" t="s">
        <v>51637</v>
      </c>
      <c r="S2643" t="s">
        <v>51638</v>
      </c>
      <c r="T2643" t="s">
        <v>51639</v>
      </c>
      <c r="U2643" t="s">
        <v>51640</v>
      </c>
      <c r="V2643">
        <f>-585.066735362093 -39.3678220547765 -91.8600652957326</f>
        <v>-716.29462271260218</v>
      </c>
      <c r="W2643" t="s">
        <v>51641</v>
      </c>
      <c r="X2643" t="s">
        <v>51642</v>
      </c>
      <c r="Y2643" t="s">
        <v>51643</v>
      </c>
    </row>
    <row r="2644" spans="1:25" x14ac:dyDescent="0.3">
      <c r="A2644">
        <v>132150</v>
      </c>
      <c r="B2644" t="s">
        <v>51644</v>
      </c>
      <c r="C2644" t="s">
        <v>51645</v>
      </c>
      <c r="D2644" t="s">
        <v>51646</v>
      </c>
      <c r="E2644" t="s">
        <v>51647</v>
      </c>
      <c r="F2644" t="s">
        <v>51648</v>
      </c>
      <c r="G2644" t="s">
        <v>51649</v>
      </c>
      <c r="H2644" t="s">
        <v>51650</v>
      </c>
      <c r="I2644" t="s">
        <v>51651</v>
      </c>
      <c r="J2644" t="s">
        <v>51652</v>
      </c>
      <c r="K2644" t="s">
        <v>51653</v>
      </c>
      <c r="L2644" t="s">
        <v>51654</v>
      </c>
      <c r="M2644" t="s">
        <v>51655</v>
      </c>
      <c r="N2644" t="s">
        <v>51656</v>
      </c>
      <c r="O2644">
        <f>-665.562724927881 -132.673073553211 -501.749241566194</f>
        <v>-1299.985040047286</v>
      </c>
      <c r="P2644">
        <f>-631.839660139693 -163.2374107789 -223.34830007629</f>
        <v>-1018.425370994883</v>
      </c>
      <c r="Q2644">
        <f>-454.923241106328 -39.8903002704467 -309.572317448432</f>
        <v>-804.3858588252067</v>
      </c>
      <c r="R2644" t="s">
        <v>51657</v>
      </c>
      <c r="S2644" t="s">
        <v>51658</v>
      </c>
      <c r="T2644" t="s">
        <v>51659</v>
      </c>
      <c r="U2644" t="s">
        <v>51660</v>
      </c>
      <c r="V2644">
        <f>-585.020218418529 -39.1970215481044 -91.8709308481223</f>
        <v>-716.0881708147557</v>
      </c>
      <c r="W2644" t="s">
        <v>51661</v>
      </c>
      <c r="X2644" t="s">
        <v>51662</v>
      </c>
      <c r="Y2644" t="s">
        <v>51663</v>
      </c>
    </row>
    <row r="2645" spans="1:25" x14ac:dyDescent="0.3">
      <c r="A2645">
        <v>132200</v>
      </c>
      <c r="B2645" t="s">
        <v>51664</v>
      </c>
      <c r="C2645" t="s">
        <v>51665</v>
      </c>
      <c r="D2645" t="s">
        <v>51666</v>
      </c>
      <c r="E2645" t="s">
        <v>51667</v>
      </c>
      <c r="F2645" t="s">
        <v>51668</v>
      </c>
      <c r="G2645" t="s">
        <v>51669</v>
      </c>
      <c r="H2645" t="s">
        <v>51670</v>
      </c>
      <c r="I2645" t="s">
        <v>51671</v>
      </c>
      <c r="J2645" t="s">
        <v>51672</v>
      </c>
      <c r="K2645" t="s">
        <v>51673</v>
      </c>
      <c r="L2645" t="s">
        <v>51674</v>
      </c>
      <c r="M2645" t="s">
        <v>51675</v>
      </c>
      <c r="N2645" t="s">
        <v>51676</v>
      </c>
      <c r="O2645">
        <f>-666.075092048359 -131.574406878431 -502.106986274684</f>
        <v>-1299.7564852014739</v>
      </c>
      <c r="P2645">
        <f>-631.340894731958 -162.78963389468 -223.902404923522</f>
        <v>-1018.03293355016</v>
      </c>
      <c r="Q2645">
        <f>-455.077478705594 -38.5659743546607 -310.205764993627</f>
        <v>-803.84921805388171</v>
      </c>
      <c r="R2645" t="s">
        <v>51677</v>
      </c>
      <c r="S2645" t="s">
        <v>51678</v>
      </c>
      <c r="T2645" t="s">
        <v>51679</v>
      </c>
      <c r="U2645" t="s">
        <v>51680</v>
      </c>
      <c r="V2645">
        <f>-584.908657641508 -38.7777947710263 -91.8798095183923</f>
        <v>-715.56626193092654</v>
      </c>
      <c r="W2645" t="s">
        <v>51681</v>
      </c>
      <c r="X2645" t="s">
        <v>51682</v>
      </c>
      <c r="Y2645" t="s">
        <v>51683</v>
      </c>
    </row>
    <row r="2646" spans="1:25" x14ac:dyDescent="0.3">
      <c r="A2646">
        <v>132250</v>
      </c>
      <c r="B2646" t="s">
        <v>51684</v>
      </c>
      <c r="C2646" t="s">
        <v>51685</v>
      </c>
      <c r="D2646" t="s">
        <v>51686</v>
      </c>
      <c r="E2646" t="s">
        <v>51687</v>
      </c>
      <c r="F2646" t="s">
        <v>51688</v>
      </c>
      <c r="G2646" t="s">
        <v>51689</v>
      </c>
      <c r="H2646" t="s">
        <v>51690</v>
      </c>
      <c r="I2646" t="s">
        <v>51691</v>
      </c>
      <c r="J2646" t="s">
        <v>51692</v>
      </c>
      <c r="K2646" t="s">
        <v>51693</v>
      </c>
      <c r="L2646" t="s">
        <v>51694</v>
      </c>
      <c r="M2646" t="s">
        <v>51695</v>
      </c>
      <c r="N2646" t="s">
        <v>51696</v>
      </c>
      <c r="O2646">
        <f>-666.152903023604 -130.915399641477 -502.342602714471</f>
        <v>-1299.4109053795521</v>
      </c>
      <c r="P2646">
        <f>-630.971972643366 -162.51011584478 -224.236980473951</f>
        <v>-1017.719068962097</v>
      </c>
      <c r="Q2646">
        <f>-455.001942717032 -37.8704139603731 -310.539145787494</f>
        <v>-803.41150246489917</v>
      </c>
      <c r="R2646" t="s">
        <v>51697</v>
      </c>
      <c r="S2646" t="s">
        <v>51698</v>
      </c>
      <c r="T2646" t="s">
        <v>51699</v>
      </c>
      <c r="U2646" t="s">
        <v>51700</v>
      </c>
      <c r="V2646">
        <f>-584.80659724723 -38.5635864994965 -91.8849396229717</f>
        <v>-715.25512336969825</v>
      </c>
      <c r="W2646" t="s">
        <v>51701</v>
      </c>
      <c r="X2646" t="s">
        <v>51702</v>
      </c>
      <c r="Y2646" t="s">
        <v>51703</v>
      </c>
    </row>
    <row r="2647" spans="1:25" x14ac:dyDescent="0.3">
      <c r="A2647">
        <v>132300</v>
      </c>
      <c r="B2647" t="s">
        <v>51704</v>
      </c>
      <c r="C2647" t="s">
        <v>51705</v>
      </c>
      <c r="D2647" t="s">
        <v>51706</v>
      </c>
      <c r="E2647" t="s">
        <v>51707</v>
      </c>
      <c r="F2647" t="s">
        <v>51708</v>
      </c>
      <c r="G2647" t="s">
        <v>51709</v>
      </c>
      <c r="H2647" t="s">
        <v>51710</v>
      </c>
      <c r="I2647" t="s">
        <v>51711</v>
      </c>
      <c r="J2647" t="s">
        <v>51712</v>
      </c>
      <c r="K2647" t="s">
        <v>51713</v>
      </c>
      <c r="L2647" t="s">
        <v>51714</v>
      </c>
      <c r="M2647" t="s">
        <v>51715</v>
      </c>
      <c r="N2647" t="s">
        <v>51716</v>
      </c>
      <c r="O2647">
        <f>-666.39964107664 -129.925220714074 -502.9038145826</f>
        <v>-1299.2286763733141</v>
      </c>
      <c r="P2647">
        <f>-630.464404621456 -162.578208102844 -225.017052662848</f>
        <v>-1018.0596653871479</v>
      </c>
      <c r="Q2647">
        <f>-454.73498616064 -37.2262041884426 -310.776184802955</f>
        <v>-802.73737515203766</v>
      </c>
      <c r="R2647" t="s">
        <v>51717</v>
      </c>
      <c r="S2647" t="s">
        <v>51718</v>
      </c>
      <c r="T2647" t="s">
        <v>51719</v>
      </c>
      <c r="U2647" t="s">
        <v>51720</v>
      </c>
      <c r="V2647">
        <f>-584.521546848188 -38.3335848860895 -91.9047300867626</f>
        <v>-714.75986182104009</v>
      </c>
      <c r="W2647" t="s">
        <v>51721</v>
      </c>
      <c r="X2647" t="s">
        <v>51722</v>
      </c>
      <c r="Y2647" t="s">
        <v>51723</v>
      </c>
    </row>
    <row r="2648" spans="1:25" x14ac:dyDescent="0.3">
      <c r="A2648">
        <v>132350</v>
      </c>
      <c r="B2648" t="s">
        <v>51724</v>
      </c>
      <c r="C2648" t="s">
        <v>51725</v>
      </c>
      <c r="D2648" t="s">
        <v>51726</v>
      </c>
      <c r="E2648" t="s">
        <v>51727</v>
      </c>
      <c r="F2648" t="s">
        <v>51728</v>
      </c>
      <c r="G2648" t="s">
        <v>51729</v>
      </c>
      <c r="H2648" t="s">
        <v>51730</v>
      </c>
      <c r="I2648" t="s">
        <v>51731</v>
      </c>
      <c r="J2648" t="s">
        <v>51732</v>
      </c>
      <c r="K2648" t="s">
        <v>51733</v>
      </c>
      <c r="L2648" t="s">
        <v>51734</v>
      </c>
      <c r="M2648" t="s">
        <v>51735</v>
      </c>
      <c r="N2648" t="s">
        <v>51736</v>
      </c>
      <c r="O2648">
        <f>-666.608178684925 -129.505878842202 -503.109829907886</f>
        <v>-1299.223887435013</v>
      </c>
      <c r="P2648">
        <f>-630.308541760462 -162.589175856954 -225.32145280855</f>
        <v>-1018.219170425966</v>
      </c>
      <c r="Q2648">
        <f>-454.611562059223 -37.0098792519414 -310.813880182176</f>
        <v>-802.43532149334033</v>
      </c>
      <c r="R2648" t="s">
        <v>51737</v>
      </c>
      <c r="S2648" t="s">
        <v>51738</v>
      </c>
      <c r="T2648" t="s">
        <v>51739</v>
      </c>
      <c r="U2648" t="s">
        <v>51740</v>
      </c>
      <c r="V2648">
        <f>-584.364953288435 -38.2645123282177 -91.9222123751206</f>
        <v>-714.55167799177332</v>
      </c>
      <c r="W2648" t="s">
        <v>51741</v>
      </c>
      <c r="X2648" t="s">
        <v>51742</v>
      </c>
      <c r="Y2648" t="s">
        <v>51743</v>
      </c>
    </row>
    <row r="2649" spans="1:25" x14ac:dyDescent="0.3">
      <c r="A2649">
        <v>132400</v>
      </c>
      <c r="B2649" t="s">
        <v>51744</v>
      </c>
      <c r="C2649" t="s">
        <v>51745</v>
      </c>
      <c r="D2649" t="s">
        <v>51746</v>
      </c>
      <c r="E2649" t="s">
        <v>51747</v>
      </c>
      <c r="F2649" t="s">
        <v>51748</v>
      </c>
      <c r="G2649" t="s">
        <v>51749</v>
      </c>
      <c r="H2649" t="s">
        <v>51750</v>
      </c>
      <c r="I2649" t="s">
        <v>51751</v>
      </c>
      <c r="J2649" t="s">
        <v>51752</v>
      </c>
      <c r="K2649" t="s">
        <v>51753</v>
      </c>
      <c r="L2649" t="s">
        <v>51754</v>
      </c>
      <c r="M2649" t="s">
        <v>51755</v>
      </c>
      <c r="N2649" t="s">
        <v>51756</v>
      </c>
      <c r="O2649">
        <f>-667.147993894683 -128.709388660888 -503.487829108728</f>
        <v>-1299.3452116642991</v>
      </c>
      <c r="P2649">
        <f>-630.284360773113 -162.163010825292 -225.818004943679</f>
        <v>-1018.2653765420839</v>
      </c>
      <c r="Q2649">
        <f>-454.51843949526 -36.6128393868757 -311.211330841142</f>
        <v>-802.34260972327775</v>
      </c>
      <c r="R2649" t="s">
        <v>51757</v>
      </c>
      <c r="S2649" t="s">
        <v>51758</v>
      </c>
      <c r="T2649" t="s">
        <v>51759</v>
      </c>
      <c r="U2649" t="s">
        <v>51760</v>
      </c>
      <c r="V2649">
        <f>-584.115432486433 -38.1530772366016 -91.9874724270165</f>
        <v>-714.25598215005107</v>
      </c>
      <c r="W2649" t="s">
        <v>51761</v>
      </c>
      <c r="X2649" t="s">
        <v>51762</v>
      </c>
      <c r="Y2649" t="s">
        <v>51763</v>
      </c>
    </row>
    <row r="2650" spans="1:25" x14ac:dyDescent="0.3">
      <c r="A2650">
        <v>132450</v>
      </c>
      <c r="B2650" t="s">
        <v>51764</v>
      </c>
      <c r="C2650" t="s">
        <v>51765</v>
      </c>
      <c r="D2650" t="s">
        <v>51766</v>
      </c>
      <c r="E2650" t="s">
        <v>51767</v>
      </c>
      <c r="F2650" t="s">
        <v>51768</v>
      </c>
      <c r="G2650" t="s">
        <v>51769</v>
      </c>
      <c r="H2650" t="s">
        <v>51770</v>
      </c>
      <c r="I2650" t="s">
        <v>51771</v>
      </c>
      <c r="J2650" t="s">
        <v>51772</v>
      </c>
      <c r="K2650" t="s">
        <v>51773</v>
      </c>
      <c r="L2650" t="s">
        <v>51774</v>
      </c>
      <c r="M2650" t="s">
        <v>51775</v>
      </c>
      <c r="N2650" t="s">
        <v>51776</v>
      </c>
      <c r="O2650">
        <f>-667.471669437739 -128.398367708827 -503.629263007433</f>
        <v>-1299.499300153999</v>
      </c>
      <c r="P2650">
        <f>-630.351982328132 -161.95858789823 -226.0064700362</f>
        <v>-1018.3170402625619</v>
      </c>
      <c r="Q2650">
        <f>-454.509485338083 -36.53796100518 -311.432298123653</f>
        <v>-802.47974446691603</v>
      </c>
      <c r="R2650" t="s">
        <v>51777</v>
      </c>
      <c r="S2650" t="s">
        <v>51778</v>
      </c>
      <c r="T2650" t="s">
        <v>51779</v>
      </c>
      <c r="U2650" t="s">
        <v>51780</v>
      </c>
      <c r="V2650">
        <f>-584.041001028916 -38.1576142837334 -92.024784117529</f>
        <v>-714.22339943017835</v>
      </c>
      <c r="W2650" t="s">
        <v>51781</v>
      </c>
      <c r="X2650" t="s">
        <v>51782</v>
      </c>
      <c r="Y2650" t="s">
        <v>51783</v>
      </c>
    </row>
    <row r="2651" spans="1:25" x14ac:dyDescent="0.3">
      <c r="A2651">
        <v>132500</v>
      </c>
      <c r="B2651" t="s">
        <v>51784</v>
      </c>
      <c r="C2651" t="s">
        <v>51785</v>
      </c>
      <c r="D2651" t="s">
        <v>51786</v>
      </c>
      <c r="E2651" t="s">
        <v>51787</v>
      </c>
      <c r="F2651" t="s">
        <v>51788</v>
      </c>
      <c r="G2651" t="s">
        <v>51789</v>
      </c>
      <c r="H2651" t="s">
        <v>51790</v>
      </c>
      <c r="I2651" t="s">
        <v>51791</v>
      </c>
      <c r="J2651" t="s">
        <v>51792</v>
      </c>
      <c r="K2651" t="s">
        <v>51793</v>
      </c>
      <c r="L2651" t="s">
        <v>51794</v>
      </c>
      <c r="M2651" t="s">
        <v>51795</v>
      </c>
      <c r="N2651" t="s">
        <v>51796</v>
      </c>
      <c r="O2651">
        <f>-668.181927273259 -127.810531251877 -503.774087476137</f>
        <v>-1299.7665460012731</v>
      </c>
      <c r="P2651">
        <f>-630.675893020315 -161.70456480311 -226.243760477337</f>
        <v>-1018.624218300762</v>
      </c>
      <c r="Q2651">
        <f>-454.661601489893 -36.5236723784951 -311.66790632724</f>
        <v>-802.85318019562806</v>
      </c>
      <c r="R2651" t="s">
        <v>51797</v>
      </c>
      <c r="S2651" t="s">
        <v>51798</v>
      </c>
      <c r="T2651" t="s">
        <v>51799</v>
      </c>
      <c r="U2651" t="s">
        <v>51800</v>
      </c>
      <c r="V2651">
        <f>-584.107515539863 -38.1902683322867 -92.1001030824131</f>
        <v>-714.39788695456275</v>
      </c>
      <c r="W2651" t="s">
        <v>51801</v>
      </c>
      <c r="X2651" t="s">
        <v>51802</v>
      </c>
      <c r="Y2651" t="s">
        <v>51803</v>
      </c>
    </row>
    <row r="2652" spans="1:25" x14ac:dyDescent="0.3">
      <c r="A2652">
        <v>132550</v>
      </c>
      <c r="B2652" t="s">
        <v>51804</v>
      </c>
      <c r="C2652" t="s">
        <v>51805</v>
      </c>
      <c r="D2652" t="s">
        <v>51806</v>
      </c>
      <c r="E2652" t="s">
        <v>51807</v>
      </c>
      <c r="F2652" t="s">
        <v>51808</v>
      </c>
      <c r="G2652" t="s">
        <v>51809</v>
      </c>
      <c r="H2652" t="s">
        <v>51810</v>
      </c>
      <c r="I2652" t="s">
        <v>51811</v>
      </c>
      <c r="J2652" t="s">
        <v>51812</v>
      </c>
      <c r="K2652" t="s">
        <v>51813</v>
      </c>
      <c r="L2652" t="s">
        <v>51814</v>
      </c>
      <c r="M2652" t="s">
        <v>51815</v>
      </c>
      <c r="N2652" t="s">
        <v>51816</v>
      </c>
      <c r="O2652">
        <f>-668.537843267277 -127.616847872125 -503.816962127687</f>
        <v>-1299.9716532670891</v>
      </c>
      <c r="P2652">
        <f>-630.934149603343 -161.676609739457 -226.320212521503</f>
        <v>-1018.930971864303</v>
      </c>
      <c r="Q2652">
        <f>-454.809894020206 -36.6652960159938 -311.765931425246</f>
        <v>-803.2411214614458</v>
      </c>
      <c r="R2652" t="s">
        <v>51817</v>
      </c>
      <c r="S2652" t="s">
        <v>51818</v>
      </c>
      <c r="T2652" t="s">
        <v>51819</v>
      </c>
      <c r="U2652" t="s">
        <v>51820</v>
      </c>
      <c r="V2652">
        <f>-584.174453108104 -38.2017893177035 -92.1315103180308</f>
        <v>-714.5077527438383</v>
      </c>
      <c r="W2652" t="s">
        <v>51821</v>
      </c>
      <c r="X2652" t="s">
        <v>51822</v>
      </c>
      <c r="Y2652" t="s">
        <v>51823</v>
      </c>
    </row>
    <row r="2653" spans="1:25" x14ac:dyDescent="0.3">
      <c r="A2653">
        <v>132600</v>
      </c>
      <c r="B2653" t="s">
        <v>51824</v>
      </c>
      <c r="C2653" t="s">
        <v>51825</v>
      </c>
      <c r="D2653" t="s">
        <v>51826</v>
      </c>
      <c r="E2653" t="s">
        <v>51827</v>
      </c>
      <c r="F2653" t="s">
        <v>51828</v>
      </c>
      <c r="G2653" t="s">
        <v>51829</v>
      </c>
      <c r="H2653" t="s">
        <v>51830</v>
      </c>
      <c r="I2653" t="s">
        <v>51831</v>
      </c>
      <c r="J2653" t="s">
        <v>51832</v>
      </c>
      <c r="K2653" t="s">
        <v>51833</v>
      </c>
      <c r="L2653" t="s">
        <v>51834</v>
      </c>
      <c r="M2653" t="s">
        <v>51835</v>
      </c>
      <c r="N2653" t="s">
        <v>51836</v>
      </c>
      <c r="O2653">
        <f>-669.183773651403 -127.303376789419 -503.736188595418</f>
        <v>-1300.2233390362401</v>
      </c>
      <c r="P2653">
        <f>-631.557359199084 -161.238638111547 -226.227266510922</f>
        <v>-1019.023263821553</v>
      </c>
      <c r="Q2653">
        <f>-455.092684459173 -36.8456021919367 -311.872729883767</f>
        <v>-803.81101653487667</v>
      </c>
      <c r="R2653" t="s">
        <v>51837</v>
      </c>
      <c r="S2653" t="s">
        <v>51838</v>
      </c>
      <c r="T2653" t="s">
        <v>51839</v>
      </c>
      <c r="U2653" t="s">
        <v>51840</v>
      </c>
      <c r="V2653">
        <f>-584.27014989506 -38.0253207946857 -92.1716945730169</f>
        <v>-714.46716526276259</v>
      </c>
      <c r="W2653" t="s">
        <v>51841</v>
      </c>
      <c r="X2653" t="s">
        <v>51842</v>
      </c>
      <c r="Y2653" t="s">
        <v>51843</v>
      </c>
    </row>
    <row r="2654" spans="1:25" x14ac:dyDescent="0.3">
      <c r="A2654">
        <v>132650</v>
      </c>
      <c r="B2654" t="s">
        <v>51844</v>
      </c>
      <c r="C2654" t="s">
        <v>51845</v>
      </c>
      <c r="D2654" t="s">
        <v>51846</v>
      </c>
      <c r="E2654" t="s">
        <v>51847</v>
      </c>
      <c r="F2654" t="s">
        <v>51848</v>
      </c>
      <c r="G2654" t="s">
        <v>51849</v>
      </c>
      <c r="H2654" t="s">
        <v>51850</v>
      </c>
      <c r="I2654" t="s">
        <v>51851</v>
      </c>
      <c r="J2654" t="s">
        <v>51852</v>
      </c>
      <c r="K2654" t="s">
        <v>51853</v>
      </c>
      <c r="L2654" t="s">
        <v>51854</v>
      </c>
      <c r="M2654" t="s">
        <v>51855</v>
      </c>
      <c r="N2654" t="s">
        <v>51856</v>
      </c>
      <c r="O2654">
        <f>-669.42646011457 -127.178356564747 -503.609801201143</f>
        <v>-1300.2146178804601</v>
      </c>
      <c r="P2654">
        <f>-631.742869243666 -160.853704359601 -226.076966238803</f>
        <v>-1018.67353984207</v>
      </c>
      <c r="Q2654">
        <f>-455.059664401009 -36.8887457916148 -311.892135079111</f>
        <v>-803.84054527173475</v>
      </c>
      <c r="R2654" t="s">
        <v>51857</v>
      </c>
      <c r="S2654" t="s">
        <v>51858</v>
      </c>
      <c r="T2654" t="s">
        <v>51859</v>
      </c>
      <c r="U2654" t="s">
        <v>51860</v>
      </c>
      <c r="V2654">
        <f>-584.299881081956 -37.937173700007 -92.1778780747489</f>
        <v>-714.41493285671186</v>
      </c>
      <c r="W2654" t="s">
        <v>51861</v>
      </c>
      <c r="X2654" t="s">
        <v>51862</v>
      </c>
      <c r="Y2654" t="s">
        <v>51863</v>
      </c>
    </row>
    <row r="2655" spans="1:25" x14ac:dyDescent="0.3">
      <c r="A2655">
        <v>132700</v>
      </c>
      <c r="B2655" t="s">
        <v>51864</v>
      </c>
      <c r="C2655" t="s">
        <v>51865</v>
      </c>
      <c r="D2655" t="s">
        <v>51866</v>
      </c>
      <c r="E2655" t="s">
        <v>51867</v>
      </c>
      <c r="F2655" t="s">
        <v>51868</v>
      </c>
      <c r="G2655" t="s">
        <v>51869</v>
      </c>
      <c r="H2655" t="s">
        <v>51870</v>
      </c>
      <c r="I2655" t="s">
        <v>51871</v>
      </c>
      <c r="J2655" t="s">
        <v>51872</v>
      </c>
      <c r="K2655" t="s">
        <v>51873</v>
      </c>
      <c r="L2655" t="s">
        <v>51874</v>
      </c>
      <c r="M2655" t="s">
        <v>51875</v>
      </c>
      <c r="N2655" t="s">
        <v>51876</v>
      </c>
      <c r="O2655">
        <f>-670.043600970139 -127.092143261454 -503.264606457719</f>
        <v>-1300.4003506893121</v>
      </c>
      <c r="P2655">
        <f>-632.444016964228 -160.289001157747 -225.662687682766</f>
        <v>-1018.3957058047409</v>
      </c>
      <c r="Q2655">
        <f>-455.353266793217 -37.1174667573689 -311.77976918535</f>
        <v>-804.25050273593592</v>
      </c>
      <c r="R2655" t="s">
        <v>51877</v>
      </c>
      <c r="S2655" t="s">
        <v>51878</v>
      </c>
      <c r="T2655" t="s">
        <v>51879</v>
      </c>
      <c r="U2655" t="s">
        <v>51880</v>
      </c>
      <c r="V2655">
        <f>-584.328262214199 -37.6879877280271 -92.1850466264737</f>
        <v>-714.20129656869972</v>
      </c>
      <c r="W2655" t="s">
        <v>51881</v>
      </c>
      <c r="X2655" t="s">
        <v>51882</v>
      </c>
      <c r="Y2655" t="s">
        <v>51883</v>
      </c>
    </row>
    <row r="2656" spans="1:25" x14ac:dyDescent="0.3">
      <c r="A2656">
        <v>132750</v>
      </c>
      <c r="B2656" t="s">
        <v>51884</v>
      </c>
      <c r="C2656" t="s">
        <v>51885</v>
      </c>
      <c r="D2656" t="s">
        <v>51886</v>
      </c>
      <c r="E2656" t="s">
        <v>51887</v>
      </c>
      <c r="F2656" t="s">
        <v>51888</v>
      </c>
      <c r="G2656" t="s">
        <v>51889</v>
      </c>
      <c r="H2656" t="s">
        <v>51890</v>
      </c>
      <c r="I2656" t="s">
        <v>51891</v>
      </c>
      <c r="J2656" t="s">
        <v>51892</v>
      </c>
      <c r="K2656" t="s">
        <v>51893</v>
      </c>
      <c r="L2656" t="s">
        <v>51894</v>
      </c>
      <c r="M2656" t="s">
        <v>51895</v>
      </c>
      <c r="N2656" t="s">
        <v>51896</v>
      </c>
      <c r="O2656">
        <f>-670.334882145112 -127.086044762574 -503.048213272135</f>
        <v>-1300.4691401798211</v>
      </c>
      <c r="P2656">
        <f>-632.655485317864 -160.038269595708 -225.428053351343</f>
        <v>-1018.121808264915</v>
      </c>
      <c r="Q2656">
        <f>-455.411111323494 -37.1735448187674 -311.667515552386</f>
        <v>-804.25217169464747</v>
      </c>
      <c r="R2656" t="s">
        <v>51897</v>
      </c>
      <c r="S2656" t="s">
        <v>51898</v>
      </c>
      <c r="T2656" t="s">
        <v>51899</v>
      </c>
      <c r="U2656" t="s">
        <v>51900</v>
      </c>
      <c r="V2656">
        <f>-584.34095135754 -37.5543710197155 -92.1745473685551</f>
        <v>-714.06986974581059</v>
      </c>
      <c r="W2656" t="s">
        <v>51901</v>
      </c>
      <c r="X2656" t="s">
        <v>51902</v>
      </c>
      <c r="Y2656" t="s">
        <v>51903</v>
      </c>
    </row>
    <row r="2657" spans="1:25" x14ac:dyDescent="0.3">
      <c r="A2657">
        <v>132800</v>
      </c>
      <c r="B2657" t="s">
        <v>51904</v>
      </c>
      <c r="C2657" t="s">
        <v>51905</v>
      </c>
      <c r="D2657" t="s">
        <v>51906</v>
      </c>
      <c r="E2657" t="s">
        <v>51907</v>
      </c>
      <c r="F2657" t="s">
        <v>51908</v>
      </c>
      <c r="G2657" t="s">
        <v>51909</v>
      </c>
      <c r="H2657" t="s">
        <v>51910</v>
      </c>
      <c r="I2657" t="s">
        <v>51911</v>
      </c>
      <c r="J2657" t="s">
        <v>51912</v>
      </c>
      <c r="K2657" t="s">
        <v>51913</v>
      </c>
      <c r="L2657" t="s">
        <v>51914</v>
      </c>
      <c r="M2657" t="s">
        <v>51915</v>
      </c>
      <c r="N2657" t="s">
        <v>51916</v>
      </c>
      <c r="O2657">
        <f>-670.872569872176 -127.254617358331 -502.522167889438</f>
        <v>-1300.6493551199449</v>
      </c>
      <c r="P2657">
        <f>-633.073886125088 -159.473384553011 -224.832079054943</f>
        <v>-1017.3793497330421</v>
      </c>
      <c r="Q2657">
        <f>-455.610620182377 -37.0549156345933 -311.255599510019</f>
        <v>-803.92113532698932</v>
      </c>
      <c r="R2657" t="s">
        <v>51917</v>
      </c>
      <c r="S2657" t="s">
        <v>51918</v>
      </c>
      <c r="T2657" t="s">
        <v>51919</v>
      </c>
      <c r="U2657" t="s">
        <v>51920</v>
      </c>
      <c r="V2657">
        <f>-584.337062223683 -37.333744930494 -92.1505624840275</f>
        <v>-713.8213696382046</v>
      </c>
      <c r="W2657" t="s">
        <v>51921</v>
      </c>
      <c r="X2657" t="s">
        <v>51922</v>
      </c>
      <c r="Y2657" t="s">
        <v>51923</v>
      </c>
    </row>
    <row r="2658" spans="1:25" x14ac:dyDescent="0.3">
      <c r="A2658">
        <v>132850</v>
      </c>
      <c r="B2658" t="s">
        <v>51924</v>
      </c>
      <c r="C2658" t="s">
        <v>51925</v>
      </c>
      <c r="D2658" t="s">
        <v>51926</v>
      </c>
      <c r="E2658" t="s">
        <v>51927</v>
      </c>
      <c r="F2658" t="s">
        <v>51928</v>
      </c>
      <c r="G2658" t="s">
        <v>51929</v>
      </c>
      <c r="H2658" t="s">
        <v>51930</v>
      </c>
      <c r="I2658" t="s">
        <v>51931</v>
      </c>
      <c r="J2658" t="s">
        <v>51932</v>
      </c>
      <c r="K2658" t="s">
        <v>51933</v>
      </c>
      <c r="L2658" t="s">
        <v>51934</v>
      </c>
      <c r="M2658" t="s">
        <v>51935</v>
      </c>
      <c r="N2658" t="s">
        <v>51936</v>
      </c>
      <c r="O2658">
        <f>-670.987898230589 -127.363669476962 -502.307890039115</f>
        <v>-1300.6594577466662</v>
      </c>
      <c r="P2658">
        <f>-633.188374980738 -159.135839437514 -224.56654275239</f>
        <v>-1016.890757170642</v>
      </c>
      <c r="Q2658">
        <f>-455.727498283489 -36.7501591190085 -311.041472815301</f>
        <v>-803.51913021779853</v>
      </c>
      <c r="R2658" t="s">
        <v>51937</v>
      </c>
      <c r="S2658" t="s">
        <v>51938</v>
      </c>
      <c r="T2658" t="s">
        <v>51939</v>
      </c>
      <c r="U2658" t="s">
        <v>51940</v>
      </c>
      <c r="V2658">
        <f>-584.386085981132 -37.2539636619833 -92.1471927649937</f>
        <v>-713.78724240810914</v>
      </c>
      <c r="W2658" t="s">
        <v>51941</v>
      </c>
      <c r="X2658" t="s">
        <v>51942</v>
      </c>
      <c r="Y2658" t="s">
        <v>51943</v>
      </c>
    </row>
    <row r="2659" spans="1:25" x14ac:dyDescent="0.3">
      <c r="A2659">
        <v>132900</v>
      </c>
      <c r="B2659" t="s">
        <v>51944</v>
      </c>
      <c r="C2659" t="s">
        <v>51945</v>
      </c>
      <c r="D2659" t="s">
        <v>51946</v>
      </c>
      <c r="E2659" t="s">
        <v>51947</v>
      </c>
      <c r="F2659" t="s">
        <v>51948</v>
      </c>
      <c r="G2659" t="s">
        <v>51949</v>
      </c>
      <c r="H2659" t="s">
        <v>51950</v>
      </c>
      <c r="I2659" t="s">
        <v>51951</v>
      </c>
      <c r="J2659" t="s">
        <v>51952</v>
      </c>
      <c r="K2659" t="s">
        <v>51953</v>
      </c>
      <c r="L2659" t="s">
        <v>51954</v>
      </c>
      <c r="M2659" t="s">
        <v>51955</v>
      </c>
      <c r="N2659" t="s">
        <v>51956</v>
      </c>
      <c r="O2659">
        <f>-671.092268601436 -127.672834980125 -501.752745148463</f>
        <v>-1300.5178487300241</v>
      </c>
      <c r="P2659">
        <f>-633.418198905286 -158.209246124608 -223.855620599468</f>
        <v>-1015.483065629362</v>
      </c>
      <c r="Q2659">
        <f>-456.16537162185 -35.583743117922 -310.417716841304</f>
        <v>-802.16683158107594</v>
      </c>
      <c r="R2659" t="s">
        <v>51957</v>
      </c>
      <c r="S2659" t="s">
        <v>51958</v>
      </c>
      <c r="T2659" t="s">
        <v>51959</v>
      </c>
      <c r="U2659" t="s">
        <v>51960</v>
      </c>
      <c r="V2659">
        <f>-584.409222433518 -37.0808844948585 -92.1195144592331</f>
        <v>-713.60962138760965</v>
      </c>
      <c r="W2659" t="s">
        <v>51961</v>
      </c>
      <c r="X2659" t="s">
        <v>51962</v>
      </c>
      <c r="Y2659" t="s">
        <v>51963</v>
      </c>
    </row>
    <row r="2660" spans="1:25" x14ac:dyDescent="0.3">
      <c r="A2660">
        <v>132950</v>
      </c>
      <c r="B2660" t="s">
        <v>51964</v>
      </c>
      <c r="C2660" t="s">
        <v>51965</v>
      </c>
      <c r="D2660" t="s">
        <v>51966</v>
      </c>
      <c r="E2660" t="s">
        <v>51967</v>
      </c>
      <c r="F2660" t="s">
        <v>51968</v>
      </c>
      <c r="G2660" t="s">
        <v>51969</v>
      </c>
      <c r="H2660" t="s">
        <v>51970</v>
      </c>
      <c r="I2660" t="s">
        <v>51971</v>
      </c>
      <c r="J2660" t="s">
        <v>51972</v>
      </c>
      <c r="K2660" t="s">
        <v>51973</v>
      </c>
      <c r="L2660" t="s">
        <v>51974</v>
      </c>
      <c r="M2660" t="s">
        <v>51975</v>
      </c>
      <c r="N2660" t="s">
        <v>51976</v>
      </c>
      <c r="O2660">
        <f>-671.035144843016 -127.868002831114 -501.456619753876</f>
        <v>-1300.3597674280061</v>
      </c>
      <c r="P2660">
        <f>-633.551836581919 -157.902568444023 -223.479187329104</f>
        <v>-1014.933592355046</v>
      </c>
      <c r="Q2660">
        <f>-456.427555371076 -35.0942201199509 -310.04492094486</f>
        <v>-801.5666964358868</v>
      </c>
      <c r="R2660" t="s">
        <v>51977</v>
      </c>
      <c r="S2660" t="s">
        <v>51978</v>
      </c>
      <c r="T2660" t="s">
        <v>51979</v>
      </c>
      <c r="U2660" t="s">
        <v>51980</v>
      </c>
      <c r="V2660">
        <f>-584.46020023416 -36.98315952707 -92.1037465752506</f>
        <v>-713.54710633648062</v>
      </c>
      <c r="W2660" t="s">
        <v>51981</v>
      </c>
      <c r="X2660" t="s">
        <v>51982</v>
      </c>
      <c r="Y2660" t="s">
        <v>51983</v>
      </c>
    </row>
    <row r="2661" spans="1:25" x14ac:dyDescent="0.3">
      <c r="A2661">
        <v>133000</v>
      </c>
      <c r="B2661" t="s">
        <v>51984</v>
      </c>
      <c r="C2661" t="s">
        <v>51985</v>
      </c>
      <c r="D2661" t="s">
        <v>51986</v>
      </c>
      <c r="E2661" t="s">
        <v>51987</v>
      </c>
      <c r="F2661" t="s">
        <v>51988</v>
      </c>
      <c r="G2661" t="s">
        <v>51989</v>
      </c>
      <c r="H2661" t="s">
        <v>51990</v>
      </c>
      <c r="I2661" t="s">
        <v>51991</v>
      </c>
      <c r="J2661" t="s">
        <v>51992</v>
      </c>
      <c r="K2661" t="s">
        <v>51993</v>
      </c>
      <c r="L2661" t="s">
        <v>51994</v>
      </c>
      <c r="M2661" t="s">
        <v>51995</v>
      </c>
      <c r="N2661" t="s">
        <v>51996</v>
      </c>
      <c r="O2661">
        <f>-670.764741564013 -128.029951530567 -501.017375371004</f>
        <v>-1299.8120684655839</v>
      </c>
      <c r="P2661">
        <f>-633.723151729237 -157.383684090621 -222.907951382998</f>
        <v>-1014.0147872028559</v>
      </c>
      <c r="Q2661">
        <f>-456.6379117947 -34.2580098424671 -309.101672376215</f>
        <v>-799.99759401338213</v>
      </c>
      <c r="R2661" t="s">
        <v>51997</v>
      </c>
      <c r="S2661" t="s">
        <v>51998</v>
      </c>
      <c r="T2661" t="s">
        <v>51999</v>
      </c>
      <c r="U2661" t="s">
        <v>52000</v>
      </c>
      <c r="V2661">
        <f>-584.580744459918 -36.6807921486263 -92.0629306986319</f>
        <v>-713.32446730717629</v>
      </c>
      <c r="W2661" t="s">
        <v>52001</v>
      </c>
      <c r="X2661" t="s">
        <v>52002</v>
      </c>
      <c r="Y2661" t="s">
        <v>52003</v>
      </c>
    </row>
    <row r="2662" spans="1:25" x14ac:dyDescent="0.3">
      <c r="A2662">
        <v>133050</v>
      </c>
      <c r="B2662" t="s">
        <v>52004</v>
      </c>
      <c r="C2662" t="s">
        <v>52005</v>
      </c>
      <c r="D2662" t="s">
        <v>52006</v>
      </c>
      <c r="E2662" t="s">
        <v>52007</v>
      </c>
      <c r="F2662" t="s">
        <v>52008</v>
      </c>
      <c r="G2662" t="s">
        <v>52009</v>
      </c>
      <c r="H2662" t="s">
        <v>52010</v>
      </c>
      <c r="I2662" t="s">
        <v>52011</v>
      </c>
      <c r="J2662" t="s">
        <v>52012</v>
      </c>
      <c r="K2662" t="s">
        <v>52013</v>
      </c>
      <c r="L2662" t="s">
        <v>52014</v>
      </c>
      <c r="M2662" t="s">
        <v>52015</v>
      </c>
      <c r="N2662" t="s">
        <v>52016</v>
      </c>
      <c r="O2662">
        <f>-670.49478551645 -128.11957742149 -500.857232150784</f>
        <v>-1299.4715950887239</v>
      </c>
      <c r="P2662">
        <f>-633.755237833119 -157.027164781838 -222.661030283527</f>
        <v>-1013.443432898484</v>
      </c>
      <c r="Q2662">
        <f>-456.593392450971 -33.843147912612 -308.61400129043</f>
        <v>-799.05054165401293</v>
      </c>
      <c r="R2662" t="s">
        <v>52017</v>
      </c>
      <c r="S2662" t="s">
        <v>52018</v>
      </c>
      <c r="T2662" t="s">
        <v>52019</v>
      </c>
      <c r="U2662" t="s">
        <v>52020</v>
      </c>
      <c r="V2662">
        <f>-584.659091452855 -36.5020194077233 -92.0433588663561</f>
        <v>-713.20446972693446</v>
      </c>
      <c r="W2662" t="s">
        <v>52021</v>
      </c>
      <c r="X2662" t="s">
        <v>52022</v>
      </c>
      <c r="Y2662" t="s">
        <v>52023</v>
      </c>
    </row>
    <row r="2663" spans="1:25" x14ac:dyDescent="0.3">
      <c r="A2663">
        <v>133100</v>
      </c>
      <c r="B2663" t="s">
        <v>52024</v>
      </c>
      <c r="C2663" t="s">
        <v>52025</v>
      </c>
      <c r="D2663" t="s">
        <v>52026</v>
      </c>
      <c r="E2663" t="s">
        <v>52027</v>
      </c>
      <c r="F2663" t="s">
        <v>52028</v>
      </c>
      <c r="G2663" t="s">
        <v>52029</v>
      </c>
      <c r="H2663" t="s">
        <v>52030</v>
      </c>
      <c r="I2663" t="s">
        <v>52031</v>
      </c>
      <c r="J2663" t="s">
        <v>52032</v>
      </c>
      <c r="K2663" t="s">
        <v>52033</v>
      </c>
      <c r="L2663" t="s">
        <v>52034</v>
      </c>
      <c r="M2663" t="s">
        <v>52035</v>
      </c>
      <c r="N2663" t="s">
        <v>52036</v>
      </c>
      <c r="O2663">
        <f>-670.038460438131 -128.497401623714 -500.320614143885</f>
        <v>-1298.8564762057299</v>
      </c>
      <c r="P2663">
        <f>-633.783765052943 -156.694974467165 -221.987960458164</f>
        <v>-1012.466699978272</v>
      </c>
      <c r="Q2663">
        <f>-456.685110926933 -33.1858206531679 -307.604186927363</f>
        <v>-797.475118507464</v>
      </c>
      <c r="R2663" t="s">
        <v>52037</v>
      </c>
      <c r="S2663" t="s">
        <v>52038</v>
      </c>
      <c r="T2663" t="s">
        <v>52039</v>
      </c>
      <c r="U2663" t="s">
        <v>52040</v>
      </c>
      <c r="V2663">
        <f>-584.634147679814 -36.1289383961641 -91.9827785745481</f>
        <v>-712.74586465052619</v>
      </c>
      <c r="W2663" t="s">
        <v>52041</v>
      </c>
      <c r="X2663" t="s">
        <v>52042</v>
      </c>
      <c r="Y2663" t="s">
        <v>52043</v>
      </c>
    </row>
    <row r="2664" spans="1:25" x14ac:dyDescent="0.3">
      <c r="A2664">
        <v>133150</v>
      </c>
      <c r="B2664" t="s">
        <v>52044</v>
      </c>
      <c r="C2664" t="s">
        <v>52045</v>
      </c>
      <c r="D2664" t="s">
        <v>52046</v>
      </c>
      <c r="E2664" t="s">
        <v>52047</v>
      </c>
      <c r="F2664" t="s">
        <v>52048</v>
      </c>
      <c r="G2664" t="s">
        <v>52049</v>
      </c>
      <c r="H2664" t="s">
        <v>52050</v>
      </c>
      <c r="I2664" t="s">
        <v>52051</v>
      </c>
      <c r="J2664" t="s">
        <v>52052</v>
      </c>
      <c r="K2664" t="s">
        <v>52053</v>
      </c>
      <c r="L2664" t="s">
        <v>52054</v>
      </c>
      <c r="M2664" t="s">
        <v>52055</v>
      </c>
      <c r="N2664" t="s">
        <v>52056</v>
      </c>
      <c r="O2664">
        <f>-669.755582379215 -128.723040480574 -500.010618140116</f>
        <v>-1298.489240999905</v>
      </c>
      <c r="P2664">
        <f>-633.764746655616 -156.463427945726 -221.597921889726</f>
        <v>-1011.826096491068</v>
      </c>
      <c r="Q2664">
        <f>-456.412258314907 -33.006336441143 -306.761979298457</f>
        <v>-796.18057405450691</v>
      </c>
      <c r="R2664" t="s">
        <v>52057</v>
      </c>
      <c r="S2664" t="s">
        <v>52058</v>
      </c>
      <c r="T2664" t="s">
        <v>52059</v>
      </c>
      <c r="U2664" t="s">
        <v>52060</v>
      </c>
      <c r="V2664">
        <f>-584.561830187762 -35.9578536635352 -91.9422590645866</f>
        <v>-712.4619429158837</v>
      </c>
      <c r="W2664" t="s">
        <v>52061</v>
      </c>
      <c r="X2664" t="s">
        <v>52062</v>
      </c>
      <c r="Y2664" t="s">
        <v>52063</v>
      </c>
    </row>
    <row r="2665" spans="1:25" x14ac:dyDescent="0.3">
      <c r="A2665">
        <v>133200</v>
      </c>
      <c r="B2665" t="s">
        <v>52064</v>
      </c>
      <c r="C2665" t="s">
        <v>52065</v>
      </c>
      <c r="D2665" t="s">
        <v>52066</v>
      </c>
      <c r="E2665" t="s">
        <v>52067</v>
      </c>
      <c r="F2665" t="s">
        <v>52068</v>
      </c>
      <c r="G2665" t="s">
        <v>52069</v>
      </c>
      <c r="H2665" t="s">
        <v>52070</v>
      </c>
      <c r="I2665" t="s">
        <v>52071</v>
      </c>
      <c r="J2665" t="s">
        <v>52072</v>
      </c>
      <c r="K2665" t="s">
        <v>52073</v>
      </c>
      <c r="L2665" t="s">
        <v>52074</v>
      </c>
      <c r="M2665" t="s">
        <v>52075</v>
      </c>
      <c r="N2665" t="s">
        <v>52076</v>
      </c>
      <c r="O2665">
        <f>-669.308672673407 -129.154490380801 -499.433386225526</f>
        <v>-1297.896549279734</v>
      </c>
      <c r="P2665">
        <f>-633.540729979799 -156.05341336853 -220.909185305342</f>
        <v>-1010.503328653671</v>
      </c>
      <c r="Q2665">
        <f>-456.077849896876 -32.5591864689989 -305.789414734547</f>
        <v>-794.4264511004219</v>
      </c>
      <c r="R2665" t="s">
        <v>52077</v>
      </c>
      <c r="S2665" t="s">
        <v>52078</v>
      </c>
      <c r="T2665" t="s">
        <v>52079</v>
      </c>
      <c r="U2665" t="s">
        <v>52080</v>
      </c>
      <c r="V2665">
        <f>-584.28256892442 -35.6193220533155 -91.8562441913801</f>
        <v>-711.75813516911569</v>
      </c>
      <c r="W2665" t="s">
        <v>52081</v>
      </c>
      <c r="X2665" t="s">
        <v>52082</v>
      </c>
      <c r="Y2665" t="s">
        <v>52083</v>
      </c>
    </row>
    <row r="2666" spans="1:25" x14ac:dyDescent="0.3">
      <c r="A2666">
        <v>133250</v>
      </c>
      <c r="B2666" t="s">
        <v>52084</v>
      </c>
      <c r="C2666" t="s">
        <v>52085</v>
      </c>
      <c r="D2666" t="s">
        <v>52086</v>
      </c>
      <c r="E2666" t="s">
        <v>52087</v>
      </c>
      <c r="F2666" t="s">
        <v>52088</v>
      </c>
      <c r="G2666" t="s">
        <v>52089</v>
      </c>
      <c r="H2666" t="s">
        <v>52090</v>
      </c>
      <c r="I2666" t="s">
        <v>52091</v>
      </c>
      <c r="J2666" t="s">
        <v>52092</v>
      </c>
      <c r="K2666" t="s">
        <v>52093</v>
      </c>
      <c r="L2666" t="s">
        <v>52094</v>
      </c>
      <c r="M2666" t="s">
        <v>52095</v>
      </c>
      <c r="N2666" t="s">
        <v>52096</v>
      </c>
      <c r="O2666">
        <f>-669.076673115714 -129.329476685325 -499.116495521105</f>
        <v>-1297.5226453221439</v>
      </c>
      <c r="P2666">
        <f>-633.095930927546 -155.924507574679 -220.590654562343</f>
        <v>-1009.611093064568</v>
      </c>
      <c r="Q2666">
        <f>-455.508371269393 -32.584473803312 -305.434088975891</f>
        <v>-793.52693404859599</v>
      </c>
      <c r="R2666" t="s">
        <v>52097</v>
      </c>
      <c r="S2666" t="s">
        <v>52098</v>
      </c>
      <c r="T2666" t="s">
        <v>52099</v>
      </c>
      <c r="U2666" t="s">
        <v>52100</v>
      </c>
      <c r="V2666">
        <f>-584.066801245864 -35.4847586927231 -91.8062835104851</f>
        <v>-711.35784344907211</v>
      </c>
      <c r="W2666" t="s">
        <v>52101</v>
      </c>
      <c r="X2666" t="s">
        <v>52102</v>
      </c>
      <c r="Y2666" t="s">
        <v>52103</v>
      </c>
    </row>
    <row r="2667" spans="1:25" x14ac:dyDescent="0.3">
      <c r="A2667">
        <v>133300</v>
      </c>
      <c r="B2667" t="s">
        <v>52104</v>
      </c>
      <c r="C2667" t="s">
        <v>52105</v>
      </c>
      <c r="D2667" t="s">
        <v>52106</v>
      </c>
      <c r="E2667" t="s">
        <v>52107</v>
      </c>
      <c r="F2667" t="s">
        <v>52108</v>
      </c>
      <c r="G2667" t="s">
        <v>52109</v>
      </c>
      <c r="H2667" t="s">
        <v>52110</v>
      </c>
      <c r="I2667" t="s">
        <v>52111</v>
      </c>
      <c r="J2667" t="s">
        <v>52112</v>
      </c>
      <c r="K2667" t="s">
        <v>52113</v>
      </c>
      <c r="L2667" t="s">
        <v>52114</v>
      </c>
      <c r="M2667" t="s">
        <v>52115</v>
      </c>
      <c r="N2667" t="s">
        <v>52116</v>
      </c>
      <c r="O2667">
        <f>-668.169332076063 -129.664002819685 -498.484531826788</f>
        <v>-1296.3178667225361</v>
      </c>
      <c r="P2667">
        <f>-632.315209664151 -156.064464172407 -219.92370597586</f>
        <v>-1008.303379812418</v>
      </c>
      <c r="Q2667">
        <f>-454.404916722698 -33.2089897377311 -304.794201269872</f>
        <v>-792.40810773030103</v>
      </c>
      <c r="R2667" t="s">
        <v>52117</v>
      </c>
      <c r="S2667" t="s">
        <v>52118</v>
      </c>
      <c r="T2667" t="s">
        <v>52119</v>
      </c>
      <c r="U2667" t="s">
        <v>52120</v>
      </c>
      <c r="V2667">
        <f>-583.488659611441 -35.2169100161566 -91.7113315542204</f>
        <v>-710.41690118181793</v>
      </c>
      <c r="W2667" t="s">
        <v>52121</v>
      </c>
      <c r="X2667" t="s">
        <v>52122</v>
      </c>
      <c r="Y2667" t="s">
        <v>52123</v>
      </c>
    </row>
    <row r="2668" spans="1:25" x14ac:dyDescent="0.3">
      <c r="A2668">
        <v>133350</v>
      </c>
      <c r="B2668" t="s">
        <v>52124</v>
      </c>
      <c r="C2668" t="s">
        <v>52125</v>
      </c>
      <c r="D2668" t="s">
        <v>52126</v>
      </c>
      <c r="E2668" t="s">
        <v>52127</v>
      </c>
      <c r="F2668" t="s">
        <v>52128</v>
      </c>
      <c r="G2668" t="s">
        <v>52129</v>
      </c>
      <c r="H2668" t="s">
        <v>52130</v>
      </c>
      <c r="I2668" t="s">
        <v>52131</v>
      </c>
      <c r="J2668" t="s">
        <v>52132</v>
      </c>
      <c r="K2668" t="s">
        <v>52133</v>
      </c>
      <c r="L2668" t="s">
        <v>52134</v>
      </c>
      <c r="M2668" t="s">
        <v>52135</v>
      </c>
      <c r="N2668" t="s">
        <v>52136</v>
      </c>
      <c r="O2668">
        <f>-667.517353889806 -129.78776856797 -498.232561267686</f>
        <v>-1295.5376837254621</v>
      </c>
      <c r="P2668">
        <f>-632.151297904817 -156.17176891069 -219.607798907579</f>
        <v>-1007.930865723086</v>
      </c>
      <c r="Q2668">
        <f>-453.722189984725 -33.8765501115686 -304.197697163022</f>
        <v>-791.79643725931555</v>
      </c>
      <c r="R2668" t="s">
        <v>52137</v>
      </c>
      <c r="S2668" t="s">
        <v>52138</v>
      </c>
      <c r="T2668" t="s">
        <v>52139</v>
      </c>
      <c r="U2668" t="s">
        <v>52140</v>
      </c>
      <c r="V2668">
        <f>-583.071022760868 -35.0171486902716 -91.6661065113889</f>
        <v>-709.75427796252848</v>
      </c>
      <c r="W2668" t="s">
        <v>52141</v>
      </c>
      <c r="X2668" t="s">
        <v>52142</v>
      </c>
      <c r="Y2668" t="s">
        <v>52143</v>
      </c>
    </row>
    <row r="2669" spans="1:25" x14ac:dyDescent="0.3">
      <c r="A2669">
        <v>133400</v>
      </c>
      <c r="B2669" t="s">
        <v>52144</v>
      </c>
      <c r="C2669" t="s">
        <v>52145</v>
      </c>
      <c r="D2669" t="s">
        <v>52146</v>
      </c>
      <c r="E2669" t="s">
        <v>52147</v>
      </c>
      <c r="F2669" t="s">
        <v>52148</v>
      </c>
      <c r="G2669" t="s">
        <v>52149</v>
      </c>
      <c r="H2669" t="s">
        <v>52150</v>
      </c>
      <c r="I2669" t="s">
        <v>52151</v>
      </c>
      <c r="J2669" t="s">
        <v>52152</v>
      </c>
      <c r="K2669" t="s">
        <v>52153</v>
      </c>
      <c r="L2669" t="s">
        <v>52154</v>
      </c>
      <c r="M2669" t="s">
        <v>52155</v>
      </c>
      <c r="N2669" t="s">
        <v>52156</v>
      </c>
      <c r="O2669">
        <f>-666.15249781157 -130.159164809558 -497.78209494023</f>
        <v>-1294.093757561358</v>
      </c>
      <c r="P2669">
        <f>-632.085239282802 -156.567265050135 -218.997854750703</f>
        <v>-1007.6503590836401</v>
      </c>
      <c r="Q2669">
        <f>-452.189760064668 -35.5270387241605 -302.277190792033</f>
        <v>-789.99398958086158</v>
      </c>
      <c r="R2669" t="s">
        <v>52157</v>
      </c>
      <c r="S2669" t="s">
        <v>52158</v>
      </c>
      <c r="T2669" t="s">
        <v>52159</v>
      </c>
      <c r="U2669" t="s">
        <v>52160</v>
      </c>
      <c r="V2669">
        <f>-582.050329776106 -34.9608494707679 -91.5670366302754</f>
        <v>-708.57821587714932</v>
      </c>
      <c r="W2669" t="s">
        <v>52161</v>
      </c>
      <c r="X2669" t="s">
        <v>52162</v>
      </c>
      <c r="Y2669" t="s">
        <v>52163</v>
      </c>
    </row>
    <row r="2670" spans="1:25" x14ac:dyDescent="0.3">
      <c r="A2670">
        <v>133450</v>
      </c>
      <c r="B2670" t="s">
        <v>52164</v>
      </c>
      <c r="C2670" t="s">
        <v>52165</v>
      </c>
      <c r="D2670" t="s">
        <v>52166</v>
      </c>
      <c r="E2670" t="s">
        <v>52167</v>
      </c>
      <c r="F2670" t="s">
        <v>52168</v>
      </c>
      <c r="G2670" t="s">
        <v>52169</v>
      </c>
      <c r="H2670" t="s">
        <v>52170</v>
      </c>
      <c r="I2670" t="s">
        <v>52171</v>
      </c>
      <c r="J2670" t="s">
        <v>52172</v>
      </c>
      <c r="K2670" t="s">
        <v>52173</v>
      </c>
      <c r="L2670" t="s">
        <v>52174</v>
      </c>
      <c r="M2670" t="s">
        <v>52175</v>
      </c>
      <c r="N2670" t="s">
        <v>52176</v>
      </c>
      <c r="O2670">
        <f>-665.483797407363 -130.300759627434 -497.600771978652</f>
        <v>-1293.3853290134489</v>
      </c>
      <c r="P2670">
        <f>-632.269742007762 -156.521702279718 -218.695986383331</f>
        <v>-1007.4874306708111</v>
      </c>
      <c r="Q2670">
        <f>-451.758548347146 -35.7429539836453 -301.017158645421</f>
        <v>-788.51866097621223</v>
      </c>
      <c r="R2670" t="s">
        <v>52177</v>
      </c>
      <c r="S2670" t="s">
        <v>52178</v>
      </c>
      <c r="T2670" t="s">
        <v>52179</v>
      </c>
      <c r="U2670" t="s">
        <v>52180</v>
      </c>
      <c r="V2670">
        <f>-581.635496441193 -35.0524418542761 -91.5197326477711</f>
        <v>-708.20767094324026</v>
      </c>
      <c r="W2670" t="s">
        <v>52181</v>
      </c>
      <c r="X2670" t="s">
        <v>52182</v>
      </c>
      <c r="Y2670" t="s">
        <v>52183</v>
      </c>
    </row>
    <row r="2671" spans="1:25" x14ac:dyDescent="0.3">
      <c r="A2671">
        <v>133500</v>
      </c>
      <c r="B2671" t="s">
        <v>52184</v>
      </c>
      <c r="C2671" t="s">
        <v>52185</v>
      </c>
      <c r="D2671" t="s">
        <v>52186</v>
      </c>
      <c r="E2671" t="s">
        <v>52187</v>
      </c>
      <c r="F2671" t="s">
        <v>52188</v>
      </c>
      <c r="G2671" t="s">
        <v>52189</v>
      </c>
      <c r="H2671" t="s">
        <v>52190</v>
      </c>
      <c r="I2671" t="s">
        <v>52191</v>
      </c>
      <c r="J2671" t="s">
        <v>52192</v>
      </c>
      <c r="K2671" t="s">
        <v>52193</v>
      </c>
      <c r="L2671" t="s">
        <v>52194</v>
      </c>
      <c r="M2671" t="s">
        <v>52195</v>
      </c>
      <c r="N2671" t="s">
        <v>52196</v>
      </c>
      <c r="O2671">
        <f>-664.256214372984 -130.665054843595 -497.441116384915</f>
        <v>-1292.362385601494</v>
      </c>
      <c r="P2671">
        <f>-632.796504136532 -156.160331086164 -218.265854328122</f>
        <v>-1007.222689550818</v>
      </c>
      <c r="Q2671">
        <f>-451.134654832712 -35.6876801564365 -298.477069853391</f>
        <v>-785.2994048425395</v>
      </c>
      <c r="R2671" t="s">
        <v>52197</v>
      </c>
      <c r="S2671" t="s">
        <v>52198</v>
      </c>
      <c r="T2671" t="s">
        <v>52199</v>
      </c>
      <c r="U2671" t="s">
        <v>52200</v>
      </c>
      <c r="V2671">
        <f>-581.127268124589 -35.4015466644501 -91.4423425444022</f>
        <v>-707.97115733344128</v>
      </c>
      <c r="W2671" t="s">
        <v>52201</v>
      </c>
      <c r="X2671" t="s">
        <v>52202</v>
      </c>
      <c r="Y2671" t="s">
        <v>52203</v>
      </c>
    </row>
    <row r="2672" spans="1:25" x14ac:dyDescent="0.3">
      <c r="A2672">
        <v>133550</v>
      </c>
      <c r="B2672" t="s">
        <v>52204</v>
      </c>
      <c r="C2672" t="s">
        <v>52205</v>
      </c>
      <c r="D2672" t="s">
        <v>52206</v>
      </c>
      <c r="E2672" t="s">
        <v>52207</v>
      </c>
      <c r="F2672" t="s">
        <v>52208</v>
      </c>
      <c r="G2672" t="s">
        <v>52209</v>
      </c>
      <c r="H2672" t="s">
        <v>52210</v>
      </c>
      <c r="I2672" t="s">
        <v>52211</v>
      </c>
      <c r="J2672" t="s">
        <v>52212</v>
      </c>
      <c r="K2672" t="s">
        <v>52213</v>
      </c>
      <c r="L2672" t="s">
        <v>52214</v>
      </c>
      <c r="M2672" t="s">
        <v>52215</v>
      </c>
      <c r="N2672" t="s">
        <v>52216</v>
      </c>
      <c r="O2672">
        <f>-663.466326586297 -130.958355209237 -497.393746369323</f>
        <v>-1291.8184281648569</v>
      </c>
      <c r="P2672">
        <f>-632.827606281902 -156.119306191819 -218.09679250744</f>
        <v>-1007.043704981161</v>
      </c>
      <c r="Q2672">
        <f>-450.828236054268 -35.5839334197349 -297.444072307411</f>
        <v>-783.85624178141393</v>
      </c>
      <c r="R2672" t="s">
        <v>52217</v>
      </c>
      <c r="S2672" t="s">
        <v>52218</v>
      </c>
      <c r="T2672" t="s">
        <v>52219</v>
      </c>
      <c r="U2672" t="s">
        <v>52220</v>
      </c>
      <c r="V2672">
        <f>-581.008288539623 -35.7356001035444 -91.4297923236364</f>
        <v>-708.17368096680377</v>
      </c>
      <c r="W2672" t="s">
        <v>52221</v>
      </c>
      <c r="X2672" t="s">
        <v>52222</v>
      </c>
      <c r="Y2672" t="s">
        <v>52223</v>
      </c>
    </row>
    <row r="2673" spans="1:25" x14ac:dyDescent="0.3">
      <c r="A2673">
        <v>133600</v>
      </c>
      <c r="B2673" t="s">
        <v>52224</v>
      </c>
      <c r="C2673" t="s">
        <v>52225</v>
      </c>
      <c r="D2673" t="s">
        <v>52226</v>
      </c>
      <c r="E2673" t="s">
        <v>52227</v>
      </c>
      <c r="F2673" t="s">
        <v>52228</v>
      </c>
      <c r="G2673" t="s">
        <v>52229</v>
      </c>
      <c r="H2673" t="s">
        <v>52230</v>
      </c>
      <c r="I2673" t="s">
        <v>52231</v>
      </c>
      <c r="J2673" t="s">
        <v>52232</v>
      </c>
      <c r="K2673" t="s">
        <v>52233</v>
      </c>
      <c r="L2673" t="s">
        <v>52234</v>
      </c>
      <c r="M2673" t="s">
        <v>52235</v>
      </c>
      <c r="N2673" t="s">
        <v>52236</v>
      </c>
      <c r="O2673">
        <f>-661.987635223346 -131.498648986131 -497.352441449882</f>
        <v>-1290.8387256593592</v>
      </c>
      <c r="P2673">
        <f>-632.308893660057 -155.190248632603 -217.823470195892</f>
        <v>-1005.3226124885521</v>
      </c>
      <c r="Q2673">
        <f>-450.419129159731 -35.3334997998563 -298.439853344638</f>
        <v>-784.19248230422534</v>
      </c>
      <c r="R2673" t="s">
        <v>52237</v>
      </c>
      <c r="S2673" t="s">
        <v>52238</v>
      </c>
      <c r="T2673" t="s">
        <v>52239</v>
      </c>
      <c r="U2673" t="s">
        <v>52240</v>
      </c>
      <c r="V2673">
        <f>-580.719345003727 -36.095523294179 -91.4075212441976</f>
        <v>-708.22238954210354</v>
      </c>
      <c r="W2673" t="s">
        <v>52241</v>
      </c>
      <c r="X2673" t="s">
        <v>52242</v>
      </c>
      <c r="Y2673" t="s">
        <v>52243</v>
      </c>
    </row>
    <row r="2674" spans="1:25" x14ac:dyDescent="0.3">
      <c r="A2674">
        <v>133650</v>
      </c>
      <c r="B2674" t="s">
        <v>52244</v>
      </c>
      <c r="C2674" t="s">
        <v>52245</v>
      </c>
      <c r="D2674" t="s">
        <v>52246</v>
      </c>
      <c r="E2674" t="s">
        <v>52247</v>
      </c>
      <c r="F2674" t="s">
        <v>52248</v>
      </c>
      <c r="G2674" t="s">
        <v>52249</v>
      </c>
      <c r="H2674" t="s">
        <v>52250</v>
      </c>
      <c r="I2674" t="s">
        <v>52251</v>
      </c>
      <c r="J2674" t="s">
        <v>52252</v>
      </c>
      <c r="K2674" t="s">
        <v>52253</v>
      </c>
      <c r="L2674" t="s">
        <v>52254</v>
      </c>
      <c r="M2674" t="s">
        <v>52255</v>
      </c>
      <c r="N2674" t="s">
        <v>52256</v>
      </c>
      <c r="O2674">
        <f>-661.301601304236 -131.619543251242 -497.30785059682</f>
        <v>-1290.228995152298</v>
      </c>
      <c r="P2674">
        <f>-631.473032186563 -154.627554972838 -217.737757099549</f>
        <v>-1003.83834425895</v>
      </c>
      <c r="Q2674">
        <f>-449.591200302666 -35.3182262111966 -299.179883893735</f>
        <v>-784.08931040759762</v>
      </c>
      <c r="R2674" t="s">
        <v>52257</v>
      </c>
      <c r="S2674" t="s">
        <v>52258</v>
      </c>
      <c r="T2674" t="s">
        <v>52259</v>
      </c>
      <c r="U2674" t="s">
        <v>52260</v>
      </c>
      <c r="V2674">
        <f>-580.562978178308 -36.1371982329865 -91.3743970049708</f>
        <v>-708.07457341626525</v>
      </c>
      <c r="W2674" t="s">
        <v>52261</v>
      </c>
      <c r="X2674" t="s">
        <v>52262</v>
      </c>
      <c r="Y2674" t="s">
        <v>52263</v>
      </c>
    </row>
    <row r="2675" spans="1:25" x14ac:dyDescent="0.3">
      <c r="A2675">
        <v>133700</v>
      </c>
      <c r="B2675" t="s">
        <v>52264</v>
      </c>
      <c r="C2675" t="s">
        <v>52265</v>
      </c>
      <c r="D2675" t="s">
        <v>52266</v>
      </c>
      <c r="E2675" t="s">
        <v>52267</v>
      </c>
      <c r="F2675" t="s">
        <v>52268</v>
      </c>
      <c r="G2675" t="s">
        <v>52269</v>
      </c>
      <c r="H2675" t="s">
        <v>52270</v>
      </c>
      <c r="I2675" t="s">
        <v>52271</v>
      </c>
      <c r="J2675" t="s">
        <v>52272</v>
      </c>
      <c r="K2675" t="s">
        <v>52273</v>
      </c>
      <c r="L2675" t="s">
        <v>52274</v>
      </c>
      <c r="M2675" t="s">
        <v>52275</v>
      </c>
      <c r="N2675" t="s">
        <v>52276</v>
      </c>
      <c r="O2675">
        <f>-659.757628699562 -131.913943232377 -497.254791865467</f>
        <v>-1288.9263637974061</v>
      </c>
      <c r="P2675">
        <f>-629.765031897679 -155.200596830704 -217.725291414389</f>
        <v>-1002.690920142772</v>
      </c>
      <c r="Q2675">
        <f>-443.945734456772 -40.7037131311058 -297.16175699901</f>
        <v>-781.81120458688781</v>
      </c>
      <c r="R2675" t="s">
        <v>52277</v>
      </c>
      <c r="S2675" t="s">
        <v>52278</v>
      </c>
      <c r="T2675" t="s">
        <v>52279</v>
      </c>
      <c r="U2675" t="s">
        <v>52280</v>
      </c>
      <c r="V2675">
        <f>-580.14448643565 -36.0983844977175 -91.3104888283336</f>
        <v>-707.55335976170113</v>
      </c>
      <c r="W2675" t="s">
        <v>52281</v>
      </c>
      <c r="X2675" t="s">
        <v>52282</v>
      </c>
      <c r="Y2675" t="s">
        <v>52283</v>
      </c>
    </row>
    <row r="2676" spans="1:25" x14ac:dyDescent="0.3">
      <c r="A2676">
        <v>133750</v>
      </c>
      <c r="B2676" t="s">
        <v>52284</v>
      </c>
      <c r="C2676" t="s">
        <v>52285</v>
      </c>
      <c r="D2676" t="s">
        <v>52286</v>
      </c>
      <c r="E2676" t="s">
        <v>52287</v>
      </c>
      <c r="F2676" t="s">
        <v>52288</v>
      </c>
      <c r="G2676" t="s">
        <v>52289</v>
      </c>
      <c r="H2676" t="s">
        <v>52290</v>
      </c>
      <c r="I2676" t="s">
        <v>52291</v>
      </c>
      <c r="J2676" t="s">
        <v>52292</v>
      </c>
      <c r="K2676" t="s">
        <v>52293</v>
      </c>
      <c r="L2676" t="s">
        <v>52294</v>
      </c>
      <c r="M2676" t="s">
        <v>52295</v>
      </c>
      <c r="N2676" t="s">
        <v>52296</v>
      </c>
      <c r="O2676">
        <f>-659.075886473645 -131.970293037845 -497.203196222644</f>
        <v>-1288.249375734134</v>
      </c>
      <c r="P2676">
        <f>-629.007470713458 -155.01798496033 -217.662018764087</f>
        <v>-1001.6874744378749</v>
      </c>
      <c r="Q2676">
        <f>-442.252343778779 -42.2902364607421 -297.43352437568</f>
        <v>-781.97610461520117</v>
      </c>
      <c r="R2676" t="s">
        <v>52297</v>
      </c>
      <c r="S2676" t="s">
        <v>52298</v>
      </c>
      <c r="T2676" t="s">
        <v>52299</v>
      </c>
      <c r="U2676" t="s">
        <v>52300</v>
      </c>
      <c r="V2676">
        <f>-579.843164362551 -36.0609918269915 -91.2672545370775</f>
        <v>-707.17141072662002</v>
      </c>
      <c r="W2676" t="s">
        <v>52301</v>
      </c>
      <c r="X2676" t="s">
        <v>52302</v>
      </c>
      <c r="Y2676" t="s">
        <v>52303</v>
      </c>
    </row>
    <row r="2677" spans="1:25" x14ac:dyDescent="0.3">
      <c r="A2677">
        <v>133800</v>
      </c>
      <c r="B2677" t="s">
        <v>52304</v>
      </c>
      <c r="C2677" t="s">
        <v>52305</v>
      </c>
      <c r="D2677" t="s">
        <v>52306</v>
      </c>
      <c r="E2677" t="s">
        <v>52307</v>
      </c>
      <c r="F2677" t="s">
        <v>52308</v>
      </c>
      <c r="G2677" t="s">
        <v>52309</v>
      </c>
      <c r="H2677" t="s">
        <v>52310</v>
      </c>
      <c r="I2677" t="s">
        <v>52311</v>
      </c>
      <c r="J2677" t="s">
        <v>52312</v>
      </c>
      <c r="K2677" t="s">
        <v>52313</v>
      </c>
      <c r="L2677" t="s">
        <v>52314</v>
      </c>
      <c r="M2677" t="s">
        <v>52315</v>
      </c>
      <c r="N2677" t="s">
        <v>52316</v>
      </c>
      <c r="O2677">
        <f>-657.673135954329 -132.363323288036 -496.731044553747</f>
        <v>-1286.7675037961121</v>
      </c>
      <c r="P2677">
        <f>-628.274840995347 -153.912609241679 -216.999110453909</f>
        <v>-999.18656069093493</v>
      </c>
      <c r="Q2677">
        <f>-440.33616318611 -44.2239100175725 -298.214708219902</f>
        <v>-782.7747814235845</v>
      </c>
      <c r="R2677" t="s">
        <v>52317</v>
      </c>
      <c r="S2677" t="s">
        <v>52318</v>
      </c>
      <c r="T2677" t="s">
        <v>52319</v>
      </c>
      <c r="U2677" t="s">
        <v>52320</v>
      </c>
      <c r="V2677">
        <f>-579.06586019002 -35.9748594385349 -91.1412258993187</f>
        <v>-706.18194552787349</v>
      </c>
      <c r="W2677" t="s">
        <v>52321</v>
      </c>
      <c r="X2677" t="s">
        <v>52322</v>
      </c>
      <c r="Y2677" t="s">
        <v>52323</v>
      </c>
    </row>
    <row r="2678" spans="1:25" x14ac:dyDescent="0.3">
      <c r="A2678">
        <v>133850</v>
      </c>
      <c r="B2678" t="s">
        <v>52324</v>
      </c>
      <c r="C2678" t="s">
        <v>52325</v>
      </c>
      <c r="D2678" t="s">
        <v>52326</v>
      </c>
      <c r="E2678" t="s">
        <v>52327</v>
      </c>
      <c r="F2678" t="s">
        <v>52328</v>
      </c>
      <c r="G2678" t="s">
        <v>52329</v>
      </c>
      <c r="H2678" t="s">
        <v>52330</v>
      </c>
      <c r="I2678" t="s">
        <v>52331</v>
      </c>
      <c r="J2678" t="s">
        <v>52332</v>
      </c>
      <c r="K2678" t="s">
        <v>52333</v>
      </c>
      <c r="L2678" t="s">
        <v>52334</v>
      </c>
      <c r="M2678" t="s">
        <v>52335</v>
      </c>
      <c r="N2678" t="s">
        <v>52336</v>
      </c>
      <c r="O2678">
        <f>-656.95510952286 -132.70594687009 -496.43730765423</f>
        <v>-1286.09836404718</v>
      </c>
      <c r="P2678">
        <f>-628.008960695441 -153.67716366533 -216.614249782911</f>
        <v>-998.30037414368201</v>
      </c>
      <c r="Q2678">
        <f>-439.924168981956 -44.8518385536231 -298.648984485973</f>
        <v>-783.42499202155204</v>
      </c>
      <c r="R2678" t="s">
        <v>52337</v>
      </c>
      <c r="S2678" t="s">
        <v>52338</v>
      </c>
      <c r="T2678" t="s">
        <v>52339</v>
      </c>
      <c r="U2678" t="s">
        <v>52340</v>
      </c>
      <c r="V2678">
        <f>-578.637845773843 -35.960326923607 -91.0832278588789</f>
        <v>-705.68140055632887</v>
      </c>
      <c r="W2678" t="s">
        <v>52341</v>
      </c>
      <c r="X2678" t="s">
        <v>52342</v>
      </c>
      <c r="Y2678" t="s">
        <v>52343</v>
      </c>
    </row>
    <row r="2679" spans="1:25" x14ac:dyDescent="0.3">
      <c r="A2679">
        <v>133900</v>
      </c>
      <c r="B2679" t="s">
        <v>52344</v>
      </c>
      <c r="C2679" t="s">
        <v>52345</v>
      </c>
      <c r="D2679" t="s">
        <v>52346</v>
      </c>
      <c r="E2679" t="s">
        <v>52347</v>
      </c>
      <c r="F2679" t="s">
        <v>52348</v>
      </c>
      <c r="G2679" t="s">
        <v>52349</v>
      </c>
      <c r="H2679" t="s">
        <v>52350</v>
      </c>
      <c r="I2679" t="s">
        <v>52351</v>
      </c>
      <c r="J2679" t="s">
        <v>52352</v>
      </c>
      <c r="K2679" t="s">
        <v>52353</v>
      </c>
      <c r="L2679" t="s">
        <v>52354</v>
      </c>
      <c r="M2679" t="s">
        <v>52355</v>
      </c>
      <c r="N2679" t="s">
        <v>52356</v>
      </c>
      <c r="O2679">
        <f>-655.914479153528 -133.530856044403 -495.75783248661</f>
        <v>-1285.2031676845409</v>
      </c>
      <c r="P2679">
        <f>-627.647188899648 -154.142694575108 -215.83857636002</f>
        <v>-997.62845983477587</v>
      </c>
      <c r="Q2679">
        <f>-441.110108015635 -44.102745499556 -299.765048977067</f>
        <v>-784.97790249225795</v>
      </c>
      <c r="R2679" t="s">
        <v>52357</v>
      </c>
      <c r="S2679" t="s">
        <v>52358</v>
      </c>
      <c r="T2679" t="s">
        <v>52359</v>
      </c>
      <c r="U2679" t="s">
        <v>52360</v>
      </c>
      <c r="V2679">
        <f>-577.730860663849 -35.9918174056843 -90.9689391063322</f>
        <v>-704.69161717586542</v>
      </c>
      <c r="W2679" t="s">
        <v>52361</v>
      </c>
      <c r="X2679" t="s">
        <v>52362</v>
      </c>
      <c r="Y2679" t="s">
        <v>52363</v>
      </c>
    </row>
    <row r="2680" spans="1:25" x14ac:dyDescent="0.3">
      <c r="A2680">
        <v>133950</v>
      </c>
      <c r="B2680" t="s">
        <v>52364</v>
      </c>
      <c r="C2680" t="s">
        <v>52365</v>
      </c>
      <c r="D2680" t="s">
        <v>52366</v>
      </c>
      <c r="E2680" t="s">
        <v>52367</v>
      </c>
      <c r="F2680" t="s">
        <v>52368</v>
      </c>
      <c r="G2680" t="s">
        <v>52369</v>
      </c>
      <c r="H2680" t="s">
        <v>52370</v>
      </c>
      <c r="I2680" t="s">
        <v>52371</v>
      </c>
      <c r="J2680" t="s">
        <v>52372</v>
      </c>
      <c r="K2680" t="s">
        <v>52373</v>
      </c>
      <c r="L2680" t="s">
        <v>52374</v>
      </c>
      <c r="M2680" t="s">
        <v>52375</v>
      </c>
      <c r="N2680" t="s">
        <v>52376</v>
      </c>
      <c r="O2680">
        <f>-655.548846474552 -133.840507404343 -495.469814544329</f>
        <v>-1284.859168423224</v>
      </c>
      <c r="P2680">
        <f>-627.450616938223 -154.081308775527 -215.506669106507</f>
        <v>-997.038594820257</v>
      </c>
      <c r="Q2680">
        <f>-441.884995298084 -43.2813135798526 -300.578716304702</f>
        <v>-785.74502518263864</v>
      </c>
      <c r="R2680" t="s">
        <v>52377</v>
      </c>
      <c r="S2680" t="s">
        <v>52378</v>
      </c>
      <c r="T2680" t="s">
        <v>52379</v>
      </c>
      <c r="U2680" t="s">
        <v>52380</v>
      </c>
      <c r="V2680">
        <f>-577.304015235069 -35.8620579555829 -90.9104142708812</f>
        <v>-704.07648746153313</v>
      </c>
      <c r="W2680" t="s">
        <v>52381</v>
      </c>
      <c r="X2680" t="s">
        <v>52382</v>
      </c>
      <c r="Y2680" t="s">
        <v>52383</v>
      </c>
    </row>
    <row r="2681" spans="1:25" x14ac:dyDescent="0.3">
      <c r="A2681">
        <v>134000</v>
      </c>
      <c r="B2681" t="s">
        <v>52384</v>
      </c>
      <c r="C2681" t="s">
        <v>52385</v>
      </c>
      <c r="D2681" t="s">
        <v>52386</v>
      </c>
      <c r="E2681" t="s">
        <v>52387</v>
      </c>
      <c r="F2681" t="s">
        <v>52388</v>
      </c>
      <c r="G2681" t="s">
        <v>52389</v>
      </c>
      <c r="H2681" t="s">
        <v>52390</v>
      </c>
      <c r="I2681" t="s">
        <v>52391</v>
      </c>
      <c r="J2681" t="s">
        <v>52392</v>
      </c>
      <c r="K2681" t="s">
        <v>52393</v>
      </c>
      <c r="L2681" t="s">
        <v>52394</v>
      </c>
      <c r="M2681" t="s">
        <v>52395</v>
      </c>
      <c r="N2681" t="s">
        <v>52396</v>
      </c>
      <c r="O2681">
        <f>-655.133551401026 -134.31129765946 -494.819896841473</f>
        <v>-1284.264745901959</v>
      </c>
      <c r="P2681">
        <f>-626.855595992721 -153.463884606263 -214.798327859123</f>
        <v>-995.11780845810699</v>
      </c>
      <c r="Q2681">
        <f>-442.028188035647 -42.5131364988347 -301.269838037387</f>
        <v>-785.81116257186864</v>
      </c>
      <c r="R2681" t="s">
        <v>52397</v>
      </c>
      <c r="S2681" t="s">
        <v>52398</v>
      </c>
      <c r="T2681" t="s">
        <v>52399</v>
      </c>
      <c r="U2681" t="s">
        <v>52400</v>
      </c>
      <c r="V2681">
        <f>-576.714861891432 -35.5123720518952 -90.7965243059748</f>
        <v>-703.02375824930198</v>
      </c>
      <c r="W2681" t="s">
        <v>52401</v>
      </c>
      <c r="X2681" t="s">
        <v>52402</v>
      </c>
      <c r="Y2681" t="s">
        <v>52403</v>
      </c>
    </row>
    <row r="2682" spans="1:25" x14ac:dyDescent="0.3">
      <c r="A2682">
        <v>134050</v>
      </c>
      <c r="B2682" t="s">
        <v>52404</v>
      </c>
      <c r="C2682" t="s">
        <v>52405</v>
      </c>
      <c r="D2682" t="s">
        <v>52406</v>
      </c>
      <c r="E2682" t="s">
        <v>52407</v>
      </c>
      <c r="F2682" t="s">
        <v>52408</v>
      </c>
      <c r="G2682" t="s">
        <v>52409</v>
      </c>
      <c r="H2682" t="s">
        <v>52410</v>
      </c>
      <c r="I2682" t="s">
        <v>52411</v>
      </c>
      <c r="J2682" t="s">
        <v>52412</v>
      </c>
      <c r="K2682" t="s">
        <v>52413</v>
      </c>
      <c r="L2682" t="s">
        <v>52414</v>
      </c>
      <c r="M2682" t="s">
        <v>52415</v>
      </c>
      <c r="N2682" t="s">
        <v>52416</v>
      </c>
      <c r="O2682">
        <f>-654.975523455107 -134.705322004288 -494.427630184323</f>
        <v>-1284.1084756437181</v>
      </c>
      <c r="P2682">
        <f>-626.502704461174 -153.434496936576 -214.397059871471</f>
        <v>-994.33426126922097</v>
      </c>
      <c r="Q2682">
        <f>-441.978228608439 -42.427371794374 -301.441309999184</f>
        <v>-785.84691040199698</v>
      </c>
      <c r="R2682" t="s">
        <v>52417</v>
      </c>
      <c r="S2682" t="s">
        <v>52418</v>
      </c>
      <c r="T2682" t="s">
        <v>52419</v>
      </c>
      <c r="U2682" t="s">
        <v>52420</v>
      </c>
      <c r="V2682">
        <f>-576.562753254592 -35.4628606623307 -90.7663326025686</f>
        <v>-702.79194651949138</v>
      </c>
      <c r="W2682" t="s">
        <v>52421</v>
      </c>
      <c r="X2682" t="s">
        <v>52422</v>
      </c>
      <c r="Y2682" t="s">
        <v>52423</v>
      </c>
    </row>
    <row r="2683" spans="1:25" x14ac:dyDescent="0.3">
      <c r="A2683">
        <v>134100</v>
      </c>
      <c r="B2683" t="s">
        <v>52424</v>
      </c>
      <c r="C2683" t="s">
        <v>52425</v>
      </c>
      <c r="D2683" t="s">
        <v>52426</v>
      </c>
      <c r="E2683" t="s">
        <v>52427</v>
      </c>
      <c r="F2683" t="s">
        <v>52428</v>
      </c>
      <c r="G2683" t="s">
        <v>52429</v>
      </c>
      <c r="H2683" t="s">
        <v>52430</v>
      </c>
      <c r="I2683" t="s">
        <v>52431</v>
      </c>
      <c r="J2683" t="s">
        <v>52432</v>
      </c>
      <c r="K2683" t="s">
        <v>52433</v>
      </c>
      <c r="L2683" t="s">
        <v>52434</v>
      </c>
      <c r="M2683" t="s">
        <v>52435</v>
      </c>
      <c r="N2683" t="s">
        <v>52436</v>
      </c>
      <c r="O2683">
        <f>-654.619088535915 -135.51520642528 -493.804154254289</f>
        <v>-1283.9384492154841</v>
      </c>
      <c r="P2683">
        <f>-625.827119671256 -153.487941432599 -213.756651173851</f>
        <v>-993.07171227770596</v>
      </c>
      <c r="Q2683">
        <f>-441.818710050083 -42.7213201227869 -302.18843418785</f>
        <v>-786.72846436071995</v>
      </c>
      <c r="R2683" t="s">
        <v>52437</v>
      </c>
      <c r="S2683" t="s">
        <v>52438</v>
      </c>
      <c r="T2683" t="s">
        <v>52439</v>
      </c>
      <c r="U2683" t="s">
        <v>52440</v>
      </c>
      <c r="V2683">
        <f>-576.337041051376 -35.3403511677498 -90.7112935378777</f>
        <v>-702.38868575700349</v>
      </c>
      <c r="W2683" t="s">
        <v>52441</v>
      </c>
      <c r="X2683" t="s">
        <v>52442</v>
      </c>
      <c r="Y2683" t="s">
        <v>52443</v>
      </c>
    </row>
    <row r="2684" spans="1:25" x14ac:dyDescent="0.3">
      <c r="A2684">
        <v>134150</v>
      </c>
      <c r="B2684" t="s">
        <v>52444</v>
      </c>
      <c r="C2684" t="s">
        <v>52445</v>
      </c>
      <c r="D2684" t="s">
        <v>52446</v>
      </c>
      <c r="E2684" t="s">
        <v>52447</v>
      </c>
      <c r="F2684" t="s">
        <v>52448</v>
      </c>
      <c r="G2684" t="s">
        <v>52449</v>
      </c>
      <c r="H2684" t="s">
        <v>52450</v>
      </c>
      <c r="I2684" t="s">
        <v>52451</v>
      </c>
      <c r="J2684" t="s">
        <v>52452</v>
      </c>
      <c r="K2684" t="s">
        <v>52453</v>
      </c>
      <c r="L2684" t="s">
        <v>52454</v>
      </c>
      <c r="M2684" t="s">
        <v>52455</v>
      </c>
      <c r="N2684" t="s">
        <v>52456</v>
      </c>
      <c r="O2684">
        <f>-654.455805317194 -135.859402555508 -493.509199855757</f>
        <v>-1283.8244077284589</v>
      </c>
      <c r="P2684">
        <f>-625.580267792145 -153.369241159935 -213.440973381929</f>
        <v>-992.39048233400899</v>
      </c>
      <c r="Q2684">
        <f>-441.653297729589 -42.9202518265874 -302.437507676367</f>
        <v>-787.01105723254341</v>
      </c>
      <c r="R2684" t="s">
        <v>52457</v>
      </c>
      <c r="S2684" t="s">
        <v>52458</v>
      </c>
      <c r="T2684" t="s">
        <v>52459</v>
      </c>
      <c r="U2684" t="s">
        <v>52460</v>
      </c>
      <c r="V2684">
        <f>-576.210683521155 -35.2463886987784 -90.6869685997694</f>
        <v>-702.14404081970292</v>
      </c>
      <c r="W2684" t="s">
        <v>52461</v>
      </c>
      <c r="X2684" t="s">
        <v>52462</v>
      </c>
      <c r="Y2684" t="s">
        <v>52463</v>
      </c>
    </row>
    <row r="2685" spans="1:25" x14ac:dyDescent="0.3">
      <c r="A2685">
        <v>134200</v>
      </c>
      <c r="B2685" t="s">
        <v>52464</v>
      </c>
      <c r="C2685" t="s">
        <v>52465</v>
      </c>
      <c r="D2685" t="s">
        <v>52466</v>
      </c>
      <c r="E2685" t="s">
        <v>52467</v>
      </c>
      <c r="F2685" t="s">
        <v>52468</v>
      </c>
      <c r="G2685" t="s">
        <v>52469</v>
      </c>
      <c r="H2685" t="s">
        <v>52470</v>
      </c>
      <c r="I2685" t="s">
        <v>52471</v>
      </c>
      <c r="J2685" t="s">
        <v>52472</v>
      </c>
      <c r="K2685" t="s">
        <v>52473</v>
      </c>
      <c r="L2685" t="s">
        <v>52474</v>
      </c>
      <c r="M2685" t="s">
        <v>52475</v>
      </c>
      <c r="N2685" t="s">
        <v>52476</v>
      </c>
      <c r="O2685">
        <f>-654.078650127453 -136.486067652582 -492.934172861324</f>
        <v>-1283.4988906413589</v>
      </c>
      <c r="P2685">
        <f>-625.193460882079 -153.358803529915 -212.827832652833</f>
        <v>-991.38009706482694</v>
      </c>
      <c r="Q2685">
        <f>-441.434652953183 -43.3341534705783 -302.693090022349</f>
        <v>-787.46189644611036</v>
      </c>
      <c r="R2685" t="s">
        <v>52477</v>
      </c>
      <c r="S2685" t="s">
        <v>52478</v>
      </c>
      <c r="T2685" t="s">
        <v>52479</v>
      </c>
      <c r="U2685" t="s">
        <v>52480</v>
      </c>
      <c r="V2685">
        <f>-576.047452410397 -35.1323512535007 -90.6476833715949</f>
        <v>-701.8274870354926</v>
      </c>
      <c r="W2685" t="s">
        <v>52481</v>
      </c>
      <c r="X2685" t="s">
        <v>52482</v>
      </c>
      <c r="Y2685" t="s">
        <v>52483</v>
      </c>
    </row>
    <row r="2686" spans="1:25" x14ac:dyDescent="0.3">
      <c r="A2686">
        <v>134250</v>
      </c>
      <c r="B2686" t="s">
        <v>52484</v>
      </c>
      <c r="C2686" t="s">
        <v>52485</v>
      </c>
      <c r="D2686" t="s">
        <v>52486</v>
      </c>
      <c r="E2686" t="s">
        <v>52487</v>
      </c>
      <c r="F2686" t="s">
        <v>52488</v>
      </c>
      <c r="G2686" t="s">
        <v>52489</v>
      </c>
      <c r="H2686" t="s">
        <v>52490</v>
      </c>
      <c r="I2686" t="s">
        <v>52491</v>
      </c>
      <c r="J2686" t="s">
        <v>52492</v>
      </c>
      <c r="K2686" t="s">
        <v>52493</v>
      </c>
      <c r="L2686" t="s">
        <v>52494</v>
      </c>
      <c r="M2686" t="s">
        <v>52495</v>
      </c>
      <c r="N2686" t="s">
        <v>52496</v>
      </c>
      <c r="O2686">
        <f>-653.992075947533 -136.783168620932 -492.715883697393</f>
        <v>-1283.4911282658579</v>
      </c>
      <c r="P2686">
        <f>-625.049801878874 -153.460645775697 -212.603720210714</f>
        <v>-991.11416786528491</v>
      </c>
      <c r="Q2686">
        <f>-441.366101650813 -43.4881150086067 -302.686473044195</f>
        <v>-787.5406897036147</v>
      </c>
      <c r="R2686" t="s">
        <v>52497</v>
      </c>
      <c r="S2686" t="s">
        <v>52498</v>
      </c>
      <c r="T2686" t="s">
        <v>52499</v>
      </c>
      <c r="U2686" t="s">
        <v>52500</v>
      </c>
      <c r="V2686">
        <f>-576.003604579675 -35.1284279273755 -90.6278685070911</f>
        <v>-701.75990101414152</v>
      </c>
      <c r="W2686" t="s">
        <v>52501</v>
      </c>
      <c r="X2686" t="s">
        <v>52502</v>
      </c>
      <c r="Y2686" t="s">
        <v>52503</v>
      </c>
    </row>
    <row r="2687" spans="1:25" x14ac:dyDescent="0.3">
      <c r="A2687">
        <v>134300</v>
      </c>
      <c r="B2687" t="s">
        <v>52504</v>
      </c>
      <c r="C2687" t="s">
        <v>52505</v>
      </c>
      <c r="D2687" t="s">
        <v>52506</v>
      </c>
      <c r="E2687" t="s">
        <v>52507</v>
      </c>
      <c r="F2687" t="s">
        <v>52508</v>
      </c>
      <c r="G2687" t="s">
        <v>52509</v>
      </c>
      <c r="H2687" t="s">
        <v>52510</v>
      </c>
      <c r="I2687" t="s">
        <v>52511</v>
      </c>
      <c r="J2687" t="s">
        <v>52512</v>
      </c>
      <c r="K2687" t="s">
        <v>52513</v>
      </c>
      <c r="L2687" t="s">
        <v>52514</v>
      </c>
      <c r="M2687" t="s">
        <v>52515</v>
      </c>
      <c r="N2687" t="s">
        <v>52516</v>
      </c>
      <c r="O2687">
        <f>-653.699105305305 -137.240978043062 -492.291464783063</f>
        <v>-1283.2315481314299</v>
      </c>
      <c r="P2687">
        <f>-624.769587864036 -153.265910403106 -212.139926265343</f>
        <v>-990.17542453248495</v>
      </c>
      <c r="Q2687">
        <f>-441.252397079102 -43.4734556225328 -302.779751915298</f>
        <v>-787.50560461693283</v>
      </c>
      <c r="R2687" t="s">
        <v>52517</v>
      </c>
      <c r="S2687" t="s">
        <v>52518</v>
      </c>
      <c r="T2687" t="s">
        <v>52519</v>
      </c>
      <c r="U2687" t="s">
        <v>52520</v>
      </c>
      <c r="V2687">
        <f>-575.676700205883 -35.046258947948 -90.5886982929478</f>
        <v>-701.31165744677878</v>
      </c>
      <c r="W2687" t="s">
        <v>52521</v>
      </c>
      <c r="X2687" t="s">
        <v>52522</v>
      </c>
      <c r="Y2687" t="s">
        <v>52523</v>
      </c>
    </row>
    <row r="2688" spans="1:25" x14ac:dyDescent="0.3">
      <c r="A2688">
        <v>134350</v>
      </c>
      <c r="B2688" t="s">
        <v>52524</v>
      </c>
      <c r="C2688" t="s">
        <v>52525</v>
      </c>
      <c r="D2688" t="s">
        <v>52526</v>
      </c>
      <c r="E2688" t="s">
        <v>52527</v>
      </c>
      <c r="F2688" t="s">
        <v>52528</v>
      </c>
      <c r="G2688" t="s">
        <v>52529</v>
      </c>
      <c r="H2688" t="s">
        <v>52530</v>
      </c>
      <c r="I2688" t="s">
        <v>52531</v>
      </c>
      <c r="J2688" t="s">
        <v>52532</v>
      </c>
      <c r="K2688" t="s">
        <v>52533</v>
      </c>
      <c r="L2688" t="s">
        <v>52534</v>
      </c>
      <c r="M2688" t="s">
        <v>52535</v>
      </c>
      <c r="N2688" t="s">
        <v>52536</v>
      </c>
      <c r="O2688">
        <f>-653.380801734951 -137.400666687397 -492.08426081257</f>
        <v>-1282.865729234918</v>
      </c>
      <c r="P2688">
        <f>-624.441870665778 -153.185730834403 -211.920091043916</f>
        <v>-989.54769254409689</v>
      </c>
      <c r="Q2688">
        <f>-441.027440573999 -43.5177639575791 -302.918119896955</f>
        <v>-787.46332442853304</v>
      </c>
      <c r="R2688" t="s">
        <v>52537</v>
      </c>
      <c r="S2688" t="s">
        <v>52538</v>
      </c>
      <c r="T2688" t="s">
        <v>52539</v>
      </c>
      <c r="U2688" t="s">
        <v>52540</v>
      </c>
      <c r="V2688">
        <f>-575.354865370155 -34.9578623897294 -90.5562840198365</f>
        <v>-700.86901177972095</v>
      </c>
      <c r="W2688" t="s">
        <v>52541</v>
      </c>
      <c r="X2688" t="s">
        <v>52542</v>
      </c>
      <c r="Y2688" t="s">
        <v>52543</v>
      </c>
    </row>
    <row r="2689" spans="1:25" x14ac:dyDescent="0.3">
      <c r="A2689">
        <v>134400</v>
      </c>
      <c r="B2689" t="s">
        <v>52544</v>
      </c>
      <c r="C2689" t="s">
        <v>52545</v>
      </c>
      <c r="D2689" t="s">
        <v>52546</v>
      </c>
      <c r="E2689" t="s">
        <v>52547</v>
      </c>
      <c r="F2689" t="s">
        <v>52548</v>
      </c>
      <c r="G2689" t="s">
        <v>52549</v>
      </c>
      <c r="H2689" t="s">
        <v>52550</v>
      </c>
      <c r="I2689" t="s">
        <v>52551</v>
      </c>
      <c r="J2689" t="s">
        <v>52552</v>
      </c>
      <c r="K2689" t="s">
        <v>52553</v>
      </c>
      <c r="L2689" t="s">
        <v>52554</v>
      </c>
      <c r="M2689" t="s">
        <v>52555</v>
      </c>
      <c r="N2689" t="s">
        <v>52556</v>
      </c>
      <c r="O2689">
        <f>-652.629619588417 -137.578932826734 -491.755741544548</f>
        <v>-1281.964293959699</v>
      </c>
      <c r="P2689">
        <f>-623.565446171982 -153.046261551653 -211.586843676235</f>
        <v>-988.19855139986998</v>
      </c>
      <c r="Q2689">
        <f>-440.281089160318 -43.7451286059559 -303.285521102304</f>
        <v>-787.311738868578</v>
      </c>
      <c r="R2689" t="s">
        <v>52557</v>
      </c>
      <c r="S2689" t="s">
        <v>52558</v>
      </c>
      <c r="T2689" t="s">
        <v>52559</v>
      </c>
      <c r="U2689" t="s">
        <v>52560</v>
      </c>
      <c r="V2689">
        <f>-574.624475059918 -34.8866885690443 -90.4675321664614</f>
        <v>-699.97869579542373</v>
      </c>
      <c r="W2689" t="s">
        <v>52561</v>
      </c>
      <c r="X2689" t="s">
        <v>52562</v>
      </c>
      <c r="Y2689" t="s">
        <v>52563</v>
      </c>
    </row>
    <row r="2690" spans="1:25" x14ac:dyDescent="0.3">
      <c r="A2690">
        <v>134450</v>
      </c>
      <c r="B2690" t="s">
        <v>52564</v>
      </c>
      <c r="C2690" t="s">
        <v>52565</v>
      </c>
      <c r="D2690" t="s">
        <v>52566</v>
      </c>
      <c r="E2690" t="s">
        <v>52567</v>
      </c>
      <c r="F2690" t="s">
        <v>52568</v>
      </c>
      <c r="G2690" t="s">
        <v>52569</v>
      </c>
      <c r="H2690" t="s">
        <v>52570</v>
      </c>
      <c r="I2690" t="s">
        <v>52571</v>
      </c>
      <c r="J2690" t="s">
        <v>52572</v>
      </c>
      <c r="K2690" t="s">
        <v>52573</v>
      </c>
      <c r="L2690" t="s">
        <v>52574</v>
      </c>
      <c r="M2690" t="s">
        <v>52575</v>
      </c>
      <c r="N2690" t="s">
        <v>52576</v>
      </c>
      <c r="O2690">
        <f>-652.094004709305 -137.60205462955 -491.633140106216</f>
        <v>-1281.329199445071</v>
      </c>
      <c r="P2690">
        <f>-622.892861950938 -153.167658612239 -211.483978894877</f>
        <v>-987.54449945805413</v>
      </c>
      <c r="Q2690">
        <f>-439.782948417169 -43.8099034986767 -303.463358292867</f>
        <v>-787.05621020871263</v>
      </c>
      <c r="R2690" t="s">
        <v>52577</v>
      </c>
      <c r="S2690" t="s">
        <v>52578</v>
      </c>
      <c r="T2690" t="s">
        <v>52579</v>
      </c>
      <c r="U2690" t="s">
        <v>52580</v>
      </c>
      <c r="V2690">
        <f>-574.221552234519 -34.7983499085717 -90.4078933301098</f>
        <v>-699.42779547320049</v>
      </c>
      <c r="W2690" t="s">
        <v>52581</v>
      </c>
      <c r="X2690" t="s">
        <v>52582</v>
      </c>
      <c r="Y2690" t="s">
        <v>52583</v>
      </c>
    </row>
    <row r="2691" spans="1:25" x14ac:dyDescent="0.3">
      <c r="A2691">
        <v>134500</v>
      </c>
      <c r="B2691" t="s">
        <v>52584</v>
      </c>
      <c r="C2691" t="s">
        <v>52585</v>
      </c>
      <c r="D2691" t="s">
        <v>52586</v>
      </c>
      <c r="E2691" t="s">
        <v>52587</v>
      </c>
      <c r="F2691" t="s">
        <v>52588</v>
      </c>
      <c r="G2691" t="s">
        <v>52589</v>
      </c>
      <c r="H2691" t="s">
        <v>52590</v>
      </c>
      <c r="I2691" t="s">
        <v>52591</v>
      </c>
      <c r="J2691" t="s">
        <v>52592</v>
      </c>
      <c r="K2691" t="s">
        <v>52593</v>
      </c>
      <c r="L2691" t="s">
        <v>52594</v>
      </c>
      <c r="M2691" t="s">
        <v>52595</v>
      </c>
      <c r="N2691" t="s">
        <v>52596</v>
      </c>
      <c r="O2691">
        <f>-650.964914005823 -137.357857247369 -491.502247317201</f>
        <v>-1279.825018570393</v>
      </c>
      <c r="P2691">
        <f>-621.503261443367 -153.028469057452 -211.386138802724</f>
        <v>-985.91786930354306</v>
      </c>
      <c r="Q2691">
        <f>-438.749513346371 -43.3384471342163 -303.677266921617</f>
        <v>-785.76522740220435</v>
      </c>
      <c r="R2691" t="s">
        <v>52597</v>
      </c>
      <c r="S2691" t="s">
        <v>52598</v>
      </c>
      <c r="T2691" t="s">
        <v>52599</v>
      </c>
      <c r="U2691" t="s">
        <v>52600</v>
      </c>
      <c r="V2691">
        <f>-573.300491618248 -34.3915224910018 -90.2802993948081</f>
        <v>-697.97231350405787</v>
      </c>
      <c r="W2691" t="s">
        <v>52601</v>
      </c>
      <c r="X2691" t="s">
        <v>52602</v>
      </c>
      <c r="Y2691" t="s">
        <v>52603</v>
      </c>
    </row>
    <row r="2692" spans="1:25" x14ac:dyDescent="0.3">
      <c r="A2692">
        <v>134550</v>
      </c>
      <c r="B2692" t="s">
        <v>52604</v>
      </c>
      <c r="C2692" t="s">
        <v>52605</v>
      </c>
      <c r="D2692" t="s">
        <v>52606</v>
      </c>
      <c r="E2692" t="s">
        <v>52607</v>
      </c>
      <c r="F2692" t="s">
        <v>52608</v>
      </c>
      <c r="G2692" t="s">
        <v>52609</v>
      </c>
      <c r="H2692" t="s">
        <v>52610</v>
      </c>
      <c r="I2692" t="s">
        <v>52611</v>
      </c>
      <c r="J2692" t="s">
        <v>52612</v>
      </c>
      <c r="K2692" t="s">
        <v>52613</v>
      </c>
      <c r="L2692" t="s">
        <v>52614</v>
      </c>
      <c r="M2692" t="s">
        <v>52615</v>
      </c>
      <c r="N2692" t="s">
        <v>52616</v>
      </c>
      <c r="O2692">
        <f>-650.442915359956 -137.091978088723 -491.434975527157</f>
        <v>-1278.9698689758361</v>
      </c>
      <c r="P2692">
        <f>-620.783429786855 -152.755840614638 -211.33950666179</f>
        <v>-984.878777063283</v>
      </c>
      <c r="Q2692">
        <f>-438.256348175674 -42.7461078714305 -303.698696424917</f>
        <v>-784.70115247202148</v>
      </c>
      <c r="R2692" t="s">
        <v>52617</v>
      </c>
      <c r="S2692" t="s">
        <v>52618</v>
      </c>
      <c r="T2692" t="s">
        <v>52619</v>
      </c>
      <c r="U2692" t="s">
        <v>52620</v>
      </c>
      <c r="V2692">
        <f>-572.828912953521 -34.1145543271377 -90.2230826322896</f>
        <v>-697.16654991294831</v>
      </c>
      <c r="W2692" t="s">
        <v>52621</v>
      </c>
      <c r="X2692" t="s">
        <v>52622</v>
      </c>
      <c r="Y2692" t="s">
        <v>52623</v>
      </c>
    </row>
    <row r="2693" spans="1:25" x14ac:dyDescent="0.3">
      <c r="A2693">
        <v>134600</v>
      </c>
      <c r="B2693" t="s">
        <v>52624</v>
      </c>
      <c r="C2693" t="s">
        <v>52625</v>
      </c>
      <c r="D2693" t="s">
        <v>52626</v>
      </c>
      <c r="E2693" t="s">
        <v>52627</v>
      </c>
      <c r="F2693" t="s">
        <v>52628</v>
      </c>
      <c r="G2693" t="s">
        <v>52629</v>
      </c>
      <c r="H2693" t="s">
        <v>52630</v>
      </c>
      <c r="I2693" t="s">
        <v>52631</v>
      </c>
      <c r="J2693" t="s">
        <v>52632</v>
      </c>
      <c r="K2693" t="s">
        <v>52633</v>
      </c>
      <c r="L2693" t="s">
        <v>52634</v>
      </c>
      <c r="M2693" t="s">
        <v>52635</v>
      </c>
      <c r="N2693" t="s">
        <v>52636</v>
      </c>
      <c r="O2693">
        <f>-649.211534708726 -136.739551558067 -491.506155512316</f>
        <v>-1277.4572417791092</v>
      </c>
      <c r="P2693">
        <f>-619.175682628487 -152.712435891942 -211.468098732796</f>
        <v>-983.35621725322505</v>
      </c>
      <c r="Q2693">
        <f>-437.401688928625 -41.645780583204 -304.047679084386</f>
        <v>-783.09514859621504</v>
      </c>
      <c r="R2693" t="s">
        <v>52637</v>
      </c>
      <c r="S2693" t="s">
        <v>52638</v>
      </c>
      <c r="T2693" t="s">
        <v>52639</v>
      </c>
      <c r="U2693" t="s">
        <v>52640</v>
      </c>
      <c r="V2693">
        <f>-571.962842903517 -33.8638692718264 -90.1342293528038</f>
        <v>-695.96094152814715</v>
      </c>
      <c r="W2693" t="s">
        <v>52641</v>
      </c>
      <c r="X2693" t="s">
        <v>52642</v>
      </c>
      <c r="Y2693" t="s">
        <v>52643</v>
      </c>
    </row>
    <row r="2694" spans="1:25" x14ac:dyDescent="0.3">
      <c r="A2694">
        <v>134650</v>
      </c>
      <c r="B2694" t="s">
        <v>52644</v>
      </c>
      <c r="C2694" t="s">
        <v>52645</v>
      </c>
      <c r="D2694" t="s">
        <v>52646</v>
      </c>
      <c r="E2694" t="s">
        <v>52647</v>
      </c>
      <c r="F2694" t="s">
        <v>52648</v>
      </c>
      <c r="G2694" t="s">
        <v>52649</v>
      </c>
      <c r="H2694" t="s">
        <v>52650</v>
      </c>
      <c r="I2694" t="s">
        <v>52651</v>
      </c>
      <c r="J2694" t="s">
        <v>52652</v>
      </c>
      <c r="K2694" t="s">
        <v>52653</v>
      </c>
      <c r="L2694" t="s">
        <v>52654</v>
      </c>
      <c r="M2694" t="s">
        <v>52655</v>
      </c>
      <c r="N2694" t="s">
        <v>52656</v>
      </c>
      <c r="O2694">
        <f>-648.476076619606 -136.691084897423 -491.68356460605</f>
        <v>-1276.8507261230791</v>
      </c>
      <c r="P2694">
        <f>-618.359865701551 -152.924723594433 -211.669196572827</f>
        <v>-982.953785868811</v>
      </c>
      <c r="Q2694">
        <f>-437.017797084589 -41.1591969906397 -304.254899540777</f>
        <v>-782.43189361600571</v>
      </c>
      <c r="R2694" t="s">
        <v>52657</v>
      </c>
      <c r="S2694" t="s">
        <v>52658</v>
      </c>
      <c r="T2694" t="s">
        <v>52659</v>
      </c>
      <c r="U2694" t="s">
        <v>52660</v>
      </c>
      <c r="V2694">
        <f>-571.510205827687 -33.7920168310125 -90.1012777810379</f>
        <v>-695.40350043973729</v>
      </c>
      <c r="W2694" t="s">
        <v>52661</v>
      </c>
      <c r="X2694" t="s">
        <v>52662</v>
      </c>
      <c r="Y2694" t="s">
        <v>52663</v>
      </c>
    </row>
    <row r="2695" spans="1:25" x14ac:dyDescent="0.3">
      <c r="A2695">
        <v>134700</v>
      </c>
      <c r="B2695" t="s">
        <v>52664</v>
      </c>
      <c r="C2695" t="s">
        <v>52665</v>
      </c>
      <c r="D2695" t="s">
        <v>52666</v>
      </c>
      <c r="E2695" t="s">
        <v>52667</v>
      </c>
      <c r="F2695" t="s">
        <v>52668</v>
      </c>
      <c r="G2695" t="s">
        <v>52669</v>
      </c>
      <c r="H2695" t="s">
        <v>52670</v>
      </c>
      <c r="I2695" t="s">
        <v>52671</v>
      </c>
      <c r="J2695" t="s">
        <v>52672</v>
      </c>
      <c r="K2695" t="s">
        <v>52673</v>
      </c>
      <c r="L2695" t="s">
        <v>52674</v>
      </c>
      <c r="M2695" t="s">
        <v>52675</v>
      </c>
      <c r="N2695" t="s">
        <v>52676</v>
      </c>
      <c r="O2695">
        <f>-646.917836626723 -136.593134474824 -491.945546723887</f>
        <v>-1275.456517825434</v>
      </c>
      <c r="P2695">
        <f>-616.782084889887 -153.348912342331 -211.964077593156</f>
        <v>-982.09507482537401</v>
      </c>
      <c r="Q2695">
        <f>-435.957795718437 -40.489411398733 -304.234125594746</f>
        <v>-780.68133271191596</v>
      </c>
      <c r="R2695" t="s">
        <v>52677</v>
      </c>
      <c r="S2695" t="s">
        <v>52678</v>
      </c>
      <c r="T2695" t="s">
        <v>52679</v>
      </c>
      <c r="U2695" t="s">
        <v>52680</v>
      </c>
      <c r="V2695">
        <f>-570.630792818503 -33.6378151662675 -90.0335054231474</f>
        <v>-694.30211340791789</v>
      </c>
      <c r="W2695" t="s">
        <v>52681</v>
      </c>
      <c r="X2695" t="s">
        <v>52682</v>
      </c>
      <c r="Y2695" t="s">
        <v>52683</v>
      </c>
    </row>
    <row r="2696" spans="1:25" x14ac:dyDescent="0.3">
      <c r="A2696">
        <v>134750</v>
      </c>
      <c r="B2696" t="s">
        <v>52684</v>
      </c>
      <c r="C2696" t="s">
        <v>52685</v>
      </c>
      <c r="D2696" t="s">
        <v>52686</v>
      </c>
      <c r="E2696" t="s">
        <v>52687</v>
      </c>
      <c r="F2696" t="s">
        <v>52688</v>
      </c>
      <c r="G2696" t="s">
        <v>52689</v>
      </c>
      <c r="H2696" t="s">
        <v>52690</v>
      </c>
      <c r="I2696" t="s">
        <v>52691</v>
      </c>
      <c r="J2696" t="s">
        <v>52692</v>
      </c>
      <c r="K2696" t="s">
        <v>52693</v>
      </c>
      <c r="L2696" t="s">
        <v>52694</v>
      </c>
      <c r="M2696" t="s">
        <v>52695</v>
      </c>
      <c r="N2696" t="s">
        <v>52696</v>
      </c>
      <c r="O2696">
        <f>-646.208506133723 -136.542906835565 -492.044867351603</f>
        <v>-1274.7962803208909</v>
      </c>
      <c r="P2696">
        <f>-615.996759721301 -153.479163768816 -212.082418568143</f>
        <v>-981.55834205826</v>
      </c>
      <c r="Q2696">
        <f>-435.334244888428 -40.2239340399794 -304.184687676403</f>
        <v>-779.74286660481039</v>
      </c>
      <c r="R2696" t="s">
        <v>52697</v>
      </c>
      <c r="S2696" t="s">
        <v>52698</v>
      </c>
      <c r="T2696" t="s">
        <v>52699</v>
      </c>
      <c r="U2696" t="s">
        <v>52700</v>
      </c>
      <c r="V2696">
        <f>-570.206012098319 -33.5375878240147 -90.0215326968694</f>
        <v>-693.76513261920309</v>
      </c>
      <c r="W2696" t="s">
        <v>52701</v>
      </c>
      <c r="X2696" t="s">
        <v>52702</v>
      </c>
      <c r="Y2696" t="s">
        <v>52703</v>
      </c>
    </row>
    <row r="2697" spans="1:25" x14ac:dyDescent="0.3">
      <c r="A2697">
        <v>134800</v>
      </c>
      <c r="B2697" t="s">
        <v>52704</v>
      </c>
      <c r="C2697" t="s">
        <v>52705</v>
      </c>
      <c r="D2697" t="s">
        <v>52706</v>
      </c>
      <c r="E2697" t="s">
        <v>52707</v>
      </c>
      <c r="F2697" t="s">
        <v>52708</v>
      </c>
      <c r="G2697" t="s">
        <v>52709</v>
      </c>
      <c r="H2697" t="s">
        <v>52710</v>
      </c>
      <c r="I2697" t="s">
        <v>52711</v>
      </c>
      <c r="J2697" t="s">
        <v>52712</v>
      </c>
      <c r="K2697" t="s">
        <v>52713</v>
      </c>
      <c r="L2697" t="s">
        <v>52714</v>
      </c>
      <c r="M2697" t="s">
        <v>52715</v>
      </c>
      <c r="N2697" t="s">
        <v>52716</v>
      </c>
      <c r="O2697">
        <f>-645.083819624698 -136.448428998143 -492.181407857689</f>
        <v>-1273.7136564805301</v>
      </c>
      <c r="P2697">
        <f>-614.453984583579 -153.504648597674 -212.27157026181</f>
        <v>-980.23020344306292</v>
      </c>
      <c r="Q2697">
        <f>-434.216640288292 -39.6168296804242 -304.427085834682</f>
        <v>-778.26055580339812</v>
      </c>
      <c r="R2697" t="s">
        <v>52717</v>
      </c>
      <c r="S2697" t="s">
        <v>52718</v>
      </c>
      <c r="T2697" t="s">
        <v>52719</v>
      </c>
      <c r="U2697" t="s">
        <v>52720</v>
      </c>
      <c r="V2697">
        <f>-569.444493006281 -33.4495923032102 -90.0199892980452</f>
        <v>-692.91407460753646</v>
      </c>
      <c r="W2697" t="s">
        <v>52721</v>
      </c>
      <c r="X2697" t="s">
        <v>52722</v>
      </c>
      <c r="Y2697" t="s">
        <v>52723</v>
      </c>
    </row>
    <row r="2698" spans="1:25" x14ac:dyDescent="0.3">
      <c r="A2698">
        <v>134850</v>
      </c>
      <c r="B2698" t="s">
        <v>52724</v>
      </c>
      <c r="C2698" t="s">
        <v>52725</v>
      </c>
      <c r="D2698" t="s">
        <v>52726</v>
      </c>
      <c r="E2698" t="s">
        <v>52727</v>
      </c>
      <c r="F2698" t="s">
        <v>52728</v>
      </c>
      <c r="G2698" t="s">
        <v>52729</v>
      </c>
      <c r="H2698" t="s">
        <v>52730</v>
      </c>
      <c r="I2698" t="s">
        <v>52731</v>
      </c>
      <c r="J2698" t="s">
        <v>52732</v>
      </c>
      <c r="K2698" t="s">
        <v>52733</v>
      </c>
      <c r="L2698" t="s">
        <v>52734</v>
      </c>
      <c r="M2698" t="s">
        <v>52735</v>
      </c>
      <c r="N2698" t="s">
        <v>52736</v>
      </c>
      <c r="O2698">
        <f>-644.644245612054 -136.422251007597 -492.254587507672</f>
        <v>-1273.321084127323</v>
      </c>
      <c r="P2698">
        <f>-613.82489758049 -153.480866600764 -212.365730850496</f>
        <v>-979.67149503174994</v>
      </c>
      <c r="Q2698">
        <f>-433.750036076144 -39.3333285000774 -304.517388487215</f>
        <v>-777.6007530634364</v>
      </c>
      <c r="R2698" t="s">
        <v>52737</v>
      </c>
      <c r="S2698" t="s">
        <v>52738</v>
      </c>
      <c r="T2698" t="s">
        <v>52739</v>
      </c>
      <c r="U2698" t="s">
        <v>52740</v>
      </c>
      <c r="V2698">
        <f>-569.13139655654 -33.4310053744498 -90.022219824751</f>
        <v>-692.58462175574084</v>
      </c>
      <c r="W2698" t="s">
        <v>52741</v>
      </c>
      <c r="X2698" t="s">
        <v>52742</v>
      </c>
      <c r="Y2698" t="s">
        <v>52743</v>
      </c>
    </row>
    <row r="2699" spans="1:25" x14ac:dyDescent="0.3">
      <c r="A2699">
        <v>134900</v>
      </c>
      <c r="B2699" t="s">
        <v>52744</v>
      </c>
      <c r="C2699" t="s">
        <v>52745</v>
      </c>
      <c r="D2699" t="s">
        <v>52746</v>
      </c>
      <c r="E2699" t="s">
        <v>52747</v>
      </c>
      <c r="F2699" t="s">
        <v>52748</v>
      </c>
      <c r="G2699" t="s">
        <v>52749</v>
      </c>
      <c r="H2699" t="s">
        <v>52750</v>
      </c>
      <c r="I2699" t="s">
        <v>52751</v>
      </c>
      <c r="J2699" t="s">
        <v>52752</v>
      </c>
      <c r="K2699" t="s">
        <v>52753</v>
      </c>
      <c r="L2699" t="s">
        <v>52754</v>
      </c>
      <c r="M2699" t="s">
        <v>52755</v>
      </c>
      <c r="N2699" t="s">
        <v>52756</v>
      </c>
      <c r="O2699">
        <f>-643.809537610527 -136.358115117588 -492.362294102021</f>
        <v>-1272.5299468301359</v>
      </c>
      <c r="P2699">
        <f>-612.788964467764 -153.533279857328 -212.502792845849</f>
        <v>-978.82503717094096</v>
      </c>
      <c r="Q2699">
        <f>-432.932882998972 -38.9638362358412 -304.558260852669</f>
        <v>-776.45498008748223</v>
      </c>
      <c r="R2699" t="s">
        <v>52757</v>
      </c>
      <c r="S2699" t="s">
        <v>52758</v>
      </c>
      <c r="T2699" t="s">
        <v>52759</v>
      </c>
      <c r="U2699" t="s">
        <v>52760</v>
      </c>
      <c r="V2699">
        <f>-568.519326676302 -33.3254947658725 -90.0160040632571</f>
        <v>-691.86082550543154</v>
      </c>
      <c r="W2699" t="s">
        <v>52761</v>
      </c>
      <c r="X2699" t="s">
        <v>52762</v>
      </c>
      <c r="Y2699" t="s">
        <v>52763</v>
      </c>
    </row>
    <row r="2700" spans="1:25" x14ac:dyDescent="0.3">
      <c r="A2700">
        <v>134950</v>
      </c>
      <c r="B2700" t="s">
        <v>52764</v>
      </c>
      <c r="C2700" t="s">
        <v>52765</v>
      </c>
      <c r="D2700" t="s">
        <v>52766</v>
      </c>
      <c r="E2700" t="s">
        <v>52767</v>
      </c>
      <c r="F2700" t="s">
        <v>52768</v>
      </c>
      <c r="G2700" t="s">
        <v>52769</v>
      </c>
      <c r="H2700" t="s">
        <v>52770</v>
      </c>
      <c r="I2700" t="s">
        <v>52771</v>
      </c>
      <c r="J2700" t="s">
        <v>52772</v>
      </c>
      <c r="K2700" t="s">
        <v>52773</v>
      </c>
      <c r="L2700" t="s">
        <v>52774</v>
      </c>
      <c r="M2700" t="s">
        <v>52775</v>
      </c>
      <c r="N2700" t="s">
        <v>52776</v>
      </c>
      <c r="O2700">
        <f>-643.490805405519 -136.440899751937 -492.283806548536</f>
        <v>-1272.215511705992</v>
      </c>
      <c r="P2700">
        <f>-612.420375071197 -153.583525119132 -212.427819233281</f>
        <v>-978.43171942361005</v>
      </c>
      <c r="Q2700">
        <f>-432.62099541431 -38.9238101062651 -304.481432582341</f>
        <v>-776.02623810291607</v>
      </c>
      <c r="R2700" t="s">
        <v>52777</v>
      </c>
      <c r="S2700" t="s">
        <v>52778</v>
      </c>
      <c r="T2700" t="s">
        <v>52779</v>
      </c>
      <c r="U2700" t="s">
        <v>52780</v>
      </c>
      <c r="V2700">
        <f>-568.181761870669 -33.2711666402256 -90.0059112631009</f>
        <v>-691.45883977399546</v>
      </c>
      <c r="W2700" t="s">
        <v>52781</v>
      </c>
      <c r="X2700" t="s">
        <v>52782</v>
      </c>
      <c r="Y2700" t="s">
        <v>52783</v>
      </c>
    </row>
    <row r="2701" spans="1:25" x14ac:dyDescent="0.3">
      <c r="A2701">
        <v>135000</v>
      </c>
      <c r="B2701" t="s">
        <v>52784</v>
      </c>
      <c r="C2701" t="s">
        <v>52785</v>
      </c>
      <c r="D2701" t="s">
        <v>52786</v>
      </c>
      <c r="E2701" t="s">
        <v>52787</v>
      </c>
      <c r="F2701" t="s">
        <v>52788</v>
      </c>
      <c r="G2701" t="s">
        <v>52789</v>
      </c>
      <c r="H2701" t="s">
        <v>52790</v>
      </c>
      <c r="I2701" t="s">
        <v>52791</v>
      </c>
      <c r="J2701" t="s">
        <v>52792</v>
      </c>
      <c r="K2701" t="s">
        <v>52793</v>
      </c>
      <c r="L2701" t="s">
        <v>52794</v>
      </c>
      <c r="M2701" t="s">
        <v>52795</v>
      </c>
      <c r="N2701" t="s">
        <v>52796</v>
      </c>
      <c r="O2701">
        <f>-642.874030921511 -136.448155987111 -492.023186921655</f>
        <v>-1271.3453738302769</v>
      </c>
      <c r="P2701">
        <f>-611.729113927566 -153.463023294642 -212.167789602146</f>
        <v>-977.35992682435403</v>
      </c>
      <c r="Q2701">
        <f>-431.823385830368 -38.8793955236667 -304.108044738964</f>
        <v>-774.8108260929987</v>
      </c>
      <c r="R2701" t="s">
        <v>52797</v>
      </c>
      <c r="S2701" t="s">
        <v>52798</v>
      </c>
      <c r="T2701" t="s">
        <v>52799</v>
      </c>
      <c r="U2701" t="s">
        <v>52800</v>
      </c>
      <c r="V2701">
        <f>-567.468471938617 -33.1145279153391 -89.9556080675061</f>
        <v>-690.53860792146213</v>
      </c>
      <c r="W2701" t="s">
        <v>52801</v>
      </c>
      <c r="X2701" t="s">
        <v>52802</v>
      </c>
      <c r="Y2701" t="s">
        <v>52803</v>
      </c>
    </row>
    <row r="2702" spans="1:25" x14ac:dyDescent="0.3">
      <c r="A2702">
        <v>135050</v>
      </c>
      <c r="B2702" t="s">
        <v>52804</v>
      </c>
      <c r="C2702" t="s">
        <v>52805</v>
      </c>
      <c r="D2702" t="s">
        <v>52806</v>
      </c>
      <c r="E2702" t="s">
        <v>52807</v>
      </c>
      <c r="F2702" t="s">
        <v>52808</v>
      </c>
      <c r="G2702" t="s">
        <v>52809</v>
      </c>
      <c r="H2702" t="s">
        <v>52810</v>
      </c>
      <c r="I2702" t="s">
        <v>52811</v>
      </c>
      <c r="J2702" t="s">
        <v>52812</v>
      </c>
      <c r="K2702" t="s">
        <v>52813</v>
      </c>
      <c r="L2702" t="s">
        <v>52814</v>
      </c>
      <c r="M2702" t="s">
        <v>52815</v>
      </c>
      <c r="N2702" t="s">
        <v>52816</v>
      </c>
      <c r="O2702">
        <f>-642.693737208195 -136.479800984303 -491.85362870579</f>
        <v>-1271.027166898288</v>
      </c>
      <c r="P2702">
        <f>-611.567751245436 -153.311359180406 -211.984939506554</f>
        <v>-976.86404993239614</v>
      </c>
      <c r="Q2702">
        <f>-431.520276605146 -38.8806412346041 -303.838444318316</f>
        <v>-774.23936215806611</v>
      </c>
      <c r="R2702" t="s">
        <v>52817</v>
      </c>
      <c r="S2702" t="s">
        <v>52818</v>
      </c>
      <c r="T2702" t="s">
        <v>52819</v>
      </c>
      <c r="U2702" t="s">
        <v>52820</v>
      </c>
      <c r="V2702">
        <f>-567.133752073679 -33.025572848099 -89.9223136709288</f>
        <v>-690.08163859270689</v>
      </c>
      <c r="W2702" t="s">
        <v>52821</v>
      </c>
      <c r="X2702" t="s">
        <v>52822</v>
      </c>
      <c r="Y2702" t="s">
        <v>52823</v>
      </c>
    </row>
    <row r="2703" spans="1:25" x14ac:dyDescent="0.3">
      <c r="A2703">
        <v>135100</v>
      </c>
      <c r="B2703" t="s">
        <v>52824</v>
      </c>
      <c r="C2703" t="s">
        <v>52825</v>
      </c>
      <c r="D2703" t="s">
        <v>52826</v>
      </c>
      <c r="E2703" t="s">
        <v>52827</v>
      </c>
      <c r="F2703" t="s">
        <v>52828</v>
      </c>
      <c r="G2703" t="s">
        <v>52829</v>
      </c>
      <c r="H2703" t="s">
        <v>52830</v>
      </c>
      <c r="I2703" t="s">
        <v>52831</v>
      </c>
      <c r="J2703" t="s">
        <v>52832</v>
      </c>
      <c r="K2703" t="s">
        <v>52833</v>
      </c>
      <c r="L2703" t="s">
        <v>52834</v>
      </c>
      <c r="M2703" t="s">
        <v>52835</v>
      </c>
      <c r="N2703" t="s">
        <v>52836</v>
      </c>
      <c r="O2703">
        <f>-642.4534964463 -136.5534822066 -491.37308831146</f>
        <v>-1270.3800669643599</v>
      </c>
      <c r="P2703">
        <f>-611.3509991671 -152.888125476198 -211.472334837199</f>
        <v>-975.71145948049707</v>
      </c>
      <c r="Q2703">
        <f>-430.940542291991 -38.8551808512564 -303.10803126944</f>
        <v>-772.90375441268748</v>
      </c>
      <c r="R2703" t="s">
        <v>52837</v>
      </c>
      <c r="S2703" t="s">
        <v>52838</v>
      </c>
      <c r="T2703" t="s">
        <v>52839</v>
      </c>
      <c r="U2703" t="s">
        <v>52840</v>
      </c>
      <c r="V2703">
        <f>-566.530753993671 -32.8046922861395 -89.8392406905172</f>
        <v>-689.17468697032768</v>
      </c>
      <c r="W2703" t="s">
        <v>52841</v>
      </c>
      <c r="X2703" t="s">
        <v>52842</v>
      </c>
      <c r="Y2703" t="s">
        <v>52843</v>
      </c>
    </row>
    <row r="2704" spans="1:25" x14ac:dyDescent="0.3">
      <c r="A2704">
        <v>135150</v>
      </c>
      <c r="B2704" t="s">
        <v>52844</v>
      </c>
      <c r="C2704" t="s">
        <v>52845</v>
      </c>
      <c r="D2704" t="s">
        <v>52846</v>
      </c>
      <c r="E2704" t="s">
        <v>52847</v>
      </c>
      <c r="F2704" t="s">
        <v>52848</v>
      </c>
      <c r="G2704" t="s">
        <v>52849</v>
      </c>
      <c r="H2704" t="s">
        <v>52850</v>
      </c>
      <c r="I2704" t="s">
        <v>52851</v>
      </c>
      <c r="J2704" t="s">
        <v>52852</v>
      </c>
      <c r="K2704" t="s">
        <v>52853</v>
      </c>
      <c r="L2704" t="s">
        <v>52854</v>
      </c>
      <c r="M2704" t="s">
        <v>52855</v>
      </c>
      <c r="N2704" t="s">
        <v>52856</v>
      </c>
      <c r="O2704">
        <f>-642.349378595396 -136.581588695632 -491.12544674879</f>
        <v>-1270.056414039818</v>
      </c>
      <c r="P2704">
        <f>-611.232925604604 -152.631144369073 -211.209781386507</f>
        <v>-975.07385136018399</v>
      </c>
      <c r="Q2704">
        <f>-430.714498198434 -38.7797551295566 -302.85850269908</f>
        <v>-772.35275602707065</v>
      </c>
      <c r="R2704" t="s">
        <v>52857</v>
      </c>
      <c r="S2704" t="s">
        <v>52858</v>
      </c>
      <c r="T2704" t="s">
        <v>52859</v>
      </c>
      <c r="U2704" t="s">
        <v>52860</v>
      </c>
      <c r="V2704">
        <f>-566.265282716064 -32.6618967239542 -89.8046576702002</f>
        <v>-688.73183711021841</v>
      </c>
      <c r="W2704" t="s">
        <v>52861</v>
      </c>
      <c r="X2704" t="s">
        <v>52862</v>
      </c>
      <c r="Y2704" t="s">
        <v>52863</v>
      </c>
    </row>
    <row r="2705" spans="1:25" x14ac:dyDescent="0.3">
      <c r="A2705">
        <v>135200</v>
      </c>
      <c r="B2705" t="s">
        <v>52864</v>
      </c>
      <c r="C2705" t="s">
        <v>52865</v>
      </c>
      <c r="D2705" t="s">
        <v>52866</v>
      </c>
      <c r="E2705" t="s">
        <v>52867</v>
      </c>
      <c r="F2705" t="s">
        <v>52868</v>
      </c>
      <c r="G2705" t="s">
        <v>52869</v>
      </c>
      <c r="H2705" t="s">
        <v>52870</v>
      </c>
      <c r="I2705" t="s">
        <v>52871</v>
      </c>
      <c r="J2705" t="s">
        <v>52872</v>
      </c>
      <c r="K2705" t="s">
        <v>52873</v>
      </c>
      <c r="L2705" t="s">
        <v>52874</v>
      </c>
      <c r="M2705" t="s">
        <v>52875</v>
      </c>
      <c r="N2705" t="s">
        <v>52876</v>
      </c>
      <c r="O2705">
        <f>-642.204055495009 -136.791625893241 -490.5961084463</f>
        <v>-1269.5917898345499</v>
      </c>
      <c r="P2705">
        <f>-610.743572233463 -152.119215901561 -210.678444207935</f>
        <v>-973.54123234295912</v>
      </c>
      <c r="Q2705">
        <f>-430.113123163836 -38.5688820329638 -302.479633568263</f>
        <v>-771.16163876506289</v>
      </c>
      <c r="R2705" t="s">
        <v>52877</v>
      </c>
      <c r="S2705" t="s">
        <v>52878</v>
      </c>
      <c r="T2705" t="s">
        <v>52879</v>
      </c>
      <c r="U2705" t="s">
        <v>52880</v>
      </c>
      <c r="V2705">
        <f>-565.88564305902 -32.4834880478368 -89.7363852149377</f>
        <v>-688.10551632179454</v>
      </c>
      <c r="W2705" t="s">
        <v>52881</v>
      </c>
      <c r="X2705" t="s">
        <v>52882</v>
      </c>
      <c r="Y2705" t="s">
        <v>52883</v>
      </c>
    </row>
    <row r="2706" spans="1:25" x14ac:dyDescent="0.3">
      <c r="A2706">
        <v>135250</v>
      </c>
      <c r="B2706" t="s">
        <v>52884</v>
      </c>
      <c r="C2706" t="s">
        <v>52885</v>
      </c>
      <c r="D2706" t="s">
        <v>52886</v>
      </c>
      <c r="E2706" t="s">
        <v>52887</v>
      </c>
      <c r="F2706" t="s">
        <v>52888</v>
      </c>
      <c r="G2706" t="s">
        <v>52889</v>
      </c>
      <c r="H2706" t="s">
        <v>52890</v>
      </c>
      <c r="I2706" t="s">
        <v>52891</v>
      </c>
      <c r="J2706" t="s">
        <v>52892</v>
      </c>
      <c r="K2706" t="s">
        <v>52893</v>
      </c>
      <c r="L2706" t="s">
        <v>52894</v>
      </c>
      <c r="M2706" t="s">
        <v>52895</v>
      </c>
      <c r="N2706" t="s">
        <v>52896</v>
      </c>
      <c r="O2706">
        <f>-642.081333283234 -136.950965236996 -490.342736572572</f>
        <v>-1269.3750350928021</v>
      </c>
      <c r="P2706">
        <f>-610.48280222476 -151.881529898325 -210.419184077003</f>
        <v>-972.783516200088</v>
      </c>
      <c r="Q2706">
        <f>-429.893149401893 -38.3655710760743 -302.343100070289</f>
        <v>-770.60182054825634</v>
      </c>
      <c r="R2706" t="s">
        <v>52897</v>
      </c>
      <c r="S2706" t="s">
        <v>52898</v>
      </c>
      <c r="T2706" t="s">
        <v>52899</v>
      </c>
      <c r="U2706" t="s">
        <v>52900</v>
      </c>
      <c r="V2706">
        <f>-565.665298857933 -32.4157820928449 -89.6989420550664</f>
        <v>-687.78002300584421</v>
      </c>
      <c r="W2706" t="s">
        <v>52901</v>
      </c>
      <c r="X2706" t="s">
        <v>52902</v>
      </c>
      <c r="Y2706" t="s">
        <v>52903</v>
      </c>
    </row>
    <row r="2707" spans="1:25" x14ac:dyDescent="0.3">
      <c r="A2707">
        <v>135300</v>
      </c>
      <c r="B2707" t="s">
        <v>52904</v>
      </c>
      <c r="C2707" t="s">
        <v>52905</v>
      </c>
      <c r="D2707" t="s">
        <v>52906</v>
      </c>
      <c r="E2707" t="s">
        <v>52907</v>
      </c>
      <c r="F2707" t="s">
        <v>52908</v>
      </c>
      <c r="G2707" t="s">
        <v>52909</v>
      </c>
      <c r="H2707" t="s">
        <v>52910</v>
      </c>
      <c r="I2707" t="s">
        <v>52911</v>
      </c>
      <c r="J2707" t="s">
        <v>52912</v>
      </c>
      <c r="K2707" t="s">
        <v>52913</v>
      </c>
      <c r="L2707" t="s">
        <v>52914</v>
      </c>
      <c r="M2707" t="s">
        <v>52915</v>
      </c>
      <c r="N2707" t="s">
        <v>52916</v>
      </c>
      <c r="O2707">
        <f>-641.951538979114 -137.261544662209 -489.811623009553</f>
        <v>-1269.0247066508759</v>
      </c>
      <c r="P2707">
        <f>-609.989644837244 -151.604518200174 -209.898617259086</f>
        <v>-971.49278029650395</v>
      </c>
      <c r="Q2707">
        <f>-429.473750245696 -38.0898375623774 -301.968985767617</f>
        <v>-769.53257357569044</v>
      </c>
      <c r="R2707" t="s">
        <v>52917</v>
      </c>
      <c r="S2707" t="s">
        <v>52918</v>
      </c>
      <c r="T2707" t="s">
        <v>52919</v>
      </c>
      <c r="U2707" t="s">
        <v>52920</v>
      </c>
      <c r="V2707">
        <f>-565.171752923264 -32.2912981287204 -89.6363267846217</f>
        <v>-687.0993778366061</v>
      </c>
      <c r="W2707" t="s">
        <v>52921</v>
      </c>
      <c r="X2707" t="s">
        <v>52922</v>
      </c>
      <c r="Y2707" t="s">
        <v>52923</v>
      </c>
    </row>
    <row r="2708" spans="1:25" x14ac:dyDescent="0.3">
      <c r="A2708">
        <v>135350</v>
      </c>
      <c r="B2708" t="s">
        <v>52924</v>
      </c>
      <c r="C2708" t="s">
        <v>52925</v>
      </c>
      <c r="D2708" t="s">
        <v>52926</v>
      </c>
      <c r="E2708" t="s">
        <v>52927</v>
      </c>
      <c r="F2708" t="s">
        <v>52928</v>
      </c>
      <c r="G2708" t="s">
        <v>52929</v>
      </c>
      <c r="H2708" t="s">
        <v>52930</v>
      </c>
      <c r="I2708" t="s">
        <v>52931</v>
      </c>
      <c r="J2708" t="s">
        <v>52932</v>
      </c>
      <c r="K2708" t="s">
        <v>52933</v>
      </c>
      <c r="L2708" t="s">
        <v>52934</v>
      </c>
      <c r="M2708" t="s">
        <v>52935</v>
      </c>
      <c r="N2708" t="s">
        <v>52936</v>
      </c>
      <c r="O2708">
        <f>-641.911994985921 -137.425535178551 -489.540813760646</f>
        <v>-1268.8783439251179</v>
      </c>
      <c r="P2708">
        <f>-609.834696347895 -151.411187664668 -209.622847256035</f>
        <v>-970.86873126859803</v>
      </c>
      <c r="Q2708">
        <f>-429.308682609067 -37.9039728332873 -301.682879516177</f>
        <v>-768.89553495853124</v>
      </c>
      <c r="R2708" t="s">
        <v>52937</v>
      </c>
      <c r="S2708" t="s">
        <v>52938</v>
      </c>
      <c r="T2708" t="s">
        <v>52939</v>
      </c>
      <c r="U2708" t="s">
        <v>52940</v>
      </c>
      <c r="V2708">
        <f>-564.954976922694 -32.2428321663624 -89.5965176255289</f>
        <v>-686.79432671458528</v>
      </c>
      <c r="W2708" t="s">
        <v>52941</v>
      </c>
      <c r="X2708" t="s">
        <v>52942</v>
      </c>
      <c r="Y2708" t="s">
        <v>52943</v>
      </c>
    </row>
    <row r="2709" spans="1:25" x14ac:dyDescent="0.3">
      <c r="A2709">
        <v>135400</v>
      </c>
      <c r="B2709" t="s">
        <v>52944</v>
      </c>
      <c r="C2709" t="s">
        <v>52945</v>
      </c>
      <c r="D2709" t="s">
        <v>52946</v>
      </c>
      <c r="E2709" t="s">
        <v>52947</v>
      </c>
      <c r="F2709" t="s">
        <v>52948</v>
      </c>
      <c r="G2709" t="s">
        <v>52949</v>
      </c>
      <c r="H2709" t="s">
        <v>52950</v>
      </c>
      <c r="I2709" t="s">
        <v>52951</v>
      </c>
      <c r="J2709" t="s">
        <v>52952</v>
      </c>
      <c r="K2709" t="s">
        <v>52953</v>
      </c>
      <c r="L2709" t="s">
        <v>52954</v>
      </c>
      <c r="M2709" t="s">
        <v>52955</v>
      </c>
      <c r="N2709" t="s">
        <v>52956</v>
      </c>
      <c r="O2709">
        <f>-641.379539923835 -137.820599375177 -489.128860578973</f>
        <v>-1268.3289998779851</v>
      </c>
      <c r="P2709">
        <f>-609.140700762095 -151.189926409689 -209.199328737996</f>
        <v>-969.52995590978003</v>
      </c>
      <c r="Q2709">
        <f>-428.711678826831 -37.6894998050907 -301.457527242019</f>
        <v>-767.85870587394072</v>
      </c>
      <c r="R2709" t="s">
        <v>52957</v>
      </c>
      <c r="S2709" t="s">
        <v>52958</v>
      </c>
      <c r="T2709" t="s">
        <v>52959</v>
      </c>
      <c r="U2709" t="s">
        <v>52960</v>
      </c>
      <c r="V2709">
        <f>-564.616886433348 -32.1284721098082 -89.5254130430911</f>
        <v>-686.27077158624729</v>
      </c>
      <c r="W2709" t="s">
        <v>52961</v>
      </c>
      <c r="X2709" t="s">
        <v>52962</v>
      </c>
      <c r="Y2709" t="s">
        <v>52963</v>
      </c>
    </row>
    <row r="2710" spans="1:25" x14ac:dyDescent="0.3">
      <c r="A2710">
        <v>135450</v>
      </c>
      <c r="B2710" t="s">
        <v>52964</v>
      </c>
      <c r="C2710" t="s">
        <v>52965</v>
      </c>
      <c r="D2710" t="s">
        <v>52966</v>
      </c>
      <c r="E2710" t="s">
        <v>52967</v>
      </c>
      <c r="F2710" t="s">
        <v>52968</v>
      </c>
      <c r="G2710" t="s">
        <v>52969</v>
      </c>
      <c r="H2710" t="s">
        <v>52970</v>
      </c>
      <c r="I2710" t="s">
        <v>52971</v>
      </c>
      <c r="J2710" t="s">
        <v>52972</v>
      </c>
      <c r="K2710" t="s">
        <v>52973</v>
      </c>
      <c r="L2710" t="s">
        <v>52974</v>
      </c>
      <c r="M2710" t="s">
        <v>52975</v>
      </c>
      <c r="N2710" t="s">
        <v>52976</v>
      </c>
      <c r="O2710">
        <f>-641.164209089672 -138.051789957925 -488.936595038329</f>
        <v>-1268.152594085926</v>
      </c>
      <c r="P2710">
        <f>-608.721255754753 -151.158914655771 -209.01827494754</f>
        <v>-968.89844535806401</v>
      </c>
      <c r="Q2710">
        <f>-428.413032671702 -37.6173061738825 -301.461661127883</f>
        <v>-767.4919999734675</v>
      </c>
      <c r="R2710" t="s">
        <v>52977</v>
      </c>
      <c r="S2710" t="s">
        <v>52978</v>
      </c>
      <c r="T2710" t="s">
        <v>52979</v>
      </c>
      <c r="U2710" t="s">
        <v>52980</v>
      </c>
      <c r="V2710">
        <f>-564.429440273353 -32.1173216700602 -89.496558184768</f>
        <v>-686.04332012818111</v>
      </c>
      <c r="W2710" t="s">
        <v>52981</v>
      </c>
      <c r="X2710" t="s">
        <v>52982</v>
      </c>
      <c r="Y2710" t="s">
        <v>52983</v>
      </c>
    </row>
    <row r="2711" spans="1:25" x14ac:dyDescent="0.3">
      <c r="A2711">
        <v>135500</v>
      </c>
      <c r="B2711" t="s">
        <v>52984</v>
      </c>
      <c r="C2711" t="s">
        <v>52985</v>
      </c>
      <c r="D2711" t="s">
        <v>52986</v>
      </c>
      <c r="E2711" t="s">
        <v>52987</v>
      </c>
      <c r="F2711" t="s">
        <v>52988</v>
      </c>
      <c r="G2711" t="s">
        <v>52989</v>
      </c>
      <c r="H2711" t="s">
        <v>52990</v>
      </c>
      <c r="I2711" t="s">
        <v>52991</v>
      </c>
      <c r="J2711" t="s">
        <v>52992</v>
      </c>
      <c r="K2711" t="s">
        <v>52993</v>
      </c>
      <c r="L2711" t="s">
        <v>52994</v>
      </c>
      <c r="M2711" t="s">
        <v>52995</v>
      </c>
      <c r="N2711" t="s">
        <v>52996</v>
      </c>
      <c r="O2711">
        <f>-640.836033049501 -138.431502389901 -488.538405046625</f>
        <v>-1267.8059404860269</v>
      </c>
      <c r="P2711">
        <f>-607.901014593987 -151.24625443975 -208.66396537686</f>
        <v>-967.81123441059708</v>
      </c>
      <c r="Q2711">
        <f>-427.715065478258 -37.5290135080686 -301.129725729334</f>
        <v>-766.37380471566053</v>
      </c>
      <c r="R2711" t="s">
        <v>52997</v>
      </c>
      <c r="S2711" t="s">
        <v>52998</v>
      </c>
      <c r="T2711" t="s">
        <v>52999</v>
      </c>
      <c r="U2711" t="s">
        <v>53000</v>
      </c>
      <c r="V2711">
        <f>-564.016241116512 -32.0705666273423 -89.4396232629558</f>
        <v>-685.52643100681007</v>
      </c>
      <c r="W2711" t="s">
        <v>53001</v>
      </c>
      <c r="X2711" t="s">
        <v>53002</v>
      </c>
      <c r="Y2711" t="s">
        <v>53003</v>
      </c>
    </row>
    <row r="2712" spans="1:25" x14ac:dyDescent="0.3">
      <c r="A2712">
        <v>135550</v>
      </c>
      <c r="B2712" t="s">
        <v>53004</v>
      </c>
      <c r="C2712" t="s">
        <v>53005</v>
      </c>
      <c r="D2712" t="s">
        <v>53006</v>
      </c>
      <c r="E2712" t="s">
        <v>53007</v>
      </c>
      <c r="F2712" t="s">
        <v>53008</v>
      </c>
      <c r="G2712" t="s">
        <v>53009</v>
      </c>
      <c r="H2712" t="s">
        <v>53010</v>
      </c>
      <c r="I2712" t="s">
        <v>53011</v>
      </c>
      <c r="J2712" t="s">
        <v>53012</v>
      </c>
      <c r="K2712" t="s">
        <v>53013</v>
      </c>
      <c r="L2712" t="s">
        <v>53014</v>
      </c>
      <c r="M2712" t="s">
        <v>53015</v>
      </c>
      <c r="N2712" t="s">
        <v>53016</v>
      </c>
      <c r="O2712">
        <f>-640.798205520388 -138.568148448166 -488.389529249553</f>
        <v>-1267.7558832181071</v>
      </c>
      <c r="P2712">
        <f>-607.598105223708 -151.196908713144 -208.538056252659</f>
        <v>-967.33307018951098</v>
      </c>
      <c r="Q2712">
        <f>-427.503181778212 -37.3187656804514 -300.983182214991</f>
        <v>-765.80512967365439</v>
      </c>
      <c r="R2712" t="s">
        <v>53017</v>
      </c>
      <c r="S2712" t="s">
        <v>53018</v>
      </c>
      <c r="T2712" t="s">
        <v>53019</v>
      </c>
      <c r="U2712" t="s">
        <v>53020</v>
      </c>
      <c r="V2712">
        <f>-563.873400522156 -32.094928265584 -89.4335732568327</f>
        <v>-685.40190204457269</v>
      </c>
      <c r="W2712" t="s">
        <v>53021</v>
      </c>
      <c r="X2712" t="s">
        <v>53022</v>
      </c>
      <c r="Y2712" t="s">
        <v>53023</v>
      </c>
    </row>
    <row r="2713" spans="1:25" x14ac:dyDescent="0.3">
      <c r="A2713">
        <v>135600</v>
      </c>
      <c r="B2713" t="s">
        <v>53024</v>
      </c>
      <c r="C2713" t="s">
        <v>53025</v>
      </c>
      <c r="D2713" t="s">
        <v>53026</v>
      </c>
      <c r="E2713" t="s">
        <v>53027</v>
      </c>
      <c r="F2713" t="s">
        <v>53028</v>
      </c>
      <c r="G2713" t="s">
        <v>53029</v>
      </c>
      <c r="H2713" t="s">
        <v>53030</v>
      </c>
      <c r="I2713" t="s">
        <v>53031</v>
      </c>
      <c r="J2713" t="s">
        <v>53032</v>
      </c>
      <c r="K2713" t="s">
        <v>53033</v>
      </c>
      <c r="L2713" t="s">
        <v>53034</v>
      </c>
      <c r="M2713" t="s">
        <v>53035</v>
      </c>
      <c r="N2713" t="s">
        <v>53036</v>
      </c>
      <c r="O2713">
        <f>-640.847277048651 -138.862861309237 -488.107178544216</f>
        <v>-1267.817316902104</v>
      </c>
      <c r="P2713">
        <f>-607.163664643964 -151.441628221309 -208.311208540989</f>
        <v>-966.916501406262</v>
      </c>
      <c r="Q2713">
        <f>-427.304908253999 -36.9871293748402 -300.503983568875</f>
        <v>-764.79602119771425</v>
      </c>
      <c r="R2713" t="s">
        <v>53037</v>
      </c>
      <c r="S2713" t="s">
        <v>53038</v>
      </c>
      <c r="T2713" t="s">
        <v>53039</v>
      </c>
      <c r="U2713" t="s">
        <v>53040</v>
      </c>
      <c r="V2713">
        <f>-563.661175264812 -32.2132371563848 -89.4274709913929</f>
        <v>-685.30188341258963</v>
      </c>
      <c r="W2713" t="s">
        <v>53041</v>
      </c>
      <c r="X2713" t="s">
        <v>53042</v>
      </c>
      <c r="Y2713" t="s">
        <v>53043</v>
      </c>
    </row>
    <row r="2714" spans="1:25" x14ac:dyDescent="0.3">
      <c r="A2714">
        <v>135650</v>
      </c>
      <c r="B2714" t="s">
        <v>53044</v>
      </c>
      <c r="C2714" t="s">
        <v>53045</v>
      </c>
      <c r="D2714" t="s">
        <v>53046</v>
      </c>
      <c r="E2714" t="s">
        <v>53047</v>
      </c>
      <c r="F2714" t="s">
        <v>53048</v>
      </c>
      <c r="G2714" t="s">
        <v>53049</v>
      </c>
      <c r="H2714" t="s">
        <v>53050</v>
      </c>
      <c r="I2714" t="s">
        <v>53051</v>
      </c>
      <c r="J2714" t="s">
        <v>53052</v>
      </c>
      <c r="K2714" t="s">
        <v>53053</v>
      </c>
      <c r="L2714" t="s">
        <v>53054</v>
      </c>
      <c r="M2714" t="s">
        <v>53055</v>
      </c>
      <c r="N2714" t="s">
        <v>53056</v>
      </c>
      <c r="O2714">
        <f>-640.664059128952 -139.027921014791 -487.966599204917</f>
        <v>-1267.6585793486599</v>
      </c>
      <c r="P2714">
        <f>-607.069181083022 -151.458547146967 -208.153306597267</f>
        <v>-966.6810348272561</v>
      </c>
      <c r="Q2714">
        <f>-427.253177182923 -36.8279405088426 -300.210822217198</f>
        <v>-764.29193990896351</v>
      </c>
      <c r="R2714" t="s">
        <v>53057</v>
      </c>
      <c r="S2714" t="s">
        <v>53058</v>
      </c>
      <c r="T2714" t="s">
        <v>53059</v>
      </c>
      <c r="U2714" t="s">
        <v>53060</v>
      </c>
      <c r="V2714">
        <f>-563.510433883884 -32.2412588416569 -89.4120164875325</f>
        <v>-685.16370921307339</v>
      </c>
      <c r="W2714" t="s">
        <v>53061</v>
      </c>
      <c r="X2714" t="s">
        <v>53062</v>
      </c>
      <c r="Y2714" t="s">
        <v>53063</v>
      </c>
    </row>
    <row r="2715" spans="1:25" x14ac:dyDescent="0.3">
      <c r="A2715">
        <v>135700</v>
      </c>
      <c r="B2715" t="s">
        <v>53064</v>
      </c>
      <c r="C2715" t="s">
        <v>53065</v>
      </c>
      <c r="D2715" t="s">
        <v>53066</v>
      </c>
      <c r="E2715" t="s">
        <v>53067</v>
      </c>
      <c r="F2715" t="s">
        <v>53068</v>
      </c>
      <c r="G2715" t="s">
        <v>53069</v>
      </c>
      <c r="H2715" t="s">
        <v>53070</v>
      </c>
      <c r="I2715" t="s">
        <v>53071</v>
      </c>
      <c r="J2715" t="s">
        <v>53072</v>
      </c>
      <c r="K2715" t="s">
        <v>53073</v>
      </c>
      <c r="L2715" t="s">
        <v>53074</v>
      </c>
      <c r="M2715" t="s">
        <v>53075</v>
      </c>
      <c r="N2715" t="s">
        <v>53076</v>
      </c>
      <c r="O2715">
        <f>-640.252511437299 -139.387170352411 -487.733956372448</f>
        <v>-1267.3736381621579</v>
      </c>
      <c r="P2715">
        <f>-606.91019560886 -151.676304801942 -207.884258724785</f>
        <v>-966.47075913558706</v>
      </c>
      <c r="Q2715">
        <f>-427.126515930544 -36.8544706626667 -299.766562105815</f>
        <v>-763.74754869902563</v>
      </c>
      <c r="R2715" t="s">
        <v>53077</v>
      </c>
      <c r="S2715" t="s">
        <v>53078</v>
      </c>
      <c r="T2715" t="s">
        <v>53079</v>
      </c>
      <c r="U2715" t="s">
        <v>53080</v>
      </c>
      <c r="V2715">
        <f>-563.253470330837 -32.481527401492 -89.395153325856</f>
        <v>-685.13015105818499</v>
      </c>
      <c r="W2715" t="s">
        <v>53081</v>
      </c>
      <c r="X2715" t="s">
        <v>53082</v>
      </c>
      <c r="Y2715" t="s">
        <v>53083</v>
      </c>
    </row>
    <row r="2716" spans="1:25" x14ac:dyDescent="0.3">
      <c r="A2716">
        <v>135750</v>
      </c>
      <c r="B2716" t="s">
        <v>53084</v>
      </c>
      <c r="C2716" t="s">
        <v>53085</v>
      </c>
      <c r="D2716" t="s">
        <v>53086</v>
      </c>
      <c r="E2716" t="s">
        <v>53087</v>
      </c>
      <c r="F2716" t="s">
        <v>53088</v>
      </c>
      <c r="G2716" t="s">
        <v>53089</v>
      </c>
      <c r="H2716" t="s">
        <v>53090</v>
      </c>
      <c r="I2716" t="s">
        <v>53091</v>
      </c>
      <c r="J2716" t="s">
        <v>53092</v>
      </c>
      <c r="K2716" t="s">
        <v>53093</v>
      </c>
      <c r="L2716" t="s">
        <v>53094</v>
      </c>
      <c r="M2716" t="s">
        <v>53095</v>
      </c>
      <c r="N2716" t="s">
        <v>53096</v>
      </c>
      <c r="O2716">
        <f>-639.94778297358 -139.533800544537 -487.632772266822</f>
        <v>-1267.1143557849391</v>
      </c>
      <c r="P2716">
        <f>-606.803729150022 -151.777433253027 -207.757586484736</f>
        <v>-966.33874888778496</v>
      </c>
      <c r="Q2716">
        <f>-427.088302441943 -36.8560511486594 -299.648732166679</f>
        <v>-763.59308575728141</v>
      </c>
      <c r="R2716" t="s">
        <v>53097</v>
      </c>
      <c r="S2716" t="s">
        <v>53098</v>
      </c>
      <c r="T2716" t="s">
        <v>53099</v>
      </c>
      <c r="U2716" t="s">
        <v>53100</v>
      </c>
      <c r="V2716">
        <f>-563.056103869312 -32.6073771427682 -89.3730751236186</f>
        <v>-685.03655613569879</v>
      </c>
      <c r="W2716" t="s">
        <v>53101</v>
      </c>
      <c r="X2716" t="s">
        <v>53102</v>
      </c>
      <c r="Y2716" t="s">
        <v>53103</v>
      </c>
    </row>
    <row r="2717" spans="1:25" x14ac:dyDescent="0.3">
      <c r="A2717">
        <v>135800</v>
      </c>
      <c r="B2717" t="s">
        <v>53104</v>
      </c>
      <c r="C2717" t="s">
        <v>53105</v>
      </c>
      <c r="D2717" t="s">
        <v>53106</v>
      </c>
      <c r="E2717" t="s">
        <v>53107</v>
      </c>
      <c r="F2717" t="s">
        <v>53108</v>
      </c>
      <c r="G2717" t="s">
        <v>53109</v>
      </c>
      <c r="H2717" t="s">
        <v>53110</v>
      </c>
      <c r="I2717" t="s">
        <v>53111</v>
      </c>
      <c r="J2717" t="s">
        <v>53112</v>
      </c>
      <c r="K2717" t="s">
        <v>53113</v>
      </c>
      <c r="L2717" t="s">
        <v>53114</v>
      </c>
      <c r="M2717" t="s">
        <v>53115</v>
      </c>
      <c r="N2717" t="s">
        <v>53116</v>
      </c>
      <c r="O2717">
        <f>-639.393148022974 -139.800689518348 -487.56951837577</f>
        <v>-1266.763355917092</v>
      </c>
      <c r="P2717">
        <f>-606.633727488303 -152.254692261452 -207.658285051374</f>
        <v>-966.54670480112895</v>
      </c>
      <c r="Q2717">
        <f>-426.997578757397 -37.059926398018 -299.361876588772</f>
        <v>-763.41938174418692</v>
      </c>
      <c r="R2717" t="s">
        <v>53117</v>
      </c>
      <c r="S2717" t="s">
        <v>53118</v>
      </c>
      <c r="T2717" t="s">
        <v>53119</v>
      </c>
      <c r="U2717" t="s">
        <v>53120</v>
      </c>
      <c r="V2717">
        <f>-562.905139998197 -33.0316697893263 -89.3477712743221</f>
        <v>-685.28458106184542</v>
      </c>
      <c r="W2717" t="s">
        <v>53121</v>
      </c>
      <c r="X2717" t="s">
        <v>53122</v>
      </c>
      <c r="Y2717" t="s">
        <v>53123</v>
      </c>
    </row>
    <row r="2718" spans="1:25" x14ac:dyDescent="0.3">
      <c r="A2718">
        <v>135850</v>
      </c>
      <c r="B2718" t="s">
        <v>53124</v>
      </c>
      <c r="C2718" t="s">
        <v>53125</v>
      </c>
      <c r="D2718" t="s">
        <v>53126</v>
      </c>
      <c r="E2718" t="s">
        <v>53127</v>
      </c>
      <c r="F2718" t="s">
        <v>53128</v>
      </c>
      <c r="G2718" t="s">
        <v>53129</v>
      </c>
      <c r="H2718" t="s">
        <v>53130</v>
      </c>
      <c r="I2718" t="s">
        <v>53131</v>
      </c>
      <c r="J2718" t="s">
        <v>53132</v>
      </c>
      <c r="K2718" t="s">
        <v>53133</v>
      </c>
      <c r="L2718" t="s">
        <v>53134</v>
      </c>
      <c r="M2718" t="s">
        <v>53135</v>
      </c>
      <c r="N2718" t="s">
        <v>53136</v>
      </c>
      <c r="O2718">
        <f>-639.229007005263 -139.989558353799 -487.587259802448</f>
        <v>-1266.80582516151</v>
      </c>
      <c r="P2718">
        <f>-606.581798939959 -152.696404088783 -207.674241360131</f>
        <v>-966.95244438887289</v>
      </c>
      <c r="Q2718">
        <f>-426.96375843126 -37.2594938127506 -299.10808164173</f>
        <v>-763.33133388574061</v>
      </c>
      <c r="R2718" t="s">
        <v>53137</v>
      </c>
      <c r="S2718" t="s">
        <v>53138</v>
      </c>
      <c r="T2718" t="s">
        <v>53139</v>
      </c>
      <c r="U2718" t="s">
        <v>53140</v>
      </c>
      <c r="V2718">
        <f>-562.915248438136 -33.3508357538594 -89.3432308595269</f>
        <v>-685.60931505152234</v>
      </c>
      <c r="W2718" t="s">
        <v>53141</v>
      </c>
      <c r="X2718" t="s">
        <v>53142</v>
      </c>
      <c r="Y2718" t="s">
        <v>53143</v>
      </c>
    </row>
    <row r="2719" spans="1:25" x14ac:dyDescent="0.3">
      <c r="A2719">
        <v>135900</v>
      </c>
      <c r="B2719" t="s">
        <v>53144</v>
      </c>
      <c r="C2719" t="s">
        <v>53145</v>
      </c>
      <c r="D2719" t="s">
        <v>53146</v>
      </c>
      <c r="E2719" t="s">
        <v>53147</v>
      </c>
      <c r="F2719" t="s">
        <v>53148</v>
      </c>
      <c r="G2719" t="s">
        <v>53149</v>
      </c>
      <c r="H2719" t="s">
        <v>53150</v>
      </c>
      <c r="I2719" t="s">
        <v>53151</v>
      </c>
      <c r="J2719" t="s">
        <v>53152</v>
      </c>
      <c r="K2719" t="s">
        <v>53153</v>
      </c>
      <c r="L2719" t="s">
        <v>53154</v>
      </c>
      <c r="M2719" t="s">
        <v>53155</v>
      </c>
      <c r="N2719" t="s">
        <v>53156</v>
      </c>
      <c r="O2719">
        <f>-638.743340532383 -140.135202414973 -487.713570090468</f>
        <v>-1266.592113037824</v>
      </c>
      <c r="P2719">
        <f>-606.745626994467 -153.611016104211 -207.761650300906</f>
        <v>-968.11829339958399</v>
      </c>
      <c r="Q2719">
        <f>-426.996981309378 -37.6036631203049 -298.21197233105</f>
        <v>-762.81261676073291</v>
      </c>
      <c r="R2719" t="s">
        <v>53157</v>
      </c>
      <c r="S2719" t="s">
        <v>53158</v>
      </c>
      <c r="T2719" t="s">
        <v>53159</v>
      </c>
      <c r="U2719" t="s">
        <v>53160</v>
      </c>
      <c r="V2719">
        <f>-562.769064557238 -33.5666340768444 -89.2879059803024</f>
        <v>-685.62360461438482</v>
      </c>
      <c r="W2719" t="s">
        <v>53161</v>
      </c>
      <c r="X2719" t="s">
        <v>53162</v>
      </c>
      <c r="Y2719" t="s">
        <v>53163</v>
      </c>
    </row>
    <row r="2720" spans="1:25" x14ac:dyDescent="0.3">
      <c r="A2720">
        <v>135950</v>
      </c>
      <c r="B2720" t="s">
        <v>53164</v>
      </c>
      <c r="C2720" t="s">
        <v>53165</v>
      </c>
      <c r="D2720" t="s">
        <v>53166</v>
      </c>
      <c r="E2720" t="s">
        <v>53167</v>
      </c>
      <c r="F2720" t="s">
        <v>53168</v>
      </c>
      <c r="G2720" t="s">
        <v>53169</v>
      </c>
      <c r="H2720" t="s">
        <v>53170</v>
      </c>
      <c r="I2720" t="s">
        <v>53171</v>
      </c>
      <c r="J2720" t="s">
        <v>53172</v>
      </c>
      <c r="K2720" t="s">
        <v>53173</v>
      </c>
      <c r="L2720" t="s">
        <v>53174</v>
      </c>
      <c r="M2720" t="s">
        <v>53175</v>
      </c>
      <c r="N2720" t="s">
        <v>53176</v>
      </c>
      <c r="O2720">
        <f>-638.426029228032 -140.098377121351 -487.818536582212</f>
        <v>-1266.3429429315952</v>
      </c>
      <c r="P2720">
        <f>-606.754833998291 -154.011888368212 -207.850753510432</f>
        <v>-968.61747587693503</v>
      </c>
      <c r="Q2720">
        <f>-426.974383161575 -37.6749323139011 -297.813322455814</f>
        <v>-762.46263793129015</v>
      </c>
      <c r="R2720" t="s">
        <v>53177</v>
      </c>
      <c r="S2720" t="s">
        <v>53178</v>
      </c>
      <c r="T2720" t="s">
        <v>53179</v>
      </c>
      <c r="U2720" t="s">
        <v>53180</v>
      </c>
      <c r="V2720">
        <f>-562.620949300271 -33.5578434773265 -89.2578024656125</f>
        <v>-685.43659524321004</v>
      </c>
      <c r="W2720" t="s">
        <v>53181</v>
      </c>
      <c r="X2720" t="s">
        <v>53182</v>
      </c>
      <c r="Y2720" t="s">
        <v>53183</v>
      </c>
    </row>
    <row r="2721" spans="1:25" x14ac:dyDescent="0.3">
      <c r="A2721">
        <v>136000</v>
      </c>
      <c r="B2721" t="s">
        <v>53184</v>
      </c>
      <c r="C2721" t="s">
        <v>53185</v>
      </c>
      <c r="D2721" t="s">
        <v>53186</v>
      </c>
      <c r="E2721" t="s">
        <v>53187</v>
      </c>
      <c r="F2721" t="s">
        <v>53188</v>
      </c>
      <c r="G2721" t="s">
        <v>53189</v>
      </c>
      <c r="H2721" t="s">
        <v>53190</v>
      </c>
      <c r="I2721" t="s">
        <v>53191</v>
      </c>
      <c r="J2721" t="s">
        <v>53192</v>
      </c>
      <c r="K2721" t="s">
        <v>53193</v>
      </c>
      <c r="L2721" t="s">
        <v>53194</v>
      </c>
      <c r="M2721" t="s">
        <v>53195</v>
      </c>
      <c r="N2721" t="s">
        <v>53196</v>
      </c>
      <c r="O2721">
        <f>-637.953758370338 -139.987270362765 -488.076248879349</f>
        <v>-1266.0172776124521</v>
      </c>
      <c r="P2721">
        <f>-606.579920581983 -154.618856067969 -208.111579635093</f>
        <v>-969.31035628504492</v>
      </c>
      <c r="Q2721">
        <f>-426.605918810831 -38.3804017673815 -297.813984875559</f>
        <v>-762.80030545377144</v>
      </c>
      <c r="R2721" t="s">
        <v>53197</v>
      </c>
      <c r="S2721" t="s">
        <v>53198</v>
      </c>
      <c r="T2721" t="s">
        <v>53199</v>
      </c>
      <c r="U2721" t="s">
        <v>53200</v>
      </c>
      <c r="V2721">
        <f>-562.459292390547 -33.5736713374481 -89.2311754831196</f>
        <v>-685.26413921111475</v>
      </c>
      <c r="W2721" t="s">
        <v>53201</v>
      </c>
      <c r="X2721" t="s">
        <v>53202</v>
      </c>
      <c r="Y2721" t="s">
        <v>53203</v>
      </c>
    </row>
    <row r="2722" spans="1:25" x14ac:dyDescent="0.3">
      <c r="A2722">
        <v>136050</v>
      </c>
      <c r="B2722" t="s">
        <v>53204</v>
      </c>
      <c r="C2722" t="s">
        <v>53205</v>
      </c>
      <c r="D2722" t="s">
        <v>53206</v>
      </c>
      <c r="E2722" t="s">
        <v>53207</v>
      </c>
      <c r="F2722" t="s">
        <v>53208</v>
      </c>
      <c r="G2722" t="s">
        <v>53209</v>
      </c>
      <c r="H2722" t="s">
        <v>53210</v>
      </c>
      <c r="I2722" t="s">
        <v>53211</v>
      </c>
      <c r="J2722" t="s">
        <v>53212</v>
      </c>
      <c r="K2722" t="s">
        <v>53213</v>
      </c>
      <c r="L2722" t="s">
        <v>53214</v>
      </c>
      <c r="M2722" t="s">
        <v>53215</v>
      </c>
      <c r="N2722" t="s">
        <v>53216</v>
      </c>
      <c r="O2722">
        <f>-637.827364290358 -139.8779548857 -488.166905946244</f>
        <v>-1265.8722251223021</v>
      </c>
      <c r="P2722">
        <f>-606.542566843395 -154.84392138087 -208.210022700151</f>
        <v>-969.59651092441595</v>
      </c>
      <c r="Q2722">
        <f>-426.175963835576 -38.9983271911317 -297.6315071751</f>
        <v>-762.80579820180765</v>
      </c>
      <c r="R2722" t="s">
        <v>53217</v>
      </c>
      <c r="S2722" t="s">
        <v>53218</v>
      </c>
      <c r="T2722" t="s">
        <v>53219</v>
      </c>
      <c r="U2722" t="s">
        <v>53220</v>
      </c>
      <c r="V2722">
        <f>-562.387216939347 -33.5864226426468 -89.2206758499549</f>
        <v>-685.19431543194867</v>
      </c>
      <c r="W2722" t="s">
        <v>53221</v>
      </c>
      <c r="X2722" t="s">
        <v>53222</v>
      </c>
      <c r="Y2722" t="s">
        <v>53223</v>
      </c>
    </row>
    <row r="2723" spans="1:25" x14ac:dyDescent="0.3">
      <c r="A2723">
        <v>136100</v>
      </c>
      <c r="B2723" t="s">
        <v>53224</v>
      </c>
      <c r="C2723" t="s">
        <v>53225</v>
      </c>
      <c r="D2723" t="s">
        <v>53226</v>
      </c>
      <c r="E2723" t="s">
        <v>53227</v>
      </c>
      <c r="F2723" t="s">
        <v>53228</v>
      </c>
      <c r="G2723" t="s">
        <v>53229</v>
      </c>
      <c r="H2723" t="s">
        <v>53230</v>
      </c>
      <c r="I2723" t="s">
        <v>53231</v>
      </c>
      <c r="J2723" t="s">
        <v>53232</v>
      </c>
      <c r="K2723" t="s">
        <v>53233</v>
      </c>
      <c r="L2723" t="s">
        <v>53234</v>
      </c>
      <c r="M2723" t="s">
        <v>53235</v>
      </c>
      <c r="N2723" t="s">
        <v>53236</v>
      </c>
      <c r="O2723">
        <f>-637.849788104817 -139.518022208309 -488.392391615918</f>
        <v>-1265.7602019290439</v>
      </c>
      <c r="P2723">
        <f>-606.563367590147 -155.166548106574 -208.47302855697</f>
        <v>-970.20294425369104</v>
      </c>
      <c r="Q2723">
        <f>-425.224235444286 -40.1261630425772 -296.962301240887</f>
        <v>-762.31269972775021</v>
      </c>
      <c r="R2723" t="s">
        <v>53237</v>
      </c>
      <c r="S2723" t="s">
        <v>53238</v>
      </c>
      <c r="T2723" t="s">
        <v>53239</v>
      </c>
      <c r="U2723" t="s">
        <v>53240</v>
      </c>
      <c r="V2723">
        <f>-562.245483524462 -33.570971066084 -89.2180027077894</f>
        <v>-685.03445729833538</v>
      </c>
      <c r="W2723" t="s">
        <v>53241</v>
      </c>
      <c r="X2723" t="s">
        <v>53242</v>
      </c>
      <c r="Y2723" t="s">
        <v>53243</v>
      </c>
    </row>
    <row r="2724" spans="1:25" x14ac:dyDescent="0.3">
      <c r="A2724">
        <v>136150</v>
      </c>
      <c r="B2724" t="s">
        <v>53244</v>
      </c>
      <c r="C2724" t="s">
        <v>53245</v>
      </c>
      <c r="D2724" t="s">
        <v>53246</v>
      </c>
      <c r="E2724" t="s">
        <v>53247</v>
      </c>
      <c r="F2724" t="s">
        <v>53248</v>
      </c>
      <c r="G2724" t="s">
        <v>53249</v>
      </c>
      <c r="H2724" t="s">
        <v>53250</v>
      </c>
      <c r="I2724" t="s">
        <v>53251</v>
      </c>
      <c r="J2724" t="s">
        <v>53252</v>
      </c>
      <c r="K2724" t="s">
        <v>53253</v>
      </c>
      <c r="L2724" t="s">
        <v>53254</v>
      </c>
      <c r="M2724" t="s">
        <v>53255</v>
      </c>
      <c r="N2724" t="s">
        <v>53256</v>
      </c>
      <c r="O2724">
        <f>-637.847986717268 -139.270272696524 -488.591548903917</f>
        <v>-1265.7098083177088</v>
      </c>
      <c r="P2724">
        <f>-606.484320408363 -155.519176830272 -208.714965606877</f>
        <v>-970.71846284551202</v>
      </c>
      <c r="Q2724">
        <f>-425.005697482312 -40.1120579871033 -296.437449800149</f>
        <v>-761.55520526956434</v>
      </c>
      <c r="R2724" t="s">
        <v>53257</v>
      </c>
      <c r="S2724" t="s">
        <v>53258</v>
      </c>
      <c r="T2724" t="s">
        <v>53259</v>
      </c>
      <c r="U2724" t="s">
        <v>53260</v>
      </c>
      <c r="V2724">
        <f>-562.166094633958 -33.5436492070878 -89.212524514552</f>
        <v>-684.92226835559779</v>
      </c>
      <c r="W2724" t="s">
        <v>53261</v>
      </c>
      <c r="X2724" t="s">
        <v>53262</v>
      </c>
      <c r="Y2724" t="s">
        <v>53263</v>
      </c>
    </row>
    <row r="2725" spans="1:25" x14ac:dyDescent="0.3">
      <c r="A2725">
        <v>136200</v>
      </c>
      <c r="B2725" t="s">
        <v>53264</v>
      </c>
      <c r="C2725" t="s">
        <v>53265</v>
      </c>
      <c r="D2725" t="s">
        <v>53266</v>
      </c>
      <c r="E2725" t="s">
        <v>53267</v>
      </c>
      <c r="F2725" t="s">
        <v>53268</v>
      </c>
      <c r="G2725" t="s">
        <v>53269</v>
      </c>
      <c r="H2725" t="s">
        <v>53270</v>
      </c>
      <c r="I2725" t="s">
        <v>53271</v>
      </c>
      <c r="J2725" t="s">
        <v>53272</v>
      </c>
      <c r="K2725" t="s">
        <v>53273</v>
      </c>
      <c r="L2725" t="s">
        <v>53274</v>
      </c>
      <c r="M2725" t="s">
        <v>53275</v>
      </c>
      <c r="N2725" t="s">
        <v>53276</v>
      </c>
      <c r="O2725">
        <f>-637.503847620167 -138.926144333273 -488.99232485664</f>
        <v>-1265.42231681008</v>
      </c>
      <c r="P2725">
        <f>-606.567033895745 -155.771608703398 -209.10349046515</f>
        <v>-971.44213306429299</v>
      </c>
      <c r="Q2725">
        <f>-425.055300593585 -39.8389669941635 -296.061178082053</f>
        <v>-760.95544566980152</v>
      </c>
      <c r="R2725" t="s">
        <v>53277</v>
      </c>
      <c r="S2725" t="s">
        <v>53278</v>
      </c>
      <c r="T2725" t="s">
        <v>53279</v>
      </c>
      <c r="U2725" t="s">
        <v>53280</v>
      </c>
      <c r="V2725">
        <f>-561.986714396443 -33.4467289144966 -89.2135833107221</f>
        <v>-684.64702662166167</v>
      </c>
      <c r="W2725" t="s">
        <v>53281</v>
      </c>
      <c r="X2725" t="s">
        <v>53282</v>
      </c>
      <c r="Y2725" t="s">
        <v>53283</v>
      </c>
    </row>
    <row r="2726" spans="1:25" x14ac:dyDescent="0.3">
      <c r="A2726">
        <v>136250</v>
      </c>
      <c r="B2726" t="s">
        <v>53284</v>
      </c>
      <c r="C2726" t="s">
        <v>53285</v>
      </c>
      <c r="D2726" t="s">
        <v>53286</v>
      </c>
      <c r="E2726" t="s">
        <v>53287</v>
      </c>
      <c r="F2726" t="s">
        <v>53288</v>
      </c>
      <c r="G2726" t="s">
        <v>53289</v>
      </c>
      <c r="H2726" t="s">
        <v>53290</v>
      </c>
      <c r="I2726" t="s">
        <v>53291</v>
      </c>
      <c r="J2726" t="s">
        <v>53292</v>
      </c>
      <c r="K2726" t="s">
        <v>53293</v>
      </c>
      <c r="L2726" t="s">
        <v>53294</v>
      </c>
      <c r="M2726" t="s">
        <v>53295</v>
      </c>
      <c r="N2726" t="s">
        <v>53296</v>
      </c>
      <c r="O2726">
        <f>-637.486470429949 -138.692343012608 -489.053743367236</f>
        <v>-1265.2325568097931</v>
      </c>
      <c r="P2726">
        <f>-606.485071099419 -155.897623404784 -209.193936571499</f>
        <v>-971.57663107570193</v>
      </c>
      <c r="Q2726">
        <f>-425.357808690824 -39.2922892761942 -296.053690090945</f>
        <v>-760.70378805796327</v>
      </c>
      <c r="R2726" t="s">
        <v>53297</v>
      </c>
      <c r="S2726" t="s">
        <v>53298</v>
      </c>
      <c r="T2726" t="s">
        <v>53299</v>
      </c>
      <c r="U2726" t="s">
        <v>53300</v>
      </c>
      <c r="V2726">
        <f>-561.859563154587 -33.3246761821467 -89.2133695440767</f>
        <v>-684.39760888081048</v>
      </c>
      <c r="W2726" t="s">
        <v>53301</v>
      </c>
      <c r="X2726" t="s">
        <v>53302</v>
      </c>
      <c r="Y2726" t="s">
        <v>53303</v>
      </c>
    </row>
    <row r="2727" spans="1:25" x14ac:dyDescent="0.3">
      <c r="A2727">
        <v>136300</v>
      </c>
      <c r="B2727" t="s">
        <v>53304</v>
      </c>
      <c r="C2727" t="s">
        <v>53305</v>
      </c>
      <c r="D2727" t="s">
        <v>53306</v>
      </c>
      <c r="E2727" t="s">
        <v>53307</v>
      </c>
      <c r="F2727" t="s">
        <v>53308</v>
      </c>
      <c r="G2727" t="s">
        <v>53309</v>
      </c>
      <c r="H2727" t="s">
        <v>53310</v>
      </c>
      <c r="I2727" t="s">
        <v>53311</v>
      </c>
      <c r="J2727" t="s">
        <v>53312</v>
      </c>
      <c r="K2727" t="s">
        <v>53313</v>
      </c>
      <c r="L2727" t="s">
        <v>53314</v>
      </c>
      <c r="M2727" t="s">
        <v>53315</v>
      </c>
      <c r="N2727" t="s">
        <v>53316</v>
      </c>
      <c r="O2727">
        <f>-637.468984185663 -138.357049503504 -489.066571612157</f>
        <v>-1264.892605301324</v>
      </c>
      <c r="P2727">
        <f>-606.208401640576 -155.830764703183 -209.252398183585</f>
        <v>-971.29156452734401</v>
      </c>
      <c r="Q2727">
        <f>-425.6686177895 -38.8479980228881 -296.824638893101</f>
        <v>-761.34125470548906</v>
      </c>
      <c r="R2727" t="s">
        <v>53317</v>
      </c>
      <c r="S2727" t="s">
        <v>53318</v>
      </c>
      <c r="T2727" t="s">
        <v>53319</v>
      </c>
      <c r="U2727" t="s">
        <v>53320</v>
      </c>
      <c r="V2727">
        <f>-561.549824276795 -33.1051682197826 -89.2118960838727</f>
        <v>-683.86688858045034</v>
      </c>
      <c r="W2727" t="s">
        <v>53321</v>
      </c>
      <c r="X2727" t="s">
        <v>53322</v>
      </c>
      <c r="Y2727" t="s">
        <v>53323</v>
      </c>
    </row>
    <row r="2728" spans="1:25" x14ac:dyDescent="0.3">
      <c r="A2728">
        <v>136350</v>
      </c>
      <c r="B2728" t="s">
        <v>53324</v>
      </c>
      <c r="C2728" t="s">
        <v>53325</v>
      </c>
      <c r="D2728" t="s">
        <v>53326</v>
      </c>
      <c r="E2728" t="s">
        <v>53327</v>
      </c>
      <c r="F2728" t="s">
        <v>53328</v>
      </c>
      <c r="G2728" t="s">
        <v>53329</v>
      </c>
      <c r="H2728" t="s">
        <v>53330</v>
      </c>
      <c r="I2728" t="s">
        <v>53331</v>
      </c>
      <c r="J2728" t="s">
        <v>53332</v>
      </c>
      <c r="K2728" t="s">
        <v>53333</v>
      </c>
      <c r="L2728" t="s">
        <v>53334</v>
      </c>
      <c r="M2728" t="s">
        <v>53335</v>
      </c>
      <c r="N2728" t="s">
        <v>53336</v>
      </c>
      <c r="O2728">
        <f>-637.470445106764 -138.142912578519 -489.054887118594</f>
        <v>-1264.6682448038771</v>
      </c>
      <c r="P2728">
        <f>-606.05873487498 -155.802284708894 -209.269197293813</f>
        <v>-971.13021687768708</v>
      </c>
      <c r="Q2728">
        <f>-425.669369628066 -38.5877015782423 -296.841841155386</f>
        <v>-761.09891236169437</v>
      </c>
      <c r="R2728" t="s">
        <v>53337</v>
      </c>
      <c r="S2728" t="s">
        <v>53338</v>
      </c>
      <c r="T2728" t="s">
        <v>53339</v>
      </c>
      <c r="U2728" t="s">
        <v>53340</v>
      </c>
      <c r="V2728">
        <f>-561.374414400559 -32.9610113405336 -89.2102427696856</f>
        <v>-683.54566851077811</v>
      </c>
      <c r="W2728" t="s">
        <v>53341</v>
      </c>
      <c r="X2728" t="s">
        <v>53342</v>
      </c>
      <c r="Y2728" t="s">
        <v>53343</v>
      </c>
    </row>
    <row r="2729" spans="1:25" x14ac:dyDescent="0.3">
      <c r="A2729">
        <v>136400</v>
      </c>
      <c r="B2729" t="s">
        <v>53344</v>
      </c>
      <c r="C2729" t="s">
        <v>53345</v>
      </c>
      <c r="D2729" t="s">
        <v>53346</v>
      </c>
      <c r="E2729" t="s">
        <v>53347</v>
      </c>
      <c r="F2729" t="s">
        <v>53348</v>
      </c>
      <c r="G2729" t="s">
        <v>53349</v>
      </c>
      <c r="H2729" t="s">
        <v>53350</v>
      </c>
      <c r="I2729" t="s">
        <v>53351</v>
      </c>
      <c r="J2729" t="s">
        <v>53352</v>
      </c>
      <c r="K2729" t="s">
        <v>53353</v>
      </c>
      <c r="L2729" t="s">
        <v>53354</v>
      </c>
      <c r="M2729" t="s">
        <v>53355</v>
      </c>
      <c r="N2729" t="s">
        <v>53356</v>
      </c>
      <c r="O2729">
        <f>-637.442498338264 -137.748827887496 -489.082711667715</f>
        <v>-1264.274037893475</v>
      </c>
      <c r="P2729">
        <f>-606.185277539502 -155.242719933615 -209.269394383987</f>
        <v>-970.69739185710398</v>
      </c>
      <c r="Q2729">
        <f>-426.153360647975 -37.4513068087292 -296.803432205327</f>
        <v>-760.40809966203119</v>
      </c>
      <c r="R2729" t="s">
        <v>53357</v>
      </c>
      <c r="S2729" t="s">
        <v>53358</v>
      </c>
      <c r="T2729" t="s">
        <v>53359</v>
      </c>
      <c r="U2729" t="s">
        <v>53360</v>
      </c>
      <c r="V2729">
        <f>-560.94256537722 -32.5991089912507 -89.1826681204971</f>
        <v>-682.72434248896775</v>
      </c>
      <c r="W2729" t="s">
        <v>53361</v>
      </c>
      <c r="X2729" t="s">
        <v>53362</v>
      </c>
      <c r="Y2729" t="s">
        <v>53363</v>
      </c>
    </row>
    <row r="2730" spans="1:25" x14ac:dyDescent="0.3">
      <c r="A2730">
        <v>136450</v>
      </c>
      <c r="B2730" t="s">
        <v>53364</v>
      </c>
      <c r="C2730" t="s">
        <v>53365</v>
      </c>
      <c r="D2730" t="s">
        <v>53366</v>
      </c>
      <c r="E2730" t="s">
        <v>53367</v>
      </c>
      <c r="F2730" t="s">
        <v>53368</v>
      </c>
      <c r="G2730" t="s">
        <v>53369</v>
      </c>
      <c r="H2730" t="s">
        <v>53370</v>
      </c>
      <c r="I2730" t="s">
        <v>53371</v>
      </c>
      <c r="J2730" t="s">
        <v>53372</v>
      </c>
      <c r="K2730" t="s">
        <v>53373</v>
      </c>
      <c r="L2730" t="s">
        <v>53374</v>
      </c>
      <c r="M2730" t="s">
        <v>53375</v>
      </c>
      <c r="N2730" t="s">
        <v>53376</v>
      </c>
      <c r="O2730">
        <f>-637.319284106705 -137.609944367965 -489.111667052895</f>
        <v>-1264.040895527565</v>
      </c>
      <c r="P2730">
        <f>-606.108928039511 -154.947244120373 -209.283307419141</f>
        <v>-970.33947957902501</v>
      </c>
      <c r="Q2730">
        <f>-426.087349204974 -36.98280958081 -296.605558091934</f>
        <v>-759.67571687771795</v>
      </c>
      <c r="R2730" t="s">
        <v>53377</v>
      </c>
      <c r="S2730" t="s">
        <v>53378</v>
      </c>
      <c r="T2730" t="s">
        <v>53379</v>
      </c>
      <c r="U2730" t="s">
        <v>53380</v>
      </c>
      <c r="V2730">
        <f>-560.694861665965 -32.4982810603299 -89.1801006442455</f>
        <v>-682.37324337054042</v>
      </c>
      <c r="W2730" t="s">
        <v>53381</v>
      </c>
      <c r="X2730" t="s">
        <v>53382</v>
      </c>
      <c r="Y2730" t="s">
        <v>53383</v>
      </c>
    </row>
    <row r="2731" spans="1:25" x14ac:dyDescent="0.3">
      <c r="A2731">
        <v>136500</v>
      </c>
      <c r="B2731" t="s">
        <v>53384</v>
      </c>
      <c r="C2731" t="s">
        <v>53385</v>
      </c>
      <c r="D2731" t="s">
        <v>53386</v>
      </c>
      <c r="E2731" t="s">
        <v>53387</v>
      </c>
      <c r="F2731" t="s">
        <v>53388</v>
      </c>
      <c r="G2731" t="s">
        <v>53389</v>
      </c>
      <c r="H2731" t="s">
        <v>53390</v>
      </c>
      <c r="I2731" t="s">
        <v>53391</v>
      </c>
      <c r="J2731" t="s">
        <v>53392</v>
      </c>
      <c r="K2731" t="s">
        <v>53393</v>
      </c>
      <c r="L2731" t="s">
        <v>53394</v>
      </c>
      <c r="M2731" t="s">
        <v>53395</v>
      </c>
      <c r="N2731" t="s">
        <v>53396</v>
      </c>
      <c r="O2731">
        <f>-636.568017991017 -137.537711078981 -489.093741410491</f>
        <v>-1263.199470480489</v>
      </c>
      <c r="P2731">
        <f>-605.562231606873 -154.768430861989 -209.236154863142</f>
        <v>-969.56681733200401</v>
      </c>
      <c r="Q2731">
        <f>-425.570976517199 -36.5008967151171 -296.21029773693</f>
        <v>-758.28217096924618</v>
      </c>
      <c r="R2731" t="s">
        <v>53397</v>
      </c>
      <c r="S2731" t="s">
        <v>53398</v>
      </c>
      <c r="T2731" t="s">
        <v>53399</v>
      </c>
      <c r="U2731" t="s">
        <v>53400</v>
      </c>
      <c r="V2731">
        <f>-560.260578292202 -32.4501447043785 -89.1792842431112</f>
        <v>-681.89000723969173</v>
      </c>
      <c r="W2731" t="s">
        <v>53401</v>
      </c>
      <c r="X2731" t="s">
        <v>53402</v>
      </c>
      <c r="Y2731" t="s">
        <v>53403</v>
      </c>
    </row>
    <row r="2732" spans="1:25" x14ac:dyDescent="0.3">
      <c r="A2732">
        <v>136550</v>
      </c>
      <c r="B2732" t="s">
        <v>53404</v>
      </c>
      <c r="C2732" t="s">
        <v>53405</v>
      </c>
      <c r="D2732" t="s">
        <v>53406</v>
      </c>
      <c r="E2732" t="s">
        <v>53407</v>
      </c>
      <c r="F2732" t="s">
        <v>53408</v>
      </c>
      <c r="G2732" t="s">
        <v>53409</v>
      </c>
      <c r="H2732" t="s">
        <v>53410</v>
      </c>
      <c r="I2732" t="s">
        <v>53411</v>
      </c>
      <c r="J2732" t="s">
        <v>53412</v>
      </c>
      <c r="K2732" t="s">
        <v>53413</v>
      </c>
      <c r="L2732" t="s">
        <v>53414</v>
      </c>
      <c r="M2732" t="s">
        <v>53415</v>
      </c>
      <c r="N2732" t="s">
        <v>53416</v>
      </c>
      <c r="O2732">
        <f>-636.069457649307 -137.439064391555 -489.13483004894</f>
        <v>-1262.643352089802</v>
      </c>
      <c r="P2732">
        <f>-605.164602561267 -154.575615474062 -209.260254208176</f>
        <v>-969.00047224350499</v>
      </c>
      <c r="Q2732">
        <f>-425.16566623886 -36.2336768072005 -296.116744325929</f>
        <v>-757.51608737198944</v>
      </c>
      <c r="R2732" t="s">
        <v>53417</v>
      </c>
      <c r="S2732" t="s">
        <v>53418</v>
      </c>
      <c r="T2732" t="s">
        <v>53419</v>
      </c>
      <c r="U2732" t="s">
        <v>53420</v>
      </c>
      <c r="V2732">
        <f>-560.18647260118 -32.4308819393705 -89.1867424478606</f>
        <v>-681.80409698841106</v>
      </c>
      <c r="W2732" t="s">
        <v>53421</v>
      </c>
      <c r="X2732" t="s">
        <v>53422</v>
      </c>
      <c r="Y2732" t="s">
        <v>53423</v>
      </c>
    </row>
    <row r="2733" spans="1:25" x14ac:dyDescent="0.3">
      <c r="A2733">
        <v>136600</v>
      </c>
      <c r="B2733" t="s">
        <v>53424</v>
      </c>
      <c r="C2733" t="s">
        <v>53425</v>
      </c>
      <c r="D2733" t="s">
        <v>53426</v>
      </c>
      <c r="E2733" t="s">
        <v>53427</v>
      </c>
      <c r="F2733" t="s">
        <v>53428</v>
      </c>
      <c r="G2733" t="s">
        <v>53429</v>
      </c>
      <c r="H2733" t="s">
        <v>53430</v>
      </c>
      <c r="I2733" t="s">
        <v>53431</v>
      </c>
      <c r="J2733" t="s">
        <v>53432</v>
      </c>
      <c r="K2733" t="s">
        <v>53433</v>
      </c>
      <c r="L2733" t="s">
        <v>53434</v>
      </c>
      <c r="M2733" t="s">
        <v>53435</v>
      </c>
      <c r="N2733" t="s">
        <v>53436</v>
      </c>
      <c r="O2733">
        <f>-635.362930195198 -137.221722889159 -489.238498892942</f>
        <v>-1261.8231519772989</v>
      </c>
      <c r="P2733">
        <f>-604.440581611279 -154.275078810612 -209.360822781148</f>
        <v>-968.07648320303906</v>
      </c>
      <c r="Q2733">
        <f>-424.507651339712 -35.5499107659025 -295.830449901789</f>
        <v>-755.88801200740352</v>
      </c>
      <c r="R2733" t="s">
        <v>53437</v>
      </c>
      <c r="S2733" t="s">
        <v>53438</v>
      </c>
      <c r="T2733" t="s">
        <v>53439</v>
      </c>
      <c r="U2733" t="s">
        <v>53440</v>
      </c>
      <c r="V2733">
        <f>-560.02424308088 -32.4544486947982 -89.2167607892029</f>
        <v>-681.69545256488107</v>
      </c>
      <c r="W2733" t="s">
        <v>53441</v>
      </c>
      <c r="X2733" t="s">
        <v>53442</v>
      </c>
      <c r="Y2733" t="s">
        <v>53443</v>
      </c>
    </row>
    <row r="2734" spans="1:25" x14ac:dyDescent="0.3">
      <c r="A2734">
        <v>136650</v>
      </c>
      <c r="B2734" t="s">
        <v>53444</v>
      </c>
      <c r="C2734" t="s">
        <v>53445</v>
      </c>
      <c r="D2734" t="s">
        <v>53446</v>
      </c>
      <c r="E2734" t="s">
        <v>53447</v>
      </c>
      <c r="F2734" t="s">
        <v>53448</v>
      </c>
      <c r="G2734" t="s">
        <v>53449</v>
      </c>
      <c r="H2734" t="s">
        <v>53450</v>
      </c>
      <c r="I2734" t="s">
        <v>53451</v>
      </c>
      <c r="J2734" t="s">
        <v>53452</v>
      </c>
      <c r="K2734" t="s">
        <v>53453</v>
      </c>
      <c r="L2734" t="s">
        <v>53454</v>
      </c>
      <c r="M2734" t="s">
        <v>53455</v>
      </c>
      <c r="N2734" t="s">
        <v>53456</v>
      </c>
      <c r="O2734">
        <f>-634.971522038822 -137.114246373484 -489.334339336937</f>
        <v>-1261.420107749243</v>
      </c>
      <c r="P2734">
        <f>-604.136848520355 -154.251084683857 -209.451928195387</f>
        <v>-967.83986139959904</v>
      </c>
      <c r="Q2734">
        <f>-424.279471392939 -35.2431860731726 -295.689885560694</f>
        <v>-755.21254302680563</v>
      </c>
      <c r="R2734" t="s">
        <v>53457</v>
      </c>
      <c r="S2734" t="s">
        <v>53458</v>
      </c>
      <c r="T2734" t="s">
        <v>53459</v>
      </c>
      <c r="U2734" t="s">
        <v>53460</v>
      </c>
      <c r="V2734">
        <f>-559.911692981909 -32.4649239623598 -89.2222094709459</f>
        <v>-681.59882641521472</v>
      </c>
      <c r="W2734" t="s">
        <v>53461</v>
      </c>
      <c r="X2734" t="s">
        <v>53462</v>
      </c>
      <c r="Y2734" t="s">
        <v>53463</v>
      </c>
    </row>
    <row r="2735" spans="1:25" x14ac:dyDescent="0.3">
      <c r="A2735">
        <v>136700</v>
      </c>
      <c r="B2735" t="s">
        <v>53464</v>
      </c>
      <c r="C2735" t="s">
        <v>53465</v>
      </c>
      <c r="D2735" t="s">
        <v>53466</v>
      </c>
      <c r="E2735" t="s">
        <v>53467</v>
      </c>
      <c r="F2735" t="s">
        <v>53468</v>
      </c>
      <c r="G2735" t="s">
        <v>53469</v>
      </c>
      <c r="H2735" t="s">
        <v>53470</v>
      </c>
      <c r="I2735" t="s">
        <v>53471</v>
      </c>
      <c r="J2735" t="s">
        <v>53472</v>
      </c>
      <c r="K2735" t="s">
        <v>53473</v>
      </c>
      <c r="L2735" t="s">
        <v>53474</v>
      </c>
      <c r="M2735" t="s">
        <v>53475</v>
      </c>
      <c r="N2735" t="s">
        <v>53476</v>
      </c>
      <c r="O2735">
        <f>-634.230345079353 -136.930345559896 -489.567548044539</f>
        <v>-1260.728238683788</v>
      </c>
      <c r="P2735">
        <f>-603.601310922959 -154.445108965783 -209.685952912565</f>
        <v>-967.73237280130695</v>
      </c>
      <c r="Q2735">
        <f>-424.03116010881 -34.6606977574681 -295.446060526586</f>
        <v>-754.13791839286409</v>
      </c>
      <c r="R2735" t="s">
        <v>53477</v>
      </c>
      <c r="S2735" t="s">
        <v>53478</v>
      </c>
      <c r="T2735" t="s">
        <v>53479</v>
      </c>
      <c r="U2735" t="s">
        <v>53480</v>
      </c>
      <c r="V2735">
        <f>-559.796189428416 -32.507855309145 -89.2350940763077</f>
        <v>-681.53913881386882</v>
      </c>
      <c r="W2735" t="s">
        <v>53481</v>
      </c>
      <c r="X2735" t="s">
        <v>53482</v>
      </c>
      <c r="Y2735" t="s">
        <v>53483</v>
      </c>
    </row>
    <row r="2736" spans="1:25" x14ac:dyDescent="0.3">
      <c r="A2736">
        <v>136750</v>
      </c>
      <c r="B2736" t="s">
        <v>53484</v>
      </c>
      <c r="C2736" t="s">
        <v>53485</v>
      </c>
      <c r="D2736" t="s">
        <v>53486</v>
      </c>
      <c r="E2736" t="s">
        <v>53487</v>
      </c>
      <c r="F2736" t="s">
        <v>53488</v>
      </c>
      <c r="G2736" t="s">
        <v>53489</v>
      </c>
      <c r="H2736" t="s">
        <v>53490</v>
      </c>
      <c r="I2736" t="s">
        <v>53491</v>
      </c>
      <c r="J2736" t="s">
        <v>53492</v>
      </c>
      <c r="K2736" t="s">
        <v>53493</v>
      </c>
      <c r="L2736" t="s">
        <v>53494</v>
      </c>
      <c r="M2736" t="s">
        <v>53495</v>
      </c>
      <c r="N2736" t="s">
        <v>53496</v>
      </c>
      <c r="O2736">
        <f>-633.96788074788 -136.842473366265 -489.665979518931</f>
        <v>-1260.4763336330761</v>
      </c>
      <c r="P2736">
        <f>-603.358455930811 -154.428829451405 -209.78671651807</f>
        <v>-967.57400190028602</v>
      </c>
      <c r="Q2736">
        <f>-423.89846193056 -34.2907326738803 -295.282077588199</f>
        <v>-753.47127219263939</v>
      </c>
      <c r="R2736" t="s">
        <v>53497</v>
      </c>
      <c r="S2736" t="s">
        <v>53498</v>
      </c>
      <c r="T2736" t="s">
        <v>53499</v>
      </c>
      <c r="U2736" t="s">
        <v>53500</v>
      </c>
      <c r="V2736">
        <f>-559.740564239267 -32.4823268139855 -89.2448085628998</f>
        <v>-681.46769961615234</v>
      </c>
      <c r="W2736" t="s">
        <v>53501</v>
      </c>
      <c r="X2736" t="s">
        <v>53502</v>
      </c>
      <c r="Y2736" t="s">
        <v>53503</v>
      </c>
    </row>
    <row r="2737" spans="1:25" x14ac:dyDescent="0.3">
      <c r="A2737">
        <v>136800</v>
      </c>
      <c r="B2737" t="s">
        <v>53504</v>
      </c>
      <c r="C2737" t="s">
        <v>53505</v>
      </c>
      <c r="D2737" t="s">
        <v>53506</v>
      </c>
      <c r="E2737" t="s">
        <v>53507</v>
      </c>
      <c r="F2737" t="s">
        <v>53508</v>
      </c>
      <c r="G2737" t="s">
        <v>53509</v>
      </c>
      <c r="H2737" t="s">
        <v>53510</v>
      </c>
      <c r="I2737" t="s">
        <v>53511</v>
      </c>
      <c r="J2737" t="s">
        <v>53512</v>
      </c>
      <c r="K2737" t="s">
        <v>53513</v>
      </c>
      <c r="L2737" t="s">
        <v>53514</v>
      </c>
      <c r="M2737" t="s">
        <v>53515</v>
      </c>
      <c r="N2737" t="s">
        <v>53516</v>
      </c>
      <c r="O2737">
        <f>-633.469602780895 -136.852703626731 -489.69108261778</f>
        <v>-1260.013389025406</v>
      </c>
      <c r="P2737">
        <f>-602.968733540475 -154.369154226999 -209.795559948717</f>
        <v>-967.13344771619109</v>
      </c>
      <c r="Q2737">
        <f>-423.562642984071 -33.8667215317312 -294.890579758299</f>
        <v>-752.31994427410109</v>
      </c>
      <c r="R2737" t="s">
        <v>53517</v>
      </c>
      <c r="S2737" t="s">
        <v>53518</v>
      </c>
      <c r="T2737" t="s">
        <v>53519</v>
      </c>
      <c r="U2737" t="s">
        <v>53520</v>
      </c>
      <c r="V2737">
        <f>-559.649770953107 -32.5196123736439 -89.2647260600037</f>
        <v>-681.43410938675459</v>
      </c>
      <c r="W2737" t="s">
        <v>53521</v>
      </c>
      <c r="X2737" t="s">
        <v>53522</v>
      </c>
      <c r="Y2737" t="s">
        <v>53523</v>
      </c>
    </row>
    <row r="2738" spans="1:25" x14ac:dyDescent="0.3">
      <c r="A2738">
        <v>136850</v>
      </c>
      <c r="B2738" t="s">
        <v>53524</v>
      </c>
      <c r="C2738" t="s">
        <v>53525</v>
      </c>
      <c r="D2738" t="s">
        <v>53526</v>
      </c>
      <c r="E2738" t="s">
        <v>53527</v>
      </c>
      <c r="F2738" t="s">
        <v>53528</v>
      </c>
      <c r="G2738" t="s">
        <v>53529</v>
      </c>
      <c r="H2738" t="s">
        <v>53530</v>
      </c>
      <c r="I2738" t="s">
        <v>53531</v>
      </c>
      <c r="J2738" t="s">
        <v>53532</v>
      </c>
      <c r="K2738" t="s">
        <v>53533</v>
      </c>
      <c r="L2738" t="s">
        <v>53534</v>
      </c>
      <c r="M2738" t="s">
        <v>53535</v>
      </c>
      <c r="N2738" t="s">
        <v>53536</v>
      </c>
      <c r="O2738">
        <f>-633.083459147525 -136.861325924165 -489.658180465697</f>
        <v>-1259.6029655373868</v>
      </c>
      <c r="P2738">
        <f>-602.807648447422 -154.117805857602 -209.722164361202</f>
        <v>-966.64761866622598</v>
      </c>
      <c r="Q2738">
        <f>-423.256441238141 -33.7038621983272 -294.63621204948</f>
        <v>-751.5965154859482</v>
      </c>
      <c r="R2738" t="s">
        <v>53537</v>
      </c>
      <c r="S2738" t="s">
        <v>53538</v>
      </c>
      <c r="T2738" t="s">
        <v>53539</v>
      </c>
      <c r="U2738" t="s">
        <v>53540</v>
      </c>
      <c r="V2738">
        <f>-559.580961589146 -32.567861600194 -89.3030956319598</f>
        <v>-681.45191882129973</v>
      </c>
      <c r="W2738" t="s">
        <v>53541</v>
      </c>
      <c r="X2738" t="s">
        <v>53542</v>
      </c>
      <c r="Y2738" t="s">
        <v>53543</v>
      </c>
    </row>
    <row r="2739" spans="1:25" x14ac:dyDescent="0.3">
      <c r="A2739">
        <v>136900</v>
      </c>
      <c r="B2739" t="s">
        <v>53544</v>
      </c>
      <c r="C2739" t="s">
        <v>53545</v>
      </c>
      <c r="D2739" t="s">
        <v>53546</v>
      </c>
      <c r="E2739" t="s">
        <v>53547</v>
      </c>
      <c r="F2739" t="s">
        <v>53548</v>
      </c>
      <c r="G2739" t="s">
        <v>53549</v>
      </c>
      <c r="H2739" t="s">
        <v>53550</v>
      </c>
      <c r="I2739" t="s">
        <v>53551</v>
      </c>
      <c r="J2739" t="s">
        <v>53552</v>
      </c>
      <c r="K2739" t="s">
        <v>53553</v>
      </c>
      <c r="L2739" t="s">
        <v>53554</v>
      </c>
      <c r="M2739" t="s">
        <v>53555</v>
      </c>
      <c r="N2739" t="s">
        <v>53556</v>
      </c>
      <c r="O2739">
        <f>-632.891857103713 -136.806146819934 -489.690292247765</f>
        <v>-1259.3882961714121</v>
      </c>
      <c r="P2739">
        <f>-602.673358032279 -153.959324276182 -209.741721990238</f>
        <v>-966.37440429869901</v>
      </c>
      <c r="Q2739">
        <f>-422.964056605378 -33.6657917139021 -294.491699280984</f>
        <v>-751.12154760026408</v>
      </c>
      <c r="R2739" t="s">
        <v>53557</v>
      </c>
      <c r="S2739" t="s">
        <v>53558</v>
      </c>
      <c r="T2739" t="s">
        <v>53559</v>
      </c>
      <c r="U2739" t="s">
        <v>53560</v>
      </c>
      <c r="V2739">
        <f>-559.558939207478 -32.5695327548281 -89.3071232432608</f>
        <v>-681.43559520556687</v>
      </c>
      <c r="W2739" t="s">
        <v>53561</v>
      </c>
      <c r="X2739" t="s">
        <v>53562</v>
      </c>
      <c r="Y2739" t="s">
        <v>53563</v>
      </c>
    </row>
    <row r="2740" spans="1:25" x14ac:dyDescent="0.3">
      <c r="A2740">
        <v>136950</v>
      </c>
      <c r="B2740" t="s">
        <v>53564</v>
      </c>
      <c r="C2740" t="s">
        <v>53565</v>
      </c>
      <c r="D2740" t="s">
        <v>53566</v>
      </c>
      <c r="E2740" t="s">
        <v>53567</v>
      </c>
      <c r="F2740" t="s">
        <v>53568</v>
      </c>
      <c r="G2740" t="s">
        <v>53569</v>
      </c>
      <c r="H2740" t="s">
        <v>53570</v>
      </c>
      <c r="I2740" t="s">
        <v>53571</v>
      </c>
      <c r="J2740" t="s">
        <v>53572</v>
      </c>
      <c r="K2740" t="s">
        <v>53573</v>
      </c>
      <c r="L2740" t="s">
        <v>53574</v>
      </c>
      <c r="M2740" t="s">
        <v>53575</v>
      </c>
      <c r="N2740" t="s">
        <v>53576</v>
      </c>
      <c r="O2740">
        <f>-632.600162051453 -136.795742239637 -489.69927262046</f>
        <v>-1259.09517691155</v>
      </c>
      <c r="P2740">
        <f>-602.396867480616 -153.833851513906 -209.741983843787</f>
        <v>-965.97270283830903</v>
      </c>
      <c r="Q2740">
        <f>-422.545010094327 -33.6333724732037 -294.321173505606</f>
        <v>-750.49955607313666</v>
      </c>
      <c r="R2740" t="s">
        <v>53577</v>
      </c>
      <c r="S2740" t="s">
        <v>53578</v>
      </c>
      <c r="T2740" t="s">
        <v>53579</v>
      </c>
      <c r="U2740" t="s">
        <v>53580</v>
      </c>
      <c r="V2740">
        <f>-559.520175780067 -32.6606057823442 -89.3047882661067</f>
        <v>-681.4855698285179</v>
      </c>
      <c r="W2740" t="s">
        <v>53581</v>
      </c>
      <c r="X2740" t="s">
        <v>53582</v>
      </c>
      <c r="Y2740" t="s">
        <v>53583</v>
      </c>
    </row>
    <row r="2741" spans="1:25" x14ac:dyDescent="0.3">
      <c r="A2741">
        <v>137000</v>
      </c>
      <c r="B2741" t="s">
        <v>53584</v>
      </c>
      <c r="C2741" t="s">
        <v>53585</v>
      </c>
      <c r="D2741" t="s">
        <v>53586</v>
      </c>
      <c r="E2741" t="s">
        <v>53587</v>
      </c>
      <c r="F2741" t="s">
        <v>53588</v>
      </c>
      <c r="G2741" t="s">
        <v>53589</v>
      </c>
      <c r="H2741" t="s">
        <v>53590</v>
      </c>
      <c r="I2741" t="s">
        <v>53591</v>
      </c>
      <c r="J2741" t="s">
        <v>53592</v>
      </c>
      <c r="K2741" t="s">
        <v>53593</v>
      </c>
      <c r="L2741" t="s">
        <v>53594</v>
      </c>
      <c r="M2741" t="s">
        <v>53595</v>
      </c>
      <c r="N2741" t="s">
        <v>53596</v>
      </c>
      <c r="O2741">
        <f>-632.063020727848 -136.945838732574 -489.582421831123</f>
        <v>-1258.5912812915449</v>
      </c>
      <c r="P2741">
        <f>-601.844414894528 -153.806559231919 -209.616069866968</f>
        <v>-965.26704399341497</v>
      </c>
      <c r="Q2741">
        <f>-421.814738752032 -33.6862939430343 -293.930838393637</f>
        <v>-749.43187108870325</v>
      </c>
      <c r="R2741" t="s">
        <v>53597</v>
      </c>
      <c r="S2741" t="s">
        <v>53598</v>
      </c>
      <c r="T2741" t="s">
        <v>53599</v>
      </c>
      <c r="U2741" t="s">
        <v>53600</v>
      </c>
      <c r="V2741">
        <f>-559.19020061984 -32.6698188091063 -89.2600734441052</f>
        <v>-681.12009287305148</v>
      </c>
      <c r="W2741" t="s">
        <v>53601</v>
      </c>
      <c r="X2741" t="s">
        <v>53602</v>
      </c>
      <c r="Y2741" t="s">
        <v>53603</v>
      </c>
    </row>
    <row r="2742" spans="1:25" x14ac:dyDescent="0.3">
      <c r="A2742">
        <v>137050</v>
      </c>
      <c r="B2742" t="s">
        <v>53604</v>
      </c>
      <c r="C2742" t="s">
        <v>53605</v>
      </c>
      <c r="D2742" t="s">
        <v>53606</v>
      </c>
      <c r="E2742" t="s">
        <v>53607</v>
      </c>
      <c r="F2742" t="s">
        <v>53608</v>
      </c>
      <c r="G2742" t="s">
        <v>53609</v>
      </c>
      <c r="H2742" t="s">
        <v>53610</v>
      </c>
      <c r="I2742" t="s">
        <v>53611</v>
      </c>
      <c r="J2742" t="s">
        <v>53612</v>
      </c>
      <c r="K2742" t="s">
        <v>53613</v>
      </c>
      <c r="L2742" t="s">
        <v>53614</v>
      </c>
      <c r="M2742" t="s">
        <v>53615</v>
      </c>
      <c r="N2742" t="s">
        <v>53616</v>
      </c>
      <c r="O2742">
        <f>-631.888582109079 -136.977882511603 -489.481437281082</f>
        <v>-1258.3479019017641</v>
      </c>
      <c r="P2742">
        <f>-601.625964627501 -153.558026915249 -209.503068420668</f>
        <v>-964.68705996341805</v>
      </c>
      <c r="Q2742">
        <f>-421.433134642324 -33.5809650342744 -293.673058101655</f>
        <v>-748.68715777825332</v>
      </c>
      <c r="R2742" t="s">
        <v>53617</v>
      </c>
      <c r="S2742" t="s">
        <v>53618</v>
      </c>
      <c r="T2742" t="s">
        <v>53619</v>
      </c>
      <c r="U2742" t="s">
        <v>53620</v>
      </c>
      <c r="V2742">
        <f>-558.948088593897 -32.5927707116762 -89.2233746059488</f>
        <v>-680.76423391152196</v>
      </c>
      <c r="W2742" t="s">
        <v>53621</v>
      </c>
      <c r="X2742" t="s">
        <v>53622</v>
      </c>
      <c r="Y2742" t="s">
        <v>53623</v>
      </c>
    </row>
    <row r="2743" spans="1:25" x14ac:dyDescent="0.3">
      <c r="A2743">
        <v>137100</v>
      </c>
      <c r="B2743" t="s">
        <v>53624</v>
      </c>
      <c r="C2743" t="s">
        <v>53625</v>
      </c>
      <c r="D2743" t="s">
        <v>53626</v>
      </c>
      <c r="E2743" t="s">
        <v>53627</v>
      </c>
      <c r="F2743" t="s">
        <v>53628</v>
      </c>
      <c r="G2743" t="s">
        <v>53629</v>
      </c>
      <c r="H2743" t="s">
        <v>53630</v>
      </c>
      <c r="I2743" t="s">
        <v>53631</v>
      </c>
      <c r="J2743" t="s">
        <v>53632</v>
      </c>
      <c r="K2743" t="s">
        <v>53633</v>
      </c>
      <c r="L2743" t="s">
        <v>53634</v>
      </c>
      <c r="M2743" t="s">
        <v>53635</v>
      </c>
      <c r="N2743" t="s">
        <v>53636</v>
      </c>
      <c r="O2743">
        <f>-631.804825056706 -137.153221867259 -489.205786837866</f>
        <v>-1258.163833761831</v>
      </c>
      <c r="P2743">
        <f>-601.219671904679 -153.144598225686 -209.228258524039</f>
        <v>-963.59252865440396</v>
      </c>
      <c r="Q2743">
        <f>-420.912161800434 -33.1925426083933 -293.187950107511</f>
        <v>-747.2926545163383</v>
      </c>
      <c r="R2743" t="s">
        <v>53637</v>
      </c>
      <c r="S2743" t="s">
        <v>53638</v>
      </c>
      <c r="T2743" t="s">
        <v>53639</v>
      </c>
      <c r="U2743" t="s">
        <v>53640</v>
      </c>
      <c r="V2743">
        <f>-558.433446370023 -32.6131244102673 -89.1845961780105</f>
        <v>-680.23116695830083</v>
      </c>
      <c r="W2743" t="s">
        <v>53641</v>
      </c>
      <c r="X2743" t="s">
        <v>53642</v>
      </c>
      <c r="Y2743" t="s">
        <v>53643</v>
      </c>
    </row>
    <row r="2744" spans="1:25" x14ac:dyDescent="0.3">
      <c r="A2744">
        <v>137150</v>
      </c>
      <c r="B2744" t="s">
        <v>53644</v>
      </c>
      <c r="C2744" t="s">
        <v>53645</v>
      </c>
      <c r="D2744" t="s">
        <v>53646</v>
      </c>
      <c r="E2744" t="s">
        <v>53647</v>
      </c>
      <c r="F2744" t="s">
        <v>53648</v>
      </c>
      <c r="G2744" t="s">
        <v>53649</v>
      </c>
      <c r="H2744" t="s">
        <v>53650</v>
      </c>
      <c r="I2744" t="s">
        <v>53651</v>
      </c>
      <c r="J2744" t="s">
        <v>53652</v>
      </c>
      <c r="K2744" t="s">
        <v>53653</v>
      </c>
      <c r="L2744" t="s">
        <v>53654</v>
      </c>
      <c r="M2744" t="s">
        <v>53655</v>
      </c>
      <c r="N2744" t="s">
        <v>53656</v>
      </c>
      <c r="O2744">
        <f>-631.825597630248 -137.339413706703 -489.045345567427</f>
        <v>-1258.2103569043779</v>
      </c>
      <c r="P2744">
        <f>-601.107683145563 -153.064830009921 -209.06734172487</f>
        <v>-963.23985488035396</v>
      </c>
      <c r="Q2744">
        <f>-420.834582568492 -33.0059040498097 -292.948166873536</f>
        <v>-746.78865349183775</v>
      </c>
      <c r="R2744" t="s">
        <v>53657</v>
      </c>
      <c r="S2744" t="s">
        <v>53658</v>
      </c>
      <c r="T2744" t="s">
        <v>53659</v>
      </c>
      <c r="U2744" t="s">
        <v>53660</v>
      </c>
      <c r="V2744">
        <f>-558.246190713645 -32.6815453977902 -89.1751738518147</f>
        <v>-680.10290996324989</v>
      </c>
      <c r="W2744" t="s">
        <v>53661</v>
      </c>
      <c r="X2744" t="s">
        <v>53662</v>
      </c>
      <c r="Y2744" t="s">
        <v>53663</v>
      </c>
    </row>
    <row r="2745" spans="1:25" x14ac:dyDescent="0.3">
      <c r="A2745">
        <v>137200</v>
      </c>
      <c r="B2745" t="s">
        <v>53664</v>
      </c>
      <c r="C2745" t="s">
        <v>53665</v>
      </c>
      <c r="D2745" t="s">
        <v>53666</v>
      </c>
      <c r="E2745" t="s">
        <v>53667</v>
      </c>
      <c r="F2745" t="s">
        <v>53668</v>
      </c>
      <c r="G2745" t="s">
        <v>53669</v>
      </c>
      <c r="H2745" t="s">
        <v>53670</v>
      </c>
      <c r="I2745" t="s">
        <v>53671</v>
      </c>
      <c r="J2745" t="s">
        <v>53672</v>
      </c>
      <c r="K2745" t="s">
        <v>53673</v>
      </c>
      <c r="L2745" t="s">
        <v>53674</v>
      </c>
      <c r="M2745" t="s">
        <v>53675</v>
      </c>
      <c r="N2745" t="s">
        <v>53676</v>
      </c>
      <c r="O2745">
        <f>-631.917938822551 -137.703869949136 -488.6930694103</f>
        <v>-1258.3148781819871</v>
      </c>
      <c r="P2745">
        <f>-600.951890763316 -152.810406453622 -208.708298900594</f>
        <v>-962.47059611753207</v>
      </c>
      <c r="Q2745">
        <f>-420.583439549488 -32.9181836850312 -292.622719149883</f>
        <v>-746.1243423844021</v>
      </c>
      <c r="R2745" t="s">
        <v>53677</v>
      </c>
      <c r="S2745" t="s">
        <v>53678</v>
      </c>
      <c r="T2745" t="s">
        <v>53679</v>
      </c>
      <c r="U2745" t="s">
        <v>53680</v>
      </c>
      <c r="V2745">
        <f>-557.920191152368 -32.6819639886389 -89.1530161373541</f>
        <v>-679.7551712783611</v>
      </c>
      <c r="W2745" t="s">
        <v>53681</v>
      </c>
      <c r="X2745" t="s">
        <v>53682</v>
      </c>
      <c r="Y2745" t="s">
        <v>53683</v>
      </c>
    </row>
    <row r="2746" spans="1:25" x14ac:dyDescent="0.3">
      <c r="A2746">
        <v>137250</v>
      </c>
      <c r="B2746" t="s">
        <v>53684</v>
      </c>
      <c r="C2746" t="s">
        <v>53685</v>
      </c>
      <c r="D2746" t="s">
        <v>53686</v>
      </c>
      <c r="E2746" t="s">
        <v>53687</v>
      </c>
      <c r="F2746" t="s">
        <v>53688</v>
      </c>
      <c r="G2746" t="s">
        <v>53689</v>
      </c>
      <c r="H2746" t="s">
        <v>53690</v>
      </c>
      <c r="I2746" t="s">
        <v>53691</v>
      </c>
      <c r="J2746" t="s">
        <v>53692</v>
      </c>
      <c r="K2746" t="s">
        <v>53693</v>
      </c>
      <c r="L2746" t="s">
        <v>53694</v>
      </c>
      <c r="M2746" t="s">
        <v>53695</v>
      </c>
      <c r="N2746" t="s">
        <v>53696</v>
      </c>
      <c r="O2746">
        <f>-631.988144805219 -137.87660491502 -488.469772203083</f>
        <v>-1258.334521923322</v>
      </c>
      <c r="P2746">
        <f>-600.856285535641 -152.698667304564 -208.488332239147</f>
        <v>-962.0432850793519</v>
      </c>
      <c r="Q2746">
        <f>-420.492594181737 -32.8658988955342 -292.497780051822</f>
        <v>-745.85627312909321</v>
      </c>
      <c r="R2746" t="s">
        <v>53697</v>
      </c>
      <c r="S2746" t="s">
        <v>53698</v>
      </c>
      <c r="T2746" t="s">
        <v>53699</v>
      </c>
      <c r="U2746" t="s">
        <v>53700</v>
      </c>
      <c r="V2746">
        <f>-557.861682030542 -32.6266235056564 -89.1525017771827</f>
        <v>-679.64080731338117</v>
      </c>
      <c r="W2746" t="s">
        <v>53701</v>
      </c>
      <c r="X2746" t="s">
        <v>53702</v>
      </c>
      <c r="Y2746" t="s">
        <v>53703</v>
      </c>
    </row>
    <row r="2747" spans="1:25" x14ac:dyDescent="0.3">
      <c r="A2747">
        <v>137300</v>
      </c>
      <c r="B2747" t="s">
        <v>53704</v>
      </c>
      <c r="C2747" t="s">
        <v>53705</v>
      </c>
      <c r="D2747" t="s">
        <v>53706</v>
      </c>
      <c r="E2747" t="s">
        <v>53707</v>
      </c>
      <c r="F2747" t="s">
        <v>53708</v>
      </c>
      <c r="G2747" t="s">
        <v>53709</v>
      </c>
      <c r="H2747" t="s">
        <v>53710</v>
      </c>
      <c r="I2747" t="s">
        <v>53711</v>
      </c>
      <c r="J2747" t="s">
        <v>53712</v>
      </c>
      <c r="K2747" t="s">
        <v>53713</v>
      </c>
      <c r="L2747" t="s">
        <v>53714</v>
      </c>
      <c r="M2747" t="s">
        <v>53715</v>
      </c>
      <c r="N2747" t="s">
        <v>53716</v>
      </c>
      <c r="O2747">
        <f>-632.295411727941 -138.255306450777 -488.006883894731</f>
        <v>-1258.5576020734488</v>
      </c>
      <c r="P2747">
        <f>-600.850046534358 -152.421758782025 -208.026378905025</f>
        <v>-961.29818422140795</v>
      </c>
      <c r="Q2747">
        <f>-420.559856203696 -32.5262450046032 -292.103944698606</f>
        <v>-745.1900459069052</v>
      </c>
      <c r="R2747" t="s">
        <v>53717</v>
      </c>
      <c r="S2747" t="s">
        <v>53718</v>
      </c>
      <c r="T2747" t="s">
        <v>53719</v>
      </c>
      <c r="U2747" t="s">
        <v>53720</v>
      </c>
      <c r="V2747">
        <f>-557.852993114451 -32.6304613836078 -89.1598592961723</f>
        <v>-679.64331379423106</v>
      </c>
      <c r="W2747" t="s">
        <v>53721</v>
      </c>
      <c r="X2747" t="s">
        <v>53722</v>
      </c>
      <c r="Y2747" t="s">
        <v>53723</v>
      </c>
    </row>
    <row r="2748" spans="1:25" x14ac:dyDescent="0.3">
      <c r="A2748">
        <v>137350</v>
      </c>
      <c r="B2748" t="s">
        <v>53724</v>
      </c>
      <c r="C2748" t="s">
        <v>53725</v>
      </c>
      <c r="D2748" t="s">
        <v>53726</v>
      </c>
      <c r="E2748" t="s">
        <v>53727</v>
      </c>
      <c r="F2748" t="s">
        <v>53728</v>
      </c>
      <c r="G2748" t="s">
        <v>53729</v>
      </c>
      <c r="H2748" t="s">
        <v>53730</v>
      </c>
      <c r="I2748" t="s">
        <v>53731</v>
      </c>
      <c r="J2748" t="s">
        <v>53732</v>
      </c>
      <c r="K2748" t="s">
        <v>53733</v>
      </c>
      <c r="L2748" t="s">
        <v>53734</v>
      </c>
      <c r="M2748" t="s">
        <v>53735</v>
      </c>
      <c r="N2748" t="s">
        <v>53736</v>
      </c>
      <c r="O2748">
        <f>-632.586935329933 -138.427414370615 -487.786742732264</f>
        <v>-1258.8010924328119</v>
      </c>
      <c r="P2748">
        <f>-600.979973920709 -152.336997620171 -207.811557272887</f>
        <v>-961.12852881376693</v>
      </c>
      <c r="Q2748">
        <f>-420.701297537568 -32.4412220467839 -291.913407725735</f>
        <v>-745.05592731008687</v>
      </c>
      <c r="R2748" t="s">
        <v>53737</v>
      </c>
      <c r="S2748" t="s">
        <v>53738</v>
      </c>
      <c r="T2748" t="s">
        <v>53739</v>
      </c>
      <c r="U2748" t="s">
        <v>53740</v>
      </c>
      <c r="V2748">
        <f>-557.902885861949 -32.6549233104963 -89.166071431501</f>
        <v>-679.72388060394633</v>
      </c>
      <c r="W2748" t="s">
        <v>53741</v>
      </c>
      <c r="X2748" t="s">
        <v>53742</v>
      </c>
      <c r="Y2748" t="s">
        <v>53743</v>
      </c>
    </row>
    <row r="2749" spans="1:25" x14ac:dyDescent="0.3">
      <c r="A2749">
        <v>137400</v>
      </c>
      <c r="B2749" t="s">
        <v>53744</v>
      </c>
      <c r="C2749" t="s">
        <v>53745</v>
      </c>
      <c r="D2749" t="s">
        <v>53746</v>
      </c>
      <c r="E2749" t="s">
        <v>53747</v>
      </c>
      <c r="F2749" t="s">
        <v>53748</v>
      </c>
      <c r="G2749" t="s">
        <v>53749</v>
      </c>
      <c r="H2749" t="s">
        <v>53750</v>
      </c>
      <c r="I2749" t="s">
        <v>53751</v>
      </c>
      <c r="J2749" t="s">
        <v>53752</v>
      </c>
      <c r="K2749" t="s">
        <v>53753</v>
      </c>
      <c r="L2749" t="s">
        <v>53754</v>
      </c>
      <c r="M2749" t="s">
        <v>53755</v>
      </c>
      <c r="N2749" t="s">
        <v>53756</v>
      </c>
      <c r="O2749">
        <f>-633.291305993295 -138.733523517281 -487.382615847806</f>
        <v>-1259.4074453583821</v>
      </c>
      <c r="P2749">
        <f>-601.522929596212 -152.122535414351 -207.400365241704</f>
        <v>-961.04583025226691</v>
      </c>
      <c r="Q2749">
        <f>-421.244754438837 -32.3789589432924 -291.719874924737</f>
        <v>-745.34358830686642</v>
      </c>
      <c r="R2749" t="s">
        <v>53757</v>
      </c>
      <c r="S2749" t="s">
        <v>53758</v>
      </c>
      <c r="T2749" t="s">
        <v>53759</v>
      </c>
      <c r="U2749" t="s">
        <v>53760</v>
      </c>
      <c r="V2749">
        <f>-558.122867135734 -32.5916065429089 -89.1604802578966</f>
        <v>-679.87495393653955</v>
      </c>
      <c r="W2749" t="s">
        <v>53761</v>
      </c>
      <c r="X2749" t="s">
        <v>53762</v>
      </c>
      <c r="Y2749" t="s">
        <v>53763</v>
      </c>
    </row>
    <row r="2750" spans="1:25" x14ac:dyDescent="0.3">
      <c r="A2750">
        <v>137450</v>
      </c>
      <c r="B2750" t="s">
        <v>53764</v>
      </c>
      <c r="C2750" t="s">
        <v>53765</v>
      </c>
      <c r="D2750" t="s">
        <v>53766</v>
      </c>
      <c r="E2750" t="s">
        <v>53767</v>
      </c>
      <c r="F2750" t="s">
        <v>53768</v>
      </c>
      <c r="G2750" t="s">
        <v>53769</v>
      </c>
      <c r="H2750" t="s">
        <v>53770</v>
      </c>
      <c r="I2750" t="s">
        <v>53771</v>
      </c>
      <c r="J2750" t="s">
        <v>53772</v>
      </c>
      <c r="K2750" t="s">
        <v>53773</v>
      </c>
      <c r="L2750" t="s">
        <v>53774</v>
      </c>
      <c r="M2750" t="s">
        <v>53775</v>
      </c>
      <c r="N2750" t="s">
        <v>53776</v>
      </c>
      <c r="O2750">
        <f>-633.646871659176 -138.810760711448 -487.189554936706</f>
        <v>-1259.6471873073299</v>
      </c>
      <c r="P2750">
        <f>-601.785959972182 -151.924034248007 -207.204684464998</f>
        <v>-960.91467868518691</v>
      </c>
      <c r="Q2750">
        <f>-421.493835431753 -32.3306454399431 -291.707830153984</f>
        <v>-745.53231102568009</v>
      </c>
      <c r="R2750" t="s">
        <v>53777</v>
      </c>
      <c r="S2750" t="s">
        <v>53778</v>
      </c>
      <c r="T2750" t="s">
        <v>53779</v>
      </c>
      <c r="U2750" t="s">
        <v>53780</v>
      </c>
      <c r="V2750">
        <f>-558.182413416072 -32.5211139329663 -89.1509568564703</f>
        <v>-679.85448420550858</v>
      </c>
      <c r="W2750" t="s">
        <v>53781</v>
      </c>
      <c r="X2750" t="s">
        <v>53782</v>
      </c>
      <c r="Y2750" t="s">
        <v>53783</v>
      </c>
    </row>
    <row r="2751" spans="1:25" x14ac:dyDescent="0.3">
      <c r="A2751">
        <v>137500</v>
      </c>
      <c r="B2751" t="s">
        <v>53784</v>
      </c>
      <c r="C2751" t="s">
        <v>53785</v>
      </c>
      <c r="D2751" t="s">
        <v>53786</v>
      </c>
      <c r="E2751" t="s">
        <v>53787</v>
      </c>
      <c r="F2751" t="s">
        <v>53788</v>
      </c>
      <c r="G2751" t="s">
        <v>53789</v>
      </c>
      <c r="H2751" t="s">
        <v>53790</v>
      </c>
      <c r="I2751" t="s">
        <v>53791</v>
      </c>
      <c r="J2751" t="s">
        <v>53792</v>
      </c>
      <c r="K2751" t="s">
        <v>53793</v>
      </c>
      <c r="L2751" t="s">
        <v>53794</v>
      </c>
      <c r="M2751" t="s">
        <v>53795</v>
      </c>
      <c r="N2751" t="s">
        <v>53796</v>
      </c>
      <c r="O2751">
        <f>-634.49366397492 -138.943288564819 -486.843702488769</f>
        <v>-1260.2806550285079</v>
      </c>
      <c r="P2751">
        <f>-602.210211788825 -151.774192617212 -206.894051999474</f>
        <v>-960.87845640551086</v>
      </c>
      <c r="Q2751">
        <f>-421.963827287663 -32.33833870643 -291.71651116435</f>
        <v>-746.01867715844298</v>
      </c>
      <c r="R2751" t="s">
        <v>53797</v>
      </c>
      <c r="S2751" t="s">
        <v>53798</v>
      </c>
      <c r="T2751" t="s">
        <v>53799</v>
      </c>
      <c r="U2751" t="s">
        <v>53800</v>
      </c>
      <c r="V2751">
        <f>-558.36638310727 -32.5151568578842 -89.1380150518207</f>
        <v>-680.019555016975</v>
      </c>
      <c r="W2751" t="s">
        <v>53801</v>
      </c>
      <c r="X2751" t="s">
        <v>53802</v>
      </c>
      <c r="Y2751" t="s">
        <v>53803</v>
      </c>
    </row>
    <row r="2752" spans="1:25" x14ac:dyDescent="0.3">
      <c r="A2752">
        <v>137550</v>
      </c>
      <c r="B2752" t="s">
        <v>53804</v>
      </c>
      <c r="C2752" t="s">
        <v>53805</v>
      </c>
      <c r="D2752" t="s">
        <v>53806</v>
      </c>
      <c r="E2752" t="s">
        <v>53807</v>
      </c>
      <c r="F2752" t="s">
        <v>53808</v>
      </c>
      <c r="G2752" t="s">
        <v>53809</v>
      </c>
      <c r="H2752" t="s">
        <v>53810</v>
      </c>
      <c r="I2752" t="s">
        <v>53811</v>
      </c>
      <c r="J2752" t="s">
        <v>53812</v>
      </c>
      <c r="K2752" t="s">
        <v>53813</v>
      </c>
      <c r="L2752" t="s">
        <v>53814</v>
      </c>
      <c r="M2752" t="s">
        <v>53815</v>
      </c>
      <c r="N2752" t="s">
        <v>53816</v>
      </c>
      <c r="O2752">
        <f>-634.900341099293 -139.026867257084 -486.750477712109</f>
        <v>-1260.6776860684859</v>
      </c>
      <c r="P2752">
        <f>-602.346883038835 -151.759065836912 -206.8275776167</f>
        <v>-960.93352649244707</v>
      </c>
      <c r="Q2752">
        <f>-422.144138299774 -32.3143936450033 -291.73022200686</f>
        <v>-746.1887539516373</v>
      </c>
      <c r="R2752" t="s">
        <v>53817</v>
      </c>
      <c r="S2752" t="s">
        <v>53818</v>
      </c>
      <c r="T2752" t="s">
        <v>53819</v>
      </c>
      <c r="U2752" t="s">
        <v>53820</v>
      </c>
      <c r="V2752">
        <f>-558.525224165791 -32.5354856180666 -89.1441255071264</f>
        <v>-680.20483529098397</v>
      </c>
      <c r="W2752" t="s">
        <v>53821</v>
      </c>
      <c r="X2752" t="s">
        <v>53822</v>
      </c>
      <c r="Y2752" t="s">
        <v>53823</v>
      </c>
    </row>
    <row r="2753" spans="1:25" x14ac:dyDescent="0.3">
      <c r="A2753">
        <v>137600</v>
      </c>
      <c r="B2753" t="s">
        <v>53824</v>
      </c>
      <c r="C2753" t="s">
        <v>53825</v>
      </c>
      <c r="D2753" t="s">
        <v>53826</v>
      </c>
      <c r="E2753" t="s">
        <v>53827</v>
      </c>
      <c r="F2753" t="s">
        <v>53828</v>
      </c>
      <c r="G2753" t="s">
        <v>53829</v>
      </c>
      <c r="H2753" t="s">
        <v>53830</v>
      </c>
      <c r="I2753" t="s">
        <v>53831</v>
      </c>
      <c r="J2753" t="s">
        <v>53832</v>
      </c>
      <c r="K2753" t="s">
        <v>53833</v>
      </c>
      <c r="L2753" t="s">
        <v>53834</v>
      </c>
      <c r="M2753" t="s">
        <v>53835</v>
      </c>
      <c r="N2753" t="s">
        <v>53836</v>
      </c>
      <c r="O2753">
        <f>-635.744920513981 -139.094790445065 -486.652352584863</f>
        <v>-1261.4920635439089</v>
      </c>
      <c r="P2753">
        <f>-602.698600883227 -151.898885215782 -206.790492721581</f>
        <v>-961.38797882058998</v>
      </c>
      <c r="Q2753">
        <f>-422.665660877514 -32.1509252686799 -291.626308368734</f>
        <v>-746.44289451492784</v>
      </c>
      <c r="R2753" t="s">
        <v>53837</v>
      </c>
      <c r="S2753" t="s">
        <v>53838</v>
      </c>
      <c r="T2753" t="s">
        <v>53839</v>
      </c>
      <c r="U2753" t="s">
        <v>53840</v>
      </c>
      <c r="V2753">
        <f>-558.916043418932 -32.619095179881 -89.1627611259715</f>
        <v>-680.69789972478452</v>
      </c>
      <c r="W2753" t="s">
        <v>53841</v>
      </c>
      <c r="X2753" t="s">
        <v>53842</v>
      </c>
      <c r="Y2753" t="s">
        <v>53843</v>
      </c>
    </row>
    <row r="2754" spans="1:25" x14ac:dyDescent="0.3">
      <c r="A2754">
        <v>137650</v>
      </c>
      <c r="B2754" t="s">
        <v>53844</v>
      </c>
      <c r="C2754" t="s">
        <v>53845</v>
      </c>
      <c r="D2754" t="s">
        <v>53846</v>
      </c>
      <c r="E2754" t="s">
        <v>53847</v>
      </c>
      <c r="F2754" t="s">
        <v>53848</v>
      </c>
      <c r="G2754" t="s">
        <v>53849</v>
      </c>
      <c r="H2754" t="s">
        <v>53850</v>
      </c>
      <c r="I2754" t="s">
        <v>53851</v>
      </c>
      <c r="J2754" t="s">
        <v>53852</v>
      </c>
      <c r="K2754" t="s">
        <v>53853</v>
      </c>
      <c r="L2754" t="s">
        <v>53854</v>
      </c>
      <c r="M2754" t="s">
        <v>53855</v>
      </c>
      <c r="N2754" t="s">
        <v>53856</v>
      </c>
      <c r="O2754">
        <f>-636.243206004974 -139.04326115136 -486.648172952489</f>
        <v>-1261.934640108823</v>
      </c>
      <c r="P2754">
        <f>-602.985991276914 -151.965143111937 -206.816831428231</f>
        <v>-961.76796581708197</v>
      </c>
      <c r="Q2754">
        <f>-423.103083217868 -31.9586184549221 -291.605577345596</f>
        <v>-746.66727901838613</v>
      </c>
      <c r="R2754" t="s">
        <v>53857</v>
      </c>
      <c r="S2754" t="s">
        <v>53858</v>
      </c>
      <c r="T2754" t="s">
        <v>53859</v>
      </c>
      <c r="U2754" t="s">
        <v>53860</v>
      </c>
      <c r="V2754">
        <f>-559.120522150788 -32.6858126095924 -89.1799509091314</f>
        <v>-680.98628566951186</v>
      </c>
      <c r="W2754" t="s">
        <v>53861</v>
      </c>
      <c r="X2754" t="s">
        <v>53862</v>
      </c>
      <c r="Y2754" t="s">
        <v>53863</v>
      </c>
    </row>
    <row r="2755" spans="1:25" x14ac:dyDescent="0.3">
      <c r="A2755">
        <v>137700</v>
      </c>
      <c r="B2755" t="s">
        <v>53864</v>
      </c>
      <c r="C2755" t="s">
        <v>53865</v>
      </c>
      <c r="D2755" t="s">
        <v>53866</v>
      </c>
      <c r="E2755" t="s">
        <v>53867</v>
      </c>
      <c r="F2755" t="s">
        <v>53868</v>
      </c>
      <c r="G2755" t="s">
        <v>53869</v>
      </c>
      <c r="H2755" t="s">
        <v>53870</v>
      </c>
      <c r="I2755" t="s">
        <v>53871</v>
      </c>
      <c r="J2755" t="s">
        <v>53872</v>
      </c>
      <c r="K2755" t="s">
        <v>53873</v>
      </c>
      <c r="L2755" t="s">
        <v>53874</v>
      </c>
      <c r="M2755" t="s">
        <v>53875</v>
      </c>
      <c r="N2755" t="s">
        <v>53876</v>
      </c>
      <c r="O2755">
        <f>-637.037998501648 -138.774386589862 -486.798873645028</f>
        <v>-1262.6112587365378</v>
      </c>
      <c r="P2755">
        <f>-603.416457543953 -151.98376488494 -207.024438067971</f>
        <v>-962.42466049686402</v>
      </c>
      <c r="Q2755">
        <f>-423.798558833407 -31.519044584734 -291.724817591744</f>
        <v>-747.04242100988495</v>
      </c>
      <c r="R2755" t="s">
        <v>53877</v>
      </c>
      <c r="S2755" t="s">
        <v>53878</v>
      </c>
      <c r="T2755" t="s">
        <v>53879</v>
      </c>
      <c r="U2755" t="s">
        <v>53880</v>
      </c>
      <c r="V2755">
        <f>-559.556765389178 -32.6235134721107 -89.1929249320731</f>
        <v>-681.37320379336188</v>
      </c>
      <c r="W2755" t="s">
        <v>53881</v>
      </c>
      <c r="X2755" t="s">
        <v>53882</v>
      </c>
      <c r="Y2755" t="s">
        <v>53883</v>
      </c>
    </row>
    <row r="2756" spans="1:25" x14ac:dyDescent="0.3">
      <c r="A2756">
        <v>137750</v>
      </c>
      <c r="B2756" t="s">
        <v>53884</v>
      </c>
      <c r="C2756" t="s">
        <v>53885</v>
      </c>
      <c r="D2756" t="s">
        <v>53886</v>
      </c>
      <c r="E2756" t="s">
        <v>53887</v>
      </c>
      <c r="F2756" t="s">
        <v>53888</v>
      </c>
      <c r="G2756" t="s">
        <v>53889</v>
      </c>
      <c r="H2756" t="s">
        <v>53890</v>
      </c>
      <c r="I2756" t="s">
        <v>53891</v>
      </c>
      <c r="J2756" t="s">
        <v>53892</v>
      </c>
      <c r="K2756" t="s">
        <v>53893</v>
      </c>
      <c r="L2756" t="s">
        <v>53894</v>
      </c>
      <c r="M2756" t="s">
        <v>53895</v>
      </c>
      <c r="N2756" t="s">
        <v>53896</v>
      </c>
      <c r="O2756">
        <f>-637.286450201745 -138.64089508753 -486.888263528334</f>
        <v>-1262.815608817609</v>
      </c>
      <c r="P2756">
        <f>-603.503946235194 -151.983727579725 -207.139653268879</f>
        <v>-962.62732708379804</v>
      </c>
      <c r="Q2756">
        <f>-423.987990987925 -31.3320903175484 -291.790084147435</f>
        <v>-747.1101654529084</v>
      </c>
      <c r="R2756" t="s">
        <v>53897</v>
      </c>
      <c r="S2756" t="s">
        <v>53898</v>
      </c>
      <c r="T2756" t="s">
        <v>53899</v>
      </c>
      <c r="U2756" t="s">
        <v>53900</v>
      </c>
      <c r="V2756">
        <f>-559.71938418672 -32.5032825219291 -89.1915828143359</f>
        <v>-681.41424952298507</v>
      </c>
      <c r="W2756" t="s">
        <v>53901</v>
      </c>
      <c r="X2756" t="s">
        <v>53902</v>
      </c>
      <c r="Y2756" t="s">
        <v>53903</v>
      </c>
    </row>
    <row r="2757" spans="1:25" x14ac:dyDescent="0.3">
      <c r="A2757">
        <v>137800</v>
      </c>
      <c r="B2757" t="s">
        <v>53904</v>
      </c>
      <c r="C2757" t="s">
        <v>53905</v>
      </c>
      <c r="D2757" t="s">
        <v>53906</v>
      </c>
      <c r="E2757" t="s">
        <v>53907</v>
      </c>
      <c r="F2757" t="s">
        <v>53908</v>
      </c>
      <c r="G2757" t="s">
        <v>53909</v>
      </c>
      <c r="H2757" t="s">
        <v>53910</v>
      </c>
      <c r="I2757" t="s">
        <v>53911</v>
      </c>
      <c r="J2757" t="s">
        <v>53912</v>
      </c>
      <c r="K2757" t="s">
        <v>53913</v>
      </c>
      <c r="L2757" t="s">
        <v>53914</v>
      </c>
      <c r="M2757" t="s">
        <v>53915</v>
      </c>
      <c r="N2757" t="s">
        <v>53916</v>
      </c>
      <c r="O2757">
        <f>-637.857818694219 -138.546754270923 -486.941706116981</f>
        <v>-1263.3462790821229</v>
      </c>
      <c r="P2757">
        <f>-603.694656010666 -151.95994285649 -207.24267780928</f>
        <v>-962.89727667643592</v>
      </c>
      <c r="Q2757">
        <f>-424.22310672699 -31.098064440044 -291.687393158411</f>
        <v>-747.00856432544492</v>
      </c>
      <c r="R2757" t="s">
        <v>53917</v>
      </c>
      <c r="S2757" t="s">
        <v>53918</v>
      </c>
      <c r="T2757" t="s">
        <v>53919</v>
      </c>
      <c r="U2757" t="s">
        <v>53920</v>
      </c>
      <c r="V2757">
        <f>-559.927835071741 -32.4462220737244 -89.2131827560747</f>
        <v>-681.5872399015401</v>
      </c>
      <c r="W2757" t="s">
        <v>53921</v>
      </c>
      <c r="X2757" t="s">
        <v>53922</v>
      </c>
      <c r="Y2757" t="s">
        <v>53923</v>
      </c>
    </row>
    <row r="2758" spans="1:25" x14ac:dyDescent="0.3">
      <c r="A2758">
        <v>137850</v>
      </c>
      <c r="B2758" t="s">
        <v>53924</v>
      </c>
      <c r="C2758" t="s">
        <v>53925</v>
      </c>
      <c r="D2758" t="s">
        <v>53926</v>
      </c>
      <c r="E2758" t="s">
        <v>53927</v>
      </c>
      <c r="F2758" t="s">
        <v>53928</v>
      </c>
      <c r="G2758" t="s">
        <v>53929</v>
      </c>
      <c r="H2758" t="s">
        <v>53930</v>
      </c>
      <c r="I2758" t="s">
        <v>53931</v>
      </c>
      <c r="J2758" t="s">
        <v>53932</v>
      </c>
      <c r="K2758" t="s">
        <v>53933</v>
      </c>
      <c r="L2758" t="s">
        <v>53934</v>
      </c>
      <c r="M2758" t="s">
        <v>53935</v>
      </c>
      <c r="N2758" t="s">
        <v>53936</v>
      </c>
      <c r="O2758">
        <f>-638.174295312553 -138.534971279772 -486.896724564108</f>
        <v>-1263.605991156433</v>
      </c>
      <c r="P2758">
        <f>-603.70805164027 -151.890935011662 -207.232164975209</f>
        <v>-962.83115162714103</v>
      </c>
      <c r="Q2758">
        <f>-424.239792792513 -30.9484183507375 -291.568282138059</f>
        <v>-746.75649328130953</v>
      </c>
      <c r="R2758" t="s">
        <v>53937</v>
      </c>
      <c r="S2758" t="s">
        <v>53938</v>
      </c>
      <c r="T2758" t="s">
        <v>53939</v>
      </c>
      <c r="U2758" t="s">
        <v>53940</v>
      </c>
      <c r="V2758">
        <f>-559.957209221246 -32.407323182699 -89.2226971792009</f>
        <v>-681.58722958314593</v>
      </c>
      <c r="W2758" t="s">
        <v>53941</v>
      </c>
      <c r="X2758" t="s">
        <v>53942</v>
      </c>
      <c r="Y2758" t="s">
        <v>53943</v>
      </c>
    </row>
    <row r="2759" spans="1:25" x14ac:dyDescent="0.3">
      <c r="A2759">
        <v>137900</v>
      </c>
      <c r="B2759" t="s">
        <v>53944</v>
      </c>
      <c r="C2759" t="s">
        <v>53945</v>
      </c>
      <c r="D2759" t="s">
        <v>53946</v>
      </c>
      <c r="E2759" t="s">
        <v>53947</v>
      </c>
      <c r="F2759" t="s">
        <v>53948</v>
      </c>
      <c r="G2759" t="s">
        <v>53949</v>
      </c>
      <c r="H2759" t="s">
        <v>53950</v>
      </c>
      <c r="I2759" t="s">
        <v>53951</v>
      </c>
      <c r="J2759" t="s">
        <v>53952</v>
      </c>
      <c r="K2759" t="s">
        <v>53953</v>
      </c>
      <c r="L2759" t="s">
        <v>53954</v>
      </c>
      <c r="M2759" t="s">
        <v>53955</v>
      </c>
      <c r="N2759" t="s">
        <v>53956</v>
      </c>
      <c r="O2759">
        <f>-638.857957919258 -138.636193948854 -486.734987906061</f>
        <v>-1264.2291397741728</v>
      </c>
      <c r="P2759">
        <f>-603.879921041534 -151.705306589324 -207.120361445129</f>
        <v>-962.70558907598695</v>
      </c>
      <c r="Q2759">
        <f>-424.484787029145 -30.6366757379249 -291.431099764866</f>
        <v>-746.55256253193602</v>
      </c>
      <c r="R2759" t="s">
        <v>53957</v>
      </c>
      <c r="S2759" t="s">
        <v>53958</v>
      </c>
      <c r="T2759" t="s">
        <v>53959</v>
      </c>
      <c r="U2759" t="s">
        <v>53960</v>
      </c>
      <c r="V2759">
        <f>-560.026035041785 -32.3751101322239 -89.2465533977417</f>
        <v>-681.64769857175065</v>
      </c>
      <c r="W2759" t="s">
        <v>53961</v>
      </c>
      <c r="X2759" t="s">
        <v>53962</v>
      </c>
      <c r="Y2759" t="s">
        <v>53963</v>
      </c>
    </row>
    <row r="2760" spans="1:25" x14ac:dyDescent="0.3">
      <c r="A2760">
        <v>137950</v>
      </c>
      <c r="B2760" t="s">
        <v>53964</v>
      </c>
      <c r="C2760" t="s">
        <v>53965</v>
      </c>
      <c r="D2760" t="s">
        <v>53966</v>
      </c>
      <c r="E2760" t="s">
        <v>53967</v>
      </c>
      <c r="F2760" t="s">
        <v>53968</v>
      </c>
      <c r="G2760" t="s">
        <v>53969</v>
      </c>
      <c r="H2760" t="s">
        <v>53970</v>
      </c>
      <c r="I2760" t="s">
        <v>53971</v>
      </c>
      <c r="J2760" t="s">
        <v>53972</v>
      </c>
      <c r="K2760" t="s">
        <v>53973</v>
      </c>
      <c r="L2760" t="s">
        <v>53974</v>
      </c>
      <c r="M2760" t="s">
        <v>53975</v>
      </c>
      <c r="N2760" t="s">
        <v>53976</v>
      </c>
      <c r="O2760">
        <f>-639.215861370383 -138.789362934137 -486.625151912256</f>
        <v>-1264.6303762167759</v>
      </c>
      <c r="P2760">
        <f>-604.042450213202 -151.643855000899 -207.025035297405</f>
        <v>-962.71134051150591</v>
      </c>
      <c r="Q2760">
        <f>-424.719930257538 -30.5035128436773 -291.387524831546</f>
        <v>-746.61096793276124</v>
      </c>
      <c r="R2760" t="s">
        <v>53977</v>
      </c>
      <c r="S2760" t="s">
        <v>53978</v>
      </c>
      <c r="T2760" t="s">
        <v>53979</v>
      </c>
      <c r="U2760" t="s">
        <v>53980</v>
      </c>
      <c r="V2760">
        <f>-560.045884081391 -32.4339908154716 -89.2589008831251</f>
        <v>-681.73877577998769</v>
      </c>
      <c r="W2760" t="s">
        <v>53981</v>
      </c>
      <c r="X2760" t="s">
        <v>53982</v>
      </c>
      <c r="Y2760" t="s">
        <v>53983</v>
      </c>
    </row>
    <row r="2761" spans="1:25" x14ac:dyDescent="0.3">
      <c r="A2761">
        <v>138000</v>
      </c>
      <c r="B2761" t="s">
        <v>53984</v>
      </c>
      <c r="C2761" t="s">
        <v>53985</v>
      </c>
      <c r="D2761" t="s">
        <v>53986</v>
      </c>
      <c r="E2761" t="s">
        <v>53987</v>
      </c>
      <c r="F2761" t="s">
        <v>53988</v>
      </c>
      <c r="G2761" t="s">
        <v>53989</v>
      </c>
      <c r="H2761" t="s">
        <v>53990</v>
      </c>
      <c r="I2761" t="s">
        <v>53991</v>
      </c>
      <c r="J2761" t="s">
        <v>53992</v>
      </c>
      <c r="K2761" t="s">
        <v>53993</v>
      </c>
      <c r="L2761" t="s">
        <v>53994</v>
      </c>
      <c r="M2761" t="s">
        <v>53995</v>
      </c>
      <c r="N2761" t="s">
        <v>53996</v>
      </c>
      <c r="O2761">
        <f>-639.825601355816 -139.124843336258 -486.325147184104</f>
        <v>-1265.2755918761782</v>
      </c>
      <c r="P2761">
        <f>-604.190035320107 -151.627159640043 -206.767737423164</f>
        <v>-962.58493238331403</v>
      </c>
      <c r="Q2761">
        <f>-425.028284299459 -30.4307191334826 -291.390500985892</f>
        <v>-746.8495044188337</v>
      </c>
      <c r="R2761" t="s">
        <v>53997</v>
      </c>
      <c r="S2761" t="s">
        <v>53998</v>
      </c>
      <c r="T2761" t="s">
        <v>53999</v>
      </c>
      <c r="U2761" t="s">
        <v>54000</v>
      </c>
      <c r="V2761">
        <f>-560.044581047707 -32.4520156422966 -89.2571623958295</f>
        <v>-681.75375908583305</v>
      </c>
      <c r="W2761" t="s">
        <v>54001</v>
      </c>
      <c r="X2761" t="s">
        <v>54002</v>
      </c>
      <c r="Y2761" t="s">
        <v>54003</v>
      </c>
    </row>
    <row r="2762" spans="1:25" x14ac:dyDescent="0.3">
      <c r="A2762">
        <v>138050</v>
      </c>
      <c r="B2762" t="s">
        <v>54004</v>
      </c>
      <c r="C2762" t="s">
        <v>54005</v>
      </c>
      <c r="D2762" t="s">
        <v>54006</v>
      </c>
      <c r="E2762" t="s">
        <v>54007</v>
      </c>
      <c r="F2762" t="s">
        <v>54008</v>
      </c>
      <c r="G2762" t="s">
        <v>54009</v>
      </c>
      <c r="H2762" t="s">
        <v>54010</v>
      </c>
      <c r="I2762" t="s">
        <v>54011</v>
      </c>
      <c r="J2762" t="s">
        <v>54012</v>
      </c>
      <c r="K2762" t="s">
        <v>54013</v>
      </c>
      <c r="L2762" t="s">
        <v>54014</v>
      </c>
      <c r="M2762" t="s">
        <v>54015</v>
      </c>
      <c r="N2762" t="s">
        <v>54016</v>
      </c>
      <c r="O2762">
        <f>-640.047537884218 -139.275811662001 -486.144485797034</f>
        <v>-1265.4678353432528</v>
      </c>
      <c r="P2762">
        <f>-604.291200316805 -151.508258198388 -206.590553339271</f>
        <v>-962.39001185446398</v>
      </c>
      <c r="Q2762">
        <f>-425.111072420933 -30.4352402191423 -291.35133217109</f>
        <v>-746.89764481116526</v>
      </c>
      <c r="R2762" t="s">
        <v>54017</v>
      </c>
      <c r="S2762" t="s">
        <v>54018</v>
      </c>
      <c r="T2762" t="s">
        <v>54019</v>
      </c>
      <c r="U2762" t="s">
        <v>54020</v>
      </c>
      <c r="V2762">
        <f>-560.036964868072 -32.3818669626369 -89.2479614319425</f>
        <v>-681.66679326265137</v>
      </c>
      <c r="W2762" t="s">
        <v>54021</v>
      </c>
      <c r="X2762" t="s">
        <v>54022</v>
      </c>
      <c r="Y2762" t="s">
        <v>54023</v>
      </c>
    </row>
    <row r="2763" spans="1:25" x14ac:dyDescent="0.3">
      <c r="A2763">
        <v>138100</v>
      </c>
      <c r="B2763" t="s">
        <v>54024</v>
      </c>
      <c r="C2763" t="s">
        <v>54025</v>
      </c>
      <c r="D2763" t="s">
        <v>54026</v>
      </c>
      <c r="E2763" t="s">
        <v>54027</v>
      </c>
      <c r="F2763" t="s">
        <v>54028</v>
      </c>
      <c r="G2763" t="s">
        <v>54029</v>
      </c>
      <c r="H2763" t="s">
        <v>54030</v>
      </c>
      <c r="I2763" t="s">
        <v>54031</v>
      </c>
      <c r="J2763" t="s">
        <v>54032</v>
      </c>
      <c r="K2763" t="s">
        <v>54033</v>
      </c>
      <c r="L2763" t="s">
        <v>54034</v>
      </c>
      <c r="M2763" t="s">
        <v>54035</v>
      </c>
      <c r="N2763" t="s">
        <v>54036</v>
      </c>
      <c r="O2763">
        <f>-640.633180007382 -139.456121067789 -485.766150167198</f>
        <v>-1265.8554512423689</v>
      </c>
      <c r="P2763">
        <f>-604.615977398295 -151.179010671561 -206.223753533742</f>
        <v>-962.01874160359785</v>
      </c>
      <c r="Q2763">
        <f>-425.294178305696 -30.3252485162907 -290.997447936329</f>
        <v>-746.6168747583157</v>
      </c>
      <c r="R2763" t="s">
        <v>54037</v>
      </c>
      <c r="S2763" t="s">
        <v>54038</v>
      </c>
      <c r="T2763" t="s">
        <v>54039</v>
      </c>
      <c r="U2763" t="s">
        <v>54040</v>
      </c>
      <c r="V2763">
        <f>-560.200212592547 -32.253843406666 -89.2402508806292</f>
        <v>-681.6943068798422</v>
      </c>
      <c r="W2763" t="s">
        <v>54041</v>
      </c>
      <c r="X2763" t="s">
        <v>54042</v>
      </c>
      <c r="Y2763" t="s">
        <v>54043</v>
      </c>
    </row>
    <row r="2764" spans="1:25" x14ac:dyDescent="0.3">
      <c r="A2764">
        <v>138150</v>
      </c>
      <c r="B2764" t="s">
        <v>54044</v>
      </c>
      <c r="C2764" t="s">
        <v>54045</v>
      </c>
      <c r="D2764" t="s">
        <v>54046</v>
      </c>
      <c r="E2764" t="s">
        <v>54047</v>
      </c>
      <c r="F2764" t="s">
        <v>54048</v>
      </c>
      <c r="G2764" t="s">
        <v>54049</v>
      </c>
      <c r="H2764" t="s">
        <v>54050</v>
      </c>
      <c r="I2764" t="s">
        <v>54051</v>
      </c>
      <c r="J2764" t="s">
        <v>54052</v>
      </c>
      <c r="K2764" t="s">
        <v>54053</v>
      </c>
      <c r="L2764" t="s">
        <v>54054</v>
      </c>
      <c r="M2764" t="s">
        <v>54055</v>
      </c>
      <c r="N2764" t="s">
        <v>54056</v>
      </c>
      <c r="O2764">
        <f>-641.062042662874 -139.495854364734 -485.581584666704</f>
        <v>-1266.1394816943121</v>
      </c>
      <c r="P2764">
        <f>-604.893605674711 -150.982782969572 -206.04888887276</f>
        <v>-961.92527751704301</v>
      </c>
      <c r="Q2764">
        <f>-425.471013238417 -30.195927183951 -290.704734376724</f>
        <v>-746.37167479909203</v>
      </c>
      <c r="R2764" t="s">
        <v>54057</v>
      </c>
      <c r="S2764" t="s">
        <v>54058</v>
      </c>
      <c r="T2764" t="s">
        <v>54059</v>
      </c>
      <c r="U2764" t="s">
        <v>54060</v>
      </c>
      <c r="V2764">
        <f>-560.333213000344 -32.0963717510019 -89.2276572653969</f>
        <v>-681.65724201674288</v>
      </c>
      <c r="W2764" t="s">
        <v>54061</v>
      </c>
      <c r="X2764" t="s">
        <v>54062</v>
      </c>
      <c r="Y2764" t="s">
        <v>54063</v>
      </c>
    </row>
    <row r="2765" spans="1:25" x14ac:dyDescent="0.3">
      <c r="A2765">
        <v>138200</v>
      </c>
      <c r="B2765" t="s">
        <v>54064</v>
      </c>
      <c r="C2765" t="s">
        <v>54065</v>
      </c>
      <c r="D2765" t="s">
        <v>54066</v>
      </c>
      <c r="E2765" t="s">
        <v>54067</v>
      </c>
      <c r="F2765" t="s">
        <v>54068</v>
      </c>
      <c r="G2765" t="s">
        <v>54069</v>
      </c>
      <c r="H2765" t="s">
        <v>54070</v>
      </c>
      <c r="I2765" t="s">
        <v>54071</v>
      </c>
      <c r="J2765" t="s">
        <v>54072</v>
      </c>
      <c r="K2765" t="s">
        <v>54073</v>
      </c>
      <c r="L2765" t="s">
        <v>54074</v>
      </c>
      <c r="M2765" t="s">
        <v>54075</v>
      </c>
      <c r="N2765" t="s">
        <v>54076</v>
      </c>
      <c r="O2765">
        <f>-641.857158512433 -139.661360583013 -485.236610666761</f>
        <v>-1266.7551297622069</v>
      </c>
      <c r="P2765">
        <f>-605.632249055347 -150.684730232523 -205.692646244236</f>
        <v>-962.00962553210604</v>
      </c>
      <c r="Q2765">
        <f>-425.974204919616 -30.0877410910141 -290.119084480373</f>
        <v>-746.18103049100307</v>
      </c>
      <c r="R2765" t="s">
        <v>54077</v>
      </c>
      <c r="S2765" t="s">
        <v>54078</v>
      </c>
      <c r="T2765" t="s">
        <v>54079</v>
      </c>
      <c r="U2765" t="s">
        <v>54080</v>
      </c>
      <c r="V2765">
        <f>-560.600516790357 -31.965137367569 -89.2158393055005</f>
        <v>-681.7814934634265</v>
      </c>
      <c r="W2765" t="s">
        <v>54081</v>
      </c>
      <c r="X2765" t="s">
        <v>54082</v>
      </c>
      <c r="Y2765" t="s">
        <v>54083</v>
      </c>
    </row>
    <row r="2766" spans="1:25" x14ac:dyDescent="0.3">
      <c r="A2766">
        <v>138250</v>
      </c>
      <c r="B2766" t="s">
        <v>54084</v>
      </c>
      <c r="C2766" t="s">
        <v>54085</v>
      </c>
      <c r="D2766" t="s">
        <v>54086</v>
      </c>
      <c r="E2766" t="s">
        <v>54087</v>
      </c>
      <c r="F2766" t="s">
        <v>54088</v>
      </c>
      <c r="G2766" t="s">
        <v>54089</v>
      </c>
      <c r="H2766" t="s">
        <v>54090</v>
      </c>
      <c r="I2766" t="s">
        <v>54091</v>
      </c>
      <c r="J2766" t="s">
        <v>54092</v>
      </c>
      <c r="K2766" t="s">
        <v>54093</v>
      </c>
      <c r="L2766" t="s">
        <v>54094</v>
      </c>
      <c r="M2766" t="s">
        <v>54095</v>
      </c>
      <c r="N2766" t="s">
        <v>54096</v>
      </c>
      <c r="O2766">
        <f>-642.179102159307 -139.840388423986 -485.067164614565</f>
        <v>-1267.0866551978581</v>
      </c>
      <c r="P2766">
        <f>-606.062146395314 -150.673890880263 -205.501703947343</f>
        <v>-962.23774122292002</v>
      </c>
      <c r="Q2766">
        <f>-426.326366467544 -30.1542304214738 -289.873622635985</f>
        <v>-746.3542195250028</v>
      </c>
      <c r="R2766" t="s">
        <v>54097</v>
      </c>
      <c r="S2766" t="s">
        <v>54098</v>
      </c>
      <c r="T2766" t="s">
        <v>54099</v>
      </c>
      <c r="U2766" t="s">
        <v>54100</v>
      </c>
      <c r="V2766">
        <f>-560.746473037879 -31.9606206189965 -89.2110938586911</f>
        <v>-681.91818751556661</v>
      </c>
      <c r="W2766" t="s">
        <v>54101</v>
      </c>
      <c r="X2766" t="s">
        <v>54102</v>
      </c>
      <c r="Y2766" t="s">
        <v>54103</v>
      </c>
    </row>
    <row r="2767" spans="1:25" x14ac:dyDescent="0.3">
      <c r="A2767">
        <v>138300</v>
      </c>
      <c r="B2767" t="s">
        <v>54104</v>
      </c>
      <c r="C2767" t="s">
        <v>54105</v>
      </c>
      <c r="D2767" t="s">
        <v>54106</v>
      </c>
      <c r="E2767" t="s">
        <v>54107</v>
      </c>
      <c r="F2767" t="s">
        <v>54108</v>
      </c>
      <c r="G2767" t="s">
        <v>54109</v>
      </c>
      <c r="H2767" t="s">
        <v>54110</v>
      </c>
      <c r="I2767" t="s">
        <v>54111</v>
      </c>
      <c r="J2767" t="s">
        <v>54112</v>
      </c>
      <c r="K2767" t="s">
        <v>54113</v>
      </c>
      <c r="L2767" t="s">
        <v>54114</v>
      </c>
      <c r="M2767" t="s">
        <v>54115</v>
      </c>
      <c r="N2767" t="s">
        <v>54116</v>
      </c>
      <c r="O2767">
        <f>-642.748768011966 -140.053275907321 -484.838508214499</f>
        <v>-1267.6405521337861</v>
      </c>
      <c r="P2767">
        <f>-606.743064613152 -150.595456942991 -205.247681521124</f>
        <v>-962.58620307726699</v>
      </c>
      <c r="Q2767">
        <f>-426.942646027571 -30.2220032619343 -289.690620860839</f>
        <v>-746.85527015034427</v>
      </c>
      <c r="R2767" t="s">
        <v>54117</v>
      </c>
      <c r="S2767" t="s">
        <v>54118</v>
      </c>
      <c r="T2767" t="s">
        <v>54119</v>
      </c>
      <c r="U2767" t="s">
        <v>54120</v>
      </c>
      <c r="V2767">
        <f>-561.054083993686 -31.8948798022054 -89.1944969973555</f>
        <v>-682.14346079324696</v>
      </c>
      <c r="W2767" t="s">
        <v>54121</v>
      </c>
      <c r="X2767" t="s">
        <v>54122</v>
      </c>
      <c r="Y2767" t="s">
        <v>54123</v>
      </c>
    </row>
    <row r="2768" spans="1:25" x14ac:dyDescent="0.3">
      <c r="A2768">
        <v>138350</v>
      </c>
      <c r="B2768" t="s">
        <v>54124</v>
      </c>
      <c r="C2768" t="s">
        <v>54125</v>
      </c>
      <c r="D2768" t="s">
        <v>54126</v>
      </c>
      <c r="E2768" t="s">
        <v>54127</v>
      </c>
      <c r="F2768" t="s">
        <v>54128</v>
      </c>
      <c r="G2768" t="s">
        <v>54129</v>
      </c>
      <c r="H2768" t="s">
        <v>54130</v>
      </c>
      <c r="I2768" t="s">
        <v>54131</v>
      </c>
      <c r="J2768" t="s">
        <v>54132</v>
      </c>
      <c r="K2768" t="s">
        <v>54133</v>
      </c>
      <c r="L2768" t="s">
        <v>54134</v>
      </c>
      <c r="M2768" t="s">
        <v>54135</v>
      </c>
      <c r="N2768" t="s">
        <v>54136</v>
      </c>
      <c r="O2768">
        <f>-642.863693527326 -140.110858311437 -484.799853443544</f>
        <v>-1267.774405282307</v>
      </c>
      <c r="P2768">
        <f>-606.912160895855 -150.590635444465 -205.199738081621</f>
        <v>-962.70253442194098</v>
      </c>
      <c r="Q2768">
        <f>-427.121984375504 -30.1933514684515 -289.630194447724</f>
        <v>-746.94553029167946</v>
      </c>
      <c r="R2768" t="s">
        <v>54137</v>
      </c>
      <c r="S2768" t="s">
        <v>54138</v>
      </c>
      <c r="T2768" t="s">
        <v>54139</v>
      </c>
      <c r="U2768" t="s">
        <v>54140</v>
      </c>
      <c r="V2768">
        <f>-561.183514187839 -31.8473020055437 -89.1918078609992</f>
        <v>-682.22262405438198</v>
      </c>
      <c r="W2768" t="s">
        <v>54141</v>
      </c>
      <c r="X2768" t="s">
        <v>54142</v>
      </c>
      <c r="Y2768" t="s">
        <v>54143</v>
      </c>
    </row>
    <row r="2769" spans="1:25" x14ac:dyDescent="0.3">
      <c r="A2769">
        <v>138400</v>
      </c>
      <c r="B2769" t="s">
        <v>54144</v>
      </c>
      <c r="C2769" t="s">
        <v>54145</v>
      </c>
      <c r="D2769" t="s">
        <v>54146</v>
      </c>
      <c r="E2769" t="s">
        <v>54147</v>
      </c>
      <c r="F2769" t="s">
        <v>54148</v>
      </c>
      <c r="G2769" t="s">
        <v>54149</v>
      </c>
      <c r="H2769" t="s">
        <v>54150</v>
      </c>
      <c r="I2769" t="s">
        <v>54151</v>
      </c>
      <c r="J2769" t="s">
        <v>54152</v>
      </c>
      <c r="K2769" t="s">
        <v>54153</v>
      </c>
      <c r="L2769" t="s">
        <v>54154</v>
      </c>
      <c r="M2769" t="s">
        <v>54155</v>
      </c>
      <c r="N2769" t="s">
        <v>54156</v>
      </c>
      <c r="O2769">
        <f>-643.034161332447 -140.127213446142 -484.790320901031</f>
        <v>-1267.9516956796201</v>
      </c>
      <c r="P2769">
        <f>-607.180849822841 -150.526530016567 -205.174564655086</f>
        <v>-962.88194449449395</v>
      </c>
      <c r="Q2769">
        <f>-427.320056697831 -29.9986737822405 -289.267713583971</f>
        <v>-746.58644406404244</v>
      </c>
      <c r="R2769" t="s">
        <v>54157</v>
      </c>
      <c r="S2769" t="s">
        <v>54158</v>
      </c>
      <c r="T2769" t="s">
        <v>54159</v>
      </c>
      <c r="U2769" t="s">
        <v>54160</v>
      </c>
      <c r="V2769">
        <f>-561.301713578842 -31.7672762590375 -89.1970843370647</f>
        <v>-682.26607417494426</v>
      </c>
      <c r="W2769" t="s">
        <v>54161</v>
      </c>
      <c r="X2769" t="s">
        <v>54162</v>
      </c>
      <c r="Y2769" t="s">
        <v>54163</v>
      </c>
    </row>
    <row r="2770" spans="1:25" x14ac:dyDescent="0.3">
      <c r="A2770">
        <v>138450</v>
      </c>
      <c r="B2770" t="s">
        <v>54164</v>
      </c>
      <c r="C2770" t="s">
        <v>54165</v>
      </c>
      <c r="D2770" t="s">
        <v>54166</v>
      </c>
      <c r="E2770" t="s">
        <v>54167</v>
      </c>
      <c r="F2770" t="s">
        <v>54168</v>
      </c>
      <c r="G2770" t="s">
        <v>54169</v>
      </c>
      <c r="H2770" t="s">
        <v>54170</v>
      </c>
      <c r="I2770" t="s">
        <v>54171</v>
      </c>
      <c r="J2770" t="s">
        <v>54172</v>
      </c>
      <c r="K2770" t="s">
        <v>54173</v>
      </c>
      <c r="L2770" t="s">
        <v>54174</v>
      </c>
      <c r="M2770" t="s">
        <v>54175</v>
      </c>
      <c r="N2770" t="s">
        <v>54176</v>
      </c>
      <c r="O2770">
        <f>-643.12449581164 -140.120801425239 -484.782800219199</f>
        <v>-1268.0280974560778</v>
      </c>
      <c r="P2770">
        <f>-607.288792376878 -150.450957325798 -205.162252372333</f>
        <v>-962.90200207500891</v>
      </c>
      <c r="Q2770">
        <f>-427.365177556501 -29.8095562136784 -288.957603415937</f>
        <v>-746.13233718611639</v>
      </c>
      <c r="R2770" t="s">
        <v>54177</v>
      </c>
      <c r="S2770" t="s">
        <v>54178</v>
      </c>
      <c r="T2770" t="s">
        <v>54179</v>
      </c>
      <c r="U2770" t="s">
        <v>54180</v>
      </c>
      <c r="V2770">
        <f>-561.299451923367 -31.7656025122558 -89.195676960274</f>
        <v>-682.26073139589676</v>
      </c>
      <c r="W2770" t="s">
        <v>54181</v>
      </c>
      <c r="X2770" t="s">
        <v>54182</v>
      </c>
      <c r="Y2770" t="s">
        <v>54183</v>
      </c>
    </row>
    <row r="2771" spans="1:25" x14ac:dyDescent="0.3">
      <c r="A2771">
        <v>138500</v>
      </c>
      <c r="B2771" t="s">
        <v>54184</v>
      </c>
      <c r="C2771" t="s">
        <v>54185</v>
      </c>
      <c r="D2771" t="s">
        <v>54186</v>
      </c>
      <c r="E2771" t="s">
        <v>54187</v>
      </c>
      <c r="F2771" t="s">
        <v>54188</v>
      </c>
      <c r="G2771" t="s">
        <v>54189</v>
      </c>
      <c r="H2771" t="s">
        <v>54190</v>
      </c>
      <c r="I2771" t="s">
        <v>54191</v>
      </c>
      <c r="J2771" t="s">
        <v>54192</v>
      </c>
      <c r="K2771" t="s">
        <v>54193</v>
      </c>
      <c r="L2771" t="s">
        <v>54194</v>
      </c>
      <c r="M2771" t="s">
        <v>54195</v>
      </c>
      <c r="N2771" t="s">
        <v>54196</v>
      </c>
      <c r="O2771">
        <f>-643.074365729496 -140.100357570887 -484.813274815758</f>
        <v>-1267.9879981161409</v>
      </c>
      <c r="P2771">
        <f>-607.275991283763 -150.32203110277 -205.183929859188</f>
        <v>-962.78195224572096</v>
      </c>
      <c r="Q2771">
        <f>-427.063683710448 -29.5426392727741 -288.155918443071</f>
        <v>-744.76224142629314</v>
      </c>
      <c r="R2771" t="s">
        <v>54197</v>
      </c>
      <c r="S2771" t="s">
        <v>54198</v>
      </c>
      <c r="T2771" t="s">
        <v>54199</v>
      </c>
      <c r="U2771" t="s">
        <v>54200</v>
      </c>
      <c r="V2771">
        <f>-561.259651051387 -31.8202137576316 -89.1906640023258</f>
        <v>-682.27052881134432</v>
      </c>
      <c r="W2771" t="s">
        <v>54201</v>
      </c>
      <c r="X2771" t="s">
        <v>54202</v>
      </c>
      <c r="Y2771" t="s">
        <v>54203</v>
      </c>
    </row>
    <row r="2772" spans="1:25" x14ac:dyDescent="0.3">
      <c r="A2772">
        <v>138550</v>
      </c>
      <c r="B2772" t="s">
        <v>54204</v>
      </c>
      <c r="C2772" t="s">
        <v>54205</v>
      </c>
      <c r="D2772" t="s">
        <v>54206</v>
      </c>
      <c r="E2772" t="s">
        <v>54207</v>
      </c>
      <c r="F2772" t="s">
        <v>54208</v>
      </c>
      <c r="G2772" t="s">
        <v>54209</v>
      </c>
      <c r="H2772" t="s">
        <v>54210</v>
      </c>
      <c r="I2772" t="s">
        <v>54211</v>
      </c>
      <c r="J2772" t="s">
        <v>54212</v>
      </c>
      <c r="K2772" t="s">
        <v>54213</v>
      </c>
      <c r="L2772" t="s">
        <v>54214</v>
      </c>
      <c r="M2772" t="s">
        <v>54215</v>
      </c>
      <c r="N2772" t="s">
        <v>54216</v>
      </c>
      <c r="O2772">
        <f>-642.851516882036 -140.117274139793 -484.826146888034</f>
        <v>-1267.7949379098629</v>
      </c>
      <c r="P2772">
        <f>-607.079086440342 -150.34162494606 -205.19363076465</f>
        <v>-962.61434215105203</v>
      </c>
      <c r="Q2772">
        <f>-426.792620453717 -29.4776987080468 -287.880827133045</f>
        <v>-744.15114629480877</v>
      </c>
      <c r="R2772" t="s">
        <v>54217</v>
      </c>
      <c r="S2772" t="s">
        <v>54218</v>
      </c>
      <c r="T2772" t="s">
        <v>54219</v>
      </c>
      <c r="U2772" t="s">
        <v>54220</v>
      </c>
      <c r="V2772">
        <f>-561.191360030277 -31.8291259638263 -89.1934435989938</f>
        <v>-682.21392959309708</v>
      </c>
      <c r="W2772" t="s">
        <v>54221</v>
      </c>
      <c r="X2772" t="s">
        <v>54222</v>
      </c>
      <c r="Y2772" t="s">
        <v>54223</v>
      </c>
    </row>
    <row r="2773" spans="1:25" x14ac:dyDescent="0.3">
      <c r="A2773">
        <v>138600</v>
      </c>
      <c r="B2773" t="s">
        <v>54224</v>
      </c>
      <c r="C2773" t="s">
        <v>54225</v>
      </c>
      <c r="D2773" t="s">
        <v>54226</v>
      </c>
      <c r="E2773" t="s">
        <v>54227</v>
      </c>
      <c r="F2773" t="s">
        <v>54228</v>
      </c>
      <c r="G2773" t="s">
        <v>54229</v>
      </c>
      <c r="H2773" t="s">
        <v>54230</v>
      </c>
      <c r="I2773" t="s">
        <v>54231</v>
      </c>
      <c r="J2773" t="s">
        <v>54232</v>
      </c>
      <c r="K2773" t="s">
        <v>54233</v>
      </c>
      <c r="L2773" t="s">
        <v>54234</v>
      </c>
      <c r="M2773" t="s">
        <v>54235</v>
      </c>
      <c r="N2773" t="s">
        <v>54236</v>
      </c>
      <c r="O2773">
        <f>-642.463914939361 -140.203822817109 -484.80263400473</f>
        <v>-1267.4703717611999</v>
      </c>
      <c r="P2773">
        <f>-606.723385158952 -150.429694160808 -205.165911544556</f>
        <v>-962.31899086431611</v>
      </c>
      <c r="Q2773">
        <f>-426.335896113046 -29.4770700294616 -287.502522960678</f>
        <v>-743.31548910318554</v>
      </c>
      <c r="R2773" t="s">
        <v>54237</v>
      </c>
      <c r="S2773" t="s">
        <v>54238</v>
      </c>
      <c r="T2773" t="s">
        <v>54239</v>
      </c>
      <c r="U2773" t="s">
        <v>54240</v>
      </c>
      <c r="V2773">
        <f>-560.96931408801 -31.862469056915 -89.1764409487903</f>
        <v>-682.00822409371528</v>
      </c>
      <c r="W2773" t="s">
        <v>54241</v>
      </c>
      <c r="X2773" t="s">
        <v>54242</v>
      </c>
      <c r="Y2773" t="s">
        <v>54243</v>
      </c>
    </row>
    <row r="2774" spans="1:25" x14ac:dyDescent="0.3">
      <c r="A2774">
        <v>138650</v>
      </c>
      <c r="B2774" t="s">
        <v>54244</v>
      </c>
      <c r="C2774" t="s">
        <v>54245</v>
      </c>
      <c r="D2774" t="s">
        <v>54246</v>
      </c>
      <c r="E2774" t="s">
        <v>54247</v>
      </c>
      <c r="F2774" t="s">
        <v>54248</v>
      </c>
      <c r="G2774" t="s">
        <v>54249</v>
      </c>
      <c r="H2774" t="s">
        <v>54250</v>
      </c>
      <c r="I2774" t="s">
        <v>54251</v>
      </c>
      <c r="J2774" t="s">
        <v>54252</v>
      </c>
      <c r="K2774" t="s">
        <v>54253</v>
      </c>
      <c r="L2774" t="s">
        <v>54254</v>
      </c>
      <c r="M2774" t="s">
        <v>54255</v>
      </c>
      <c r="N2774" t="s">
        <v>54256</v>
      </c>
      <c r="O2774">
        <f>-642.351107950009 -140.286290262623 -484.78147030919</f>
        <v>-1267.4188685218219</v>
      </c>
      <c r="P2774">
        <f>-606.487736046303 -150.467017115106 -205.158939377197</f>
        <v>-962.11369253860585</v>
      </c>
      <c r="Q2774">
        <f>-426.059490733414 -29.5521129371627 -287.461721185362</f>
        <v>-743.07332485593872</v>
      </c>
      <c r="R2774" t="s">
        <v>54257</v>
      </c>
      <c r="S2774" t="s">
        <v>54258</v>
      </c>
      <c r="T2774" t="s">
        <v>54259</v>
      </c>
      <c r="U2774" t="s">
        <v>54260</v>
      </c>
      <c r="V2774">
        <f>-560.862940038938 -31.9591144556539 -89.1744997030199</f>
        <v>-681.99655419761177</v>
      </c>
      <c r="W2774" t="s">
        <v>54261</v>
      </c>
      <c r="X2774" t="s">
        <v>54262</v>
      </c>
      <c r="Y2774" t="s">
        <v>54263</v>
      </c>
    </row>
    <row r="2775" spans="1:25" x14ac:dyDescent="0.3">
      <c r="A2775">
        <v>138700</v>
      </c>
      <c r="B2775" t="s">
        <v>54264</v>
      </c>
      <c r="C2775" t="s">
        <v>54265</v>
      </c>
      <c r="D2775" t="s">
        <v>54266</v>
      </c>
      <c r="E2775" t="s">
        <v>54267</v>
      </c>
      <c r="F2775" t="s">
        <v>54268</v>
      </c>
      <c r="G2775" t="s">
        <v>54269</v>
      </c>
      <c r="H2775" t="s">
        <v>54270</v>
      </c>
      <c r="I2775" t="s">
        <v>54271</v>
      </c>
      <c r="J2775" t="s">
        <v>54272</v>
      </c>
      <c r="K2775" t="s">
        <v>54273</v>
      </c>
      <c r="L2775" t="s">
        <v>54274</v>
      </c>
      <c r="M2775" t="s">
        <v>54275</v>
      </c>
      <c r="N2775" t="s">
        <v>54276</v>
      </c>
      <c r="O2775">
        <f>-642.287528450565 -140.359296602705 -484.748432051121</f>
        <v>-1267.395257104391</v>
      </c>
      <c r="P2775">
        <f>-605.911916052864 -150.481611584187 -205.189944337909</f>
        <v>-961.58347197495993</v>
      </c>
      <c r="Q2775">
        <f>-425.476643779824 -29.526198993555 -287.417963904303</f>
        <v>-742.42080667768198</v>
      </c>
      <c r="R2775" t="s">
        <v>54277</v>
      </c>
      <c r="S2775" t="s">
        <v>54278</v>
      </c>
      <c r="T2775" t="s">
        <v>54279</v>
      </c>
      <c r="U2775" t="s">
        <v>54280</v>
      </c>
      <c r="V2775">
        <f>-560.680245540608 -32.1250279331525 -89.1766499158383</f>
        <v>-681.98192338959882</v>
      </c>
      <c r="W2775" t="s">
        <v>54281</v>
      </c>
      <c r="X2775" t="s">
        <v>54282</v>
      </c>
      <c r="Y2775" t="s">
        <v>54283</v>
      </c>
    </row>
    <row r="2776" spans="1:25" x14ac:dyDescent="0.3">
      <c r="A2776">
        <v>138750</v>
      </c>
      <c r="B2776" t="s">
        <v>54284</v>
      </c>
      <c r="C2776" t="s">
        <v>54285</v>
      </c>
      <c r="D2776" t="s">
        <v>54286</v>
      </c>
      <c r="E2776" t="s">
        <v>54287</v>
      </c>
      <c r="F2776" t="s">
        <v>54288</v>
      </c>
      <c r="G2776" t="s">
        <v>54289</v>
      </c>
      <c r="H2776" t="s">
        <v>54290</v>
      </c>
      <c r="I2776" t="s">
        <v>54291</v>
      </c>
      <c r="J2776" t="s">
        <v>54292</v>
      </c>
      <c r="K2776" t="s">
        <v>54293</v>
      </c>
      <c r="L2776" t="s">
        <v>54294</v>
      </c>
      <c r="M2776" t="s">
        <v>54295</v>
      </c>
      <c r="N2776" t="s">
        <v>54296</v>
      </c>
      <c r="O2776">
        <f>-642.203211503852 -140.358970135293 -484.719374800298</f>
        <v>-1267.281556439443</v>
      </c>
      <c r="P2776">
        <f>-605.569954049175 -150.326516605742 -205.189062910427</f>
        <v>-961.08553356534389</v>
      </c>
      <c r="Q2776">
        <f>-425.027600274544 -29.4356352675629 -287.276419044825</f>
        <v>-741.73965458693192</v>
      </c>
      <c r="R2776" t="s">
        <v>54297</v>
      </c>
      <c r="S2776" t="s">
        <v>54298</v>
      </c>
      <c r="T2776" t="s">
        <v>54299</v>
      </c>
      <c r="U2776" t="s">
        <v>54300</v>
      </c>
      <c r="V2776">
        <f>-560.603525646655 -32.1114207975727 -89.1744090893731</f>
        <v>-681.88935553360079</v>
      </c>
      <c r="W2776" t="s">
        <v>54301</v>
      </c>
      <c r="X2776" t="s">
        <v>54302</v>
      </c>
      <c r="Y2776" t="s">
        <v>54303</v>
      </c>
    </row>
    <row r="2777" spans="1:25" x14ac:dyDescent="0.3">
      <c r="A2777">
        <v>138800</v>
      </c>
      <c r="B2777" t="s">
        <v>54304</v>
      </c>
      <c r="C2777" t="s">
        <v>54305</v>
      </c>
      <c r="D2777" t="s">
        <v>54306</v>
      </c>
      <c r="E2777" t="s">
        <v>54307</v>
      </c>
      <c r="F2777" t="s">
        <v>54308</v>
      </c>
      <c r="G2777" t="s">
        <v>54309</v>
      </c>
      <c r="H2777" t="s">
        <v>54310</v>
      </c>
      <c r="I2777" t="s">
        <v>54311</v>
      </c>
      <c r="J2777" t="s">
        <v>54312</v>
      </c>
      <c r="K2777" t="s">
        <v>54313</v>
      </c>
      <c r="L2777" t="s">
        <v>54314</v>
      </c>
      <c r="M2777" t="s">
        <v>54315</v>
      </c>
      <c r="N2777" t="s">
        <v>54316</v>
      </c>
      <c r="O2777">
        <f>-642.033930398315 -140.372781511992 -484.602893757612</f>
        <v>-1267.009605667919</v>
      </c>
      <c r="P2777">
        <f>-605.159986519933 -149.878694790473 -205.088107372574</f>
        <v>-960.12678868297996</v>
      </c>
      <c r="Q2777">
        <f>-424.059759325193 -29.3780351105427 -286.518077325182</f>
        <v>-739.95587176091772</v>
      </c>
      <c r="R2777" t="s">
        <v>54317</v>
      </c>
      <c r="S2777" t="s">
        <v>54318</v>
      </c>
      <c r="T2777" t="s">
        <v>54319</v>
      </c>
      <c r="U2777" t="s">
        <v>54320</v>
      </c>
      <c r="V2777">
        <f>-560.487293625223 -32.1642061783866 -89.1715004927441</f>
        <v>-681.82300029635371</v>
      </c>
      <c r="W2777" t="s">
        <v>54321</v>
      </c>
      <c r="X2777" t="s">
        <v>54322</v>
      </c>
      <c r="Y2777" t="s">
        <v>54323</v>
      </c>
    </row>
    <row r="2778" spans="1:25" x14ac:dyDescent="0.3">
      <c r="A2778">
        <v>138850</v>
      </c>
      <c r="B2778" t="s">
        <v>54324</v>
      </c>
      <c r="C2778" t="s">
        <v>54325</v>
      </c>
      <c r="D2778" t="s">
        <v>54326</v>
      </c>
      <c r="E2778" t="s">
        <v>54327</v>
      </c>
      <c r="F2778" t="s">
        <v>54328</v>
      </c>
      <c r="G2778" t="s">
        <v>54329</v>
      </c>
      <c r="H2778" t="s">
        <v>54330</v>
      </c>
      <c r="I2778" t="s">
        <v>54331</v>
      </c>
      <c r="J2778" t="s">
        <v>54332</v>
      </c>
      <c r="K2778" t="s">
        <v>54333</v>
      </c>
      <c r="L2778" t="s">
        <v>54334</v>
      </c>
      <c r="M2778" t="s">
        <v>54335</v>
      </c>
      <c r="N2778" t="s">
        <v>54336</v>
      </c>
      <c r="O2778">
        <f>-641.982970693637 -140.446693432576 -484.501459701063</f>
        <v>-1266.931123827276</v>
      </c>
      <c r="P2778">
        <f>-605.202761827534 -149.770472794557 -204.968050925263</f>
        <v>-959.94128554735403</v>
      </c>
      <c r="Q2778">
        <f>-423.700897049104 -29.471460205546 -285.799892080098</f>
        <v>-738.97224933474808</v>
      </c>
      <c r="R2778" t="s">
        <v>54337</v>
      </c>
      <c r="S2778" t="s">
        <v>54338</v>
      </c>
      <c r="T2778" t="s">
        <v>54339</v>
      </c>
      <c r="U2778" t="s">
        <v>54340</v>
      </c>
      <c r="V2778">
        <f>-560.467336696446 -32.1637711147257 -89.165427403825</f>
        <v>-681.79653521499665</v>
      </c>
      <c r="W2778" t="s">
        <v>54341</v>
      </c>
      <c r="X2778" t="s">
        <v>54342</v>
      </c>
      <c r="Y2778" t="s">
        <v>54343</v>
      </c>
    </row>
    <row r="2779" spans="1:25" x14ac:dyDescent="0.3">
      <c r="A2779">
        <v>138900</v>
      </c>
      <c r="B2779" t="s">
        <v>54344</v>
      </c>
      <c r="C2779" t="s">
        <v>54345</v>
      </c>
      <c r="D2779" t="s">
        <v>54346</v>
      </c>
      <c r="E2779" t="s">
        <v>54347</v>
      </c>
      <c r="F2779" t="s">
        <v>54348</v>
      </c>
      <c r="G2779" t="s">
        <v>54349</v>
      </c>
      <c r="H2779" t="s">
        <v>54350</v>
      </c>
      <c r="I2779" t="s">
        <v>54351</v>
      </c>
      <c r="J2779" t="s">
        <v>54352</v>
      </c>
      <c r="K2779" t="s">
        <v>54353</v>
      </c>
      <c r="L2779" t="s">
        <v>54354</v>
      </c>
      <c r="M2779" t="s">
        <v>54355</v>
      </c>
      <c r="N2779" t="s">
        <v>54356</v>
      </c>
      <c r="O2779">
        <f>-641.906980802465 -140.570970422196 -484.343223043415</f>
        <v>-1266.821174268076</v>
      </c>
      <c r="P2779">
        <f>-605.612104489739 -149.31586511408 -204.727814006119</f>
        <v>-959.655783609938</v>
      </c>
      <c r="Q2779">
        <f>-423.052028909921 -29.7281662283442 -284.220856807098</f>
        <v>-737.0010519453632</v>
      </c>
      <c r="R2779" t="s">
        <v>54357</v>
      </c>
      <c r="S2779" t="s">
        <v>54358</v>
      </c>
      <c r="T2779" t="s">
        <v>54359</v>
      </c>
      <c r="U2779" t="s">
        <v>54360</v>
      </c>
      <c r="V2779">
        <f>-560.492910648262 -32.0466089452402 -89.1551758576247</f>
        <v>-681.6946954511269</v>
      </c>
      <c r="W2779" t="s">
        <v>54361</v>
      </c>
      <c r="X2779" t="s">
        <v>54362</v>
      </c>
      <c r="Y2779" t="s">
        <v>54363</v>
      </c>
    </row>
    <row r="2780" spans="1:25" x14ac:dyDescent="0.3">
      <c r="A2780">
        <v>138950</v>
      </c>
      <c r="B2780" t="s">
        <v>54364</v>
      </c>
      <c r="C2780" t="s">
        <v>54365</v>
      </c>
      <c r="D2780" t="s">
        <v>54366</v>
      </c>
      <c r="E2780" t="s">
        <v>54367</v>
      </c>
      <c r="F2780" t="s">
        <v>54368</v>
      </c>
      <c r="G2780" t="s">
        <v>54369</v>
      </c>
      <c r="H2780" t="s">
        <v>54370</v>
      </c>
      <c r="I2780" t="s">
        <v>54371</v>
      </c>
      <c r="J2780" t="s">
        <v>54372</v>
      </c>
      <c r="K2780" t="s">
        <v>54373</v>
      </c>
      <c r="L2780" t="s">
        <v>54374</v>
      </c>
      <c r="M2780" t="s">
        <v>54375</v>
      </c>
      <c r="N2780" t="s">
        <v>54376</v>
      </c>
      <c r="O2780">
        <f>-641.887275590172 -140.548706123178 -484.315742540644</f>
        <v>-1266.7517242539939</v>
      </c>
      <c r="P2780">
        <f>-605.851716996115 -149.155542400736 -204.662508965306</f>
        <v>-959.6697683621569</v>
      </c>
      <c r="Q2780">
        <f>-422.623760343117 -30.2047519552839 -283.572594942742</f>
        <v>-736.40110724114288</v>
      </c>
      <c r="R2780" t="s">
        <v>54377</v>
      </c>
      <c r="S2780" t="s">
        <v>54378</v>
      </c>
      <c r="T2780" t="s">
        <v>54379</v>
      </c>
      <c r="U2780" t="s">
        <v>54380</v>
      </c>
      <c r="V2780">
        <f>-560.491256458124 -31.9154717933102 -89.134548589629</f>
        <v>-681.54127684106322</v>
      </c>
      <c r="W2780" t="s">
        <v>54381</v>
      </c>
      <c r="X2780" t="s">
        <v>54382</v>
      </c>
      <c r="Y2780" t="s">
        <v>54383</v>
      </c>
    </row>
    <row r="2781" spans="1:25" x14ac:dyDescent="0.3">
      <c r="A2781">
        <v>139000</v>
      </c>
      <c r="B2781" t="s">
        <v>54384</v>
      </c>
      <c r="C2781" t="s">
        <v>54385</v>
      </c>
      <c r="D2781" t="s">
        <v>54386</v>
      </c>
      <c r="E2781" t="s">
        <v>54387</v>
      </c>
      <c r="F2781" t="s">
        <v>54388</v>
      </c>
      <c r="G2781" t="s">
        <v>54389</v>
      </c>
      <c r="H2781" t="s">
        <v>54390</v>
      </c>
      <c r="I2781" t="s">
        <v>54391</v>
      </c>
      <c r="J2781" t="s">
        <v>54392</v>
      </c>
      <c r="K2781" t="s">
        <v>54393</v>
      </c>
      <c r="L2781" t="s">
        <v>54394</v>
      </c>
      <c r="M2781" t="s">
        <v>54395</v>
      </c>
      <c r="N2781" t="s">
        <v>54396</v>
      </c>
      <c r="O2781">
        <f>-641.700186254678 -140.421732531026 -484.342973697857</f>
        <v>-1266.464892483561</v>
      </c>
      <c r="P2781">
        <f>-606.754604178235 -148.836056915171 -204.545534971096</f>
        <v>-960.13619606450197</v>
      </c>
      <c r="Q2781">
        <f>-422.12685389002 -31.7530009088066 -282.984874793174</f>
        <v>-736.86472959200069</v>
      </c>
      <c r="R2781" t="s">
        <v>54397</v>
      </c>
      <c r="S2781" t="s">
        <v>54398</v>
      </c>
      <c r="T2781" t="s">
        <v>54399</v>
      </c>
      <c r="U2781" t="s">
        <v>54400</v>
      </c>
      <c r="V2781">
        <f>-560.605371386006 -31.5695970509983 -89.102716892319</f>
        <v>-681.27768532932328</v>
      </c>
      <c r="W2781" t="s">
        <v>54401</v>
      </c>
      <c r="X2781" t="s">
        <v>54402</v>
      </c>
      <c r="Y2781" t="s">
        <v>54403</v>
      </c>
    </row>
    <row r="2782" spans="1:25" x14ac:dyDescent="0.3">
      <c r="A2782">
        <v>139050</v>
      </c>
      <c r="B2782" t="s">
        <v>54404</v>
      </c>
      <c r="C2782" t="s">
        <v>54405</v>
      </c>
      <c r="D2782" t="s">
        <v>54406</v>
      </c>
      <c r="E2782" t="s">
        <v>54407</v>
      </c>
      <c r="F2782" t="s">
        <v>54408</v>
      </c>
      <c r="G2782" t="s">
        <v>54409</v>
      </c>
      <c r="H2782" t="s">
        <v>54410</v>
      </c>
      <c r="I2782" t="s">
        <v>54411</v>
      </c>
      <c r="J2782" t="s">
        <v>54412</v>
      </c>
      <c r="K2782" t="s">
        <v>54413</v>
      </c>
      <c r="L2782" t="s">
        <v>54414</v>
      </c>
      <c r="M2782" t="s">
        <v>54415</v>
      </c>
      <c r="N2782" t="s">
        <v>54416</v>
      </c>
      <c r="O2782">
        <f>-641.60707226208 -140.33029453941 -484.435452519647</f>
        <v>-1266.3728193211371</v>
      </c>
      <c r="P2782">
        <f>-607.317491461563 -148.577235917121 -204.551855852689</f>
        <v>-960.44658323137298</v>
      </c>
      <c r="Q2782">
        <f>-421.538360606258 -33.0353173267054 -282.556641014895</f>
        <v>-737.13031894785831</v>
      </c>
      <c r="R2782" t="s">
        <v>54417</v>
      </c>
      <c r="S2782" t="s">
        <v>54418</v>
      </c>
      <c r="T2782" t="s">
        <v>54419</v>
      </c>
      <c r="U2782" t="s">
        <v>54420</v>
      </c>
      <c r="V2782">
        <f>-560.668219432107 -31.4074272153375 -89.0958659774858</f>
        <v>-681.1715126249303</v>
      </c>
      <c r="W2782" t="s">
        <v>54421</v>
      </c>
      <c r="X2782" t="s">
        <v>54422</v>
      </c>
      <c r="Y2782" t="s">
        <v>54423</v>
      </c>
    </row>
    <row r="2783" spans="1:25" x14ac:dyDescent="0.3">
      <c r="A2783">
        <v>139100</v>
      </c>
      <c r="B2783" t="s">
        <v>54424</v>
      </c>
      <c r="C2783" t="s">
        <v>54425</v>
      </c>
      <c r="D2783" t="s">
        <v>54426</v>
      </c>
      <c r="E2783" t="s">
        <v>54427</v>
      </c>
      <c r="F2783" t="s">
        <v>54428</v>
      </c>
      <c r="G2783" t="s">
        <v>54429</v>
      </c>
      <c r="H2783" t="s">
        <v>54430</v>
      </c>
      <c r="I2783" t="s">
        <v>54431</v>
      </c>
      <c r="J2783" t="s">
        <v>54432</v>
      </c>
      <c r="K2783" t="s">
        <v>54433</v>
      </c>
      <c r="L2783" t="s">
        <v>54434</v>
      </c>
      <c r="M2783" t="s">
        <v>54435</v>
      </c>
      <c r="N2783" t="s">
        <v>54436</v>
      </c>
      <c r="O2783">
        <f>-641.637332228596 -140.344854095348 -484.459086868155</f>
        <v>-1266.4412731920991</v>
      </c>
      <c r="P2783">
        <f>-608.789072140387 -147.890647914211 -204.383041392439</f>
        <v>-961.06276144703702</v>
      </c>
      <c r="Q2783">
        <f>-420.627567181687 -35.2784497668033 -280.948650409355</f>
        <v>-736.8546673578453</v>
      </c>
      <c r="R2783" t="s">
        <v>54437</v>
      </c>
      <c r="S2783" t="s">
        <v>54438</v>
      </c>
      <c r="T2783" t="s">
        <v>54439</v>
      </c>
      <c r="U2783" t="s">
        <v>54440</v>
      </c>
      <c r="V2783">
        <f>-560.826144870529 -31.3137126361466 -89.0848158567533</f>
        <v>-681.22467336342891</v>
      </c>
      <c r="W2783" t="s">
        <v>54441</v>
      </c>
      <c r="X2783" t="s">
        <v>54442</v>
      </c>
      <c r="Y2783" t="s">
        <v>54443</v>
      </c>
    </row>
    <row r="2784" spans="1:25" x14ac:dyDescent="0.3">
      <c r="A2784">
        <v>139150</v>
      </c>
      <c r="B2784" t="s">
        <v>54444</v>
      </c>
      <c r="C2784" t="s">
        <v>54445</v>
      </c>
      <c r="D2784" t="s">
        <v>54446</v>
      </c>
      <c r="E2784" t="s">
        <v>54447</v>
      </c>
      <c r="F2784" t="s">
        <v>54448</v>
      </c>
      <c r="G2784" t="s">
        <v>54449</v>
      </c>
      <c r="H2784" t="s">
        <v>54450</v>
      </c>
      <c r="I2784" t="s">
        <v>54451</v>
      </c>
      <c r="J2784" t="s">
        <v>54452</v>
      </c>
      <c r="K2784" t="s">
        <v>54453</v>
      </c>
      <c r="L2784" t="s">
        <v>54454</v>
      </c>
      <c r="M2784" t="s">
        <v>54455</v>
      </c>
      <c r="N2784" t="s">
        <v>54456</v>
      </c>
      <c r="O2784">
        <f>-641.697708776281 -140.513530390897 -484.453470307426</f>
        <v>-1266.664709474604</v>
      </c>
      <c r="P2784">
        <f>-609.657208992092 -147.621875796124 -204.272397056</f>
        <v>-961.55148184421591</v>
      </c>
      <c r="Q2784">
        <f>-420.701875668012 -35.7255908204154 -279.927143626343</f>
        <v>-736.35461011477037</v>
      </c>
      <c r="R2784" t="s">
        <v>54457</v>
      </c>
      <c r="S2784" t="s">
        <v>54458</v>
      </c>
      <c r="T2784" t="s">
        <v>54459</v>
      </c>
      <c r="U2784" t="s">
        <v>54460</v>
      </c>
      <c r="V2784">
        <f>-560.937118095176 -31.4116163993158 -89.0992578370028</f>
        <v>-681.44799233149456</v>
      </c>
      <c r="W2784" t="s">
        <v>54461</v>
      </c>
      <c r="X2784" t="s">
        <v>54462</v>
      </c>
      <c r="Y2784" t="s">
        <v>54463</v>
      </c>
    </row>
    <row r="2785" spans="1:25" x14ac:dyDescent="0.3">
      <c r="A2785">
        <v>139200</v>
      </c>
      <c r="B2785" t="s">
        <v>54464</v>
      </c>
      <c r="C2785" t="s">
        <v>54465</v>
      </c>
      <c r="D2785" t="s">
        <v>54466</v>
      </c>
      <c r="E2785" t="s">
        <v>54467</v>
      </c>
      <c r="F2785" t="s">
        <v>54468</v>
      </c>
      <c r="G2785" t="s">
        <v>54469</v>
      </c>
      <c r="H2785" t="s">
        <v>54470</v>
      </c>
      <c r="I2785" t="s">
        <v>54471</v>
      </c>
      <c r="J2785" t="s">
        <v>54472</v>
      </c>
      <c r="K2785" t="s">
        <v>54473</v>
      </c>
      <c r="L2785" t="s">
        <v>54474</v>
      </c>
      <c r="M2785" t="s">
        <v>54475</v>
      </c>
      <c r="N2785" t="s">
        <v>54476</v>
      </c>
      <c r="O2785">
        <f>-642.069724824922 -140.825803774672 -484.527416080015</f>
        <v>-1267.4229446796089</v>
      </c>
      <c r="P2785">
        <f>-611.68065378076 -146.649947762827 -204.132684288688</f>
        <v>-962.46328583227501</v>
      </c>
      <c r="Q2785">
        <f>-421.280933951087 -35.5324729623494 -277.272389113908</f>
        <v>-734.08579602734437</v>
      </c>
      <c r="R2785" t="s">
        <v>54477</v>
      </c>
      <c r="S2785" t="s">
        <v>54478</v>
      </c>
      <c r="T2785" t="s">
        <v>54479</v>
      </c>
      <c r="U2785" t="s">
        <v>54480</v>
      </c>
      <c r="V2785">
        <f>-561.126281134092 -31.6990806165347 -89.1274163326101</f>
        <v>-681.95277808323681</v>
      </c>
      <c r="W2785" t="s">
        <v>54481</v>
      </c>
      <c r="X2785" t="s">
        <v>54482</v>
      </c>
      <c r="Y2785" t="s">
        <v>54483</v>
      </c>
    </row>
    <row r="2786" spans="1:25" x14ac:dyDescent="0.3">
      <c r="A2786">
        <v>139250</v>
      </c>
      <c r="B2786" t="s">
        <v>54484</v>
      </c>
      <c r="C2786" t="s">
        <v>54485</v>
      </c>
      <c r="D2786" t="s">
        <v>54486</v>
      </c>
      <c r="E2786" t="s">
        <v>54487</v>
      </c>
      <c r="F2786" t="s">
        <v>54488</v>
      </c>
      <c r="G2786" t="s">
        <v>54489</v>
      </c>
      <c r="H2786" t="s">
        <v>54490</v>
      </c>
      <c r="I2786" t="s">
        <v>54491</v>
      </c>
      <c r="J2786" t="s">
        <v>54492</v>
      </c>
      <c r="K2786" t="s">
        <v>54493</v>
      </c>
      <c r="L2786" t="s">
        <v>54494</v>
      </c>
      <c r="M2786" t="s">
        <v>54495</v>
      </c>
      <c r="N2786" t="s">
        <v>54496</v>
      </c>
      <c r="O2786">
        <f>-642.256481955343 -140.984620717218 -484.512248186152</f>
        <v>-1267.753350858713</v>
      </c>
      <c r="P2786">
        <f>-612.485132129321 -146.308053189244 -204.041444244494</f>
        <v>-962.83462956305891</v>
      </c>
      <c r="Q2786">
        <f>-421.499899493052 -35.3609285617358 -275.901596342856</f>
        <v>-732.76242439764383</v>
      </c>
      <c r="R2786" t="s">
        <v>54497</v>
      </c>
      <c r="S2786" t="s">
        <v>54498</v>
      </c>
      <c r="T2786" t="s">
        <v>54499</v>
      </c>
      <c r="U2786" t="s">
        <v>54500</v>
      </c>
      <c r="V2786">
        <f>-561.219414194669 -31.8469843740975 -89.1393061837239</f>
        <v>-682.20570475249031</v>
      </c>
      <c r="W2786" t="s">
        <v>54501</v>
      </c>
      <c r="X2786" t="s">
        <v>54502</v>
      </c>
      <c r="Y2786" t="s">
        <v>54503</v>
      </c>
    </row>
    <row r="2787" spans="1:25" x14ac:dyDescent="0.3">
      <c r="A2787">
        <v>139300</v>
      </c>
      <c r="B2787" t="s">
        <v>54504</v>
      </c>
      <c r="C2787" t="s">
        <v>54505</v>
      </c>
      <c r="D2787" t="s">
        <v>54506</v>
      </c>
      <c r="E2787" t="s">
        <v>54507</v>
      </c>
      <c r="F2787" t="s">
        <v>54508</v>
      </c>
      <c r="G2787" t="s">
        <v>54509</v>
      </c>
      <c r="H2787" t="s">
        <v>54510</v>
      </c>
      <c r="I2787" t="s">
        <v>54511</v>
      </c>
      <c r="J2787" t="s">
        <v>54512</v>
      </c>
      <c r="K2787" t="s">
        <v>54513</v>
      </c>
      <c r="L2787" t="s">
        <v>54514</v>
      </c>
      <c r="M2787" t="s">
        <v>54515</v>
      </c>
      <c r="N2787" t="s">
        <v>54516</v>
      </c>
      <c r="O2787">
        <f>-642.396604182568 -141.169310290736 -484.398500578844</f>
        <v>-1267.9644150521481</v>
      </c>
      <c r="P2787">
        <f>-613.932030261648 -145.644279178099 -203.77714528512</f>
        <v>-963.35345472486711</v>
      </c>
      <c r="Q2787">
        <f>-421.319920847994 -36.3342860295309 -273.780163883502</f>
        <v>-731.43437076102691</v>
      </c>
      <c r="R2787" t="s">
        <v>54517</v>
      </c>
      <c r="S2787" t="s">
        <v>54518</v>
      </c>
      <c r="T2787" t="s">
        <v>54519</v>
      </c>
      <c r="U2787" t="s">
        <v>54520</v>
      </c>
      <c r="V2787">
        <f>-561.590438706369 -31.967676559382 -89.1811869937782</f>
        <v>-682.73930225952915</v>
      </c>
      <c r="W2787" t="s">
        <v>54521</v>
      </c>
      <c r="X2787" t="s">
        <v>54522</v>
      </c>
      <c r="Y2787" t="s">
        <v>54523</v>
      </c>
    </row>
    <row r="2788" spans="1:25" x14ac:dyDescent="0.3">
      <c r="A2788">
        <v>139350</v>
      </c>
      <c r="B2788" t="s">
        <v>54524</v>
      </c>
      <c r="C2788" t="s">
        <v>54525</v>
      </c>
      <c r="D2788" t="s">
        <v>54526</v>
      </c>
      <c r="E2788" t="s">
        <v>54527</v>
      </c>
      <c r="F2788" t="s">
        <v>54528</v>
      </c>
      <c r="G2788" t="s">
        <v>54529</v>
      </c>
      <c r="H2788" t="s">
        <v>54530</v>
      </c>
      <c r="I2788" t="s">
        <v>54531</v>
      </c>
      <c r="J2788" t="s">
        <v>54532</v>
      </c>
      <c r="K2788" t="s">
        <v>54533</v>
      </c>
      <c r="L2788" t="s">
        <v>54534</v>
      </c>
      <c r="M2788" t="s">
        <v>54535</v>
      </c>
      <c r="N2788" t="s">
        <v>54536</v>
      </c>
      <c r="O2788">
        <f>-642.37066233769 -141.33110230946 -484.344996532566</f>
        <v>-1268.046761179716</v>
      </c>
      <c r="P2788">
        <f>-614.536969720498 -145.294398215574 -203.652752807044</f>
        <v>-963.48412074311591</v>
      </c>
      <c r="Q2788">
        <f>-420.943651661972 -37.431146528573 -273.191916887001</f>
        <v>-731.56671507754595</v>
      </c>
      <c r="R2788" t="s">
        <v>54537</v>
      </c>
      <c r="S2788" t="s">
        <v>54538</v>
      </c>
      <c r="T2788" t="s">
        <v>54539</v>
      </c>
      <c r="U2788" t="s">
        <v>54540</v>
      </c>
      <c r="V2788">
        <f>-561.832752051487 -31.9623503910511 -89.2017458327282</f>
        <v>-682.9968482752663</v>
      </c>
      <c r="W2788" t="s">
        <v>54541</v>
      </c>
      <c r="X2788" t="s">
        <v>54542</v>
      </c>
      <c r="Y2788" t="s">
        <v>54543</v>
      </c>
    </row>
    <row r="2789" spans="1:25" x14ac:dyDescent="0.3">
      <c r="A2789">
        <v>139400</v>
      </c>
      <c r="B2789" t="s">
        <v>54544</v>
      </c>
      <c r="C2789" t="s">
        <v>54545</v>
      </c>
      <c r="D2789" t="s">
        <v>54546</v>
      </c>
      <c r="E2789" t="s">
        <v>54547</v>
      </c>
      <c r="F2789" t="s">
        <v>54548</v>
      </c>
      <c r="G2789" t="s">
        <v>54549</v>
      </c>
      <c r="H2789" t="s">
        <v>54550</v>
      </c>
      <c r="I2789" t="s">
        <v>54551</v>
      </c>
      <c r="J2789" t="s">
        <v>54552</v>
      </c>
      <c r="K2789" t="s">
        <v>54553</v>
      </c>
      <c r="L2789" t="s">
        <v>54554</v>
      </c>
      <c r="M2789" t="s">
        <v>54555</v>
      </c>
      <c r="N2789" t="s">
        <v>54556</v>
      </c>
      <c r="O2789">
        <f>-642.254619328543 -141.90175107405 -483.862035120647</f>
        <v>-1268.0184055232401</v>
      </c>
      <c r="P2789">
        <f>-615.829781397223 -144.431552289964 -203.017003854142</f>
        <v>-963.27833754132894</v>
      </c>
      <c r="Q2789">
        <f>-419.976347061988 -40.2980919334702 -271.90935844435</f>
        <v>-732.18379743980813</v>
      </c>
      <c r="R2789" t="s">
        <v>54557</v>
      </c>
      <c r="S2789" t="s">
        <v>54558</v>
      </c>
      <c r="T2789" t="s">
        <v>54559</v>
      </c>
      <c r="U2789" t="s">
        <v>54560</v>
      </c>
      <c r="V2789">
        <f>-562.136774967752 -31.7761974815646 -89.203914150033</f>
        <v>-683.11688659934964</v>
      </c>
      <c r="W2789" t="s">
        <v>54561</v>
      </c>
      <c r="X2789" t="s">
        <v>54562</v>
      </c>
      <c r="Y2789" t="s">
        <v>54563</v>
      </c>
    </row>
    <row r="2790" spans="1:25" x14ac:dyDescent="0.3">
      <c r="A2790">
        <v>139450</v>
      </c>
      <c r="B2790" t="s">
        <v>54564</v>
      </c>
      <c r="C2790" t="s">
        <v>54565</v>
      </c>
      <c r="D2790" t="s">
        <v>54566</v>
      </c>
      <c r="E2790" t="s">
        <v>54567</v>
      </c>
      <c r="F2790" t="s">
        <v>54568</v>
      </c>
      <c r="G2790" t="s">
        <v>54569</v>
      </c>
      <c r="H2790" t="s">
        <v>54570</v>
      </c>
      <c r="I2790" t="s">
        <v>54571</v>
      </c>
      <c r="J2790" t="s">
        <v>54572</v>
      </c>
      <c r="K2790" t="s">
        <v>54573</v>
      </c>
      <c r="L2790" t="s">
        <v>54574</v>
      </c>
      <c r="M2790" t="s">
        <v>54575</v>
      </c>
      <c r="N2790" t="s">
        <v>54576</v>
      </c>
      <c r="O2790">
        <f>-642.277820132714 -142.135038338105 -483.530894031201</f>
        <v>-1267.9437525020201</v>
      </c>
      <c r="P2790">
        <f>-616.483469647085 -143.748903265101 -202.620458532409</f>
        <v>-962.85283144459504</v>
      </c>
      <c r="Q2790">
        <f>-419.433413987491 -41.6464169143999 -271.139723816959</f>
        <v>-732.21955471884985</v>
      </c>
      <c r="R2790" t="s">
        <v>54577</v>
      </c>
      <c r="S2790" t="s">
        <v>54578</v>
      </c>
      <c r="T2790" t="s">
        <v>54579</v>
      </c>
      <c r="U2790" t="s">
        <v>54580</v>
      </c>
      <c r="V2790">
        <f>-562.249168334056 -31.6275357845595 -89.196590590567</f>
        <v>-683.07329470918251</v>
      </c>
      <c r="W2790" t="s">
        <v>54581</v>
      </c>
      <c r="X2790" t="s">
        <v>54582</v>
      </c>
      <c r="Y2790" t="s">
        <v>54583</v>
      </c>
    </row>
    <row r="2791" spans="1:25" x14ac:dyDescent="0.3">
      <c r="A2791">
        <v>139500</v>
      </c>
      <c r="B2791" t="s">
        <v>54584</v>
      </c>
      <c r="C2791" t="s">
        <v>54585</v>
      </c>
      <c r="D2791" t="s">
        <v>54586</v>
      </c>
      <c r="E2791" t="s">
        <v>54587</v>
      </c>
      <c r="F2791" t="s">
        <v>54588</v>
      </c>
      <c r="G2791" t="s">
        <v>54589</v>
      </c>
      <c r="H2791" t="s">
        <v>54590</v>
      </c>
      <c r="I2791" t="s">
        <v>54591</v>
      </c>
      <c r="J2791" t="s">
        <v>54592</v>
      </c>
      <c r="K2791" t="s">
        <v>54593</v>
      </c>
      <c r="L2791" t="s">
        <v>54594</v>
      </c>
      <c r="M2791" t="s">
        <v>54595</v>
      </c>
      <c r="N2791" t="s">
        <v>54596</v>
      </c>
      <c r="O2791">
        <f>-642.687420126105 -142.657828417614 -482.853815368312</f>
        <v>-1268.1990639120311</v>
      </c>
      <c r="P2791">
        <f>-618.011493210999 -142.164437509068 -201.838936952985</f>
        <v>-962.01486767305198</v>
      </c>
      <c r="Q2791">
        <f>-418.487332784333 -44.4311260944328 -269.565196562404</f>
        <v>-732.48365544116973</v>
      </c>
      <c r="R2791" t="s">
        <v>54597</v>
      </c>
      <c r="S2791" t="s">
        <v>54598</v>
      </c>
      <c r="T2791" t="s">
        <v>54599</v>
      </c>
      <c r="U2791" t="s">
        <v>54600</v>
      </c>
      <c r="V2791">
        <f>-562.464012278676 -31.4154961156294 -89.1770933139252</f>
        <v>-683.05660170823057</v>
      </c>
      <c r="W2791" t="s">
        <v>54601</v>
      </c>
      <c r="X2791" t="s">
        <v>54602</v>
      </c>
      <c r="Y2791" t="s">
        <v>54603</v>
      </c>
    </row>
    <row r="2792" spans="1:25" x14ac:dyDescent="0.3">
      <c r="A2792">
        <v>139550</v>
      </c>
      <c r="B2792" t="s">
        <v>54604</v>
      </c>
      <c r="C2792" t="s">
        <v>54605</v>
      </c>
      <c r="D2792" t="s">
        <v>54606</v>
      </c>
      <c r="E2792" t="s">
        <v>54607</v>
      </c>
      <c r="F2792" t="s">
        <v>54608</v>
      </c>
      <c r="G2792" t="s">
        <v>54609</v>
      </c>
      <c r="H2792" t="s">
        <v>54610</v>
      </c>
      <c r="I2792" t="s">
        <v>54611</v>
      </c>
      <c r="J2792" t="s">
        <v>54612</v>
      </c>
      <c r="K2792" t="s">
        <v>54613</v>
      </c>
      <c r="L2792" t="s">
        <v>54614</v>
      </c>
      <c r="M2792" t="s">
        <v>54615</v>
      </c>
      <c r="N2792" t="s">
        <v>54616</v>
      </c>
      <c r="O2792">
        <f>-643.001365539302 -142.946984235694 -482.447005958806</f>
        <v>-1268.395355733802</v>
      </c>
      <c r="P2792">
        <f>-618.883950985369 -141.648446910976 -201.385960478129</f>
        <v>-961.91835837447388</v>
      </c>
      <c r="Q2792">
        <f>-418.33134259781 -45.7660308300674 -268.719078969244</f>
        <v>-732.81645239712134</v>
      </c>
      <c r="R2792" t="s">
        <v>54617</v>
      </c>
      <c r="S2792" t="s">
        <v>54618</v>
      </c>
      <c r="T2792" t="s">
        <v>54619</v>
      </c>
      <c r="U2792" t="s">
        <v>54620</v>
      </c>
      <c r="V2792">
        <f>-562.644412927453 -31.3147089610286 -89.1533345760851</f>
        <v>-683.11245646456666</v>
      </c>
      <c r="W2792" t="s">
        <v>54621</v>
      </c>
      <c r="X2792" t="s">
        <v>54622</v>
      </c>
      <c r="Y2792" t="s">
        <v>54623</v>
      </c>
    </row>
    <row r="2793" spans="1:25" x14ac:dyDescent="0.3">
      <c r="A2793">
        <v>139600</v>
      </c>
      <c r="B2793" t="s">
        <v>54624</v>
      </c>
      <c r="C2793" t="s">
        <v>54625</v>
      </c>
      <c r="D2793" t="s">
        <v>54626</v>
      </c>
      <c r="E2793" t="s">
        <v>54627</v>
      </c>
      <c r="F2793" t="s">
        <v>54628</v>
      </c>
      <c r="G2793" t="s">
        <v>54629</v>
      </c>
      <c r="H2793" t="s">
        <v>54630</v>
      </c>
      <c r="I2793" t="s">
        <v>54631</v>
      </c>
      <c r="J2793" t="s">
        <v>54632</v>
      </c>
      <c r="K2793" t="s">
        <v>54633</v>
      </c>
      <c r="L2793" t="s">
        <v>54634</v>
      </c>
      <c r="M2793" t="s">
        <v>54635</v>
      </c>
      <c r="N2793" t="s">
        <v>54636</v>
      </c>
      <c r="O2793">
        <f>-643.906789893434 -143.497815911359 -481.612264342399</f>
        <v>-1269.0168701471921</v>
      </c>
      <c r="P2793">
        <f>-620.548041921538 -140.769916200644 -200.497412849716</f>
        <v>-961.81537097189812</v>
      </c>
      <c r="Q2793">
        <f>-418.230229617554 -48.1663854049689 -267.135405679251</f>
        <v>-733.53202070177394</v>
      </c>
      <c r="R2793" t="s">
        <v>54637</v>
      </c>
      <c r="S2793" t="s">
        <v>54638</v>
      </c>
      <c r="T2793" t="s">
        <v>54639</v>
      </c>
      <c r="U2793" t="s">
        <v>54640</v>
      </c>
      <c r="V2793">
        <f>-562.945776275953 -31.1710373140402 -89.1020819562146</f>
        <v>-683.21889554620782</v>
      </c>
      <c r="W2793" t="s">
        <v>54641</v>
      </c>
      <c r="X2793" t="s">
        <v>54642</v>
      </c>
      <c r="Y2793" t="s">
        <v>54643</v>
      </c>
    </row>
    <row r="2794" spans="1:25" x14ac:dyDescent="0.3">
      <c r="A2794">
        <v>139650</v>
      </c>
      <c r="B2794" t="s">
        <v>54644</v>
      </c>
      <c r="C2794" t="s">
        <v>54645</v>
      </c>
      <c r="D2794" t="s">
        <v>54646</v>
      </c>
      <c r="E2794" t="s">
        <v>54647</v>
      </c>
      <c r="F2794" t="s">
        <v>54648</v>
      </c>
      <c r="G2794" t="s">
        <v>54649</v>
      </c>
      <c r="H2794" t="s">
        <v>54650</v>
      </c>
      <c r="I2794" t="s">
        <v>54651</v>
      </c>
      <c r="J2794" t="s">
        <v>54652</v>
      </c>
      <c r="K2794" t="s">
        <v>54653</v>
      </c>
      <c r="L2794" t="s">
        <v>54654</v>
      </c>
      <c r="M2794" t="s">
        <v>54655</v>
      </c>
      <c r="N2794" t="s">
        <v>54656</v>
      </c>
      <c r="O2794">
        <f>-644.407453147834 -143.827148961902 -481.191229770307</f>
        <v>-1269.425831880043</v>
      </c>
      <c r="P2794">
        <f>-621.221146630631 -140.406967407803 -200.069780966693</f>
        <v>-961.69789500512695</v>
      </c>
      <c r="Q2794">
        <f>-418.188843415774 -49.2768931911162 -266.565791352067</f>
        <v>-734.03152795895721</v>
      </c>
      <c r="R2794" t="s">
        <v>54657</v>
      </c>
      <c r="S2794" t="s">
        <v>54658</v>
      </c>
      <c r="T2794" t="s">
        <v>54659</v>
      </c>
      <c r="U2794" t="s">
        <v>54660</v>
      </c>
      <c r="V2794">
        <f>-563.098912242021 -31.1267949526243 -89.1034924836387</f>
        <v>-683.329199678284</v>
      </c>
      <c r="W2794" t="s">
        <v>54661</v>
      </c>
      <c r="X2794" t="s">
        <v>54662</v>
      </c>
      <c r="Y2794" t="s">
        <v>54663</v>
      </c>
    </row>
    <row r="2795" spans="1:25" x14ac:dyDescent="0.3">
      <c r="A2795">
        <v>139700</v>
      </c>
      <c r="B2795" t="s">
        <v>54664</v>
      </c>
      <c r="C2795" t="s">
        <v>54665</v>
      </c>
      <c r="D2795" t="s">
        <v>54666</v>
      </c>
      <c r="E2795" t="s">
        <v>54667</v>
      </c>
      <c r="F2795" t="s">
        <v>54668</v>
      </c>
      <c r="G2795" t="s">
        <v>54669</v>
      </c>
      <c r="H2795" t="s">
        <v>54670</v>
      </c>
      <c r="I2795" t="s">
        <v>54671</v>
      </c>
      <c r="J2795" t="s">
        <v>54672</v>
      </c>
      <c r="K2795" t="s">
        <v>54673</v>
      </c>
      <c r="L2795" t="s">
        <v>54674</v>
      </c>
      <c r="M2795" t="s">
        <v>54675</v>
      </c>
      <c r="N2795" t="s">
        <v>54676</v>
      </c>
      <c r="O2795">
        <f>-645.300195688815 -144.304097211606 -480.486414256319</f>
        <v>-1270.0907071567401</v>
      </c>
      <c r="P2795">
        <f>-622.382709401017 -139.409670996961 -199.364681916172</f>
        <v>-961.15706231415004</v>
      </c>
      <c r="Q2795">
        <f>-418.079786110753 -50.9579927205964 -265.585202009573</f>
        <v>-734.62298084092231</v>
      </c>
      <c r="R2795" t="s">
        <v>54677</v>
      </c>
      <c r="S2795" t="s">
        <v>54678</v>
      </c>
      <c r="T2795" t="s">
        <v>54679</v>
      </c>
      <c r="U2795" t="s">
        <v>54680</v>
      </c>
      <c r="V2795">
        <f>-563.510894816254 -31.1368315206905 -89.1635044650836</f>
        <v>-683.81123080202815</v>
      </c>
      <c r="W2795" t="s">
        <v>54681</v>
      </c>
      <c r="X2795" t="s">
        <v>54682</v>
      </c>
      <c r="Y2795" t="s">
        <v>54683</v>
      </c>
    </row>
    <row r="2796" spans="1:25" x14ac:dyDescent="0.3">
      <c r="A2796">
        <v>139750</v>
      </c>
      <c r="B2796" t="s">
        <v>54684</v>
      </c>
      <c r="C2796" t="s">
        <v>54685</v>
      </c>
      <c r="D2796" t="s">
        <v>54686</v>
      </c>
      <c r="E2796" t="s">
        <v>54687</v>
      </c>
      <c r="F2796" t="s">
        <v>54688</v>
      </c>
      <c r="G2796" t="s">
        <v>54689</v>
      </c>
      <c r="H2796" t="s">
        <v>54690</v>
      </c>
      <c r="I2796" t="s">
        <v>54691</v>
      </c>
      <c r="J2796" t="s">
        <v>54692</v>
      </c>
      <c r="K2796" t="s">
        <v>54693</v>
      </c>
      <c r="L2796" t="s">
        <v>54694</v>
      </c>
      <c r="M2796" t="s">
        <v>54695</v>
      </c>
      <c r="N2796" t="s">
        <v>54696</v>
      </c>
      <c r="O2796">
        <f>-645.803726192756 -144.577078363265 -480.21987034285</f>
        <v>-1270.6006748988711</v>
      </c>
      <c r="P2796">
        <f>-623.018766640608 -139.158969256466 -199.09700567639</f>
        <v>-961.27474157346398</v>
      </c>
      <c r="Q2796">
        <f>-418.171999080459 -51.7765768401296 -265.056410780704</f>
        <v>-735.00498670129264</v>
      </c>
      <c r="R2796" t="s">
        <v>54697</v>
      </c>
      <c r="S2796" t="s">
        <v>54698</v>
      </c>
      <c r="T2796" t="s">
        <v>54699</v>
      </c>
      <c r="U2796" t="s">
        <v>54700</v>
      </c>
      <c r="V2796">
        <f>-563.725810947792 -31.166934439246 -89.2051097971723</f>
        <v>-684.09785518421029</v>
      </c>
      <c r="W2796" t="s">
        <v>54701</v>
      </c>
      <c r="X2796" t="s">
        <v>54702</v>
      </c>
      <c r="Y2796" t="s">
        <v>54703</v>
      </c>
    </row>
    <row r="2797" spans="1:25" x14ac:dyDescent="0.3">
      <c r="A2797">
        <v>139800</v>
      </c>
      <c r="B2797" t="s">
        <v>54704</v>
      </c>
      <c r="C2797" t="s">
        <v>54705</v>
      </c>
      <c r="D2797" t="s">
        <v>54706</v>
      </c>
      <c r="E2797" t="s">
        <v>54707</v>
      </c>
      <c r="F2797" t="s">
        <v>54708</v>
      </c>
      <c r="G2797" t="s">
        <v>54709</v>
      </c>
      <c r="H2797" t="s">
        <v>54710</v>
      </c>
      <c r="I2797" t="s">
        <v>54711</v>
      </c>
      <c r="J2797" t="s">
        <v>54712</v>
      </c>
      <c r="K2797" t="s">
        <v>54713</v>
      </c>
      <c r="L2797" t="s">
        <v>54714</v>
      </c>
      <c r="M2797" t="s">
        <v>54715</v>
      </c>
      <c r="N2797" t="s">
        <v>54716</v>
      </c>
      <c r="O2797">
        <f>-646.753021328345 -144.992844191455 -479.883925982375</f>
        <v>-1271.6297915021751</v>
      </c>
      <c r="P2797">
        <f>-624.162102501185 -139.067769492297 -198.755538714865</f>
        <v>-961.98541070834699</v>
      </c>
      <c r="Q2797">
        <f>-418.25434504033 -53.4201329168516 -263.678459237998</f>
        <v>-735.35293719517961</v>
      </c>
      <c r="R2797" t="s">
        <v>54717</v>
      </c>
      <c r="S2797" t="s">
        <v>54718</v>
      </c>
      <c r="T2797" t="s">
        <v>54719</v>
      </c>
      <c r="U2797" t="s">
        <v>54720</v>
      </c>
      <c r="V2797">
        <f>-564.201809065124 -31.3421093866955 -89.3022278363346</f>
        <v>-684.84614628815416</v>
      </c>
      <c r="W2797" t="s">
        <v>54721</v>
      </c>
      <c r="X2797" t="s">
        <v>54722</v>
      </c>
      <c r="Y2797" t="s">
        <v>54723</v>
      </c>
    </row>
    <row r="2798" spans="1:25" x14ac:dyDescent="0.3">
      <c r="A2798">
        <v>139850</v>
      </c>
      <c r="B2798" t="s">
        <v>54724</v>
      </c>
      <c r="C2798" t="s">
        <v>54725</v>
      </c>
      <c r="D2798" t="s">
        <v>54726</v>
      </c>
      <c r="E2798" t="s">
        <v>54727</v>
      </c>
      <c r="F2798" t="s">
        <v>54728</v>
      </c>
      <c r="G2798" t="s">
        <v>54729</v>
      </c>
      <c r="H2798" t="s">
        <v>54730</v>
      </c>
      <c r="I2798" t="s">
        <v>54731</v>
      </c>
      <c r="J2798" t="s">
        <v>54732</v>
      </c>
      <c r="K2798" t="s">
        <v>54733</v>
      </c>
      <c r="L2798" t="s">
        <v>54734</v>
      </c>
      <c r="M2798" t="s">
        <v>54735</v>
      </c>
      <c r="N2798" t="s">
        <v>54736</v>
      </c>
      <c r="O2798">
        <f>-647.182229320273 -145.171816266813 -479.854173890145</f>
        <v>-1272.2082194772311</v>
      </c>
      <c r="P2798">
        <f>-624.692046881681 -138.845072383235 -198.726451940903</f>
        <v>-962.26357120581895</v>
      </c>
      <c r="Q2798">
        <f>-418.310493554722 -54.0182933729836 -263.221187413668</f>
        <v>-735.54997434137363</v>
      </c>
      <c r="R2798" t="s">
        <v>54737</v>
      </c>
      <c r="S2798" t="s">
        <v>54738</v>
      </c>
      <c r="T2798" t="s">
        <v>54739</v>
      </c>
      <c r="U2798" t="s">
        <v>54740</v>
      </c>
      <c r="V2798">
        <f>-564.387773162913 -31.5046164750399 -89.3462554304818</f>
        <v>-685.23864506843483</v>
      </c>
      <c r="W2798" t="s">
        <v>54741</v>
      </c>
      <c r="X2798" t="s">
        <v>54742</v>
      </c>
      <c r="Y2798" t="s">
        <v>54743</v>
      </c>
    </row>
    <row r="2799" spans="1:25" x14ac:dyDescent="0.3">
      <c r="A2799">
        <v>139900</v>
      </c>
      <c r="B2799" t="s">
        <v>54744</v>
      </c>
      <c r="C2799" t="s">
        <v>54745</v>
      </c>
      <c r="D2799" t="s">
        <v>54746</v>
      </c>
      <c r="E2799" t="s">
        <v>54747</v>
      </c>
      <c r="F2799" t="s">
        <v>54748</v>
      </c>
      <c r="G2799" t="s">
        <v>54749</v>
      </c>
      <c r="H2799" t="s">
        <v>54750</v>
      </c>
      <c r="I2799" t="s">
        <v>54751</v>
      </c>
      <c r="J2799" t="s">
        <v>54752</v>
      </c>
      <c r="K2799" t="s">
        <v>54753</v>
      </c>
      <c r="L2799" t="s">
        <v>54754</v>
      </c>
      <c r="M2799" t="s">
        <v>54755</v>
      </c>
      <c r="N2799" t="s">
        <v>54756</v>
      </c>
      <c r="O2799">
        <f>-647.795234977277 -145.693351326813 -479.875492378867</f>
        <v>-1273.3640786829569</v>
      </c>
      <c r="P2799">
        <f>-625.930794123006 -138.781657691818 -198.712328077462</f>
        <v>-963.42477989228587</v>
      </c>
      <c r="Q2799">
        <f>-418.785229856556 -55.3289331817664 -262.546791446918</f>
        <v>-736.66095448524038</v>
      </c>
      <c r="R2799" t="s">
        <v>54757</v>
      </c>
      <c r="S2799" t="s">
        <v>54758</v>
      </c>
      <c r="T2799" t="s">
        <v>54759</v>
      </c>
      <c r="U2799" t="s">
        <v>54760</v>
      </c>
      <c r="V2799">
        <f>-564.912938385191 -31.9715309391665 -89.4612911180121</f>
        <v>-686.34576044236962</v>
      </c>
      <c r="W2799" t="s">
        <v>54761</v>
      </c>
      <c r="X2799" t="s">
        <v>54762</v>
      </c>
      <c r="Y2799" t="s">
        <v>54763</v>
      </c>
    </row>
    <row r="2800" spans="1:25" x14ac:dyDescent="0.3">
      <c r="A2800">
        <v>139950</v>
      </c>
      <c r="B2800" t="s">
        <v>54764</v>
      </c>
      <c r="C2800" t="s">
        <v>54765</v>
      </c>
      <c r="D2800" t="s">
        <v>54766</v>
      </c>
      <c r="E2800" t="s">
        <v>54767</v>
      </c>
      <c r="F2800" t="s">
        <v>54768</v>
      </c>
      <c r="G2800" t="s">
        <v>54769</v>
      </c>
      <c r="H2800" t="s">
        <v>54770</v>
      </c>
      <c r="I2800" t="s">
        <v>54771</v>
      </c>
      <c r="J2800" t="s">
        <v>54772</v>
      </c>
      <c r="K2800" t="s">
        <v>54773</v>
      </c>
      <c r="L2800" t="s">
        <v>54774</v>
      </c>
      <c r="M2800" t="s">
        <v>54775</v>
      </c>
      <c r="N2800" t="s">
        <v>54776</v>
      </c>
      <c r="O2800">
        <f>-648.062676367841 -146.006883411523 -479.94792991277</f>
        <v>-1274.0174896921339</v>
      </c>
      <c r="P2800">
        <f>-626.510193605717 -138.979231721426 -198.763500249376</f>
        <v>-964.25292557651892</v>
      </c>
      <c r="Q2800">
        <f>-419.086171903308 -56.0450340086659 -262.369488809559</f>
        <v>-737.50069472153291</v>
      </c>
      <c r="R2800" t="s">
        <v>54777</v>
      </c>
      <c r="S2800" t="s">
        <v>54778</v>
      </c>
      <c r="T2800" t="s">
        <v>54779</v>
      </c>
      <c r="U2800" t="s">
        <v>54780</v>
      </c>
      <c r="V2800">
        <f>-565.266589285242 -32.2390760637602 -89.5286622110335</f>
        <v>-687.03432756003576</v>
      </c>
      <c r="W2800" t="s">
        <v>54781</v>
      </c>
      <c r="X2800" t="s">
        <v>54782</v>
      </c>
      <c r="Y2800" t="s">
        <v>54783</v>
      </c>
    </row>
    <row r="2801" spans="1:25" x14ac:dyDescent="0.3">
      <c r="A2801">
        <v>140000</v>
      </c>
      <c r="B2801" t="s">
        <v>54784</v>
      </c>
      <c r="C2801" t="s">
        <v>54785</v>
      </c>
      <c r="D2801" t="s">
        <v>54786</v>
      </c>
      <c r="E2801" t="s">
        <v>54787</v>
      </c>
      <c r="F2801" t="s">
        <v>54788</v>
      </c>
      <c r="G2801" t="s">
        <v>54789</v>
      </c>
      <c r="H2801" t="s">
        <v>54790</v>
      </c>
      <c r="I2801" t="s">
        <v>54791</v>
      </c>
      <c r="J2801" t="s">
        <v>54792</v>
      </c>
      <c r="K2801" t="s">
        <v>54793</v>
      </c>
      <c r="L2801" t="s">
        <v>54794</v>
      </c>
      <c r="M2801" t="s">
        <v>54795</v>
      </c>
      <c r="N2801" t="s">
        <v>54796</v>
      </c>
      <c r="O2801">
        <f>-649.05162768454 -146.685700013098 -480.09082577362</f>
        <v>-1275.828153471258</v>
      </c>
      <c r="P2801">
        <f>-627.427365054166 -139.702809108661 -198.910743914995</f>
        <v>-966.04091807782197</v>
      </c>
      <c r="Q2801">
        <f>-419.698378254332 -57.495958218205 -262.46576953529</f>
        <v>-739.66010600782693</v>
      </c>
      <c r="R2801" t="s">
        <v>54797</v>
      </c>
      <c r="S2801" t="s">
        <v>54798</v>
      </c>
      <c r="T2801" t="s">
        <v>54799</v>
      </c>
      <c r="U2801" t="s">
        <v>54800</v>
      </c>
      <c r="V2801">
        <f>-566.18837554831 -32.9684822507388 -89.6922800579346</f>
        <v>-688.84913785698336</v>
      </c>
      <c r="W2801" t="s">
        <v>54801</v>
      </c>
      <c r="X2801" t="s">
        <v>54802</v>
      </c>
      <c r="Y2801" t="s">
        <v>54803</v>
      </c>
    </row>
    <row r="2802" spans="1:25" x14ac:dyDescent="0.3">
      <c r="A2802">
        <v>140050</v>
      </c>
      <c r="B2802" t="s">
        <v>54804</v>
      </c>
      <c r="C2802" t="s">
        <v>54805</v>
      </c>
      <c r="D2802" t="s">
        <v>54806</v>
      </c>
      <c r="E2802" t="s">
        <v>54807</v>
      </c>
      <c r="F2802" t="s">
        <v>54808</v>
      </c>
      <c r="G2802" t="s">
        <v>54809</v>
      </c>
      <c r="H2802" t="s">
        <v>54810</v>
      </c>
      <c r="I2802" t="s">
        <v>54811</v>
      </c>
      <c r="J2802" t="s">
        <v>54812</v>
      </c>
      <c r="K2802" t="s">
        <v>54813</v>
      </c>
      <c r="L2802" t="s">
        <v>54814</v>
      </c>
      <c r="M2802" t="s">
        <v>54815</v>
      </c>
      <c r="N2802" t="s">
        <v>54816</v>
      </c>
      <c r="O2802">
        <f>-649.741203524509 -146.949899038496 -480.18405011838</f>
        <v>-1276.8751526813851</v>
      </c>
      <c r="P2802">
        <f>-627.930701647432 -139.975717300999 -199.018205085835</f>
        <v>-966.924624034266</v>
      </c>
      <c r="Q2802">
        <f>-420.13917079628 -58.0002009277657 -262.667513691669</f>
        <v>-740.80688541571476</v>
      </c>
      <c r="R2802" t="s">
        <v>54817</v>
      </c>
      <c r="S2802" t="s">
        <v>54818</v>
      </c>
      <c r="T2802" t="s">
        <v>54819</v>
      </c>
      <c r="U2802" t="s">
        <v>54820</v>
      </c>
      <c r="V2802">
        <f>-566.654276158127 -33.3562221861275 -89.7851115641206</f>
        <v>-689.79560990837513</v>
      </c>
      <c r="W2802" t="s">
        <v>54821</v>
      </c>
      <c r="X2802" t="s">
        <v>54822</v>
      </c>
      <c r="Y2802" t="s">
        <v>54823</v>
      </c>
    </row>
    <row r="2803" spans="1:25" x14ac:dyDescent="0.3">
      <c r="A2803">
        <v>140100</v>
      </c>
      <c r="B2803" t="s">
        <v>54824</v>
      </c>
      <c r="C2803" t="s">
        <v>54825</v>
      </c>
      <c r="D2803" t="s">
        <v>54826</v>
      </c>
      <c r="E2803" t="s">
        <v>54827</v>
      </c>
      <c r="F2803" t="s">
        <v>54828</v>
      </c>
      <c r="G2803" t="s">
        <v>54829</v>
      </c>
      <c r="H2803" t="s">
        <v>54830</v>
      </c>
      <c r="I2803" t="s">
        <v>54831</v>
      </c>
      <c r="J2803" t="s">
        <v>54832</v>
      </c>
      <c r="K2803" t="s">
        <v>54833</v>
      </c>
      <c r="L2803" t="s">
        <v>54834</v>
      </c>
      <c r="M2803" t="s">
        <v>54835</v>
      </c>
      <c r="N2803" t="s">
        <v>54836</v>
      </c>
      <c r="O2803">
        <f>-651.408976126725 -147.24607780054 -480.407746437913</f>
        <v>-1279.062800365178</v>
      </c>
      <c r="P2803">
        <f>-629.276339595991 -140.397762656075 -199.264013559322</f>
        <v>-968.93811581138789</v>
      </c>
      <c r="Q2803">
        <f>-421.510115706211 -58.5428341468505 -263.150190944628</f>
        <v>-743.20314079768946</v>
      </c>
      <c r="R2803" t="s">
        <v>54837</v>
      </c>
      <c r="S2803" t="s">
        <v>54838</v>
      </c>
      <c r="T2803" t="s">
        <v>54839</v>
      </c>
      <c r="U2803" t="s">
        <v>54840</v>
      </c>
      <c r="V2803">
        <f>-567.727960403194 -33.9968636862916 -89.9556686065453</f>
        <v>-691.6804926960308</v>
      </c>
      <c r="W2803" t="s">
        <v>54841</v>
      </c>
      <c r="X2803" t="s">
        <v>54842</v>
      </c>
      <c r="Y2803" t="s">
        <v>54843</v>
      </c>
    </row>
    <row r="2804" spans="1:25" x14ac:dyDescent="0.3">
      <c r="A2804">
        <v>140150</v>
      </c>
      <c r="B2804" t="s">
        <v>54844</v>
      </c>
      <c r="C2804" t="s">
        <v>54845</v>
      </c>
      <c r="D2804" t="s">
        <v>54846</v>
      </c>
      <c r="E2804" t="s">
        <v>54847</v>
      </c>
      <c r="F2804" t="s">
        <v>54848</v>
      </c>
      <c r="G2804" t="s">
        <v>54849</v>
      </c>
      <c r="H2804" t="s">
        <v>54850</v>
      </c>
      <c r="I2804" t="s">
        <v>54851</v>
      </c>
      <c r="J2804" t="s">
        <v>54852</v>
      </c>
      <c r="K2804" t="s">
        <v>54853</v>
      </c>
      <c r="L2804" t="s">
        <v>54854</v>
      </c>
      <c r="M2804" t="s">
        <v>54855</v>
      </c>
      <c r="N2804" t="s">
        <v>54856</v>
      </c>
      <c r="O2804">
        <f>-652.274328980079 -147.289965227335 -480.600762084081</f>
        <v>-1280.1650562914949</v>
      </c>
      <c r="P2804">
        <f>-630.0663977633 -140.584799198967 -199.459464494059</f>
        <v>-970.11066145632606</v>
      </c>
      <c r="Q2804">
        <f>-422.354114275375 -58.6409668122601 -263.407384530728</f>
        <v>-744.40246561836307</v>
      </c>
      <c r="R2804" t="s">
        <v>54857</v>
      </c>
      <c r="S2804" t="s">
        <v>54858</v>
      </c>
      <c r="T2804" t="s">
        <v>54859</v>
      </c>
      <c r="U2804" t="s">
        <v>54860</v>
      </c>
      <c r="V2804">
        <f>-568.348842530745 -34.2888616858229 -90.0347310948938</f>
        <v>-692.67243531146164</v>
      </c>
      <c r="W2804" t="s">
        <v>54861</v>
      </c>
      <c r="X2804" t="s">
        <v>54862</v>
      </c>
      <c r="Y2804" t="s">
        <v>54863</v>
      </c>
    </row>
    <row r="2805" spans="1:25" x14ac:dyDescent="0.3">
      <c r="A2805">
        <v>140200</v>
      </c>
      <c r="B2805" t="s">
        <v>54864</v>
      </c>
      <c r="C2805" t="s">
        <v>54865</v>
      </c>
      <c r="D2805" t="s">
        <v>54866</v>
      </c>
      <c r="E2805" t="s">
        <v>54867</v>
      </c>
      <c r="F2805" t="s">
        <v>54868</v>
      </c>
      <c r="G2805" t="s">
        <v>54869</v>
      </c>
      <c r="H2805" t="s">
        <v>54870</v>
      </c>
      <c r="I2805" t="s">
        <v>54871</v>
      </c>
      <c r="J2805" t="s">
        <v>54872</v>
      </c>
      <c r="K2805" t="s">
        <v>54873</v>
      </c>
      <c r="L2805" t="s">
        <v>54874</v>
      </c>
      <c r="M2805" t="s">
        <v>54875</v>
      </c>
      <c r="N2805" t="s">
        <v>54876</v>
      </c>
      <c r="O2805">
        <f>-653.956581318229 -147.555462785424 -480.933076129586</f>
        <v>-1282.4451202332391</v>
      </c>
      <c r="P2805">
        <f>-631.635566935024 -141.276483127438 -199.79082394857</f>
        <v>-972.70287401103201</v>
      </c>
      <c r="Q2805">
        <f>-424.084890301299 -59.1546580573245 -264.034708994955</f>
        <v>-747.27425735357861</v>
      </c>
      <c r="R2805" t="s">
        <v>54877</v>
      </c>
      <c r="S2805" t="s">
        <v>54878</v>
      </c>
      <c r="T2805" t="s">
        <v>54879</v>
      </c>
      <c r="U2805" t="s">
        <v>54880</v>
      </c>
      <c r="V2805">
        <f>-569.406176419795 -34.7792328804783 -90.1835643925422</f>
        <v>-694.36897369281542</v>
      </c>
      <c r="W2805" t="s">
        <v>54881</v>
      </c>
      <c r="X2805" t="s">
        <v>54882</v>
      </c>
      <c r="Y2805" t="s">
        <v>54883</v>
      </c>
    </row>
    <row r="2806" spans="1:25" x14ac:dyDescent="0.3">
      <c r="A2806">
        <v>140250</v>
      </c>
      <c r="B2806" t="s">
        <v>54884</v>
      </c>
      <c r="C2806" t="s">
        <v>54885</v>
      </c>
      <c r="D2806" t="s">
        <v>54886</v>
      </c>
      <c r="E2806" t="s">
        <v>54887</v>
      </c>
      <c r="F2806" t="s">
        <v>54888</v>
      </c>
      <c r="G2806" t="s">
        <v>54889</v>
      </c>
      <c r="H2806" t="s">
        <v>54890</v>
      </c>
      <c r="I2806" t="s">
        <v>54891</v>
      </c>
      <c r="J2806" t="s">
        <v>54892</v>
      </c>
      <c r="K2806" t="s">
        <v>54893</v>
      </c>
      <c r="L2806" t="s">
        <v>54894</v>
      </c>
      <c r="M2806" t="s">
        <v>54895</v>
      </c>
      <c r="N2806" t="s">
        <v>54896</v>
      </c>
      <c r="O2806">
        <f>-654.85325774721 -147.72770222433 -481.02155316526</f>
        <v>-1283.6025131368001</v>
      </c>
      <c r="P2806">
        <f>-632.416489817482 -141.533181338417 -199.886782027229</f>
        <v>-973.83645318312801</v>
      </c>
      <c r="Q2806">
        <f>-424.943505764426 -59.4919888623253 -264.483485953946</f>
        <v>-748.91898058069728</v>
      </c>
      <c r="R2806" t="s">
        <v>54897</v>
      </c>
      <c r="S2806" t="s">
        <v>54898</v>
      </c>
      <c r="T2806" t="s">
        <v>54899</v>
      </c>
      <c r="U2806" t="s">
        <v>54900</v>
      </c>
      <c r="V2806">
        <f>-569.891943505487 -35.0305235814117 -90.2489761764637</f>
        <v>-695.17144326336233</v>
      </c>
      <c r="W2806" t="s">
        <v>54901</v>
      </c>
      <c r="X2806" t="s">
        <v>54902</v>
      </c>
      <c r="Y2806" t="s">
        <v>54903</v>
      </c>
    </row>
    <row r="2807" spans="1:25" x14ac:dyDescent="0.3">
      <c r="A2807">
        <v>140300</v>
      </c>
      <c r="B2807" t="s">
        <v>54904</v>
      </c>
      <c r="C2807" t="s">
        <v>54905</v>
      </c>
      <c r="D2807" t="s">
        <v>54906</v>
      </c>
      <c r="E2807" t="s">
        <v>54907</v>
      </c>
      <c r="F2807" t="s">
        <v>54908</v>
      </c>
      <c r="G2807" t="s">
        <v>54909</v>
      </c>
      <c r="H2807" t="s">
        <v>54910</v>
      </c>
      <c r="I2807" t="s">
        <v>54911</v>
      </c>
      <c r="J2807" t="s">
        <v>54912</v>
      </c>
      <c r="K2807" t="s">
        <v>54913</v>
      </c>
      <c r="L2807" t="s">
        <v>54914</v>
      </c>
      <c r="M2807" t="s">
        <v>54915</v>
      </c>
      <c r="N2807" t="s">
        <v>54916</v>
      </c>
      <c r="O2807">
        <f>-656.544232696813 -148.010835031623 -481.162040573215</f>
        <v>-1285.717108301651</v>
      </c>
      <c r="P2807">
        <f>-633.84822308806 -141.756164145666 -200.049281404855</f>
        <v>-975.65366863858094</v>
      </c>
      <c r="Q2807">
        <f>-426.302017221632 -60.4932458350404 -265.390366571128</f>
        <v>-752.18562962780038</v>
      </c>
      <c r="R2807" t="s">
        <v>54917</v>
      </c>
      <c r="S2807" t="s">
        <v>54918</v>
      </c>
      <c r="T2807" t="s">
        <v>54919</v>
      </c>
      <c r="U2807" t="s">
        <v>54920</v>
      </c>
      <c r="V2807">
        <f>-570.82680885298 -35.4613474375321 -90.3854596987219</f>
        <v>-696.67361598923401</v>
      </c>
      <c r="W2807" t="s">
        <v>54921</v>
      </c>
      <c r="X2807" t="s">
        <v>54922</v>
      </c>
      <c r="Y2807" t="s">
        <v>54923</v>
      </c>
    </row>
    <row r="2808" spans="1:25" x14ac:dyDescent="0.3">
      <c r="A2808">
        <v>140350</v>
      </c>
      <c r="B2808" t="s">
        <v>54924</v>
      </c>
      <c r="C2808" t="s">
        <v>54925</v>
      </c>
      <c r="D2808" t="s">
        <v>54926</v>
      </c>
      <c r="E2808" t="s">
        <v>54927</v>
      </c>
      <c r="F2808" t="s">
        <v>54928</v>
      </c>
      <c r="G2808" t="s">
        <v>54929</v>
      </c>
      <c r="H2808" t="s">
        <v>54930</v>
      </c>
      <c r="I2808" t="s">
        <v>54931</v>
      </c>
      <c r="J2808" t="s">
        <v>54932</v>
      </c>
      <c r="K2808" t="s">
        <v>54933</v>
      </c>
      <c r="L2808" t="s">
        <v>54934</v>
      </c>
      <c r="M2808" t="s">
        <v>54935</v>
      </c>
      <c r="N2808" t="s">
        <v>54936</v>
      </c>
      <c r="O2808">
        <f>-657.458831215517 -148.139306249033 -481.238863910743</f>
        <v>-1286.8370013752929</v>
      </c>
      <c r="P2808">
        <f>-634.673481400302 -141.802561885443 -200.135262083382</f>
        <v>-976.61130536912697</v>
      </c>
      <c r="Q2808">
        <f>-427.024098729955 -61.0727757771099 -265.808311728112</f>
        <v>-753.90518623517687</v>
      </c>
      <c r="R2808" t="s">
        <v>54937</v>
      </c>
      <c r="S2808" t="s">
        <v>54938</v>
      </c>
      <c r="T2808" t="s">
        <v>54939</v>
      </c>
      <c r="U2808" t="s">
        <v>54940</v>
      </c>
      <c r="V2808">
        <f>-571.286221327923 -35.678782538957 -90.4511526939793</f>
        <v>-697.41615656085935</v>
      </c>
      <c r="W2808" t="s">
        <v>54941</v>
      </c>
      <c r="X2808" t="s">
        <v>54942</v>
      </c>
      <c r="Y2808" t="s">
        <v>54943</v>
      </c>
    </row>
    <row r="2809" spans="1:25" x14ac:dyDescent="0.3">
      <c r="A2809">
        <v>140400</v>
      </c>
      <c r="B2809" t="s">
        <v>54944</v>
      </c>
      <c r="C2809" t="s">
        <v>54945</v>
      </c>
      <c r="D2809" t="s">
        <v>54946</v>
      </c>
      <c r="E2809" t="s">
        <v>54947</v>
      </c>
      <c r="F2809" t="s">
        <v>54948</v>
      </c>
      <c r="G2809" t="s">
        <v>54949</v>
      </c>
      <c r="H2809" t="s">
        <v>54950</v>
      </c>
      <c r="I2809" t="s">
        <v>54951</v>
      </c>
      <c r="J2809" t="s">
        <v>54952</v>
      </c>
      <c r="K2809" t="s">
        <v>54953</v>
      </c>
      <c r="L2809" t="s">
        <v>54954</v>
      </c>
      <c r="M2809" t="s">
        <v>54955</v>
      </c>
      <c r="N2809" t="s">
        <v>54956</v>
      </c>
      <c r="O2809">
        <f>-659.332799631923 -148.503106588942 -481.366344917164</f>
        <v>-1289.2022511380289</v>
      </c>
      <c r="P2809">
        <f>-636.23428861864 -142.379566239184 -200.28350922037</f>
        <v>-978.89736407819396</v>
      </c>
      <c r="Q2809">
        <f>-428.342564642471 -62.6730881546594 -266.438178250188</f>
        <v>-757.45383104731843</v>
      </c>
      <c r="R2809" t="s">
        <v>54957</v>
      </c>
      <c r="S2809" t="s">
        <v>54958</v>
      </c>
      <c r="T2809" t="s">
        <v>54959</v>
      </c>
      <c r="U2809" t="s">
        <v>54960</v>
      </c>
      <c r="V2809">
        <f>-572.294022844005 -36.3256369884841 -90.5928872466061</f>
        <v>-699.2125470790952</v>
      </c>
      <c r="W2809" t="s">
        <v>54961</v>
      </c>
      <c r="X2809" t="s">
        <v>54962</v>
      </c>
      <c r="Y2809" t="s">
        <v>54963</v>
      </c>
    </row>
    <row r="2810" spans="1:25" x14ac:dyDescent="0.3">
      <c r="A2810">
        <v>140450</v>
      </c>
      <c r="B2810" t="s">
        <v>54964</v>
      </c>
      <c r="C2810" t="s">
        <v>54965</v>
      </c>
      <c r="D2810" t="s">
        <v>54966</v>
      </c>
      <c r="E2810" t="s">
        <v>54967</v>
      </c>
      <c r="F2810" t="s">
        <v>54968</v>
      </c>
      <c r="G2810" t="s">
        <v>54969</v>
      </c>
      <c r="H2810" t="s">
        <v>54970</v>
      </c>
      <c r="I2810" t="s">
        <v>54971</v>
      </c>
      <c r="J2810" t="s">
        <v>54972</v>
      </c>
      <c r="K2810" t="s">
        <v>54973</v>
      </c>
      <c r="L2810" t="s">
        <v>54974</v>
      </c>
      <c r="M2810" t="s">
        <v>54975</v>
      </c>
      <c r="N2810" t="s">
        <v>54976</v>
      </c>
      <c r="O2810">
        <f>-660.194732317945 -148.600170346014 -481.477420174907</f>
        <v>-1290.2723228388659</v>
      </c>
      <c r="P2810">
        <f>-637.004089887198 -142.545028696773 -200.400654717873</f>
        <v>-979.94977330184406</v>
      </c>
      <c r="Q2810">
        <f>-428.994460756412 -63.2921042182802 -266.729443879723</f>
        <v>-759.0160088544153</v>
      </c>
      <c r="R2810" t="s">
        <v>54977</v>
      </c>
      <c r="S2810" t="s">
        <v>54978</v>
      </c>
      <c r="T2810" t="s">
        <v>54979</v>
      </c>
      <c r="U2810" t="s">
        <v>54980</v>
      </c>
      <c r="V2810">
        <f>-572.813210600536 -36.5678597109882 -90.6554587908706</f>
        <v>-700.03652910239475</v>
      </c>
      <c r="W2810" t="s">
        <v>54981</v>
      </c>
      <c r="X2810" t="s">
        <v>54982</v>
      </c>
      <c r="Y2810" t="s">
        <v>54983</v>
      </c>
    </row>
    <row r="2811" spans="1:25" x14ac:dyDescent="0.3">
      <c r="A2811">
        <v>140500</v>
      </c>
      <c r="B2811" t="s">
        <v>54984</v>
      </c>
      <c r="C2811" t="s">
        <v>54985</v>
      </c>
      <c r="D2811" t="s">
        <v>54986</v>
      </c>
      <c r="E2811" t="s">
        <v>54987</v>
      </c>
      <c r="F2811" t="s">
        <v>54988</v>
      </c>
      <c r="G2811" t="s">
        <v>54989</v>
      </c>
      <c r="H2811" t="s">
        <v>54990</v>
      </c>
      <c r="I2811" t="s">
        <v>54991</v>
      </c>
      <c r="J2811" t="s">
        <v>54992</v>
      </c>
      <c r="K2811" t="s">
        <v>54993</v>
      </c>
      <c r="L2811" t="s">
        <v>54994</v>
      </c>
      <c r="M2811" t="s">
        <v>54995</v>
      </c>
      <c r="N2811" t="s">
        <v>54996</v>
      </c>
      <c r="O2811">
        <f>-661.817140476532 -148.782627136871 -481.689594293943</f>
        <v>-1292.2893619073461</v>
      </c>
      <c r="P2811">
        <f>-638.589432262222 -142.729487270171 -200.615907856682</f>
        <v>-981.93482738907505</v>
      </c>
      <c r="Q2811">
        <f>-430.369092907746 -64.281327683849 -267.239699284779</f>
        <v>-761.890119876374</v>
      </c>
      <c r="R2811" t="s">
        <v>54997</v>
      </c>
      <c r="S2811" t="s">
        <v>54998</v>
      </c>
      <c r="T2811" t="s">
        <v>54999</v>
      </c>
      <c r="U2811" t="s">
        <v>55000</v>
      </c>
      <c r="V2811">
        <f>-573.871059529973 -36.9481171283421 -90.8134378132914</f>
        <v>-701.63261447160653</v>
      </c>
      <c r="W2811" t="s">
        <v>55001</v>
      </c>
      <c r="X2811" t="s">
        <v>55002</v>
      </c>
      <c r="Y2811" t="s">
        <v>55003</v>
      </c>
    </row>
    <row r="2812" spans="1:25" x14ac:dyDescent="0.3">
      <c r="A2812">
        <v>140550</v>
      </c>
      <c r="B2812" t="s">
        <v>55004</v>
      </c>
      <c r="C2812" t="s">
        <v>55005</v>
      </c>
      <c r="D2812" t="s">
        <v>55006</v>
      </c>
      <c r="E2812" t="s">
        <v>55007</v>
      </c>
      <c r="F2812" t="s">
        <v>55008</v>
      </c>
      <c r="G2812" t="s">
        <v>55009</v>
      </c>
      <c r="H2812" t="s">
        <v>55010</v>
      </c>
      <c r="I2812" t="s">
        <v>55011</v>
      </c>
      <c r="J2812" t="s">
        <v>55012</v>
      </c>
      <c r="K2812" t="s">
        <v>55013</v>
      </c>
      <c r="L2812" t="s">
        <v>55014</v>
      </c>
      <c r="M2812" t="s">
        <v>55015</v>
      </c>
      <c r="N2812" t="s">
        <v>55016</v>
      </c>
      <c r="O2812">
        <f>-662.669100084493 -148.792818924725 -481.806926388017</f>
        <v>-1293.2688453972351</v>
      </c>
      <c r="P2812">
        <f>-639.365658856809 -142.813758747792 -200.737865417218</f>
        <v>-982.917283021819</v>
      </c>
      <c r="Q2812">
        <f>-431.017556862953 -64.7005643752145 -267.355744688067</f>
        <v>-763.07386592623448</v>
      </c>
      <c r="R2812" t="s">
        <v>55017</v>
      </c>
      <c r="S2812" t="s">
        <v>55018</v>
      </c>
      <c r="T2812" t="s">
        <v>55019</v>
      </c>
      <c r="U2812" t="s">
        <v>55020</v>
      </c>
      <c r="V2812">
        <f>-574.390123671847 -37.0947907637865 -90.8774298821945</f>
        <v>-702.36234431782805</v>
      </c>
      <c r="W2812" t="s">
        <v>55021</v>
      </c>
      <c r="X2812" t="s">
        <v>55022</v>
      </c>
      <c r="Y2812" t="s">
        <v>55023</v>
      </c>
    </row>
    <row r="2813" spans="1:25" x14ac:dyDescent="0.3">
      <c r="A2813">
        <v>140600</v>
      </c>
      <c r="B2813" t="s">
        <v>55024</v>
      </c>
      <c r="C2813" t="s">
        <v>55025</v>
      </c>
      <c r="D2813" t="s">
        <v>55026</v>
      </c>
      <c r="E2813" t="s">
        <v>55027</v>
      </c>
      <c r="F2813" t="s">
        <v>55028</v>
      </c>
      <c r="G2813" t="s">
        <v>55029</v>
      </c>
      <c r="H2813" t="s">
        <v>55030</v>
      </c>
      <c r="I2813" t="s">
        <v>55031</v>
      </c>
      <c r="J2813" t="s">
        <v>55032</v>
      </c>
      <c r="K2813" t="s">
        <v>55033</v>
      </c>
      <c r="L2813" t="s">
        <v>55034</v>
      </c>
      <c r="M2813" t="s">
        <v>55035</v>
      </c>
      <c r="N2813" t="s">
        <v>55036</v>
      </c>
      <c r="O2813">
        <f>-664.430544259353 -148.686226385819 -482.020198945304</f>
        <v>-1295.1369695904759</v>
      </c>
      <c r="P2813">
        <f>-641.018741354717 -142.968609965031 -200.954773220442</f>
        <v>-984.94212454018998</v>
      </c>
      <c r="Q2813">
        <f>-432.347101753958 -65.4030752413662 -267.19866866933</f>
        <v>-764.94884566465419</v>
      </c>
      <c r="R2813" t="s">
        <v>55037</v>
      </c>
      <c r="S2813" t="s">
        <v>55038</v>
      </c>
      <c r="T2813" t="s">
        <v>55039</v>
      </c>
      <c r="U2813" t="s">
        <v>55040</v>
      </c>
      <c r="V2813">
        <f>-575.362959780441 -37.2649009180966 -90.964947136142</f>
        <v>-703.59280783467955</v>
      </c>
      <c r="W2813" t="s">
        <v>55041</v>
      </c>
      <c r="X2813" t="s">
        <v>55042</v>
      </c>
      <c r="Y2813" t="s">
        <v>55043</v>
      </c>
    </row>
    <row r="2814" spans="1:25" x14ac:dyDescent="0.3">
      <c r="A2814">
        <v>140650</v>
      </c>
      <c r="B2814" t="s">
        <v>55044</v>
      </c>
      <c r="C2814" t="s">
        <v>55045</v>
      </c>
      <c r="D2814" t="s">
        <v>55046</v>
      </c>
      <c r="E2814" t="s">
        <v>55047</v>
      </c>
      <c r="F2814" t="s">
        <v>55048</v>
      </c>
      <c r="G2814" t="s">
        <v>55049</v>
      </c>
      <c r="H2814" t="s">
        <v>55050</v>
      </c>
      <c r="I2814" t="s">
        <v>55051</v>
      </c>
      <c r="J2814" t="s">
        <v>55052</v>
      </c>
      <c r="K2814" t="s">
        <v>55053</v>
      </c>
      <c r="L2814" t="s">
        <v>55054</v>
      </c>
      <c r="M2814" t="s">
        <v>55055</v>
      </c>
      <c r="N2814" t="s">
        <v>55056</v>
      </c>
      <c r="O2814">
        <f>-665.085310882142 -148.65299322854 -482.12324457861</f>
        <v>-1295.861548689292</v>
      </c>
      <c r="P2814">
        <f>-641.858182938849 -143.049900264426 -201.040261764092</f>
        <v>-985.94834496736712</v>
      </c>
      <c r="Q2814">
        <f>-432.967977941009 -65.8746426541838 -267.050733608299</f>
        <v>-765.89335420349175</v>
      </c>
      <c r="R2814" t="s">
        <v>55057</v>
      </c>
      <c r="S2814" t="s">
        <v>55058</v>
      </c>
      <c r="T2814" t="s">
        <v>55059</v>
      </c>
      <c r="U2814" t="s">
        <v>55060</v>
      </c>
      <c r="V2814">
        <f>-575.813681138772 -37.3773804096807 -91.0037549062409</f>
        <v>-704.19481645469364</v>
      </c>
      <c r="W2814" t="s">
        <v>55061</v>
      </c>
      <c r="X2814" t="s">
        <v>55062</v>
      </c>
      <c r="Y2814" t="s">
        <v>55063</v>
      </c>
    </row>
    <row r="2815" spans="1:25" x14ac:dyDescent="0.3">
      <c r="A2815">
        <v>140700</v>
      </c>
      <c r="B2815" t="s">
        <v>55064</v>
      </c>
      <c r="C2815" t="s">
        <v>55065</v>
      </c>
      <c r="D2815" t="s">
        <v>55066</v>
      </c>
      <c r="E2815" t="s">
        <v>55067</v>
      </c>
      <c r="F2815" t="s">
        <v>55068</v>
      </c>
      <c r="G2815" t="s">
        <v>55069</v>
      </c>
      <c r="H2815" t="s">
        <v>55070</v>
      </c>
      <c r="I2815" t="s">
        <v>55071</v>
      </c>
      <c r="J2815" t="s">
        <v>55072</v>
      </c>
      <c r="K2815" t="s">
        <v>55073</v>
      </c>
      <c r="L2815" t="s">
        <v>55074</v>
      </c>
      <c r="M2815" t="s">
        <v>55075</v>
      </c>
      <c r="N2815" t="s">
        <v>55076</v>
      </c>
      <c r="O2815">
        <f>-666.481982267536 -148.857113462106 -482.203735488528</f>
        <v>-1297.54283121817</v>
      </c>
      <c r="P2815">
        <f>-643.651750726226 -143.408827208937 -201.085022145615</f>
        <v>-988.14560008077808</v>
      </c>
      <c r="Q2815">
        <f>-434.386644273833 -67.1463729434026 -266.968649976839</f>
        <v>-768.50166719407457</v>
      </c>
      <c r="R2815" t="s">
        <v>55077</v>
      </c>
      <c r="S2815" t="s">
        <v>55078</v>
      </c>
      <c r="T2815" t="s">
        <v>55079</v>
      </c>
      <c r="U2815" t="s">
        <v>55080</v>
      </c>
      <c r="V2815">
        <f>-576.683059029305 -37.7628550263314 -91.0931118882269</f>
        <v>-705.53902594386329</v>
      </c>
      <c r="W2815" t="s">
        <v>55081</v>
      </c>
      <c r="X2815" t="s">
        <v>55082</v>
      </c>
      <c r="Y2815" t="s">
        <v>55083</v>
      </c>
    </row>
    <row r="2816" spans="1:25" x14ac:dyDescent="0.3">
      <c r="A2816">
        <v>140750</v>
      </c>
      <c r="B2816" t="s">
        <v>55084</v>
      </c>
      <c r="C2816" t="s">
        <v>55085</v>
      </c>
      <c r="D2816" t="s">
        <v>55086</v>
      </c>
      <c r="E2816" t="s">
        <v>55087</v>
      </c>
      <c r="F2816" t="s">
        <v>55088</v>
      </c>
      <c r="G2816" t="s">
        <v>55089</v>
      </c>
      <c r="H2816" t="s">
        <v>55090</v>
      </c>
      <c r="I2816" t="s">
        <v>55091</v>
      </c>
      <c r="J2816" t="s">
        <v>55092</v>
      </c>
      <c r="K2816" t="s">
        <v>55093</v>
      </c>
      <c r="L2816" t="s">
        <v>55094</v>
      </c>
      <c r="M2816" t="s">
        <v>55095</v>
      </c>
      <c r="N2816" t="s">
        <v>55096</v>
      </c>
      <c r="O2816">
        <f>-667.263155451833 -148.941954167546 -482.226417386963</f>
        <v>-1298.4315270063421</v>
      </c>
      <c r="P2816">
        <f>-644.502984037502 -143.455252072654 -201.102772712591</f>
        <v>-989.06100882274689</v>
      </c>
      <c r="Q2816">
        <f>-435.175988548589 -67.5216408028896 -267.169549570241</f>
        <v>-769.86717892171953</v>
      </c>
      <c r="R2816" t="s">
        <v>55097</v>
      </c>
      <c r="S2816" t="s">
        <v>55098</v>
      </c>
      <c r="T2816" t="s">
        <v>55099</v>
      </c>
      <c r="U2816" t="s">
        <v>55100</v>
      </c>
      <c r="V2816">
        <f>-577.141210747571 -38.0432166565226 -91.1523033345919</f>
        <v>-706.33673073868556</v>
      </c>
      <c r="W2816" t="s">
        <v>55101</v>
      </c>
      <c r="X2816" t="s">
        <v>55102</v>
      </c>
      <c r="Y2816" t="s">
        <v>55103</v>
      </c>
    </row>
    <row r="2817" spans="1:25" x14ac:dyDescent="0.3">
      <c r="A2817">
        <v>140800</v>
      </c>
      <c r="B2817" t="s">
        <v>55104</v>
      </c>
      <c r="C2817" t="s">
        <v>55105</v>
      </c>
      <c r="D2817" t="s">
        <v>55106</v>
      </c>
      <c r="E2817" t="s">
        <v>55107</v>
      </c>
      <c r="F2817" t="s">
        <v>55108</v>
      </c>
      <c r="G2817" t="s">
        <v>55109</v>
      </c>
      <c r="H2817" t="s">
        <v>55110</v>
      </c>
      <c r="I2817" t="s">
        <v>55111</v>
      </c>
      <c r="J2817" t="s">
        <v>55112</v>
      </c>
      <c r="K2817" t="s">
        <v>55113</v>
      </c>
      <c r="L2817" t="s">
        <v>55114</v>
      </c>
      <c r="M2817" t="s">
        <v>55115</v>
      </c>
      <c r="N2817" t="s">
        <v>55116</v>
      </c>
      <c r="O2817">
        <f>-668.768758967556 -149.356302089468 -482.289539316897</f>
        <v>-1300.4146003739208</v>
      </c>
      <c r="P2817">
        <f>-645.929917657357 -143.837535473896 -201.172969582876</f>
        <v>-990.940422714129</v>
      </c>
      <c r="Q2817">
        <f>-436.506237947938 -68.5107918851195 -267.626986969929</f>
        <v>-772.64401680298647</v>
      </c>
      <c r="R2817" t="s">
        <v>55117</v>
      </c>
      <c r="S2817" t="s">
        <v>55118</v>
      </c>
      <c r="T2817" t="s">
        <v>55119</v>
      </c>
      <c r="U2817" t="s">
        <v>55120</v>
      </c>
      <c r="V2817">
        <f>-578.233375860961 -38.7273423510617 -91.2762514887004</f>
        <v>-708.23696970072308</v>
      </c>
      <c r="W2817" t="s">
        <v>55121</v>
      </c>
      <c r="X2817" t="s">
        <v>55122</v>
      </c>
      <c r="Y2817" t="s">
        <v>55123</v>
      </c>
    </row>
    <row r="2818" spans="1:25" x14ac:dyDescent="0.3">
      <c r="A2818">
        <v>140850</v>
      </c>
      <c r="B2818" t="s">
        <v>55124</v>
      </c>
      <c r="C2818" t="s">
        <v>55125</v>
      </c>
      <c r="D2818" t="s">
        <v>55126</v>
      </c>
      <c r="E2818" t="s">
        <v>55127</v>
      </c>
      <c r="F2818" t="s">
        <v>55128</v>
      </c>
      <c r="G2818" t="s">
        <v>55129</v>
      </c>
      <c r="H2818" t="s">
        <v>55130</v>
      </c>
      <c r="I2818" t="s">
        <v>55131</v>
      </c>
      <c r="J2818" t="s">
        <v>55132</v>
      </c>
      <c r="K2818" t="s">
        <v>55133</v>
      </c>
      <c r="L2818" t="s">
        <v>55134</v>
      </c>
      <c r="M2818" t="s">
        <v>55135</v>
      </c>
      <c r="N2818" t="s">
        <v>55136</v>
      </c>
      <c r="O2818">
        <f>-669.34013188391 -149.588795283858 -482.309960756851</f>
        <v>-1301.2388879246189</v>
      </c>
      <c r="P2818">
        <f>-646.602737641506 -144.118732535527 -201.184258720401</f>
        <v>-991.90572889743396</v>
      </c>
      <c r="Q2818">
        <f>-437.105123383055 -69.0373076155795 -267.682765808381</f>
        <v>-773.82519680701557</v>
      </c>
      <c r="R2818" t="s">
        <v>55137</v>
      </c>
      <c r="S2818" t="s">
        <v>55138</v>
      </c>
      <c r="T2818" t="s">
        <v>55139</v>
      </c>
      <c r="U2818" t="s">
        <v>55140</v>
      </c>
      <c r="V2818">
        <f>-578.722036577498 -38.9674134887637 -91.3255248715541</f>
        <v>-709.01497493781574</v>
      </c>
      <c r="W2818" t="s">
        <v>55141</v>
      </c>
      <c r="X2818" t="s">
        <v>55142</v>
      </c>
      <c r="Y2818" t="s">
        <v>55143</v>
      </c>
    </row>
    <row r="2819" spans="1:25" x14ac:dyDescent="0.3">
      <c r="A2819">
        <v>140900</v>
      </c>
      <c r="B2819" t="s">
        <v>55144</v>
      </c>
      <c r="C2819" t="s">
        <v>55145</v>
      </c>
      <c r="D2819" t="s">
        <v>55146</v>
      </c>
      <c r="E2819" t="s">
        <v>55147</v>
      </c>
      <c r="F2819" t="s">
        <v>55148</v>
      </c>
      <c r="G2819" t="s">
        <v>55149</v>
      </c>
      <c r="H2819" t="s">
        <v>55150</v>
      </c>
      <c r="I2819" t="s">
        <v>55151</v>
      </c>
      <c r="J2819" t="s">
        <v>55152</v>
      </c>
      <c r="K2819" t="s">
        <v>55153</v>
      </c>
      <c r="L2819" t="s">
        <v>55154</v>
      </c>
      <c r="M2819" t="s">
        <v>55155</v>
      </c>
      <c r="N2819">
        <f>-656.454874378317 -0.0770406293061114 -523.110891747157</f>
        <v>-1179.6428067547799</v>
      </c>
      <c r="O2819">
        <f>-670.378299594186 -150.002986553281 -482.276768847679</f>
        <v>-1302.6580549951461</v>
      </c>
      <c r="P2819">
        <f>-648.251675443104 -144.901285966849 -201.095318777175</f>
        <v>-994.24828018712788</v>
      </c>
      <c r="Q2819">
        <f>-438.722954008083 -69.8181882583654 -267.494032026156</f>
        <v>-776.03517429260432</v>
      </c>
      <c r="R2819" t="s">
        <v>55156</v>
      </c>
      <c r="S2819" t="s">
        <v>55157</v>
      </c>
      <c r="T2819" t="s">
        <v>55158</v>
      </c>
      <c r="U2819" t="s">
        <v>55159</v>
      </c>
      <c r="V2819">
        <f>-579.586315048574 -39.3964314439907 -91.4409990870944</f>
        <v>-710.423745579659</v>
      </c>
      <c r="W2819" t="s">
        <v>55160</v>
      </c>
      <c r="X2819" t="s">
        <v>55161</v>
      </c>
      <c r="Y2819" t="s">
        <v>55162</v>
      </c>
    </row>
    <row r="2820" spans="1:25" x14ac:dyDescent="0.3">
      <c r="A2820">
        <v>140950</v>
      </c>
      <c r="B2820" t="s">
        <v>55163</v>
      </c>
      <c r="C2820" t="s">
        <v>55164</v>
      </c>
      <c r="D2820" t="s">
        <v>55165</v>
      </c>
      <c r="E2820" t="s">
        <v>55166</v>
      </c>
      <c r="F2820" t="s">
        <v>55167</v>
      </c>
      <c r="G2820" t="s">
        <v>55168</v>
      </c>
      <c r="H2820" t="s">
        <v>55169</v>
      </c>
      <c r="I2820" t="s">
        <v>55170</v>
      </c>
      <c r="J2820" t="s">
        <v>55171</v>
      </c>
      <c r="K2820" t="s">
        <v>55172</v>
      </c>
      <c r="L2820" t="s">
        <v>55173</v>
      </c>
      <c r="M2820" t="s">
        <v>55174</v>
      </c>
      <c r="N2820">
        <f>-657.173785374865 -0.193293965042812 -523.135104570277</f>
        <v>-1180.5021839101848</v>
      </c>
      <c r="O2820">
        <f>-671.216203497468 -150.118475524347 -482.329220430756</f>
        <v>-1303.6638994525711</v>
      </c>
      <c r="P2820">
        <f>-649.288608744755 -145.084047933737 -201.13098736011</f>
        <v>-995.50364403860203</v>
      </c>
      <c r="Q2820">
        <f>-439.793981711217 -69.8347627178266 -267.448872175907</f>
        <v>-777.07761660495066</v>
      </c>
      <c r="R2820" t="s">
        <v>55175</v>
      </c>
      <c r="S2820" t="s">
        <v>55176</v>
      </c>
      <c r="T2820" t="s">
        <v>55177</v>
      </c>
      <c r="U2820" t="s">
        <v>55178</v>
      </c>
      <c r="V2820">
        <f>-580.030393986453 -39.6000646842026 -91.4960186884784</f>
        <v>-711.12647735913401</v>
      </c>
      <c r="W2820" t="s">
        <v>55179</v>
      </c>
      <c r="X2820" t="s">
        <v>55180</v>
      </c>
      <c r="Y2820" t="s">
        <v>55181</v>
      </c>
    </row>
    <row r="2821" spans="1:25" x14ac:dyDescent="0.3">
      <c r="A2821">
        <v>141000</v>
      </c>
      <c r="B2821" t="s">
        <v>55182</v>
      </c>
      <c r="C2821" t="s">
        <v>55183</v>
      </c>
      <c r="D2821" t="s">
        <v>55184</v>
      </c>
      <c r="E2821" t="s">
        <v>55185</v>
      </c>
      <c r="F2821" t="s">
        <v>55186</v>
      </c>
      <c r="G2821" t="s">
        <v>55187</v>
      </c>
      <c r="H2821" t="s">
        <v>55188</v>
      </c>
      <c r="I2821" t="s">
        <v>55189</v>
      </c>
      <c r="J2821" t="s">
        <v>55190</v>
      </c>
      <c r="K2821" t="s">
        <v>55191</v>
      </c>
      <c r="L2821" t="s">
        <v>55192</v>
      </c>
      <c r="M2821" t="s">
        <v>55193</v>
      </c>
      <c r="N2821">
        <f>-658.670168926107 -0.398571000805077 -523.183003934147</f>
        <v>-1182.2517438610589</v>
      </c>
      <c r="O2821">
        <f>-673.062381342683 -150.291222340753 -482.428492365403</f>
        <v>-1305.7820960488389</v>
      </c>
      <c r="P2821">
        <f>-650.815026208929 -145.310846581141 -201.254408185933</f>
        <v>-997.38028097600295</v>
      </c>
      <c r="Q2821">
        <f>-441.489768952202 -69.5461351225872 -267.520554899361</f>
        <v>-778.55645897415025</v>
      </c>
      <c r="R2821" t="s">
        <v>55194</v>
      </c>
      <c r="S2821" t="s">
        <v>55195</v>
      </c>
      <c r="T2821" t="s">
        <v>55196</v>
      </c>
      <c r="U2821" t="s">
        <v>55197</v>
      </c>
      <c r="V2821">
        <f>-580.972846052297 -39.8904768109173 -91.5736579338047</f>
        <v>-712.43698079701903</v>
      </c>
      <c r="W2821" t="s">
        <v>55198</v>
      </c>
      <c r="X2821" t="s">
        <v>55199</v>
      </c>
      <c r="Y2821" t="s">
        <v>55200</v>
      </c>
    </row>
    <row r="2822" spans="1:25" x14ac:dyDescent="0.3">
      <c r="A2822">
        <v>141050</v>
      </c>
      <c r="B2822" t="s">
        <v>55201</v>
      </c>
      <c r="C2822" t="s">
        <v>55202</v>
      </c>
      <c r="D2822" t="s">
        <v>55203</v>
      </c>
      <c r="E2822" t="s">
        <v>55204</v>
      </c>
      <c r="F2822" t="s">
        <v>55205</v>
      </c>
      <c r="G2822" t="s">
        <v>55206</v>
      </c>
      <c r="H2822" t="s">
        <v>55207</v>
      </c>
      <c r="I2822" t="s">
        <v>55208</v>
      </c>
      <c r="J2822" t="s">
        <v>55209</v>
      </c>
      <c r="K2822" t="s">
        <v>55210</v>
      </c>
      <c r="L2822" t="s">
        <v>55211</v>
      </c>
      <c r="M2822" t="s">
        <v>55212</v>
      </c>
      <c r="N2822">
        <f>-659.455542067225 -0.593046229206038 -523.178792966894</f>
        <v>-1183.227381263325</v>
      </c>
      <c r="O2822">
        <f>-673.970293403423 -150.461907508429 -482.362299939721</f>
        <v>-1306.794500851573</v>
      </c>
      <c r="P2822">
        <f>-651.430405537631 -145.484603100208 -201.211435984255</f>
        <v>-998.12644462209403</v>
      </c>
      <c r="Q2822">
        <f>-442.053260031505 -69.7996422987126 -267.404384579226</f>
        <v>-779.25728690944356</v>
      </c>
      <c r="R2822" t="s">
        <v>55213</v>
      </c>
      <c r="S2822" t="s">
        <v>55214</v>
      </c>
      <c r="T2822" t="s">
        <v>55215</v>
      </c>
      <c r="U2822" t="s">
        <v>55216</v>
      </c>
      <c r="V2822">
        <f>-581.474601019262 -40.0645258450422 -91.622497161185</f>
        <v>-713.16162402548923</v>
      </c>
      <c r="W2822" t="s">
        <v>55217</v>
      </c>
      <c r="X2822" t="s">
        <v>55218</v>
      </c>
      <c r="Y2822" t="s">
        <v>55219</v>
      </c>
    </row>
    <row r="2823" spans="1:25" x14ac:dyDescent="0.3">
      <c r="A2823">
        <v>141100</v>
      </c>
      <c r="B2823" t="s">
        <v>55220</v>
      </c>
      <c r="C2823" t="s">
        <v>55221</v>
      </c>
      <c r="D2823" t="s">
        <v>55222</v>
      </c>
      <c r="E2823" t="s">
        <v>55223</v>
      </c>
      <c r="F2823" t="s">
        <v>55224</v>
      </c>
      <c r="G2823" t="s">
        <v>55225</v>
      </c>
      <c r="H2823" t="s">
        <v>55226</v>
      </c>
      <c r="I2823" t="s">
        <v>55227</v>
      </c>
      <c r="J2823" t="s">
        <v>55228</v>
      </c>
      <c r="K2823" t="s">
        <v>55229</v>
      </c>
      <c r="L2823" t="s">
        <v>55230</v>
      </c>
      <c r="M2823" t="s">
        <v>55231</v>
      </c>
      <c r="N2823">
        <f>-661.037398015892 -1.03072687930262 -523.135193402926</f>
        <v>-1185.2033182981206</v>
      </c>
      <c r="O2823">
        <f>-675.750202007293 -150.842576430147 -482.179994244051</f>
        <v>-1308.772772681491</v>
      </c>
      <c r="P2823">
        <f>-653.175674618732 -145.70657814493 -201.034825652634</f>
        <v>-999.91707841629614</v>
      </c>
      <c r="Q2823">
        <f>-443.557603289422 -70.8212443854418 -267.374774552959</f>
        <v>-781.7536222278228</v>
      </c>
      <c r="R2823" t="s">
        <v>55232</v>
      </c>
      <c r="S2823" t="s">
        <v>55233</v>
      </c>
      <c r="T2823" t="s">
        <v>55234</v>
      </c>
      <c r="U2823" t="s">
        <v>55235</v>
      </c>
      <c r="V2823">
        <f>-582.443450945766 -40.3782939647976 -91.7242407813541</f>
        <v>-714.54598569191774</v>
      </c>
      <c r="W2823" t="s">
        <v>55236</v>
      </c>
      <c r="X2823" t="s">
        <v>55237</v>
      </c>
      <c r="Y2823" t="s">
        <v>55238</v>
      </c>
    </row>
    <row r="2824" spans="1:25" x14ac:dyDescent="0.3">
      <c r="A2824">
        <v>141150</v>
      </c>
      <c r="B2824" t="s">
        <v>55239</v>
      </c>
      <c r="C2824" t="s">
        <v>55240</v>
      </c>
      <c r="D2824" t="s">
        <v>55241</v>
      </c>
      <c r="E2824" t="s">
        <v>55242</v>
      </c>
      <c r="F2824" t="s">
        <v>55243</v>
      </c>
      <c r="G2824" t="s">
        <v>55244</v>
      </c>
      <c r="H2824" t="s">
        <v>55245</v>
      </c>
      <c r="I2824" t="s">
        <v>55246</v>
      </c>
      <c r="J2824" t="s">
        <v>55247</v>
      </c>
      <c r="K2824" t="s">
        <v>55248</v>
      </c>
      <c r="L2824" t="s">
        <v>55249</v>
      </c>
      <c r="M2824" t="s">
        <v>55250</v>
      </c>
      <c r="N2824">
        <f>-661.785546713105 -1.18065743327475 -523.123473909836</f>
        <v>-1186.0896780562157</v>
      </c>
      <c r="O2824">
        <f>-676.703770996654 -150.963225680347 -482.116971192859</f>
        <v>-1309.7839678698601</v>
      </c>
      <c r="P2824">
        <f>-654.008525656442 -145.682193522054 -200.984204266494</f>
        <v>-1000.67492344499</v>
      </c>
      <c r="Q2824">
        <f>-444.314443610066 -71.2280099907423 -267.568465753761</f>
        <v>-783.11091935456943</v>
      </c>
      <c r="R2824" t="s">
        <v>55251</v>
      </c>
      <c r="S2824" t="s">
        <v>55252</v>
      </c>
      <c r="T2824" t="s">
        <v>55253</v>
      </c>
      <c r="U2824" t="s">
        <v>55254</v>
      </c>
      <c r="V2824">
        <f>-582.866455386334 -40.4869268000764 -91.7578186249116</f>
        <v>-715.11120081132196</v>
      </c>
      <c r="W2824" t="s">
        <v>55255</v>
      </c>
      <c r="X2824" t="s">
        <v>55256</v>
      </c>
      <c r="Y2824" t="s">
        <v>55257</v>
      </c>
    </row>
    <row r="2825" spans="1:25" x14ac:dyDescent="0.3">
      <c r="A2825">
        <v>141200</v>
      </c>
      <c r="B2825" t="s">
        <v>55258</v>
      </c>
      <c r="C2825" t="s">
        <v>55259</v>
      </c>
      <c r="D2825" t="s">
        <v>55260</v>
      </c>
      <c r="E2825" t="s">
        <v>55261</v>
      </c>
      <c r="F2825" t="s">
        <v>55262</v>
      </c>
      <c r="G2825" t="s">
        <v>55263</v>
      </c>
      <c r="H2825" t="s">
        <v>55264</v>
      </c>
      <c r="I2825" t="s">
        <v>55265</v>
      </c>
      <c r="J2825" t="s">
        <v>55266</v>
      </c>
      <c r="K2825" t="s">
        <v>55267</v>
      </c>
      <c r="L2825" t="s">
        <v>55268</v>
      </c>
      <c r="M2825" t="s">
        <v>55269</v>
      </c>
      <c r="N2825">
        <f>-663.390923079143 -1.34792757752052 -523.010268025929</f>
        <v>-1187.7491186825926</v>
      </c>
      <c r="O2825">
        <f>-678.689939404674 -151.058972822502 -481.918041562264</f>
        <v>-1311.66695378944</v>
      </c>
      <c r="P2825">
        <f>-655.671392526479 -145.848347134193 -200.810247641499</f>
        <v>-1002.329987302171</v>
      </c>
      <c r="Q2825">
        <f>-445.808140231999 -72.186720159531 -267.742239808825</f>
        <v>-785.73710020035492</v>
      </c>
      <c r="R2825" t="s">
        <v>55270</v>
      </c>
      <c r="S2825" t="s">
        <v>55271</v>
      </c>
      <c r="T2825" t="s">
        <v>55272</v>
      </c>
      <c r="U2825" t="s">
        <v>55273</v>
      </c>
      <c r="V2825">
        <f>-583.641776658522 -40.5327737743396 -91.7813514737273</f>
        <v>-715.95590190658891</v>
      </c>
      <c r="W2825" t="s">
        <v>55274</v>
      </c>
      <c r="X2825" t="s">
        <v>55275</v>
      </c>
      <c r="Y2825" t="s">
        <v>55276</v>
      </c>
    </row>
    <row r="2826" spans="1:25" x14ac:dyDescent="0.3">
      <c r="A2826">
        <v>141250</v>
      </c>
      <c r="B2826" t="s">
        <v>55277</v>
      </c>
      <c r="C2826" t="s">
        <v>55278</v>
      </c>
      <c r="D2826" t="s">
        <v>55279</v>
      </c>
      <c r="E2826" t="s">
        <v>55280</v>
      </c>
      <c r="F2826" t="s">
        <v>55281</v>
      </c>
      <c r="G2826" t="s">
        <v>55282</v>
      </c>
      <c r="H2826" t="s">
        <v>55283</v>
      </c>
      <c r="I2826" t="s">
        <v>55284</v>
      </c>
      <c r="J2826" t="s">
        <v>55285</v>
      </c>
      <c r="K2826" t="s">
        <v>55286</v>
      </c>
      <c r="L2826" t="s">
        <v>55287</v>
      </c>
      <c r="M2826" t="s">
        <v>55288</v>
      </c>
      <c r="N2826">
        <f>-664.171057521078 -1.47855108656586 -522.96369147471</f>
        <v>-1188.6133000823538</v>
      </c>
      <c r="O2826">
        <f>-679.636421030691 -151.166541418317 -481.825162380153</f>
        <v>-1312.6281248291612</v>
      </c>
      <c r="P2826">
        <f>-656.53598954484 -146.048759886902 -200.722361701567</f>
        <v>-1003.307111133309</v>
      </c>
      <c r="Q2826">
        <f>-446.368049253393 -73.0174103405525 -267.38839064266</f>
        <v>-786.77385023660554</v>
      </c>
      <c r="R2826" t="s">
        <v>55289</v>
      </c>
      <c r="S2826" t="s">
        <v>55290</v>
      </c>
      <c r="T2826" t="s">
        <v>55291</v>
      </c>
      <c r="U2826" t="s">
        <v>55292</v>
      </c>
      <c r="V2826">
        <f>-584.094438857171 -40.5877157432283 -91.8042685004631</f>
        <v>-716.48642310086234</v>
      </c>
      <c r="W2826" t="s">
        <v>55293</v>
      </c>
      <c r="X2826" t="s">
        <v>55294</v>
      </c>
      <c r="Y2826" t="s">
        <v>55295</v>
      </c>
    </row>
    <row r="2827" spans="1:25" x14ac:dyDescent="0.3">
      <c r="A2827">
        <v>141300</v>
      </c>
      <c r="B2827" t="s">
        <v>55296</v>
      </c>
      <c r="C2827" t="s">
        <v>55297</v>
      </c>
      <c r="D2827" t="s">
        <v>55298</v>
      </c>
      <c r="E2827" t="s">
        <v>55299</v>
      </c>
      <c r="F2827" t="s">
        <v>55300</v>
      </c>
      <c r="G2827" t="s">
        <v>55301</v>
      </c>
      <c r="H2827" t="s">
        <v>55302</v>
      </c>
      <c r="I2827" t="s">
        <v>55303</v>
      </c>
      <c r="J2827" t="s">
        <v>55304</v>
      </c>
      <c r="K2827" t="s">
        <v>55305</v>
      </c>
      <c r="L2827" t="s">
        <v>55306</v>
      </c>
      <c r="M2827" t="s">
        <v>55307</v>
      </c>
      <c r="N2827">
        <f>-665.492693993966 -2.01359908960058 -523.00329307765</f>
        <v>-1190.5095861612167</v>
      </c>
      <c r="O2827">
        <f>-681.331007623755 -151.64388475457 -481.820640691739</f>
        <v>-1314.795533070064</v>
      </c>
      <c r="P2827">
        <f>-658.483889915937 -146.632425872641 -200.695274546311</f>
        <v>-1005.8115903348889</v>
      </c>
      <c r="Q2827">
        <f>-447.405717318792 -75.4871108539808 -266.520144913701</f>
        <v>-789.41297308647381</v>
      </c>
      <c r="R2827" t="s">
        <v>55308</v>
      </c>
      <c r="S2827" t="s">
        <v>55309</v>
      </c>
      <c r="T2827" t="s">
        <v>55310</v>
      </c>
      <c r="U2827" t="s">
        <v>55311</v>
      </c>
      <c r="V2827">
        <f>-584.928428338648 -41.1707818858388 -91.9253487511793</f>
        <v>-718.02455897566608</v>
      </c>
      <c r="W2827" t="s">
        <v>55312</v>
      </c>
      <c r="X2827" t="s">
        <v>55313</v>
      </c>
      <c r="Y2827" t="s">
        <v>55314</v>
      </c>
    </row>
    <row r="2828" spans="1:25" x14ac:dyDescent="0.3">
      <c r="A2828">
        <v>141350</v>
      </c>
      <c r="B2828" t="s">
        <v>55315</v>
      </c>
      <c r="C2828" t="s">
        <v>55316</v>
      </c>
      <c r="D2828" t="s">
        <v>55317</v>
      </c>
      <c r="E2828" t="s">
        <v>55318</v>
      </c>
      <c r="F2828" t="s">
        <v>55319</v>
      </c>
      <c r="G2828" t="s">
        <v>55320</v>
      </c>
      <c r="H2828" t="s">
        <v>55321</v>
      </c>
      <c r="I2828" t="s">
        <v>55322</v>
      </c>
      <c r="J2828" t="s">
        <v>55323</v>
      </c>
      <c r="K2828" t="s">
        <v>55324</v>
      </c>
      <c r="L2828" t="s">
        <v>55325</v>
      </c>
      <c r="M2828" t="s">
        <v>55326</v>
      </c>
      <c r="N2828">
        <f>-665.938422247116 -2.426873347737 -523.065966269994</f>
        <v>-1191.4312618648469</v>
      </c>
      <c r="O2828">
        <f>-682.021677903088 -152.041620651632 -481.881487748726</f>
        <v>-1315.9447863034459</v>
      </c>
      <c r="P2828">
        <f>-659.479392506184 -146.837359179856 -200.735026279775</f>
        <v>-1007.0517779658151</v>
      </c>
      <c r="Q2828">
        <f>-448.298266549097 -76.2811580163905 -266.862995921574</f>
        <v>-791.44242048706144</v>
      </c>
      <c r="R2828" t="s">
        <v>55327</v>
      </c>
      <c r="S2828" t="s">
        <v>55328</v>
      </c>
      <c r="T2828" t="s">
        <v>55329</v>
      </c>
      <c r="U2828" t="s">
        <v>55330</v>
      </c>
      <c r="V2828">
        <f>-585.349776343351 -41.6359495509496 -91.9917611767099</f>
        <v>-718.9774870710105</v>
      </c>
      <c r="W2828" t="s">
        <v>55331</v>
      </c>
      <c r="X2828" t="s">
        <v>55332</v>
      </c>
      <c r="Y2828" t="s">
        <v>55333</v>
      </c>
    </row>
    <row r="2829" spans="1:25" x14ac:dyDescent="0.3">
      <c r="A2829">
        <v>141400</v>
      </c>
      <c r="B2829" t="s">
        <v>55334</v>
      </c>
      <c r="C2829" t="s">
        <v>55335</v>
      </c>
      <c r="D2829" t="s">
        <v>55336</v>
      </c>
      <c r="E2829" t="s">
        <v>55337</v>
      </c>
      <c r="F2829" t="s">
        <v>55338</v>
      </c>
      <c r="G2829" t="s">
        <v>55339</v>
      </c>
      <c r="H2829" t="s">
        <v>55340</v>
      </c>
      <c r="I2829" t="s">
        <v>55341</v>
      </c>
      <c r="J2829" t="s">
        <v>55342</v>
      </c>
      <c r="K2829" t="s">
        <v>55343</v>
      </c>
      <c r="L2829" t="s">
        <v>55344</v>
      </c>
      <c r="M2829" t="s">
        <v>55345</v>
      </c>
      <c r="N2829">
        <f>-666.606882708195 -3.23175269014268 -523.235921485537</f>
        <v>-1193.0745568838747</v>
      </c>
      <c r="O2829">
        <f>-683.181538066359 -152.776965466875 -482.031326848258</f>
        <v>-1317.9898303814921</v>
      </c>
      <c r="P2829">
        <f>-660.901706257362 -147.735884335452 -200.861081247876</f>
        <v>-1009.4986718406899</v>
      </c>
      <c r="Q2829">
        <f>-450.02100840582 -77.7885740351176 -268.575502667195</f>
        <v>-796.38508510813256</v>
      </c>
      <c r="R2829" t="s">
        <v>55346</v>
      </c>
      <c r="S2829" t="s">
        <v>55347</v>
      </c>
      <c r="T2829" t="s">
        <v>55348</v>
      </c>
      <c r="U2829" t="s">
        <v>55349</v>
      </c>
      <c r="V2829">
        <f>-586.176670005021 -42.6800903904434 -92.1211992364892</f>
        <v>-720.97795963195369</v>
      </c>
      <c r="W2829" t="s">
        <v>55350</v>
      </c>
      <c r="X2829" t="s">
        <v>55351</v>
      </c>
      <c r="Y2829" t="s">
        <v>55352</v>
      </c>
    </row>
    <row r="2830" spans="1:25" x14ac:dyDescent="0.3">
      <c r="A2830">
        <v>141450</v>
      </c>
      <c r="B2830" t="s">
        <v>55353</v>
      </c>
      <c r="C2830" t="s">
        <v>55354</v>
      </c>
      <c r="D2830" t="s">
        <v>55355</v>
      </c>
      <c r="E2830" t="s">
        <v>55356</v>
      </c>
      <c r="F2830" t="s">
        <v>55357</v>
      </c>
      <c r="G2830" t="s">
        <v>55358</v>
      </c>
      <c r="H2830" t="s">
        <v>55359</v>
      </c>
      <c r="I2830" t="s">
        <v>55360</v>
      </c>
      <c r="J2830" t="s">
        <v>55361</v>
      </c>
      <c r="K2830" t="s">
        <v>55362</v>
      </c>
      <c r="L2830" t="s">
        <v>55363</v>
      </c>
      <c r="M2830" t="s">
        <v>55364</v>
      </c>
      <c r="N2830">
        <f>-666.973586317477 -3.62876791271742 -523.325089515005</f>
        <v>-1193.9274437451995</v>
      </c>
      <c r="O2830">
        <f>-683.749009504309 -153.164074609296 -482.147565562642</f>
        <v>-1319.0606496762471</v>
      </c>
      <c r="P2830">
        <f>-661.457172418242 -148.434037256028 -200.972711996158</f>
        <v>-1010.863921670428</v>
      </c>
      <c r="Q2830">
        <f>-450.747014661767 -78.7835135273369 -269.518689640158</f>
        <v>-799.04921782926203</v>
      </c>
      <c r="R2830" t="s">
        <v>55365</v>
      </c>
      <c r="S2830" t="s">
        <v>55366</v>
      </c>
      <c r="T2830" t="s">
        <v>55367</v>
      </c>
      <c r="U2830" t="s">
        <v>55368</v>
      </c>
      <c r="V2830">
        <f>-586.598148295475 -43.2539547909259 -92.1944837128917</f>
        <v>-722.04658679929264</v>
      </c>
      <c r="W2830" t="s">
        <v>55369</v>
      </c>
      <c r="X2830" t="s">
        <v>55370</v>
      </c>
      <c r="Y2830" t="s">
        <v>55371</v>
      </c>
    </row>
    <row r="2831" spans="1:25" x14ac:dyDescent="0.3">
      <c r="A2831">
        <v>141500</v>
      </c>
      <c r="B2831" t="s">
        <v>55372</v>
      </c>
      <c r="C2831" t="s">
        <v>55373</v>
      </c>
      <c r="D2831" t="s">
        <v>55374</v>
      </c>
      <c r="E2831" t="s">
        <v>55375</v>
      </c>
      <c r="F2831" t="s">
        <v>55376</v>
      </c>
      <c r="G2831" t="s">
        <v>55377</v>
      </c>
      <c r="H2831" t="s">
        <v>55378</v>
      </c>
      <c r="I2831" t="s">
        <v>55379</v>
      </c>
      <c r="J2831" t="s">
        <v>55380</v>
      </c>
      <c r="K2831" t="s">
        <v>55381</v>
      </c>
      <c r="L2831" t="s">
        <v>55382</v>
      </c>
      <c r="M2831" t="s">
        <v>55383</v>
      </c>
      <c r="N2831">
        <f>-667.825615779137 -4.24464238544692 -523.499109096152</f>
        <v>-1195.5693672607358</v>
      </c>
      <c r="O2831">
        <f>-684.974291105669 -153.781938812934 -482.4882227003</f>
        <v>-1321.2444526189029</v>
      </c>
      <c r="P2831">
        <f>-662.512362316551 -149.72630678393 -201.31653312793</f>
        <v>-1013.5552022284111</v>
      </c>
      <c r="Q2831">
        <f>-452.397750296231 -80.2150463220926 -271.804318233265</f>
        <v>-804.41711485158862</v>
      </c>
      <c r="R2831" t="s">
        <v>55384</v>
      </c>
      <c r="S2831" t="s">
        <v>55385</v>
      </c>
      <c r="T2831" t="s">
        <v>55386</v>
      </c>
      <c r="U2831" t="s">
        <v>55387</v>
      </c>
      <c r="V2831">
        <f>-587.432811436786 -44.3299033709532 -92.3231181530283</f>
        <v>-724.08583296076745</v>
      </c>
      <c r="W2831" t="s">
        <v>55388</v>
      </c>
      <c r="X2831" t="s">
        <v>55389</v>
      </c>
      <c r="Y2831" t="s">
        <v>55390</v>
      </c>
    </row>
    <row r="2832" spans="1:25" x14ac:dyDescent="0.3">
      <c r="A2832">
        <v>141550</v>
      </c>
      <c r="B2832" t="s">
        <v>55391</v>
      </c>
      <c r="C2832" t="s">
        <v>55392</v>
      </c>
      <c r="D2832" t="s">
        <v>55393</v>
      </c>
      <c r="E2832" t="s">
        <v>55394</v>
      </c>
      <c r="F2832" t="s">
        <v>55395</v>
      </c>
      <c r="G2832" t="s">
        <v>55396</v>
      </c>
      <c r="H2832" t="s">
        <v>55397</v>
      </c>
      <c r="I2832" t="s">
        <v>55398</v>
      </c>
      <c r="J2832" t="s">
        <v>55399</v>
      </c>
      <c r="K2832" t="s">
        <v>55400</v>
      </c>
      <c r="L2832" t="s">
        <v>55401</v>
      </c>
      <c r="M2832" t="s">
        <v>55402</v>
      </c>
      <c r="N2832">
        <f>-668.230187839451 -4.58763343507917 -523.582774605163</f>
        <v>-1196.4005958796931</v>
      </c>
      <c r="O2832">
        <f>-685.522878197024 -154.126936548508 -482.646835638776</f>
        <v>-1322.2966503843081</v>
      </c>
      <c r="P2832">
        <f>-662.869856326819 -150.445123481044 -201.485282246267</f>
        <v>-1014.8002620541299</v>
      </c>
      <c r="Q2832">
        <f>-453.12194937587 -80.8559617835056 -272.981268555517</f>
        <v>-806.95917971489257</v>
      </c>
      <c r="R2832" t="s">
        <v>55403</v>
      </c>
      <c r="S2832" t="s">
        <v>55404</v>
      </c>
      <c r="T2832" t="s">
        <v>55405</v>
      </c>
      <c r="U2832" t="s">
        <v>55406</v>
      </c>
      <c r="V2832">
        <f>-587.748003068722 -44.9202798512388 -92.3942153001894</f>
        <v>-725.06249822015025</v>
      </c>
      <c r="W2832" t="s">
        <v>55407</v>
      </c>
      <c r="X2832" t="s">
        <v>55408</v>
      </c>
      <c r="Y2832" t="s">
        <v>55409</v>
      </c>
    </row>
    <row r="2833" spans="1:25" x14ac:dyDescent="0.3">
      <c r="A2833">
        <v>141600</v>
      </c>
      <c r="B2833" t="s">
        <v>55410</v>
      </c>
      <c r="C2833" t="s">
        <v>55411</v>
      </c>
      <c r="D2833" t="s">
        <v>55412</v>
      </c>
      <c r="E2833" t="s">
        <v>55413</v>
      </c>
      <c r="F2833" t="s">
        <v>55414</v>
      </c>
      <c r="G2833" t="s">
        <v>55415</v>
      </c>
      <c r="H2833" t="s">
        <v>55416</v>
      </c>
      <c r="I2833" t="s">
        <v>55417</v>
      </c>
      <c r="J2833" t="s">
        <v>55418</v>
      </c>
      <c r="K2833" t="s">
        <v>55419</v>
      </c>
      <c r="L2833" t="s">
        <v>55420</v>
      </c>
      <c r="M2833" t="s">
        <v>55421</v>
      </c>
      <c r="N2833">
        <f>-669.159890012583 -5.15752974867223 -523.697777392884</f>
        <v>-1198.0151971541391</v>
      </c>
      <c r="O2833">
        <f>-686.526918648228 -154.759328723406 -482.996579366793</f>
        <v>-1324.282826738427</v>
      </c>
      <c r="P2833">
        <f>-663.594980424731 -151.761880756879 -201.84944684421</f>
        <v>-1017.20630802582</v>
      </c>
      <c r="Q2833">
        <f>-454.496620196883 -81.8141136911922 -274.881847455147</f>
        <v>-811.19258134322217</v>
      </c>
      <c r="R2833" t="s">
        <v>55422</v>
      </c>
      <c r="S2833" t="s">
        <v>55423</v>
      </c>
      <c r="T2833" t="s">
        <v>55424</v>
      </c>
      <c r="U2833" t="s">
        <v>55425</v>
      </c>
      <c r="V2833">
        <f>-588.25234713939 -46.1025657397586 -92.5254425586086</f>
        <v>-726.8803554377572</v>
      </c>
      <c r="W2833" t="s">
        <v>55426</v>
      </c>
      <c r="X2833" t="s">
        <v>55427</v>
      </c>
      <c r="Y2833" t="s">
        <v>55428</v>
      </c>
    </row>
    <row r="2834" spans="1:25" x14ac:dyDescent="0.3">
      <c r="A2834">
        <v>141650</v>
      </c>
      <c r="B2834" t="s">
        <v>55429</v>
      </c>
      <c r="C2834" t="s">
        <v>55430</v>
      </c>
      <c r="D2834" t="s">
        <v>55431</v>
      </c>
      <c r="E2834" t="s">
        <v>55432</v>
      </c>
      <c r="F2834" t="s">
        <v>55433</v>
      </c>
      <c r="G2834" t="s">
        <v>55434</v>
      </c>
      <c r="H2834" t="s">
        <v>55435</v>
      </c>
      <c r="I2834" t="s">
        <v>55436</v>
      </c>
      <c r="J2834" t="s">
        <v>55437</v>
      </c>
      <c r="K2834" t="s">
        <v>55438</v>
      </c>
      <c r="L2834" t="s">
        <v>55439</v>
      </c>
      <c r="M2834" t="s">
        <v>55440</v>
      </c>
      <c r="N2834">
        <f>-669.524782197473 -5.28628364108795 -523.780362003507</f>
        <v>-1198.5914278420678</v>
      </c>
      <c r="O2834">
        <f>-686.890733048799 -154.927477174955 -483.218015175624</f>
        <v>-1325.0362253993781</v>
      </c>
      <c r="P2834">
        <f>-663.751806419024 -152.320225066979 -202.083862444272</f>
        <v>-1018.1558939302749</v>
      </c>
      <c r="Q2834">
        <f>-454.931948190266 -82.071646367436 -275.622637326477</f>
        <v>-812.62623188417888</v>
      </c>
      <c r="R2834" t="s">
        <v>55441</v>
      </c>
      <c r="S2834" t="s">
        <v>55442</v>
      </c>
      <c r="T2834" t="s">
        <v>55443</v>
      </c>
      <c r="U2834" t="s">
        <v>55444</v>
      </c>
      <c r="V2834">
        <f>-588.478559234161 -46.5502960062195 -92.5769844119045</f>
        <v>-727.605839652285</v>
      </c>
      <c r="W2834" t="s">
        <v>55445</v>
      </c>
      <c r="X2834" t="s">
        <v>55446</v>
      </c>
      <c r="Y2834" t="s">
        <v>55447</v>
      </c>
    </row>
    <row r="2835" spans="1:25" x14ac:dyDescent="0.3">
      <c r="A2835">
        <v>141700</v>
      </c>
      <c r="B2835" t="s">
        <v>55448</v>
      </c>
      <c r="C2835" t="s">
        <v>55449</v>
      </c>
      <c r="D2835" t="s">
        <v>55450</v>
      </c>
      <c r="E2835" t="s">
        <v>55451</v>
      </c>
      <c r="F2835" t="s">
        <v>55452</v>
      </c>
      <c r="G2835" t="s">
        <v>55453</v>
      </c>
      <c r="H2835" t="s">
        <v>55454</v>
      </c>
      <c r="I2835" t="s">
        <v>55455</v>
      </c>
      <c r="J2835" t="s">
        <v>55456</v>
      </c>
      <c r="K2835" t="s">
        <v>55457</v>
      </c>
      <c r="L2835" t="s">
        <v>55458</v>
      </c>
      <c r="M2835" t="s">
        <v>55459</v>
      </c>
      <c r="N2835">
        <f>-670.048048907481 -5.69322053927476 -523.941646518581</f>
        <v>-1199.6829159653366</v>
      </c>
      <c r="O2835">
        <f>-687.148187674501 -155.439230306072 -483.680852164628</f>
        <v>-1326.2682701452009</v>
      </c>
      <c r="P2835">
        <f>-663.797229548449 -153.735378311283 -202.55746803114</f>
        <v>-1020.090075890872</v>
      </c>
      <c r="Q2835">
        <f>-455.638630395189 -82.5189412395519 -277.034138291463</f>
        <v>-815.19170992620388</v>
      </c>
      <c r="R2835" t="s">
        <v>55460</v>
      </c>
      <c r="S2835" t="s">
        <v>55461</v>
      </c>
      <c r="T2835" t="s">
        <v>55462</v>
      </c>
      <c r="U2835" t="s">
        <v>55463</v>
      </c>
      <c r="V2835">
        <f>-588.87036644563 -47.5384295513622 -92.6811456848895</f>
        <v>-729.08994168188178</v>
      </c>
      <c r="W2835" t="s">
        <v>55464</v>
      </c>
      <c r="X2835" t="s">
        <v>55465</v>
      </c>
      <c r="Y2835" t="s">
        <v>55466</v>
      </c>
    </row>
    <row r="2836" spans="1:25" x14ac:dyDescent="0.3">
      <c r="A2836">
        <v>141750</v>
      </c>
      <c r="B2836" t="s">
        <v>55467</v>
      </c>
      <c r="C2836" t="s">
        <v>55468</v>
      </c>
      <c r="D2836" t="s">
        <v>55469</v>
      </c>
      <c r="E2836" t="s">
        <v>55470</v>
      </c>
      <c r="F2836" t="s">
        <v>55471</v>
      </c>
      <c r="G2836" t="s">
        <v>55472</v>
      </c>
      <c r="H2836" t="s">
        <v>55473</v>
      </c>
      <c r="I2836" t="s">
        <v>55474</v>
      </c>
      <c r="J2836" t="s">
        <v>55475</v>
      </c>
      <c r="K2836" t="s">
        <v>55476</v>
      </c>
      <c r="L2836" t="s">
        <v>55477</v>
      </c>
      <c r="M2836" t="s">
        <v>55478</v>
      </c>
      <c r="N2836">
        <f>-670.503282796672 -5.80199758466938 -523.985518603223</f>
        <v>-1200.2907989845644</v>
      </c>
      <c r="O2836">
        <f>-687.385885407132 -155.611418300559 -483.867498217303</f>
        <v>-1326.864801924994</v>
      </c>
      <c r="P2836">
        <f>-663.884020094155 -154.348994935406 -202.754372278001</f>
        <v>-1020.987387307562</v>
      </c>
      <c r="Q2836">
        <f>-456.067308277662 -82.5596213886427 -277.63444789763</f>
        <v>-816.26137756393473</v>
      </c>
      <c r="R2836" t="s">
        <v>55479</v>
      </c>
      <c r="S2836" t="s">
        <v>55480</v>
      </c>
      <c r="T2836" t="s">
        <v>55481</v>
      </c>
      <c r="U2836" t="s">
        <v>55482</v>
      </c>
      <c r="V2836">
        <f>-589.027399094753 -47.8692129456906 -92.7303234480373</f>
        <v>-729.62693548848097</v>
      </c>
      <c r="W2836" t="s">
        <v>55483</v>
      </c>
      <c r="X2836" t="s">
        <v>55484</v>
      </c>
      <c r="Y2836" t="s">
        <v>55485</v>
      </c>
    </row>
    <row r="2837" spans="1:25" x14ac:dyDescent="0.3">
      <c r="A2837">
        <v>141800</v>
      </c>
      <c r="B2837" t="s">
        <v>55486</v>
      </c>
      <c r="C2837" t="s">
        <v>55487</v>
      </c>
      <c r="D2837" t="s">
        <v>55488</v>
      </c>
      <c r="E2837" t="s">
        <v>55489</v>
      </c>
      <c r="F2837" t="s">
        <v>55490</v>
      </c>
      <c r="G2837" t="s">
        <v>55491</v>
      </c>
      <c r="H2837" t="s">
        <v>55492</v>
      </c>
      <c r="I2837" t="s">
        <v>55493</v>
      </c>
      <c r="J2837" t="s">
        <v>55494</v>
      </c>
      <c r="K2837" t="s">
        <v>55495</v>
      </c>
      <c r="L2837" t="s">
        <v>55496</v>
      </c>
      <c r="M2837" t="s">
        <v>55497</v>
      </c>
      <c r="N2837">
        <f>-671.664132047621 -5.70844303424883 -524.047794620879</f>
        <v>-1201.4203697027488</v>
      </c>
      <c r="O2837">
        <f>-688.22072630024 -155.645757931045 -484.230423109051</f>
        <v>-1328.0969073403362</v>
      </c>
      <c r="P2837">
        <f>-664.291005366866 -155.046095531731 -203.151011859914</f>
        <v>-1022.488112758511</v>
      </c>
      <c r="Q2837">
        <f>-457.074484420218 -82.1250393132941 -278.598675893832</f>
        <v>-817.79819962734416</v>
      </c>
      <c r="R2837" t="s">
        <v>55498</v>
      </c>
      <c r="S2837" t="s">
        <v>55499</v>
      </c>
      <c r="T2837" t="s">
        <v>55500</v>
      </c>
      <c r="U2837" t="s">
        <v>55501</v>
      </c>
      <c r="V2837">
        <f>-589.511519141461 -48.2667631350325 -92.776399806844</f>
        <v>-730.55468208333753</v>
      </c>
      <c r="W2837" t="s">
        <v>55502</v>
      </c>
      <c r="X2837" t="s">
        <v>55503</v>
      </c>
      <c r="Y2837" t="s">
        <v>55504</v>
      </c>
    </row>
    <row r="2838" spans="1:25" x14ac:dyDescent="0.3">
      <c r="A2838">
        <v>141850</v>
      </c>
      <c r="B2838" t="s">
        <v>55505</v>
      </c>
      <c r="C2838" t="s">
        <v>55506</v>
      </c>
      <c r="D2838" t="s">
        <v>55507</v>
      </c>
      <c r="E2838" t="s">
        <v>55508</v>
      </c>
      <c r="F2838" t="s">
        <v>55509</v>
      </c>
      <c r="G2838" t="s">
        <v>55510</v>
      </c>
      <c r="H2838" t="s">
        <v>55511</v>
      </c>
      <c r="I2838" t="s">
        <v>55512</v>
      </c>
      <c r="J2838" t="s">
        <v>55513</v>
      </c>
      <c r="K2838" t="s">
        <v>55514</v>
      </c>
      <c r="L2838" t="s">
        <v>55515</v>
      </c>
      <c r="M2838" t="s">
        <v>55516</v>
      </c>
      <c r="N2838">
        <f>-672.16939888911 -5.72973214217973 -524.12431002965</f>
        <v>-1202.0234410609396</v>
      </c>
      <c r="O2838">
        <f>-688.605892480688 -155.712311794909 -484.465322372979</f>
        <v>-1328.7835266485761</v>
      </c>
      <c r="P2838">
        <f>-664.647715373569 -155.287942067452 -203.388124324518</f>
        <v>-1023.323781765539</v>
      </c>
      <c r="Q2838">
        <f>-457.660597173748 -81.8861694790644 -278.99919857951</f>
        <v>-818.54596523232237</v>
      </c>
      <c r="R2838" t="s">
        <v>55517</v>
      </c>
      <c r="S2838" t="s">
        <v>55518</v>
      </c>
      <c r="T2838" t="s">
        <v>55519</v>
      </c>
      <c r="U2838" t="s">
        <v>55520</v>
      </c>
      <c r="V2838">
        <f>-589.887948923533 -48.4695721105784 -92.8122994754908</f>
        <v>-731.16982050960223</v>
      </c>
      <c r="W2838" t="s">
        <v>55521</v>
      </c>
      <c r="X2838" t="s">
        <v>55522</v>
      </c>
      <c r="Y2838" t="s">
        <v>55523</v>
      </c>
    </row>
    <row r="2839" spans="1:25" x14ac:dyDescent="0.3">
      <c r="A2839">
        <v>141900</v>
      </c>
      <c r="B2839" t="s">
        <v>55524</v>
      </c>
      <c r="C2839" t="s">
        <v>55525</v>
      </c>
      <c r="D2839" t="s">
        <v>55526</v>
      </c>
      <c r="E2839" t="s">
        <v>55527</v>
      </c>
      <c r="F2839" t="s">
        <v>55528</v>
      </c>
      <c r="G2839" t="s">
        <v>55529</v>
      </c>
      <c r="H2839" t="s">
        <v>55530</v>
      </c>
      <c r="I2839" t="s">
        <v>55531</v>
      </c>
      <c r="J2839" t="s">
        <v>55532</v>
      </c>
      <c r="K2839" t="s">
        <v>55533</v>
      </c>
      <c r="L2839" t="s">
        <v>55534</v>
      </c>
      <c r="M2839" t="s">
        <v>55535</v>
      </c>
      <c r="N2839">
        <f>-673.207257055942 -5.86622773915633 -524.221677614454</f>
        <v>-1203.2951624095524</v>
      </c>
      <c r="O2839">
        <f>-689.565222627172 -155.914464589295 -484.774104858923</f>
        <v>-1330.25379207539</v>
      </c>
      <c r="P2839">
        <f>-665.579343499957 -156.21184847867 -203.699071088696</f>
        <v>-1025.490263067323</v>
      </c>
      <c r="Q2839">
        <f>-458.984148549053 -81.9591023649771 -279.550590728266</f>
        <v>-820.49384164229605</v>
      </c>
      <c r="R2839" t="s">
        <v>55536</v>
      </c>
      <c r="S2839" t="s">
        <v>55537</v>
      </c>
      <c r="T2839" t="s">
        <v>55538</v>
      </c>
      <c r="U2839" t="s">
        <v>55539</v>
      </c>
      <c r="V2839">
        <f>-590.821770511952 -48.7600600263795 -92.8884668140984</f>
        <v>-732.47029735242984</v>
      </c>
      <c r="W2839" t="s">
        <v>55540</v>
      </c>
      <c r="X2839" t="s">
        <v>55541</v>
      </c>
      <c r="Y2839" t="s">
        <v>55542</v>
      </c>
    </row>
    <row r="2840" spans="1:25" x14ac:dyDescent="0.3">
      <c r="A2840">
        <v>141950</v>
      </c>
      <c r="B2840" t="s">
        <v>55543</v>
      </c>
      <c r="C2840" t="s">
        <v>55544</v>
      </c>
      <c r="D2840" t="s">
        <v>55545</v>
      </c>
      <c r="E2840" t="s">
        <v>55546</v>
      </c>
      <c r="F2840" t="s">
        <v>55547</v>
      </c>
      <c r="G2840" t="s">
        <v>55548</v>
      </c>
      <c r="H2840" t="s">
        <v>55549</v>
      </c>
      <c r="I2840" t="s">
        <v>55550</v>
      </c>
      <c r="J2840" t="s">
        <v>55551</v>
      </c>
      <c r="K2840" t="s">
        <v>55552</v>
      </c>
      <c r="L2840" t="s">
        <v>55553</v>
      </c>
      <c r="M2840" t="s">
        <v>55554</v>
      </c>
      <c r="N2840">
        <f>-673.776235815452 -5.78422438919256 -524.270631063402</f>
        <v>-1203.8310912680465</v>
      </c>
      <c r="O2840">
        <f>-690.11162984065 -155.858527460098 -484.908859672093</f>
        <v>-1330.8790169728411</v>
      </c>
      <c r="P2840">
        <f>-666.109782763744 -156.324568221055 -203.835398184095</f>
        <v>-1026.2697491688939</v>
      </c>
      <c r="Q2840">
        <f>-459.663497531929 -81.8554198852651 -279.880043635714</f>
        <v>-821.39896105290813</v>
      </c>
      <c r="R2840" t="s">
        <v>55555</v>
      </c>
      <c r="S2840" t="s">
        <v>55556</v>
      </c>
      <c r="T2840" t="s">
        <v>55557</v>
      </c>
      <c r="U2840" t="s">
        <v>55558</v>
      </c>
      <c r="V2840">
        <f>-591.329402201289 -48.7714339139595 -92.9195680693389</f>
        <v>-733.02040418458739</v>
      </c>
      <c r="W2840" t="s">
        <v>55559</v>
      </c>
      <c r="X2840" t="s">
        <v>55560</v>
      </c>
      <c r="Y2840" t="s">
        <v>55561</v>
      </c>
    </row>
    <row r="2841" spans="1:25" x14ac:dyDescent="0.3">
      <c r="A2841">
        <v>142000</v>
      </c>
      <c r="B2841" t="s">
        <v>55562</v>
      </c>
      <c r="C2841" t="s">
        <v>55563</v>
      </c>
      <c r="D2841" t="s">
        <v>55564</v>
      </c>
      <c r="E2841" t="s">
        <v>55565</v>
      </c>
      <c r="F2841" t="s">
        <v>55566</v>
      </c>
      <c r="G2841" t="s">
        <v>55567</v>
      </c>
      <c r="H2841" t="s">
        <v>55568</v>
      </c>
      <c r="I2841" t="s">
        <v>55569</v>
      </c>
      <c r="J2841" t="s">
        <v>55570</v>
      </c>
      <c r="K2841" t="s">
        <v>55571</v>
      </c>
      <c r="L2841" t="s">
        <v>55572</v>
      </c>
      <c r="M2841" t="s">
        <v>55573</v>
      </c>
      <c r="N2841">
        <f>-675.017852701628 -5.52192513369278 -524.336647913328</f>
        <v>-1204.8764257486487</v>
      </c>
      <c r="O2841">
        <f>-691.274922721166 -155.647676867073 -485.163905460489</f>
        <v>-1332.086505048728</v>
      </c>
      <c r="P2841">
        <f>-667.144708476845 -156.598736340414 -204.102638048427</f>
        <v>-1027.846082865686</v>
      </c>
      <c r="Q2841">
        <f>-461.14803540891 -81.677600093803 -280.918823861412</f>
        <v>-823.74445936412508</v>
      </c>
      <c r="R2841" t="s">
        <v>55574</v>
      </c>
      <c r="S2841" t="s">
        <v>55575</v>
      </c>
      <c r="T2841" t="s">
        <v>55576</v>
      </c>
      <c r="U2841" t="s">
        <v>55577</v>
      </c>
      <c r="V2841">
        <f>-592.348694619973 -48.7064099697352 -92.9600693515782</f>
        <v>-734.01517394128643</v>
      </c>
      <c r="W2841" t="s">
        <v>55578</v>
      </c>
      <c r="X2841" t="s">
        <v>55579</v>
      </c>
      <c r="Y2841" t="s">
        <v>55580</v>
      </c>
    </row>
    <row r="2842" spans="1:25" x14ac:dyDescent="0.3">
      <c r="A2842">
        <v>142050</v>
      </c>
      <c r="B2842" t="s">
        <v>55581</v>
      </c>
      <c r="C2842" t="s">
        <v>55582</v>
      </c>
      <c r="D2842" t="s">
        <v>55583</v>
      </c>
      <c r="E2842" t="s">
        <v>55584</v>
      </c>
      <c r="F2842" t="s">
        <v>55585</v>
      </c>
      <c r="G2842" t="s">
        <v>55586</v>
      </c>
      <c r="H2842" t="s">
        <v>55587</v>
      </c>
      <c r="I2842" t="s">
        <v>55588</v>
      </c>
      <c r="J2842" t="s">
        <v>55589</v>
      </c>
      <c r="K2842" t="s">
        <v>55590</v>
      </c>
      <c r="L2842" t="s">
        <v>55591</v>
      </c>
      <c r="M2842" t="s">
        <v>55592</v>
      </c>
      <c r="N2842">
        <f>-675.718320316157 -5.42510713243473 -524.34275922798</f>
        <v>-1205.4861866765718</v>
      </c>
      <c r="O2842">
        <f>-691.87876508126 -155.597432497364 -485.312520106338</f>
        <v>-1332.788717684962</v>
      </c>
      <c r="P2842">
        <f>-667.687746622513 -157.071988706406 -204.258680445924</f>
        <v>-1029.0184157748431</v>
      </c>
      <c r="Q2842">
        <f>-461.919438697629 -81.9702004318874 -281.50943836532</f>
        <v>-825.39907749483632</v>
      </c>
      <c r="R2842" t="s">
        <v>55593</v>
      </c>
      <c r="S2842" t="s">
        <v>55594</v>
      </c>
      <c r="T2842" t="s">
        <v>55595</v>
      </c>
      <c r="U2842" t="s">
        <v>55596</v>
      </c>
      <c r="V2842">
        <f>-592.87064307636 -48.6337378085695 -92.9734785603692</f>
        <v>-734.4778594452988</v>
      </c>
      <c r="W2842" t="s">
        <v>55597</v>
      </c>
      <c r="X2842" t="s">
        <v>55598</v>
      </c>
      <c r="Y2842" t="s">
        <v>55599</v>
      </c>
    </row>
    <row r="2843" spans="1:25" x14ac:dyDescent="0.3">
      <c r="A2843">
        <v>142100</v>
      </c>
      <c r="B2843" t="s">
        <v>55600</v>
      </c>
      <c r="C2843" t="s">
        <v>55601</v>
      </c>
      <c r="D2843" t="s">
        <v>55602</v>
      </c>
      <c r="E2843" t="s">
        <v>55603</v>
      </c>
      <c r="F2843" t="s">
        <v>55604</v>
      </c>
      <c r="G2843" t="s">
        <v>55605</v>
      </c>
      <c r="H2843" t="s">
        <v>55606</v>
      </c>
      <c r="I2843" t="s">
        <v>55607</v>
      </c>
      <c r="J2843" t="s">
        <v>55608</v>
      </c>
      <c r="K2843" t="s">
        <v>55609</v>
      </c>
      <c r="L2843" t="s">
        <v>55610</v>
      </c>
      <c r="M2843" t="s">
        <v>55611</v>
      </c>
      <c r="N2843">
        <f>-677.294737696083 -4.83957490857892 -524.3187082505</f>
        <v>-1206.4530208551619</v>
      </c>
      <c r="O2843">
        <f>-693.227968177725 -155.147247048939 -485.693369922281</f>
        <v>-1334.068585148945</v>
      </c>
      <c r="P2843">
        <f>-668.658015295093 -157.632894759668 -204.679526464122</f>
        <v>-1030.9704365188832</v>
      </c>
      <c r="Q2843">
        <f>-463.40633817862 -82.1060526077958 -282.884418608657</f>
        <v>-828.39680939507275</v>
      </c>
      <c r="R2843" t="s">
        <v>55612</v>
      </c>
      <c r="S2843" t="s">
        <v>55613</v>
      </c>
      <c r="T2843" t="s">
        <v>55614</v>
      </c>
      <c r="U2843" t="s">
        <v>55615</v>
      </c>
      <c r="V2843">
        <f>-593.898348813648 -48.1948750539552 -92.9583004382782</f>
        <v>-735.05152430588146</v>
      </c>
      <c r="W2843" t="s">
        <v>55616</v>
      </c>
      <c r="X2843" t="s">
        <v>55617</v>
      </c>
      <c r="Y2843" t="s">
        <v>55618</v>
      </c>
    </row>
    <row r="2844" spans="1:25" x14ac:dyDescent="0.3">
      <c r="A2844">
        <v>142150</v>
      </c>
      <c r="B2844" t="s">
        <v>55619</v>
      </c>
      <c r="C2844" t="s">
        <v>55620</v>
      </c>
      <c r="D2844" t="s">
        <v>55621</v>
      </c>
      <c r="E2844" t="s">
        <v>55622</v>
      </c>
      <c r="F2844" t="s">
        <v>55623</v>
      </c>
      <c r="G2844" t="s">
        <v>55624</v>
      </c>
      <c r="H2844" t="s">
        <v>55625</v>
      </c>
      <c r="I2844" t="s">
        <v>55626</v>
      </c>
      <c r="J2844" t="s">
        <v>55627</v>
      </c>
      <c r="K2844" t="s">
        <v>55628</v>
      </c>
      <c r="L2844" t="s">
        <v>55629</v>
      </c>
      <c r="M2844" t="s">
        <v>55630</v>
      </c>
      <c r="N2844">
        <f>-678.23086242352 -4.63109298767017 -524.288643613383</f>
        <v>-1207.1505990245732</v>
      </c>
      <c r="O2844">
        <f>-693.915058370536 -155.026215111016 -485.89700709635</f>
        <v>-1334.838280577902</v>
      </c>
      <c r="P2844">
        <f>-669.144493022248 -158.252324944936 -204.908385025638</f>
        <v>-1032.3052029928219</v>
      </c>
      <c r="Q2844">
        <f>-464.19901835041 -82.1829904226968 -283.389751291526</f>
        <v>-829.77176006463287</v>
      </c>
      <c r="R2844" t="s">
        <v>55631</v>
      </c>
      <c r="S2844" t="s">
        <v>55632</v>
      </c>
      <c r="T2844" t="s">
        <v>55633</v>
      </c>
      <c r="U2844" t="s">
        <v>55634</v>
      </c>
      <c r="V2844">
        <f>-594.42359920683 -48.1118164077236 -92.9720310979606</f>
        <v>-735.50744671251414</v>
      </c>
      <c r="W2844" t="s">
        <v>55635</v>
      </c>
      <c r="X2844" t="s">
        <v>55636</v>
      </c>
      <c r="Y2844" t="s">
        <v>55637</v>
      </c>
    </row>
    <row r="2845" spans="1:25" x14ac:dyDescent="0.3">
      <c r="A2845">
        <v>142200</v>
      </c>
      <c r="B2845" t="s">
        <v>55638</v>
      </c>
      <c r="C2845" t="s">
        <v>55639</v>
      </c>
      <c r="D2845" t="s">
        <v>55640</v>
      </c>
      <c r="E2845" t="s">
        <v>55641</v>
      </c>
      <c r="F2845" t="s">
        <v>55642</v>
      </c>
      <c r="G2845" t="s">
        <v>55643</v>
      </c>
      <c r="H2845" t="s">
        <v>55644</v>
      </c>
      <c r="I2845" t="s">
        <v>55645</v>
      </c>
      <c r="J2845" t="s">
        <v>55646</v>
      </c>
      <c r="K2845" t="s">
        <v>55647</v>
      </c>
      <c r="L2845" t="s">
        <v>55648</v>
      </c>
      <c r="M2845" t="s">
        <v>55649</v>
      </c>
      <c r="N2845">
        <f>-680.147343527133 -4.07458711054028 -524.344736869325</f>
        <v>-1208.5666675069983</v>
      </c>
      <c r="O2845">
        <f>-695.206685303369 -154.684957201876 -486.541853994903</f>
        <v>-1336.4334965001481</v>
      </c>
      <c r="P2845">
        <f>-669.733801454724 -159.81027618838 -205.644304179849</f>
        <v>-1035.188381822953</v>
      </c>
      <c r="Q2845">
        <f>-465.701924506573 -82.3910313104993 -285.17904768828</f>
        <v>-833.27200350535225</v>
      </c>
      <c r="R2845" t="s">
        <v>55650</v>
      </c>
      <c r="S2845" t="s">
        <v>55651</v>
      </c>
      <c r="T2845" t="s">
        <v>55652</v>
      </c>
      <c r="U2845" t="s">
        <v>55653</v>
      </c>
      <c r="V2845">
        <f>-595.505586728755 -47.9532816928345 -93.0086535744192</f>
        <v>-736.46752199600871</v>
      </c>
      <c r="W2845" t="s">
        <v>55654</v>
      </c>
      <c r="X2845" t="s">
        <v>55655</v>
      </c>
      <c r="Y2845" t="s">
        <v>55656</v>
      </c>
    </row>
    <row r="2846" spans="1:25" x14ac:dyDescent="0.3">
      <c r="A2846">
        <v>142250</v>
      </c>
      <c r="B2846" t="s">
        <v>55657</v>
      </c>
      <c r="C2846" t="s">
        <v>55658</v>
      </c>
      <c r="D2846" t="s">
        <v>55659</v>
      </c>
      <c r="E2846" t="s">
        <v>55660</v>
      </c>
      <c r="F2846" t="s">
        <v>55661</v>
      </c>
      <c r="G2846" t="s">
        <v>55662</v>
      </c>
      <c r="H2846" t="s">
        <v>55663</v>
      </c>
      <c r="I2846" t="s">
        <v>55664</v>
      </c>
      <c r="J2846" t="s">
        <v>55665</v>
      </c>
      <c r="K2846" t="s">
        <v>55666</v>
      </c>
      <c r="L2846" t="s">
        <v>55667</v>
      </c>
      <c r="M2846" t="s">
        <v>55668</v>
      </c>
      <c r="N2846">
        <f>-681.205293316441 -3.73184587962328 -524.387856892013</f>
        <v>-1209.3249960880773</v>
      </c>
      <c r="O2846">
        <f>-695.94029591599 -154.449618086825 -486.92577369951</f>
        <v>-1337.315687702325</v>
      </c>
      <c r="P2846">
        <f>-669.883274053252 -160.766698624747 -206.106045846851</f>
        <v>-1036.7560185248499</v>
      </c>
      <c r="Q2846">
        <f>-466.418141711494 -82.5339869093241 -286.294147070769</f>
        <v>-835.24627569158713</v>
      </c>
      <c r="R2846" t="s">
        <v>55669</v>
      </c>
      <c r="S2846" t="s">
        <v>55670</v>
      </c>
      <c r="T2846" t="s">
        <v>55671</v>
      </c>
      <c r="U2846" t="s">
        <v>55672</v>
      </c>
      <c r="V2846">
        <f>-596.083611393078 -47.9165899966722 -93.0384685116004</f>
        <v>-737.03866990135054</v>
      </c>
      <c r="W2846" t="s">
        <v>55673</v>
      </c>
      <c r="X2846" t="s">
        <v>55674</v>
      </c>
      <c r="Y2846" t="s">
        <v>55675</v>
      </c>
    </row>
    <row r="2847" spans="1:25" x14ac:dyDescent="0.3">
      <c r="A2847">
        <v>142300</v>
      </c>
      <c r="B2847" t="s">
        <v>55676</v>
      </c>
      <c r="C2847" t="s">
        <v>55677</v>
      </c>
      <c r="D2847" t="s">
        <v>55678</v>
      </c>
      <c r="E2847" t="s">
        <v>55679</v>
      </c>
      <c r="F2847" t="s">
        <v>55680</v>
      </c>
      <c r="G2847" t="s">
        <v>55681</v>
      </c>
      <c r="H2847" t="s">
        <v>55682</v>
      </c>
      <c r="I2847" t="s">
        <v>55683</v>
      </c>
      <c r="J2847" t="s">
        <v>55684</v>
      </c>
      <c r="K2847" t="s">
        <v>55685</v>
      </c>
      <c r="L2847" t="s">
        <v>55686</v>
      </c>
      <c r="M2847" t="s">
        <v>55687</v>
      </c>
      <c r="N2847">
        <f>-683.235438893933 -3.48145447970342 -524.470381659423</f>
        <v>-1211.1872750330594</v>
      </c>
      <c r="O2847">
        <f>-697.38726927628 -154.416665056335 -487.673249383351</f>
        <v>-1339.477183715966</v>
      </c>
      <c r="P2847">
        <f>-669.854054704508 -162.574706304805 -207.041967015173</f>
        <v>-1039.4707280244861</v>
      </c>
      <c r="Q2847">
        <f>-467.369551238374 -83.0145923639886 -288.397358961947</f>
        <v>-838.78150256430968</v>
      </c>
      <c r="R2847" t="s">
        <v>55688</v>
      </c>
      <c r="S2847" t="s">
        <v>55689</v>
      </c>
      <c r="T2847" t="s">
        <v>55690</v>
      </c>
      <c r="U2847" t="s">
        <v>55691</v>
      </c>
      <c r="V2847">
        <f>-597.257658867711 -48.3818879689409 -93.1525572633553</f>
        <v>-738.79210410000724</v>
      </c>
      <c r="W2847" t="s">
        <v>55692</v>
      </c>
      <c r="X2847" t="s">
        <v>55693</v>
      </c>
      <c r="Y2847" t="s">
        <v>55694</v>
      </c>
    </row>
    <row r="2848" spans="1:25" x14ac:dyDescent="0.3">
      <c r="A2848">
        <v>142350</v>
      </c>
      <c r="B2848" t="s">
        <v>55695</v>
      </c>
      <c r="C2848" t="s">
        <v>55696</v>
      </c>
      <c r="D2848" t="s">
        <v>55697</v>
      </c>
      <c r="E2848" t="s">
        <v>55698</v>
      </c>
      <c r="F2848" t="s">
        <v>55699</v>
      </c>
      <c r="G2848" t="s">
        <v>55700</v>
      </c>
      <c r="H2848" t="s">
        <v>55701</v>
      </c>
      <c r="I2848" t="s">
        <v>55702</v>
      </c>
      <c r="J2848" t="s">
        <v>55703</v>
      </c>
      <c r="K2848" t="s">
        <v>55704</v>
      </c>
      <c r="L2848" t="s">
        <v>55705</v>
      </c>
      <c r="M2848" t="s">
        <v>55706</v>
      </c>
      <c r="N2848">
        <f>-684.156324823366 -3.58017985326978 -524.492119033574</f>
        <v>-1212.2286237102098</v>
      </c>
      <c r="O2848">
        <f>-698.039437576234 -154.608284131843 -487.980559538357</f>
        <v>-1340.628281246434</v>
      </c>
      <c r="P2848">
        <f>-669.697003844809 -163.609454837954 -207.455570838454</f>
        <v>-1040.7620295212171</v>
      </c>
      <c r="Q2848">
        <f>-467.766417989633 -83.2342226604876 -289.384780362911</f>
        <v>-840.38542101303165</v>
      </c>
      <c r="R2848" t="s">
        <v>55707</v>
      </c>
      <c r="S2848" t="s">
        <v>55708</v>
      </c>
      <c r="T2848" t="s">
        <v>55709</v>
      </c>
      <c r="U2848" t="s">
        <v>55710</v>
      </c>
      <c r="V2848">
        <f>-597.805420477486 -48.827688492358 -93.2036013405916</f>
        <v>-739.83671031043559</v>
      </c>
      <c r="W2848" t="s">
        <v>55711</v>
      </c>
      <c r="X2848" t="s">
        <v>55712</v>
      </c>
      <c r="Y2848" t="s">
        <v>55713</v>
      </c>
    </row>
    <row r="2849" spans="1:25" x14ac:dyDescent="0.3">
      <c r="A2849">
        <v>142400</v>
      </c>
      <c r="B2849" t="s">
        <v>55714</v>
      </c>
      <c r="C2849" t="s">
        <v>55715</v>
      </c>
      <c r="D2849" t="s">
        <v>55716</v>
      </c>
      <c r="E2849" t="s">
        <v>55717</v>
      </c>
      <c r="F2849" t="s">
        <v>55718</v>
      </c>
      <c r="G2849" t="s">
        <v>55719</v>
      </c>
      <c r="H2849" t="s">
        <v>55720</v>
      </c>
      <c r="I2849" t="s">
        <v>55721</v>
      </c>
      <c r="J2849" t="s">
        <v>55722</v>
      </c>
      <c r="K2849" t="s">
        <v>55723</v>
      </c>
      <c r="L2849" t="s">
        <v>55724</v>
      </c>
      <c r="M2849" t="s">
        <v>55725</v>
      </c>
      <c r="N2849">
        <f>-686.050702984488 -3.74078048743786 -524.533799911743</f>
        <v>-1214.3252833836689</v>
      </c>
      <c r="O2849">
        <f>-699.350939325751 -155.007783850655 -488.746648042427</f>
        <v>-1343.1053712188329</v>
      </c>
      <c r="P2849">
        <f>-669.835462400438 -165.582647736473 -208.397606121703</f>
        <v>-1043.815716258614</v>
      </c>
      <c r="Q2849">
        <f>-468.928907460036 -83.2544113684528 -290.903065381117</f>
        <v>-843.08638420960585</v>
      </c>
      <c r="R2849" t="s">
        <v>55726</v>
      </c>
      <c r="S2849" t="s">
        <v>55727</v>
      </c>
      <c r="T2849" t="s">
        <v>55728</v>
      </c>
      <c r="U2849" t="s">
        <v>55729</v>
      </c>
      <c r="V2849">
        <f>-598.700012667204 -49.7147326474089 -93.282459748871</f>
        <v>-741.69720506348392</v>
      </c>
      <c r="W2849" t="s">
        <v>55730</v>
      </c>
      <c r="X2849" t="s">
        <v>55731</v>
      </c>
      <c r="Y2849" t="s">
        <v>55732</v>
      </c>
    </row>
    <row r="2850" spans="1:25" x14ac:dyDescent="0.3">
      <c r="A2850">
        <v>142450</v>
      </c>
      <c r="B2850" t="s">
        <v>55733</v>
      </c>
      <c r="C2850" t="s">
        <v>55734</v>
      </c>
      <c r="D2850" t="s">
        <v>55735</v>
      </c>
      <c r="E2850" t="s">
        <v>55736</v>
      </c>
      <c r="F2850" t="s">
        <v>55737</v>
      </c>
      <c r="G2850" t="s">
        <v>55738</v>
      </c>
      <c r="H2850" t="s">
        <v>55739</v>
      </c>
      <c r="I2850" t="s">
        <v>55740</v>
      </c>
      <c r="J2850" t="s">
        <v>55741</v>
      </c>
      <c r="K2850" t="s">
        <v>55742</v>
      </c>
      <c r="L2850" t="s">
        <v>55743</v>
      </c>
      <c r="M2850" t="s">
        <v>55744</v>
      </c>
      <c r="N2850">
        <f>-686.878762882148 -3.7259764919379 -524.579024265428</f>
        <v>-1215.1837636395139</v>
      </c>
      <c r="O2850">
        <f>-699.853306824674 -155.113615003844 -489.201550851403</f>
        <v>-1344.1684726799208</v>
      </c>
      <c r="P2850">
        <f>-670.007206344367 -166.41616202634 -208.915940647344</f>
        <v>-1045.3393090180509</v>
      </c>
      <c r="Q2850">
        <f>-469.497182240952 -83.0281841367191 -291.321741185151</f>
        <v>-843.84710756282198</v>
      </c>
      <c r="R2850" t="s">
        <v>55745</v>
      </c>
      <c r="S2850" t="s">
        <v>55746</v>
      </c>
      <c r="T2850" t="s">
        <v>55747</v>
      </c>
      <c r="U2850" t="s">
        <v>55748</v>
      </c>
      <c r="V2850">
        <f>-599.054296050583 -50.1730694027201 -93.3230973977145</f>
        <v>-742.55046285101764</v>
      </c>
      <c r="W2850" t="s">
        <v>55749</v>
      </c>
      <c r="X2850" t="s">
        <v>55750</v>
      </c>
      <c r="Y2850" t="s">
        <v>55751</v>
      </c>
    </row>
    <row r="2851" spans="1:25" x14ac:dyDescent="0.3">
      <c r="A2851">
        <v>142500</v>
      </c>
      <c r="B2851" t="s">
        <v>55752</v>
      </c>
      <c r="C2851" t="s">
        <v>55753</v>
      </c>
      <c r="D2851" t="s">
        <v>55754</v>
      </c>
      <c r="E2851" t="s">
        <v>55755</v>
      </c>
      <c r="F2851" t="s">
        <v>55756</v>
      </c>
      <c r="G2851" t="s">
        <v>55757</v>
      </c>
      <c r="H2851" t="s">
        <v>55758</v>
      </c>
      <c r="I2851" t="s">
        <v>55759</v>
      </c>
      <c r="J2851" t="s">
        <v>55760</v>
      </c>
      <c r="K2851" t="s">
        <v>55761</v>
      </c>
      <c r="L2851" t="s">
        <v>55762</v>
      </c>
      <c r="M2851" t="s">
        <v>55763</v>
      </c>
      <c r="N2851">
        <f>-687.945595348619 -3.95322757019017 -524.701387722688</f>
        <v>-1216.6002106414971</v>
      </c>
      <c r="O2851">
        <f>-700.264867051459 -155.574678275096 -490.104491154026</f>
        <v>-1345.944036480581</v>
      </c>
      <c r="P2851">
        <f>-670.340379898638 -168.343205536263 -209.890052692558</f>
        <v>-1048.5736381274589</v>
      </c>
      <c r="Q2851">
        <f>-470.449794645285 -82.8589949911302 -291.650209079829</f>
        <v>-844.9589987162442</v>
      </c>
      <c r="R2851" t="s">
        <v>55764</v>
      </c>
      <c r="S2851" t="s">
        <v>55765</v>
      </c>
      <c r="T2851" t="s">
        <v>55766</v>
      </c>
      <c r="U2851" t="s">
        <v>55767</v>
      </c>
      <c r="V2851">
        <f>-599.606415748366 -51.0895024076922 -93.3846758961497</f>
        <v>-744.08059405220786</v>
      </c>
      <c r="W2851" t="s">
        <v>55768</v>
      </c>
      <c r="X2851" t="s">
        <v>55769</v>
      </c>
      <c r="Y2851" t="s">
        <v>55770</v>
      </c>
    </row>
    <row r="2852" spans="1:25" x14ac:dyDescent="0.3">
      <c r="A2852">
        <v>142550</v>
      </c>
      <c r="B2852" t="s">
        <v>55771</v>
      </c>
      <c r="C2852" t="s">
        <v>55772</v>
      </c>
      <c r="D2852" t="s">
        <v>55773</v>
      </c>
      <c r="E2852" t="s">
        <v>55774</v>
      </c>
      <c r="F2852" t="s">
        <v>55775</v>
      </c>
      <c r="G2852" t="s">
        <v>55776</v>
      </c>
      <c r="H2852" t="s">
        <v>55777</v>
      </c>
      <c r="I2852" t="s">
        <v>55778</v>
      </c>
      <c r="J2852" t="s">
        <v>55779</v>
      </c>
      <c r="K2852" t="s">
        <v>55780</v>
      </c>
      <c r="L2852" t="s">
        <v>55781</v>
      </c>
      <c r="M2852" t="s">
        <v>55782</v>
      </c>
      <c r="N2852">
        <f>-688.268522619176 -4.06968167378295 -524.788304760699</f>
        <v>-1217.1265090536581</v>
      </c>
      <c r="O2852">
        <f>-700.311230574185 -155.797811170489 -490.546928415333</f>
        <v>-1346.655970160007</v>
      </c>
      <c r="P2852">
        <f>-670.544180129186 -169.204427165811 -210.345500115389</f>
        <v>-1050.094107410386</v>
      </c>
      <c r="Q2852">
        <f>-470.886537599545 -82.8294474349889 -291.737812968774</f>
        <v>-845.45379800330784</v>
      </c>
      <c r="R2852" t="s">
        <v>55783</v>
      </c>
      <c r="S2852" t="s">
        <v>55784</v>
      </c>
      <c r="T2852" t="s">
        <v>55785</v>
      </c>
      <c r="U2852" t="s">
        <v>55786</v>
      </c>
      <c r="V2852">
        <f>-599.870362843875 -51.6095931080897 -93.4166382608008</f>
        <v>-744.89659421276554</v>
      </c>
      <c r="W2852" t="s">
        <v>55787</v>
      </c>
      <c r="X2852" t="s">
        <v>55788</v>
      </c>
      <c r="Y2852" t="s">
        <v>55789</v>
      </c>
    </row>
    <row r="2853" spans="1:25" x14ac:dyDescent="0.3">
      <c r="A2853">
        <v>142600</v>
      </c>
      <c r="B2853" t="s">
        <v>55790</v>
      </c>
      <c r="C2853" t="s">
        <v>55791</v>
      </c>
      <c r="D2853" t="s">
        <v>55792</v>
      </c>
      <c r="E2853" t="s">
        <v>55793</v>
      </c>
      <c r="F2853" t="s">
        <v>55794</v>
      </c>
      <c r="G2853" t="s">
        <v>55795</v>
      </c>
      <c r="H2853" t="s">
        <v>55796</v>
      </c>
      <c r="I2853" t="s">
        <v>55797</v>
      </c>
      <c r="J2853" t="s">
        <v>55798</v>
      </c>
      <c r="K2853" t="s">
        <v>55799</v>
      </c>
      <c r="L2853" t="s">
        <v>55800</v>
      </c>
      <c r="M2853" t="s">
        <v>55801</v>
      </c>
      <c r="N2853">
        <f>-688.619162520846 -4.36803222075469 -525.016796891596</f>
        <v>-1218.0039916331966</v>
      </c>
      <c r="O2853">
        <f>-700.163977171183 -156.278267165573 -491.415161921654</f>
        <v>-1347.8574062584098</v>
      </c>
      <c r="P2853">
        <f>-670.936246524303 -170.743402869601 -211.2097339772</f>
        <v>-1052.889383371104</v>
      </c>
      <c r="Q2853">
        <f>-471.545930011186 -83.2036704225391 -292.010967271928</f>
        <v>-846.7605677056531</v>
      </c>
      <c r="R2853" t="s">
        <v>55802</v>
      </c>
      <c r="S2853" t="s">
        <v>55803</v>
      </c>
      <c r="T2853" t="s">
        <v>55804</v>
      </c>
      <c r="U2853" t="s">
        <v>55805</v>
      </c>
      <c r="V2853">
        <f>-600.360601174608 -52.8027880759262 -93.511132293462</f>
        <v>-746.67452154399609</v>
      </c>
      <c r="W2853" t="s">
        <v>55806</v>
      </c>
      <c r="X2853" t="s">
        <v>55807</v>
      </c>
      <c r="Y2853" t="s">
        <v>55808</v>
      </c>
    </row>
    <row r="2854" spans="1:25" x14ac:dyDescent="0.3">
      <c r="A2854">
        <v>142650</v>
      </c>
      <c r="B2854" t="s">
        <v>55809</v>
      </c>
      <c r="C2854" t="s">
        <v>55810</v>
      </c>
      <c r="D2854" t="s">
        <v>55811</v>
      </c>
      <c r="E2854" t="s">
        <v>55812</v>
      </c>
      <c r="F2854" t="s">
        <v>55813</v>
      </c>
      <c r="G2854" t="s">
        <v>55814</v>
      </c>
      <c r="H2854" t="s">
        <v>55815</v>
      </c>
      <c r="I2854" t="s">
        <v>55816</v>
      </c>
      <c r="J2854" t="s">
        <v>55817</v>
      </c>
      <c r="K2854" t="s">
        <v>55818</v>
      </c>
      <c r="L2854" t="s">
        <v>55819</v>
      </c>
      <c r="M2854" t="s">
        <v>55820</v>
      </c>
      <c r="N2854">
        <f>-688.598239510001 -4.50961398232221 -525.168386474139</f>
        <v>-1218.2762399664621</v>
      </c>
      <c r="O2854">
        <f>-699.94420365831 -156.499568076179 -491.846539139632</f>
        <v>-1348.2903108741211</v>
      </c>
      <c r="P2854">
        <f>-671.063819385402 -171.416500264664 -211.628818826879</f>
        <v>-1054.109138476945</v>
      </c>
      <c r="Q2854">
        <f>-471.788731835964 -83.4155079146456 -292.212961499758</f>
        <v>-847.4172012503675</v>
      </c>
      <c r="R2854" t="s">
        <v>55821</v>
      </c>
      <c r="S2854" t="s">
        <v>55822</v>
      </c>
      <c r="T2854" t="s">
        <v>55823</v>
      </c>
      <c r="U2854" t="s">
        <v>55824</v>
      </c>
      <c r="V2854">
        <f>-600.594671898785 -53.3732540995447 -93.55543240861</f>
        <v>-747.52335840693979</v>
      </c>
      <c r="W2854" t="s">
        <v>55825</v>
      </c>
      <c r="X2854" t="s">
        <v>55826</v>
      </c>
      <c r="Y2854" t="s">
        <v>55827</v>
      </c>
    </row>
    <row r="2855" spans="1:25" x14ac:dyDescent="0.3">
      <c r="A2855">
        <v>142700</v>
      </c>
      <c r="B2855" t="s">
        <v>55828</v>
      </c>
      <c r="C2855" t="s">
        <v>55829</v>
      </c>
      <c r="D2855" t="s">
        <v>55830</v>
      </c>
      <c r="E2855" t="s">
        <v>55831</v>
      </c>
      <c r="F2855" t="s">
        <v>55832</v>
      </c>
      <c r="G2855" t="s">
        <v>55833</v>
      </c>
      <c r="H2855" t="s">
        <v>55834</v>
      </c>
      <c r="I2855" t="s">
        <v>55835</v>
      </c>
      <c r="J2855" t="s">
        <v>55836</v>
      </c>
      <c r="K2855" t="s">
        <v>55837</v>
      </c>
      <c r="L2855" t="s">
        <v>55838</v>
      </c>
      <c r="M2855" t="s">
        <v>55839</v>
      </c>
      <c r="N2855">
        <f>-688.420887299165 -4.89285844901929 -525.51906439348</f>
        <v>-1218.8328101416641</v>
      </c>
      <c r="O2855">
        <f>-699.427525828496 -157.004513330991 -492.664771022848</f>
        <v>-1349.096810182335</v>
      </c>
      <c r="P2855">
        <f>-671.223069863325 -172.700240292976 -212.420670096543</f>
        <v>-1056.3439802528439</v>
      </c>
      <c r="Q2855">
        <f>-472.077365441467 -84.0253056932102 -292.584711640942</f>
        <v>-848.6873827756192</v>
      </c>
      <c r="R2855" t="s">
        <v>55840</v>
      </c>
      <c r="S2855" t="s">
        <v>55841</v>
      </c>
      <c r="T2855" t="s">
        <v>55842</v>
      </c>
      <c r="U2855" t="s">
        <v>55843</v>
      </c>
      <c r="V2855">
        <f>-601.214428892124 -54.5131827046218 -93.6675329752752</f>
        <v>-749.39514457202108</v>
      </c>
      <c r="W2855" t="s">
        <v>55844</v>
      </c>
      <c r="X2855" t="s">
        <v>55845</v>
      </c>
      <c r="Y2855" t="s">
        <v>55846</v>
      </c>
    </row>
    <row r="2856" spans="1:25" x14ac:dyDescent="0.3">
      <c r="A2856">
        <v>142750</v>
      </c>
      <c r="B2856" t="s">
        <v>55847</v>
      </c>
      <c r="C2856" t="s">
        <v>55848</v>
      </c>
      <c r="D2856" t="s">
        <v>55849</v>
      </c>
      <c r="E2856" t="s">
        <v>55850</v>
      </c>
      <c r="F2856" t="s">
        <v>55851</v>
      </c>
      <c r="G2856" t="s">
        <v>55852</v>
      </c>
      <c r="H2856" t="s">
        <v>55853</v>
      </c>
      <c r="I2856" t="s">
        <v>55854</v>
      </c>
      <c r="J2856" t="s">
        <v>55855</v>
      </c>
      <c r="K2856" t="s">
        <v>55856</v>
      </c>
      <c r="L2856" t="s">
        <v>55857</v>
      </c>
      <c r="M2856" t="s">
        <v>55858</v>
      </c>
      <c r="N2856">
        <f>-688.407561038248 -5.1320634757592 -525.638437487106</f>
        <v>-1219.1780620011132</v>
      </c>
      <c r="O2856">
        <f>-699.299904608282 -157.272540009356 -492.899718750521</f>
        <v>-1349.472163368159</v>
      </c>
      <c r="P2856">
        <f>-671.31898929115 -173.326803905807 -212.653593640778</f>
        <v>-1057.299386837735</v>
      </c>
      <c r="Q2856">
        <f>-472.315080991258 -84.260572456503 -292.736095179322</f>
        <v>-849.31174862708303</v>
      </c>
      <c r="R2856" t="s">
        <v>55859</v>
      </c>
      <c r="S2856" t="s">
        <v>55860</v>
      </c>
      <c r="T2856" t="s">
        <v>55861</v>
      </c>
      <c r="U2856" t="s">
        <v>55862</v>
      </c>
      <c r="V2856">
        <f>-601.580485704817 -54.9246490384764 -93.7162954017936</f>
        <v>-750.22143014508697</v>
      </c>
      <c r="W2856" t="s">
        <v>55863</v>
      </c>
      <c r="X2856" t="s">
        <v>55864</v>
      </c>
      <c r="Y2856" t="s">
        <v>55865</v>
      </c>
    </row>
    <row r="2857" spans="1:25" x14ac:dyDescent="0.3">
      <c r="A2857">
        <v>142800</v>
      </c>
      <c r="B2857" t="s">
        <v>55866</v>
      </c>
      <c r="C2857" t="s">
        <v>55867</v>
      </c>
      <c r="D2857" t="s">
        <v>55868</v>
      </c>
      <c r="E2857" t="s">
        <v>55869</v>
      </c>
      <c r="F2857" t="s">
        <v>55870</v>
      </c>
      <c r="G2857" t="s">
        <v>55871</v>
      </c>
      <c r="H2857" t="s">
        <v>55872</v>
      </c>
      <c r="I2857" t="s">
        <v>55873</v>
      </c>
      <c r="J2857" t="s">
        <v>55874</v>
      </c>
      <c r="K2857" t="s">
        <v>55875</v>
      </c>
      <c r="L2857" t="s">
        <v>55876</v>
      </c>
      <c r="M2857" t="s">
        <v>55877</v>
      </c>
      <c r="N2857">
        <f>-688.361137029494 -5.49348988884185 -525.82049505639</f>
        <v>-1219.6751219747257</v>
      </c>
      <c r="O2857">
        <f>-699.043790130456 -157.670317453485 -493.157370551462</f>
        <v>-1349.8714781354031</v>
      </c>
      <c r="P2857">
        <f>-671.299586276265 -173.730845003205 -212.887915145731</f>
        <v>-1057.918346425201</v>
      </c>
      <c r="Q2857">
        <f>-472.55577404761 -84.1553122985422 -293.048169775701</f>
        <v>-849.75925612185324</v>
      </c>
      <c r="R2857" t="s">
        <v>55878</v>
      </c>
      <c r="S2857" t="s">
        <v>55879</v>
      </c>
      <c r="T2857" t="s">
        <v>55880</v>
      </c>
      <c r="U2857" t="s">
        <v>55881</v>
      </c>
      <c r="V2857">
        <f>-602.209987339658 -55.3102625273493 -93.7811030419792</f>
        <v>-751.30135290898659</v>
      </c>
      <c r="W2857" t="s">
        <v>55882</v>
      </c>
      <c r="X2857" t="s">
        <v>55883</v>
      </c>
      <c r="Y2857" t="s">
        <v>55884</v>
      </c>
    </row>
    <row r="2858" spans="1:25" x14ac:dyDescent="0.3">
      <c r="A2858">
        <v>142850</v>
      </c>
      <c r="B2858" t="s">
        <v>55885</v>
      </c>
      <c r="C2858" t="s">
        <v>55886</v>
      </c>
      <c r="D2858" t="s">
        <v>55887</v>
      </c>
      <c r="E2858" t="s">
        <v>55888</v>
      </c>
      <c r="F2858" t="s">
        <v>55889</v>
      </c>
      <c r="G2858" t="s">
        <v>55890</v>
      </c>
      <c r="H2858" t="s">
        <v>55891</v>
      </c>
      <c r="I2858" t="s">
        <v>55892</v>
      </c>
      <c r="J2858" t="s">
        <v>55893</v>
      </c>
      <c r="K2858" t="s">
        <v>55894</v>
      </c>
      <c r="L2858" t="s">
        <v>55895</v>
      </c>
      <c r="M2858" t="s">
        <v>55896</v>
      </c>
      <c r="N2858">
        <f>-688.382486305878 -5.58027159004018 -525.875300034088</f>
        <v>-1219.8380579300062</v>
      </c>
      <c r="O2858">
        <f>-698.954498702851 -157.750403763452 -493.17209764038</f>
        <v>-1349.877000106683</v>
      </c>
      <c r="P2858">
        <f>-671.217359243735 -173.633378411646 -212.891945924832</f>
        <v>-1057.742683580213</v>
      </c>
      <c r="Q2858">
        <f>-472.570841715238 -83.9326793407561 -293.153144604696</f>
        <v>-849.65666566069012</v>
      </c>
      <c r="R2858" t="s">
        <v>55897</v>
      </c>
      <c r="S2858" t="s">
        <v>55898</v>
      </c>
      <c r="T2858" t="s">
        <v>55899</v>
      </c>
      <c r="U2858" t="s">
        <v>55900</v>
      </c>
      <c r="V2858">
        <f>-602.49736580575 -55.3425122307515 -93.7851190507739</f>
        <v>-751.62499708727535</v>
      </c>
      <c r="W2858" t="s">
        <v>55901</v>
      </c>
      <c r="X2858" t="s">
        <v>55902</v>
      </c>
      <c r="Y2858" t="s">
        <v>55903</v>
      </c>
    </row>
    <row r="2859" spans="1:25" x14ac:dyDescent="0.3">
      <c r="A2859">
        <v>142900</v>
      </c>
      <c r="B2859" t="s">
        <v>55904</v>
      </c>
      <c r="C2859" t="s">
        <v>55905</v>
      </c>
      <c r="D2859" t="s">
        <v>55906</v>
      </c>
      <c r="E2859" t="s">
        <v>55907</v>
      </c>
      <c r="F2859" t="s">
        <v>55908</v>
      </c>
      <c r="G2859" t="s">
        <v>55909</v>
      </c>
      <c r="H2859" t="s">
        <v>55910</v>
      </c>
      <c r="I2859" t="s">
        <v>55911</v>
      </c>
      <c r="J2859" t="s">
        <v>55912</v>
      </c>
      <c r="K2859" t="s">
        <v>55913</v>
      </c>
      <c r="L2859" t="s">
        <v>55914</v>
      </c>
      <c r="M2859" t="s">
        <v>55915</v>
      </c>
      <c r="N2859">
        <f>-688.295530662162 -5.84424162761525 -525.946547077088</f>
        <v>-1220.0863193668652</v>
      </c>
      <c r="O2859">
        <f>-698.575071042384 -158.010334259902 -493.135635994875</f>
        <v>-1349.721041297161</v>
      </c>
      <c r="P2859">
        <f>-670.949488459349 -173.942247663768 -212.847336973751</f>
        <v>-1057.739073096868</v>
      </c>
      <c r="Q2859">
        <f>-472.507955366083 -83.9669159736377 -293.307721391139</f>
        <v>-849.78259273085973</v>
      </c>
      <c r="R2859" t="s">
        <v>55916</v>
      </c>
      <c r="S2859" t="s">
        <v>55917</v>
      </c>
      <c r="T2859" t="s">
        <v>55918</v>
      </c>
      <c r="U2859" t="s">
        <v>55919</v>
      </c>
      <c r="V2859">
        <f>-602.896995084179 -55.2735906929074 -93.7803516816389</f>
        <v>-751.95093745872532</v>
      </c>
      <c r="W2859" t="s">
        <v>55920</v>
      </c>
      <c r="X2859" t="s">
        <v>55921</v>
      </c>
      <c r="Y2859" t="s">
        <v>55922</v>
      </c>
    </row>
    <row r="2860" spans="1:25" x14ac:dyDescent="0.3">
      <c r="A2860">
        <v>142950</v>
      </c>
      <c r="B2860" t="s">
        <v>55923</v>
      </c>
      <c r="C2860" t="s">
        <v>55924</v>
      </c>
      <c r="D2860" t="s">
        <v>55925</v>
      </c>
      <c r="E2860" t="s">
        <v>55926</v>
      </c>
      <c r="F2860" t="s">
        <v>55927</v>
      </c>
      <c r="G2860" t="s">
        <v>55928</v>
      </c>
      <c r="H2860" t="s">
        <v>55929</v>
      </c>
      <c r="I2860" t="s">
        <v>55930</v>
      </c>
      <c r="J2860" t="s">
        <v>55931</v>
      </c>
      <c r="K2860" t="s">
        <v>55932</v>
      </c>
      <c r="L2860" t="s">
        <v>55933</v>
      </c>
      <c r="M2860" t="s">
        <v>55934</v>
      </c>
      <c r="N2860">
        <f>-688.286684847917 -5.98695439411745 -525.969274644096</f>
        <v>-1220.2429138861303</v>
      </c>
      <c r="O2860">
        <f>-698.379532424011 -158.157959949306 -493.118093933028</f>
        <v>-1349.655586306345</v>
      </c>
      <c r="P2860">
        <f>-670.828937572236 -174.173731092372 -212.827082400978</f>
        <v>-1057.8297510655859</v>
      </c>
      <c r="Q2860">
        <f>-472.675925113328 -83.8254653613105 -293.580579384457</f>
        <v>-850.08196985909547</v>
      </c>
      <c r="R2860" t="s">
        <v>55935</v>
      </c>
      <c r="S2860" t="s">
        <v>55936</v>
      </c>
      <c r="T2860" t="s">
        <v>55937</v>
      </c>
      <c r="U2860" t="s">
        <v>55938</v>
      </c>
      <c r="V2860">
        <f>-603.030705760701 -55.2306199220038 -93.7743459779911</f>
        <v>-752.03567166069593</v>
      </c>
      <c r="W2860" t="s">
        <v>55939</v>
      </c>
      <c r="X2860" t="s">
        <v>55940</v>
      </c>
      <c r="Y2860" t="s">
        <v>55941</v>
      </c>
    </row>
    <row r="2861" spans="1:25" x14ac:dyDescent="0.3">
      <c r="A2861">
        <v>143000</v>
      </c>
      <c r="B2861" t="s">
        <v>55942</v>
      </c>
      <c r="C2861" t="s">
        <v>55943</v>
      </c>
      <c r="D2861" t="s">
        <v>55944</v>
      </c>
      <c r="E2861" t="s">
        <v>55945</v>
      </c>
      <c r="F2861" t="s">
        <v>55946</v>
      </c>
      <c r="G2861" t="s">
        <v>55947</v>
      </c>
      <c r="H2861" t="s">
        <v>55948</v>
      </c>
      <c r="I2861" t="s">
        <v>55949</v>
      </c>
      <c r="J2861" t="s">
        <v>55950</v>
      </c>
      <c r="K2861" t="s">
        <v>55951</v>
      </c>
      <c r="L2861" t="s">
        <v>55952</v>
      </c>
      <c r="M2861" t="s">
        <v>55953</v>
      </c>
      <c r="N2861">
        <f>-688.104391681017 -6.39835291529312 -526.01789480988</f>
        <v>-1220.5206394061902</v>
      </c>
      <c r="O2861">
        <f>-697.860183010376 -158.57945683649 -493.116665851703</f>
        <v>-1349.5563056985688</v>
      </c>
      <c r="P2861">
        <f>-670.095389940565 -174.493031866748 -212.841009739583</f>
        <v>-1057.429431546896</v>
      </c>
      <c r="Q2861">
        <f>-472.745632014277 -83.5299943464929 -294.861416775588</f>
        <v>-851.13704313635799</v>
      </c>
      <c r="R2861" t="s">
        <v>55954</v>
      </c>
      <c r="S2861" t="s">
        <v>55955</v>
      </c>
      <c r="T2861" t="s">
        <v>55956</v>
      </c>
      <c r="U2861" t="s">
        <v>55957</v>
      </c>
      <c r="V2861">
        <f>-603.02895382266 -55.2400301688353 -93.7737498361132</f>
        <v>-752.04273382760857</v>
      </c>
      <c r="W2861" t="s">
        <v>55958</v>
      </c>
      <c r="X2861" t="s">
        <v>55959</v>
      </c>
      <c r="Y2861" t="s">
        <v>55960</v>
      </c>
    </row>
    <row r="2862" spans="1:25" x14ac:dyDescent="0.3">
      <c r="A2862">
        <v>143050</v>
      </c>
      <c r="B2862" t="s">
        <v>55961</v>
      </c>
      <c r="C2862" t="s">
        <v>55962</v>
      </c>
      <c r="D2862" t="s">
        <v>55963</v>
      </c>
      <c r="E2862" t="s">
        <v>55964</v>
      </c>
      <c r="F2862" t="s">
        <v>55965</v>
      </c>
      <c r="G2862" t="s">
        <v>55966</v>
      </c>
      <c r="H2862" t="s">
        <v>55967</v>
      </c>
      <c r="I2862" t="s">
        <v>55968</v>
      </c>
      <c r="J2862" t="s">
        <v>55969</v>
      </c>
      <c r="K2862" t="s">
        <v>55970</v>
      </c>
      <c r="L2862" t="s">
        <v>55971</v>
      </c>
      <c r="M2862" t="s">
        <v>55972</v>
      </c>
      <c r="N2862">
        <f>-687.981567481975 -6.70792738775572 -526.019516442497</f>
        <v>-1220.7090113122276</v>
      </c>
      <c r="O2862">
        <f>-697.548321796435 -158.89104609691 -493.066318945447</f>
        <v>-1349.5056868387919</v>
      </c>
      <c r="P2862">
        <f>-669.56463226495 -174.888586894242 -212.817032625528</f>
        <v>-1057.2702517847201</v>
      </c>
      <c r="Q2862">
        <f>-472.626294022517 -83.7674392075446 -295.646636851534</f>
        <v>-852.0403700815956</v>
      </c>
      <c r="R2862" t="s">
        <v>55973</v>
      </c>
      <c r="S2862" t="s">
        <v>55974</v>
      </c>
      <c r="T2862" t="s">
        <v>55975</v>
      </c>
      <c r="U2862" t="s">
        <v>55976</v>
      </c>
      <c r="V2862">
        <f>-603.003405981417 -55.2929308800485 -93.7745729295528</f>
        <v>-752.07090979101838</v>
      </c>
      <c r="W2862" t="s">
        <v>55977</v>
      </c>
      <c r="X2862" t="s">
        <v>55978</v>
      </c>
      <c r="Y2862" t="s">
        <v>55979</v>
      </c>
    </row>
    <row r="2863" spans="1:25" x14ac:dyDescent="0.3">
      <c r="A2863">
        <v>143100</v>
      </c>
      <c r="B2863" t="s">
        <v>55980</v>
      </c>
      <c r="C2863" t="s">
        <v>55981</v>
      </c>
      <c r="D2863" t="s">
        <v>55982</v>
      </c>
      <c r="E2863" t="s">
        <v>55983</v>
      </c>
      <c r="F2863" t="s">
        <v>55984</v>
      </c>
      <c r="G2863" t="s">
        <v>55985</v>
      </c>
      <c r="H2863" t="s">
        <v>55986</v>
      </c>
      <c r="I2863" t="s">
        <v>55987</v>
      </c>
      <c r="J2863" t="s">
        <v>55988</v>
      </c>
      <c r="K2863" t="s">
        <v>55989</v>
      </c>
      <c r="L2863" t="s">
        <v>55990</v>
      </c>
      <c r="M2863" t="s">
        <v>55991</v>
      </c>
      <c r="N2863">
        <f>-687.758477032321 -7.22907640085577 -526.09131914667</f>
        <v>-1221.0788725798468</v>
      </c>
      <c r="O2863">
        <f>-696.826949143347 -159.444045032049 -493.107349047889</f>
        <v>-1349.3783432232849</v>
      </c>
      <c r="P2863">
        <f>-668.491781081719 -175.687091616557 -212.907725232408</f>
        <v>-1057.0865979306841</v>
      </c>
      <c r="Q2863">
        <f>-472.432229449909 -84.1631531701187 -297.362357879586</f>
        <v>-853.95774049961369</v>
      </c>
      <c r="R2863" t="s">
        <v>55992</v>
      </c>
      <c r="S2863" t="s">
        <v>55993</v>
      </c>
      <c r="T2863" t="s">
        <v>55994</v>
      </c>
      <c r="U2863" t="s">
        <v>55995</v>
      </c>
      <c r="V2863">
        <f>-603.016226105843 -55.6932882926915 -93.8025329674622</f>
        <v>-752.51204736599664</v>
      </c>
      <c r="W2863" t="s">
        <v>55996</v>
      </c>
      <c r="X2863" t="s">
        <v>55997</v>
      </c>
      <c r="Y2863" t="s">
        <v>55998</v>
      </c>
    </row>
    <row r="2864" spans="1:25" x14ac:dyDescent="0.3">
      <c r="A2864">
        <v>143150</v>
      </c>
      <c r="B2864" t="s">
        <v>55999</v>
      </c>
      <c r="C2864" t="s">
        <v>56000</v>
      </c>
      <c r="D2864" t="s">
        <v>56001</v>
      </c>
      <c r="E2864" t="s">
        <v>56002</v>
      </c>
      <c r="F2864" t="s">
        <v>56003</v>
      </c>
      <c r="G2864" t="s">
        <v>56004</v>
      </c>
      <c r="H2864" t="s">
        <v>56005</v>
      </c>
      <c r="I2864" t="s">
        <v>56006</v>
      </c>
      <c r="J2864" t="s">
        <v>56007</v>
      </c>
      <c r="K2864" t="s">
        <v>56008</v>
      </c>
      <c r="L2864" t="s">
        <v>56009</v>
      </c>
      <c r="M2864" t="s">
        <v>56010</v>
      </c>
      <c r="N2864">
        <f>-687.637956911263 -7.42693301485542 -526.177448924873</f>
        <v>-1221.2423388509915</v>
      </c>
      <c r="O2864">
        <f>-696.459170949255 -159.667450845662 -493.251222655169</f>
        <v>-1349.3778444500861</v>
      </c>
      <c r="P2864">
        <f>-668.032176192402 -176.126818645859 -213.073474121161</f>
        <v>-1057.232468959422</v>
      </c>
      <c r="Q2864">
        <f>-472.601404248424 -84.1349421746602 -298.471549536202</f>
        <v>-855.20789595928625</v>
      </c>
      <c r="R2864" t="s">
        <v>56011</v>
      </c>
      <c r="S2864" t="s">
        <v>56012</v>
      </c>
      <c r="T2864" t="s">
        <v>56013</v>
      </c>
      <c r="U2864" t="s">
        <v>56014</v>
      </c>
      <c r="V2864">
        <f>-603.157394452028 -55.9663888964615 -93.8270377401385</f>
        <v>-752.950821088628</v>
      </c>
      <c r="W2864" t="s">
        <v>56015</v>
      </c>
      <c r="X2864" t="s">
        <v>56016</v>
      </c>
      <c r="Y2864" t="s">
        <v>56017</v>
      </c>
    </row>
    <row r="2865" spans="1:25" x14ac:dyDescent="0.3">
      <c r="A2865">
        <v>143200</v>
      </c>
      <c r="B2865" t="s">
        <v>56018</v>
      </c>
      <c r="C2865" t="s">
        <v>56019</v>
      </c>
      <c r="D2865" t="s">
        <v>56020</v>
      </c>
      <c r="E2865" t="s">
        <v>56021</v>
      </c>
      <c r="F2865" t="s">
        <v>56022</v>
      </c>
      <c r="G2865" t="s">
        <v>56023</v>
      </c>
      <c r="H2865" t="s">
        <v>56024</v>
      </c>
      <c r="I2865" t="s">
        <v>56025</v>
      </c>
      <c r="J2865" t="s">
        <v>56026</v>
      </c>
      <c r="K2865" t="s">
        <v>56027</v>
      </c>
      <c r="L2865" t="s">
        <v>56028</v>
      </c>
      <c r="M2865" t="s">
        <v>56029</v>
      </c>
      <c r="N2865">
        <f>-687.386030671952 -7.72191209276662 -526.396411043802</f>
        <v>-1221.5043538085206</v>
      </c>
      <c r="O2865">
        <f>-695.583728287445 -160.034666922296 -493.67775659729</f>
        <v>-1349.296151807031</v>
      </c>
      <c r="P2865">
        <f>-667.115138062867 -177.181530147449 -213.545402268527</f>
        <v>-1057.842070478843</v>
      </c>
      <c r="Q2865">
        <f>-473.214989933362 -83.9551576810372 -301.067586714161</f>
        <v>-858.23773432856024</v>
      </c>
      <c r="R2865" t="s">
        <v>56030</v>
      </c>
      <c r="S2865" t="s">
        <v>56031</v>
      </c>
      <c r="T2865" t="s">
        <v>56032</v>
      </c>
      <c r="U2865" t="s">
        <v>56033</v>
      </c>
      <c r="V2865">
        <f>-603.547839516543 -56.4137262528091 -93.8838467826617</f>
        <v>-753.84541255201384</v>
      </c>
      <c r="W2865" t="s">
        <v>56034</v>
      </c>
      <c r="X2865" t="s">
        <v>56035</v>
      </c>
      <c r="Y2865" t="s">
        <v>56036</v>
      </c>
    </row>
    <row r="2866" spans="1:25" x14ac:dyDescent="0.3">
      <c r="A2866">
        <v>143250</v>
      </c>
      <c r="B2866" t="s">
        <v>56037</v>
      </c>
      <c r="C2866" t="s">
        <v>56038</v>
      </c>
      <c r="D2866" t="s">
        <v>56039</v>
      </c>
      <c r="E2866" t="s">
        <v>56040</v>
      </c>
      <c r="F2866" t="s">
        <v>56041</v>
      </c>
      <c r="G2866" t="s">
        <v>56042</v>
      </c>
      <c r="H2866" t="s">
        <v>56043</v>
      </c>
      <c r="I2866" t="s">
        <v>56044</v>
      </c>
      <c r="J2866" t="s">
        <v>56045</v>
      </c>
      <c r="K2866" t="s">
        <v>56046</v>
      </c>
      <c r="L2866" t="s">
        <v>56047</v>
      </c>
      <c r="M2866" t="s">
        <v>56048</v>
      </c>
      <c r="N2866">
        <f>-687.264731899597 -7.8087397290401 -526.509348180518</f>
        <v>-1221.5828198091551</v>
      </c>
      <c r="O2866">
        <f>-695.180369805217 -160.161627716077 -493.917719040929</f>
        <v>-1349.2597165622228</v>
      </c>
      <c r="P2866">
        <f>-666.717325269159 -177.82113875962 -213.81676346666</f>
        <v>-1058.3552274954391</v>
      </c>
      <c r="Q2866">
        <f>-473.696377666509 -83.958938803712 -302.593455022341</f>
        <v>-860.24877149256201</v>
      </c>
      <c r="R2866" t="s">
        <v>56049</v>
      </c>
      <c r="S2866" t="s">
        <v>56050</v>
      </c>
      <c r="T2866" t="s">
        <v>56051</v>
      </c>
      <c r="U2866" t="s">
        <v>56052</v>
      </c>
      <c r="V2866">
        <f>-603.696406923362 -56.5742833105078 -93.9023488594318</f>
        <v>-754.17303909330155</v>
      </c>
      <c r="W2866" t="s">
        <v>56053</v>
      </c>
      <c r="X2866" t="s">
        <v>56054</v>
      </c>
      <c r="Y2866" t="s">
        <v>56055</v>
      </c>
    </row>
    <row r="2867" spans="1:25" x14ac:dyDescent="0.3">
      <c r="A2867">
        <v>143300</v>
      </c>
      <c r="B2867" t="s">
        <v>56056</v>
      </c>
      <c r="C2867" t="s">
        <v>56057</v>
      </c>
      <c r="D2867" t="s">
        <v>56058</v>
      </c>
      <c r="E2867" t="s">
        <v>56059</v>
      </c>
      <c r="F2867" t="s">
        <v>56060</v>
      </c>
      <c r="G2867" t="s">
        <v>56061</v>
      </c>
      <c r="H2867" t="s">
        <v>56062</v>
      </c>
      <c r="I2867" t="s">
        <v>56063</v>
      </c>
      <c r="J2867" t="s">
        <v>56064</v>
      </c>
      <c r="K2867" t="s">
        <v>56065</v>
      </c>
      <c r="L2867" t="s">
        <v>56066</v>
      </c>
      <c r="M2867" t="s">
        <v>56067</v>
      </c>
      <c r="N2867">
        <f>-687.01355487845 -8.02005127831285 -526.752930143195</f>
        <v>-1221.7865362999578</v>
      </c>
      <c r="O2867">
        <f>-694.391933218332 -160.451315920477 -494.387457162245</f>
        <v>-1349.2307063010539</v>
      </c>
      <c r="P2867">
        <f>-665.725169136669 -178.67489284341 -214.343261983094</f>
        <v>-1058.743323963173</v>
      </c>
      <c r="Q2867">
        <f>-474.304786165981 -84.1831997155741 -305.87489807777</f>
        <v>-864.36288395932513</v>
      </c>
      <c r="R2867" t="s">
        <v>56068</v>
      </c>
      <c r="S2867" t="s">
        <v>56069</v>
      </c>
      <c r="T2867" t="s">
        <v>56070</v>
      </c>
      <c r="U2867" t="s">
        <v>56071</v>
      </c>
      <c r="V2867">
        <f>-604.02223918101 -56.9009258048425 -93.9536712098584</f>
        <v>-754.87683619571089</v>
      </c>
      <c r="W2867" t="s">
        <v>56072</v>
      </c>
      <c r="X2867" t="s">
        <v>56073</v>
      </c>
      <c r="Y2867" t="s">
        <v>56074</v>
      </c>
    </row>
    <row r="2868" spans="1:25" x14ac:dyDescent="0.3">
      <c r="A2868">
        <v>143350</v>
      </c>
      <c r="B2868" t="s">
        <v>56075</v>
      </c>
      <c r="C2868" t="s">
        <v>56076</v>
      </c>
      <c r="D2868" t="s">
        <v>56077</v>
      </c>
      <c r="E2868" t="s">
        <v>56078</v>
      </c>
      <c r="F2868" t="s">
        <v>56079</v>
      </c>
      <c r="G2868" t="s">
        <v>56080</v>
      </c>
      <c r="H2868" t="s">
        <v>56081</v>
      </c>
      <c r="I2868" t="s">
        <v>56082</v>
      </c>
      <c r="J2868" t="s">
        <v>56083</v>
      </c>
      <c r="K2868" t="s">
        <v>56084</v>
      </c>
      <c r="L2868" t="s">
        <v>56085</v>
      </c>
      <c r="M2868" t="s">
        <v>56086</v>
      </c>
      <c r="N2868">
        <f>-686.835489468499 -8.1904428224957 -526.875707541477</f>
        <v>-1221.9016398324716</v>
      </c>
      <c r="O2868">
        <f>-693.969736698963 -160.650062613614 -494.602011350836</f>
        <v>-1349.221810663413</v>
      </c>
      <c r="P2868">
        <f>-664.950699748127 -179.278899548992 -214.620956203923</f>
        <v>-1058.850555501042</v>
      </c>
      <c r="Q2868">
        <f>-474.388167352636 -84.3762449478074 -307.507431750189</f>
        <v>-866.27184405063235</v>
      </c>
      <c r="R2868" t="s">
        <v>56087</v>
      </c>
      <c r="S2868" t="s">
        <v>56088</v>
      </c>
      <c r="T2868" t="s">
        <v>56089</v>
      </c>
      <c r="U2868" t="s">
        <v>56090</v>
      </c>
      <c r="V2868">
        <f>-604.233139222244 -57.0728427627491 -93.9781484096923</f>
        <v>-755.28413039468535</v>
      </c>
      <c r="W2868" t="s">
        <v>56091</v>
      </c>
      <c r="X2868" t="s">
        <v>56092</v>
      </c>
      <c r="Y2868" t="s">
        <v>56093</v>
      </c>
    </row>
    <row r="2869" spans="1:25" x14ac:dyDescent="0.3">
      <c r="A2869">
        <v>143400</v>
      </c>
      <c r="B2869" t="s">
        <v>56094</v>
      </c>
      <c r="C2869" t="s">
        <v>56095</v>
      </c>
      <c r="D2869" t="s">
        <v>56096</v>
      </c>
      <c r="E2869" t="s">
        <v>56097</v>
      </c>
      <c r="F2869" t="s">
        <v>56098</v>
      </c>
      <c r="G2869" t="s">
        <v>56099</v>
      </c>
      <c r="H2869" t="s">
        <v>56100</v>
      </c>
      <c r="I2869" t="s">
        <v>56101</v>
      </c>
      <c r="J2869" t="s">
        <v>56102</v>
      </c>
      <c r="K2869" t="s">
        <v>56103</v>
      </c>
      <c r="L2869" t="s">
        <v>56104</v>
      </c>
      <c r="M2869" t="s">
        <v>56105</v>
      </c>
      <c r="N2869">
        <f>-686.578684831018 -8.57164657099997 -527.126945913866</f>
        <v>-1222.277277315884</v>
      </c>
      <c r="O2869">
        <f>-693.266259888259 -161.103944904622 -495.07625745626</f>
        <v>-1349.446462249141</v>
      </c>
      <c r="P2869">
        <f>-663.500978448559 -180.825099748072 -215.248193768507</f>
        <v>-1059.574271965138</v>
      </c>
      <c r="Q2869">
        <f>-474.753062711856 -84.7604738620701 -310.61277265231</f>
        <v>-870.12630922623612</v>
      </c>
      <c r="R2869" t="s">
        <v>56106</v>
      </c>
      <c r="S2869" t="s">
        <v>56107</v>
      </c>
      <c r="T2869" t="s">
        <v>56108</v>
      </c>
      <c r="U2869" t="s">
        <v>56109</v>
      </c>
      <c r="V2869">
        <f>-604.775940371316 -57.4633158479385 -94.0293113991681</f>
        <v>-756.26856761842259</v>
      </c>
      <c r="W2869" t="s">
        <v>56110</v>
      </c>
      <c r="X2869" t="s">
        <v>56111</v>
      </c>
      <c r="Y2869" t="s">
        <v>56112</v>
      </c>
    </row>
    <row r="2870" spans="1:25" x14ac:dyDescent="0.3">
      <c r="A2870">
        <v>143450</v>
      </c>
      <c r="B2870" t="s">
        <v>56113</v>
      </c>
      <c r="C2870" t="s">
        <v>56114</v>
      </c>
      <c r="D2870" t="s">
        <v>56115</v>
      </c>
      <c r="E2870" t="s">
        <v>56116</v>
      </c>
      <c r="F2870" t="s">
        <v>56117</v>
      </c>
      <c r="G2870" t="s">
        <v>56118</v>
      </c>
      <c r="H2870" t="s">
        <v>56119</v>
      </c>
      <c r="I2870" t="s">
        <v>56120</v>
      </c>
      <c r="J2870" t="s">
        <v>56121</v>
      </c>
      <c r="K2870" t="s">
        <v>56122</v>
      </c>
      <c r="L2870" t="s">
        <v>56123</v>
      </c>
      <c r="M2870" t="s">
        <v>56124</v>
      </c>
      <c r="N2870">
        <f>-686.542743455263 -8.7018426516529 -527.226433783052</f>
        <v>-1222.4710198899679</v>
      </c>
      <c r="O2870">
        <f>-693.051945693044 -161.265665582349 -495.290438484858</f>
        <v>-1349.6080497602511</v>
      </c>
      <c r="P2870">
        <f>-662.701249965749 -181.5114438536 -215.562758907592</f>
        <v>-1059.775452726941</v>
      </c>
      <c r="Q2870">
        <f>-474.744156818571 -84.8498003609627 -311.881098517722</f>
        <v>-871.47505569725581</v>
      </c>
      <c r="R2870" t="s">
        <v>56125</v>
      </c>
      <c r="S2870" t="s">
        <v>56126</v>
      </c>
      <c r="T2870" t="s">
        <v>56127</v>
      </c>
      <c r="U2870" t="s">
        <v>56128</v>
      </c>
      <c r="V2870">
        <f>-605.073740707324 -57.585241181707 -94.0529499424545</f>
        <v>-756.71193183148546</v>
      </c>
      <c r="W2870" t="s">
        <v>56129</v>
      </c>
      <c r="X2870" t="s">
        <v>56130</v>
      </c>
      <c r="Y2870" t="s">
        <v>56131</v>
      </c>
    </row>
    <row r="2871" spans="1:25" x14ac:dyDescent="0.3">
      <c r="A2871">
        <v>143500</v>
      </c>
      <c r="B2871" t="s">
        <v>56132</v>
      </c>
      <c r="C2871" t="s">
        <v>56133</v>
      </c>
      <c r="D2871" t="s">
        <v>56134</v>
      </c>
      <c r="E2871" t="s">
        <v>56135</v>
      </c>
      <c r="F2871" t="s">
        <v>56136</v>
      </c>
      <c r="G2871" t="s">
        <v>56137</v>
      </c>
      <c r="H2871" t="s">
        <v>56138</v>
      </c>
      <c r="I2871" t="s">
        <v>56139</v>
      </c>
      <c r="J2871" t="s">
        <v>56140</v>
      </c>
      <c r="K2871" t="s">
        <v>56141</v>
      </c>
      <c r="L2871" t="s">
        <v>56142</v>
      </c>
      <c r="M2871" t="s">
        <v>56143</v>
      </c>
      <c r="N2871">
        <f>-686.146887704154 -8.78644408091805 -527.461792177186</f>
        <v>-1222.3951239622579</v>
      </c>
      <c r="O2871">
        <f>-692.390896008862 -161.398762319864 -495.695891751401</f>
        <v>-1349.485550080127</v>
      </c>
      <c r="P2871">
        <f>-660.766461530111 -181.915283563135 -216.129146756055</f>
        <v>-1058.810891849301</v>
      </c>
      <c r="Q2871">
        <f>-474.000944013629 -84.3038309624196 -313.797832219762</f>
        <v>-872.10260719581061</v>
      </c>
      <c r="R2871" t="s">
        <v>56144</v>
      </c>
      <c r="S2871" t="s">
        <v>56145</v>
      </c>
      <c r="T2871" t="s">
        <v>56146</v>
      </c>
      <c r="U2871" t="s">
        <v>56147</v>
      </c>
      <c r="V2871">
        <f>-605.669315600387 -57.8200130610542 -94.08426055949</f>
        <v>-757.57358922093113</v>
      </c>
      <c r="W2871" t="s">
        <v>56148</v>
      </c>
      <c r="X2871" t="s">
        <v>56149</v>
      </c>
      <c r="Y2871" t="s">
        <v>56150</v>
      </c>
    </row>
    <row r="2872" spans="1:25" x14ac:dyDescent="0.3">
      <c r="A2872">
        <v>143550</v>
      </c>
      <c r="B2872" t="s">
        <v>56151</v>
      </c>
      <c r="C2872" t="s">
        <v>56152</v>
      </c>
      <c r="D2872" t="s">
        <v>56153</v>
      </c>
      <c r="E2872" t="s">
        <v>56154</v>
      </c>
      <c r="F2872" t="s">
        <v>56155</v>
      </c>
      <c r="G2872" t="s">
        <v>56156</v>
      </c>
      <c r="H2872" t="s">
        <v>56157</v>
      </c>
      <c r="I2872" t="s">
        <v>56158</v>
      </c>
      <c r="J2872" t="s">
        <v>56159</v>
      </c>
      <c r="K2872" t="s">
        <v>56160</v>
      </c>
      <c r="L2872" t="s">
        <v>56161</v>
      </c>
      <c r="M2872" t="s">
        <v>56162</v>
      </c>
      <c r="N2872">
        <f>-686.026633769856 -8.87959219059599 -527.534585269005</f>
        <v>-1222.4408112294568</v>
      </c>
      <c r="O2872">
        <f>-692.117473290418 -161.500393329219 -495.826367752095</f>
        <v>-1349.4442343717321</v>
      </c>
      <c r="P2872">
        <f>-659.928551980928 -182.15907023802 -216.334523948227</f>
        <v>-1058.422146167175</v>
      </c>
      <c r="Q2872">
        <f>-473.625391403746 -83.924938510419 -314.26176726715</f>
        <v>-871.81209718131504</v>
      </c>
      <c r="R2872" t="s">
        <v>56163</v>
      </c>
      <c r="S2872" t="s">
        <v>56164</v>
      </c>
      <c r="T2872" t="s">
        <v>56165</v>
      </c>
      <c r="U2872" t="s">
        <v>56166</v>
      </c>
      <c r="V2872">
        <f>-605.876602903617 -57.8855430619958 -94.091117974612</f>
        <v>-757.85326394022479</v>
      </c>
      <c r="W2872" t="s">
        <v>56167</v>
      </c>
      <c r="X2872" t="s">
        <v>56168</v>
      </c>
      <c r="Y2872" t="s">
        <v>56169</v>
      </c>
    </row>
    <row r="2873" spans="1:25" x14ac:dyDescent="0.3">
      <c r="A2873">
        <v>143600</v>
      </c>
      <c r="B2873" t="s">
        <v>56170</v>
      </c>
      <c r="C2873" t="s">
        <v>56171</v>
      </c>
      <c r="D2873" t="s">
        <v>56172</v>
      </c>
      <c r="E2873" t="s">
        <v>56173</v>
      </c>
      <c r="F2873" t="s">
        <v>56174</v>
      </c>
      <c r="G2873" t="s">
        <v>56175</v>
      </c>
      <c r="H2873" t="s">
        <v>56176</v>
      </c>
      <c r="I2873" t="s">
        <v>56177</v>
      </c>
      <c r="J2873" t="s">
        <v>56178</v>
      </c>
      <c r="K2873" t="s">
        <v>56179</v>
      </c>
      <c r="L2873" t="s">
        <v>56180</v>
      </c>
      <c r="M2873" t="s">
        <v>56181</v>
      </c>
      <c r="N2873">
        <f>-686.092411996602 -9.15503906278286 -527.587508396775</f>
        <v>-1222.8349594561598</v>
      </c>
      <c r="O2873">
        <f>-691.730291268377 -161.813340409884 -495.959936433964</f>
        <v>-1349.5035681122249</v>
      </c>
      <c r="P2873">
        <f>-658.895223499547 -182.663736944467 -216.557710629758</f>
        <v>-1058.1166710737721</v>
      </c>
      <c r="Q2873">
        <f>-472.180692974754 -83.8348598309567 -313.093002583119</f>
        <v>-869.1085553888297</v>
      </c>
      <c r="R2873" t="s">
        <v>56182</v>
      </c>
      <c r="S2873" t="s">
        <v>56183</v>
      </c>
      <c r="T2873" t="s">
        <v>56184</v>
      </c>
      <c r="U2873" t="s">
        <v>56185</v>
      </c>
      <c r="V2873">
        <f>-606.214307292455 -58.1165345963868 -94.0961600670307</f>
        <v>-758.42700195587258</v>
      </c>
      <c r="W2873" t="s">
        <v>56186</v>
      </c>
      <c r="X2873" t="s">
        <v>56187</v>
      </c>
      <c r="Y2873" t="s">
        <v>56188</v>
      </c>
    </row>
    <row r="2874" spans="1:25" x14ac:dyDescent="0.3">
      <c r="A2874">
        <v>143650</v>
      </c>
      <c r="B2874" t="s">
        <v>56189</v>
      </c>
      <c r="C2874" t="s">
        <v>56190</v>
      </c>
      <c r="D2874" t="s">
        <v>56191</v>
      </c>
      <c r="E2874" t="s">
        <v>56192</v>
      </c>
      <c r="F2874" t="s">
        <v>56193</v>
      </c>
      <c r="G2874" t="s">
        <v>56194</v>
      </c>
      <c r="H2874" t="s">
        <v>56195</v>
      </c>
      <c r="I2874" t="s">
        <v>56196</v>
      </c>
      <c r="J2874" t="s">
        <v>56197</v>
      </c>
      <c r="K2874" t="s">
        <v>56198</v>
      </c>
      <c r="L2874" t="s">
        <v>56199</v>
      </c>
      <c r="M2874" t="s">
        <v>56200</v>
      </c>
      <c r="N2874">
        <f>-686.204781215225 -9.37051778259092 -527.570868576424</f>
        <v>-1223.1461675742398</v>
      </c>
      <c r="O2874">
        <f>-691.538853215092 -162.045385387011 -495.973301321301</f>
        <v>-1349.557539923404</v>
      </c>
      <c r="P2874">
        <f>-658.771263376777 -182.815146240723 -216.556879694851</f>
        <v>-1058.143289312351</v>
      </c>
      <c r="Q2874">
        <f>-471.597672253347 -83.9300203871908 -312.141055471862</f>
        <v>-867.66874811239973</v>
      </c>
      <c r="R2874" t="s">
        <v>56201</v>
      </c>
      <c r="S2874" t="s">
        <v>56202</v>
      </c>
      <c r="T2874" t="s">
        <v>56203</v>
      </c>
      <c r="U2874" t="s">
        <v>56204</v>
      </c>
      <c r="V2874">
        <f>-606.257161928403 -58.2321894891602 -94.0906785078761</f>
        <v>-758.58002992543925</v>
      </c>
      <c r="W2874" t="s">
        <v>56205</v>
      </c>
      <c r="X2874" t="s">
        <v>56206</v>
      </c>
      <c r="Y2874" t="s">
        <v>56207</v>
      </c>
    </row>
    <row r="2875" spans="1:25" x14ac:dyDescent="0.3">
      <c r="A2875">
        <v>143700</v>
      </c>
      <c r="B2875" t="s">
        <v>56208</v>
      </c>
      <c r="C2875" t="s">
        <v>56209</v>
      </c>
      <c r="D2875" t="s">
        <v>56210</v>
      </c>
      <c r="E2875" t="s">
        <v>56211</v>
      </c>
      <c r="F2875" t="s">
        <v>56212</v>
      </c>
      <c r="G2875" t="s">
        <v>56213</v>
      </c>
      <c r="H2875" t="s">
        <v>56214</v>
      </c>
      <c r="I2875" t="s">
        <v>56215</v>
      </c>
      <c r="J2875" t="s">
        <v>56216</v>
      </c>
      <c r="K2875" t="s">
        <v>56217</v>
      </c>
      <c r="L2875" t="s">
        <v>56218</v>
      </c>
      <c r="M2875" t="s">
        <v>56219</v>
      </c>
      <c r="N2875">
        <f>-686.39615730288 -9.9070656292281 -527.551816192529</f>
        <v>-1223.8550391246372</v>
      </c>
      <c r="O2875">
        <f>-691.08307756129 -162.632608204352 -496.073492043202</f>
        <v>-1349.789177808844</v>
      </c>
      <c r="P2875">
        <f>-659.133994109277 -182.872124045228 -216.523387226197</f>
        <v>-1058.5295053807019</v>
      </c>
      <c r="Q2875">
        <f>-470.967448608998 -84.5663328382152 -310.746003183188</f>
        <v>-866.2797846304012</v>
      </c>
      <c r="R2875" t="s">
        <v>56220</v>
      </c>
      <c r="S2875" t="s">
        <v>56221</v>
      </c>
      <c r="T2875" t="s">
        <v>56222</v>
      </c>
      <c r="U2875" t="s">
        <v>56223</v>
      </c>
      <c r="V2875">
        <f>-606.303289216771 -58.5747033281298 -94.0927400321364</f>
        <v>-758.9707325770371</v>
      </c>
      <c r="W2875" t="s">
        <v>56224</v>
      </c>
      <c r="X2875" t="s">
        <v>56225</v>
      </c>
      <c r="Y2875" t="s">
        <v>56226</v>
      </c>
    </row>
    <row r="2876" spans="1:25" x14ac:dyDescent="0.3">
      <c r="A2876">
        <v>143750</v>
      </c>
      <c r="B2876" t="s">
        <v>56227</v>
      </c>
      <c r="C2876" t="s">
        <v>56228</v>
      </c>
      <c r="D2876" t="s">
        <v>56229</v>
      </c>
      <c r="E2876" t="s">
        <v>56230</v>
      </c>
      <c r="F2876" t="s">
        <v>56231</v>
      </c>
      <c r="G2876" t="s">
        <v>56232</v>
      </c>
      <c r="H2876" t="s">
        <v>56233</v>
      </c>
      <c r="I2876" t="s">
        <v>56234</v>
      </c>
      <c r="J2876" t="s">
        <v>56235</v>
      </c>
      <c r="K2876" t="s">
        <v>56236</v>
      </c>
      <c r="L2876" t="s">
        <v>56237</v>
      </c>
      <c r="M2876" t="s">
        <v>56238</v>
      </c>
      <c r="N2876">
        <f>-686.533333664705 -10.2398918132262 -527.538775708281</f>
        <v>-1224.3120011862122</v>
      </c>
      <c r="O2876">
        <f>-690.9374414544 -162.980494003647 -496.071432262815</f>
        <v>-1349.989367720862</v>
      </c>
      <c r="P2876">
        <f>-659.553114679371 -182.706701023242 -216.420900224288</f>
        <v>-1058.680715926901</v>
      </c>
      <c r="Q2876">
        <f>-470.861668863529 -85.0463715924848 -310.26391768831</f>
        <v>-866.17195814432387</v>
      </c>
      <c r="R2876" t="s">
        <v>56239</v>
      </c>
      <c r="S2876" t="s">
        <v>56240</v>
      </c>
      <c r="T2876" t="s">
        <v>56241</v>
      </c>
      <c r="U2876" t="s">
        <v>56242</v>
      </c>
      <c r="V2876">
        <f>-606.339472136928 -58.8031973090217 -94.1042859337076</f>
        <v>-759.24695537965727</v>
      </c>
      <c r="W2876" t="s">
        <v>56243</v>
      </c>
      <c r="X2876" t="s">
        <v>56244</v>
      </c>
      <c r="Y2876" t="s">
        <v>56245</v>
      </c>
    </row>
    <row r="2877" spans="1:25" x14ac:dyDescent="0.3">
      <c r="A2877">
        <v>143800</v>
      </c>
      <c r="B2877" t="s">
        <v>56246</v>
      </c>
      <c r="C2877" t="s">
        <v>56247</v>
      </c>
      <c r="D2877" t="s">
        <v>56248</v>
      </c>
      <c r="E2877" t="s">
        <v>56249</v>
      </c>
      <c r="F2877" t="s">
        <v>56250</v>
      </c>
      <c r="G2877" t="s">
        <v>56251</v>
      </c>
      <c r="H2877" t="s">
        <v>56252</v>
      </c>
      <c r="I2877" t="s">
        <v>56253</v>
      </c>
      <c r="J2877" t="s">
        <v>56254</v>
      </c>
      <c r="K2877" t="s">
        <v>56255</v>
      </c>
      <c r="L2877" t="s">
        <v>56256</v>
      </c>
      <c r="M2877" t="s">
        <v>56257</v>
      </c>
      <c r="N2877">
        <f>-686.607375169904 -10.8625444573693 -527.579512965596</f>
        <v>-1225.0494325928694</v>
      </c>
      <c r="O2877">
        <f>-690.70321960858 -163.617897480481 -496.154714549835</f>
        <v>-1350.4758316388959</v>
      </c>
      <c r="P2877">
        <f>-660.533038103108 -182.921244431844 -216.34097983059</f>
        <v>-1059.7952623655419</v>
      </c>
      <c r="Q2877">
        <f>-471.019371105968 -86.5635528767389 -309.873275318457</f>
        <v>-867.45619930116391</v>
      </c>
      <c r="R2877" t="s">
        <v>56258</v>
      </c>
      <c r="S2877" t="s">
        <v>56259</v>
      </c>
      <c r="T2877" t="s">
        <v>56260</v>
      </c>
      <c r="U2877" t="s">
        <v>56261</v>
      </c>
      <c r="V2877">
        <f>-606.553352874631 -59.389806013583 -94.1448654803215</f>
        <v>-760.08802436853546</v>
      </c>
      <c r="W2877" t="s">
        <v>56262</v>
      </c>
      <c r="X2877" t="s">
        <v>56263</v>
      </c>
      <c r="Y2877" t="s">
        <v>56264</v>
      </c>
    </row>
    <row r="2878" spans="1:25" x14ac:dyDescent="0.3">
      <c r="A2878">
        <v>143850</v>
      </c>
      <c r="B2878" t="s">
        <v>56265</v>
      </c>
      <c r="C2878" t="s">
        <v>56266</v>
      </c>
      <c r="D2878" t="s">
        <v>56267</v>
      </c>
      <c r="E2878" t="s">
        <v>56268</v>
      </c>
      <c r="F2878" t="s">
        <v>56269</v>
      </c>
      <c r="G2878" t="s">
        <v>56270</v>
      </c>
      <c r="H2878" t="s">
        <v>56271</v>
      </c>
      <c r="I2878" t="s">
        <v>56272</v>
      </c>
      <c r="J2878" t="s">
        <v>56273</v>
      </c>
      <c r="K2878" t="s">
        <v>56274</v>
      </c>
      <c r="L2878" t="s">
        <v>56275</v>
      </c>
      <c r="M2878" t="s">
        <v>56276</v>
      </c>
      <c r="N2878">
        <f>-686.697105902222 -11.1454655785662 -527.618465467727</f>
        <v>-1225.4610369485154</v>
      </c>
      <c r="O2878">
        <f>-690.74601030063 -163.911646262809 -496.234996165159</f>
        <v>-1350.892652728598</v>
      </c>
      <c r="P2878">
        <f>-661.188885824393 -183.116415856055 -216.349097400924</f>
        <v>-1060.654399081372</v>
      </c>
      <c r="Q2878">
        <f>-471.632920231957 -86.9290324164049 -309.970837903671</f>
        <v>-868.53279055203279</v>
      </c>
      <c r="R2878" t="s">
        <v>56277</v>
      </c>
      <c r="S2878" t="s">
        <v>56278</v>
      </c>
      <c r="T2878" t="s">
        <v>56279</v>
      </c>
      <c r="U2878" t="s">
        <v>56280</v>
      </c>
      <c r="V2878">
        <f>-606.787706418153 -59.7287940829399 -94.1668271150044</f>
        <v>-760.68332761609724</v>
      </c>
      <c r="W2878" t="s">
        <v>56281</v>
      </c>
      <c r="X2878" t="s">
        <v>56282</v>
      </c>
      <c r="Y2878" t="s">
        <v>56283</v>
      </c>
    </row>
    <row r="2879" spans="1:25" x14ac:dyDescent="0.3">
      <c r="A2879">
        <v>143900</v>
      </c>
      <c r="B2879" t="s">
        <v>56284</v>
      </c>
      <c r="C2879" t="s">
        <v>56285</v>
      </c>
      <c r="D2879" t="s">
        <v>56286</v>
      </c>
      <c r="E2879" t="s">
        <v>56287</v>
      </c>
      <c r="F2879" t="s">
        <v>56288</v>
      </c>
      <c r="G2879" t="s">
        <v>56289</v>
      </c>
      <c r="H2879" t="s">
        <v>56290</v>
      </c>
      <c r="I2879" t="s">
        <v>56291</v>
      </c>
      <c r="J2879" t="s">
        <v>56292</v>
      </c>
      <c r="K2879" t="s">
        <v>56293</v>
      </c>
      <c r="L2879" t="s">
        <v>56294</v>
      </c>
      <c r="M2879" t="s">
        <v>56295</v>
      </c>
      <c r="N2879">
        <f>-686.908791385528 -11.7159853717587 -527.705149150637</f>
        <v>-1226.3299259079238</v>
      </c>
      <c r="O2879">
        <f>-690.921971661687 -164.491055726961 -496.39149911342</f>
        <v>-1351.804526502068</v>
      </c>
      <c r="P2879">
        <f>-662.45875237403 -183.606796940645 -216.386100239082</f>
        <v>-1062.4516495537571</v>
      </c>
      <c r="Q2879">
        <f>-472.481762965325 -87.7186876324126 -309.460055229406</f>
        <v>-869.66050582714365</v>
      </c>
      <c r="R2879" t="s">
        <v>56296</v>
      </c>
      <c r="S2879" t="s">
        <v>56297</v>
      </c>
      <c r="T2879" t="s">
        <v>56298</v>
      </c>
      <c r="U2879" t="s">
        <v>56299</v>
      </c>
      <c r="V2879">
        <f>-607.360470705321 -60.58860827389 -94.2035305682299</f>
        <v>-762.15260954744087</v>
      </c>
      <c r="W2879" t="s">
        <v>56300</v>
      </c>
      <c r="X2879" t="s">
        <v>56301</v>
      </c>
      <c r="Y2879" t="s">
        <v>56302</v>
      </c>
    </row>
    <row r="2880" spans="1:25" x14ac:dyDescent="0.3">
      <c r="A2880">
        <v>143950</v>
      </c>
      <c r="B2880" t="s">
        <v>56303</v>
      </c>
      <c r="C2880" t="s">
        <v>56304</v>
      </c>
      <c r="D2880" t="s">
        <v>56305</v>
      </c>
      <c r="E2880" t="s">
        <v>56306</v>
      </c>
      <c r="F2880" t="s">
        <v>56307</v>
      </c>
      <c r="G2880" t="s">
        <v>56308</v>
      </c>
      <c r="H2880" t="s">
        <v>56309</v>
      </c>
      <c r="I2880" t="s">
        <v>56310</v>
      </c>
      <c r="J2880" t="s">
        <v>56311</v>
      </c>
      <c r="K2880" t="s">
        <v>56312</v>
      </c>
      <c r="L2880" t="s">
        <v>56313</v>
      </c>
      <c r="M2880" t="s">
        <v>56314</v>
      </c>
      <c r="N2880">
        <f>-687.035385661377 -11.9656726785004 -527.764029113463</f>
        <v>-1226.7650874533404</v>
      </c>
      <c r="O2880">
        <f>-691.025595670256 -164.758394311065 -496.521493698713</f>
        <v>-1352.3054836800341</v>
      </c>
      <c r="P2880">
        <f>-663.304100141604 -183.759016583358 -216.433729603632</f>
        <v>-1063.4968463285938</v>
      </c>
      <c r="Q2880">
        <f>-473.077848929726 -88.0801695909604 -309.213408198859</f>
        <v>-870.3714267195453</v>
      </c>
      <c r="R2880" t="s">
        <v>56315</v>
      </c>
      <c r="S2880" t="s">
        <v>56316</v>
      </c>
      <c r="T2880" t="s">
        <v>56317</v>
      </c>
      <c r="U2880" t="s">
        <v>56318</v>
      </c>
      <c r="V2880">
        <f>-607.655537705135 -61.0378779124605 -94.2170130732466</f>
        <v>-762.91042869084208</v>
      </c>
      <c r="W2880" t="s">
        <v>56319</v>
      </c>
      <c r="X2880" t="s">
        <v>56320</v>
      </c>
      <c r="Y2880" t="s">
        <v>56321</v>
      </c>
    </row>
    <row r="2881" spans="1:25" x14ac:dyDescent="0.3">
      <c r="A2881">
        <v>144000</v>
      </c>
      <c r="B2881" t="s">
        <v>56322</v>
      </c>
      <c r="C2881" t="s">
        <v>56323</v>
      </c>
      <c r="D2881" t="s">
        <v>56324</v>
      </c>
      <c r="E2881" t="s">
        <v>56325</v>
      </c>
      <c r="F2881" t="s">
        <v>56326</v>
      </c>
      <c r="G2881" t="s">
        <v>56327</v>
      </c>
      <c r="H2881" t="s">
        <v>56328</v>
      </c>
      <c r="I2881" t="s">
        <v>56329</v>
      </c>
      <c r="J2881" t="s">
        <v>56330</v>
      </c>
      <c r="K2881" t="s">
        <v>56331</v>
      </c>
      <c r="L2881" t="s">
        <v>56332</v>
      </c>
      <c r="M2881" t="s">
        <v>56333</v>
      </c>
      <c r="N2881">
        <f>-687.309461062006 -12.5149460909058 -527.860658619188</f>
        <v>-1227.6850657720997</v>
      </c>
      <c r="O2881">
        <f>-691.194430371455 -165.340475595175 -496.771404669376</f>
        <v>-1353.3063106360059</v>
      </c>
      <c r="P2881">
        <f>-664.943944937888 -184.172878854238 -216.530659731494</f>
        <v>-1065.6474835236199</v>
      </c>
      <c r="Q2881">
        <f>-474.555253698037 -88.4506201256213 -308.931592603557</f>
        <v>-871.93746642721521</v>
      </c>
      <c r="R2881" t="s">
        <v>56334</v>
      </c>
      <c r="S2881" t="s">
        <v>56335</v>
      </c>
      <c r="T2881" t="s">
        <v>56336</v>
      </c>
      <c r="U2881" t="s">
        <v>56337</v>
      </c>
      <c r="V2881">
        <f>-608.14454052486 -61.958677093045 -94.2274194585143</f>
        <v>-764.33063707641929</v>
      </c>
      <c r="W2881" t="s">
        <v>56338</v>
      </c>
      <c r="X2881" t="s">
        <v>56339</v>
      </c>
      <c r="Y2881" t="s">
        <v>56340</v>
      </c>
    </row>
    <row r="2882" spans="1:25" x14ac:dyDescent="0.3">
      <c r="A2882">
        <v>144050</v>
      </c>
      <c r="B2882" t="s">
        <v>56341</v>
      </c>
      <c r="C2882" t="s">
        <v>56342</v>
      </c>
      <c r="D2882" t="s">
        <v>56343</v>
      </c>
      <c r="E2882" t="s">
        <v>56344</v>
      </c>
      <c r="F2882" t="s">
        <v>56345</v>
      </c>
      <c r="G2882" t="s">
        <v>56346</v>
      </c>
      <c r="H2882" t="s">
        <v>56347</v>
      </c>
      <c r="I2882" t="s">
        <v>56348</v>
      </c>
      <c r="J2882" t="s">
        <v>56349</v>
      </c>
      <c r="K2882" t="s">
        <v>56350</v>
      </c>
      <c r="L2882" t="s">
        <v>56351</v>
      </c>
      <c r="M2882" t="s">
        <v>56352</v>
      </c>
      <c r="N2882">
        <f>-687.568752577603 -13.3147131441142 -527.875937289765</f>
        <v>-1228.7594030114824</v>
      </c>
      <c r="O2882">
        <f>-691.299212018531 -166.167599833778 -496.921781744939</f>
        <v>-1354.388593597248</v>
      </c>
      <c r="P2882">
        <f>-666.103298608145 -185.077763977594 -216.58950687234</f>
        <v>-1067.7705694580791</v>
      </c>
      <c r="Q2882">
        <f>-475.839690426213 -88.8789021522882 -308.752608560261</f>
        <v>-873.47120113876224</v>
      </c>
      <c r="R2882" t="s">
        <v>56353</v>
      </c>
      <c r="S2882" t="s">
        <v>56354</v>
      </c>
      <c r="T2882" t="s">
        <v>56355</v>
      </c>
      <c r="U2882" t="s">
        <v>56356</v>
      </c>
      <c r="V2882">
        <f>-608.438750828471 -62.9387117695082 -94.1895487790705</f>
        <v>-765.56701137704977</v>
      </c>
      <c r="W2882" t="s">
        <v>56357</v>
      </c>
      <c r="X2882" t="s">
        <v>56358</v>
      </c>
      <c r="Y2882" t="s">
        <v>56359</v>
      </c>
    </row>
    <row r="2883" spans="1:25" x14ac:dyDescent="0.3">
      <c r="A2883">
        <v>144100</v>
      </c>
      <c r="B2883" t="s">
        <v>56360</v>
      </c>
      <c r="C2883" t="s">
        <v>56361</v>
      </c>
      <c r="D2883" t="s">
        <v>56362</v>
      </c>
      <c r="E2883" t="s">
        <v>56363</v>
      </c>
      <c r="F2883" t="s">
        <v>56364</v>
      </c>
      <c r="G2883" t="s">
        <v>56365</v>
      </c>
      <c r="H2883" t="s">
        <v>56366</v>
      </c>
      <c r="I2883" t="s">
        <v>56367</v>
      </c>
      <c r="J2883" t="s">
        <v>56368</v>
      </c>
      <c r="K2883" t="s">
        <v>56369</v>
      </c>
      <c r="L2883" t="s">
        <v>56370</v>
      </c>
      <c r="M2883" t="s">
        <v>56371</v>
      </c>
      <c r="N2883">
        <f>-687.636569845284 -13.7043282826269 -527.867477294109</f>
        <v>-1229.2083754220198</v>
      </c>
      <c r="O2883">
        <f>-691.269467516606 -166.579705648341 -496.996088230181</f>
        <v>-1354.8452613951281</v>
      </c>
      <c r="P2883">
        <f>-666.515572481967 -185.450827943463 -216.62183047722</f>
        <v>-1068.5882309026499</v>
      </c>
      <c r="Q2883">
        <f>-476.243929492713 -89.2381141242258 -308.754150521091</f>
        <v>-874.23619413802976</v>
      </c>
      <c r="R2883" t="s">
        <v>56372</v>
      </c>
      <c r="S2883" t="s">
        <v>56373</v>
      </c>
      <c r="T2883" t="s">
        <v>56374</v>
      </c>
      <c r="U2883" t="s">
        <v>56375</v>
      </c>
      <c r="V2883">
        <f>-608.514982276064 -63.452807398128 -94.1407961272649</f>
        <v>-766.10858580145691</v>
      </c>
      <c r="W2883" t="s">
        <v>56376</v>
      </c>
      <c r="X2883" t="s">
        <v>56377</v>
      </c>
      <c r="Y2883" t="s">
        <v>56378</v>
      </c>
    </row>
    <row r="2884" spans="1:25" x14ac:dyDescent="0.3">
      <c r="A2884">
        <v>144150</v>
      </c>
      <c r="B2884" t="s">
        <v>56379</v>
      </c>
      <c r="C2884" t="s">
        <v>56380</v>
      </c>
      <c r="D2884" t="s">
        <v>56381</v>
      </c>
      <c r="E2884" t="s">
        <v>56382</v>
      </c>
      <c r="F2884" t="s">
        <v>56383</v>
      </c>
      <c r="G2884" t="s">
        <v>56384</v>
      </c>
      <c r="H2884" t="s">
        <v>56385</v>
      </c>
      <c r="I2884" t="s">
        <v>56386</v>
      </c>
      <c r="J2884" t="s">
        <v>56387</v>
      </c>
      <c r="K2884" t="s">
        <v>56388</v>
      </c>
      <c r="L2884" t="s">
        <v>56389</v>
      </c>
      <c r="M2884" t="s">
        <v>56390</v>
      </c>
      <c r="N2884">
        <f>-687.644464102794 -14.1574263799157 -527.879843470259</f>
        <v>-1229.6817339529687</v>
      </c>
      <c r="O2884">
        <f>-691.135285402842 -167.052520073659 -497.098830942444</f>
        <v>-1355.2866364189449</v>
      </c>
      <c r="P2884">
        <f>-666.667846642966 -185.943227873218 -216.700767825819</f>
        <v>-1069.311842342003</v>
      </c>
      <c r="Q2884">
        <f>-476.349183115699 -89.6396496267243 -308.640603962437</f>
        <v>-874.62943670486038</v>
      </c>
      <c r="R2884" t="s">
        <v>56391</v>
      </c>
      <c r="S2884" t="s">
        <v>56392</v>
      </c>
      <c r="T2884" t="s">
        <v>56393</v>
      </c>
      <c r="U2884" t="s">
        <v>56394</v>
      </c>
      <c r="V2884">
        <f>-608.62380278464 -63.9994792464349 -94.0968905298819</f>
        <v>-766.72017256095683</v>
      </c>
      <c r="W2884" t="s">
        <v>56395</v>
      </c>
      <c r="X2884" t="s">
        <v>56396</v>
      </c>
      <c r="Y2884" t="s">
        <v>56397</v>
      </c>
    </row>
    <row r="2885" spans="1:25" x14ac:dyDescent="0.3">
      <c r="A2885">
        <v>144200</v>
      </c>
      <c r="B2885" t="s">
        <v>56398</v>
      </c>
      <c r="C2885" t="s">
        <v>56399</v>
      </c>
      <c r="D2885" t="s">
        <v>56400</v>
      </c>
      <c r="E2885" t="s">
        <v>56401</v>
      </c>
      <c r="F2885" t="s">
        <v>56402</v>
      </c>
      <c r="G2885" t="s">
        <v>56403</v>
      </c>
      <c r="H2885" t="s">
        <v>56404</v>
      </c>
      <c r="I2885" t="s">
        <v>56405</v>
      </c>
      <c r="J2885" t="s">
        <v>56406</v>
      </c>
      <c r="K2885" t="s">
        <v>56407</v>
      </c>
      <c r="L2885" t="s">
        <v>56408</v>
      </c>
      <c r="M2885" t="s">
        <v>56409</v>
      </c>
      <c r="N2885">
        <f>-687.989452496236 -14.9092751734511 -527.921765680019</f>
        <v>-1230.8204933497061</v>
      </c>
      <c r="O2885">
        <f>-690.814159479251 -167.883602333338 -497.448242847435</f>
        <v>-1356.1460046600239</v>
      </c>
      <c r="P2885">
        <f>-666.896053710706 -187.19966030353 -217.031719424803</f>
        <v>-1071.1274334390391</v>
      </c>
      <c r="Q2885">
        <f>-476.560047013923 -90.3376725450769 -308.347152664633</f>
        <v>-875.24487222363291</v>
      </c>
      <c r="R2885" t="s">
        <v>56410</v>
      </c>
      <c r="S2885" t="s">
        <v>56411</v>
      </c>
      <c r="T2885" t="s">
        <v>56412</v>
      </c>
      <c r="U2885" t="s">
        <v>56413</v>
      </c>
      <c r="V2885">
        <f>-609.136756650776 -64.9726362553836 -94.0509944922039</f>
        <v>-768.16038739836347</v>
      </c>
      <c r="W2885" t="s">
        <v>56414</v>
      </c>
      <c r="X2885" t="s">
        <v>56415</v>
      </c>
      <c r="Y2885" t="s">
        <v>56416</v>
      </c>
    </row>
    <row r="2886" spans="1:25" x14ac:dyDescent="0.3">
      <c r="A2886">
        <v>144250</v>
      </c>
      <c r="B2886" t="s">
        <v>56417</v>
      </c>
      <c r="C2886" t="s">
        <v>56418</v>
      </c>
      <c r="D2886" t="s">
        <v>56419</v>
      </c>
      <c r="E2886" t="s">
        <v>56420</v>
      </c>
      <c r="F2886" t="s">
        <v>56421</v>
      </c>
      <c r="G2886" t="s">
        <v>56422</v>
      </c>
      <c r="H2886" t="s">
        <v>56423</v>
      </c>
      <c r="I2886" t="s">
        <v>56424</v>
      </c>
      <c r="J2886" t="s">
        <v>56425</v>
      </c>
      <c r="K2886" t="s">
        <v>56426</v>
      </c>
      <c r="L2886" t="s">
        <v>56427</v>
      </c>
      <c r="M2886" t="s">
        <v>56428</v>
      </c>
      <c r="N2886">
        <f>-688.128104634867 -15.3168724893767 -527.954865495711</f>
        <v>-1231.3998426199546</v>
      </c>
      <c r="O2886">
        <f>-690.519710039369 -168.326602656138 -497.659334792864</f>
        <v>-1356.5056474883709</v>
      </c>
      <c r="P2886">
        <f>-666.862570204472 -188.126248166337 -217.254387323896</f>
        <v>-1072.243205694705</v>
      </c>
      <c r="Q2886">
        <f>-476.629769197882 -90.73050934298 -308.216610662058</f>
        <v>-875.57688920292003</v>
      </c>
      <c r="R2886" t="s">
        <v>56429</v>
      </c>
      <c r="S2886" t="s">
        <v>56430</v>
      </c>
      <c r="T2886" t="s">
        <v>56431</v>
      </c>
      <c r="U2886" t="s">
        <v>56432</v>
      </c>
      <c r="V2886">
        <f>-609.40498175703 -65.4076406679667 -94.0490243463387</f>
        <v>-768.86164677133536</v>
      </c>
      <c r="W2886" t="s">
        <v>56433</v>
      </c>
      <c r="X2886" t="s">
        <v>56434</v>
      </c>
      <c r="Y2886" t="s">
        <v>56435</v>
      </c>
    </row>
    <row r="2887" spans="1:25" x14ac:dyDescent="0.3">
      <c r="A2887">
        <v>144300</v>
      </c>
      <c r="B2887" t="s">
        <v>56436</v>
      </c>
      <c r="C2887" t="s">
        <v>56437</v>
      </c>
      <c r="D2887" t="s">
        <v>56438</v>
      </c>
      <c r="E2887" t="s">
        <v>56439</v>
      </c>
      <c r="F2887" t="s">
        <v>56440</v>
      </c>
      <c r="G2887" t="s">
        <v>56441</v>
      </c>
      <c r="H2887" t="s">
        <v>56442</v>
      </c>
      <c r="I2887" t="s">
        <v>56443</v>
      </c>
      <c r="J2887" t="s">
        <v>56444</v>
      </c>
      <c r="K2887" t="s">
        <v>56445</v>
      </c>
      <c r="L2887" t="s">
        <v>56446</v>
      </c>
      <c r="M2887" t="s">
        <v>56447</v>
      </c>
      <c r="N2887">
        <f>-688.553180201707 -16.1099503868022 -528.038311977818</f>
        <v>-1232.7014425663274</v>
      </c>
      <c r="O2887">
        <f>-690.094323700587 -169.215798509002 -498.143659872718</f>
        <v>-1357.453782082307</v>
      </c>
      <c r="P2887">
        <f>-666.491428335132 -189.41158278359 -217.762456701682</f>
        <v>-1073.665467820404</v>
      </c>
      <c r="Q2887">
        <f>-476.827238181576 -90.6975443637987 -308.490432389457</f>
        <v>-876.01521493483165</v>
      </c>
      <c r="R2887" t="s">
        <v>56448</v>
      </c>
      <c r="S2887" t="s">
        <v>56449</v>
      </c>
      <c r="T2887" t="s">
        <v>56450</v>
      </c>
      <c r="U2887" t="s">
        <v>56451</v>
      </c>
      <c r="V2887">
        <f>-610.047760803416 -66.4092458066125 -94.0625312466915</f>
        <v>-770.51953785672004</v>
      </c>
      <c r="W2887" t="s">
        <v>56452</v>
      </c>
      <c r="X2887" t="s">
        <v>56453</v>
      </c>
      <c r="Y2887" t="s">
        <v>56454</v>
      </c>
    </row>
    <row r="2888" spans="1:25" x14ac:dyDescent="0.3">
      <c r="A2888">
        <v>144350</v>
      </c>
      <c r="B2888" t="s">
        <v>56455</v>
      </c>
      <c r="C2888" t="s">
        <v>56456</v>
      </c>
      <c r="D2888" t="s">
        <v>56457</v>
      </c>
      <c r="E2888" t="s">
        <v>56458</v>
      </c>
      <c r="F2888" t="s">
        <v>56459</v>
      </c>
      <c r="G2888" t="s">
        <v>56460</v>
      </c>
      <c r="H2888" t="s">
        <v>56461</v>
      </c>
      <c r="I2888" t="s">
        <v>56462</v>
      </c>
      <c r="J2888" t="s">
        <v>56463</v>
      </c>
      <c r="K2888" t="s">
        <v>56464</v>
      </c>
      <c r="L2888" t="s">
        <v>56465</v>
      </c>
      <c r="M2888" t="s">
        <v>56466</v>
      </c>
      <c r="N2888">
        <f>-688.775133152478 -16.5825899055333 -528.107233015582</f>
        <v>-1233.4649560735934</v>
      </c>
      <c r="O2888">
        <f>-689.835700897945 -169.725742867324 -498.397683629737</f>
        <v>-1357.9591273950059</v>
      </c>
      <c r="P2888">
        <f>-666.283637129437 -189.82680570758 -218.005287244601</f>
        <v>-1074.115730081618</v>
      </c>
      <c r="Q2888">
        <f>-477.011846927042 -90.4184357307433 -308.794659902003</f>
        <v>-876.22494255978825</v>
      </c>
      <c r="R2888" t="s">
        <v>56467</v>
      </c>
      <c r="S2888" t="s">
        <v>56468</v>
      </c>
      <c r="T2888" t="s">
        <v>56469</v>
      </c>
      <c r="U2888" t="s">
        <v>56470</v>
      </c>
      <c r="V2888">
        <f>-610.422202595162 -66.8871329795747 -94.078345187738</f>
        <v>-771.38768076247482</v>
      </c>
      <c r="W2888" t="s">
        <v>56471</v>
      </c>
      <c r="X2888" t="s">
        <v>56472</v>
      </c>
      <c r="Y2888" t="s">
        <v>56473</v>
      </c>
    </row>
    <row r="2889" spans="1:25" x14ac:dyDescent="0.3">
      <c r="A2889">
        <v>144400</v>
      </c>
      <c r="B2889" t="s">
        <v>56474</v>
      </c>
      <c r="C2889" t="s">
        <v>56475</v>
      </c>
      <c r="D2889" t="s">
        <v>56476</v>
      </c>
      <c r="E2889" t="s">
        <v>56477</v>
      </c>
      <c r="F2889" t="s">
        <v>56478</v>
      </c>
      <c r="G2889" t="s">
        <v>56479</v>
      </c>
      <c r="H2889" t="s">
        <v>56480</v>
      </c>
      <c r="I2889" t="s">
        <v>56481</v>
      </c>
      <c r="J2889" t="s">
        <v>56482</v>
      </c>
      <c r="K2889" t="s">
        <v>56483</v>
      </c>
      <c r="L2889" t="s">
        <v>56484</v>
      </c>
      <c r="M2889" t="s">
        <v>56485</v>
      </c>
      <c r="N2889">
        <f>-689.318729778917 -17.6497785436227 -528.213201886926</f>
        <v>-1235.1817102094656</v>
      </c>
      <c r="O2889">
        <f>-689.310323085489 -170.87792561027 -498.876516765142</f>
        <v>-1359.0647654609011</v>
      </c>
      <c r="P2889">
        <f>-665.773288159854 -190.890114893189 -218.476479066447</f>
        <v>-1075.13988211949</v>
      </c>
      <c r="Q2889">
        <f>-476.740702202929 -90.7001308299484 -308.904166085948</f>
        <v>-876.3449991188254</v>
      </c>
      <c r="R2889" t="s">
        <v>56486</v>
      </c>
      <c r="S2889" t="s">
        <v>56487</v>
      </c>
      <c r="T2889" t="s">
        <v>56488</v>
      </c>
      <c r="U2889" t="s">
        <v>56489</v>
      </c>
      <c r="V2889">
        <f>-610.985046727697 -67.820486374784 -94.1278952171895</f>
        <v>-772.93342831967038</v>
      </c>
      <c r="W2889" t="s">
        <v>56490</v>
      </c>
      <c r="X2889" t="s">
        <v>56491</v>
      </c>
      <c r="Y2889" t="s">
        <v>56492</v>
      </c>
    </row>
    <row r="2890" spans="1:25" x14ac:dyDescent="0.3">
      <c r="A2890">
        <v>144450</v>
      </c>
      <c r="B2890" t="s">
        <v>56493</v>
      </c>
      <c r="C2890" t="s">
        <v>56494</v>
      </c>
      <c r="D2890" t="s">
        <v>56495</v>
      </c>
      <c r="E2890" t="s">
        <v>56496</v>
      </c>
      <c r="F2890" t="s">
        <v>56497</v>
      </c>
      <c r="G2890" t="s">
        <v>56498</v>
      </c>
      <c r="H2890" t="s">
        <v>56499</v>
      </c>
      <c r="I2890" t="s">
        <v>56500</v>
      </c>
      <c r="J2890" t="s">
        <v>56501</v>
      </c>
      <c r="K2890" t="s">
        <v>56502</v>
      </c>
      <c r="L2890" t="s">
        <v>56503</v>
      </c>
      <c r="M2890" t="s">
        <v>56504</v>
      </c>
      <c r="N2890">
        <f>-689.803269598804 -18.2269977756932 -528.203805735829</f>
        <v>-1236.2340731103263</v>
      </c>
      <c r="O2890">
        <f>-689.161050448114 -171.465011643223 -498.958669981907</f>
        <v>-1359.5847320732439</v>
      </c>
      <c r="P2890">
        <f>-665.757656152334 -191.542606748592 -218.552243666963</f>
        <v>-1075.8525065678889</v>
      </c>
      <c r="Q2890">
        <f>-476.647857905757 -91.0433020899291 -308.474086657714</f>
        <v>-876.16524665340012</v>
      </c>
      <c r="R2890" t="s">
        <v>56505</v>
      </c>
      <c r="S2890" t="s">
        <v>56506</v>
      </c>
      <c r="T2890" t="s">
        <v>56507</v>
      </c>
      <c r="U2890" t="s">
        <v>56508</v>
      </c>
      <c r="V2890">
        <f>-611.251444181999 -68.2321939534681 -94.1399364980065</f>
        <v>-773.62357463347359</v>
      </c>
      <c r="W2890" t="s">
        <v>56509</v>
      </c>
      <c r="X2890" t="s">
        <v>56510</v>
      </c>
      <c r="Y2890" t="s">
        <v>56511</v>
      </c>
    </row>
    <row r="2891" spans="1:25" x14ac:dyDescent="0.3">
      <c r="A2891">
        <v>144500</v>
      </c>
      <c r="B2891" t="s">
        <v>56512</v>
      </c>
      <c r="C2891" t="s">
        <v>56513</v>
      </c>
      <c r="D2891" t="s">
        <v>56514</v>
      </c>
      <c r="E2891" t="s">
        <v>56515</v>
      </c>
      <c r="F2891" t="s">
        <v>56516</v>
      </c>
      <c r="G2891" t="s">
        <v>56517</v>
      </c>
      <c r="H2891" t="s">
        <v>56518</v>
      </c>
      <c r="I2891" t="s">
        <v>56519</v>
      </c>
      <c r="J2891" t="s">
        <v>56520</v>
      </c>
      <c r="K2891" t="s">
        <v>56521</v>
      </c>
      <c r="L2891" t="s">
        <v>56522</v>
      </c>
      <c r="M2891" t="s">
        <v>56523</v>
      </c>
      <c r="N2891">
        <f>-690.265105310019 -18.8349003693813 -528.195675685609</f>
        <v>-1237.2956813650094</v>
      </c>
      <c r="O2891">
        <f>-689.017311224868 -172.075993044545 -498.969181436652</f>
        <v>-1360.062485706065</v>
      </c>
      <c r="P2891">
        <f>-665.766364047797 -192.018947902285 -218.540433034648</f>
        <v>-1076.3257449847299</v>
      </c>
      <c r="Q2891">
        <f>-476.493247962514 -91.3506118820378 -307.927669939428</f>
        <v>-875.77152978397976</v>
      </c>
      <c r="R2891" t="s">
        <v>56524</v>
      </c>
      <c r="S2891" t="s">
        <v>56525</v>
      </c>
      <c r="T2891" t="s">
        <v>56526</v>
      </c>
      <c r="U2891" t="s">
        <v>56527</v>
      </c>
      <c r="V2891">
        <f>-611.4871635694 -68.5972853844153 -94.1477732386156</f>
        <v>-774.23222219243087</v>
      </c>
      <c r="W2891" t="s">
        <v>56528</v>
      </c>
      <c r="X2891" t="s">
        <v>56529</v>
      </c>
      <c r="Y2891" t="s">
        <v>56530</v>
      </c>
    </row>
    <row r="2892" spans="1:25" x14ac:dyDescent="0.3">
      <c r="A2892">
        <v>144550</v>
      </c>
      <c r="B2892" t="s">
        <v>56531</v>
      </c>
      <c r="C2892" t="s">
        <v>56532</v>
      </c>
      <c r="D2892" t="s">
        <v>56533</v>
      </c>
      <c r="E2892" t="s">
        <v>56534</v>
      </c>
      <c r="F2892" t="s">
        <v>56535</v>
      </c>
      <c r="G2892" t="s">
        <v>56536</v>
      </c>
      <c r="H2892" t="s">
        <v>56537</v>
      </c>
      <c r="I2892" t="s">
        <v>56538</v>
      </c>
      <c r="J2892" t="s">
        <v>56539</v>
      </c>
      <c r="K2892" t="s">
        <v>56540</v>
      </c>
      <c r="L2892" t="s">
        <v>56541</v>
      </c>
      <c r="M2892" t="s">
        <v>56542</v>
      </c>
      <c r="N2892">
        <f>-691.106118274884 -20.0334744112613 -528.169040236939</f>
        <v>-1239.3086329230844</v>
      </c>
      <c r="O2892">
        <f>-688.819597084351 -173.247114078747 -498.893862882719</f>
        <v>-1360.9605740458171</v>
      </c>
      <c r="P2892">
        <f>-666.093057557027 -192.565620312714 -218.378462633406</f>
        <v>-1077.0371405031469</v>
      </c>
      <c r="Q2892">
        <f>-476.602009402701 -91.7180249086935 -307.099585309444</f>
        <v>-875.41961962083849</v>
      </c>
      <c r="R2892" t="s">
        <v>56543</v>
      </c>
      <c r="S2892" t="s">
        <v>56544</v>
      </c>
      <c r="T2892" t="s">
        <v>56545</v>
      </c>
      <c r="U2892" t="s">
        <v>56546</v>
      </c>
      <c r="V2892">
        <f>-611.913590932839 -69.2424244121387 -94.1593371340164</f>
        <v>-775.3153524789941</v>
      </c>
      <c r="W2892" t="s">
        <v>56547</v>
      </c>
      <c r="X2892" t="s">
        <v>56548</v>
      </c>
      <c r="Y2892" t="s">
        <v>56549</v>
      </c>
    </row>
    <row r="2893" spans="1:25" x14ac:dyDescent="0.3">
      <c r="A2893">
        <v>144600</v>
      </c>
      <c r="B2893" t="s">
        <v>56550</v>
      </c>
      <c r="C2893" t="s">
        <v>56551</v>
      </c>
      <c r="D2893" t="s">
        <v>56552</v>
      </c>
      <c r="E2893" t="s">
        <v>56553</v>
      </c>
      <c r="F2893" t="s">
        <v>56554</v>
      </c>
      <c r="G2893" t="s">
        <v>56555</v>
      </c>
      <c r="H2893" t="s">
        <v>56556</v>
      </c>
      <c r="I2893" t="s">
        <v>56557</v>
      </c>
      <c r="J2893" t="s">
        <v>56558</v>
      </c>
      <c r="K2893" t="s">
        <v>56559</v>
      </c>
      <c r="L2893" t="s">
        <v>56560</v>
      </c>
      <c r="M2893" t="s">
        <v>56561</v>
      </c>
      <c r="N2893">
        <f>-691.574585134152 -21.2704646477666 -528.122228822258</f>
        <v>-1240.9672786041765</v>
      </c>
      <c r="O2893">
        <f>-688.556497304028 -174.445375075436 -498.696152642393</f>
        <v>-1361.6980250218569</v>
      </c>
      <c r="P2893">
        <f>-665.966669727137 -193.32442863453 -218.139785782687</f>
        <v>-1077.430884144354</v>
      </c>
      <c r="Q2893">
        <f>-477.148356983231 -91.5148311285391 -307.195784566098</f>
        <v>-875.858972677868</v>
      </c>
      <c r="R2893" t="s">
        <v>56562</v>
      </c>
      <c r="S2893" t="s">
        <v>56563</v>
      </c>
      <c r="T2893" t="s">
        <v>56564</v>
      </c>
      <c r="U2893" t="s">
        <v>56565</v>
      </c>
      <c r="V2893">
        <f>-612.281384057909 -69.8170049501659 -94.1454710463327</f>
        <v>-776.24386005440761</v>
      </c>
      <c r="W2893" t="s">
        <v>56566</v>
      </c>
      <c r="X2893" t="s">
        <v>56567</v>
      </c>
      <c r="Y2893" t="s">
        <v>56568</v>
      </c>
    </row>
    <row r="2894" spans="1:25" x14ac:dyDescent="0.3">
      <c r="A2894">
        <v>144650</v>
      </c>
      <c r="B2894" t="s">
        <v>56569</v>
      </c>
      <c r="C2894" t="s">
        <v>56570</v>
      </c>
      <c r="D2894" t="s">
        <v>56571</v>
      </c>
      <c r="E2894" t="s">
        <v>56572</v>
      </c>
      <c r="F2894" t="s">
        <v>56573</v>
      </c>
      <c r="G2894" t="s">
        <v>56574</v>
      </c>
      <c r="H2894" t="s">
        <v>56575</v>
      </c>
      <c r="I2894" t="s">
        <v>56576</v>
      </c>
      <c r="J2894" t="s">
        <v>56577</v>
      </c>
      <c r="K2894" t="s">
        <v>56578</v>
      </c>
      <c r="L2894" t="s">
        <v>56579</v>
      </c>
      <c r="M2894" t="s">
        <v>56580</v>
      </c>
      <c r="N2894">
        <f>-691.774672525802 -21.9034615270662 -528.086955401591</f>
        <v>-1241.765089454459</v>
      </c>
      <c r="O2894">
        <f>-688.467395465671 -175.041166416722 -498.52441982034</f>
        <v>-1362.032981702733</v>
      </c>
      <c r="P2894">
        <f>-665.54570147621 -193.751384851666 -217.983648651897</f>
        <v>-1077.2807349797729</v>
      </c>
      <c r="Q2894">
        <f>-477.214803291818 -91.3553136703597 -307.398589309142</f>
        <v>-875.96870627131966</v>
      </c>
      <c r="R2894" t="s">
        <v>56581</v>
      </c>
      <c r="S2894" t="s">
        <v>56582</v>
      </c>
      <c r="T2894" t="s">
        <v>56583</v>
      </c>
      <c r="U2894" t="s">
        <v>56584</v>
      </c>
      <c r="V2894">
        <f>-612.48593979543 -70.084990803173 -94.1395397399757</f>
        <v>-776.71047033857872</v>
      </c>
      <c r="W2894" t="s">
        <v>56585</v>
      </c>
      <c r="X2894" t="s">
        <v>56586</v>
      </c>
      <c r="Y2894" t="s">
        <v>56587</v>
      </c>
    </row>
    <row r="2895" spans="1:25" x14ac:dyDescent="0.3">
      <c r="A2895">
        <v>144700</v>
      </c>
      <c r="B2895" t="s">
        <v>56588</v>
      </c>
      <c r="C2895" t="s">
        <v>56589</v>
      </c>
      <c r="D2895" t="s">
        <v>56590</v>
      </c>
      <c r="E2895" t="s">
        <v>56591</v>
      </c>
      <c r="F2895" t="s">
        <v>56592</v>
      </c>
      <c r="G2895" t="s">
        <v>56593</v>
      </c>
      <c r="H2895" t="s">
        <v>56594</v>
      </c>
      <c r="I2895" t="s">
        <v>56595</v>
      </c>
      <c r="J2895" t="s">
        <v>56596</v>
      </c>
      <c r="K2895" t="s">
        <v>56597</v>
      </c>
      <c r="L2895" t="s">
        <v>56598</v>
      </c>
      <c r="M2895" t="s">
        <v>56599</v>
      </c>
      <c r="N2895">
        <f>-692.360337220545 -23.0607842145955 -527.926197904297</f>
        <v>-1243.3473193394375</v>
      </c>
      <c r="O2895">
        <f>-688.411305655719 -176.113334708573 -497.965296631022</f>
        <v>-1362.4899369953141</v>
      </c>
      <c r="P2895">
        <f>-664.634297002485 -194.058539116014 -217.44571937601</f>
        <v>-1076.1385554945091</v>
      </c>
      <c r="Q2895">
        <f>-477.188731161125 -91.2014989648492 -308.182404540666</f>
        <v>-876.57263466664017</v>
      </c>
      <c r="R2895" t="s">
        <v>56600</v>
      </c>
      <c r="S2895" t="s">
        <v>56601</v>
      </c>
      <c r="T2895" t="s">
        <v>56602</v>
      </c>
      <c r="U2895" t="s">
        <v>56603</v>
      </c>
      <c r="V2895">
        <f>-612.79407735089 -70.2321814056284 -94.1388026023407</f>
        <v>-777.16506135885902</v>
      </c>
      <c r="W2895" t="s">
        <v>56604</v>
      </c>
      <c r="X2895" t="s">
        <v>56605</v>
      </c>
      <c r="Y2895" t="s">
        <v>56606</v>
      </c>
    </row>
    <row r="2896" spans="1:25" x14ac:dyDescent="0.3">
      <c r="A2896">
        <v>144750</v>
      </c>
      <c r="B2896" t="s">
        <v>56607</v>
      </c>
      <c r="C2896" t="s">
        <v>56608</v>
      </c>
      <c r="D2896" t="s">
        <v>56609</v>
      </c>
      <c r="E2896" t="s">
        <v>56610</v>
      </c>
      <c r="F2896" t="s">
        <v>56611</v>
      </c>
      <c r="G2896" t="s">
        <v>56612</v>
      </c>
      <c r="H2896" t="s">
        <v>56613</v>
      </c>
      <c r="I2896" t="s">
        <v>56614</v>
      </c>
      <c r="J2896" t="s">
        <v>56615</v>
      </c>
      <c r="K2896" t="s">
        <v>56616</v>
      </c>
      <c r="L2896" t="s">
        <v>56617</v>
      </c>
      <c r="M2896" t="s">
        <v>56618</v>
      </c>
      <c r="N2896">
        <f>-692.583385944223 -23.6133289719478 -527.8228094544</f>
        <v>-1244.0195243705707</v>
      </c>
      <c r="O2896">
        <f>-688.340212295063 -176.609780129699 -497.623328729359</f>
        <v>-1362.573321154121</v>
      </c>
      <c r="P2896">
        <f>-664.273217799439 -194.100595017722 -217.0996854485</f>
        <v>-1075.473498265661</v>
      </c>
      <c r="Q2896">
        <f>-476.918368569567 -91.4692468267694 -308.278295225664</f>
        <v>-876.66591062200041</v>
      </c>
      <c r="R2896" t="s">
        <v>56619</v>
      </c>
      <c r="S2896" t="s">
        <v>56620</v>
      </c>
      <c r="T2896" t="s">
        <v>56621</v>
      </c>
      <c r="U2896" t="s">
        <v>56622</v>
      </c>
      <c r="V2896">
        <f>-612.699174824138 -70.4005591143882 -94.1510816445768</f>
        <v>-777.25081558310308</v>
      </c>
      <c r="W2896" t="s">
        <v>56623</v>
      </c>
      <c r="X2896" t="s">
        <v>56624</v>
      </c>
      <c r="Y2896" t="s">
        <v>56625</v>
      </c>
    </row>
    <row r="2897" spans="1:25" x14ac:dyDescent="0.3">
      <c r="A2897">
        <v>144800</v>
      </c>
      <c r="B2897" t="s">
        <v>56626</v>
      </c>
      <c r="C2897" t="s">
        <v>56627</v>
      </c>
      <c r="D2897" t="s">
        <v>56628</v>
      </c>
      <c r="E2897" t="s">
        <v>56629</v>
      </c>
      <c r="F2897" t="s">
        <v>56630</v>
      </c>
      <c r="G2897" t="s">
        <v>56631</v>
      </c>
      <c r="H2897" t="s">
        <v>56632</v>
      </c>
      <c r="I2897" t="s">
        <v>56633</v>
      </c>
      <c r="J2897" t="s">
        <v>56634</v>
      </c>
      <c r="K2897" t="s">
        <v>56635</v>
      </c>
      <c r="L2897" t="s">
        <v>56636</v>
      </c>
      <c r="M2897" t="s">
        <v>56637</v>
      </c>
      <c r="N2897">
        <f>-692.535693345364 -24.3553684800017 -527.645204182538</f>
        <v>-1244.5362660079038</v>
      </c>
      <c r="O2897">
        <f>-687.744244810489 -177.255429218249 -497.019318514512</f>
        <v>-1362.0189925432501</v>
      </c>
      <c r="P2897">
        <f>-664.084697160926 -193.888879339643 -216.408899609436</f>
        <v>-1074.382476110005</v>
      </c>
      <c r="Q2897">
        <f>-476.782857173683 -91.9789647139273 -308.501020657636</f>
        <v>-877.26284254524626</v>
      </c>
      <c r="R2897" t="s">
        <v>56638</v>
      </c>
      <c r="S2897" t="s">
        <v>56639</v>
      </c>
      <c r="T2897" t="s">
        <v>56640</v>
      </c>
      <c r="U2897" t="s">
        <v>56641</v>
      </c>
      <c r="V2897">
        <f>-612.309810069077 -70.3038280346202 -94.0933121033993</f>
        <v>-776.7069502070965</v>
      </c>
      <c r="W2897" t="s">
        <v>56642</v>
      </c>
      <c r="X2897" t="s">
        <v>56643</v>
      </c>
      <c r="Y2897" t="s">
        <v>56644</v>
      </c>
    </row>
    <row r="2898" spans="1:25" x14ac:dyDescent="0.3">
      <c r="A2898">
        <v>144850</v>
      </c>
      <c r="B2898" t="s">
        <v>56645</v>
      </c>
      <c r="C2898" t="s">
        <v>56646</v>
      </c>
      <c r="D2898" t="s">
        <v>56647</v>
      </c>
      <c r="E2898" t="s">
        <v>56648</v>
      </c>
      <c r="F2898" t="s">
        <v>56649</v>
      </c>
      <c r="G2898" t="s">
        <v>56650</v>
      </c>
      <c r="H2898" t="s">
        <v>56651</v>
      </c>
      <c r="I2898" t="s">
        <v>56652</v>
      </c>
      <c r="J2898" t="s">
        <v>56653</v>
      </c>
      <c r="K2898" t="s">
        <v>56654</v>
      </c>
      <c r="L2898" t="s">
        <v>56655</v>
      </c>
      <c r="M2898" t="s">
        <v>56656</v>
      </c>
      <c r="N2898">
        <f>-692.358830534803 -24.4633889111064 -527.5809366472</f>
        <v>-1244.4031560931094</v>
      </c>
      <c r="O2898">
        <f>-687.471848417282 -177.323474845755 -496.770717322974</f>
        <v>-1361.566040586011</v>
      </c>
      <c r="P2898">
        <f>-663.902643802774 -193.257116045364 -216.112157458734</f>
        <v>-1073.271917306872</v>
      </c>
      <c r="Q2898">
        <f>-476.522350227946 -92.1938775094229 -308.974419114267</f>
        <v>-877.69064685163585</v>
      </c>
      <c r="R2898" t="s">
        <v>56657</v>
      </c>
      <c r="S2898" t="s">
        <v>56658</v>
      </c>
      <c r="T2898" t="s">
        <v>56659</v>
      </c>
      <c r="U2898" t="s">
        <v>56660</v>
      </c>
      <c r="V2898">
        <f>-612.023936522061 -70.1463201173303 -94.0374419978739</f>
        <v>-776.20769863726525</v>
      </c>
      <c r="W2898" t="s">
        <v>56661</v>
      </c>
      <c r="X2898" t="s">
        <v>56662</v>
      </c>
      <c r="Y2898" t="s">
        <v>56663</v>
      </c>
    </row>
    <row r="2899" spans="1:25" x14ac:dyDescent="0.3">
      <c r="A2899">
        <v>144900</v>
      </c>
      <c r="B2899" t="s">
        <v>56664</v>
      </c>
      <c r="C2899" t="s">
        <v>56665</v>
      </c>
      <c r="D2899" t="s">
        <v>56666</v>
      </c>
      <c r="E2899" t="s">
        <v>56667</v>
      </c>
      <c r="F2899" t="s">
        <v>56668</v>
      </c>
      <c r="G2899" t="s">
        <v>56669</v>
      </c>
      <c r="H2899" t="s">
        <v>56670</v>
      </c>
      <c r="I2899" t="s">
        <v>56671</v>
      </c>
      <c r="J2899" t="s">
        <v>56672</v>
      </c>
      <c r="K2899" t="s">
        <v>56673</v>
      </c>
      <c r="L2899" t="s">
        <v>56674</v>
      </c>
      <c r="M2899" t="s">
        <v>56675</v>
      </c>
      <c r="N2899">
        <f>-692.111641466363 -24.84513819054 -527.45648518993</f>
        <v>-1244.413264846833</v>
      </c>
      <c r="O2899">
        <f>-686.960094209786 -177.61753745841 -496.288419589784</f>
        <v>-1360.86605125798</v>
      </c>
      <c r="P2899">
        <f>-663.514373269838 -193.083183863874 -215.593351011252</f>
        <v>-1072.1909081449639</v>
      </c>
      <c r="Q2899">
        <f>-476.147833033304 -92.9320599578466 -309.466029241412</f>
        <v>-878.54592223256259</v>
      </c>
      <c r="R2899" t="s">
        <v>56676</v>
      </c>
      <c r="S2899" t="s">
        <v>56677</v>
      </c>
      <c r="T2899" t="s">
        <v>56678</v>
      </c>
      <c r="U2899" t="s">
        <v>56679</v>
      </c>
      <c r="V2899">
        <f>-611.544689688322 -70.1010595762884 -93.9610913057452</f>
        <v>-775.60684057035564</v>
      </c>
      <c r="W2899" t="s">
        <v>56680</v>
      </c>
      <c r="X2899" t="s">
        <v>56681</v>
      </c>
      <c r="Y2899" t="s">
        <v>56682</v>
      </c>
    </row>
    <row r="2900" spans="1:25" x14ac:dyDescent="0.3">
      <c r="A2900">
        <v>144950</v>
      </c>
      <c r="B2900" t="s">
        <v>56683</v>
      </c>
      <c r="C2900" t="s">
        <v>56684</v>
      </c>
      <c r="D2900" t="s">
        <v>56685</v>
      </c>
      <c r="E2900" t="s">
        <v>56686</v>
      </c>
      <c r="F2900" t="s">
        <v>56687</v>
      </c>
      <c r="G2900" t="s">
        <v>56688</v>
      </c>
      <c r="H2900" t="s">
        <v>56689</v>
      </c>
      <c r="I2900" t="s">
        <v>56690</v>
      </c>
      <c r="J2900" t="s">
        <v>56691</v>
      </c>
      <c r="K2900" t="s">
        <v>56692</v>
      </c>
      <c r="L2900" t="s">
        <v>56693</v>
      </c>
      <c r="M2900" t="s">
        <v>56694</v>
      </c>
      <c r="N2900">
        <f>-691.918515997691 -24.9270579206175 -527.426534181903</f>
        <v>-1244.2721081002114</v>
      </c>
      <c r="O2900">
        <f>-686.599252787731 -177.6831035552 -496.177735235807</f>
        <v>-1360.460091578738</v>
      </c>
      <c r="P2900">
        <f>-663.462453293753 -193.031659476605 -215.45066092517</f>
        <v>-1071.9447736955281</v>
      </c>
      <c r="Q2900">
        <f>-476.144510160311 -93.302005823042 -309.867276306958</f>
        <v>-879.31379229031086</v>
      </c>
      <c r="R2900" t="s">
        <v>56695</v>
      </c>
      <c r="S2900" t="s">
        <v>56696</v>
      </c>
      <c r="T2900" t="s">
        <v>56697</v>
      </c>
      <c r="U2900" t="s">
        <v>56698</v>
      </c>
      <c r="V2900">
        <f>-611.504236825122 -70.0880604276583 -93.9361255836725</f>
        <v>-775.52842283645282</v>
      </c>
      <c r="W2900" t="s">
        <v>56699</v>
      </c>
      <c r="X2900" t="s">
        <v>56700</v>
      </c>
      <c r="Y2900" t="s">
        <v>56701</v>
      </c>
    </row>
    <row r="2901" spans="1:25" x14ac:dyDescent="0.3">
      <c r="A2901">
        <v>145000</v>
      </c>
      <c r="B2901" t="s">
        <v>56702</v>
      </c>
      <c r="C2901" t="s">
        <v>56703</v>
      </c>
      <c r="D2901" t="s">
        <v>56704</v>
      </c>
      <c r="E2901" t="s">
        <v>56705</v>
      </c>
      <c r="F2901" t="s">
        <v>56706</v>
      </c>
      <c r="G2901" t="s">
        <v>56707</v>
      </c>
      <c r="H2901" t="s">
        <v>56708</v>
      </c>
      <c r="I2901" t="s">
        <v>56709</v>
      </c>
      <c r="J2901" t="s">
        <v>56710</v>
      </c>
      <c r="K2901" t="s">
        <v>56711</v>
      </c>
      <c r="L2901" t="s">
        <v>56712</v>
      </c>
      <c r="M2901" t="s">
        <v>56713</v>
      </c>
      <c r="N2901">
        <f>-691.563782244516 -25.0273930775238 -527.477899468584</f>
        <v>-1244.0690747906237</v>
      </c>
      <c r="O2901">
        <f>-685.973250530919 -177.74451112674 -496.147649392809</f>
        <v>-1359.8654110504681</v>
      </c>
      <c r="P2901">
        <f>-663.619716071164 -193.021859457347 -215.353158239169</f>
        <v>-1071.9947337676799</v>
      </c>
      <c r="Q2901">
        <f>-476.155486481772 -93.9647857014504 -310.186711035703</f>
        <v>-880.30698321892532</v>
      </c>
      <c r="R2901" t="s">
        <v>56714</v>
      </c>
      <c r="S2901" t="s">
        <v>56715</v>
      </c>
      <c r="T2901" t="s">
        <v>56716</v>
      </c>
      <c r="U2901" t="s">
        <v>56717</v>
      </c>
      <c r="V2901">
        <f>-611.52311027375 -69.9145060825742 -93.9245524792082</f>
        <v>-775.36216883553243</v>
      </c>
      <c r="W2901" t="s">
        <v>56718</v>
      </c>
      <c r="X2901" t="s">
        <v>56719</v>
      </c>
      <c r="Y2901" t="s">
        <v>56720</v>
      </c>
    </row>
    <row r="2902" spans="1:25" x14ac:dyDescent="0.3">
      <c r="A2902">
        <v>145050</v>
      </c>
      <c r="B2902" t="s">
        <v>56721</v>
      </c>
      <c r="C2902" t="s">
        <v>56722</v>
      </c>
      <c r="D2902" t="s">
        <v>56723</v>
      </c>
      <c r="E2902" t="s">
        <v>56724</v>
      </c>
      <c r="F2902" t="s">
        <v>56725</v>
      </c>
      <c r="G2902" t="s">
        <v>56726</v>
      </c>
      <c r="H2902" t="s">
        <v>56727</v>
      </c>
      <c r="I2902" t="s">
        <v>56728</v>
      </c>
      <c r="J2902" t="s">
        <v>56729</v>
      </c>
      <c r="K2902" t="s">
        <v>56730</v>
      </c>
      <c r="L2902" t="s">
        <v>56731</v>
      </c>
      <c r="M2902" t="s">
        <v>56732</v>
      </c>
      <c r="N2902">
        <f>-691.453429931935 -25.1172038411426 -527.509375175784</f>
        <v>-1244.0800089488616</v>
      </c>
      <c r="O2902">
        <f>-685.77264586975 -177.836680594591 -496.180632804446</f>
        <v>-1359.789959268787</v>
      </c>
      <c r="P2902">
        <f>-663.754285256664 -193.012752611152 -215.35417652876</f>
        <v>-1072.1212143965761</v>
      </c>
      <c r="Q2902">
        <f>-476.037876231133 -94.395290220632 -310.146955608173</f>
        <v>-880.58012205993805</v>
      </c>
      <c r="R2902" t="s">
        <v>56733</v>
      </c>
      <c r="S2902" t="s">
        <v>56734</v>
      </c>
      <c r="T2902" t="s">
        <v>56735</v>
      </c>
      <c r="U2902" t="s">
        <v>56736</v>
      </c>
      <c r="V2902">
        <f>-611.600020053447 -70.0583123606534 -93.9189653383607</f>
        <v>-775.57729775246116</v>
      </c>
      <c r="W2902" t="s">
        <v>56737</v>
      </c>
      <c r="X2902" t="s">
        <v>56738</v>
      </c>
      <c r="Y2902" t="s">
        <v>56739</v>
      </c>
    </row>
    <row r="2903" spans="1:25" x14ac:dyDescent="0.3">
      <c r="A2903">
        <v>145100</v>
      </c>
      <c r="B2903" t="s">
        <v>56740</v>
      </c>
      <c r="C2903" t="s">
        <v>56741</v>
      </c>
      <c r="D2903" t="s">
        <v>56742</v>
      </c>
      <c r="E2903" t="s">
        <v>56743</v>
      </c>
      <c r="F2903" t="s">
        <v>56744</v>
      </c>
      <c r="G2903" t="s">
        <v>56745</v>
      </c>
      <c r="H2903" t="s">
        <v>56746</v>
      </c>
      <c r="I2903" t="s">
        <v>56747</v>
      </c>
      <c r="J2903" t="s">
        <v>56748</v>
      </c>
      <c r="K2903" t="s">
        <v>56749</v>
      </c>
      <c r="L2903" t="s">
        <v>56750</v>
      </c>
      <c r="M2903" t="s">
        <v>56751</v>
      </c>
      <c r="N2903">
        <f>-691.247768225154 -25.4072495760561 -527.550289356442</f>
        <v>-1244.205307157652</v>
      </c>
      <c r="O2903">
        <f>-685.117331473366 -178.111939000268 -496.232732709132</f>
        <v>-1359.462003182766</v>
      </c>
      <c r="P2903">
        <f>-664.488396892033 -193.212996000961 -215.296878792784</f>
        <v>-1072.998271685778</v>
      </c>
      <c r="Q2903">
        <f>-476.016712539658 -95.3123564728814 -309.330885614999</f>
        <v>-880.65995462753835</v>
      </c>
      <c r="R2903" t="s">
        <v>56752</v>
      </c>
      <c r="S2903" t="s">
        <v>56753</v>
      </c>
      <c r="T2903" t="s">
        <v>56754</v>
      </c>
      <c r="U2903" t="s">
        <v>56755</v>
      </c>
      <c r="V2903">
        <f>-611.593375445942 -70.2816899114318 -93.9326824584188</f>
        <v>-775.8077478157926</v>
      </c>
      <c r="W2903" t="s">
        <v>56756</v>
      </c>
      <c r="X2903" t="s">
        <v>56757</v>
      </c>
      <c r="Y2903" t="s">
        <v>56758</v>
      </c>
    </row>
    <row r="2904" spans="1:25" x14ac:dyDescent="0.3">
      <c r="A2904">
        <v>145150</v>
      </c>
      <c r="B2904" t="s">
        <v>56759</v>
      </c>
      <c r="C2904" t="s">
        <v>56760</v>
      </c>
      <c r="D2904" t="s">
        <v>56761</v>
      </c>
      <c r="E2904" t="s">
        <v>56762</v>
      </c>
      <c r="F2904" t="s">
        <v>56763</v>
      </c>
      <c r="G2904" t="s">
        <v>56764</v>
      </c>
      <c r="H2904" t="s">
        <v>56765</v>
      </c>
      <c r="I2904" t="s">
        <v>56766</v>
      </c>
      <c r="J2904" t="s">
        <v>56767</v>
      </c>
      <c r="K2904" t="s">
        <v>56768</v>
      </c>
      <c r="L2904" t="s">
        <v>56769</v>
      </c>
      <c r="M2904" t="s">
        <v>56770</v>
      </c>
      <c r="N2904">
        <f>-690.989536161917 -25.5414532664834 -527.611017938025</f>
        <v>-1244.1420073664253</v>
      </c>
      <c r="O2904">
        <f>-684.52728283282 -178.242159604139 -496.344495353163</f>
        <v>-1359.113937790122</v>
      </c>
      <c r="P2904">
        <f>-664.888911057293 -193.384492331594 -215.339787811343</f>
        <v>-1073.6131912002299</v>
      </c>
      <c r="Q2904">
        <f>-476.030689469827 -95.7288944855729 -308.851786051605</f>
        <v>-880.61137000700489</v>
      </c>
      <c r="R2904" t="s">
        <v>56771</v>
      </c>
      <c r="S2904" t="s">
        <v>56772</v>
      </c>
      <c r="T2904" t="s">
        <v>56773</v>
      </c>
      <c r="U2904" t="s">
        <v>56774</v>
      </c>
      <c r="V2904">
        <f>-611.626494325305 -70.4440653824408 -93.9430782665686</f>
        <v>-776.01363797431441</v>
      </c>
      <c r="W2904" t="s">
        <v>56775</v>
      </c>
      <c r="X2904" t="s">
        <v>56776</v>
      </c>
      <c r="Y2904" t="s">
        <v>56777</v>
      </c>
    </row>
    <row r="2905" spans="1:25" x14ac:dyDescent="0.3">
      <c r="A2905">
        <v>145200</v>
      </c>
      <c r="B2905" t="s">
        <v>56778</v>
      </c>
      <c r="C2905" t="s">
        <v>56779</v>
      </c>
      <c r="D2905" t="s">
        <v>56780</v>
      </c>
      <c r="E2905" t="s">
        <v>56781</v>
      </c>
      <c r="F2905" t="s">
        <v>56782</v>
      </c>
      <c r="G2905" t="s">
        <v>56783</v>
      </c>
      <c r="H2905" t="s">
        <v>56784</v>
      </c>
      <c r="I2905" t="s">
        <v>56785</v>
      </c>
      <c r="J2905" t="s">
        <v>56786</v>
      </c>
      <c r="K2905" t="s">
        <v>56787</v>
      </c>
      <c r="L2905" t="s">
        <v>56788</v>
      </c>
      <c r="M2905" t="s">
        <v>56789</v>
      </c>
      <c r="N2905">
        <f>-690.401602429276 -25.9386240922167 -527.719855273085</f>
        <v>-1244.0600817945779</v>
      </c>
      <c r="O2905">
        <f>-683.507917011125 -178.660811190486 -496.655309499428</f>
        <v>-1358.8240377010388</v>
      </c>
      <c r="P2905">
        <f>-665.712003904856 -194.264450156875 -215.553212137794</f>
        <v>-1075.5296661995251</v>
      </c>
      <c r="Q2905">
        <f>-476.742400257615 -96.1644489580497 -308.372522298853</f>
        <v>-881.27937151451772</v>
      </c>
      <c r="R2905" t="s">
        <v>56790</v>
      </c>
      <c r="S2905" t="s">
        <v>56791</v>
      </c>
      <c r="T2905" t="s">
        <v>56792</v>
      </c>
      <c r="U2905" t="s">
        <v>56793</v>
      </c>
      <c r="V2905">
        <f>-611.627677826379 -70.7658980929336 -93.968841175198</f>
        <v>-776.36241709451065</v>
      </c>
      <c r="W2905" t="s">
        <v>56794</v>
      </c>
      <c r="X2905" t="s">
        <v>56795</v>
      </c>
      <c r="Y2905" t="s">
        <v>56796</v>
      </c>
    </row>
    <row r="2906" spans="1:25" x14ac:dyDescent="0.3">
      <c r="A2906">
        <v>145250</v>
      </c>
      <c r="B2906" t="s">
        <v>56797</v>
      </c>
      <c r="C2906" t="s">
        <v>56798</v>
      </c>
      <c r="D2906" t="s">
        <v>56799</v>
      </c>
      <c r="E2906" t="s">
        <v>56800</v>
      </c>
      <c r="F2906" t="s">
        <v>56801</v>
      </c>
      <c r="G2906" t="s">
        <v>56802</v>
      </c>
      <c r="H2906" t="s">
        <v>56803</v>
      </c>
      <c r="I2906" t="s">
        <v>56804</v>
      </c>
      <c r="J2906" t="s">
        <v>56805</v>
      </c>
      <c r="K2906" t="s">
        <v>56806</v>
      </c>
      <c r="L2906" t="s">
        <v>56807</v>
      </c>
      <c r="M2906" t="s">
        <v>56808</v>
      </c>
      <c r="N2906">
        <f>-690.19878690424 -26.154917410345 -527.747686540009</f>
        <v>-1244.101390854594</v>
      </c>
      <c r="O2906">
        <f>-683.120775387134 -178.869033271096 -496.699797468689</f>
        <v>-1358.689606126919</v>
      </c>
      <c r="P2906">
        <f>-666.049465829713 -194.823916426896 -215.572480880753</f>
        <v>-1076.4458631373618</v>
      </c>
      <c r="Q2906">
        <f>-477.146448531108 -96.3051580352492 -308.083237934732</f>
        <v>-881.5348445010892</v>
      </c>
      <c r="R2906" t="s">
        <v>56809</v>
      </c>
      <c r="S2906" t="s">
        <v>56810</v>
      </c>
      <c r="T2906" t="s">
        <v>56811</v>
      </c>
      <c r="U2906" t="s">
        <v>56812</v>
      </c>
      <c r="V2906">
        <f>-611.600013273841 -70.8199911812508 -93.9896857427057</f>
        <v>-776.40969019779743</v>
      </c>
      <c r="W2906" t="s">
        <v>56813</v>
      </c>
      <c r="X2906" t="s">
        <v>56814</v>
      </c>
      <c r="Y2906" t="s">
        <v>56815</v>
      </c>
    </row>
    <row r="2907" spans="1:25" x14ac:dyDescent="0.3">
      <c r="A2907">
        <v>145300</v>
      </c>
      <c r="B2907" t="s">
        <v>56816</v>
      </c>
      <c r="C2907" t="s">
        <v>56817</v>
      </c>
      <c r="D2907" t="s">
        <v>56818</v>
      </c>
      <c r="E2907" t="s">
        <v>56819</v>
      </c>
      <c r="F2907" t="s">
        <v>56820</v>
      </c>
      <c r="G2907" t="s">
        <v>56821</v>
      </c>
      <c r="H2907" t="s">
        <v>56822</v>
      </c>
      <c r="I2907" t="s">
        <v>56823</v>
      </c>
      <c r="J2907" t="s">
        <v>56824</v>
      </c>
      <c r="K2907" t="s">
        <v>56825</v>
      </c>
      <c r="L2907" t="s">
        <v>56826</v>
      </c>
      <c r="M2907" t="s">
        <v>56827</v>
      </c>
      <c r="N2907">
        <f>-690.127976374041 -26.491951590355 -527.786529210799</f>
        <v>-1244.4064571751951</v>
      </c>
      <c r="O2907">
        <f>-682.628055426961 -179.212771341364 -496.834347333103</f>
        <v>-1358.6751741014282</v>
      </c>
      <c r="P2907">
        <f>-666.797629752119 -195.476073024457 -215.652110033155</f>
        <v>-1077.925812809731</v>
      </c>
      <c r="Q2907">
        <f>-477.782153739176 -96.0228751980212 -306.925033405608</f>
        <v>-880.73006234280524</v>
      </c>
      <c r="R2907" t="s">
        <v>56828</v>
      </c>
      <c r="S2907" t="s">
        <v>56829</v>
      </c>
      <c r="T2907" t="s">
        <v>56830</v>
      </c>
      <c r="U2907" t="s">
        <v>56831</v>
      </c>
      <c r="V2907">
        <f>-611.816027149463 -70.9925826742419 -94.0220317420961</f>
        <v>-776.8306415658011</v>
      </c>
      <c r="W2907" t="s">
        <v>56832</v>
      </c>
      <c r="X2907" t="s">
        <v>56833</v>
      </c>
      <c r="Y2907" t="s">
        <v>56834</v>
      </c>
    </row>
    <row r="2908" spans="1:25" x14ac:dyDescent="0.3">
      <c r="A2908">
        <v>145350</v>
      </c>
      <c r="B2908" t="s">
        <v>56835</v>
      </c>
      <c r="C2908" t="s">
        <v>56836</v>
      </c>
      <c r="D2908" t="s">
        <v>56837</v>
      </c>
      <c r="E2908" t="s">
        <v>56838</v>
      </c>
      <c r="F2908" t="s">
        <v>56839</v>
      </c>
      <c r="G2908" t="s">
        <v>56840</v>
      </c>
      <c r="H2908" t="s">
        <v>56841</v>
      </c>
      <c r="I2908" t="s">
        <v>56842</v>
      </c>
      <c r="J2908" t="s">
        <v>56843</v>
      </c>
      <c r="K2908" t="s">
        <v>56844</v>
      </c>
      <c r="L2908" t="s">
        <v>56845</v>
      </c>
      <c r="M2908" t="s">
        <v>56846</v>
      </c>
      <c r="N2908">
        <f>-690.179837241971 -26.5561007963415 -527.800867308039</f>
        <v>-1244.5368053463515</v>
      </c>
      <c r="O2908">
        <f>-682.406372320175 -179.276686089888 -496.9013794073</f>
        <v>-1358.5844378173631</v>
      </c>
      <c r="P2908">
        <f>-667.225913715193 -195.677956700061 -215.691229804368</f>
        <v>-1078.5951002196221</v>
      </c>
      <c r="Q2908">
        <f>-478.026031750801 -95.7123433755669 -306.01738608979</f>
        <v>-879.75576121615791</v>
      </c>
      <c r="R2908" t="s">
        <v>56847</v>
      </c>
      <c r="S2908" t="s">
        <v>56848</v>
      </c>
      <c r="T2908" t="s">
        <v>56849</v>
      </c>
      <c r="U2908" t="s">
        <v>56850</v>
      </c>
      <c r="V2908">
        <f>-611.9536405725 -71.0578511465583 -94.0381111740326</f>
        <v>-777.04960289309088</v>
      </c>
      <c r="W2908" t="s">
        <v>56851</v>
      </c>
      <c r="X2908" t="s">
        <v>56852</v>
      </c>
      <c r="Y2908" t="s">
        <v>56853</v>
      </c>
    </row>
    <row r="2909" spans="1:25" x14ac:dyDescent="0.3">
      <c r="A2909">
        <v>145400</v>
      </c>
      <c r="B2909" t="s">
        <v>56854</v>
      </c>
      <c r="C2909" t="s">
        <v>56855</v>
      </c>
      <c r="D2909" t="s">
        <v>56856</v>
      </c>
      <c r="E2909" t="s">
        <v>56857</v>
      </c>
      <c r="F2909" t="s">
        <v>56858</v>
      </c>
      <c r="G2909" t="s">
        <v>56859</v>
      </c>
      <c r="H2909" t="s">
        <v>56860</v>
      </c>
      <c r="I2909" t="s">
        <v>56861</v>
      </c>
      <c r="J2909" t="s">
        <v>56862</v>
      </c>
      <c r="K2909" t="s">
        <v>56863</v>
      </c>
      <c r="L2909" t="s">
        <v>56864</v>
      </c>
      <c r="M2909" t="s">
        <v>56865</v>
      </c>
      <c r="N2909">
        <f>-689.945133881347 -26.7411761190826 -527.890932407571</f>
        <v>-1244.5772424080005</v>
      </c>
      <c r="O2909">
        <f>-681.693707852187 -179.465873233503 -497.148675787471</f>
        <v>-1358.3082568731611</v>
      </c>
      <c r="P2909">
        <f>-667.660497843658 -196.310521726289 -215.905086549908</f>
        <v>-1079.8761061198552</v>
      </c>
      <c r="Q2909">
        <f>-477.960323514447 -95.8652147343894 -304.635547437758</f>
        <v>-878.46108568659452</v>
      </c>
      <c r="R2909" t="s">
        <v>56866</v>
      </c>
      <c r="S2909" t="s">
        <v>56867</v>
      </c>
      <c r="T2909" t="s">
        <v>56868</v>
      </c>
      <c r="U2909" t="s">
        <v>56869</v>
      </c>
      <c r="V2909">
        <f>-612.040072260043 -71.513334675961 -94.0603816646575</f>
        <v>-777.61378860066145</v>
      </c>
      <c r="W2909" t="s">
        <v>56870</v>
      </c>
      <c r="X2909" t="s">
        <v>56871</v>
      </c>
      <c r="Y2909" t="s">
        <v>56872</v>
      </c>
    </row>
    <row r="2910" spans="1:25" x14ac:dyDescent="0.3">
      <c r="A2910">
        <v>145450</v>
      </c>
      <c r="B2910" t="s">
        <v>56873</v>
      </c>
      <c r="C2910" t="s">
        <v>56874</v>
      </c>
      <c r="D2910" t="s">
        <v>56875</v>
      </c>
      <c r="E2910" t="s">
        <v>56876</v>
      </c>
      <c r="F2910" t="s">
        <v>56877</v>
      </c>
      <c r="G2910" t="s">
        <v>56878</v>
      </c>
      <c r="H2910" t="s">
        <v>56879</v>
      </c>
      <c r="I2910" t="s">
        <v>56880</v>
      </c>
      <c r="J2910" t="s">
        <v>56881</v>
      </c>
      <c r="K2910" t="s">
        <v>56882</v>
      </c>
      <c r="L2910" t="s">
        <v>56883</v>
      </c>
      <c r="M2910" t="s">
        <v>56884</v>
      </c>
      <c r="N2910">
        <f>-689.658839118654 -26.9173450014898 -527.938910265993</f>
        <v>-1244.5150943861368</v>
      </c>
      <c r="O2910">
        <f>-681.204341134786 -179.65152527581 -497.284524086663</f>
        <v>-1358.140390497259</v>
      </c>
      <c r="P2910">
        <f>-667.840928419066 -196.487906623155 -216.007835617527</f>
        <v>-1080.3366706597481</v>
      </c>
      <c r="Q2910">
        <f>-477.711132532069 -96.1448847651086 -303.930731602628</f>
        <v>-877.78674889980562</v>
      </c>
      <c r="R2910" t="s">
        <v>56885</v>
      </c>
      <c r="S2910" t="s">
        <v>56886</v>
      </c>
      <c r="T2910" t="s">
        <v>56887</v>
      </c>
      <c r="U2910" t="s">
        <v>56888</v>
      </c>
      <c r="V2910">
        <f>-612.02654353015 -71.770308734845 -94.0699759145464</f>
        <v>-777.86682817954136</v>
      </c>
      <c r="W2910" t="s">
        <v>56889</v>
      </c>
      <c r="X2910" t="s">
        <v>56890</v>
      </c>
      <c r="Y2910" t="s">
        <v>56891</v>
      </c>
    </row>
    <row r="2911" spans="1:25" x14ac:dyDescent="0.3">
      <c r="A2911">
        <v>145500</v>
      </c>
      <c r="B2911" t="s">
        <v>56892</v>
      </c>
      <c r="C2911" t="s">
        <v>56893</v>
      </c>
      <c r="D2911" t="s">
        <v>56894</v>
      </c>
      <c r="E2911" t="s">
        <v>56895</v>
      </c>
      <c r="F2911" t="s">
        <v>56896</v>
      </c>
      <c r="G2911" t="s">
        <v>56897</v>
      </c>
      <c r="H2911" t="s">
        <v>56898</v>
      </c>
      <c r="I2911" t="s">
        <v>56899</v>
      </c>
      <c r="J2911" t="s">
        <v>56900</v>
      </c>
      <c r="K2911" t="s">
        <v>56901</v>
      </c>
      <c r="L2911" t="s">
        <v>56902</v>
      </c>
      <c r="M2911" t="s">
        <v>56903</v>
      </c>
      <c r="N2911">
        <f>-689.191117424819 -27.2112221813954 -527.990476292943</f>
        <v>-1244.3928158991575</v>
      </c>
      <c r="O2911">
        <f>-680.439008967155 -179.920704734979 -497.33426326509</f>
        <v>-1357.693976967224</v>
      </c>
      <c r="P2911">
        <f>-668.351023800248 -195.471296639509 -215.925881428972</f>
        <v>-1079.748201868729</v>
      </c>
      <c r="Q2911">
        <f>-476.56760534198 -96.5637563678367 -301.861513567082</f>
        <v>-874.99287527689876</v>
      </c>
      <c r="R2911" t="s">
        <v>56904</v>
      </c>
      <c r="S2911" t="s">
        <v>56905</v>
      </c>
      <c r="T2911" t="s">
        <v>56906</v>
      </c>
      <c r="U2911" t="s">
        <v>56907</v>
      </c>
      <c r="V2911">
        <f>-612.057929650725 -71.9757369022652 -94.0439487222282</f>
        <v>-778.07761527521836</v>
      </c>
      <c r="W2911" t="s">
        <v>56908</v>
      </c>
      <c r="X2911" t="s">
        <v>56909</v>
      </c>
      <c r="Y2911" t="s">
        <v>56910</v>
      </c>
    </row>
    <row r="2912" spans="1:25" x14ac:dyDescent="0.3">
      <c r="A2912">
        <v>145550</v>
      </c>
      <c r="B2912" t="s">
        <v>56911</v>
      </c>
      <c r="C2912" t="s">
        <v>56912</v>
      </c>
      <c r="D2912" t="s">
        <v>56913</v>
      </c>
      <c r="E2912" t="s">
        <v>56914</v>
      </c>
      <c r="F2912" t="s">
        <v>56915</v>
      </c>
      <c r="G2912" t="s">
        <v>56916</v>
      </c>
      <c r="H2912" t="s">
        <v>56917</v>
      </c>
      <c r="I2912" t="s">
        <v>56918</v>
      </c>
      <c r="J2912" t="s">
        <v>56919</v>
      </c>
      <c r="K2912" t="s">
        <v>56920</v>
      </c>
      <c r="L2912" t="s">
        <v>56921</v>
      </c>
      <c r="M2912" t="s">
        <v>56922</v>
      </c>
      <c r="N2912">
        <f>-689.023963574995 -27.4157382240348 -527.993157092375</f>
        <v>-1244.432858891405</v>
      </c>
      <c r="O2912">
        <f>-680.16508890521 -180.096817992022 -497.258407108224</f>
        <v>-1357.5203140054559</v>
      </c>
      <c r="P2912">
        <f>-668.484671186251 -194.98525160265 -215.796967078338</f>
        <v>-1079.2668898672391</v>
      </c>
      <c r="Q2912">
        <f>-475.575942934272 -97.0361782529203 -300.29982003607</f>
        <v>-872.91194122326237</v>
      </c>
      <c r="R2912" t="s">
        <v>56923</v>
      </c>
      <c r="S2912" t="s">
        <v>56924</v>
      </c>
      <c r="T2912" t="s">
        <v>56925</v>
      </c>
      <c r="U2912" t="s">
        <v>56926</v>
      </c>
      <c r="V2912">
        <f>-612.005860195522 -72.1086839405514 -94.0416062689212</f>
        <v>-778.15615040499461</v>
      </c>
      <c r="W2912" t="s">
        <v>56927</v>
      </c>
      <c r="X2912" t="s">
        <v>56928</v>
      </c>
      <c r="Y2912" t="s">
        <v>56929</v>
      </c>
    </row>
    <row r="2913" spans="1:25" x14ac:dyDescent="0.3">
      <c r="A2913">
        <v>145600</v>
      </c>
      <c r="B2913" t="s">
        <v>56930</v>
      </c>
      <c r="C2913" t="s">
        <v>56931</v>
      </c>
      <c r="D2913" t="s">
        <v>56932</v>
      </c>
      <c r="E2913" t="s">
        <v>56933</v>
      </c>
      <c r="F2913" t="s">
        <v>56934</v>
      </c>
      <c r="G2913" t="s">
        <v>56935</v>
      </c>
      <c r="H2913" t="s">
        <v>56936</v>
      </c>
      <c r="I2913" t="s">
        <v>56937</v>
      </c>
      <c r="J2913" t="s">
        <v>56938</v>
      </c>
      <c r="K2913" t="s">
        <v>56939</v>
      </c>
      <c r="L2913" t="s">
        <v>56940</v>
      </c>
      <c r="M2913" t="s">
        <v>56941</v>
      </c>
      <c r="N2913">
        <f>-688.749162497142 -27.9227326944688 -527.966068419184</f>
        <v>-1244.6379636107949</v>
      </c>
      <c r="O2913">
        <f>-679.624038913392 -180.571343663055 -497.103471938327</f>
        <v>-1357.2988545147741</v>
      </c>
      <c r="P2913">
        <f>-668.201360755018 -195.117871102789 -215.613637410154</f>
        <v>-1078.932869267961</v>
      </c>
      <c r="Q2913">
        <f>-474.084852043105 -97.4285976897529 -297.614403886909</f>
        <v>-869.12785361976694</v>
      </c>
      <c r="R2913" t="s">
        <v>56942</v>
      </c>
      <c r="S2913" t="s">
        <v>56943</v>
      </c>
      <c r="T2913" t="s">
        <v>56944</v>
      </c>
      <c r="U2913" t="s">
        <v>56945</v>
      </c>
      <c r="V2913">
        <f>-611.894366841501 -72.2377931279912 -94.0142486164124</f>
        <v>-778.14640858590451</v>
      </c>
      <c r="W2913" t="s">
        <v>56946</v>
      </c>
      <c r="X2913" t="s">
        <v>56947</v>
      </c>
      <c r="Y2913" t="s">
        <v>56948</v>
      </c>
    </row>
    <row r="2914" spans="1:25" x14ac:dyDescent="0.3">
      <c r="A2914">
        <v>145650</v>
      </c>
      <c r="B2914" t="s">
        <v>56949</v>
      </c>
      <c r="C2914" t="s">
        <v>56950</v>
      </c>
      <c r="D2914" t="s">
        <v>56951</v>
      </c>
      <c r="E2914" t="s">
        <v>56952</v>
      </c>
      <c r="F2914" t="s">
        <v>56953</v>
      </c>
      <c r="G2914" t="s">
        <v>56954</v>
      </c>
      <c r="H2914" t="s">
        <v>56955</v>
      </c>
      <c r="I2914" t="s">
        <v>56956</v>
      </c>
      <c r="J2914" t="s">
        <v>56957</v>
      </c>
      <c r="K2914" t="s">
        <v>56958</v>
      </c>
      <c r="L2914" t="s">
        <v>56959</v>
      </c>
      <c r="M2914" t="s">
        <v>56960</v>
      </c>
      <c r="N2914">
        <f>-688.539657115007 -28.1899802675066 -527.941206910331</f>
        <v>-1244.6708442928445</v>
      </c>
      <c r="O2914">
        <f>-679.235962939334 -180.823600724044 -497.040253413366</f>
        <v>-1357.0998170767439</v>
      </c>
      <c r="P2914">
        <f>-668.026696204221 -195.47310405204 -215.547167856517</f>
        <v>-1079.0469681127779</v>
      </c>
      <c r="Q2914">
        <f>-473.474649561494 -97.6819985900959 -296.386102144244</f>
        <v>-867.54275029583391</v>
      </c>
      <c r="R2914" t="s">
        <v>56961</v>
      </c>
      <c r="S2914" t="s">
        <v>56962</v>
      </c>
      <c r="T2914" t="s">
        <v>56963</v>
      </c>
      <c r="U2914" t="s">
        <v>56964</v>
      </c>
      <c r="V2914">
        <f>-611.818279920492 -72.2717483412896 -93.9935359364905</f>
        <v>-778.08356419827214</v>
      </c>
      <c r="W2914" t="s">
        <v>56965</v>
      </c>
      <c r="X2914" t="s">
        <v>56966</v>
      </c>
      <c r="Y2914" t="s">
        <v>56967</v>
      </c>
    </row>
    <row r="2915" spans="1:25" x14ac:dyDescent="0.3">
      <c r="A2915">
        <v>145700</v>
      </c>
      <c r="B2915" t="s">
        <v>56968</v>
      </c>
      <c r="C2915" t="s">
        <v>56969</v>
      </c>
      <c r="D2915" t="s">
        <v>56970</v>
      </c>
      <c r="E2915" t="s">
        <v>56971</v>
      </c>
      <c r="F2915" t="s">
        <v>56972</v>
      </c>
      <c r="G2915" t="s">
        <v>56973</v>
      </c>
      <c r="H2915" t="s">
        <v>56974</v>
      </c>
      <c r="I2915" t="s">
        <v>56975</v>
      </c>
      <c r="J2915" t="s">
        <v>56976</v>
      </c>
      <c r="K2915" t="s">
        <v>56977</v>
      </c>
      <c r="L2915" t="s">
        <v>56978</v>
      </c>
      <c r="M2915" t="s">
        <v>56979</v>
      </c>
      <c r="N2915">
        <f>-688.278080429104 -28.480776683469 -527.891687616966</f>
        <v>-1244.650544729539</v>
      </c>
      <c r="O2915">
        <f>-678.7008590465 -181.088110293281 -496.94607421786</f>
        <v>-1356.7350435576409</v>
      </c>
      <c r="P2915">
        <f>-667.810900406197 -195.45998183406 -215.426005334818</f>
        <v>-1078.6968875750749</v>
      </c>
      <c r="Q2915">
        <f>-472.415896212846 -98.0164992562516 -294.635485311868</f>
        <v>-865.06788078096565</v>
      </c>
      <c r="R2915" t="s">
        <v>56980</v>
      </c>
      <c r="S2915" t="s">
        <v>56981</v>
      </c>
      <c r="T2915" t="s">
        <v>56982</v>
      </c>
      <c r="U2915" t="s">
        <v>56983</v>
      </c>
      <c r="V2915">
        <f>-611.619283819842 -72.2282532587531 -93.9545725085692</f>
        <v>-777.8021095871643</v>
      </c>
      <c r="W2915" t="s">
        <v>56984</v>
      </c>
      <c r="X2915" t="s">
        <v>56985</v>
      </c>
      <c r="Y2915" t="s">
        <v>56986</v>
      </c>
    </row>
    <row r="2916" spans="1:25" x14ac:dyDescent="0.3">
      <c r="A2916">
        <v>145750</v>
      </c>
      <c r="B2916" t="s">
        <v>56987</v>
      </c>
      <c r="C2916" t="s">
        <v>56988</v>
      </c>
      <c r="D2916" t="s">
        <v>56989</v>
      </c>
      <c r="E2916" t="s">
        <v>56990</v>
      </c>
      <c r="F2916" t="s">
        <v>56991</v>
      </c>
      <c r="G2916" t="s">
        <v>56992</v>
      </c>
      <c r="H2916" t="s">
        <v>56993</v>
      </c>
      <c r="I2916" t="s">
        <v>56994</v>
      </c>
      <c r="J2916" t="s">
        <v>56995</v>
      </c>
      <c r="K2916" t="s">
        <v>56996</v>
      </c>
      <c r="L2916" t="s">
        <v>56997</v>
      </c>
      <c r="M2916" t="s">
        <v>56998</v>
      </c>
      <c r="N2916">
        <f>-688.012350499391 -28.9699880642288 -527.829283563729</f>
        <v>-1244.8116221273488</v>
      </c>
      <c r="O2916">
        <f>-678.296528941456 -181.558170846263 -496.889102893253</f>
        <v>-1356.7438026809721</v>
      </c>
      <c r="P2916">
        <f>-667.488804773976 -196.118166081852 -215.37574103416</f>
        <v>-1078.982711889988</v>
      </c>
      <c r="Q2916">
        <f>-471.476798571343 -98.3473177961275 -292.632993911124</f>
        <v>-862.45711027859454</v>
      </c>
      <c r="R2916" t="s">
        <v>56999</v>
      </c>
      <c r="S2916" t="s">
        <v>57000</v>
      </c>
      <c r="T2916" t="s">
        <v>57001</v>
      </c>
      <c r="U2916" t="s">
        <v>57002</v>
      </c>
      <c r="V2916">
        <f>-611.361205816818 -72.3095407513774 -93.908273910597</f>
        <v>-777.57902047879247</v>
      </c>
      <c r="W2916" t="s">
        <v>57003</v>
      </c>
      <c r="X2916" t="s">
        <v>57004</v>
      </c>
      <c r="Y2916" t="s">
        <v>57005</v>
      </c>
    </row>
    <row r="2917" spans="1:25" x14ac:dyDescent="0.3">
      <c r="A2917">
        <v>145800</v>
      </c>
      <c r="B2917" t="s">
        <v>57006</v>
      </c>
      <c r="C2917" t="s">
        <v>57007</v>
      </c>
      <c r="D2917" t="s">
        <v>57008</v>
      </c>
      <c r="E2917" t="s">
        <v>57009</v>
      </c>
      <c r="F2917" t="s">
        <v>57010</v>
      </c>
      <c r="G2917" t="s">
        <v>57011</v>
      </c>
      <c r="H2917" t="s">
        <v>57012</v>
      </c>
      <c r="I2917" t="s">
        <v>57013</v>
      </c>
      <c r="J2917" t="s">
        <v>57014</v>
      </c>
      <c r="K2917" t="s">
        <v>57015</v>
      </c>
      <c r="L2917" t="s">
        <v>57016</v>
      </c>
      <c r="M2917" t="s">
        <v>57017</v>
      </c>
      <c r="N2917">
        <f>-688.041153965018 -29.3423718940494 -527.781554591824</f>
        <v>-1245.1650804508913</v>
      </c>
      <c r="O2917">
        <f>-678.153846711958 -181.930337470799 -496.848593170471</f>
        <v>-1356.9327773532279</v>
      </c>
      <c r="P2917">
        <f>-667.673101432433 -196.272444770134 -215.311653078187</f>
        <v>-1079.2571992807541</v>
      </c>
      <c r="Q2917">
        <f>-471.251030970417 -98.7958560875563 -291.896479484558</f>
        <v>-861.94336654253129</v>
      </c>
      <c r="R2917" t="s">
        <v>57018</v>
      </c>
      <c r="S2917" t="s">
        <v>57019</v>
      </c>
      <c r="T2917" t="s">
        <v>57020</v>
      </c>
      <c r="U2917" t="s">
        <v>57021</v>
      </c>
      <c r="V2917">
        <f>-611.284284537661 -72.3849289652142 -93.8928101534068</f>
        <v>-777.56202365628201</v>
      </c>
      <c r="W2917" t="s">
        <v>57022</v>
      </c>
      <c r="X2917" t="s">
        <v>57023</v>
      </c>
      <c r="Y2917" t="s">
        <v>57024</v>
      </c>
    </row>
    <row r="2918" spans="1:25" x14ac:dyDescent="0.3">
      <c r="A2918">
        <v>145850</v>
      </c>
      <c r="B2918" t="s">
        <v>57025</v>
      </c>
      <c r="C2918" t="s">
        <v>57026</v>
      </c>
      <c r="D2918" t="s">
        <v>57027</v>
      </c>
      <c r="E2918" t="s">
        <v>57028</v>
      </c>
      <c r="F2918" t="s">
        <v>57029</v>
      </c>
      <c r="G2918" t="s">
        <v>57030</v>
      </c>
      <c r="H2918">
        <f>-697.188644680645 -0.0208539317868599 -581.708219593691</f>
        <v>-1278.9177182061228</v>
      </c>
      <c r="I2918" t="s">
        <v>57031</v>
      </c>
      <c r="J2918" t="s">
        <v>57032</v>
      </c>
      <c r="K2918" t="s">
        <v>57033</v>
      </c>
      <c r="L2918" t="s">
        <v>57034</v>
      </c>
      <c r="M2918" t="s">
        <v>57035</v>
      </c>
      <c r="N2918">
        <f>-688.066351956995 -29.7152974516853 -527.715122480855</f>
        <v>-1245.4967718895355</v>
      </c>
      <c r="O2918">
        <f>-678.060651000644 -182.284511591524 -496.684734525055</f>
        <v>-1357.0298971172228</v>
      </c>
      <c r="P2918">
        <f>-667.957675292741 -196.26789447437 -215.115860721286</f>
        <v>-1079.341430488397</v>
      </c>
      <c r="Q2918">
        <f>-471.044364501602 -99.3742074748832 -291.17702157134</f>
        <v>-861.59559354782516</v>
      </c>
      <c r="R2918" t="s">
        <v>57036</v>
      </c>
      <c r="S2918" t="s">
        <v>57037</v>
      </c>
      <c r="T2918" t="s">
        <v>57038</v>
      </c>
      <c r="U2918" t="s">
        <v>57039</v>
      </c>
      <c r="V2918">
        <f>-611.276791105563 -72.5009723407522 -93.8741112048058</f>
        <v>-777.65187465112103</v>
      </c>
      <c r="W2918" t="s">
        <v>57040</v>
      </c>
      <c r="X2918" t="s">
        <v>57041</v>
      </c>
      <c r="Y2918" t="s">
        <v>57042</v>
      </c>
    </row>
    <row r="2919" spans="1:25" x14ac:dyDescent="0.3">
      <c r="A2919">
        <v>145900</v>
      </c>
      <c r="B2919" t="s">
        <v>57043</v>
      </c>
      <c r="C2919" t="s">
        <v>57044</v>
      </c>
      <c r="D2919" t="s">
        <v>57045</v>
      </c>
      <c r="E2919" t="s">
        <v>57046</v>
      </c>
      <c r="F2919" t="s">
        <v>57047</v>
      </c>
      <c r="G2919" t="s">
        <v>57048</v>
      </c>
      <c r="H2919">
        <f>-696.87302796378 -0.564986313807367 -581.729056791399</f>
        <v>-1279.1670710689864</v>
      </c>
      <c r="I2919" t="s">
        <v>57049</v>
      </c>
      <c r="J2919" t="s">
        <v>57050</v>
      </c>
      <c r="K2919" t="s">
        <v>57051</v>
      </c>
      <c r="L2919" t="s">
        <v>57052</v>
      </c>
      <c r="M2919" t="s">
        <v>57053</v>
      </c>
      <c r="N2919">
        <f>-687.781105525325 -30.2101237987158 -527.703601946323</f>
        <v>-1245.6948312703648</v>
      </c>
      <c r="O2919">
        <f>-677.736031147956 -182.765444474301 -496.653669443855</f>
        <v>-1357.155145066112</v>
      </c>
      <c r="P2919">
        <f>-668.438552666678 -196.277002882732 -215.034079303813</f>
        <v>-1079.7496348532231</v>
      </c>
      <c r="Q2919">
        <f>-470.708827428648 -100.689119575434 -290.627968289188</f>
        <v>-862.02591529326992</v>
      </c>
      <c r="R2919" t="s">
        <v>57054</v>
      </c>
      <c r="S2919" t="s">
        <v>57055</v>
      </c>
      <c r="T2919" t="s">
        <v>57056</v>
      </c>
      <c r="U2919" t="s">
        <v>57057</v>
      </c>
      <c r="V2919">
        <f>-611.267483249135 -72.8479103742377 -93.8626069400053</f>
        <v>-777.97800056337803</v>
      </c>
      <c r="W2919" t="s">
        <v>57058</v>
      </c>
      <c r="X2919" t="s">
        <v>57059</v>
      </c>
      <c r="Y2919" t="s">
        <v>57060</v>
      </c>
    </row>
    <row r="2920" spans="1:25" x14ac:dyDescent="0.3">
      <c r="A2920">
        <v>145950</v>
      </c>
      <c r="B2920" t="s">
        <v>57061</v>
      </c>
      <c r="C2920" t="s">
        <v>57062</v>
      </c>
      <c r="D2920" t="s">
        <v>57063</v>
      </c>
      <c r="E2920" t="s">
        <v>57064</v>
      </c>
      <c r="F2920" t="s">
        <v>57065</v>
      </c>
      <c r="G2920" t="s">
        <v>57066</v>
      </c>
      <c r="H2920">
        <f>-696.697218406286 -0.771860296106752 -581.766437567016</f>
        <v>-1279.2355162694089</v>
      </c>
      <c r="I2920" t="s">
        <v>57067</v>
      </c>
      <c r="J2920" t="s">
        <v>57068</v>
      </c>
      <c r="K2920" t="s">
        <v>57069</v>
      </c>
      <c r="L2920" t="s">
        <v>57070</v>
      </c>
      <c r="M2920" t="s">
        <v>57071</v>
      </c>
      <c r="N2920">
        <f>-687.628698889053 -30.4273402814579 -527.742600468139</f>
        <v>-1245.79863963865</v>
      </c>
      <c r="O2920">
        <f>-677.599260160282 -182.99447911479 -496.733130341796</f>
        <v>-1357.326869616868</v>
      </c>
      <c r="P2920">
        <f>-668.761434706351 -196.205646085148 -215.084529931177</f>
        <v>-1080.0516107226761</v>
      </c>
      <c r="Q2920">
        <f>-470.775072312368 -101.150264253514 -290.67841889755</f>
        <v>-862.60375546343198</v>
      </c>
      <c r="R2920" t="s">
        <v>57072</v>
      </c>
      <c r="S2920" t="s">
        <v>57073</v>
      </c>
      <c r="T2920" t="s">
        <v>57074</v>
      </c>
      <c r="U2920" t="s">
        <v>57075</v>
      </c>
      <c r="V2920">
        <f>-611.304626578072 -73.1419919683588 -93.8751450391528</f>
        <v>-778.32176358558354</v>
      </c>
      <c r="W2920" t="s">
        <v>57076</v>
      </c>
      <c r="X2920" t="s">
        <v>57077</v>
      </c>
      <c r="Y2920" t="s">
        <v>57078</v>
      </c>
    </row>
    <row r="2921" spans="1:25" x14ac:dyDescent="0.3">
      <c r="A2921">
        <v>146000</v>
      </c>
      <c r="B2921" t="s">
        <v>57079</v>
      </c>
      <c r="C2921" t="s">
        <v>57080</v>
      </c>
      <c r="D2921" t="s">
        <v>57081</v>
      </c>
      <c r="E2921" t="s">
        <v>57082</v>
      </c>
      <c r="F2921" t="s">
        <v>57083</v>
      </c>
      <c r="G2921" t="s">
        <v>57084</v>
      </c>
      <c r="H2921">
        <f>-696.284992987704 -1.53070809542305 -581.890973356599</f>
        <v>-1279.7066744397262</v>
      </c>
      <c r="I2921" t="s">
        <v>57085</v>
      </c>
      <c r="J2921" t="s">
        <v>57086</v>
      </c>
      <c r="K2921" t="s">
        <v>57087</v>
      </c>
      <c r="L2921" t="s">
        <v>57088</v>
      </c>
      <c r="M2921" t="s">
        <v>57089</v>
      </c>
      <c r="N2921">
        <f>-687.273754775402 -31.1478571233715 -527.836746972062</f>
        <v>-1246.2583588708355</v>
      </c>
      <c r="O2921">
        <f>-676.987408112518 -183.711583332916 -496.933471176494</f>
        <v>-1357.632462621928</v>
      </c>
      <c r="P2921">
        <f>-669.139369934649 -197.600677538332 -215.288228244131</f>
        <v>-1082.0282757171121</v>
      </c>
      <c r="Q2921">
        <f>-471.469619742936 -101.074105575024 -289.839227843292</f>
        <v>-862.38295316125209</v>
      </c>
      <c r="R2921" t="s">
        <v>57090</v>
      </c>
      <c r="S2921" t="s">
        <v>57091</v>
      </c>
      <c r="T2921" t="s">
        <v>57092</v>
      </c>
      <c r="U2921" t="s">
        <v>57093</v>
      </c>
      <c r="V2921">
        <f>-611.581617406019 -73.7710181675543 -93.8948897713742</f>
        <v>-779.24752534494746</v>
      </c>
      <c r="W2921" t="s">
        <v>57094</v>
      </c>
      <c r="X2921" t="s">
        <v>57095</v>
      </c>
      <c r="Y2921" t="s">
        <v>57096</v>
      </c>
    </row>
    <row r="2922" spans="1:25" x14ac:dyDescent="0.3">
      <c r="A2922">
        <v>146050</v>
      </c>
      <c r="B2922" t="s">
        <v>57097</v>
      </c>
      <c r="C2922" t="s">
        <v>57098</v>
      </c>
      <c r="D2922" t="s">
        <v>57099</v>
      </c>
      <c r="E2922" t="s">
        <v>57100</v>
      </c>
      <c r="F2922" t="s">
        <v>57101</v>
      </c>
      <c r="G2922" t="s">
        <v>57102</v>
      </c>
      <c r="H2922">
        <f>-696.113068250041 -1.90925138676289 -581.950663053219</f>
        <v>-1279.9729826900229</v>
      </c>
      <c r="I2922" t="s">
        <v>57103</v>
      </c>
      <c r="J2922" t="s">
        <v>57104</v>
      </c>
      <c r="K2922" t="s">
        <v>57105</v>
      </c>
      <c r="L2922" t="s">
        <v>57106</v>
      </c>
      <c r="M2922" t="s">
        <v>57107</v>
      </c>
      <c r="N2922">
        <f>-687.097287924606 -31.5189615169943 -527.892989365339</f>
        <v>-1246.5092388069393</v>
      </c>
      <c r="O2922">
        <f>-676.562945249247 -184.088809361138 -497.090476497295</f>
        <v>-1357.74223110768</v>
      </c>
      <c r="P2922">
        <f>-669.275533086165 -198.323972082422 -215.44725217237</f>
        <v>-1083.0467573409569</v>
      </c>
      <c r="Q2922">
        <f>-471.774637454449 -101.336491819998 -289.847211479422</f>
        <v>-862.95834075386892</v>
      </c>
      <c r="R2922" t="s">
        <v>57108</v>
      </c>
      <c r="S2922" t="s">
        <v>57109</v>
      </c>
      <c r="T2922" t="s">
        <v>57110</v>
      </c>
      <c r="U2922" t="s">
        <v>57111</v>
      </c>
      <c r="V2922">
        <f>-611.715001214395 -74.1793461479208 -93.911600291413</f>
        <v>-779.80594765372882</v>
      </c>
      <c r="W2922" t="s">
        <v>57112</v>
      </c>
      <c r="X2922" t="s">
        <v>57113</v>
      </c>
      <c r="Y2922" t="s">
        <v>57114</v>
      </c>
    </row>
    <row r="2923" spans="1:25" x14ac:dyDescent="0.3">
      <c r="A2923">
        <v>146100</v>
      </c>
      <c r="B2923" t="s">
        <v>57115</v>
      </c>
      <c r="C2923" t="s">
        <v>57116</v>
      </c>
      <c r="D2923" t="s">
        <v>57117</v>
      </c>
      <c r="E2923" t="s">
        <v>57118</v>
      </c>
      <c r="F2923" t="s">
        <v>57119</v>
      </c>
      <c r="G2923" t="s">
        <v>57120</v>
      </c>
      <c r="H2923">
        <f>-695.952703679591 -2.30087030992354 -582.041396705268</f>
        <v>-1280.2949706947825</v>
      </c>
      <c r="I2923">
        <f>-685.627260480853 -0.325820838166237 -659.692604177093</f>
        <v>-1345.6456854961123</v>
      </c>
      <c r="J2923" t="s">
        <v>57121</v>
      </c>
      <c r="K2923" t="s">
        <v>57122</v>
      </c>
      <c r="L2923" t="s">
        <v>57123</v>
      </c>
      <c r="M2923" t="s">
        <v>57124</v>
      </c>
      <c r="N2923">
        <f>-686.915100095835 -31.9137745824048 -527.989294846406</f>
        <v>-1246.8181695246458</v>
      </c>
      <c r="O2923">
        <f>-676.154268115783 -184.482173206294 -497.292598562802</f>
        <v>-1357.9290398848789</v>
      </c>
      <c r="P2923">
        <f>-669.23676141572 -199.116433098405 -215.660672344614</f>
        <v>-1084.013866858739</v>
      </c>
      <c r="Q2923">
        <f>-471.934918237868 -101.639357857262 -289.948823170927</f>
        <v>-863.52309926605699</v>
      </c>
      <c r="R2923" t="s">
        <v>57125</v>
      </c>
      <c r="S2923" t="s">
        <v>57126</v>
      </c>
      <c r="T2923" t="s">
        <v>57127</v>
      </c>
      <c r="U2923" t="s">
        <v>57128</v>
      </c>
      <c r="V2923">
        <f>-611.794526927312 -74.6061803499972 -93.9412870885856</f>
        <v>-780.34199436589472</v>
      </c>
      <c r="W2923" t="s">
        <v>57129</v>
      </c>
      <c r="X2923" t="s">
        <v>57130</v>
      </c>
      <c r="Y2923" t="s">
        <v>57131</v>
      </c>
    </row>
    <row r="2924" spans="1:25" x14ac:dyDescent="0.3">
      <c r="A2924">
        <v>146150</v>
      </c>
      <c r="B2924" t="s">
        <v>57132</v>
      </c>
      <c r="C2924" t="s">
        <v>57133</v>
      </c>
      <c r="D2924" t="s">
        <v>57134</v>
      </c>
      <c r="E2924" t="s">
        <v>57135</v>
      </c>
      <c r="F2924" t="s">
        <v>57136</v>
      </c>
      <c r="G2924" t="s">
        <v>57137</v>
      </c>
      <c r="H2924">
        <f>-695.573519467967 -3.17350727591247 -582.232376456264</f>
        <v>-1280.9794032001435</v>
      </c>
      <c r="I2924">
        <f>-685.120789874011 -1.14635921140234 -659.865111602185</f>
        <v>-1346.1322606875983</v>
      </c>
      <c r="J2924" t="s">
        <v>57138</v>
      </c>
      <c r="K2924" t="s">
        <v>57139</v>
      </c>
      <c r="L2924" t="s">
        <v>57140</v>
      </c>
      <c r="M2924" t="s">
        <v>57141</v>
      </c>
      <c r="N2924">
        <f>-686.459711072513 -32.7730462207664 -528.185707282634</f>
        <v>-1247.4184645759133</v>
      </c>
      <c r="O2924">
        <f>-675.145551248907 -185.342143294118 -497.652013637063</f>
        <v>-1358.1397081800881</v>
      </c>
      <c r="P2924">
        <f>-668.803503547149 -200.583290247736 -216.038679351755</f>
        <v>-1085.4254731466401</v>
      </c>
      <c r="Q2924">
        <f>-472.139571230051 -101.860235686281 -290.373077616596</f>
        <v>-864.37288453292797</v>
      </c>
      <c r="R2924" t="s">
        <v>57142</v>
      </c>
      <c r="S2924" t="s">
        <v>57143</v>
      </c>
      <c r="T2924" t="s">
        <v>57144</v>
      </c>
      <c r="U2924" t="s">
        <v>57145</v>
      </c>
      <c r="V2924">
        <f>-612.159785260754 -75.3722103375042 -93.9990769127129</f>
        <v>-781.53107251097106</v>
      </c>
      <c r="W2924" t="s">
        <v>57146</v>
      </c>
      <c r="X2924" t="s">
        <v>57147</v>
      </c>
      <c r="Y2924" t="s">
        <v>57148</v>
      </c>
    </row>
    <row r="2925" spans="1:25" x14ac:dyDescent="0.3">
      <c r="A2925">
        <v>146200</v>
      </c>
      <c r="B2925" t="s">
        <v>57149</v>
      </c>
      <c r="C2925" t="s">
        <v>57150</v>
      </c>
      <c r="D2925" t="s">
        <v>57151</v>
      </c>
      <c r="E2925" t="s">
        <v>57152</v>
      </c>
      <c r="F2925" t="s">
        <v>57153</v>
      </c>
      <c r="G2925">
        <f>-682.940558791915 -0.0251195549640215 -460.325263420762</f>
        <v>-1143.290941767641</v>
      </c>
      <c r="H2925">
        <f>-695.362059662948 -3.47268655126391 -582.303693375551</f>
        <v>-1281.138439589763</v>
      </c>
      <c r="I2925">
        <f>-684.810284035168 -1.36980782735145 -659.921089571842</f>
        <v>-1346.1011814343615</v>
      </c>
      <c r="J2925" t="s">
        <v>57154</v>
      </c>
      <c r="K2925" t="s">
        <v>57155</v>
      </c>
      <c r="L2925" t="s">
        <v>57156</v>
      </c>
      <c r="M2925" t="s">
        <v>57157</v>
      </c>
      <c r="N2925">
        <f>-686.219328215069 -33.0990110645535 -528.276563392191</f>
        <v>-1247.5949026718135</v>
      </c>
      <c r="O2925">
        <f>-674.546882006554 -185.672459313784 -497.875020474582</f>
        <v>-1358.0943617949201</v>
      </c>
      <c r="P2925">
        <f>-668.26025279747 -201.238345117655 -216.278213268683</f>
        <v>-1085.7768111838079</v>
      </c>
      <c r="Q2925">
        <f>-472.115335221183 -101.38281041078 -290.471106297882</f>
        <v>-863.96925192984497</v>
      </c>
      <c r="R2925" t="s">
        <v>57158</v>
      </c>
      <c r="S2925" t="s">
        <v>57159</v>
      </c>
      <c r="T2925" t="s">
        <v>57160</v>
      </c>
      <c r="U2925" t="s">
        <v>57161</v>
      </c>
      <c r="V2925">
        <f>-612.404836167211 -75.8870627811455 -94.0203424054878</f>
        <v>-782.31224135384423</v>
      </c>
      <c r="W2925" t="s">
        <v>57162</v>
      </c>
      <c r="X2925" t="s">
        <v>57163</v>
      </c>
      <c r="Y2925" t="s">
        <v>57164</v>
      </c>
    </row>
    <row r="2926" spans="1:25" x14ac:dyDescent="0.3">
      <c r="A2926">
        <v>146250</v>
      </c>
      <c r="B2926" t="s">
        <v>57165</v>
      </c>
      <c r="C2926" t="s">
        <v>57166</v>
      </c>
      <c r="D2926" t="s">
        <v>57167</v>
      </c>
      <c r="E2926" t="s">
        <v>57168</v>
      </c>
      <c r="F2926" t="s">
        <v>57169</v>
      </c>
      <c r="G2926">
        <f>-683.294853872598 -1.10784442079535 -460.451029792203</f>
        <v>-1144.8537280855962</v>
      </c>
      <c r="H2926">
        <f>-695.461344046099 -4.22142370552297 -582.463995734903</f>
        <v>-1282.1467634865251</v>
      </c>
      <c r="I2926">
        <f>-684.532789887368 -1.80850389024704 -660.020264916885</f>
        <v>-1346.3615586945002</v>
      </c>
      <c r="J2926" t="s">
        <v>57170</v>
      </c>
      <c r="K2926" t="s">
        <v>57171</v>
      </c>
      <c r="L2926" t="s">
        <v>57172</v>
      </c>
      <c r="M2926" t="s">
        <v>57173</v>
      </c>
      <c r="N2926">
        <f>-686.148035546186 -33.9609749708534 -528.52827681841</f>
        <v>-1248.6372873354494</v>
      </c>
      <c r="O2926">
        <f>-673.048475031015 -186.491983339152 -498.527074976234</f>
        <v>-1358.067533346401</v>
      </c>
      <c r="P2926">
        <f>-666.220330002051 -203.392690597672 -217.019724637549</f>
        <v>-1086.632745237272</v>
      </c>
      <c r="Q2926">
        <f>-471.407106462861 -100.223156943233 -290.179734576939</f>
        <v>-861.80999798303287</v>
      </c>
      <c r="R2926" t="s">
        <v>57174</v>
      </c>
      <c r="S2926" t="s">
        <v>57175</v>
      </c>
      <c r="T2926" t="s">
        <v>57176</v>
      </c>
      <c r="U2926" t="s">
        <v>57177</v>
      </c>
      <c r="V2926">
        <f>-613.089028811344 -77.1138745022474 -94.0538453683477</f>
        <v>-784.25674868193903</v>
      </c>
      <c r="W2926" t="s">
        <v>57178</v>
      </c>
      <c r="X2926" t="s">
        <v>57179</v>
      </c>
      <c r="Y2926" t="s">
        <v>57180</v>
      </c>
    </row>
    <row r="2927" spans="1:25" x14ac:dyDescent="0.3">
      <c r="A2927">
        <v>146300</v>
      </c>
      <c r="B2927" t="s">
        <v>57181</v>
      </c>
      <c r="C2927" t="s">
        <v>57182</v>
      </c>
      <c r="D2927" t="s">
        <v>57183</v>
      </c>
      <c r="E2927" t="s">
        <v>57184</v>
      </c>
      <c r="F2927" t="s">
        <v>57185</v>
      </c>
      <c r="G2927">
        <f>-683.5079031279 -1.5201686335422 -460.47127355814</f>
        <v>-1145.4993453195823</v>
      </c>
      <c r="H2927">
        <f>-695.578073927445 -4.53219933252171 -582.496681945918</f>
        <v>-1282.6069552058848</v>
      </c>
      <c r="I2927">
        <f>-684.530584307014 -1.99752441663895 -660.03209985273</f>
        <v>-1346.560208576383</v>
      </c>
      <c r="J2927" t="s">
        <v>57186</v>
      </c>
      <c r="K2927" t="s">
        <v>57187</v>
      </c>
      <c r="L2927" t="s">
        <v>57188</v>
      </c>
      <c r="M2927" t="s">
        <v>57189</v>
      </c>
      <c r="N2927">
        <f>-686.195857818063 -34.3023730547357 -528.589625306451</f>
        <v>-1249.0878561792497</v>
      </c>
      <c r="O2927">
        <f>-672.536668776688 -186.817224300282 -498.755234455593</f>
        <v>-1358.109127532563</v>
      </c>
      <c r="P2927">
        <f>-665.646491146194 -204.273583263545 -217.283404571248</f>
        <v>-1087.203478980987</v>
      </c>
      <c r="Q2927">
        <f>-471.371466783113 -99.8323997463779 -290.069315450899</f>
        <v>-861.27318198038995</v>
      </c>
      <c r="R2927" t="s">
        <v>57190</v>
      </c>
      <c r="S2927" t="s">
        <v>57191</v>
      </c>
      <c r="T2927" t="s">
        <v>57192</v>
      </c>
      <c r="U2927" t="s">
        <v>57193</v>
      </c>
      <c r="V2927">
        <f>-613.28326756523 -77.5236089427578 -94.0743820078054</f>
        <v>-784.88125851579321</v>
      </c>
      <c r="W2927" t="s">
        <v>57194</v>
      </c>
      <c r="X2927" t="s">
        <v>57195</v>
      </c>
      <c r="Y2927" t="s">
        <v>57196</v>
      </c>
    </row>
    <row r="2928" spans="1:25" x14ac:dyDescent="0.3">
      <c r="A2928">
        <v>146350</v>
      </c>
      <c r="B2928" t="s">
        <v>57197</v>
      </c>
      <c r="C2928" t="s">
        <v>57198</v>
      </c>
      <c r="D2928" t="s">
        <v>57199</v>
      </c>
      <c r="E2928" t="s">
        <v>57200</v>
      </c>
      <c r="F2928" t="s">
        <v>57201</v>
      </c>
      <c r="G2928">
        <f>-683.844597597102 -1.88324107734638 -460.479479973642</f>
        <v>-1146.2073186480904</v>
      </c>
      <c r="H2928">
        <f>-695.855283523283 -4.80333015540168 -582.512876842772</f>
        <v>-1283.1714905214567</v>
      </c>
      <c r="I2928">
        <f>-684.703153949263 -2.16046020317617 -660.029667451843</f>
        <v>-1346.893281604282</v>
      </c>
      <c r="J2928" t="s">
        <v>57202</v>
      </c>
      <c r="K2928" t="s">
        <v>57203</v>
      </c>
      <c r="L2928" t="s">
        <v>57204</v>
      </c>
      <c r="M2928" t="s">
        <v>57205</v>
      </c>
      <c r="N2928">
        <f>-686.393955141876 -34.6001363682312 -528.634569916924</f>
        <v>-1249.6286614270311</v>
      </c>
      <c r="O2928">
        <f>-672.191060786372 -187.102077616372 -498.97209690588</f>
        <v>-1358.2652353086239</v>
      </c>
      <c r="P2928">
        <f>-665.333878853067 -204.701792927274 -217.508321266064</f>
        <v>-1087.5439930464049</v>
      </c>
      <c r="Q2928">
        <f>-471.403508101125 -99.4167596881468 -289.997092067596</f>
        <v>-860.81735985686782</v>
      </c>
      <c r="R2928" t="s">
        <v>57206</v>
      </c>
      <c r="S2928" t="s">
        <v>57207</v>
      </c>
      <c r="T2928" t="s">
        <v>57208</v>
      </c>
      <c r="U2928" t="s">
        <v>57209</v>
      </c>
      <c r="V2928">
        <f>-613.496078542799 -77.8313992671326 -94.0893664083272</f>
        <v>-785.4168442182588</v>
      </c>
      <c r="W2928" t="s">
        <v>57210</v>
      </c>
      <c r="X2928" t="s">
        <v>57211</v>
      </c>
      <c r="Y2928" t="s">
        <v>57212</v>
      </c>
    </row>
    <row r="2929" spans="1:25" x14ac:dyDescent="0.3">
      <c r="A2929">
        <v>146400</v>
      </c>
      <c r="B2929" t="s">
        <v>57213</v>
      </c>
      <c r="C2929" t="s">
        <v>57214</v>
      </c>
      <c r="D2929" t="s">
        <v>57215</v>
      </c>
      <c r="E2929" t="s">
        <v>57216</v>
      </c>
      <c r="F2929" t="s">
        <v>57217</v>
      </c>
      <c r="G2929">
        <f>-684.156114060844 -2.20073918720823 -460.479537704843</f>
        <v>-1146.8363909528953</v>
      </c>
      <c r="H2929">
        <f>-696.109929278057 -5.08765905072869 -582.519396945894</f>
        <v>-1283.7169852746797</v>
      </c>
      <c r="I2929">
        <f>-684.856595783304 -2.36669448459588 -660.018782455732</f>
        <v>-1347.2420727236317</v>
      </c>
      <c r="J2929" t="s">
        <v>57218</v>
      </c>
      <c r="K2929" t="s">
        <v>57219</v>
      </c>
      <c r="L2929" t="s">
        <v>57220</v>
      </c>
      <c r="M2929" t="s">
        <v>57221</v>
      </c>
      <c r="N2929">
        <f>-686.573890128346 -34.8855907208012 -528.654791609969</f>
        <v>-1250.1142724591164</v>
      </c>
      <c r="O2929">
        <f>-671.856127608545 -187.345314469801 -499.064000070017</f>
        <v>-1358.265442148363</v>
      </c>
      <c r="P2929">
        <f>-665.02930392645 -204.915100442197 -217.597695017981</f>
        <v>-1087.542099386628</v>
      </c>
      <c r="Q2929">
        <f>-471.128246386741 -99.4533579883507 -289.907705478066</f>
        <v>-860.48930985315769</v>
      </c>
      <c r="R2929" t="s">
        <v>57222</v>
      </c>
      <c r="S2929" t="s">
        <v>57223</v>
      </c>
      <c r="T2929" t="s">
        <v>57224</v>
      </c>
      <c r="U2929" t="s">
        <v>57225</v>
      </c>
      <c r="V2929">
        <f>-613.608601207941 -78.1131830919035 -94.105863112057</f>
        <v>-785.82764741190147</v>
      </c>
      <c r="W2929" t="s">
        <v>57226</v>
      </c>
      <c r="X2929" t="s">
        <v>57227</v>
      </c>
      <c r="Y2929" t="s">
        <v>57228</v>
      </c>
    </row>
    <row r="2930" spans="1:25" x14ac:dyDescent="0.3">
      <c r="A2930">
        <v>146450</v>
      </c>
      <c r="B2930" t="s">
        <v>57229</v>
      </c>
      <c r="C2930" t="s">
        <v>57230</v>
      </c>
      <c r="D2930" t="s">
        <v>57231</v>
      </c>
      <c r="E2930" t="s">
        <v>57232</v>
      </c>
      <c r="F2930">
        <f>-675.323201688332 -0.586778584456852 -377.096344944669</f>
        <v>-1053.0063252174577</v>
      </c>
      <c r="G2930">
        <f>-684.581328516485 -2.876000635124 -460.446117957429</f>
        <v>-1147.9034471090381</v>
      </c>
      <c r="H2930">
        <f>-696.426441567355 -5.8634018101186 -582.494042514839</f>
        <v>-1284.7838858923126</v>
      </c>
      <c r="I2930">
        <f>-685.018568232027 -3.074596147384 -659.968472716743</f>
        <v>-1348.0616370961538</v>
      </c>
      <c r="J2930" t="s">
        <v>57233</v>
      </c>
      <c r="K2930" t="s">
        <v>57234</v>
      </c>
      <c r="L2930" t="s">
        <v>57235</v>
      </c>
      <c r="M2930" t="s">
        <v>57236</v>
      </c>
      <c r="N2930">
        <f>-686.773699921424 -35.5939636108101 -528.613167091756</f>
        <v>-1250.9808306239902</v>
      </c>
      <c r="O2930">
        <f>-671.206967021121 -187.964054522477 -498.956728250769</f>
        <v>-1358.127749794367</v>
      </c>
      <c r="P2930">
        <f>-664.348366675208 -205.464522032562 -217.486872350366</f>
        <v>-1087.299761058136</v>
      </c>
      <c r="Q2930">
        <f>-470.258607147118 -100.208414963921 -289.59001545509</f>
        <v>-860.057037566129</v>
      </c>
      <c r="R2930" t="s">
        <v>57237</v>
      </c>
      <c r="S2930" t="s">
        <v>57238</v>
      </c>
      <c r="T2930" t="s">
        <v>57239</v>
      </c>
      <c r="U2930" t="s">
        <v>57240</v>
      </c>
      <c r="V2930">
        <f>-613.571914361312 -78.5905510369989 -94.1413093717031</f>
        <v>-786.303774770014</v>
      </c>
      <c r="W2930" t="s">
        <v>57241</v>
      </c>
      <c r="X2930" t="s">
        <v>57242</v>
      </c>
      <c r="Y2930" t="s">
        <v>57243</v>
      </c>
    </row>
    <row r="2931" spans="1:25" x14ac:dyDescent="0.3">
      <c r="A2931">
        <v>146500</v>
      </c>
      <c r="B2931" t="s">
        <v>57244</v>
      </c>
      <c r="C2931" t="s">
        <v>57245</v>
      </c>
      <c r="D2931" t="s">
        <v>57246</v>
      </c>
      <c r="E2931" t="s">
        <v>57247</v>
      </c>
      <c r="F2931">
        <f>-675.553445273534 -1.0178277381217 -377.094149078202</f>
        <v>-1053.6654220898577</v>
      </c>
      <c r="G2931">
        <f>-684.768161696374 -3.3809515894186 -460.446689381126</f>
        <v>-1148.5958026669186</v>
      </c>
      <c r="H2931">
        <f>-696.528507400792 -6.48930408455635 -582.499754839865</f>
        <v>-1285.5175663252135</v>
      </c>
      <c r="I2931">
        <f>-685.021473429192 -3.7014864932662 -659.959543027563</f>
        <v>-1348.6825029500212</v>
      </c>
      <c r="J2931" t="s">
        <v>57248</v>
      </c>
      <c r="K2931" t="s">
        <v>57249</v>
      </c>
      <c r="L2931" t="s">
        <v>57250</v>
      </c>
      <c r="M2931" t="s">
        <v>57251</v>
      </c>
      <c r="N2931">
        <f>-686.814705912155 -36.1522817334369 -528.592484130904</f>
        <v>-1251.5594717764959</v>
      </c>
      <c r="O2931">
        <f>-670.848569292212 -188.454297601787 -498.782075858809</f>
        <v>-1358.0849427528078</v>
      </c>
      <c r="P2931">
        <f>-663.950733807814 -205.349767122105 -217.276188911616</f>
        <v>-1086.576689841535</v>
      </c>
      <c r="Q2931">
        <f>-469.153180033562 -101.511770319495 -289.526692053598</f>
        <v>-860.19164240665509</v>
      </c>
      <c r="R2931" t="s">
        <v>57252</v>
      </c>
      <c r="S2931" t="s">
        <v>57253</v>
      </c>
      <c r="T2931" t="s">
        <v>57254</v>
      </c>
      <c r="U2931" t="s">
        <v>57255</v>
      </c>
      <c r="V2931">
        <f>-613.35511948355 -78.8448104002384 -94.153551813253</f>
        <v>-786.35348169704139</v>
      </c>
      <c r="W2931" t="s">
        <v>57256</v>
      </c>
      <c r="X2931" t="s">
        <v>57257</v>
      </c>
      <c r="Y2931" t="s">
        <v>57258</v>
      </c>
    </row>
    <row r="2932" spans="1:25" x14ac:dyDescent="0.3">
      <c r="A2932">
        <v>146550</v>
      </c>
      <c r="B2932" t="s">
        <v>57259</v>
      </c>
      <c r="C2932" t="s">
        <v>57260</v>
      </c>
      <c r="D2932" t="s">
        <v>57261</v>
      </c>
      <c r="E2932" t="s">
        <v>57262</v>
      </c>
      <c r="F2932">
        <f>-675.487935841584 -1.210115611741 -377.083924374849</f>
        <v>-1053.7819758281739</v>
      </c>
      <c r="G2932">
        <f>-684.653867378103 -3.59594638318686 -460.441158270187</f>
        <v>-1148.6909720314768</v>
      </c>
      <c r="H2932">
        <f>-696.331297919573 -6.74174012119988 -582.501216394365</f>
        <v>-1285.5742544351378</v>
      </c>
      <c r="I2932">
        <f>-684.799036792102 -3.96698427267438 -659.957779599521</f>
        <v>-1348.7238006642974</v>
      </c>
      <c r="J2932" t="s">
        <v>57263</v>
      </c>
      <c r="K2932" t="s">
        <v>57264</v>
      </c>
      <c r="L2932" t="s">
        <v>57265</v>
      </c>
      <c r="M2932" t="s">
        <v>57266</v>
      </c>
      <c r="N2932">
        <f>-686.633037451234 -36.3851420830206 -528.580318420699</f>
        <v>-1251.5984979549535</v>
      </c>
      <c r="O2932">
        <f>-670.61228368182 -188.656042827093 -498.6456319718</f>
        <v>-1357.9139584807131</v>
      </c>
      <c r="P2932">
        <f>-663.722962072188 -205.09586048759 -217.112572655042</f>
        <v>-1085.93139521482</v>
      </c>
      <c r="Q2932">
        <f>-468.326156435004 -102.431655161159 -289.422071216163</f>
        <v>-860.17988281232601</v>
      </c>
      <c r="R2932" t="s">
        <v>57267</v>
      </c>
      <c r="S2932" t="s">
        <v>57268</v>
      </c>
      <c r="T2932" t="s">
        <v>57269</v>
      </c>
      <c r="U2932" t="s">
        <v>57270</v>
      </c>
      <c r="V2932">
        <f>-613.251841797143 -78.969137634241 -94.1463058953736</f>
        <v>-786.36728532675761</v>
      </c>
      <c r="W2932" t="s">
        <v>57271</v>
      </c>
      <c r="X2932" t="s">
        <v>57272</v>
      </c>
      <c r="Y2932" t="s">
        <v>57273</v>
      </c>
    </row>
    <row r="2933" spans="1:25" x14ac:dyDescent="0.3">
      <c r="A2933">
        <v>146600</v>
      </c>
      <c r="B2933" t="s">
        <v>57274</v>
      </c>
      <c r="C2933" t="s">
        <v>57275</v>
      </c>
      <c r="D2933" t="s">
        <v>57276</v>
      </c>
      <c r="E2933" t="s">
        <v>57277</v>
      </c>
      <c r="F2933">
        <f>-675.152024024938 -1.51565824145996 -377.098832757429</f>
        <v>-1053.766515023827</v>
      </c>
      <c r="G2933">
        <f>-684.153667594748 -3.99798603218596 -460.47118096759</f>
        <v>-1148.622834594524</v>
      </c>
      <c r="H2933">
        <f>-695.55398097951 -7.31263927894906 -582.553050112976</f>
        <v>-1285.4196703714351</v>
      </c>
      <c r="I2933">
        <f>-684.023474737403 -4.63108554341193 -660.013141424602</f>
        <v>-1348.6677017054171</v>
      </c>
      <c r="J2933" t="s">
        <v>57278</v>
      </c>
      <c r="K2933" t="s">
        <v>57279</v>
      </c>
      <c r="L2933" t="s">
        <v>57280</v>
      </c>
      <c r="M2933" t="s">
        <v>57281</v>
      </c>
      <c r="N2933">
        <f>-685.966898283521 -36.8797069524578 -528.57038421408</f>
        <v>-1251.4169894500587</v>
      </c>
      <c r="O2933">
        <f>-670.0878823357 -189.105182972762 -498.381504817543</f>
        <v>-1357.574570126005</v>
      </c>
      <c r="P2933">
        <f>-663.388846320476 -205.066235563482 -216.816341089502</f>
        <v>-1085.2714229734599</v>
      </c>
      <c r="Q2933">
        <f>-467.083741222783 -104.702117160675 -289.890840157952</f>
        <v>-861.67669854140991</v>
      </c>
      <c r="R2933" t="s">
        <v>57282</v>
      </c>
      <c r="S2933" t="s">
        <v>57283</v>
      </c>
      <c r="T2933" t="s">
        <v>57284</v>
      </c>
      <c r="U2933" t="s">
        <v>57285</v>
      </c>
      <c r="V2933">
        <f>-613.152097834179 -79.1559664547103 -94.1463910140639</f>
        <v>-786.45445530295319</v>
      </c>
      <c r="W2933" t="s">
        <v>57286</v>
      </c>
      <c r="X2933" t="s">
        <v>57287</v>
      </c>
      <c r="Y2933" t="s">
        <v>57288</v>
      </c>
    </row>
    <row r="2934" spans="1:25" x14ac:dyDescent="0.3">
      <c r="A2934">
        <v>146650</v>
      </c>
      <c r="B2934" t="s">
        <v>57289</v>
      </c>
      <c r="C2934" t="s">
        <v>57290</v>
      </c>
      <c r="D2934" t="s">
        <v>57291</v>
      </c>
      <c r="E2934" t="s">
        <v>57292</v>
      </c>
      <c r="F2934">
        <f>-675.069683958364 -1.62445695838028 -377.09734337053</f>
        <v>-1053.7914842872742</v>
      </c>
      <c r="G2934">
        <f>-684.021030695109 -4.14825690235921 -460.473857722388</f>
        <v>-1148.6431453198561</v>
      </c>
      <c r="H2934">
        <f>-695.341270043199 -7.53689219893863 -582.560995128588</f>
        <v>-1285.4391573707258</v>
      </c>
      <c r="I2934">
        <f>-683.835951440633 -4.91305249777656 -660.026861351316</f>
        <v>-1348.7758652897255</v>
      </c>
      <c r="J2934" t="s">
        <v>57293</v>
      </c>
      <c r="K2934" t="s">
        <v>57294</v>
      </c>
      <c r="L2934" t="s">
        <v>57295</v>
      </c>
      <c r="M2934" t="s">
        <v>57296</v>
      </c>
      <c r="N2934">
        <f>-685.796036218965 -37.0721649072159 -528.553695604493</f>
        <v>-1251.4218967306738</v>
      </c>
      <c r="O2934">
        <f>-670.084813760971 -189.299788925031 -498.238796571096</f>
        <v>-1357.6233992570978</v>
      </c>
      <c r="P2934">
        <f>-663.437219487432 -204.89100927104 -216.651540283681</f>
        <v>-1084.9797690421531</v>
      </c>
      <c r="Q2934">
        <f>-466.831855378734 -105.742475700379 -290.573364818603</f>
        <v>-863.14769589771595</v>
      </c>
      <c r="R2934" t="s">
        <v>57297</v>
      </c>
      <c r="S2934" t="s">
        <v>57298</v>
      </c>
      <c r="T2934" t="s">
        <v>57299</v>
      </c>
      <c r="U2934" t="s">
        <v>57300</v>
      </c>
      <c r="V2934">
        <f>-613.218659512678 -79.245592838535 -94.1318583513854</f>
        <v>-786.59611070259837</v>
      </c>
      <c r="W2934" t="s">
        <v>57301</v>
      </c>
      <c r="X2934" t="s">
        <v>57302</v>
      </c>
      <c r="Y2934" t="s">
        <v>57303</v>
      </c>
    </row>
    <row r="2935" spans="1:25" x14ac:dyDescent="0.3">
      <c r="A2935">
        <v>146700</v>
      </c>
      <c r="B2935" t="s">
        <v>57304</v>
      </c>
      <c r="C2935" t="s">
        <v>57305</v>
      </c>
      <c r="D2935" t="s">
        <v>57306</v>
      </c>
      <c r="E2935" t="s">
        <v>57307</v>
      </c>
      <c r="F2935">
        <f>-674.804329241694 -1.96609415241278 -377.108294259511</f>
        <v>-1053.8787176536177</v>
      </c>
      <c r="G2935">
        <f>-683.569431266222 -4.54852352697503 -460.502714211061</f>
        <v>-1148.6206690042579</v>
      </c>
      <c r="H2935">
        <f>-694.576730416976 -8.04082815862057 -582.615605450598</f>
        <v>-1285.2331640261946</v>
      </c>
      <c r="I2935">
        <f>-683.040271496074 -5.516161895501 -660.080138750877</f>
        <v>-1348.636572142452</v>
      </c>
      <c r="J2935" t="s">
        <v>57308</v>
      </c>
      <c r="K2935" t="s">
        <v>57309</v>
      </c>
      <c r="L2935" t="s">
        <v>57310</v>
      </c>
      <c r="M2935" t="s">
        <v>57311</v>
      </c>
      <c r="N2935">
        <f>-685.209229671946 -37.5359512514358 -528.555180618704</f>
        <v>-1251.3003615420857</v>
      </c>
      <c r="O2935">
        <f>-670.043982042527 -189.762967995049 -498.013755089085</f>
        <v>-1357.8207051266609</v>
      </c>
      <c r="P2935">
        <f>-662.831477247509 -204.746723512501 -216.407552383441</f>
        <v>-1083.9857531434511</v>
      </c>
      <c r="Q2935">
        <f>-466.021476999204 -107.630720217966 -292.452447726671</f>
        <v>-866.10464494384109</v>
      </c>
      <c r="R2935" t="s">
        <v>57312</v>
      </c>
      <c r="S2935" t="s">
        <v>57313</v>
      </c>
      <c r="T2935" t="s">
        <v>57314</v>
      </c>
      <c r="U2935" t="s">
        <v>57315</v>
      </c>
      <c r="V2935">
        <f>-613.306317640641 -79.6311289264784 -94.1195057542405</f>
        <v>-787.05695232135997</v>
      </c>
      <c r="W2935" t="s">
        <v>57316</v>
      </c>
      <c r="X2935" t="s">
        <v>57317</v>
      </c>
      <c r="Y2935" t="s">
        <v>57318</v>
      </c>
    </row>
    <row r="2936" spans="1:25" x14ac:dyDescent="0.3">
      <c r="A2936">
        <v>146750</v>
      </c>
      <c r="B2936" t="s">
        <v>57319</v>
      </c>
      <c r="C2936" t="s">
        <v>57320</v>
      </c>
      <c r="D2936" t="s">
        <v>57321</v>
      </c>
      <c r="E2936" t="s">
        <v>57322</v>
      </c>
      <c r="F2936">
        <f>-674.685350684012 -2.22371199077452 -377.131576326609</f>
        <v>-1054.0406390013954</v>
      </c>
      <c r="G2936">
        <f>-683.36897024591 -4.8622565582084 -460.532849552675</f>
        <v>-1148.7640763567933</v>
      </c>
      <c r="H2936">
        <f>-694.243041792391 -8.45238219698695 -582.654850213193</f>
        <v>-1285.3502742025707</v>
      </c>
      <c r="I2936">
        <f>-682.670117974955 -5.98190161670686 -660.115791641683</f>
        <v>-1348.7678112333449</v>
      </c>
      <c r="J2936" t="s">
        <v>57323</v>
      </c>
      <c r="K2936" t="s">
        <v>57324</v>
      </c>
      <c r="L2936" t="s">
        <v>57325</v>
      </c>
      <c r="M2936" t="s">
        <v>57326</v>
      </c>
      <c r="N2936">
        <f>-684.966230679964 -37.9087769320645 -528.557746818638</f>
        <v>-1251.4327544306666</v>
      </c>
      <c r="O2936">
        <f>-670.046714132309 -190.147337018096 -497.909952472906</f>
        <v>-1358.104003623311</v>
      </c>
      <c r="P2936">
        <f>-662.346201478176 -204.998188349048 -216.309751259675</f>
        <v>-1083.654141086899</v>
      </c>
      <c r="Q2936">
        <f>-465.611097379608 -108.726760549817 -293.611870141106</f>
        <v>-867.94972807053102</v>
      </c>
      <c r="R2936" t="s">
        <v>57327</v>
      </c>
      <c r="S2936" t="s">
        <v>57328</v>
      </c>
      <c r="T2936" t="s">
        <v>57329</v>
      </c>
      <c r="U2936" t="s">
        <v>57330</v>
      </c>
      <c r="V2936">
        <f>-613.441061130207 -79.8589319428261 -94.1088086748082</f>
        <v>-787.40880174784127</v>
      </c>
      <c r="W2936" t="s">
        <v>57331</v>
      </c>
      <c r="X2936" t="s">
        <v>57332</v>
      </c>
      <c r="Y2936" t="s">
        <v>57333</v>
      </c>
    </row>
    <row r="2937" spans="1:25" x14ac:dyDescent="0.3">
      <c r="A2937">
        <v>146800</v>
      </c>
      <c r="B2937" t="s">
        <v>57334</v>
      </c>
      <c r="C2937" t="s">
        <v>57335</v>
      </c>
      <c r="D2937" t="s">
        <v>57336</v>
      </c>
      <c r="E2937" t="s">
        <v>57337</v>
      </c>
      <c r="F2937">
        <f>-674.518272576828 -2.71670309984529 -377.158124000074</f>
        <v>-1054.3930996767474</v>
      </c>
      <c r="G2937">
        <f>-683.095774555975 -5.46080402882126 -460.566881794104</f>
        <v>-1149.1234603789003</v>
      </c>
      <c r="H2937">
        <f>-693.79755117017 -9.23543067313653 -582.698584927673</f>
        <v>-1285.7315667709795</v>
      </c>
      <c r="I2937">
        <f>-682.101826278209 -6.8421309600933 -660.143239457475</f>
        <v>-1349.0871966957775</v>
      </c>
      <c r="J2937" t="s">
        <v>57338</v>
      </c>
      <c r="K2937" t="s">
        <v>57339</v>
      </c>
      <c r="L2937" t="s">
        <v>57340</v>
      </c>
      <c r="M2937" t="s">
        <v>57341</v>
      </c>
      <c r="N2937">
        <f>-684.640184175253 -38.6162420244489 -528.539895154705</f>
        <v>-1251.7963213544069</v>
      </c>
      <c r="O2937">
        <f>-670.124088958213 -190.841516033668 -497.6551036332</f>
        <v>-1358.6207086250809</v>
      </c>
      <c r="P2937">
        <f>-661.053256204455 -205.091766110797 -216.064542358744</f>
        <v>-1082.2095646739961</v>
      </c>
      <c r="Q2937">
        <f>-464.595671530913 -110.762988417299 -296.407809478892</f>
        <v>-871.76646942710397</v>
      </c>
      <c r="R2937" t="s">
        <v>57342</v>
      </c>
      <c r="S2937" t="s">
        <v>57343</v>
      </c>
      <c r="T2937" t="s">
        <v>57344</v>
      </c>
      <c r="U2937" t="s">
        <v>57345</v>
      </c>
      <c r="V2937">
        <f>-613.621509229766 -80.3360721190743 -94.1013629068528</f>
        <v>-788.05894425569318</v>
      </c>
      <c r="W2937" t="s">
        <v>57346</v>
      </c>
      <c r="X2937" t="s">
        <v>57347</v>
      </c>
      <c r="Y2937" t="s">
        <v>57348</v>
      </c>
    </row>
    <row r="2938" spans="1:25" x14ac:dyDescent="0.3">
      <c r="A2938">
        <v>146850</v>
      </c>
      <c r="B2938" t="s">
        <v>57349</v>
      </c>
      <c r="C2938" t="s">
        <v>57350</v>
      </c>
      <c r="D2938" t="s">
        <v>57351</v>
      </c>
      <c r="E2938" t="s">
        <v>57352</v>
      </c>
      <c r="F2938">
        <f>-674.46842981993 -3.00080135562598 -377.189217968756</f>
        <v>-1054.6584491443118</v>
      </c>
      <c r="G2938">
        <f>-683.02979764037 -5.79245476515212 -460.598111756302</f>
        <v>-1149.4203641618242</v>
      </c>
      <c r="H2938">
        <f>-693.709240938652 -9.64661949944116 -582.729264476878</f>
        <v>-1286.0851249149712</v>
      </c>
      <c r="I2938">
        <f>-681.961267723425 -7.27549140599876 -660.166772934454</f>
        <v>-1349.4035320638777</v>
      </c>
      <c r="J2938" t="s">
        <v>57353</v>
      </c>
      <c r="K2938" t="s">
        <v>57354</v>
      </c>
      <c r="L2938" t="s">
        <v>57355</v>
      </c>
      <c r="M2938" t="s">
        <v>57356</v>
      </c>
      <c r="N2938">
        <f>-684.57386003696 -38.9938262017106 -528.548756391481</f>
        <v>-1252.1164426301516</v>
      </c>
      <c r="O2938">
        <f>-670.206986089662 -191.198458434511 -497.471950903729</f>
        <v>-1358.877395427902</v>
      </c>
      <c r="P2938">
        <f>-660.376541997242 -204.974548372134 -215.883342003136</f>
        <v>-1081.2344323725119</v>
      </c>
      <c r="Q2938">
        <f>-463.998441776329 -111.955789184784 -297.930000465845</f>
        <v>-873.88423142695797</v>
      </c>
      <c r="R2938" t="s">
        <v>57357</v>
      </c>
      <c r="S2938" t="s">
        <v>57358</v>
      </c>
      <c r="T2938" t="s">
        <v>57359</v>
      </c>
      <c r="U2938" t="s">
        <v>57360</v>
      </c>
      <c r="V2938">
        <f>-613.704264685482 -80.6240465364569 -94.1092184942191</f>
        <v>-788.43752971615811</v>
      </c>
      <c r="W2938" t="s">
        <v>57361</v>
      </c>
      <c r="X2938" t="s">
        <v>57362</v>
      </c>
      <c r="Y2938" t="s">
        <v>57363</v>
      </c>
    </row>
    <row r="2939" spans="1:25" x14ac:dyDescent="0.3">
      <c r="A2939">
        <v>146900</v>
      </c>
      <c r="B2939" t="s">
        <v>57364</v>
      </c>
      <c r="C2939" t="s">
        <v>57365</v>
      </c>
      <c r="D2939" t="s">
        <v>57366</v>
      </c>
      <c r="E2939">
        <f>-664.284845859496 -0.455281453206226 -294.034187038067</f>
        <v>-958.77431435076926</v>
      </c>
      <c r="F2939">
        <f>-674.420931439937 -3.55832106352113 -377.255341154836</f>
        <v>-1055.2345936582942</v>
      </c>
      <c r="G2939">
        <f>-682.864865626377 -6.46716354993896 -460.672197484455</f>
        <v>-1150.0042266607709</v>
      </c>
      <c r="H2939">
        <f>-693.350273935908 -10.5157126873989 -582.813937597464</f>
        <v>-1286.679924220771</v>
      </c>
      <c r="I2939">
        <f>-681.488682987139 -8.14898275981091 -660.234171430735</f>
        <v>-1349.8718371776849</v>
      </c>
      <c r="J2939" t="s">
        <v>57367</v>
      </c>
      <c r="K2939" t="s">
        <v>57368</v>
      </c>
      <c r="L2939" t="s">
        <v>57369</v>
      </c>
      <c r="M2939" t="s">
        <v>57370</v>
      </c>
      <c r="N2939">
        <f>-684.261428862643 -39.7710397077774 -528.575888188926</f>
        <v>-1252.6083567593464</v>
      </c>
      <c r="O2939">
        <f>-669.885839431885 -191.922458886813 -497.293467044202</f>
        <v>-1359.1017653629001</v>
      </c>
      <c r="P2939">
        <f>-658.909297121372 -205.383609805703 -215.731945395127</f>
        <v>-1080.0248523222022</v>
      </c>
      <c r="Q2939">
        <f>-462.935482655306 -114.484859612728 -301.056210431283</f>
        <v>-878.47655269931693</v>
      </c>
      <c r="R2939" t="s">
        <v>57371</v>
      </c>
      <c r="S2939" t="s">
        <v>57372</v>
      </c>
      <c r="T2939" t="s">
        <v>57373</v>
      </c>
      <c r="U2939" t="s">
        <v>57374</v>
      </c>
      <c r="V2939">
        <f>-613.950100828974 -80.9791093001256 -94.1159080123379</f>
        <v>-789.04511814143746</v>
      </c>
      <c r="W2939" t="s">
        <v>57375</v>
      </c>
      <c r="X2939" t="s">
        <v>57376</v>
      </c>
      <c r="Y2939" t="s">
        <v>57377</v>
      </c>
    </row>
    <row r="2940" spans="1:25" x14ac:dyDescent="0.3">
      <c r="A2940">
        <v>146950</v>
      </c>
      <c r="B2940" t="s">
        <v>57378</v>
      </c>
      <c r="C2940" t="s">
        <v>57379</v>
      </c>
      <c r="D2940" t="s">
        <v>57380</v>
      </c>
      <c r="E2940">
        <f>-664.426690146148 -0.652492095143998 -294.038955858485</f>
        <v>-959.11813809977696</v>
      </c>
      <c r="F2940">
        <f>-674.499412072621 -3.81351050290868 -377.265551552051</f>
        <v>-1055.5784741275806</v>
      </c>
      <c r="G2940">
        <f>-682.862749431844 -6.79497144264155 -460.687972060797</f>
        <v>-1150.3456929352826</v>
      </c>
      <c r="H2940">
        <f>-693.211592452587 -10.9660844788104 -582.837234562774</f>
        <v>-1287.0149114941714</v>
      </c>
      <c r="I2940">
        <f>-681.287791549539 -8.6021069855658 -660.248212125211</f>
        <v>-1350.1381106603158</v>
      </c>
      <c r="J2940" t="s">
        <v>57381</v>
      </c>
      <c r="K2940" t="s">
        <v>57382</v>
      </c>
      <c r="L2940" t="s">
        <v>57383</v>
      </c>
      <c r="M2940" t="s">
        <v>57384</v>
      </c>
      <c r="N2940">
        <f>-684.155269631115 -40.162909836874 -528.562333828453</f>
        <v>-1252.8805132964419</v>
      </c>
      <c r="O2940">
        <f>-669.69314324711 -192.292619866284 -497.169960170856</f>
        <v>-1359.1557232842499</v>
      </c>
      <c r="P2940">
        <f>-658.070183305771 -206.028885462902 -215.647646400781</f>
        <v>-1079.7467151694541</v>
      </c>
      <c r="Q2940">
        <f>-462.548016134092 -115.950424868001 -302.85703686411</f>
        <v>-881.35547786620293</v>
      </c>
      <c r="R2940" t="s">
        <v>57385</v>
      </c>
      <c r="S2940" t="s">
        <v>57386</v>
      </c>
      <c r="T2940" t="s">
        <v>57387</v>
      </c>
      <c r="U2940" t="s">
        <v>57388</v>
      </c>
      <c r="V2940">
        <f>-614.127021027833 -81.1280209267193 -94.1169648441859</f>
        <v>-789.3720067987382</v>
      </c>
      <c r="W2940" t="s">
        <v>57389</v>
      </c>
      <c r="X2940" t="s">
        <v>57390</v>
      </c>
      <c r="Y2940" t="s">
        <v>57391</v>
      </c>
    </row>
    <row r="2941" spans="1:25" x14ac:dyDescent="0.3">
      <c r="A2941">
        <v>147000</v>
      </c>
      <c r="B2941" t="s">
        <v>57392</v>
      </c>
      <c r="C2941" t="s">
        <v>57393</v>
      </c>
      <c r="D2941" t="s">
        <v>57394</v>
      </c>
      <c r="E2941">
        <f>-664.686381528175 -0.961392381633459 -294.113854348999</f>
        <v>-959.76162825880749</v>
      </c>
      <c r="F2941">
        <f>-674.593194928027 -4.16741600033492 -377.358832910905</f>
        <v>-1056.1194438392668</v>
      </c>
      <c r="G2941">
        <f>-682.74727620295 -7.19726845555215 -460.800213023783</f>
        <v>-1150.7447576822851</v>
      </c>
      <c r="H2941">
        <f>-692.742614545331 -11.4427959451068 -582.976261328318</f>
        <v>-1287.1616718187556</v>
      </c>
      <c r="I2941">
        <f>-680.754073689874 -9.02084391082053 -660.37527716315</f>
        <v>-1350.1501947638444</v>
      </c>
      <c r="J2941" t="s">
        <v>57395</v>
      </c>
      <c r="K2941" t="s">
        <v>57396</v>
      </c>
      <c r="L2941" t="s">
        <v>57397</v>
      </c>
      <c r="M2941" t="s">
        <v>57398</v>
      </c>
      <c r="N2941">
        <f>-683.785254108222 -40.5981218185011 -528.662505711668</f>
        <v>-1253.0458816383912</v>
      </c>
      <c r="O2941">
        <f>-669.328314712202 -192.693561425118 -497.134066707609</f>
        <v>-1359.1559428449291</v>
      </c>
      <c r="P2941">
        <f>-655.53036342143 -206.658569722049 -215.721388562465</f>
        <v>-1077.9103217059442</v>
      </c>
      <c r="Q2941">
        <f>-461.64028015338 -117.551636480033 -307.455285087733</f>
        <v>-886.64720172114608</v>
      </c>
      <c r="R2941" t="s">
        <v>57399</v>
      </c>
      <c r="S2941" t="s">
        <v>57400</v>
      </c>
      <c r="T2941" t="s">
        <v>57401</v>
      </c>
      <c r="U2941" t="s">
        <v>57402</v>
      </c>
      <c r="V2941">
        <f>-614.435987542651 -81.3788621151239 -94.1304072200486</f>
        <v>-789.94525687782345</v>
      </c>
      <c r="W2941" t="s">
        <v>57403</v>
      </c>
      <c r="X2941" t="s">
        <v>57404</v>
      </c>
      <c r="Y2941" t="s">
        <v>57405</v>
      </c>
    </row>
    <row r="2942" spans="1:25" x14ac:dyDescent="0.3">
      <c r="A2942">
        <v>147050</v>
      </c>
      <c r="B2942" t="s">
        <v>57406</v>
      </c>
      <c r="C2942" t="s">
        <v>57407</v>
      </c>
      <c r="D2942" t="s">
        <v>57408</v>
      </c>
      <c r="E2942">
        <f>-664.820204695842 -1.12704226200844 -294.190416806</f>
        <v>-960.13766376385047</v>
      </c>
      <c r="F2942">
        <f>-674.641261391973 -4.37712471877512 -377.443791947635</f>
        <v>-1056.4621780583832</v>
      </c>
      <c r="G2942">
        <f>-682.690874631021 -7.46189749317659 -460.893346402047</f>
        <v>-1151.0461185262445</v>
      </c>
      <c r="H2942">
        <f>-692.51293123121 -11.7991665313059 -583.080174312532</f>
        <v>-1287.3922720750479</v>
      </c>
      <c r="I2942">
        <f>-680.503166270871 -9.38006180358593 -660.476196826375</f>
        <v>-1350.359424900832</v>
      </c>
      <c r="J2942" t="s">
        <v>57409</v>
      </c>
      <c r="K2942" t="s">
        <v>57410</v>
      </c>
      <c r="L2942" t="s">
        <v>57411</v>
      </c>
      <c r="M2942" t="s">
        <v>57412</v>
      </c>
      <c r="N2942">
        <f>-683.598901476444 -40.9087762217716 -528.734864451796</f>
        <v>-1253.2425421500116</v>
      </c>
      <c r="O2942">
        <f>-669.02914799067 -192.974307880717 -497.12850310707</f>
        <v>-1359.1319589784571</v>
      </c>
      <c r="P2942">
        <f>-653.84611707218 -207.020649715272 -215.791072298387</f>
        <v>-1076.657839085839</v>
      </c>
      <c r="Q2942">
        <f>-461.214986195984 -118.087773286761 -310.304122996004</f>
        <v>-889.60688247874907</v>
      </c>
      <c r="R2942" t="s">
        <v>57413</v>
      </c>
      <c r="S2942" t="s">
        <v>57414</v>
      </c>
      <c r="T2942" t="s">
        <v>57415</v>
      </c>
      <c r="U2942" t="s">
        <v>57416</v>
      </c>
      <c r="V2942">
        <f>-614.653506770627 -81.4749232020365 -94.1682954200293</f>
        <v>-790.29672539269279</v>
      </c>
      <c r="W2942" t="s">
        <v>57417</v>
      </c>
      <c r="X2942" t="s">
        <v>57418</v>
      </c>
      <c r="Y2942" t="s">
        <v>57419</v>
      </c>
    </row>
    <row r="2943" spans="1:25" x14ac:dyDescent="0.3">
      <c r="A2943">
        <v>147100</v>
      </c>
      <c r="B2943" t="s">
        <v>57420</v>
      </c>
      <c r="C2943" t="s">
        <v>57421</v>
      </c>
      <c r="D2943" t="s">
        <v>57422</v>
      </c>
      <c r="E2943">
        <f>-665.208166374897 -1.48214348625538 -294.26166024629</f>
        <v>-960.95197010744232</v>
      </c>
      <c r="F2943">
        <f>-674.885201017248 -4.80970783124712 -377.52880613239</f>
        <v>-1057.2237149808852</v>
      </c>
      <c r="G2943">
        <f>-682.759701960316 -7.99587404154818 -460.991167793843</f>
        <v>-1151.7467437957071</v>
      </c>
      <c r="H2943">
        <f>-692.291875162431 -12.5072533460443 -583.194870837232</f>
        <v>-1287.9939993457074</v>
      </c>
      <c r="I2943">
        <f>-680.300240952111 -10.106723097736 -660.594082714306</f>
        <v>-1351.001046764153</v>
      </c>
      <c r="J2943" t="s">
        <v>57423</v>
      </c>
      <c r="K2943" t="s">
        <v>57424</v>
      </c>
      <c r="L2943" t="s">
        <v>57425</v>
      </c>
      <c r="M2943" t="s">
        <v>57426</v>
      </c>
      <c r="N2943">
        <f>-683.417580294111 -41.5261864044173 -528.794549368039</f>
        <v>-1253.7383160665672</v>
      </c>
      <c r="O2943">
        <f>-668.589041793954 -193.528341247418 -496.985449477246</f>
        <v>-1359.102832518618</v>
      </c>
      <c r="P2943">
        <f>-649.944838694761 -207.549316860195 -215.854862294566</f>
        <v>-1073.3490178495219</v>
      </c>
      <c r="Q2943">
        <f>-460.780342524036 -118.41509516651 -316.950888412597</f>
        <v>-896.146326103143</v>
      </c>
      <c r="R2943" t="s">
        <v>57427</v>
      </c>
      <c r="S2943" t="s">
        <v>57428</v>
      </c>
      <c r="T2943" t="s">
        <v>57429</v>
      </c>
      <c r="U2943" t="s">
        <v>57430</v>
      </c>
      <c r="V2943">
        <f>-615.233820354188 -81.8418972452509 -94.2208594658185</f>
        <v>-791.29657706525745</v>
      </c>
      <c r="W2943" t="s">
        <v>57431</v>
      </c>
      <c r="X2943" t="s">
        <v>57432</v>
      </c>
      <c r="Y2943" t="s">
        <v>57433</v>
      </c>
    </row>
    <row r="2944" spans="1:25" x14ac:dyDescent="0.3">
      <c r="A2944">
        <v>147150</v>
      </c>
      <c r="B2944" t="s">
        <v>57434</v>
      </c>
      <c r="C2944" t="s">
        <v>57435</v>
      </c>
      <c r="D2944" t="s">
        <v>57436</v>
      </c>
      <c r="E2944">
        <f>-665.412219661534 -1.70174316970338 -294.302928916254</f>
        <v>-961.41689174749138</v>
      </c>
      <c r="F2944">
        <f>-674.985271152524 -5.06773873843963 -377.580589634548</f>
        <v>-1057.6335995255117</v>
      </c>
      <c r="G2944">
        <f>-682.735265955074 -8.30180419923477 -461.052730305282</f>
        <v>-1152.0898004595908</v>
      </c>
      <c r="H2944">
        <f>-692.063058857134 -12.8935354029177 -583.26906638638</f>
        <v>-1288.2256606464316</v>
      </c>
      <c r="I2944">
        <f>-680.092062311785 -10.4988816550019 -660.671812195694</f>
        <v>-1351.2627561624809</v>
      </c>
      <c r="J2944" t="s">
        <v>57437</v>
      </c>
      <c r="K2944" t="s">
        <v>57438</v>
      </c>
      <c r="L2944" t="s">
        <v>57439</v>
      </c>
      <c r="M2944" t="s">
        <v>57440</v>
      </c>
      <c r="N2944">
        <f>-683.228807715962 -41.8690654329994 -528.839203956797</f>
        <v>-1253.9370771057584</v>
      </c>
      <c r="O2944">
        <f>-668.265932392459 -193.831249608048 -496.908583313157</f>
        <v>-1359.0057653136641</v>
      </c>
      <c r="P2944">
        <f>-647.60280191951 -207.612437898926 -215.907178453149</f>
        <v>-1071.122418271585</v>
      </c>
      <c r="Q2944">
        <f>-460.646758049623 -118.457798126587 -321.01386053606</f>
        <v>-900.11841671226989</v>
      </c>
      <c r="R2944" t="s">
        <v>57441</v>
      </c>
      <c r="S2944" t="s">
        <v>57442</v>
      </c>
      <c r="T2944" t="s">
        <v>57443</v>
      </c>
      <c r="U2944" t="s">
        <v>57444</v>
      </c>
      <c r="V2944">
        <f>-615.574154973299 -81.9911120282063 -94.2292721762257</f>
        <v>-791.79453917773094</v>
      </c>
      <c r="W2944" t="s">
        <v>57445</v>
      </c>
      <c r="X2944" t="s">
        <v>57446</v>
      </c>
      <c r="Y2944" t="s">
        <v>57447</v>
      </c>
    </row>
    <row r="2945" spans="1:25" x14ac:dyDescent="0.3">
      <c r="A2945">
        <v>147200</v>
      </c>
      <c r="B2945" t="s">
        <v>57448</v>
      </c>
      <c r="C2945" t="s">
        <v>57449</v>
      </c>
      <c r="D2945" t="s">
        <v>57450</v>
      </c>
      <c r="E2945">
        <f>-665.758788033116 -2.0095558308501 -294.35123729716</f>
        <v>-962.11958116112623</v>
      </c>
      <c r="F2945">
        <f>-675.134200517762 -5.45515881073402 -377.648033633993</f>
        <v>-1058.2373929624891</v>
      </c>
      <c r="G2945">
        <f>-682.655119376435 -8.79242600078351 -461.137266614081</f>
        <v>-1152.5848119912994</v>
      </c>
      <c r="H2945">
        <f>-691.613492075614 -13.5603509171374 -583.37442799118</f>
        <v>-1288.5482709839314</v>
      </c>
      <c r="I2945">
        <f>-679.678300667917 -11.1713716997845 -660.782748478525</f>
        <v>-1351.6324208462265</v>
      </c>
      <c r="J2945" t="s">
        <v>57451</v>
      </c>
      <c r="K2945" t="s">
        <v>57452</v>
      </c>
      <c r="L2945" t="s">
        <v>57453</v>
      </c>
      <c r="M2945" t="s">
        <v>57454</v>
      </c>
      <c r="N2945">
        <f>-682.844399843215 -42.4422251357407 -528.884095419106</f>
        <v>-1254.1707203980618</v>
      </c>
      <c r="O2945">
        <f>-667.616424443877 -194.338550533504 -496.742953526953</f>
        <v>-1358.697928504334</v>
      </c>
      <c r="P2945">
        <f>-642.128021655167 -207.435421981775 -216.105490174717</f>
        <v>-1065.6689338116589</v>
      </c>
      <c r="Q2945">
        <f>-460.068152024519 -119.035064092002 -330.070922020328</f>
        <v>-909.17413813684902</v>
      </c>
      <c r="R2945" t="s">
        <v>57455</v>
      </c>
      <c r="S2945" t="s">
        <v>57456</v>
      </c>
      <c r="T2945" t="s">
        <v>57457</v>
      </c>
      <c r="U2945" t="s">
        <v>57458</v>
      </c>
      <c r="V2945">
        <f>-616.062657044705 -82.1418496068445 -94.2642985658398</f>
        <v>-792.46880521738933</v>
      </c>
      <c r="W2945" t="s">
        <v>57459</v>
      </c>
      <c r="X2945" t="s">
        <v>57460</v>
      </c>
      <c r="Y2945" t="s">
        <v>57461</v>
      </c>
    </row>
    <row r="2946" spans="1:25" x14ac:dyDescent="0.3">
      <c r="A2946">
        <v>147250</v>
      </c>
      <c r="B2946" t="s">
        <v>57462</v>
      </c>
      <c r="C2946" t="s">
        <v>57463</v>
      </c>
      <c r="D2946" t="s">
        <v>57464</v>
      </c>
      <c r="E2946">
        <f>-665.997354174283 -2.16554347289502 -294.357420376598</f>
        <v>-962.5203180237761</v>
      </c>
      <c r="F2946">
        <f>-675.282854096562 -5.6569359402697 -377.662471897872</f>
        <v>-1058.6022619347036</v>
      </c>
      <c r="G2946">
        <f>-682.688355552834 -9.05157998840741 -461.159590942161</f>
        <v>-1152.8995264834025</v>
      </c>
      <c r="H2946">
        <f>-691.450052700786 -13.9159743917423 -583.407256494186</f>
        <v>-1288.7732835867143</v>
      </c>
      <c r="I2946">
        <f>-679.49427131823 -11.5246841072681 -660.812443067427</f>
        <v>-1351.831398492925</v>
      </c>
      <c r="J2946" t="s">
        <v>57465</v>
      </c>
      <c r="K2946" t="s">
        <v>57466</v>
      </c>
      <c r="L2946" t="s">
        <v>57467</v>
      </c>
      <c r="M2946" t="s">
        <v>57468</v>
      </c>
      <c r="N2946">
        <f>-682.721005381737 -42.7474515873948 -528.884010405498</f>
        <v>-1254.3524673746297</v>
      </c>
      <c r="O2946">
        <f>-667.401125838789 -194.612251584551 -496.656679781091</f>
        <v>-1358.670057204431</v>
      </c>
      <c r="P2946">
        <f>-638.967530841628 -207.352762089528 -216.285754007879</f>
        <v>-1062.606046939035</v>
      </c>
      <c r="Q2946">
        <f>-459.564543512576 -119.71376613223 -334.955531658513</f>
        <v>-914.23384130331897</v>
      </c>
      <c r="R2946" t="s">
        <v>57469</v>
      </c>
      <c r="S2946" t="s">
        <v>57470</v>
      </c>
      <c r="T2946" t="s">
        <v>57471</v>
      </c>
      <c r="U2946" t="s">
        <v>57472</v>
      </c>
      <c r="V2946">
        <f>-616.296857521928 -82.2691252653983 -94.2720071116023</f>
        <v>-792.83798989892864</v>
      </c>
      <c r="W2946" t="s">
        <v>57473</v>
      </c>
      <c r="X2946" t="s">
        <v>57474</v>
      </c>
      <c r="Y2946" t="s">
        <v>57475</v>
      </c>
    </row>
    <row r="2947" spans="1:25" x14ac:dyDescent="0.3">
      <c r="A2947">
        <v>147300</v>
      </c>
      <c r="B2947" t="s">
        <v>57476</v>
      </c>
      <c r="C2947" t="s">
        <v>57477</v>
      </c>
      <c r="D2947" t="s">
        <v>57478</v>
      </c>
      <c r="E2947">
        <f>-666.558919430827 -2.55399996542701 -294.374254931276</f>
        <v>-963.48717432753006</v>
      </c>
      <c r="F2947">
        <f>-675.659079465046 -6.10935238799289 -377.697050305582</f>
        <v>-1059.4654821586209</v>
      </c>
      <c r="G2947">
        <f>-682.815656605709 -9.5787241694693 -461.212772504704</f>
        <v>-1153.6071532798824</v>
      </c>
      <c r="H2947">
        <f>-691.14380041626 -14.5644107778523 -583.485944220656</f>
        <v>-1289.1941554147684</v>
      </c>
      <c r="I2947">
        <f>-679.119031729596 -12.0941964164838 -660.877874005111</f>
        <v>-1352.0911021511909</v>
      </c>
      <c r="J2947" t="s">
        <v>57479</v>
      </c>
      <c r="K2947" t="s">
        <v>57480</v>
      </c>
      <c r="L2947" t="s">
        <v>57481</v>
      </c>
      <c r="M2947" t="s">
        <v>57482</v>
      </c>
      <c r="N2947">
        <f>-682.514390321855 -43.3271090412957 -528.910434787243</f>
        <v>-1254.7519341503937</v>
      </c>
      <c r="O2947">
        <f>-666.933658476287 -195.141574160217 -496.526670492034</f>
        <v>-1358.601903128538</v>
      </c>
      <c r="P2947">
        <f>-631.520802131705 -207.464349234206 -216.93299496829</f>
        <v>-1055.9181463342009</v>
      </c>
      <c r="Q2947">
        <f>-458.239197098291 -121.146770347855 -345.273329233515</f>
        <v>-924.659296679661</v>
      </c>
      <c r="R2947" t="s">
        <v>57483</v>
      </c>
      <c r="S2947" t="s">
        <v>57484</v>
      </c>
      <c r="T2947" t="s">
        <v>57485</v>
      </c>
      <c r="U2947" t="s">
        <v>57486</v>
      </c>
      <c r="V2947">
        <f>-616.813033760378 -82.5476332618271 -94.2757620317211</f>
        <v>-793.63642905392612</v>
      </c>
      <c r="W2947" t="s">
        <v>57487</v>
      </c>
      <c r="X2947" t="s">
        <v>57488</v>
      </c>
      <c r="Y2947" t="s">
        <v>57489</v>
      </c>
    </row>
    <row r="2948" spans="1:25" x14ac:dyDescent="0.3">
      <c r="A2948">
        <v>147350</v>
      </c>
      <c r="B2948" t="s">
        <v>57490</v>
      </c>
      <c r="C2948" t="s">
        <v>57491</v>
      </c>
      <c r="D2948" t="s">
        <v>57492</v>
      </c>
      <c r="E2948">
        <f>-666.852660211185 -2.70353700893861 -294.388442038167</f>
        <v>-963.94463925829064</v>
      </c>
      <c r="F2948">
        <f>-675.898260821609 -6.26588289426377 -377.716760743999</f>
        <v>-1059.8809044598718</v>
      </c>
      <c r="G2948">
        <f>-682.979753993298 -9.73763586912037 -461.238836048775</f>
        <v>-1153.9562259111933</v>
      </c>
      <c r="H2948">
        <f>-691.175375424638 -14.7210930547099 -583.520969190694</f>
        <v>-1289.4174376700419</v>
      </c>
      <c r="I2948">
        <f>-679.133261481957 -12.1634833387529 -660.907452437059</f>
        <v>-1352.204197257769</v>
      </c>
      <c r="J2948" t="s">
        <v>57493</v>
      </c>
      <c r="K2948" t="s">
        <v>57494</v>
      </c>
      <c r="L2948" t="s">
        <v>57495</v>
      </c>
      <c r="M2948" t="s">
        <v>57496</v>
      </c>
      <c r="N2948">
        <f>-682.556436989954 -43.4769551942481 -528.940251308889</f>
        <v>-1254.973643493091</v>
      </c>
      <c r="O2948">
        <f>-666.859308043306 -195.269222200297 -496.527129759492</f>
        <v>-1358.6556600030949</v>
      </c>
      <c r="P2948">
        <f>-627.614352832518 -207.303051816267 -217.432768399817</f>
        <v>-1052.3501730486018</v>
      </c>
      <c r="Q2948">
        <f>-457.65122541625 -121.864239251956 -350.704257408293</f>
        <v>-930.21972207649901</v>
      </c>
      <c r="R2948" t="s">
        <v>57497</v>
      </c>
      <c r="S2948" t="s">
        <v>57498</v>
      </c>
      <c r="T2948" t="s">
        <v>57499</v>
      </c>
      <c r="U2948" t="s">
        <v>57500</v>
      </c>
      <c r="V2948">
        <f>-617.076914661638 -82.599462617645 -94.2699189943852</f>
        <v>-793.94629627366828</v>
      </c>
      <c r="W2948" t="s">
        <v>57501</v>
      </c>
      <c r="X2948" t="s">
        <v>57502</v>
      </c>
      <c r="Y2948" t="s">
        <v>57503</v>
      </c>
    </row>
    <row r="2949" spans="1:25" x14ac:dyDescent="0.3">
      <c r="A2949">
        <v>147400</v>
      </c>
      <c r="B2949" t="s">
        <v>57504</v>
      </c>
      <c r="C2949" t="s">
        <v>57505</v>
      </c>
      <c r="D2949" t="s">
        <v>57506</v>
      </c>
      <c r="E2949">
        <f>-667.063744072532 -3.12154097344796 -294.405194752122</f>
        <v>-964.59047979810202</v>
      </c>
      <c r="F2949">
        <f>-676.064236960563 -6.65055649704505 -377.739935279414</f>
        <v>-1060.4547287370219</v>
      </c>
      <c r="G2949">
        <f>-683.094836066855 -10.07412588589 -461.268264107819</f>
        <v>-1154.4372260605639</v>
      </c>
      <c r="H2949">
        <f>-691.209399526469 -14.969622591891 -583.559408903635</f>
        <v>-1289.738431021995</v>
      </c>
      <c r="I2949">
        <f>-679.148047367621 -12.2096438993726 -660.935865465595</f>
        <v>-1352.2935567325885</v>
      </c>
      <c r="J2949" t="s">
        <v>57507</v>
      </c>
      <c r="K2949" t="s">
        <v>57508</v>
      </c>
      <c r="L2949" t="s">
        <v>57509</v>
      </c>
      <c r="M2949" t="s">
        <v>57510</v>
      </c>
      <c r="N2949">
        <f>-682.570293993016 -43.7556542622306 -528.997719466242</f>
        <v>-1255.3236677214886</v>
      </c>
      <c r="O2949">
        <f>-666.805917935249 -195.540542930358 -496.625859246405</f>
        <v>-1358.9723201120121</v>
      </c>
      <c r="P2949">
        <f>-619.211129707875 -206.389439637058 -218.784797352069</f>
        <v>-1044.3853666970019</v>
      </c>
      <c r="Q2949">
        <f>-455.834826436193 -123.182932077843 -361.379957255332</f>
        <v>-940.39771576936801</v>
      </c>
      <c r="R2949" t="s">
        <v>57511</v>
      </c>
      <c r="S2949" t="s">
        <v>57512</v>
      </c>
      <c r="T2949" t="s">
        <v>57513</v>
      </c>
      <c r="U2949" t="s">
        <v>57514</v>
      </c>
      <c r="V2949">
        <f>-617.270634352431 -82.9591778068482 -94.2758113007635</f>
        <v>-794.50562346004267</v>
      </c>
      <c r="W2949" t="s">
        <v>57515</v>
      </c>
      <c r="X2949" t="s">
        <v>57516</v>
      </c>
      <c r="Y2949" t="s">
        <v>57517</v>
      </c>
    </row>
    <row r="2950" spans="1:25" x14ac:dyDescent="0.3">
      <c r="A2950">
        <v>147450</v>
      </c>
      <c r="B2950" t="s">
        <v>57518</v>
      </c>
      <c r="C2950" t="s">
        <v>57519</v>
      </c>
      <c r="D2950" t="s">
        <v>57520</v>
      </c>
      <c r="E2950">
        <f>-666.975536773126 -3.32145931872492 -294.407184101953</f>
        <v>-964.70418019380395</v>
      </c>
      <c r="F2950">
        <f>-675.96283029356 -6.81880693130324 -377.744625105306</f>
        <v>-1060.5262623301692</v>
      </c>
      <c r="G2950">
        <f>-682.98488067705 -10.2007942642995 -461.27536738738</f>
        <v>-1154.4610423287295</v>
      </c>
      <c r="H2950">
        <f>-691.092180395118 -15.0244366708857 -583.569864110979</f>
        <v>-1289.6864811769829</v>
      </c>
      <c r="I2950">
        <f>-679.02129476726 -12.1525943011552 -660.940709772735</f>
        <v>-1352.1145988411502</v>
      </c>
      <c r="J2950" t="s">
        <v>57521</v>
      </c>
      <c r="K2950" t="s">
        <v>57522</v>
      </c>
      <c r="L2950" t="s">
        <v>57523</v>
      </c>
      <c r="M2950" t="s">
        <v>57524</v>
      </c>
      <c r="N2950">
        <f>-682.429658987868 -43.8382659924389 -529.026641454106</f>
        <v>-1255.2945664344129</v>
      </c>
      <c r="O2950">
        <f>-666.668815314671 -195.638276205766 -496.665529320356</f>
        <v>-1358.9726208407928</v>
      </c>
      <c r="P2950">
        <f>-614.75614840641 -205.71388353531 -219.569573581866</f>
        <v>-1040.039605523586</v>
      </c>
      <c r="Q2950">
        <f>-454.676110867611 -123.661149118322 -366.505802722845</f>
        <v>-944.84306270877801</v>
      </c>
      <c r="R2950" t="s">
        <v>57525</v>
      </c>
      <c r="S2950" t="s">
        <v>57526</v>
      </c>
      <c r="T2950" t="s">
        <v>57527</v>
      </c>
      <c r="U2950" t="s">
        <v>57528</v>
      </c>
      <c r="V2950">
        <f>-617.260690190674 -83.1364510396643 -94.272319868498</f>
        <v>-794.66946109883634</v>
      </c>
      <c r="W2950" t="s">
        <v>57529</v>
      </c>
      <c r="X2950" t="s">
        <v>57530</v>
      </c>
      <c r="Y2950" t="s">
        <v>57531</v>
      </c>
    </row>
    <row r="2951" spans="1:25" x14ac:dyDescent="0.3">
      <c r="A2951">
        <v>147500</v>
      </c>
      <c r="B2951" t="s">
        <v>57532</v>
      </c>
      <c r="C2951" t="s">
        <v>57533</v>
      </c>
      <c r="D2951" t="s">
        <v>57534</v>
      </c>
      <c r="E2951">
        <f>-666.577757712803 -3.69613368437376 -294.402040186485</f>
        <v>-964.67593158366174</v>
      </c>
      <c r="F2951">
        <f>-675.567955936004 -7.13310914881026 -377.741830958871</f>
        <v>-1060.4428960436853</v>
      </c>
      <c r="G2951">
        <f>-682.608607681889 -10.4373289447135 -461.274066102653</f>
        <v>-1154.3200027292555</v>
      </c>
      <c r="H2951">
        <f>-690.760506029816 -15.1281851641149 -583.57073476792</f>
        <v>-1289.4594259618511</v>
      </c>
      <c r="I2951">
        <f>-678.726372463873 -12.0229162111445 -660.938297266231</f>
        <v>-1351.6875859412485</v>
      </c>
      <c r="J2951" t="s">
        <v>57535</v>
      </c>
      <c r="K2951" t="s">
        <v>57536</v>
      </c>
      <c r="L2951" t="s">
        <v>57537</v>
      </c>
      <c r="M2951" t="s">
        <v>57538</v>
      </c>
      <c r="N2951">
        <f>-682.056310719839 -43.9977073936402 -529.063407793328</f>
        <v>-1255.1174259068071</v>
      </c>
      <c r="O2951">
        <f>-666.164980799573 -195.80709711627 -496.861185363896</f>
        <v>-1358.833263279739</v>
      </c>
      <c r="P2951">
        <f>-606.671535773599 -204.875607743074 -221.258312843641</f>
        <v>-1032.8054563603141</v>
      </c>
      <c r="Q2951">
        <f>-453.070502209853 -123.759097948191 -375.45100499958</f>
        <v>-952.280605157624</v>
      </c>
      <c r="R2951" t="s">
        <v>57539</v>
      </c>
      <c r="S2951" t="s">
        <v>57540</v>
      </c>
      <c r="T2951" t="s">
        <v>57541</v>
      </c>
      <c r="U2951" t="s">
        <v>57542</v>
      </c>
      <c r="V2951">
        <f>-616.959496104118 -83.5699269584857 -94.2544848744017</f>
        <v>-794.78390793700532</v>
      </c>
      <c r="W2951" t="s">
        <v>57543</v>
      </c>
      <c r="X2951" t="s">
        <v>57544</v>
      </c>
      <c r="Y2951" t="s">
        <v>57545</v>
      </c>
    </row>
    <row r="2952" spans="1:25" x14ac:dyDescent="0.3">
      <c r="A2952">
        <v>147550</v>
      </c>
      <c r="B2952" t="s">
        <v>57546</v>
      </c>
      <c r="C2952" t="s">
        <v>57547</v>
      </c>
      <c r="D2952">
        <f>-654.282826872442 -0.322746453221271 -202.298367441593</f>
        <v>-856.90394076725624</v>
      </c>
      <c r="E2952">
        <f>-665.79910373343 -4.09624747637349 -294.379649567936</f>
        <v>-964.27500077773948</v>
      </c>
      <c r="F2952">
        <f>-674.833585768552 -7.43811536426847 -377.71850420367</f>
        <v>-1059.9902053364904</v>
      </c>
      <c r="G2952">
        <f>-681.937436765711 -10.6216651200741 -461.250132838068</f>
        <v>-1153.809234723853</v>
      </c>
      <c r="H2952">
        <f>-690.202353902594 -15.1070100446045 -583.546891881473</f>
        <v>-1288.8562558286717</v>
      </c>
      <c r="I2952">
        <f>-678.274062022886 -11.6982496111693 -660.91804272419</f>
        <v>-1350.8903543582453</v>
      </c>
      <c r="J2952" t="s">
        <v>57548</v>
      </c>
      <c r="K2952" t="s">
        <v>57549</v>
      </c>
      <c r="L2952" t="s">
        <v>57550</v>
      </c>
      <c r="M2952" t="s">
        <v>57551</v>
      </c>
      <c r="N2952">
        <f>-681.410619805913 -44.0618541854201 -529.098943426937</f>
        <v>-1254.5714174182701</v>
      </c>
      <c r="O2952">
        <f>-665.301238800922 -195.919773213438 -497.207997526836</f>
        <v>-1358.4290095411959</v>
      </c>
      <c r="P2952">
        <f>-599.845450489324 -203.958358367682 -222.92797401884</f>
        <v>-1026.731782875846</v>
      </c>
      <c r="Q2952">
        <f>-452.002721747977 -123.010218636155 -382.735445958277</f>
        <v>-957.74838634240905</v>
      </c>
      <c r="R2952" t="s">
        <v>57552</v>
      </c>
      <c r="S2952" t="s">
        <v>57553</v>
      </c>
      <c r="T2952" t="s">
        <v>57554</v>
      </c>
      <c r="U2952" t="s">
        <v>57555</v>
      </c>
      <c r="V2952">
        <f>-616.24267561653 -84.1130931366511 -94.2270523220228</f>
        <v>-794.58282107520392</v>
      </c>
      <c r="W2952" t="s">
        <v>57556</v>
      </c>
      <c r="X2952" t="s">
        <v>57557</v>
      </c>
      <c r="Y2952" t="s">
        <v>57558</v>
      </c>
    </row>
    <row r="2953" spans="1:25" x14ac:dyDescent="0.3">
      <c r="A2953">
        <v>147600</v>
      </c>
      <c r="B2953" t="s">
        <v>57559</v>
      </c>
      <c r="C2953" t="s">
        <v>57560</v>
      </c>
      <c r="D2953">
        <f>-653.76777413572 -0.573998657368747 -202.28982678642</f>
        <v>-856.6315995795087</v>
      </c>
      <c r="E2953">
        <f>-665.317813989371 -4.31184206585135 -294.368233826816</f>
        <v>-963.99788988203829</v>
      </c>
      <c r="F2953">
        <f>-674.402025461418 -7.60326175317914 -377.703649996826</f>
        <v>-1059.7089372114233</v>
      </c>
      <c r="G2953">
        <f>-681.574903202139 -10.717431290906 -461.231994585566</f>
        <v>-1153.5243290786111</v>
      </c>
      <c r="H2953">
        <f>-689.961974239387 -15.0803896989869 -583.524907189461</f>
        <v>-1288.5672711278348</v>
      </c>
      <c r="I2953">
        <f>-678.108054185408 -11.5190620883584 -660.900604870018</f>
        <v>-1350.5277211437844</v>
      </c>
      <c r="J2953" t="s">
        <v>57561</v>
      </c>
      <c r="K2953" t="s">
        <v>57562</v>
      </c>
      <c r="L2953" t="s">
        <v>57563</v>
      </c>
      <c r="M2953" t="s">
        <v>57564</v>
      </c>
      <c r="N2953">
        <f>-681.08808542115 -44.0850583675383 -529.116977981754</f>
        <v>-1254.2901217704423</v>
      </c>
      <c r="O2953">
        <f>-664.8027836319 -195.969813387768 -497.417239425557</f>
        <v>-1358.189836445225</v>
      </c>
      <c r="P2953">
        <f>-596.936663640917 -203.428998368391 -223.707324769078</f>
        <v>-1024.0729867783862</v>
      </c>
      <c r="Q2953">
        <f>-451.480134202627 -122.391096815497 -385.645087253328</f>
        <v>-959.51631827145206</v>
      </c>
      <c r="R2953" t="s">
        <v>57565</v>
      </c>
      <c r="S2953" t="s">
        <v>57566</v>
      </c>
      <c r="T2953" t="s">
        <v>57567</v>
      </c>
      <c r="U2953" t="s">
        <v>57568</v>
      </c>
      <c r="V2953">
        <f>-615.780089615936 -84.3253843504845 -94.2060833532678</f>
        <v>-794.31155731968829</v>
      </c>
      <c r="W2953" t="s">
        <v>57569</v>
      </c>
      <c r="X2953" t="s">
        <v>57570</v>
      </c>
      <c r="Y2953" t="s">
        <v>57571</v>
      </c>
    </row>
    <row r="2954" spans="1:25" x14ac:dyDescent="0.3">
      <c r="A2954">
        <v>147650</v>
      </c>
      <c r="B2954" t="s">
        <v>57572</v>
      </c>
      <c r="C2954" t="s">
        <v>57573</v>
      </c>
      <c r="D2954">
        <f>-653.253958253206 -0.785013460382743 -202.277215768676</f>
        <v>-856.3161874822647</v>
      </c>
      <c r="E2954">
        <f>-664.846701545339 -4.46825814702197 -294.352653353677</f>
        <v>-963.66761304603801</v>
      </c>
      <c r="F2954">
        <f>-673.990635928532 -7.68780109691079 -377.684194073258</f>
        <v>-1059.3626310987008</v>
      </c>
      <c r="G2954">
        <f>-681.244489170835 -10.7063927967019 -461.209110095329</f>
        <v>-1153.159992062866</v>
      </c>
      <c r="H2954">
        <f>-689.773270648509 -14.9032383303215 -583.497949456782</f>
        <v>-1288.1744584356125</v>
      </c>
      <c r="I2954">
        <f>-677.994134541208 -11.1810530426858 -660.877648877081</f>
        <v>-1350.052836460975</v>
      </c>
      <c r="J2954" t="s">
        <v>57574</v>
      </c>
      <c r="K2954" t="s">
        <v>57575</v>
      </c>
      <c r="L2954" t="s">
        <v>57576</v>
      </c>
      <c r="M2954" t="s">
        <v>57577</v>
      </c>
      <c r="N2954">
        <f>-680.79947165203 -43.9756300864071 -529.142563269289</f>
        <v>-1253.9176650077261</v>
      </c>
      <c r="O2954">
        <f>-664.295978755364 -195.878985326926 -497.657458386464</f>
        <v>-1357.832422468754</v>
      </c>
      <c r="P2954">
        <f>-594.454798441067 -203.046626279272 -224.436891143418</f>
        <v>-1021.938315863757</v>
      </c>
      <c r="Q2954">
        <f>-450.725039034095 -121.913427143197 -387.861867545582</f>
        <v>-960.50033372287407</v>
      </c>
      <c r="R2954" t="s">
        <v>57578</v>
      </c>
      <c r="S2954" t="s">
        <v>57579</v>
      </c>
      <c r="T2954" t="s">
        <v>57580</v>
      </c>
      <c r="U2954" t="s">
        <v>57581</v>
      </c>
      <c r="V2954">
        <f>-615.276019631195 -84.5064407761295 -94.1873264477642</f>
        <v>-793.96978685508873</v>
      </c>
      <c r="W2954" t="s">
        <v>57582</v>
      </c>
      <c r="X2954" t="s">
        <v>57583</v>
      </c>
      <c r="Y2954" t="s">
        <v>57584</v>
      </c>
    </row>
    <row r="2955" spans="1:25" x14ac:dyDescent="0.3">
      <c r="A2955">
        <v>147700</v>
      </c>
      <c r="B2955" t="s">
        <v>57585</v>
      </c>
      <c r="C2955" t="s">
        <v>57586</v>
      </c>
      <c r="D2955">
        <f>-652.747592267248 -1.02928816843996 -202.244227862347</f>
        <v>-856.02110829803496</v>
      </c>
      <c r="E2955">
        <f>-664.381063032389 -4.67148435146555 -294.316067702897</f>
        <v>-963.36861508675156</v>
      </c>
      <c r="F2955">
        <f>-673.575966090847 -7.83270537449312 -377.644318869716</f>
        <v>-1059.0529903350562</v>
      </c>
      <c r="G2955">
        <f>-680.89512756101 -10.7711889161126 -461.166464854117</f>
        <v>-1152.8327813312396</v>
      </c>
      <c r="H2955">
        <f>-689.53500406622 -14.8263965658166 -583.452191987654</f>
        <v>-1287.8135926196906</v>
      </c>
      <c r="I2955">
        <f>-677.819187525479 -10.9536773315249 -660.834086817973</f>
        <v>-1349.6069516749769</v>
      </c>
      <c r="J2955" t="s">
        <v>57587</v>
      </c>
      <c r="K2955" t="s">
        <v>57588</v>
      </c>
      <c r="L2955" t="s">
        <v>57589</v>
      </c>
      <c r="M2955" t="s">
        <v>57590</v>
      </c>
      <c r="N2955">
        <f>-680.478112843012 -43.9560493906738 -529.141319147416</f>
        <v>-1253.5754813811018</v>
      </c>
      <c r="O2955">
        <f>-663.764424935943 -195.882151488099 -497.915185610145</f>
        <v>-1357.561762034187</v>
      </c>
      <c r="P2955">
        <f>-592.40698521968 -202.976260092627 -225.08502695776</f>
        <v>-1020.468272270067</v>
      </c>
      <c r="Q2955">
        <f>-450.06866985125 -121.647789163295 -389.626748701476</f>
        <v>-961.34320771602097</v>
      </c>
      <c r="R2955" t="s">
        <v>57591</v>
      </c>
      <c r="S2955" t="s">
        <v>57592</v>
      </c>
      <c r="T2955" t="s">
        <v>57593</v>
      </c>
      <c r="U2955" t="s">
        <v>57594</v>
      </c>
      <c r="V2955">
        <f>-614.7360032591 -84.7664845919594 -94.1611773779728</f>
        <v>-793.66366522903218</v>
      </c>
      <c r="W2955" t="s">
        <v>57595</v>
      </c>
      <c r="X2955" t="s">
        <v>57596</v>
      </c>
      <c r="Y2955" t="s">
        <v>57597</v>
      </c>
    </row>
    <row r="2956" spans="1:25" x14ac:dyDescent="0.3">
      <c r="A2956">
        <v>147750</v>
      </c>
      <c r="B2956" t="s">
        <v>57598</v>
      </c>
      <c r="C2956" t="s">
        <v>57599</v>
      </c>
      <c r="D2956">
        <f>-651.749692590647 -1.7671841583051 -202.183498245212</f>
        <v>-855.70037499416412</v>
      </c>
      <c r="E2956">
        <f>-663.468670638067 -5.31526453380184 -294.24817222245</f>
        <v>-963.03210739431893</v>
      </c>
      <c r="F2956">
        <f>-672.762833471901 -8.34180767742737 -377.570500276354</f>
        <v>-1058.6751414256823</v>
      </c>
      <c r="G2956">
        <f>-680.203491110907 -11.0936376810537 -461.088070261717</f>
        <v>-1152.3851990536778</v>
      </c>
      <c r="H2956">
        <f>-689.045502881867 -14.8187244715029 -583.37002820123</f>
        <v>-1287.2342555545999</v>
      </c>
      <c r="I2956">
        <f>-677.489658115448 -10.5787008943255 -660.756643923166</f>
        <v>-1348.8250029329397</v>
      </c>
      <c r="J2956" t="s">
        <v>57600</v>
      </c>
      <c r="K2956" t="s">
        <v>57601</v>
      </c>
      <c r="L2956" t="s">
        <v>57602</v>
      </c>
      <c r="M2956" t="s">
        <v>57603</v>
      </c>
      <c r="N2956">
        <f>-679.802446150554 -44.0785176641712 -529.160472721192</f>
        <v>-1253.0414365359172</v>
      </c>
      <c r="O2956">
        <f>-662.672716322996 -196.0684205129 -498.459013896011</f>
        <v>-1357.2001507319069</v>
      </c>
      <c r="P2956">
        <f>-589.161907898246 -202.848513868098 -226.193036671415</f>
        <v>-1018.2034584377591</v>
      </c>
      <c r="Q2956">
        <f>-449.077413597155 -121.365279203983 -392.582058620351</f>
        <v>-963.0247514214891</v>
      </c>
      <c r="R2956" t="s">
        <v>57604</v>
      </c>
      <c r="S2956" t="s">
        <v>57605</v>
      </c>
      <c r="T2956" t="s">
        <v>57606</v>
      </c>
      <c r="U2956" t="s">
        <v>57607</v>
      </c>
      <c r="V2956">
        <f>-613.591699156944 -85.4740274355956 -94.1093590104191</f>
        <v>-793.17508560295869</v>
      </c>
      <c r="W2956" t="s">
        <v>57608</v>
      </c>
      <c r="X2956" t="s">
        <v>57609</v>
      </c>
      <c r="Y2956" t="s">
        <v>57610</v>
      </c>
    </row>
    <row r="2957" spans="1:25" x14ac:dyDescent="0.3">
      <c r="A2957">
        <v>147800</v>
      </c>
      <c r="B2957" t="s">
        <v>57611</v>
      </c>
      <c r="C2957" t="s">
        <v>57612</v>
      </c>
      <c r="D2957">
        <f>-651.055179453572 -2.39814752333882 -202.145567663933</f>
        <v>-855.59889464084381</v>
      </c>
      <c r="E2957">
        <f>-662.774602698569 -5.85058885382068 -294.213904837613</f>
        <v>-962.83909639000262</v>
      </c>
      <c r="F2957">
        <f>-672.076899277341 -8.7468737897957 -377.539739474217</f>
        <v>-1058.3635125413537</v>
      </c>
      <c r="G2957">
        <f>-679.533702477028 -11.3229411438481 -461.061646953363</f>
        <v>-1151.9182905742391</v>
      </c>
      <c r="H2957">
        <f>-688.408023016428 -14.7408644645182 -583.350096663296</f>
        <v>-1286.4989841442421</v>
      </c>
      <c r="I2957">
        <f>-676.990483024417 -10.1114369085715 -660.735032463345</f>
        <v>-1347.8369523963333</v>
      </c>
      <c r="J2957" t="s">
        <v>57613</v>
      </c>
      <c r="K2957" t="s">
        <v>57614</v>
      </c>
      <c r="L2957" t="s">
        <v>57615</v>
      </c>
      <c r="M2957" t="s">
        <v>57616</v>
      </c>
      <c r="N2957">
        <f>-679.0617010576 -44.1212429415612 -529.223678055728</f>
        <v>-1252.4066220548891</v>
      </c>
      <c r="O2957">
        <f>-661.539732088991 -196.172596204571 -499.016429569837</f>
        <v>-1356.7287578633991</v>
      </c>
      <c r="P2957">
        <f>-586.686209971124 -202.440706187335 -227.104325324705</f>
        <v>-1016.2312414831639</v>
      </c>
      <c r="Q2957">
        <f>-447.387327825822 -121.771301095212 -394.546147818876</f>
        <v>-963.70477673991013</v>
      </c>
      <c r="R2957" t="s">
        <v>57617</v>
      </c>
      <c r="S2957" t="s">
        <v>57618</v>
      </c>
      <c r="T2957" t="s">
        <v>57619</v>
      </c>
      <c r="U2957" t="s">
        <v>57620</v>
      </c>
      <c r="V2957">
        <f>-612.783329149863 -85.9755992034559 -94.0718456407693</f>
        <v>-792.83077399408819</v>
      </c>
      <c r="W2957" t="s">
        <v>57621</v>
      </c>
      <c r="X2957" t="s">
        <v>57622</v>
      </c>
      <c r="Y2957" t="s">
        <v>57623</v>
      </c>
    </row>
    <row r="2958" spans="1:25" x14ac:dyDescent="0.3">
      <c r="A2958">
        <v>147850</v>
      </c>
      <c r="B2958" t="s">
        <v>57624</v>
      </c>
      <c r="C2958" t="s">
        <v>57625</v>
      </c>
      <c r="D2958">
        <f>-650.801563751329 -2.70252538240175 -202.114743264208</f>
        <v>-855.61883239793872</v>
      </c>
      <c r="E2958">
        <f>-662.507867169677 -6.0933918608871 -294.186996953608</f>
        <v>-962.78825598417211</v>
      </c>
      <c r="F2958">
        <f>-671.8014441518 -8.9112597326 -377.516516781901</f>
        <v>-1058.229220666301</v>
      </c>
      <c r="G2958">
        <f>-679.252598126825 -11.384823093365 -461.041979275594</f>
        <v>-1151.679400495784</v>
      </c>
      <c r="H2958">
        <f>-688.122166433226 -14.6266892314402 -583.335748252518</f>
        <v>-1286.0846039171843</v>
      </c>
      <c r="I2958">
        <f>-676.76732883091 -9.81594563104318 -660.718643059651</f>
        <v>-1347.3019175216041</v>
      </c>
      <c r="J2958" t="s">
        <v>57626</v>
      </c>
      <c r="K2958" t="s">
        <v>57627</v>
      </c>
      <c r="L2958" t="s">
        <v>57628</v>
      </c>
      <c r="M2958" t="s">
        <v>57629</v>
      </c>
      <c r="N2958">
        <f>-678.732662257246 -44.0769016907177 -529.254585128222</f>
        <v>-1252.0641490761857</v>
      </c>
      <c r="O2958">
        <f>-660.984547658952 -196.148818903632 -499.298610312811</f>
        <v>-1356.4319768753949</v>
      </c>
      <c r="P2958">
        <f>-585.691990930986 -202.205530619629 -227.502797751229</f>
        <v>-1015.400319301844</v>
      </c>
      <c r="Q2958">
        <f>-446.301485819843 -122.083080919144 -395.131058876257</f>
        <v>-963.51562561524406</v>
      </c>
      <c r="R2958" t="s">
        <v>57630</v>
      </c>
      <c r="S2958" t="s">
        <v>57631</v>
      </c>
      <c r="T2958" t="s">
        <v>57632</v>
      </c>
      <c r="U2958" t="s">
        <v>57633</v>
      </c>
      <c r="V2958">
        <f>-612.486835229603 -86.1890953561613 -94.0556122582381</f>
        <v>-792.73154284400232</v>
      </c>
      <c r="W2958" t="s">
        <v>57634</v>
      </c>
      <c r="X2958" t="s">
        <v>57635</v>
      </c>
      <c r="Y2958" t="s">
        <v>57636</v>
      </c>
    </row>
    <row r="2959" spans="1:25" x14ac:dyDescent="0.3">
      <c r="A2959">
        <v>147900</v>
      </c>
      <c r="B2959" t="s">
        <v>57637</v>
      </c>
      <c r="C2959" t="s">
        <v>57638</v>
      </c>
      <c r="D2959">
        <f>-650.605857652177 -3.3147888891599 -202.065337786072</f>
        <v>-855.98598432740891</v>
      </c>
      <c r="E2959">
        <f>-662.269715534075 -6.58964390768188 -294.147282694252</f>
        <v>-963.00664213600885</v>
      </c>
      <c r="F2959">
        <f>-671.53434391551 -9.26173990187249 -377.484915924986</f>
        <v>-1058.2809997423685</v>
      </c>
      <c r="G2959">
        <f>-678.966377177281 -11.5474973193059 -461.017341837243</f>
        <v>-1151.5312163338299</v>
      </c>
      <c r="H2959">
        <f>-687.818479354971 -14.4679539333388 -583.320544888534</f>
        <v>-1285.6069781768438</v>
      </c>
      <c r="I2959">
        <f>-676.55342431086 -9.37394880341981 -660.698420465796</f>
        <v>-1346.6257935800759</v>
      </c>
      <c r="J2959" t="s">
        <v>57639</v>
      </c>
      <c r="K2959" t="s">
        <v>57640</v>
      </c>
      <c r="L2959" t="s">
        <v>57641</v>
      </c>
      <c r="M2959" t="s">
        <v>57642</v>
      </c>
      <c r="N2959">
        <f>-678.356902600091 -44.0459486119037 -529.321741719863</f>
        <v>-1251.7245929318576</v>
      </c>
      <c r="O2959">
        <f>-660.203919282176 -196.15417745879 -499.813503774749</f>
        <v>-1356.171600515715</v>
      </c>
      <c r="P2959">
        <f>-584.180481440643 -202.029912907534 -228.217235488549</f>
        <v>-1014.4276298367261</v>
      </c>
      <c r="Q2959">
        <f>-444.604494565228 -122.551206717787 -395.997419555879</f>
        <v>-963.15312083889398</v>
      </c>
      <c r="R2959" t="s">
        <v>57643</v>
      </c>
      <c r="S2959" t="s">
        <v>57644</v>
      </c>
      <c r="T2959" t="s">
        <v>57645</v>
      </c>
      <c r="U2959" t="s">
        <v>57646</v>
      </c>
      <c r="V2959">
        <f>-612.197345317261 -86.7372723358146 -94.0408605151367</f>
        <v>-792.97547816821236</v>
      </c>
      <c r="W2959" t="s">
        <v>57647</v>
      </c>
      <c r="X2959" t="s">
        <v>57648</v>
      </c>
      <c r="Y2959" t="s">
        <v>57649</v>
      </c>
    </row>
    <row r="2960" spans="1:25" x14ac:dyDescent="0.3">
      <c r="A2960">
        <v>147950</v>
      </c>
      <c r="B2960" t="s">
        <v>57650</v>
      </c>
      <c r="C2960" t="s">
        <v>57651</v>
      </c>
      <c r="D2960">
        <f>-650.607084418554 -3.59674445100904 -202.057923038122</f>
        <v>-856.26175190768504</v>
      </c>
      <c r="E2960">
        <f>-662.260826367294 -6.82705444513795 -294.142652857099</f>
        <v>-963.23053366953104</v>
      </c>
      <c r="F2960">
        <f>-671.525551230118 -9.44327819561636 -377.482013224695</f>
        <v>-1058.4508426504294</v>
      </c>
      <c r="G2960">
        <f>-678.966880260382 -11.6568048719105 -461.015633269131</f>
        <v>-1151.6393184014235</v>
      </c>
      <c r="H2960">
        <f>-687.842714167856 -14.4541596465347 -583.319912631928</f>
        <v>-1285.6167864463187</v>
      </c>
      <c r="I2960">
        <f>-676.590420158353 -9.26952623325451 -660.693690047653</f>
        <v>-1346.5536364392606</v>
      </c>
      <c r="J2960" t="s">
        <v>57652</v>
      </c>
      <c r="K2960" t="s">
        <v>57653</v>
      </c>
      <c r="L2960" t="s">
        <v>57654</v>
      </c>
      <c r="M2960" t="s">
        <v>57655</v>
      </c>
      <c r="N2960">
        <f>-678.344047543736 -44.081706290408 -529.354795621142</f>
        <v>-1251.7805494552858</v>
      </c>
      <c r="O2960">
        <f>-660.034455763939 -196.211071546054 -500.030387194038</f>
        <v>-1356.2759145040309</v>
      </c>
      <c r="P2960">
        <f>-583.67024089431 -201.968753903715 -228.527226560705</f>
        <v>-1014.16622135873</v>
      </c>
      <c r="Q2960">
        <f>-443.96716597381 -122.680193350233 -396.291692517722</f>
        <v>-962.93905184176504</v>
      </c>
      <c r="R2960" t="s">
        <v>57656</v>
      </c>
      <c r="S2960" t="s">
        <v>57657</v>
      </c>
      <c r="T2960" t="s">
        <v>57658</v>
      </c>
      <c r="U2960" t="s">
        <v>57659</v>
      </c>
      <c r="V2960">
        <f>-612.142919143821 -86.9152097215697 -94.04159516663</f>
        <v>-793.09972403202073</v>
      </c>
      <c r="W2960" t="s">
        <v>57660</v>
      </c>
      <c r="X2960" t="s">
        <v>57661</v>
      </c>
      <c r="Y2960" t="s">
        <v>57662</v>
      </c>
    </row>
    <row r="2961" spans="1:25" x14ac:dyDescent="0.3">
      <c r="A2961">
        <v>148000</v>
      </c>
      <c r="B2961" t="s">
        <v>57663</v>
      </c>
      <c r="C2961" t="s">
        <v>57664</v>
      </c>
      <c r="D2961">
        <f>-650.846602915592 -3.91648696694915 -202.035272447025</f>
        <v>-856.7983623295662</v>
      </c>
      <c r="E2961">
        <f>-662.46451569485 -7.09632970261828 -294.126151677799</f>
        <v>-963.6869970752673</v>
      </c>
      <c r="F2961">
        <f>-671.706555836998 -9.63588243210643 -377.470497856463</f>
        <v>-1058.8129361255674</v>
      </c>
      <c r="G2961">
        <f>-679.134861820096 -11.74056307557 -461.008085398245</f>
        <v>-1151.8835102939111</v>
      </c>
      <c r="H2961">
        <f>-688.002076185577 -14.3438861975676 -583.317280508573</f>
        <v>-1285.6632428917178</v>
      </c>
      <c r="I2961">
        <f>-676.684145267451 -9.05630315082817 -660.674482965285</f>
        <v>-1346.4149313835642</v>
      </c>
      <c r="J2961" t="s">
        <v>57665</v>
      </c>
      <c r="K2961" t="s">
        <v>57666</v>
      </c>
      <c r="L2961" t="s">
        <v>57667</v>
      </c>
      <c r="M2961" t="s">
        <v>57668</v>
      </c>
      <c r="N2961">
        <f>-678.468058529171 -44.0499205528367 -529.401454786324</f>
        <v>-1251.9194338683319</v>
      </c>
      <c r="O2961">
        <f>-659.900310026042 -196.185084087218 -500.265531749622</f>
        <v>-1356.3509258628819</v>
      </c>
      <c r="P2961">
        <f>-583.364567654983 -202.118328055989 -228.814539684726</f>
        <v>-1014.297435395698</v>
      </c>
      <c r="Q2961">
        <f>-443.228963451046 -122.748413891222 -396.179223193356</f>
        <v>-962.15660053562397</v>
      </c>
      <c r="R2961" t="s">
        <v>57669</v>
      </c>
      <c r="S2961" t="s">
        <v>57670</v>
      </c>
      <c r="T2961" t="s">
        <v>57671</v>
      </c>
      <c r="U2961" t="s">
        <v>57672</v>
      </c>
      <c r="V2961">
        <f>-612.293662092801 -87.0590389239637 -94.0185825414699</f>
        <v>-793.37128355823461</v>
      </c>
      <c r="W2961" t="s">
        <v>57673</v>
      </c>
      <c r="X2961" t="s">
        <v>57674</v>
      </c>
      <c r="Y2961" t="s">
        <v>57675</v>
      </c>
    </row>
    <row r="2962" spans="1:25" x14ac:dyDescent="0.3">
      <c r="A2962">
        <v>148050</v>
      </c>
      <c r="B2962" t="s">
        <v>57676</v>
      </c>
      <c r="C2962" t="s">
        <v>57677</v>
      </c>
      <c r="D2962">
        <f>-651.039152040494 -3.95025535307309 -202.043725674573</f>
        <v>-857.03313306814005</v>
      </c>
      <c r="E2962">
        <f>-662.614889284777 -7.11663491739955 -294.140317085824</f>
        <v>-963.8718412880005</v>
      </c>
      <c r="F2962">
        <f>-671.816379976349 -9.63407462774717 -377.489796700455</f>
        <v>-1058.9402513045511</v>
      </c>
      <c r="G2962">
        <f>-679.201757058974 -11.7065019062325 -461.03199310217</f>
        <v>-1151.9402520673764</v>
      </c>
      <c r="H2962">
        <f>-688.003617410713 -14.2517604697387 -583.347088588447</f>
        <v>-1285.6024664688987</v>
      </c>
      <c r="I2962">
        <f>-676.610634685319 -8.94731569717396 -660.692174709464</f>
        <v>-1346.250125091957</v>
      </c>
      <c r="J2962" t="s">
        <v>57678</v>
      </c>
      <c r="K2962" t="s">
        <v>57679</v>
      </c>
      <c r="L2962" t="s">
        <v>57680</v>
      </c>
      <c r="M2962" t="s">
        <v>57681</v>
      </c>
      <c r="N2962">
        <f>-678.479267189472 -43.9798880499702 -529.441870746656</f>
        <v>-1251.9010259860984</v>
      </c>
      <c r="O2962">
        <f>-659.807794662901 -196.110874296681 -500.378828597089</f>
        <v>-1356.297497556671</v>
      </c>
      <c r="P2962">
        <f>-583.598809563842 -202.362323227367 -228.84303945631</f>
        <v>-1014.8041722475191</v>
      </c>
      <c r="Q2962">
        <f>-443.106541171451 -122.885433514236 -395.857719901539</f>
        <v>-961.84969458722594</v>
      </c>
      <c r="R2962" t="s">
        <v>57682</v>
      </c>
      <c r="S2962" t="s">
        <v>57683</v>
      </c>
      <c r="T2962" t="s">
        <v>57684</v>
      </c>
      <c r="U2962" t="s">
        <v>57685</v>
      </c>
      <c r="V2962">
        <f>-612.486796258709 -86.9959778720145 -94.0122737841048</f>
        <v>-793.49504791482821</v>
      </c>
      <c r="W2962" t="s">
        <v>57686</v>
      </c>
      <c r="X2962" t="s">
        <v>57687</v>
      </c>
      <c r="Y2962" t="s">
        <v>57688</v>
      </c>
    </row>
    <row r="2963" spans="1:25" x14ac:dyDescent="0.3">
      <c r="A2963">
        <v>148100</v>
      </c>
      <c r="B2963" t="s">
        <v>57689</v>
      </c>
      <c r="C2963" t="s">
        <v>57690</v>
      </c>
      <c r="D2963">
        <f>-651.493592213237 -3.80704427209594 -202.08522439838</f>
        <v>-857.38586088371289</v>
      </c>
      <c r="E2963">
        <f>-662.96989993026 -6.9782316935009 -294.194214159034</f>
        <v>-964.14234578279491</v>
      </c>
      <c r="F2963">
        <f>-672.069846700304 -9.50677564242255 -377.55442394162</f>
        <v>-1059.1310462843464</v>
      </c>
      <c r="G2963">
        <f>-679.341956126246 -11.5965258445056 -461.106142181921</f>
        <v>-1152.0446241526724</v>
      </c>
      <c r="H2963">
        <f>-687.965396680846 -14.1738338742707 -583.433287482408</f>
        <v>-1285.5725180375248</v>
      </c>
      <c r="I2963">
        <f>-676.399937180001 -8.93227350185771 -660.75708499788</f>
        <v>-1346.0892956797388</v>
      </c>
      <c r="J2963" t="s">
        <v>57691</v>
      </c>
      <c r="K2963" t="s">
        <v>57692</v>
      </c>
      <c r="L2963" t="s">
        <v>57693</v>
      </c>
      <c r="M2963" t="s">
        <v>57694</v>
      </c>
      <c r="N2963">
        <f>-678.490492628379 -43.8824944348851 -529.508612109167</f>
        <v>-1251.8815991724309</v>
      </c>
      <c r="O2963">
        <f>-659.772405919876 -195.98369000103 -500.354090900761</f>
        <v>-1356.110186821667</v>
      </c>
      <c r="P2963">
        <f>-584.457785852702 -202.369822181978 -228.572022566237</f>
        <v>-1015.399630600917</v>
      </c>
      <c r="Q2963">
        <f>-443.342619054235 -123.01398125117 -395.118499457886</f>
        <v>-961.47509976329093</v>
      </c>
      <c r="R2963" t="s">
        <v>57695</v>
      </c>
      <c r="S2963" t="s">
        <v>57696</v>
      </c>
      <c r="T2963" t="s">
        <v>57697</v>
      </c>
      <c r="U2963" t="s">
        <v>57698</v>
      </c>
      <c r="V2963">
        <f>-612.999879248374 -86.803304539505 -94.0334429703788</f>
        <v>-793.83662675825781</v>
      </c>
      <c r="W2963" t="s">
        <v>57699</v>
      </c>
      <c r="X2963" t="s">
        <v>57700</v>
      </c>
      <c r="Y2963" t="s">
        <v>57701</v>
      </c>
    </row>
    <row r="2964" spans="1:25" x14ac:dyDescent="0.3">
      <c r="A2964">
        <v>148150</v>
      </c>
      <c r="B2964" t="s">
        <v>57702</v>
      </c>
      <c r="C2964" t="s">
        <v>57703</v>
      </c>
      <c r="D2964">
        <f>-651.664974758417 -3.60518177050471 -202.125216645851</f>
        <v>-857.39537317477266</v>
      </c>
      <c r="E2964">
        <f>-663.0892108847 -6.80122380792159 -294.239817682635</f>
        <v>-964.13025237525665</v>
      </c>
      <c r="F2964">
        <f>-672.143354754863 -9.37205993885118 -377.603650015571</f>
        <v>-1059.1190647092853</v>
      </c>
      <c r="G2964">
        <f>-679.371031150308 -11.5242835490899 -461.157717184404</f>
        <v>-1152.0530318838019</v>
      </c>
      <c r="H2964">
        <f>-687.930945258349 -14.2146352540472 -583.486766234105</f>
        <v>-1285.6323467465011</v>
      </c>
      <c r="I2964">
        <f>-676.278100476539 -9.06815826645902 -660.803965143161</f>
        <v>-1346.150223886159</v>
      </c>
      <c r="J2964" t="s">
        <v>57704</v>
      </c>
      <c r="K2964" t="s">
        <v>57705</v>
      </c>
      <c r="L2964" t="s">
        <v>57706</v>
      </c>
      <c r="M2964" t="s">
        <v>57707</v>
      </c>
      <c r="N2964">
        <f>-678.482959043739 -43.8732304486787 -529.529872302632</f>
        <v>-1251.8860617950497</v>
      </c>
      <c r="O2964">
        <f>-659.817188910751 -195.956283544367 -500.21671876962</f>
        <v>-1355.9901912247381</v>
      </c>
      <c r="P2964">
        <f>-584.867747900114 -202.10044300358 -228.328097436134</f>
        <v>-1015.2962883398279</v>
      </c>
      <c r="Q2964">
        <f>-443.426152769112 -123.108671552563 -394.770550833037</f>
        <v>-961.30537515471201</v>
      </c>
      <c r="R2964" t="s">
        <v>57708</v>
      </c>
      <c r="S2964" t="s">
        <v>57709</v>
      </c>
      <c r="T2964" t="s">
        <v>57710</v>
      </c>
      <c r="U2964" t="s">
        <v>57711</v>
      </c>
      <c r="V2964">
        <f>-613.229461384364 -86.596346348975 -94.0618125748166</f>
        <v>-793.88762030815553</v>
      </c>
      <c r="W2964" t="s">
        <v>57712</v>
      </c>
      <c r="X2964" t="s">
        <v>57713</v>
      </c>
      <c r="Y2964" t="s">
        <v>57714</v>
      </c>
    </row>
    <row r="2965" spans="1:25" x14ac:dyDescent="0.3">
      <c r="A2965">
        <v>148200</v>
      </c>
      <c r="B2965" t="s">
        <v>57715</v>
      </c>
      <c r="C2965" t="s">
        <v>57716</v>
      </c>
      <c r="D2965">
        <f>-651.936090480042 -3.02249087865198 -202.189103641394</f>
        <v>-857.14768500008802</v>
      </c>
      <c r="E2965">
        <f>-663.267721608744 -6.24278952452642 -294.314412325424</f>
        <v>-963.82492345869434</v>
      </c>
      <c r="F2965">
        <f>-672.239551070671 -8.87114495053379 -377.685459269363</f>
        <v>-1058.7961552905679</v>
      </c>
      <c r="G2965">
        <f>-679.386221401575 -11.1168221130513 -461.24386319942</f>
        <v>-1151.7469067140462</v>
      </c>
      <c r="H2965">
        <f>-687.829388106457 -13.983879927413 -583.577076428554</f>
        <v>-1285.3903444624241</v>
      </c>
      <c r="I2965">
        <f>-676.010168922543 -9.08444385191046 -660.88501665222</f>
        <v>-1345.9796294266735</v>
      </c>
      <c r="J2965" t="s">
        <v>57717</v>
      </c>
      <c r="K2965" t="s">
        <v>57718</v>
      </c>
      <c r="L2965" t="s">
        <v>57719</v>
      </c>
      <c r="M2965" t="s">
        <v>57720</v>
      </c>
      <c r="N2965">
        <f>-678.453744382532 -43.5682167378632 -529.566929583793</f>
        <v>-1251.5888907041881</v>
      </c>
      <c r="O2965">
        <f>-660.029784475718 -195.61117215216 -499.877440556364</f>
        <v>-1355.5183971842421</v>
      </c>
      <c r="P2965">
        <f>-585.562720227905 -201.243693369543 -227.84528966138</f>
        <v>-1014.651703258828</v>
      </c>
      <c r="Q2965">
        <f>-443.153333388217 -123.176714708523 -393.898474028039</f>
        <v>-960.22852212477903</v>
      </c>
      <c r="R2965" t="s">
        <v>57721</v>
      </c>
      <c r="S2965" t="s">
        <v>57722</v>
      </c>
      <c r="T2965" t="s">
        <v>57723</v>
      </c>
      <c r="U2965" t="s">
        <v>57724</v>
      </c>
      <c r="V2965">
        <f>-613.717924012668 -86.1143807617377 -94.1167456345423</f>
        <v>-793.9490504089481</v>
      </c>
      <c r="W2965" t="s">
        <v>57725</v>
      </c>
      <c r="X2965" t="s">
        <v>57726</v>
      </c>
      <c r="Y2965" t="s">
        <v>57727</v>
      </c>
    </row>
    <row r="2966" spans="1:25" x14ac:dyDescent="0.3">
      <c r="A2966">
        <v>148250</v>
      </c>
      <c r="B2966" t="s">
        <v>57728</v>
      </c>
      <c r="C2966" t="s">
        <v>57729</v>
      </c>
      <c r="D2966">
        <f>-652.017185927124 -2.60571334292104 -202.218559214073</f>
        <v>-856.84145848411811</v>
      </c>
      <c r="E2966">
        <f>-663.285395812082 -5.82626833276868 -294.351453706568</f>
        <v>-963.4631178514187</v>
      </c>
      <c r="F2966">
        <f>-672.196517045926 -8.46880242899806 -377.728674335524</f>
        <v>-1058.3939938104481</v>
      </c>
      <c r="G2966">
        <f>-679.278993234022 -10.743261949591 -461.291795437282</f>
        <v>-1151.3140506208949</v>
      </c>
      <c r="H2966">
        <f>-687.624496442274 -13.6681032668837 -583.63043172068</f>
        <v>-1284.9230314298377</v>
      </c>
      <c r="I2966">
        <f>-675.73628723317 -8.89691699435434 -660.9356968677</f>
        <v>-1345.5689010952242</v>
      </c>
      <c r="J2966" t="s">
        <v>57730</v>
      </c>
      <c r="K2966" t="s">
        <v>57731</v>
      </c>
      <c r="L2966" t="s">
        <v>57732</v>
      </c>
      <c r="M2966" t="s">
        <v>57733</v>
      </c>
      <c r="N2966">
        <f>-678.316938220239 -43.2316671490282 -529.596909028808</f>
        <v>-1251.1455143980752</v>
      </c>
      <c r="O2966">
        <f>-660.02807171154 -195.271788284271 -499.789140216526</f>
        <v>-1355.0890002123369</v>
      </c>
      <c r="P2966">
        <f>-585.89797995705 -200.8176726936 -227.663146844756</f>
        <v>-1014.3787994954059</v>
      </c>
      <c r="Q2966">
        <f>-442.812720732784 -123.123440140093 -393.309689857788</f>
        <v>-959.24585073066487</v>
      </c>
      <c r="R2966" t="s">
        <v>57734</v>
      </c>
      <c r="S2966" t="s">
        <v>57735</v>
      </c>
      <c r="T2966" t="s">
        <v>57736</v>
      </c>
      <c r="U2966" t="s">
        <v>57737</v>
      </c>
      <c r="V2966">
        <f>-613.940000534225 -85.7620598689268 -94.1345087511199</f>
        <v>-793.83656915427173</v>
      </c>
      <c r="W2966" t="s">
        <v>57738</v>
      </c>
      <c r="X2966" t="s">
        <v>57739</v>
      </c>
      <c r="Y2966" t="s">
        <v>57740</v>
      </c>
    </row>
    <row r="2967" spans="1:25" x14ac:dyDescent="0.3">
      <c r="A2967">
        <v>148300</v>
      </c>
      <c r="B2967" t="s">
        <v>57741</v>
      </c>
      <c r="C2967" t="s">
        <v>57742</v>
      </c>
      <c r="D2967">
        <f>-652.051948202352 -1.48210796088188 -202.251982907672</f>
        <v>-855.78603907090587</v>
      </c>
      <c r="E2967">
        <f>-663.246206917146 -4.71434474018815 -294.39365186046</f>
        <v>-962.35420351779408</v>
      </c>
      <c r="F2967">
        <f>-672.090747701027 -7.38920914009123 -377.776808243014</f>
        <v>-1057.2567650841322</v>
      </c>
      <c r="G2967">
        <f>-679.106839807126 -9.71930978791647 -461.344067356587</f>
        <v>-1150.1702169516295</v>
      </c>
      <c r="H2967">
        <f>-687.355448465121 -12.7505527201922 -583.68654640655</f>
        <v>-1283.7925475918632</v>
      </c>
      <c r="I2967">
        <f>-675.295457158815 -8.16539988644945 -660.976655921554</f>
        <v>-1344.4375129668183</v>
      </c>
      <c r="J2967" t="s">
        <v>57743</v>
      </c>
      <c r="K2967" t="s">
        <v>57744</v>
      </c>
      <c r="L2967" t="s">
        <v>57745</v>
      </c>
      <c r="M2967" t="s">
        <v>57746</v>
      </c>
      <c r="N2967">
        <f>-678.147466950182 -42.2772108059414 -529.615990122872</f>
        <v>-1250.0406678789955</v>
      </c>
      <c r="O2967">
        <f>-660.168969369131 -194.307402609079 -499.59601973592</f>
        <v>-1354.0723917141299</v>
      </c>
      <c r="P2967">
        <f>-586.960181491963 -199.508889911113 -227.213852652578</f>
        <v>-1013.682924055654</v>
      </c>
      <c r="Q2967">
        <f>-442.163582134519 -122.598241144256 -391.735212503214</f>
        <v>-956.49703578198887</v>
      </c>
      <c r="R2967" t="s">
        <v>57747</v>
      </c>
      <c r="S2967" t="s">
        <v>57748</v>
      </c>
      <c r="T2967" t="s">
        <v>57749</v>
      </c>
      <c r="U2967" t="s">
        <v>57750</v>
      </c>
      <c r="V2967">
        <f>-614.291039125537 -84.7983604237288 -94.1441191760252</f>
        <v>-793.23351872529111</v>
      </c>
      <c r="W2967" t="s">
        <v>57751</v>
      </c>
      <c r="X2967" t="s">
        <v>57752</v>
      </c>
      <c r="Y2967" t="s">
        <v>57753</v>
      </c>
    </row>
    <row r="2968" spans="1:25" x14ac:dyDescent="0.3">
      <c r="A2968">
        <v>148350</v>
      </c>
      <c r="B2968" t="s">
        <v>57754</v>
      </c>
      <c r="C2968" t="s">
        <v>57755</v>
      </c>
      <c r="D2968">
        <f>-651.965253905653 -0.936852107110326 -202.260625706022</f>
        <v>-855.16273171878527</v>
      </c>
      <c r="E2968">
        <f>-663.151957642076 -4.17426862458956 -294.402920924277</f>
        <v>-961.72914719094251</v>
      </c>
      <c r="F2968">
        <f>-671.998222523436 -6.860324101164 -377.785621682574</f>
        <v>-1056.6441683071739</v>
      </c>
      <c r="G2968">
        <f>-679.024367290699 -9.20816723720145 -461.3514854922</f>
        <v>-1149.5840200201005</v>
      </c>
      <c r="H2968">
        <f>-687.296971837029 -12.2729970328176 -583.691573050014</f>
        <v>-1283.2615419198605</v>
      </c>
      <c r="I2968">
        <f>-675.13363615306 -7.74258500302062 -660.968562503858</f>
        <v>-1343.8447836599387</v>
      </c>
      <c r="J2968" t="s">
        <v>57756</v>
      </c>
      <c r="K2968" t="s">
        <v>57757</v>
      </c>
      <c r="L2968" t="s">
        <v>57758</v>
      </c>
      <c r="M2968" t="s">
        <v>57759</v>
      </c>
      <c r="N2968">
        <f>-678.115075411152 -41.7913909061003 -529.611998717537</f>
        <v>-1249.5184650347892</v>
      </c>
      <c r="O2968">
        <f>-660.299993778221 -193.820102259028 -499.478346169024</f>
        <v>-1353.5984422062729</v>
      </c>
      <c r="P2968">
        <f>-587.492362144934 -198.669418242883 -226.982262101969</f>
        <v>-1013.144042489786</v>
      </c>
      <c r="Q2968">
        <f>-441.763343815409 -122.197892734882 -390.883665386708</f>
        <v>-954.84490193699901</v>
      </c>
      <c r="R2968" t="s">
        <v>57760</v>
      </c>
      <c r="S2968" t="s">
        <v>57761</v>
      </c>
      <c r="T2968" t="s">
        <v>57762</v>
      </c>
      <c r="U2968" t="s">
        <v>57763</v>
      </c>
      <c r="V2968">
        <f>-614.349701522313 -84.364271994621 -94.1372105057746</f>
        <v>-792.85118402270871</v>
      </c>
      <c r="W2968" t="s">
        <v>57764</v>
      </c>
      <c r="X2968" t="s">
        <v>57765</v>
      </c>
      <c r="Y2968" t="s">
        <v>57766</v>
      </c>
    </row>
    <row r="2969" spans="1:25" x14ac:dyDescent="0.3">
      <c r="A2969">
        <v>148400</v>
      </c>
      <c r="B2969" t="s">
        <v>57767</v>
      </c>
      <c r="C2969" t="s">
        <v>57768</v>
      </c>
      <c r="D2969" t="s">
        <v>57769</v>
      </c>
      <c r="E2969">
        <f>-662.879668637864 -3.13178778347697 -294.390967067999</f>
        <v>-960.40242348933998</v>
      </c>
      <c r="F2969">
        <f>-671.757932595924 -5.82686275584797 -377.769885890311</f>
        <v>-1055.354681242083</v>
      </c>
      <c r="G2969">
        <f>-678.828330839186 -8.19245249939786 -461.331693060311</f>
        <v>-1148.3524763988949</v>
      </c>
      <c r="H2969">
        <f>-687.179123215847 -11.2924413629742 -583.66538006457</f>
        <v>-1282.136944643391</v>
      </c>
      <c r="I2969">
        <f>-674.842399858919 -6.8712892607582 -660.921324605737</f>
        <v>-1342.6350137254142</v>
      </c>
      <c r="J2969" t="s">
        <v>57770</v>
      </c>
      <c r="K2969" t="s">
        <v>57771</v>
      </c>
      <c r="L2969" t="s">
        <v>57772</v>
      </c>
      <c r="M2969" t="s">
        <v>57773</v>
      </c>
      <c r="N2969">
        <f>-678.004456688096 -40.8029102284015 -529.580370597465</f>
        <v>-1248.3877375139625</v>
      </c>
      <c r="O2969">
        <f>-660.403165992142 -192.837430930193 -499.391577374067</f>
        <v>-1352.6321742964021</v>
      </c>
      <c r="P2969">
        <f>-588.939787973407 -197.3003399394 -226.533197281043</f>
        <v>-1012.77332519385</v>
      </c>
      <c r="Q2969">
        <f>-441.626811403682 -122.023170281898 -389.569235214289</f>
        <v>-953.21921689986902</v>
      </c>
      <c r="R2969" t="s">
        <v>57774</v>
      </c>
      <c r="S2969" t="s">
        <v>57775</v>
      </c>
      <c r="T2969" t="s">
        <v>57776</v>
      </c>
      <c r="U2969" t="s">
        <v>57777</v>
      </c>
      <c r="V2969">
        <f>-614.252528232777 -83.5623378620505 -94.1094777809886</f>
        <v>-791.92434387581613</v>
      </c>
      <c r="W2969" t="s">
        <v>57778</v>
      </c>
      <c r="X2969" t="s">
        <v>57779</v>
      </c>
      <c r="Y2969" t="s">
        <v>57780</v>
      </c>
    </row>
    <row r="2970" spans="1:25" x14ac:dyDescent="0.3">
      <c r="A2970">
        <v>148450</v>
      </c>
      <c r="B2970" t="s">
        <v>57781</v>
      </c>
      <c r="C2970" t="s">
        <v>57782</v>
      </c>
      <c r="D2970" t="s">
        <v>57783</v>
      </c>
      <c r="E2970">
        <f>-662.650465266878 -2.69481985033622 -294.381908229482</f>
        <v>-959.72719334669614</v>
      </c>
      <c r="F2970">
        <f>-671.526247237452 -5.39089246989829 -377.761133786137</f>
        <v>-1054.6782734934873</v>
      </c>
      <c r="G2970">
        <f>-678.590003737215 -7.7597248446566 -461.323216056491</f>
        <v>-1147.6729446383627</v>
      </c>
      <c r="H2970">
        <f>-686.926689022309 -10.8673503715133 -583.657942656644</f>
        <v>-1281.4519820504663</v>
      </c>
      <c r="I2970">
        <f>-674.53866077679 -6.49411872934411 -660.908156653363</f>
        <v>-1341.9409361594971</v>
      </c>
      <c r="J2970" t="s">
        <v>57784</v>
      </c>
      <c r="K2970" t="s">
        <v>57785</v>
      </c>
      <c r="L2970" t="s">
        <v>57786</v>
      </c>
      <c r="M2970" t="s">
        <v>57787</v>
      </c>
      <c r="N2970">
        <f>-677.786621434022 -40.3794020284317 -529.567775780352</f>
        <v>-1247.7337992428056</v>
      </c>
      <c r="O2970">
        <f>-660.295681104025 -192.435527546376 -499.391215858164</f>
        <v>-1352.122424508565</v>
      </c>
      <c r="P2970">
        <f>-589.535680661301 -196.814392081151 -226.34841968527</f>
        <v>-1012.6984924277219</v>
      </c>
      <c r="Q2970">
        <f>-441.630062876106 -122.340557902956 -389.216822599836</f>
        <v>-953.18744337889802</v>
      </c>
      <c r="R2970" t="s">
        <v>57788</v>
      </c>
      <c r="S2970" t="s">
        <v>57789</v>
      </c>
      <c r="T2970" t="s">
        <v>57790</v>
      </c>
      <c r="U2970" t="s">
        <v>57791</v>
      </c>
      <c r="V2970">
        <f>-614.090064777011 -83.268986647983 -94.0946419742255</f>
        <v>-791.45369339921945</v>
      </c>
      <c r="W2970" t="s">
        <v>57792</v>
      </c>
      <c r="X2970" t="s">
        <v>57793</v>
      </c>
      <c r="Y2970" t="s">
        <v>57794</v>
      </c>
    </row>
    <row r="2971" spans="1:25" x14ac:dyDescent="0.3">
      <c r="A2971">
        <v>148500</v>
      </c>
      <c r="B2971" t="s">
        <v>57795</v>
      </c>
      <c r="C2971" t="s">
        <v>57796</v>
      </c>
      <c r="D2971" t="s">
        <v>57797</v>
      </c>
      <c r="E2971">
        <f>-662.106940696498 -1.90384842179992 -294.397850529454</f>
        <v>-958.4086396477519</v>
      </c>
      <c r="F2971">
        <f>-670.971458184928 -4.57135325608988 -377.779144546934</f>
        <v>-1053.3219559879519</v>
      </c>
      <c r="G2971">
        <f>-678.023436930093 -6.91405154257541 -461.343009438897</f>
        <v>-1146.2804979115654</v>
      </c>
      <c r="H2971">
        <f>-686.342181335917 -9.98603913972011 -583.679843844074</f>
        <v>-1280.0080643197111</v>
      </c>
      <c r="I2971">
        <f>-673.881427742682 -5.62369845635021 -660.919137607145</f>
        <v>-1340.4242638061774</v>
      </c>
      <c r="J2971" t="s">
        <v>57798</v>
      </c>
      <c r="K2971" t="s">
        <v>57799</v>
      </c>
      <c r="L2971" t="s">
        <v>57800</v>
      </c>
      <c r="M2971" t="s">
        <v>57801</v>
      </c>
      <c r="N2971">
        <f>-677.278097556899 -39.5257972120394 -529.591965863834</f>
        <v>-1246.3958606327724</v>
      </c>
      <c r="O2971">
        <f>-660.080020771638 -191.625001947321 -499.473519803347</f>
        <v>-1351.1785425223061</v>
      </c>
      <c r="P2971">
        <f>-590.335804673953 -195.985929198293 -226.169143628648</f>
        <v>-1012.4908775008939</v>
      </c>
      <c r="Q2971">
        <f>-441.267775851721 -123.313509547127 -388.791291419727</f>
        <v>-953.372576818575</v>
      </c>
      <c r="R2971" t="s">
        <v>57802</v>
      </c>
      <c r="S2971" t="s">
        <v>57803</v>
      </c>
      <c r="T2971" t="s">
        <v>57804</v>
      </c>
      <c r="U2971" t="s">
        <v>57805</v>
      </c>
      <c r="V2971">
        <f>-613.773006872571 -82.8173414360722 -94.0752659151456</f>
        <v>-790.66561422378879</v>
      </c>
      <c r="W2971" t="s">
        <v>57806</v>
      </c>
      <c r="X2971" t="s">
        <v>57807</v>
      </c>
      <c r="Y2971" t="s">
        <v>57808</v>
      </c>
    </row>
    <row r="2972" spans="1:25" x14ac:dyDescent="0.3">
      <c r="A2972">
        <v>148550</v>
      </c>
      <c r="B2972" t="s">
        <v>57809</v>
      </c>
      <c r="C2972" t="s">
        <v>57810</v>
      </c>
      <c r="D2972" t="s">
        <v>57811</v>
      </c>
      <c r="E2972">
        <f>-661.84845342234 -1.55629250904713 -294.389831459334</f>
        <v>-957.79457739072109</v>
      </c>
      <c r="F2972">
        <f>-670.711047503772 -4.2130512101005 -377.771699384549</f>
        <v>-1052.6957980984214</v>
      </c>
      <c r="G2972">
        <f>-677.766251066483 -6.54906507336136 -461.33549259375</f>
        <v>-1145.6508087335944</v>
      </c>
      <c r="H2972">
        <f>-686.095326699609 -9.61594601632646 -583.671724121461</f>
        <v>-1279.3829968373966</v>
      </c>
      <c r="I2972">
        <f>-673.605429847592 -5.23513106810015 -660.905156350211</f>
        <v>-1339.7457172659031</v>
      </c>
      <c r="J2972" t="s">
        <v>57812</v>
      </c>
      <c r="K2972" t="s">
        <v>57813</v>
      </c>
      <c r="L2972" t="s">
        <v>57814</v>
      </c>
      <c r="M2972" t="s">
        <v>57815</v>
      </c>
      <c r="N2972">
        <f>-677.064694316664 -39.1646583595104 -529.583191760015</f>
        <v>-1245.8125444361895</v>
      </c>
      <c r="O2972">
        <f>-659.999845141335 -191.286071101347 -499.490704445856</f>
        <v>-1350.7766206885381</v>
      </c>
      <c r="P2972">
        <f>-590.624371224614 -195.711604801792 -226.093548196947</f>
        <v>-1012.429524223353</v>
      </c>
      <c r="Q2972">
        <f>-441.013995119802 -123.774189920699 -388.544184062093</f>
        <v>-953.33236910259404</v>
      </c>
      <c r="R2972" t="s">
        <v>57816</v>
      </c>
      <c r="S2972" t="s">
        <v>57817</v>
      </c>
      <c r="T2972" t="s">
        <v>57818</v>
      </c>
      <c r="U2972" t="s">
        <v>57819</v>
      </c>
      <c r="V2972">
        <f>-613.634960304886 -82.6392329066632 -94.0661104523983</f>
        <v>-790.34030366394757</v>
      </c>
      <c r="W2972" t="s">
        <v>57820</v>
      </c>
      <c r="X2972" t="s">
        <v>57821</v>
      </c>
      <c r="Y2972" t="s">
        <v>57822</v>
      </c>
    </row>
    <row r="2973" spans="1:25" x14ac:dyDescent="0.3">
      <c r="A2973">
        <v>148600</v>
      </c>
      <c r="B2973" t="s">
        <v>57823</v>
      </c>
      <c r="C2973" t="s">
        <v>57824</v>
      </c>
      <c r="D2973" t="s">
        <v>57825</v>
      </c>
      <c r="E2973">
        <f>-661.433445446406 -1.21397680383961 -294.335959779727</f>
        <v>-956.98338202997263</v>
      </c>
      <c r="F2973">
        <f>-670.311434515244 -3.79770448853287 -377.718461708307</f>
        <v>-1051.8276007120839</v>
      </c>
      <c r="G2973">
        <f>-677.394412059852 -6.05013532804128 -461.28222524127</f>
        <v>-1144.7267726291634</v>
      </c>
      <c r="H2973">
        <f>-685.777708403676 -8.98320982680843 -583.617995956008</f>
        <v>-1278.3789141864925</v>
      </c>
      <c r="I2973">
        <f>-673.27301041058 -4.50333816124635 -660.843489443074</f>
        <v>-1338.6198380149003</v>
      </c>
      <c r="J2973" t="s">
        <v>57826</v>
      </c>
      <c r="K2973" t="s">
        <v>57827</v>
      </c>
      <c r="L2973" t="s">
        <v>57828</v>
      </c>
      <c r="M2973" t="s">
        <v>57829</v>
      </c>
      <c r="N2973">
        <f>-676.776016835101 -38.6000267771792 -529.561977920923</f>
        <v>-1244.9380215332033</v>
      </c>
      <c r="O2973">
        <f>-659.870512937193 -190.770360771234 -499.621197375448</f>
        <v>-1350.2620710838751</v>
      </c>
      <c r="P2973">
        <f>-591.478917365894 -195.251676603776 -225.977048990765</f>
        <v>-1012.7076429604349</v>
      </c>
      <c r="Q2973">
        <f>-440.124161770191 -125.127730085347 -387.60290539381</f>
        <v>-952.85479724934794</v>
      </c>
      <c r="R2973" t="s">
        <v>57830</v>
      </c>
      <c r="S2973" t="s">
        <v>57831</v>
      </c>
      <c r="T2973" t="s">
        <v>57832</v>
      </c>
      <c r="U2973" t="s">
        <v>57833</v>
      </c>
      <c r="V2973">
        <f>-613.393734895693 -82.7055878744115 -94.0446957470659</f>
        <v>-790.14401851717048</v>
      </c>
      <c r="W2973" t="s">
        <v>57834</v>
      </c>
      <c r="X2973" t="s">
        <v>57835</v>
      </c>
      <c r="Y2973" t="s">
        <v>57836</v>
      </c>
    </row>
    <row r="2974" spans="1:25" x14ac:dyDescent="0.3">
      <c r="A2974">
        <v>148650</v>
      </c>
      <c r="B2974" t="s">
        <v>57837</v>
      </c>
      <c r="C2974" t="s">
        <v>57838</v>
      </c>
      <c r="D2974" t="s">
        <v>57839</v>
      </c>
      <c r="E2974">
        <f>-661.266431813183 -1.29316284743618 -294.3244677179</f>
        <v>-956.88406237851916</v>
      </c>
      <c r="F2974">
        <f>-670.122113594148 -3.82821412358589 -377.710892315409</f>
        <v>-1051.6612200331429</v>
      </c>
      <c r="G2974">
        <f>-677.175592955926 -6.02110640612204 -461.278728410508</f>
        <v>-1144.475427772556</v>
      </c>
      <c r="H2974">
        <f>-685.508059961517 -8.85527907255187 -583.620277995163</f>
        <v>-1277.9836170292319</v>
      </c>
      <c r="I2974">
        <f>-672.980547085795 -4.31937033381382 -660.83877309237</f>
        <v>-1338.1386905119789</v>
      </c>
      <c r="J2974" t="s">
        <v>57840</v>
      </c>
      <c r="K2974" t="s">
        <v>57841</v>
      </c>
      <c r="L2974" t="s">
        <v>57842</v>
      </c>
      <c r="M2974" t="s">
        <v>57843</v>
      </c>
      <c r="N2974">
        <f>-676.545164387577 -38.5186139517075 -529.583272610647</f>
        <v>-1244.6470509499313</v>
      </c>
      <c r="O2974">
        <f>-659.696499354028 -190.710066788946 -499.743477858504</f>
        <v>-1350.1500440014779</v>
      </c>
      <c r="P2974">
        <f>-592.03053792172 -195.470245807928 -225.923725673177</f>
        <v>-1013.4245094028249</v>
      </c>
      <c r="Q2974">
        <f>-439.676816761424 -126.1508576024 -386.957118280932</f>
        <v>-952.78479264475595</v>
      </c>
      <c r="R2974" t="s">
        <v>57844</v>
      </c>
      <c r="S2974" t="s">
        <v>57845</v>
      </c>
      <c r="T2974" t="s">
        <v>57846</v>
      </c>
      <c r="U2974" t="s">
        <v>57847</v>
      </c>
      <c r="V2974">
        <f>-613.282342284505 -83.0924862001593 -94.0378601373734</f>
        <v>-790.41268862203776</v>
      </c>
      <c r="W2974" t="s">
        <v>57848</v>
      </c>
      <c r="X2974" t="s">
        <v>57849</v>
      </c>
      <c r="Y2974" t="s">
        <v>57850</v>
      </c>
    </row>
    <row r="2975" spans="1:25" x14ac:dyDescent="0.3">
      <c r="A2975">
        <v>148700</v>
      </c>
      <c r="B2975" t="s">
        <v>57851</v>
      </c>
      <c r="C2975" t="s">
        <v>57852</v>
      </c>
      <c r="D2975" t="s">
        <v>57853</v>
      </c>
      <c r="E2975">
        <f>-661.073892466433 -1.46652993703287 -294.365939036443</f>
        <v>-956.90636143990889</v>
      </c>
      <c r="F2975">
        <f>-669.852476210426 -3.89711662641798 -377.763472536955</f>
        <v>-1051.513065373799</v>
      </c>
      <c r="G2975">
        <f>-676.811669279848 -5.9723994247056 -461.342239400791</f>
        <v>-1144.1263081053446</v>
      </c>
      <c r="H2975">
        <f>-684.987296430904 -8.61930499753089 -583.698606026492</f>
        <v>-1277.3052074549269</v>
      </c>
      <c r="I2975">
        <f>-672.4470264818 -3.98258935266722 -660.909133683193</f>
        <v>-1337.3387495176603</v>
      </c>
      <c r="J2975" t="s">
        <v>57854</v>
      </c>
      <c r="K2975" t="s">
        <v>57855</v>
      </c>
      <c r="L2975" t="s">
        <v>57856</v>
      </c>
      <c r="M2975" t="s">
        <v>57857</v>
      </c>
      <c r="N2975">
        <f>-676.104148030121 -38.3671068546985 -529.694872574539</f>
        <v>-1244.1661274593584</v>
      </c>
      <c r="O2975">
        <f>-659.354383296676 -190.612462540671 -500.043718888048</f>
        <v>-1350.0105647253949</v>
      </c>
      <c r="P2975">
        <f>-593.395502276081 -195.578595400379 -225.811561717784</f>
        <v>-1014.7856593942439</v>
      </c>
      <c r="Q2975">
        <f>-439.268753353448 -127.840235002569 -385.826961915553</f>
        <v>-952.93595027156994</v>
      </c>
      <c r="R2975" t="s">
        <v>57858</v>
      </c>
      <c r="S2975" t="s">
        <v>57859</v>
      </c>
      <c r="T2975" t="s">
        <v>57860</v>
      </c>
      <c r="U2975" t="s">
        <v>57861</v>
      </c>
      <c r="V2975">
        <f>-613.343851997431 -83.4708837358323 -94.0634942084384</f>
        <v>-790.87822994170176</v>
      </c>
      <c r="W2975" t="s">
        <v>57862</v>
      </c>
      <c r="X2975" t="s">
        <v>57863</v>
      </c>
      <c r="Y2975" t="s">
        <v>57864</v>
      </c>
    </row>
    <row r="2976" spans="1:25" x14ac:dyDescent="0.3">
      <c r="A2976">
        <v>148750</v>
      </c>
      <c r="B2976" t="s">
        <v>57865</v>
      </c>
      <c r="C2976" t="s">
        <v>57866</v>
      </c>
      <c r="D2976" t="s">
        <v>57867</v>
      </c>
      <c r="E2976">
        <f>-661.15136414294 -1.49761730263208 -294.364550152668</f>
        <v>-957.01353159824009</v>
      </c>
      <c r="F2976">
        <f>-669.884432402774 -3.86825791503406 -377.768680746515</f>
        <v>-1051.5213710643229</v>
      </c>
      <c r="G2976">
        <f>-676.789861540133 -5.8735290459515 -461.353479017722</f>
        <v>-1144.0168696038065</v>
      </c>
      <c r="H2976">
        <f>-684.878014781139 -8.40683535523749 -583.718119030293</f>
        <v>-1277.0029691666696</v>
      </c>
      <c r="I2976">
        <f>-672.337932583147 -3.7039611422058 -660.924634869741</f>
        <v>-1336.9665285950937</v>
      </c>
      <c r="J2976" t="s">
        <v>57868</v>
      </c>
      <c r="K2976" t="s">
        <v>57869</v>
      </c>
      <c r="L2976" t="s">
        <v>57870</v>
      </c>
      <c r="M2976" t="s">
        <v>57871</v>
      </c>
      <c r="N2976">
        <f>-676.017292935133 -38.2018994142165 -529.736762215004</f>
        <v>-1243.9559545643535</v>
      </c>
      <c r="O2976">
        <f>-659.314505432455 -190.471424942394 -500.168659437462</f>
        <v>-1349.954589812311</v>
      </c>
      <c r="P2976">
        <f>-594.050256880518 -195.085904500416 -225.764056293349</f>
        <v>-1014.900217674283</v>
      </c>
      <c r="Q2976">
        <f>-439.238423380282 -128.301647263908 -385.519246507117</f>
        <v>-953.05931715130691</v>
      </c>
      <c r="R2976" t="s">
        <v>57872</v>
      </c>
      <c r="S2976" t="s">
        <v>57873</v>
      </c>
      <c r="T2976" t="s">
        <v>57874</v>
      </c>
      <c r="U2976" t="s">
        <v>57875</v>
      </c>
      <c r="V2976">
        <f>-613.54690698517 -83.6241061815767 -94.0660373031656</f>
        <v>-791.23705046991233</v>
      </c>
      <c r="W2976" t="s">
        <v>57876</v>
      </c>
      <c r="X2976" t="s">
        <v>57877</v>
      </c>
      <c r="Y2976" t="s">
        <v>57878</v>
      </c>
    </row>
    <row r="2977" spans="1:25" x14ac:dyDescent="0.3">
      <c r="A2977">
        <v>148800</v>
      </c>
      <c r="B2977" t="s">
        <v>57879</v>
      </c>
      <c r="C2977" t="s">
        <v>57880</v>
      </c>
      <c r="D2977" t="s">
        <v>57881</v>
      </c>
      <c r="E2977">
        <f>-661.234529107405 -1.62874811070378 -294.377136687864</f>
        <v>-957.24041390597279</v>
      </c>
      <c r="F2977">
        <f>-669.871910454861 -3.87132788136546 -377.794701393127</f>
        <v>-1051.5379397293534</v>
      </c>
      <c r="G2977">
        <f>-676.683014557581 -5.72730663137941 -461.390838692724</f>
        <v>-1143.8011598816845</v>
      </c>
      <c r="H2977">
        <f>-684.634872064496 -8.01885145146139 -583.76907549486</f>
        <v>-1276.4227990108175</v>
      </c>
      <c r="I2977">
        <f>-672.064681485146 -3.2029601825318 -660.963641021819</f>
        <v>-1336.2312826894968</v>
      </c>
      <c r="J2977" t="s">
        <v>57882</v>
      </c>
      <c r="K2977" t="s">
        <v>57883</v>
      </c>
      <c r="L2977" t="s">
        <v>57884</v>
      </c>
      <c r="M2977" t="s">
        <v>57885</v>
      </c>
      <c r="N2977">
        <f>-675.835265192509 -37.9208580331997 -529.836854359226</f>
        <v>-1243.5929775849347</v>
      </c>
      <c r="O2977">
        <f>-659.260406401448 -190.234760393235 -500.466385366509</f>
        <v>-1349.961552161192</v>
      </c>
      <c r="P2977">
        <f>-594.822096986484 -195.064465468365 -225.870298400329</f>
        <v>-1015.756860855178</v>
      </c>
      <c r="Q2977">
        <f>-439.454337547674 -128.8724814653 -385.331844595603</f>
        <v>-953.65866360857706</v>
      </c>
      <c r="R2977" t="s">
        <v>57886</v>
      </c>
      <c r="S2977" t="s">
        <v>57887</v>
      </c>
      <c r="T2977" t="s">
        <v>57888</v>
      </c>
      <c r="U2977" t="s">
        <v>57889</v>
      </c>
      <c r="V2977">
        <f>-613.911571112335 -83.8582905020207 -94.0803837205109</f>
        <v>-791.8502453348666</v>
      </c>
      <c r="W2977" t="s">
        <v>57890</v>
      </c>
      <c r="X2977" t="s">
        <v>57891</v>
      </c>
      <c r="Y2977" t="s">
        <v>57892</v>
      </c>
    </row>
    <row r="2978" spans="1:25" x14ac:dyDescent="0.3">
      <c r="A2978">
        <v>148850</v>
      </c>
      <c r="B2978" t="s">
        <v>57893</v>
      </c>
      <c r="C2978" t="s">
        <v>57894</v>
      </c>
      <c r="D2978" t="s">
        <v>57895</v>
      </c>
      <c r="E2978">
        <f>-661.211569117518 -1.75728783410273 -294.37052468812</f>
        <v>-957.33938163974074</v>
      </c>
      <c r="F2978">
        <f>-669.801118109068 -3.94162099558184 -377.794603775043</f>
        <v>-1051.5373428796929</v>
      </c>
      <c r="G2978">
        <f>-676.562607852338 -5.73219987245852 -461.396148358117</f>
        <v>-1143.6909560829135</v>
      </c>
      <c r="H2978">
        <f>-684.440027249904 -7.92038438487339 -583.781220001501</f>
        <v>-1276.1416316362784</v>
      </c>
      <c r="I2978">
        <f>-671.861575801099 -3.06885693189793 -660.972179076349</f>
        <v>-1335.9026118093459</v>
      </c>
      <c r="J2978" t="s">
        <v>57896</v>
      </c>
      <c r="K2978" t="s">
        <v>57897</v>
      </c>
      <c r="L2978" t="s">
        <v>57898</v>
      </c>
      <c r="M2978" t="s">
        <v>57899</v>
      </c>
      <c r="N2978">
        <f>-675.696183518172 -37.8717707778521 -529.867226596308</f>
        <v>-1243.435180892332</v>
      </c>
      <c r="O2978">
        <f>-659.259777096705 -190.220685363342 -500.591131378289</f>
        <v>-1350.071593838336</v>
      </c>
      <c r="P2978">
        <f>-594.942382998077 -195.761326292666 -225.980305964249</f>
        <v>-1016.6840152549921</v>
      </c>
      <c r="Q2978">
        <f>-439.757644089961 -129.216539361048 -385.473270963218</f>
        <v>-954.44745441422697</v>
      </c>
      <c r="R2978" t="s">
        <v>57900</v>
      </c>
      <c r="S2978" t="s">
        <v>57901</v>
      </c>
      <c r="T2978" t="s">
        <v>57902</v>
      </c>
      <c r="U2978" t="s">
        <v>57903</v>
      </c>
      <c r="V2978">
        <f>-614.061360897537 -84.0814040182656 -94.0808214867875</f>
        <v>-792.22358640259017</v>
      </c>
      <c r="W2978" t="s">
        <v>57904</v>
      </c>
      <c r="X2978" t="s">
        <v>57905</v>
      </c>
      <c r="Y2978" t="s">
        <v>57906</v>
      </c>
    </row>
    <row r="2979" spans="1:25" x14ac:dyDescent="0.3">
      <c r="A2979">
        <v>148900</v>
      </c>
      <c r="B2979" t="s">
        <v>57907</v>
      </c>
      <c r="C2979" t="s">
        <v>57908</v>
      </c>
      <c r="D2979" t="s">
        <v>57909</v>
      </c>
      <c r="E2979">
        <f>-660.9592049004 -2.24459049186703 -294.348386525832</f>
        <v>-957.552181918099</v>
      </c>
      <c r="F2979">
        <f>-669.526062502663 -4.31482616481821 -377.777754413655</f>
        <v>-1051.6186430811363</v>
      </c>
      <c r="G2979">
        <f>-676.278602451702 -5.9726714406579 -461.382729863473</f>
        <v>-1143.634003755833</v>
      </c>
      <c r="H2979">
        <f>-684.157773606437 -7.94601342577266 -583.771274539777</f>
        <v>-1275.8750615719866</v>
      </c>
      <c r="I2979">
        <f>-671.61234054808 -3.10201177636122 -660.968104837169</f>
        <v>-1335.6824571616103</v>
      </c>
      <c r="J2979" t="s">
        <v>57910</v>
      </c>
      <c r="K2979" t="s">
        <v>57911</v>
      </c>
      <c r="L2979" t="s">
        <v>57912</v>
      </c>
      <c r="M2979" t="s">
        <v>57913</v>
      </c>
      <c r="N2979">
        <f>-675.475119124557 -38.002526341116 -529.906092007954</f>
        <v>-1243.383737473627</v>
      </c>
      <c r="O2979">
        <f>-659.292223891174 -190.411099270417 -500.798188762369</f>
        <v>-1350.5015119239602</v>
      </c>
      <c r="P2979">
        <f>-595.010381990542 -196.401248860333 -226.188343133909</f>
        <v>-1017.599973984784</v>
      </c>
      <c r="Q2979">
        <f>-440.592895409449 -129.281957259693 -386.184616576818</f>
        <v>-956.05946924595992</v>
      </c>
      <c r="R2979" t="s">
        <v>57914</v>
      </c>
      <c r="S2979" t="s">
        <v>57915</v>
      </c>
      <c r="T2979" t="s">
        <v>57916</v>
      </c>
      <c r="U2979" t="s">
        <v>57917</v>
      </c>
      <c r="V2979">
        <f>-614.049172035203 -84.7520610710253 -94.0781929245122</f>
        <v>-792.87942603074055</v>
      </c>
      <c r="W2979" t="s">
        <v>57918</v>
      </c>
      <c r="X2979" t="s">
        <v>57919</v>
      </c>
      <c r="Y2979" t="s">
        <v>57920</v>
      </c>
    </row>
    <row r="2980" spans="1:25" x14ac:dyDescent="0.3">
      <c r="A2980">
        <v>148950</v>
      </c>
      <c r="B2980" t="s">
        <v>57921</v>
      </c>
      <c r="C2980" t="s">
        <v>57922</v>
      </c>
      <c r="D2980" t="s">
        <v>57923</v>
      </c>
      <c r="E2980">
        <f>-660.696243727565 -2.48478742172415 -294.329840876533</f>
        <v>-957.51087202582221</v>
      </c>
      <c r="F2980">
        <f>-669.319128953342 -4.4870309116759 -377.755123243575</f>
        <v>-1051.5612831085928</v>
      </c>
      <c r="G2980">
        <f>-676.147593168566 -6.06310151363573 -461.355532214457</f>
        <v>-1143.5662268966587</v>
      </c>
      <c r="H2980">
        <f>-684.159581694707 -7.90215519525077 -583.737460406524</f>
        <v>-1275.7991972964817</v>
      </c>
      <c r="I2980">
        <f>-671.789551270088 -3.14969794181843 -660.968323762865</f>
        <v>-1335.9075729747715</v>
      </c>
      <c r="J2980" t="s">
        <v>57924</v>
      </c>
      <c r="K2980" t="s">
        <v>57925</v>
      </c>
      <c r="L2980" t="s">
        <v>57926</v>
      </c>
      <c r="M2980" t="s">
        <v>57927</v>
      </c>
      <c r="N2980">
        <f>-675.465617570681 -38.025637115456 -529.911480164132</f>
        <v>-1243.4027348502691</v>
      </c>
      <c r="O2980">
        <f>-659.429534015145 -190.47291891699 -500.888404768081</f>
        <v>-1350.7908577002161</v>
      </c>
      <c r="P2980">
        <f>-595.032965784894 -196.628377783167 -226.309077687578</f>
        <v>-1017.9704212556391</v>
      </c>
      <c r="Q2980">
        <f>-440.788520660006 -129.222782529656 -386.351745327938</f>
        <v>-956.36304851759996</v>
      </c>
      <c r="R2980" t="s">
        <v>57928</v>
      </c>
      <c r="S2980" t="s">
        <v>57929</v>
      </c>
      <c r="T2980" t="s">
        <v>57930</v>
      </c>
      <c r="U2980" t="s">
        <v>57931</v>
      </c>
      <c r="V2980">
        <f>-613.83790165974 -85.0942507428504 -94.0731896521298</f>
        <v>-793.00534205472024</v>
      </c>
      <c r="W2980" t="s">
        <v>57932</v>
      </c>
      <c r="X2980" t="s">
        <v>57933</v>
      </c>
      <c r="Y2980" t="s">
        <v>57934</v>
      </c>
    </row>
    <row r="2981" spans="1:25" x14ac:dyDescent="0.3">
      <c r="A2981">
        <v>149000</v>
      </c>
      <c r="B2981" t="s">
        <v>57935</v>
      </c>
      <c r="C2981" t="s">
        <v>57936</v>
      </c>
      <c r="D2981">
        <f>-649.031681483063 -0.63297582617156 -202.09466522819</f>
        <v>-851.75932253742462</v>
      </c>
      <c r="E2981">
        <f>-659.952236548477 -3.08824851526765 -294.293211500378</f>
        <v>-957.33369656412265</v>
      </c>
      <c r="F2981">
        <f>-668.580882510456 -4.93264332149806 -377.721412920542</f>
        <v>-1051.234938752496</v>
      </c>
      <c r="G2981">
        <f>-675.410609017321 -6.31094708779096 -461.325139534511</f>
        <v>-1143.0466956396231</v>
      </c>
      <c r="H2981">
        <f>-683.419355705087 -7.81672542808519 -583.712018099201</f>
        <v>-1274.9480992323734</v>
      </c>
      <c r="I2981">
        <f>-671.288970168902 -3.23732027006963 -660.991251484407</f>
        <v>-1335.5175419233788</v>
      </c>
      <c r="J2981" t="s">
        <v>57937</v>
      </c>
      <c r="K2981" t="s">
        <v>57938</v>
      </c>
      <c r="L2981" t="s">
        <v>57939</v>
      </c>
      <c r="M2981" t="s">
        <v>57940</v>
      </c>
      <c r="N2981">
        <f>-674.780027817366 -38.0956649566569 -529.964394305638</f>
        <v>-1242.8400870796609</v>
      </c>
      <c r="O2981">
        <f>-658.837527363158 -190.625684486213 -501.41644539068</f>
        <v>-1350.8796572400511</v>
      </c>
      <c r="P2981">
        <f>-594.940196557641 -198.29154786476 -226.758609543117</f>
        <v>-1019.990353965518</v>
      </c>
      <c r="Q2981">
        <f>-440.168133838268 -130.273617350992 -386.031076421273</f>
        <v>-956.47282761053293</v>
      </c>
      <c r="R2981" t="s">
        <v>57941</v>
      </c>
      <c r="S2981" t="s">
        <v>57942</v>
      </c>
      <c r="T2981" t="s">
        <v>57943</v>
      </c>
      <c r="U2981" t="s">
        <v>57944</v>
      </c>
      <c r="V2981">
        <f>-613.250273386799 -85.9865172102627 -94.0521473000184</f>
        <v>-793.28893789708013</v>
      </c>
      <c r="W2981" t="s">
        <v>57945</v>
      </c>
      <c r="X2981" t="s">
        <v>57946</v>
      </c>
      <c r="Y2981" t="s">
        <v>57947</v>
      </c>
    </row>
    <row r="2982" spans="1:25" x14ac:dyDescent="0.3">
      <c r="A2982">
        <v>149050</v>
      </c>
      <c r="B2982" t="s">
        <v>57948</v>
      </c>
      <c r="C2982" t="s">
        <v>57949</v>
      </c>
      <c r="D2982">
        <f>-648.693975505996 -0.935873837984445 -202.062172393311</f>
        <v>-851.6920217372915</v>
      </c>
      <c r="E2982">
        <f>-659.65298383468 -3.3671846014488 -294.256783266522</f>
        <v>-957.27695170265076</v>
      </c>
      <c r="F2982">
        <f>-668.318285762447 -5.18346298307392 -377.681824416012</f>
        <v>-1051.1835731615329</v>
      </c>
      <c r="G2982">
        <f>-675.186596820756 -6.52698908926686 -461.282974709828</f>
        <v>-1142.9965606198509</v>
      </c>
      <c r="H2982">
        <f>-683.254027829652 -7.97522794663837 -583.666641560269</f>
        <v>-1274.8958973365593</v>
      </c>
      <c r="I2982">
        <f>-671.215412183615 -3.44345912790072 -660.963131435175</f>
        <v>-1335.6220027466907</v>
      </c>
      <c r="J2982" t="s">
        <v>57950</v>
      </c>
      <c r="K2982" t="s">
        <v>57951</v>
      </c>
      <c r="L2982" t="s">
        <v>57952</v>
      </c>
      <c r="M2982" t="s">
        <v>57953</v>
      </c>
      <c r="N2982">
        <f>-674.590926709209 -38.2796449562802 -529.937309312384</f>
        <v>-1242.8078809778731</v>
      </c>
      <c r="O2982">
        <f>-658.625216293222 -190.846805105089 -501.561295798352</f>
        <v>-1351.0333171966629</v>
      </c>
      <c r="P2982">
        <f>-595.207671207529 -198.874432406252 -226.80259999994</f>
        <v>-1020.8847036137211</v>
      </c>
      <c r="Q2982">
        <f>-440.087742546679 -130.896910809349 -385.753536409441</f>
        <v>-956.73818976546909</v>
      </c>
      <c r="R2982" t="s">
        <v>57954</v>
      </c>
      <c r="S2982" t="s">
        <v>57955</v>
      </c>
      <c r="T2982" t="s">
        <v>57956</v>
      </c>
      <c r="U2982" t="s">
        <v>57957</v>
      </c>
      <c r="V2982">
        <f>-612.869437025254 -86.3074454088364 -94.0330616880682</f>
        <v>-793.20994412215862</v>
      </c>
      <c r="W2982" t="s">
        <v>57958</v>
      </c>
      <c r="X2982" t="s">
        <v>57959</v>
      </c>
      <c r="Y2982" t="s">
        <v>57960</v>
      </c>
    </row>
    <row r="2983" spans="1:25" x14ac:dyDescent="0.3">
      <c r="A2983">
        <v>149100</v>
      </c>
      <c r="B2983" t="s">
        <v>57961</v>
      </c>
      <c r="C2983" t="s">
        <v>57962</v>
      </c>
      <c r="D2983">
        <f>-647.889591594996 -1.58850353318803 -201.993341321696</f>
        <v>-851.47143644988</v>
      </c>
      <c r="E2983">
        <f>-658.975038148046 -4.03825213487357 -294.172332079797</f>
        <v>-957.18562236271657</v>
      </c>
      <c r="F2983">
        <f>-667.779268307111 -5.88177839191007 -377.582201240382</f>
        <v>-1051.2432479394031</v>
      </c>
      <c r="G2983">
        <f>-674.81127070949 -7.26323869877388 -461.169252644874</f>
        <v>-1143.243762053138</v>
      </c>
      <c r="H2983">
        <f>-683.145056630356 -8.7786828389203 -583.534152171419</f>
        <v>-1275.4578916406954</v>
      </c>
      <c r="I2983">
        <f>-671.17786038779 -4.26280673569136 -660.842664600568</f>
        <v>-1336.2833317240493</v>
      </c>
      <c r="J2983" t="s">
        <v>57963</v>
      </c>
      <c r="K2983" t="s">
        <v>57964</v>
      </c>
      <c r="L2983" t="s">
        <v>57965</v>
      </c>
      <c r="M2983" t="s">
        <v>57966</v>
      </c>
      <c r="N2983">
        <f>-674.37617482092 -39.0554089160685 -529.806504174129</f>
        <v>-1243.2380879111174</v>
      </c>
      <c r="O2983">
        <f>-658.47081459066 -191.618820712366 -501.358585757721</f>
        <v>-1351.4482210607471</v>
      </c>
      <c r="P2983">
        <f>-595.582567808767 -199.024590333984 -226.460710433743</f>
        <v>-1021.0678685764939</v>
      </c>
      <c r="Q2983">
        <f>-439.595589543365 -131.857910512517 -384.907155683918</f>
        <v>-956.36065573979999</v>
      </c>
      <c r="R2983" t="s">
        <v>57967</v>
      </c>
      <c r="S2983" t="s">
        <v>57968</v>
      </c>
      <c r="T2983" t="s">
        <v>57969</v>
      </c>
      <c r="U2983" t="s">
        <v>57970</v>
      </c>
      <c r="V2983">
        <f>-611.90687865625 -87.0692901815105 -94.0014854392683</f>
        <v>-792.97765427702882</v>
      </c>
      <c r="W2983" t="s">
        <v>57971</v>
      </c>
      <c r="X2983" t="s">
        <v>57972</v>
      </c>
      <c r="Y2983" t="s">
        <v>57973</v>
      </c>
    </row>
    <row r="2984" spans="1:25" x14ac:dyDescent="0.3">
      <c r="A2984">
        <v>149150</v>
      </c>
      <c r="B2984" t="s">
        <v>57974</v>
      </c>
      <c r="C2984" t="s">
        <v>57975</v>
      </c>
      <c r="D2984">
        <f>-647.266932037878 -2.21650605794275 -201.978263778842</f>
        <v>-851.46170187466271</v>
      </c>
      <c r="E2984">
        <f>-658.469993544325 -4.70093545113559 -294.142034927108</f>
        <v>-957.31296392256854</v>
      </c>
      <c r="F2984">
        <f>-667.415141404678 -6.59108817782817 -377.535945145239</f>
        <v>-1051.5421747277451</v>
      </c>
      <c r="G2984">
        <f>-674.623037013305 -8.03431551217091 -461.106789854818</f>
        <v>-1143.7641423802938</v>
      </c>
      <c r="H2984">
        <f>-683.252600732219 -9.65657099553368 -583.449949628378</f>
        <v>-1276.3591213561308</v>
      </c>
      <c r="I2984">
        <f>-671.342727790217 -5.18619461706817 -660.769887848669</f>
        <v>-1337.2988102559543</v>
      </c>
      <c r="J2984" t="s">
        <v>57976</v>
      </c>
      <c r="K2984" t="s">
        <v>57977</v>
      </c>
      <c r="L2984" t="s">
        <v>57978</v>
      </c>
      <c r="M2984" t="s">
        <v>57979</v>
      </c>
      <c r="N2984">
        <f>-674.339652243967 -39.884099919748 -529.718151290283</f>
        <v>-1243.9419034539978</v>
      </c>
      <c r="O2984">
        <f>-658.471994645342 -192.439343153039 -501.175646276566</f>
        <v>-1352.0869840749469</v>
      </c>
      <c r="P2984">
        <f>-595.945317987419 -199.28924521264 -226.181084003652</f>
        <v>-1021.415647203711</v>
      </c>
      <c r="Q2984">
        <f>-438.613021177182 -132.986294175865 -383.657920409659</f>
        <v>-955.25723576270605</v>
      </c>
      <c r="R2984" t="s">
        <v>57980</v>
      </c>
      <c r="S2984" t="s">
        <v>57981</v>
      </c>
      <c r="T2984" t="s">
        <v>57982</v>
      </c>
      <c r="U2984" t="s">
        <v>57983</v>
      </c>
      <c r="V2984">
        <f>-611.291945943816 -87.7904192574465 -93.9908288028914</f>
        <v>-793.07319400415395</v>
      </c>
      <c r="W2984" t="s">
        <v>57984</v>
      </c>
      <c r="X2984" t="s">
        <v>57985</v>
      </c>
      <c r="Y2984" t="s">
        <v>57986</v>
      </c>
    </row>
    <row r="2985" spans="1:25" x14ac:dyDescent="0.3">
      <c r="A2985">
        <v>149200</v>
      </c>
      <c r="B2985" t="s">
        <v>57987</v>
      </c>
      <c r="C2985" t="s">
        <v>57988</v>
      </c>
      <c r="D2985">
        <f>-647.14652361167 -2.41355133383013 -201.957623127797</f>
        <v>-851.51769807329708</v>
      </c>
      <c r="E2985">
        <f>-658.405002466446 -4.9120664904317 -294.114104564541</f>
        <v>-957.43117352141871</v>
      </c>
      <c r="F2985">
        <f>-667.408994152727 -6.81620678280365 -377.501340825711</f>
        <v>-1051.7265417612416</v>
      </c>
      <c r="G2985">
        <f>-674.684621920712 -8.27413266191024 -461.06616109064</f>
        <v>-1144.0249156732621</v>
      </c>
      <c r="H2985">
        <f>-683.423001366446 -9.9182525382389 -583.401319380277</f>
        <v>-1276.742573284962</v>
      </c>
      <c r="I2985">
        <f>-671.53766336879 -5.49038790000873 -660.727426439983</f>
        <v>-1337.7554777087817</v>
      </c>
      <c r="J2985" t="s">
        <v>57989</v>
      </c>
      <c r="K2985" t="s">
        <v>57990</v>
      </c>
      <c r="L2985" t="s">
        <v>57991</v>
      </c>
      <c r="M2985" t="s">
        <v>57992</v>
      </c>
      <c r="N2985">
        <f>-674.446199713307 -40.1335482205593 -529.673150500814</f>
        <v>-1244.2528984346804</v>
      </c>
      <c r="O2985">
        <f>-658.538767216966 -192.681200435345 -501.113160373281</f>
        <v>-1352.333128025592</v>
      </c>
      <c r="P2985">
        <f>-596.205554515472 -199.422606376311 -226.071845395442</f>
        <v>-1021.7000062872251</v>
      </c>
      <c r="Q2985">
        <f>-438.09471526422 -133.580862675884 -382.961540714648</f>
        <v>-954.63711865475193</v>
      </c>
      <c r="R2985" t="s">
        <v>57993</v>
      </c>
      <c r="S2985" t="s">
        <v>57994</v>
      </c>
      <c r="T2985" t="s">
        <v>57995</v>
      </c>
      <c r="U2985" t="s">
        <v>57996</v>
      </c>
      <c r="V2985">
        <f>-611.164122077869 -87.9703493195127 -93.9790512234447</f>
        <v>-793.11352262082642</v>
      </c>
      <c r="W2985" t="s">
        <v>57997</v>
      </c>
      <c r="X2985" t="s">
        <v>57998</v>
      </c>
      <c r="Y2985" t="s">
        <v>57999</v>
      </c>
    </row>
    <row r="2986" spans="1:25" x14ac:dyDescent="0.3">
      <c r="A2986">
        <v>149250</v>
      </c>
      <c r="B2986" t="s">
        <v>58000</v>
      </c>
      <c r="C2986" t="s">
        <v>58001</v>
      </c>
      <c r="D2986">
        <f>-647.065065981736 -2.66242130195019 -201.945108226382</f>
        <v>-851.67259551006816</v>
      </c>
      <c r="E2986">
        <f>-658.366694492702 -5.18532072165431 -294.095943379982</f>
        <v>-957.64795859433821</v>
      </c>
      <c r="F2986">
        <f>-667.408255541988 -7.115777015704 -377.478414276233</f>
        <v>-1052.002446833925</v>
      </c>
      <c r="G2986">
        <f>-674.720226418226 -8.60449156901223 -461.039502467254</f>
        <v>-1144.3642204544922</v>
      </c>
      <c r="H2986">
        <f>-683.510397040661 -10.2979926480418 -583.37017936689</f>
        <v>-1277.178569055593</v>
      </c>
      <c r="I2986">
        <f>-671.65006840313 -5.91710099038596 -660.702940685828</f>
        <v>-1338.270110079344</v>
      </c>
      <c r="J2986" t="s">
        <v>58002</v>
      </c>
      <c r="K2986" t="s">
        <v>58003</v>
      </c>
      <c r="L2986" t="s">
        <v>58004</v>
      </c>
      <c r="M2986" t="s">
        <v>58005</v>
      </c>
      <c r="N2986">
        <f>-674.50412624785 -40.4903894660015 -529.634313455881</f>
        <v>-1244.6288291697324</v>
      </c>
      <c r="O2986">
        <f>-658.585030821368 -193.016319163278 -501.035430096768</f>
        <v>-1352.6367800814141</v>
      </c>
      <c r="P2986">
        <f>-596.442576346702 -199.623938152093 -225.947830001603</f>
        <v>-1022.014344500398</v>
      </c>
      <c r="Q2986">
        <f>-437.652494705046 -134.219154866298 -382.333521900925</f>
        <v>-954.20517147226906</v>
      </c>
      <c r="R2986" t="s">
        <v>58006</v>
      </c>
      <c r="S2986" t="s">
        <v>58007</v>
      </c>
      <c r="T2986" t="s">
        <v>58008</v>
      </c>
      <c r="U2986" t="s">
        <v>58009</v>
      </c>
      <c r="V2986">
        <f>-611.060807970989 -88.2507926209694 -93.967628897223</f>
        <v>-793.27922948918138</v>
      </c>
      <c r="W2986" t="s">
        <v>58010</v>
      </c>
      <c r="X2986" t="s">
        <v>58011</v>
      </c>
      <c r="Y2986" t="s">
        <v>58012</v>
      </c>
    </row>
    <row r="2987" spans="1:25" x14ac:dyDescent="0.3">
      <c r="A2987">
        <v>149300</v>
      </c>
      <c r="B2987" t="s">
        <v>58013</v>
      </c>
      <c r="C2987" t="s">
        <v>58014</v>
      </c>
      <c r="D2987">
        <f>-646.984251004923 -2.94027130747099 -201.962164329867</f>
        <v>-851.88668664226088</v>
      </c>
      <c r="E2987">
        <f>-658.287177400076 -5.57435090896115 -294.109629072963</f>
        <v>-957.97115738200011</v>
      </c>
      <c r="F2987">
        <f>-667.315445746608 -7.63601569030379 -377.490460991086</f>
        <v>-1052.4419224279977</v>
      </c>
      <c r="G2987">
        <f>-674.59967914315 -9.28609000143365 -461.051022874017</f>
        <v>-1144.9367920186005</v>
      </c>
      <c r="H2987">
        <f>-683.333706951798 -11.2489294120862 -583.381607102908</f>
        <v>-1277.9642434667921</v>
      </c>
      <c r="I2987">
        <f>-671.536685132477 -6.91383596381138 -660.726555296659</f>
        <v>-1339.1770763929474</v>
      </c>
      <c r="J2987" t="s">
        <v>58015</v>
      </c>
      <c r="K2987" t="s">
        <v>58016</v>
      </c>
      <c r="L2987" t="s">
        <v>58017</v>
      </c>
      <c r="M2987" t="s">
        <v>58018</v>
      </c>
      <c r="N2987">
        <f>-674.323998177518 -41.3183500532391 -529.577265284029</f>
        <v>-1245.219613514786</v>
      </c>
      <c r="O2987">
        <f>-658.407347533065 -193.773669524559 -500.564604309136</f>
        <v>-1352.7456213667601</v>
      </c>
      <c r="P2987">
        <f>-596.663480083631 -199.520795763041 -225.367888839263</f>
        <v>-1021.5521646859352</v>
      </c>
      <c r="Q2987">
        <f>-436.815996412861 -135.002214038343 -381.04277222341</f>
        <v>-952.86098267461398</v>
      </c>
      <c r="R2987" t="s">
        <v>58019</v>
      </c>
      <c r="S2987" t="s">
        <v>58020</v>
      </c>
      <c r="T2987" t="s">
        <v>58021</v>
      </c>
      <c r="U2987" t="s">
        <v>58022</v>
      </c>
      <c r="V2987">
        <f>-610.916454946436 -88.48708013445 -93.9568247046631</f>
        <v>-793.36035978554912</v>
      </c>
      <c r="W2987" t="s">
        <v>58023</v>
      </c>
      <c r="X2987" t="s">
        <v>58024</v>
      </c>
      <c r="Y2987" t="s">
        <v>58025</v>
      </c>
    </row>
    <row r="2988" spans="1:25" x14ac:dyDescent="0.3">
      <c r="A2988">
        <v>149350</v>
      </c>
      <c r="B2988" t="s">
        <v>58026</v>
      </c>
      <c r="C2988" t="s">
        <v>58027</v>
      </c>
      <c r="D2988">
        <f>-646.942822609018 -3.02790022651266 -201.973690841399</f>
        <v>-851.94441367692957</v>
      </c>
      <c r="E2988">
        <f>-658.20447389302 -5.72138512085689 -294.124324335072</f>
        <v>-958.05018334894885</v>
      </c>
      <c r="F2988">
        <f>-667.186314137726 -7.85849387181293 -377.508357884883</f>
        <v>-1052.5531658944219</v>
      </c>
      <c r="G2988">
        <f>-674.415037468734 -9.60526843528783 -461.071675470761</f>
        <v>-1145.0919813747828</v>
      </c>
      <c r="H2988">
        <f>-683.05786160248 -11.7321759951769 -583.406206381884</f>
        <v>-1278.1962439795409</v>
      </c>
      <c r="I2988">
        <f>-671.29866132138 -7.41328055529607 -660.75786806824</f>
        <v>-1339.4698099449161</v>
      </c>
      <c r="J2988" t="s">
        <v>58028</v>
      </c>
      <c r="K2988" t="s">
        <v>58029</v>
      </c>
      <c r="L2988" t="s">
        <v>58030</v>
      </c>
      <c r="M2988" t="s">
        <v>58031</v>
      </c>
      <c r="N2988">
        <f>-674.064119973955 -41.725275646972 -529.556618773478</f>
        <v>-1245.3460143944051</v>
      </c>
      <c r="O2988">
        <f>-658.128949211659 -194.124708124524 -500.291710270415</f>
        <v>-1352.5453676065981</v>
      </c>
      <c r="P2988">
        <f>-596.676944148869 -199.277359958045 -225.017814003816</f>
        <v>-1020.97211811073</v>
      </c>
      <c r="Q2988">
        <f>-436.241313621629 -135.581554340323 -380.426319266028</f>
        <v>-952.24918722797997</v>
      </c>
      <c r="R2988" t="s">
        <v>58032</v>
      </c>
      <c r="S2988" t="s">
        <v>58033</v>
      </c>
      <c r="T2988" t="s">
        <v>58034</v>
      </c>
      <c r="U2988" t="s">
        <v>58035</v>
      </c>
      <c r="V2988">
        <f>-610.895181630103 -88.5563629803237 -93.9633297506826</f>
        <v>-793.41487436110936</v>
      </c>
      <c r="W2988" t="s">
        <v>58036</v>
      </c>
      <c r="X2988" t="s">
        <v>58037</v>
      </c>
      <c r="Y2988" t="s">
        <v>58038</v>
      </c>
    </row>
    <row r="2989" spans="1:25" x14ac:dyDescent="0.3">
      <c r="A2989">
        <v>149400</v>
      </c>
      <c r="B2989" t="s">
        <v>58039</v>
      </c>
      <c r="C2989" t="s">
        <v>58040</v>
      </c>
      <c r="D2989">
        <f>-646.988039464857 -3.16550512422668 -202.007971765429</f>
        <v>-852.16151635451274</v>
      </c>
      <c r="E2989">
        <f>-658.207200358448 -5.98224558145694 -294.160257748649</f>
        <v>-958.34970368855386</v>
      </c>
      <c r="F2989">
        <f>-667.134721958281 -8.2806005107193 -377.54567402414</f>
        <v>-1052.9609964931403</v>
      </c>
      <c r="G2989">
        <f>-674.29346240949 -10.2381976339955 -461.110444501027</f>
        <v>-1145.6421045445124</v>
      </c>
      <c r="H2989">
        <f>-682.816800880323 -12.7267910253113 -583.44643004644</f>
        <v>-1278.9900219520741</v>
      </c>
      <c r="I2989">
        <f>-671.155819144319 -8.4805545179081 -660.816955657011</f>
        <v>-1340.453329319238</v>
      </c>
      <c r="J2989" t="s">
        <v>58041</v>
      </c>
      <c r="K2989" t="s">
        <v>58042</v>
      </c>
      <c r="L2989" t="s">
        <v>58043</v>
      </c>
      <c r="M2989" t="s">
        <v>58044</v>
      </c>
      <c r="N2989">
        <f>-673.828003990744 -42.5525646491451 -529.503253889119</f>
        <v>-1245.8838225290083</v>
      </c>
      <c r="O2989">
        <f>-657.824763507151 -194.852546673727 -499.737077355348</f>
        <v>-1352.4143875362261</v>
      </c>
      <c r="P2989">
        <f>-597.146183708957 -198.727498958302 -224.27063549151</f>
        <v>-1020.144318158769</v>
      </c>
      <c r="Q2989">
        <f>-434.999561304626 -136.769634245034 -378.602245619654</f>
        <v>-950.37144116931404</v>
      </c>
      <c r="R2989" t="s">
        <v>58045</v>
      </c>
      <c r="S2989" t="s">
        <v>58046</v>
      </c>
      <c r="T2989" t="s">
        <v>58047</v>
      </c>
      <c r="U2989" t="s">
        <v>58048</v>
      </c>
      <c r="V2989">
        <f>-610.968909828947 -88.709624651661 -93.9866409803984</f>
        <v>-793.66517546100636</v>
      </c>
      <c r="W2989" t="s">
        <v>58049</v>
      </c>
      <c r="X2989" t="s">
        <v>58050</v>
      </c>
      <c r="Y2989" t="s">
        <v>58051</v>
      </c>
    </row>
    <row r="2990" spans="1:25" x14ac:dyDescent="0.3">
      <c r="A2990">
        <v>149450</v>
      </c>
      <c r="B2990" t="s">
        <v>58052</v>
      </c>
      <c r="C2990" t="s">
        <v>58053</v>
      </c>
      <c r="D2990">
        <f>-646.995607811385 -3.20457784070618 -202.023981000883</f>
        <v>-852.22416665297419</v>
      </c>
      <c r="E2990">
        <f>-658.190699338516 -6.07633878964407 -294.177353210931</f>
        <v>-958.444391339091</v>
      </c>
      <c r="F2990">
        <f>-667.092614816684 -8.44874973595392 -377.56356689329</f>
        <v>-1053.1049314459278</v>
      </c>
      <c r="G2990">
        <f>-674.222028181372 -10.5041437751329 -461.128440866764</f>
        <v>-1145.8546128232688</v>
      </c>
      <c r="H2990">
        <f>-682.698583481082 -13.1616347366703 -583.464137230793</f>
        <v>-1279.3243554485452</v>
      </c>
      <c r="I2990">
        <f>-671.089568034184 -8.94828425221976 -660.844384487176</f>
        <v>-1340.8822367735797</v>
      </c>
      <c r="J2990" t="s">
        <v>58054</v>
      </c>
      <c r="K2990" t="s">
        <v>58055</v>
      </c>
      <c r="L2990" t="s">
        <v>58056</v>
      </c>
      <c r="M2990" t="s">
        <v>58057</v>
      </c>
      <c r="N2990">
        <f>-673.700094577297 -42.9078083597394 -529.478646825012</f>
        <v>-1246.0865497620484</v>
      </c>
      <c r="O2990">
        <f>-657.626200138047 -195.162406933521 -499.484758091766</f>
        <v>-1352.2733651633339</v>
      </c>
      <c r="P2990">
        <f>-597.660085825822 -198.23917435855 -223.852482509561</f>
        <v>-1019.751742693933</v>
      </c>
      <c r="Q2990">
        <f>-434.488217621603 -136.511942990955 -377.192608146603</f>
        <v>-948.19276875916091</v>
      </c>
      <c r="R2990" t="s">
        <v>58058</v>
      </c>
      <c r="S2990" t="s">
        <v>58059</v>
      </c>
      <c r="T2990" t="s">
        <v>58060</v>
      </c>
      <c r="U2990" t="s">
        <v>58061</v>
      </c>
      <c r="V2990">
        <f>-611.035212350678 -88.7552911762909 -93.9911511607696</f>
        <v>-793.78165468773852</v>
      </c>
      <c r="W2990" t="s">
        <v>58062</v>
      </c>
      <c r="X2990" t="s">
        <v>58063</v>
      </c>
      <c r="Y2990" t="s">
        <v>58064</v>
      </c>
    </row>
    <row r="2991" spans="1:25" x14ac:dyDescent="0.3">
      <c r="A2991">
        <v>149500</v>
      </c>
      <c r="B2991" t="s">
        <v>58065</v>
      </c>
      <c r="C2991" t="s">
        <v>58066</v>
      </c>
      <c r="D2991">
        <f>-646.761015687676 -3.38272955019943 -202.051287937339</f>
        <v>-852.19503317521446</v>
      </c>
      <c r="E2991">
        <f>-657.902389484761 -6.35908317637927 -294.207893637148</f>
        <v>-958.46936629828826</v>
      </c>
      <c r="F2991">
        <f>-666.748962420177 -8.86631968587858 -377.596048627036</f>
        <v>-1053.2113307330915</v>
      </c>
      <c r="G2991">
        <f>-673.816297545246 -11.0957961936429 -461.161652197707</f>
        <v>-1146.073745936596</v>
      </c>
      <c r="H2991">
        <f>-682.194817990358 -14.0500144023322 -583.49731799191</f>
        <v>-1279.7421503846003</v>
      </c>
      <c r="I2991">
        <f>-670.699652408984 -9.85718182978371 -660.895567497674</f>
        <v>-1341.4524017364417</v>
      </c>
      <c r="J2991" t="s">
        <v>58067</v>
      </c>
      <c r="K2991" t="s">
        <v>58068</v>
      </c>
      <c r="L2991" t="s">
        <v>58069</v>
      </c>
      <c r="M2991" t="s">
        <v>58070</v>
      </c>
      <c r="N2991">
        <f>-673.188476491138 -43.6564386100531 -529.436217994538</f>
        <v>-1246.281133095729</v>
      </c>
      <c r="O2991">
        <f>-657.076255609842 -195.81586921899 -499.012737352458</f>
        <v>-1351.9048621812899</v>
      </c>
      <c r="P2991">
        <f>-598.140815384766 -197.749927742665 -223.147896719295</f>
        <v>-1019.038639846726</v>
      </c>
      <c r="Q2991">
        <f>-433.385124779215 -135.37115238705 -374.518234400859</f>
        <v>-943.27451156712402</v>
      </c>
      <c r="R2991" t="s">
        <v>58071</v>
      </c>
      <c r="S2991" t="s">
        <v>58072</v>
      </c>
      <c r="T2991" t="s">
        <v>58073</v>
      </c>
      <c r="U2991" t="s">
        <v>58074</v>
      </c>
      <c r="V2991">
        <f>-610.891247350743 -89.0183674626705 -93.9959906213622</f>
        <v>-793.90560543477579</v>
      </c>
      <c r="W2991" t="s">
        <v>58075</v>
      </c>
      <c r="X2991" t="s">
        <v>58076</v>
      </c>
      <c r="Y2991" t="s">
        <v>58077</v>
      </c>
    </row>
    <row r="2992" spans="1:25" x14ac:dyDescent="0.3">
      <c r="A2992">
        <v>149550</v>
      </c>
      <c r="B2992" t="s">
        <v>58078</v>
      </c>
      <c r="C2992" t="s">
        <v>58079</v>
      </c>
      <c r="D2992">
        <f>-646.682687198637 -3.11558040570094 -202.10135513566</f>
        <v>-851.89962273999799</v>
      </c>
      <c r="E2992">
        <f>-657.799572842302 -6.15814798128235 -294.258788438763</f>
        <v>-958.21650926234747</v>
      </c>
      <c r="F2992">
        <f>-666.625353124571 -8.74040770496686 -377.646815942636</f>
        <v>-1053.0125767721738</v>
      </c>
      <c r="G2992">
        <f>-673.673392341924 -11.0598556331149 -461.211752627459</f>
        <v>-1145.9450006024979</v>
      </c>
      <c r="H2992">
        <f>-682.025390207218 -14.1616549002497 -583.545475494173</f>
        <v>-1279.7325206016408</v>
      </c>
      <c r="I2992">
        <f>-670.593247552646 -9.96875989968817 -660.95300937567</f>
        <v>-1341.5150168280043</v>
      </c>
      <c r="J2992" t="s">
        <v>58080</v>
      </c>
      <c r="K2992" t="s">
        <v>58081</v>
      </c>
      <c r="L2992" t="s">
        <v>58082</v>
      </c>
      <c r="M2992" t="s">
        <v>58083</v>
      </c>
      <c r="N2992">
        <f>-673.001172135361 -43.6976239814705 -529.448843954284</f>
        <v>-1246.1476400711156</v>
      </c>
      <c r="O2992">
        <f>-656.772919477475 -195.798345194546 -498.835116759182</f>
        <v>-1351.406381431203</v>
      </c>
      <c r="P2992">
        <f>-598.179857456602 -197.423887841757 -222.895345607469</f>
        <v>-1018.499090905828</v>
      </c>
      <c r="Q2992">
        <f>-432.851963144292 -134.714772792689 -373.503351907558</f>
        <v>-941.07008784453899</v>
      </c>
      <c r="R2992" t="s">
        <v>58084</v>
      </c>
      <c r="S2992" t="s">
        <v>58085</v>
      </c>
      <c r="T2992" t="s">
        <v>58086</v>
      </c>
      <c r="U2992" t="s">
        <v>58087</v>
      </c>
      <c r="V2992">
        <f>-610.777300979203 -88.9705346163341 -94.0083485835471</f>
        <v>-793.75618417908424</v>
      </c>
      <c r="W2992" t="s">
        <v>58088</v>
      </c>
      <c r="X2992" t="s">
        <v>58089</v>
      </c>
      <c r="Y2992" t="s">
        <v>58090</v>
      </c>
    </row>
    <row r="2993" spans="1:25" x14ac:dyDescent="0.3">
      <c r="A2993">
        <v>149600</v>
      </c>
      <c r="B2993" t="s">
        <v>58091</v>
      </c>
      <c r="C2993" t="s">
        <v>58092</v>
      </c>
      <c r="D2993">
        <f>-646.611885947655 -2.9438771056748 -202.173265501871</f>
        <v>-851.72902855520078</v>
      </c>
      <c r="E2993">
        <f>-657.685855225001 -6.10064842448696 -294.332098429418</f>
        <v>-958.11860207890595</v>
      </c>
      <c r="F2993">
        <f>-666.479744584525 -8.81886699971778 -377.7192652185</f>
        <v>-1053.0178768027426</v>
      </c>
      <c r="G2993">
        <f>-673.502942168741 -11.3047254907581 -461.281374026189</f>
        <v>-1146.089041685688</v>
      </c>
      <c r="H2993">
        <f>-681.826634173621 -14.6837650420216 -583.609684466545</f>
        <v>-1280.1200836821877</v>
      </c>
      <c r="I2993">
        <f>-670.528805019492 -10.5046730241281 -661.037724002522</f>
        <v>-1342.0712020461422</v>
      </c>
      <c r="J2993" t="s">
        <v>58093</v>
      </c>
      <c r="K2993" t="s">
        <v>58094</v>
      </c>
      <c r="L2993" t="s">
        <v>58095</v>
      </c>
      <c r="M2993" t="s">
        <v>58096</v>
      </c>
      <c r="N2993">
        <f>-672.716959331019 -44.0800665934087 -529.451515866004</f>
        <v>-1246.2485417904318</v>
      </c>
      <c r="O2993">
        <f>-656.087254835157 -196.084748738177 -498.554206173059</f>
        <v>-1350.7262097463931</v>
      </c>
      <c r="P2993">
        <f>-598.139672105665 -197.173991772776 -222.475460603387</f>
        <v>-1017.789124481828</v>
      </c>
      <c r="Q2993">
        <f>-432.577348866151 -133.539692189715 -372.436383156045</f>
        <v>-938.55342421191108</v>
      </c>
      <c r="R2993" t="s">
        <v>58097</v>
      </c>
      <c r="S2993" t="s">
        <v>58098</v>
      </c>
      <c r="T2993" t="s">
        <v>58099</v>
      </c>
      <c r="U2993" t="s">
        <v>58100</v>
      </c>
      <c r="V2993">
        <f>-610.492836349891 -88.9060965018741 -94.0299415045968</f>
        <v>-793.42887435636192</v>
      </c>
      <c r="W2993" t="s">
        <v>58101</v>
      </c>
      <c r="X2993" t="s">
        <v>58102</v>
      </c>
      <c r="Y2993" t="s">
        <v>58103</v>
      </c>
    </row>
    <row r="2994" spans="1:25" x14ac:dyDescent="0.3">
      <c r="A2994">
        <v>149650</v>
      </c>
      <c r="B2994" t="s">
        <v>58104</v>
      </c>
      <c r="C2994" t="s">
        <v>58105</v>
      </c>
      <c r="D2994">
        <f>-646.600465390135 -3.17186265026862 -202.154414644729</f>
        <v>-851.92674268513269</v>
      </c>
      <c r="E2994">
        <f>-657.67762295351 -6.37142955053127 -294.311236163031</f>
        <v>-958.36028866707227</v>
      </c>
      <c r="F2994">
        <f>-666.475796440026 -9.13975769587296 -377.696296882036</f>
        <v>-1053.3118510179349</v>
      </c>
      <c r="G2994">
        <f>-673.504887296197 -11.6864503964543 -461.256103761194</f>
        <v>-1146.4474414538454</v>
      </c>
      <c r="H2994">
        <f>-681.838889829554 -15.1656047315021 -583.580998997691</f>
        <v>-1280.5854935587472</v>
      </c>
      <c r="I2994">
        <f>-670.617730274378 -10.9971529991251 -661.020761494155</f>
        <v>-1342.6356447676581</v>
      </c>
      <c r="J2994" t="s">
        <v>58106</v>
      </c>
      <c r="K2994" t="s">
        <v>58107</v>
      </c>
      <c r="L2994" t="s">
        <v>58108</v>
      </c>
      <c r="M2994" t="s">
        <v>58109</v>
      </c>
      <c r="N2994">
        <f>-672.666610418278 -44.5072525657629 -529.403626478093</f>
        <v>-1246.5774894621338</v>
      </c>
      <c r="O2994">
        <f>-655.788416700639 -196.462142066178 -498.408207017992</f>
        <v>-1350.658765784809</v>
      </c>
      <c r="P2994">
        <f>-597.975813748218 -197.589913005771 -222.301200854944</f>
        <v>-1017.866927608933</v>
      </c>
      <c r="Q2994">
        <f>-432.978346960714 -132.968435750215 -372.462585867721</f>
        <v>-938.40936857864995</v>
      </c>
      <c r="R2994" t="s">
        <v>58110</v>
      </c>
      <c r="S2994" t="s">
        <v>58111</v>
      </c>
      <c r="T2994" t="s">
        <v>58112</v>
      </c>
      <c r="U2994" t="s">
        <v>58113</v>
      </c>
      <c r="V2994">
        <f>-610.314076700148 -89.043843947022 -94.020851337183</f>
        <v>-793.37877198435297</v>
      </c>
      <c r="W2994" t="s">
        <v>58114</v>
      </c>
      <c r="X2994" t="s">
        <v>58115</v>
      </c>
      <c r="Y2994" t="s">
        <v>58116</v>
      </c>
    </row>
    <row r="2995" spans="1:25" x14ac:dyDescent="0.3">
      <c r="A2995">
        <v>149700</v>
      </c>
      <c r="B2995" t="s">
        <v>58117</v>
      </c>
      <c r="C2995" t="s">
        <v>58118</v>
      </c>
      <c r="D2995">
        <f>-646.654392280359 -3.92581580595811 -202.072178798779</f>
        <v>-852.65238688509612</v>
      </c>
      <c r="E2995">
        <f>-657.810731810596 -7.14725682880112 -294.2188573625</f>
        <v>-959.17684600189716</v>
      </c>
      <c r="F2995">
        <f>-666.696071838881 -9.92302514436074 -377.594337215338</f>
        <v>-1054.2134341985798</v>
      </c>
      <c r="G2995">
        <f>-673.828539014781 -12.4618458002751 -461.145714616206</f>
        <v>-1147.4360994312622</v>
      </c>
      <c r="H2995">
        <f>-682.331570298194 -15.9127780892579 -583.45965001729</f>
        <v>-1281.7039984047419</v>
      </c>
      <c r="I2995">
        <f>-671.260312247768 -11.7096994491794 -660.919211772419</f>
        <v>-1343.8892234693662</v>
      </c>
      <c r="J2995" t="s">
        <v>58119</v>
      </c>
      <c r="K2995" t="s">
        <v>58120</v>
      </c>
      <c r="L2995" t="s">
        <v>58121</v>
      </c>
      <c r="M2995" t="s">
        <v>58122</v>
      </c>
      <c r="N2995">
        <f>-672.932184392369 -45.2396102941013 -529.313300539057</f>
        <v>-1247.4850952255274</v>
      </c>
      <c r="O2995">
        <f>-655.371509044064 -197.140184595919 -498.388261660682</f>
        <v>-1350.8999553006652</v>
      </c>
      <c r="P2995">
        <f>-597.246838345047 -198.000109697628 -222.345860552831</f>
        <v>-1017.592808595506</v>
      </c>
      <c r="Q2995">
        <f>-433.674845193944 -131.536575624479 -373.260905288725</f>
        <v>-938.47232610714798</v>
      </c>
      <c r="R2995" t="s">
        <v>58123</v>
      </c>
      <c r="S2995" t="s">
        <v>58124</v>
      </c>
      <c r="T2995" t="s">
        <v>58125</v>
      </c>
      <c r="U2995" t="s">
        <v>58126</v>
      </c>
      <c r="V2995">
        <f>-610.008077726742 -89.4516350766587 -93.9816353797381</f>
        <v>-793.44134818313887</v>
      </c>
      <c r="W2995" t="s">
        <v>58127</v>
      </c>
      <c r="X2995" t="s">
        <v>58128</v>
      </c>
      <c r="Y2995" t="s">
        <v>58129</v>
      </c>
    </row>
    <row r="2996" spans="1:25" x14ac:dyDescent="0.3">
      <c r="A2996">
        <v>149750</v>
      </c>
      <c r="B2996" t="s">
        <v>58130</v>
      </c>
      <c r="C2996" t="s">
        <v>58131</v>
      </c>
      <c r="D2996">
        <f>-646.824021399616 -4.26194621533318 -202.0339761642</f>
        <v>-853.11994377914914</v>
      </c>
      <c r="E2996">
        <f>-658.024489399099 -7.47845934209545 -294.175323273595</f>
        <v>-959.6782720147894</v>
      </c>
      <c r="F2996">
        <f>-666.954341045206 -10.2390371734787 -377.546564084465</f>
        <v>-1054.7399423031497</v>
      </c>
      <c r="G2996">
        <f>-674.136412398534 -12.7507520041775 -461.094548463421</f>
        <v>-1147.9817128661325</v>
      </c>
      <c r="H2996">
        <f>-682.717460175983 -16.148219387597 -583.404497166816</f>
        <v>-1282.2701767303961</v>
      </c>
      <c r="I2996">
        <f>-671.681340074677 -11.9076212895898 -660.866923757784</f>
        <v>-1344.4558851220509</v>
      </c>
      <c r="J2996" t="s">
        <v>58132</v>
      </c>
      <c r="K2996" t="s">
        <v>58133</v>
      </c>
      <c r="L2996" t="s">
        <v>58134</v>
      </c>
      <c r="M2996" t="s">
        <v>58135</v>
      </c>
      <c r="N2996">
        <f>-673.196416618128 -45.4826643506674 -529.283472385811</f>
        <v>-1247.9625533546064</v>
      </c>
      <c r="O2996">
        <f>-655.219142428743 -197.348927744 -498.443960093309</f>
        <v>-1351.0120302660521</v>
      </c>
      <c r="P2996">
        <f>-596.504664460142 -198.135950895849 -222.526091459041</f>
        <v>-1017.1667068150319</v>
      </c>
      <c r="Q2996">
        <f>-433.569370076883 -130.917821622446 -373.795178309905</f>
        <v>-938.282370009234</v>
      </c>
      <c r="R2996" t="s">
        <v>58136</v>
      </c>
      <c r="S2996" t="s">
        <v>58137</v>
      </c>
      <c r="T2996" t="s">
        <v>58138</v>
      </c>
      <c r="U2996" t="s">
        <v>58139</v>
      </c>
      <c r="V2996">
        <f>-609.99504774603 -89.6773254004079 -93.9636909687663</f>
        <v>-793.63606411520414</v>
      </c>
      <c r="W2996" t="s">
        <v>58140</v>
      </c>
      <c r="X2996" t="s">
        <v>58141</v>
      </c>
      <c r="Y2996" t="s">
        <v>58142</v>
      </c>
    </row>
    <row r="2997" spans="1:25" x14ac:dyDescent="0.3">
      <c r="A2997">
        <v>149800</v>
      </c>
      <c r="B2997" t="s">
        <v>58143</v>
      </c>
      <c r="C2997">
        <f>-627.751685476678 -0.0433062657114078 -93.1346274228708</f>
        <v>-720.92961916526019</v>
      </c>
      <c r="D2997">
        <f>-647.345484073207 -4.83705381090499 -201.995117539102</f>
        <v>-854.17765542321399</v>
      </c>
      <c r="E2997">
        <f>-658.62255781017 -8.03270605730359 -294.127943694054</f>
        <v>-960.78320756152755</v>
      </c>
      <c r="F2997">
        <f>-667.646191688325 -10.7548652351484 -377.490369804009</f>
        <v>-1055.8914267274822</v>
      </c>
      <c r="G2997">
        <f>-674.947305421892 -13.2061962044004 -461.029681773685</f>
        <v>-1149.1831833999775</v>
      </c>
      <c r="H2997">
        <f>-683.730172671802 -16.490373501636 -583.32850192061</f>
        <v>-1283.549048094048</v>
      </c>
      <c r="I2997">
        <f>-672.71332118339 -12.1354719986105 -660.787425283379</f>
        <v>-1345.6362184653794</v>
      </c>
      <c r="J2997" t="s">
        <v>58144</v>
      </c>
      <c r="K2997" t="s">
        <v>58145</v>
      </c>
      <c r="L2997" t="s">
        <v>58146</v>
      </c>
      <c r="M2997" t="s">
        <v>58147</v>
      </c>
      <c r="N2997">
        <f>-673.975929331977 -45.8478730892186 -529.261491743948</f>
        <v>-1249.0852941651438</v>
      </c>
      <c r="O2997">
        <f>-655.206823724032 -197.679394160961 -498.728336095211</f>
        <v>-1351.6145539802039</v>
      </c>
      <c r="P2997">
        <f>-594.741768899003 -198.807134845258 -223.190276068624</f>
        <v>-1016.739179812885</v>
      </c>
      <c r="Q2997">
        <f>-432.35502878157 -130.697614381659 -374.6503592461</f>
        <v>-937.70300240932897</v>
      </c>
      <c r="R2997" t="s">
        <v>58148</v>
      </c>
      <c r="S2997" t="s">
        <v>58149</v>
      </c>
      <c r="T2997" t="s">
        <v>58150</v>
      </c>
      <c r="U2997" t="s">
        <v>58151</v>
      </c>
      <c r="V2997">
        <f>-610.196770894819 -90.0359290602639 -93.9652376805507</f>
        <v>-794.19793763563359</v>
      </c>
      <c r="W2997" t="s">
        <v>58152</v>
      </c>
      <c r="X2997" t="s">
        <v>58153</v>
      </c>
      <c r="Y2997" t="s">
        <v>58154</v>
      </c>
    </row>
    <row r="2998" spans="1:25" x14ac:dyDescent="0.3">
      <c r="A2998">
        <v>149850</v>
      </c>
      <c r="B2998" t="s">
        <v>58155</v>
      </c>
      <c r="C2998">
        <f>-628.013622948272 -0.26310645599483 -93.1124114582374</f>
        <v>-721.38914086250418</v>
      </c>
      <c r="D2998">
        <f>-647.652765000975 -5.08097489031229 -201.963641810449</f>
        <v>-854.69738170173628</v>
      </c>
      <c r="E2998">
        <f>-659.009832939728 -8.27853084218373 -294.086539788924</f>
        <v>-961.37490357083561</v>
      </c>
      <c r="F2998">
        <f>-668.122388209782 -10.9964097672473 -377.439487654113</f>
        <v>-1056.5582856311423</v>
      </c>
      <c r="G2998">
        <f>-675.529328562446 -13.4359412910421 -460.969769496687</f>
        <v>-1149.9350393501752</v>
      </c>
      <c r="H2998">
        <f>-684.485614570879 -16.6947703861954 -583.256673166604</f>
        <v>-1284.4370581236783</v>
      </c>
      <c r="I2998">
        <f>-673.463534199327 -12.2742746266117 -660.711149300857</f>
        <v>-1346.4489581267958</v>
      </c>
      <c r="J2998" t="s">
        <v>58156</v>
      </c>
      <c r="K2998" t="s">
        <v>58157</v>
      </c>
      <c r="L2998" t="s">
        <v>58158</v>
      </c>
      <c r="M2998" t="s">
        <v>58159</v>
      </c>
      <c r="N2998">
        <f>-674.590548117018 -46.0511401778776 -529.214771170493</f>
        <v>-1249.8564594653885</v>
      </c>
      <c r="O2998">
        <f>-655.400526855371 -197.850662287903 -498.804379580355</f>
        <v>-1352.055568723629</v>
      </c>
      <c r="P2998">
        <f>-594.093842525034 -199.248759461495 -223.453461834615</f>
        <v>-1016.796063821144</v>
      </c>
      <c r="Q2998">
        <f>-431.694314712659 -130.909083002461 -374.796207490723</f>
        <v>-937.39960520584305</v>
      </c>
      <c r="R2998" t="s">
        <v>58160</v>
      </c>
      <c r="S2998" t="s">
        <v>58161</v>
      </c>
      <c r="T2998" t="s">
        <v>58162</v>
      </c>
      <c r="U2998" t="s">
        <v>58163</v>
      </c>
      <c r="V2998">
        <f>-610.354773406504 -90.1759802811839 -93.9647893127034</f>
        <v>-794.49554300039131</v>
      </c>
      <c r="W2998" t="s">
        <v>58164</v>
      </c>
      <c r="X2998" t="s">
        <v>58165</v>
      </c>
      <c r="Y2998" t="s">
        <v>58166</v>
      </c>
    </row>
    <row r="2999" spans="1:25" x14ac:dyDescent="0.3">
      <c r="A2999">
        <v>149900</v>
      </c>
      <c r="B2999" t="s">
        <v>58167</v>
      </c>
      <c r="C2999">
        <f>-628.616613278634 -0.84147232432656 -93.0826593573441</f>
        <v>-722.54074496030466</v>
      </c>
      <c r="D2999">
        <f>-648.390538985151 -5.70613549389486 -201.907327965619</f>
        <v>-856.00400244466482</v>
      </c>
      <c r="E2999">
        <f>-659.963682302265 -8.88919581187406 -294.003847163447</f>
        <v>-962.85672527758607</v>
      </c>
      <c r="F2999">
        <f>-669.31228776298 -11.5753974564225 -377.331726075508</f>
        <v>-1058.2194112949105</v>
      </c>
      <c r="G2999">
        <f>-676.996737198076 -13.9621576502068 -460.838448863998</f>
        <v>-1151.7973437122807</v>
      </c>
      <c r="H2999">
        <f>-686.404433990402 -17.1209711461797 -583.094182274811</f>
        <v>-1286.6195874113928</v>
      </c>
      <c r="I2999">
        <f>-675.403640334235 -12.5453724801596 -660.542537415559</f>
        <v>-1348.4915502299536</v>
      </c>
      <c r="J2999" t="s">
        <v>58168</v>
      </c>
      <c r="K2999" t="s">
        <v>58169</v>
      </c>
      <c r="L2999" t="s">
        <v>58170</v>
      </c>
      <c r="M2999" t="s">
        <v>58171</v>
      </c>
      <c r="N2999">
        <f>-676.193458200838 -46.4988798729894 -529.122661888582</f>
        <v>-1251.8149999624093</v>
      </c>
      <c r="O2999">
        <f>-656.342716297332 -198.274865626927 -499.010473153199</f>
        <v>-1353.6280550774579</v>
      </c>
      <c r="P2999">
        <f>-593.56084612065 -199.229313288807 -223.990242343933</f>
        <v>-1016.78040175339</v>
      </c>
      <c r="Q2999">
        <f>-431.10573991174 -131.644379817292 -375.61193914847</f>
        <v>-938.36205887750202</v>
      </c>
      <c r="R2999" t="s">
        <v>58172</v>
      </c>
      <c r="S2999" t="s">
        <v>58173</v>
      </c>
      <c r="T2999" t="s">
        <v>58174</v>
      </c>
      <c r="U2999" t="s">
        <v>58175</v>
      </c>
      <c r="V2999">
        <f>-610.715520958661 -90.6775114385757 -93.9657206423785</f>
        <v>-795.35875303961529</v>
      </c>
      <c r="W2999" t="s">
        <v>58176</v>
      </c>
      <c r="X2999" t="s">
        <v>58177</v>
      </c>
      <c r="Y2999" t="s">
        <v>58178</v>
      </c>
    </row>
    <row r="3000" spans="1:25" x14ac:dyDescent="0.3">
      <c r="A3000">
        <v>149950</v>
      </c>
      <c r="B3000" t="s">
        <v>58179</v>
      </c>
      <c r="C3000">
        <f>-628.970822601739 -1.1126686113887 -93.0728865840458</f>
        <v>-723.15637779717349</v>
      </c>
      <c r="D3000">
        <f>-648.809969811456 -5.99534591770657 -201.885000843302</f>
        <v>-856.69031657246455</v>
      </c>
      <c r="E3000">
        <f>-660.498704274228 -9.18173726304758 -293.966769921553</f>
        <v>-963.64721145882856</v>
      </c>
      <c r="F3000">
        <f>-669.975814037289 -11.8677189092957 -377.28002290935</f>
        <v>-1059.1235558559347</v>
      </c>
      <c r="G3000">
        <f>-677.813274904885 -14.2503594459067 -460.77270262575</f>
        <v>-1152.8363369765418</v>
      </c>
      <c r="H3000">
        <f>-687.471478654539 -17.3989007609696 -583.009181527402</f>
        <v>-1287.8795609429108</v>
      </c>
      <c r="I3000">
        <f>-676.490989887992 -12.7793711714562 -660.457777434562</f>
        <v>-1349.7281384940102</v>
      </c>
      <c r="J3000" t="s">
        <v>58180</v>
      </c>
      <c r="K3000" t="s">
        <v>58181</v>
      </c>
      <c r="L3000" t="s">
        <v>58182</v>
      </c>
      <c r="M3000" t="s">
        <v>58183</v>
      </c>
      <c r="N3000">
        <f>-677.100987191434 -46.7716065983664 -529.065354636647</f>
        <v>-1252.9379484264473</v>
      </c>
      <c r="O3000">
        <f>-656.964437511595 -198.530497670306 -499.072555645762</f>
        <v>-1354.5674908276628</v>
      </c>
      <c r="P3000">
        <f>-593.443747969852 -199.308821784567 -224.221482738731</f>
        <v>-1016.97405249315</v>
      </c>
      <c r="Q3000">
        <f>-431.005145735767 -132.291998339581 -376.112683048262</f>
        <v>-939.40982712361006</v>
      </c>
      <c r="R3000" t="s">
        <v>58184</v>
      </c>
      <c r="S3000" t="s">
        <v>58185</v>
      </c>
      <c r="T3000" t="s">
        <v>58186</v>
      </c>
      <c r="U3000" t="s">
        <v>58187</v>
      </c>
      <c r="V3000">
        <f>-610.939156683026 -90.8755402607371 -93.9629075191074</f>
        <v>-795.7776044628705</v>
      </c>
      <c r="W3000" t="s">
        <v>58188</v>
      </c>
      <c r="X3000" t="s">
        <v>58189</v>
      </c>
      <c r="Y3000" t="s">
        <v>58190</v>
      </c>
    </row>
    <row r="3001" spans="1:25" x14ac:dyDescent="0.3">
      <c r="A3001">
        <v>150000</v>
      </c>
      <c r="B3001" t="s">
        <v>58191</v>
      </c>
      <c r="C3001">
        <f>-629.69636893181 -1.60274250767588 -93.0417405615692</f>
        <v>-724.34085200105505</v>
      </c>
      <c r="D3001">
        <f>-649.693702227694 -6.50024300933524 -201.824201304741</f>
        <v>-858.01814654177019</v>
      </c>
      <c r="E3001">
        <f>-661.62090227665 -9.66172362377688 -293.876253321839</f>
        <v>-965.1588792222658</v>
      </c>
      <c r="F3001">
        <f>-671.355382245519 -12.312927637076 -377.160957902139</f>
        <v>-1060.8292677847339</v>
      </c>
      <c r="G3001">
        <f>-679.492718718058 -14.6466391378622 -460.626393057212</f>
        <v>-1154.7657509131323</v>
      </c>
      <c r="H3001">
        <f>-689.636131717919 -17.7081601283398 -582.825682751413</f>
        <v>-1290.1699745976719</v>
      </c>
      <c r="I3001">
        <f>-678.709421362788 -13.0242473781195 -660.278003220814</f>
        <v>-1352.0116719617215</v>
      </c>
      <c r="J3001" t="s">
        <v>58192</v>
      </c>
      <c r="K3001" t="s">
        <v>58193</v>
      </c>
      <c r="L3001" t="s">
        <v>58194</v>
      </c>
      <c r="M3001" t="s">
        <v>58195</v>
      </c>
      <c r="N3001">
        <f>-678.960494557903 -47.1010127463669 -528.952261891369</f>
        <v>-1255.0137691956388</v>
      </c>
      <c r="O3001">
        <f>-658.306923122372 -198.862834599246 -499.267881989597</f>
        <v>-1356.4376397112151</v>
      </c>
      <c r="P3001">
        <f>-593.434223531226 -198.552433973022 -224.731937624292</f>
        <v>-1016.7185951285401</v>
      </c>
      <c r="Q3001">
        <f>-430.618384284675 -133.684413071629 -377.151394004136</f>
        <v>-941.45419136044006</v>
      </c>
      <c r="R3001" t="s">
        <v>58196</v>
      </c>
      <c r="S3001" t="s">
        <v>58197</v>
      </c>
      <c r="T3001" t="s">
        <v>58198</v>
      </c>
      <c r="U3001" t="s">
        <v>58199</v>
      </c>
      <c r="V3001">
        <f>-611.474390850923 -91.2804493068677 -93.9877746454208</f>
        <v>-796.7426148032115</v>
      </c>
      <c r="W3001" t="s">
        <v>58200</v>
      </c>
      <c r="X3001" t="s">
        <v>58201</v>
      </c>
      <c r="Y3001" t="s">
        <v>58202</v>
      </c>
    </row>
    <row r="3002" spans="1:25" x14ac:dyDescent="0.3">
      <c r="A3002">
        <v>150050</v>
      </c>
      <c r="B3002" t="s">
        <v>58203</v>
      </c>
      <c r="C3002">
        <f>-630.392793262139 -2.15861386744018 -93.0370689994363</f>
        <v>-725.58847612901548</v>
      </c>
      <c r="D3002">
        <f>-650.586059254979 -7.05817165202848 -201.783309667762</f>
        <v>-859.42754057476941</v>
      </c>
      <c r="E3002">
        <f>-662.716813212091 -10.2079640141408 -293.809107538714</f>
        <v>-966.73388476494574</v>
      </c>
      <c r="F3002">
        <f>-672.650406233776 -12.8444428093628 -377.070719634201</f>
        <v>-1062.5655686773398</v>
      </c>
      <c r="G3002">
        <f>-681.002571013921 -15.1579882669455 -460.515578344876</f>
        <v>-1156.6761376257425</v>
      </c>
      <c r="H3002">
        <f>-691.477299861601 -18.1838493203331 -582.68778930487</f>
        <v>-1292.3489384868039</v>
      </c>
      <c r="I3002">
        <f>-680.662719202343 -13.4558446557201 -660.153151616403</f>
        <v>-1354.271715474466</v>
      </c>
      <c r="J3002" t="s">
        <v>58204</v>
      </c>
      <c r="K3002" t="s">
        <v>58205</v>
      </c>
      <c r="L3002" t="s">
        <v>58206</v>
      </c>
      <c r="M3002" t="s">
        <v>58207</v>
      </c>
      <c r="N3002">
        <f>-680.583542649129 -47.5777768793837 -528.858618205888</f>
        <v>-1257.0199377344006</v>
      </c>
      <c r="O3002">
        <f>-659.393460739503 -199.333847365239 -499.551116508604</f>
        <v>-1358.278424613346</v>
      </c>
      <c r="P3002">
        <f>-593.66203462224 -198.919324644967 -225.219506735161</f>
        <v>-1017.8008660023679</v>
      </c>
      <c r="Q3002">
        <f>-430.147897871984 -135.530883339105 -377.513859443625</f>
        <v>-943.19264065471407</v>
      </c>
      <c r="R3002" t="s">
        <v>58208</v>
      </c>
      <c r="S3002" t="s">
        <v>58209</v>
      </c>
      <c r="T3002" t="s">
        <v>58210</v>
      </c>
      <c r="U3002" t="s">
        <v>58211</v>
      </c>
      <c r="V3002">
        <f>-612.018950365645 -91.8161751645623 -94.0598886656888</f>
        <v>-797.89501419589612</v>
      </c>
      <c r="W3002" t="s">
        <v>58212</v>
      </c>
      <c r="X3002" t="s">
        <v>58213</v>
      </c>
      <c r="Y3002" t="s">
        <v>58214</v>
      </c>
    </row>
    <row r="3003" spans="1:25" x14ac:dyDescent="0.3">
      <c r="A3003">
        <v>150100</v>
      </c>
      <c r="B3003" t="s">
        <v>58215</v>
      </c>
      <c r="C3003">
        <f>-630.731063645228 -2.40485229064871 -93.0495997891849</f>
        <v>-726.18551572506158</v>
      </c>
      <c r="D3003">
        <f>-651.030871179057 -7.31696203737465 -201.77537784514</f>
        <v>-860.12321106157174</v>
      </c>
      <c r="E3003">
        <f>-663.258192270041 -10.4528609963781 -293.788854821702</f>
        <v>-967.49990808812117</v>
      </c>
      <c r="F3003">
        <f>-673.281586062951 -13.0668293497642 -377.040547715737</f>
        <v>-1063.3889631284521</v>
      </c>
      <c r="G3003">
        <f>-681.726355077158 -15.3481704065771 -460.476847727527</f>
        <v>-1157.5513732112622</v>
      </c>
      <c r="H3003">
        <f>-692.339463306201 -18.3159013001534 -582.638555947253</f>
        <v>-1293.2939205536074</v>
      </c>
      <c r="I3003">
        <f>-681.59907806326 -13.5482013049009 -660.111947049224</f>
        <v>-1355.259226417385</v>
      </c>
      <c r="J3003" t="s">
        <v>58216</v>
      </c>
      <c r="K3003" t="s">
        <v>58217</v>
      </c>
      <c r="L3003" t="s">
        <v>58218</v>
      </c>
      <c r="M3003" t="s">
        <v>58219</v>
      </c>
      <c r="N3003">
        <f>-681.375418681245 -47.7335522249234 -528.836675405997</f>
        <v>-1257.9456463121655</v>
      </c>
      <c r="O3003">
        <f>-660.036690376302 -199.516095220543 -499.739963325998</f>
        <v>-1359.292748922843</v>
      </c>
      <c r="P3003">
        <f>-594.027504153656 -199.021447729284 -225.475241085032</f>
        <v>-1018.5241929679719</v>
      </c>
      <c r="Q3003">
        <f>-430.020266176031 -136.46838700923 -377.58462492528</f>
        <v>-944.07327811054097</v>
      </c>
      <c r="R3003" t="s">
        <v>58220</v>
      </c>
      <c r="S3003" t="s">
        <v>58221</v>
      </c>
      <c r="T3003" t="s">
        <v>58222</v>
      </c>
      <c r="U3003" t="s">
        <v>58223</v>
      </c>
      <c r="V3003">
        <f>-612.3569147866 -92.1196391258406 -94.0785472862038</f>
        <v>-798.55510119864448</v>
      </c>
      <c r="W3003" t="s">
        <v>58224</v>
      </c>
      <c r="X3003" t="s">
        <v>58225</v>
      </c>
      <c r="Y3003" t="s">
        <v>58226</v>
      </c>
    </row>
    <row r="3004" spans="1:25" x14ac:dyDescent="0.3">
      <c r="A3004">
        <v>150150</v>
      </c>
      <c r="B3004" t="s">
        <v>58227</v>
      </c>
      <c r="C3004">
        <f>-631.076119304566 -2.67766355842036 -93.0599007900847</f>
        <v>-726.81368365307105</v>
      </c>
      <c r="D3004">
        <f>-651.503611655359 -7.5996419832943 -201.76124404881</f>
        <v>-860.86449768746331</v>
      </c>
      <c r="E3004">
        <f>-663.840370404429 -10.7217353821297 -293.760604265789</f>
        <v>-968.3227100523477</v>
      </c>
      <c r="F3004">
        <f>-673.963422705362 -13.3144316682865 -377.000781461579</f>
        <v>-1064.2786358352273</v>
      </c>
      <c r="G3004">
        <f>-682.508728901918 -15.5655333667933 -460.427831063118</f>
        <v>-1158.5020933318292</v>
      </c>
      <c r="H3004">
        <f>-693.269747432805 -18.4787764115447 -582.577881504804</f>
        <v>-1294.3264053491539</v>
      </c>
      <c r="I3004">
        <f>-682.616295336537 -13.6571984420636 -660.059813444755</f>
        <v>-1356.3333072233556</v>
      </c>
      <c r="J3004" t="s">
        <v>58228</v>
      </c>
      <c r="K3004" t="s">
        <v>58229</v>
      </c>
      <c r="L3004" t="s">
        <v>58230</v>
      </c>
      <c r="M3004" t="s">
        <v>58231</v>
      </c>
      <c r="N3004">
        <f>-682.231228892883 -47.9183278273963 -528.803237946114</f>
        <v>-1258.9527946663934</v>
      </c>
      <c r="O3004">
        <f>-660.772690495296 -199.718056955208 -499.905904811667</f>
        <v>-1360.3966522621711</v>
      </c>
      <c r="P3004">
        <f>-594.659368807481 -199.238580188701 -225.66632139847</f>
        <v>-1019.564270394652</v>
      </c>
      <c r="Q3004">
        <f>-430.13653972382 -138.066938710893 -377.78076857632</f>
        <v>-945.98424701103295</v>
      </c>
      <c r="R3004" t="s">
        <v>58232</v>
      </c>
      <c r="S3004" t="s">
        <v>58233</v>
      </c>
      <c r="T3004" t="s">
        <v>58234</v>
      </c>
      <c r="U3004" t="s">
        <v>58235</v>
      </c>
      <c r="V3004">
        <f>-612.656169349234 -92.4568530400052 -94.1131294403262</f>
        <v>-799.22615182956542</v>
      </c>
      <c r="W3004" t="s">
        <v>58236</v>
      </c>
      <c r="X3004" t="s">
        <v>58237</v>
      </c>
      <c r="Y3004" t="s">
        <v>58238</v>
      </c>
    </row>
    <row r="3005" spans="1:25" x14ac:dyDescent="0.3">
      <c r="A3005">
        <v>150200</v>
      </c>
      <c r="B3005" t="s">
        <v>58239</v>
      </c>
      <c r="C3005">
        <f>-631.905410098117 -3.39459605026104 -93.0721905493238</f>
        <v>-728.37219669770184</v>
      </c>
      <c r="D3005">
        <f>-652.582252682619 -8.31840604941976 -201.726289115242</f>
        <v>-862.6269478472808</v>
      </c>
      <c r="E3005">
        <f>-665.084020253882 -11.4156475256316 -293.704240111235</f>
        <v>-970.20390789074861</v>
      </c>
      <c r="F3005">
        <f>-675.337753583342 -13.9756409205015 -376.929653033494</f>
        <v>-1066.2430475373376</v>
      </c>
      <c r="G3005">
        <f>-683.995300689184 -16.1839584651759 -460.346005520942</f>
        <v>-1160.525264675302</v>
      </c>
      <c r="H3005">
        <f>-694.900096123206 -19.0239612183461 -582.485000404261</f>
        <v>-1296.4090577458132</v>
      </c>
      <c r="I3005">
        <f>-684.405518788651 -14.0677227190822 -659.980307415238</f>
        <v>-1358.4535489229711</v>
      </c>
      <c r="J3005" t="s">
        <v>58240</v>
      </c>
      <c r="K3005" t="s">
        <v>58241</v>
      </c>
      <c r="L3005" t="s">
        <v>58242</v>
      </c>
      <c r="M3005" t="s">
        <v>58243</v>
      </c>
      <c r="N3005">
        <f>-683.812546856517 -48.4988711838146 -528.739919492824</f>
        <v>-1261.0513375331557</v>
      </c>
      <c r="O3005">
        <f>-662.228680500302 -200.342457024505 -500.180060458376</f>
        <v>-1362.7511979831829</v>
      </c>
      <c r="P3005">
        <f>-596.267461108491 -199.87489887833 -225.903837239921</f>
        <v>-1022.046197226742</v>
      </c>
      <c r="Q3005">
        <f>-431.280618624527 -139.666851091315 -377.900156437508</f>
        <v>-948.84762615334989</v>
      </c>
      <c r="R3005" t="s">
        <v>58244</v>
      </c>
      <c r="S3005" t="s">
        <v>58245</v>
      </c>
      <c r="T3005" t="s">
        <v>58246</v>
      </c>
      <c r="U3005" t="s">
        <v>58247</v>
      </c>
      <c r="V3005">
        <f>-613.356406705979 -93.3025148264142 -94.1359496673542</f>
        <v>-800.79487119974738</v>
      </c>
      <c r="W3005" t="s">
        <v>58248</v>
      </c>
      <c r="X3005" t="s">
        <v>58249</v>
      </c>
      <c r="Y3005" t="s">
        <v>58250</v>
      </c>
    </row>
    <row r="3006" spans="1:25" x14ac:dyDescent="0.3">
      <c r="A3006">
        <v>150250</v>
      </c>
      <c r="B3006" t="s">
        <v>58251</v>
      </c>
      <c r="C3006">
        <f>-632.465422563853 -3.75125187385402 -93.076843393392</f>
        <v>-729.29351783109905</v>
      </c>
      <c r="D3006">
        <f>-653.220161064157 -8.65757476011117 -201.716856500165</f>
        <v>-863.59459232443317</v>
      </c>
      <c r="E3006">
        <f>-665.767567144947 -11.7326293040155 -293.689355883782</f>
        <v>-971.18955233274448</v>
      </c>
      <c r="F3006">
        <f>-676.054365242603 -14.2702643110629 -376.911226910855</f>
        <v>-1067.235856464521</v>
      </c>
      <c r="G3006">
        <f>-684.736788807335 -16.4539904578248 -460.32584430954</f>
        <v>-1161.5166235746997</v>
      </c>
      <c r="H3006">
        <f>-695.668785271083 -19.2557314483001 -582.463234420425</f>
        <v>-1297.3877511398082</v>
      </c>
      <c r="I3006">
        <f>-685.236610036262 -14.2352586891357 -659.962816293722</f>
        <v>-1359.4346850191196</v>
      </c>
      <c r="J3006" t="s">
        <v>58252</v>
      </c>
      <c r="K3006" t="s">
        <v>58253</v>
      </c>
      <c r="L3006" t="s">
        <v>58254</v>
      </c>
      <c r="M3006" t="s">
        <v>58255</v>
      </c>
      <c r="N3006">
        <f>-684.582201696046 -48.7500768488271 -528.728641607803</f>
        <v>-1262.0609201526761</v>
      </c>
      <c r="O3006">
        <f>-663.002498809687 -200.621615095363 -500.319703710927</f>
        <v>-1363.943817615977</v>
      </c>
      <c r="P3006">
        <f>-597.367659581791 -200.228475733185 -225.965014495378</f>
        <v>-1023.561149810354</v>
      </c>
      <c r="Q3006">
        <f>-432.336443319046 -139.62267297285 -377.754867473584</f>
        <v>-949.71398376547995</v>
      </c>
      <c r="R3006" t="s">
        <v>58256</v>
      </c>
      <c r="S3006" t="s">
        <v>58257</v>
      </c>
      <c r="T3006" t="s">
        <v>58258</v>
      </c>
      <c r="U3006" t="s">
        <v>58259</v>
      </c>
      <c r="V3006">
        <f>-613.84718522712 -93.6695979378908 -94.1606667036772</f>
        <v>-801.67744986868797</v>
      </c>
      <c r="W3006" t="s">
        <v>58260</v>
      </c>
      <c r="X3006" t="s">
        <v>58261</v>
      </c>
      <c r="Y3006" t="s">
        <v>58262</v>
      </c>
    </row>
    <row r="3007" spans="1:25" x14ac:dyDescent="0.3">
      <c r="A3007">
        <v>150300</v>
      </c>
      <c r="B3007" t="s">
        <v>58263</v>
      </c>
      <c r="C3007">
        <f>-633.773469893561 -4.47033556872293 -93.0970322915489</f>
        <v>-731.34083775383283</v>
      </c>
      <c r="D3007">
        <f>-654.663513105572 -9.32522366563239 -201.713535443025</f>
        <v>-865.70227221422931</v>
      </c>
      <c r="E3007">
        <f>-667.277616323354 -12.3490146852698 -293.678602298835</f>
        <v>-973.30523330745882</v>
      </c>
      <c r="F3007">
        <f>-677.60549673709 -14.8369628923472 -376.896829699907</f>
        <v>-1069.3392893293442</v>
      </c>
      <c r="G3007">
        <f>-686.309610577007 -16.9681583237157 -460.310505403336</f>
        <v>-1163.5882743040586</v>
      </c>
      <c r="H3007">
        <f>-697.252029268079 -19.6905789277487 -582.448856815539</f>
        <v>-1299.3914650113666</v>
      </c>
      <c r="I3007">
        <f>-686.888982174976 -14.5845072065088 -659.952022636807</f>
        <v>-1361.4255120182918</v>
      </c>
      <c r="J3007" t="s">
        <v>58264</v>
      </c>
      <c r="K3007" t="s">
        <v>58265</v>
      </c>
      <c r="L3007" t="s">
        <v>58266</v>
      </c>
      <c r="M3007" t="s">
        <v>58267</v>
      </c>
      <c r="N3007">
        <f>-686.196698608431 -49.2272158317874 -528.730833237069</f>
        <v>-1264.1547476772873</v>
      </c>
      <c r="O3007">
        <f>-664.685111159025 -201.157866481037 -500.575019131183</f>
        <v>-1366.417996771245</v>
      </c>
      <c r="P3007">
        <f>-600.11082726361 -201.009871106587 -225.968479378637</f>
        <v>-1027.0891777488341</v>
      </c>
      <c r="Q3007">
        <f>-434.741541309223 -139.210750069497 -376.906865695397</f>
        <v>-950.85915707411709</v>
      </c>
      <c r="R3007" t="s">
        <v>58268</v>
      </c>
      <c r="S3007" t="s">
        <v>58269</v>
      </c>
      <c r="T3007" t="s">
        <v>58270</v>
      </c>
      <c r="U3007" t="s">
        <v>58271</v>
      </c>
      <c r="V3007">
        <f>-615.134109781391 -94.4766690121733 -94.246889717705</f>
        <v>-803.85766851126925</v>
      </c>
      <c r="W3007" t="s">
        <v>58272</v>
      </c>
      <c r="X3007" t="s">
        <v>58273</v>
      </c>
      <c r="Y3007" t="s">
        <v>58274</v>
      </c>
    </row>
    <row r="3008" spans="1:25" x14ac:dyDescent="0.3">
      <c r="A3008">
        <v>150350</v>
      </c>
      <c r="B3008" t="s">
        <v>58275</v>
      </c>
      <c r="C3008">
        <f>-634.529368384827 -4.78093289802291 -93.0986527674575</f>
        <v>-732.40895405030733</v>
      </c>
      <c r="D3008">
        <f>-655.458423020962 -9.60308640977746 -201.709032643799</f>
        <v>-866.77054207453841</v>
      </c>
      <c r="E3008">
        <f>-668.083047578932 -12.6037573337883 -293.673441002322</f>
        <v>-974.36024591504224</v>
      </c>
      <c r="F3008">
        <f>-678.411568146751 -15.0719260136584 -376.892251077862</f>
        <v>-1070.3757452382715</v>
      </c>
      <c r="G3008">
        <f>-687.10734566638 -17.1847394246711 -460.307155543267</f>
        <v>-1164.599240634318</v>
      </c>
      <c r="H3008">
        <f>-698.027690201085 -19.881669042062 -582.448000202814</f>
        <v>-1300.3573594459608</v>
      </c>
      <c r="I3008">
        <f>-687.674645764066 -14.76222429257 -659.951753877402</f>
        <v>-1362.3886239340379</v>
      </c>
      <c r="J3008" t="s">
        <v>58276</v>
      </c>
      <c r="K3008" t="s">
        <v>58277</v>
      </c>
      <c r="L3008" t="s">
        <v>58278</v>
      </c>
      <c r="M3008" t="s">
        <v>58279</v>
      </c>
      <c r="N3008">
        <f>-687.001070675622 -49.4332226055174 -528.732396853555</f>
        <v>-1265.1666901346944</v>
      </c>
      <c r="O3008">
        <f>-665.540083307656 -201.376838977934 -500.635466531864</f>
        <v>-1367.5523888174539</v>
      </c>
      <c r="P3008">
        <f>-601.451766808199 -201.250238256136 -225.915144830542</f>
        <v>-1028.617149894877</v>
      </c>
      <c r="Q3008">
        <f>-435.834245341412 -138.927610377727 -376.365245272566</f>
        <v>-951.12710099170499</v>
      </c>
      <c r="R3008" t="s">
        <v>58280</v>
      </c>
      <c r="S3008" t="s">
        <v>58281</v>
      </c>
      <c r="T3008" t="s">
        <v>58282</v>
      </c>
      <c r="U3008" t="s">
        <v>58283</v>
      </c>
      <c r="V3008">
        <f>-615.906711379444 -94.8403321511234 -94.2867065123686</f>
        <v>-805.03375004293605</v>
      </c>
      <c r="W3008" t="s">
        <v>58284</v>
      </c>
      <c r="X3008" t="s">
        <v>58285</v>
      </c>
      <c r="Y3008" t="s">
        <v>58286</v>
      </c>
    </row>
    <row r="3009" spans="1:25" x14ac:dyDescent="0.3">
      <c r="A3009">
        <v>150400</v>
      </c>
      <c r="B3009" t="s">
        <v>58287</v>
      </c>
      <c r="C3009">
        <f>-636.029036823082 -5.36007981490843 -93.1374936326865</f>
        <v>-734.526610270677</v>
      </c>
      <c r="D3009">
        <f>-657.03480882913 -10.1232642577636 -201.735697165333</f>
        <v>-868.89377025222666</v>
      </c>
      <c r="E3009">
        <f>-669.656084230123 -13.0841093986403 -293.701927873847</f>
        <v>-976.44212150261035</v>
      </c>
      <c r="F3009">
        <f>-679.954235838794 -15.518995719111 -376.925421778509</f>
        <v>-1072.3986533364141</v>
      </c>
      <c r="G3009">
        <f>-688.592073303182 -17.6021500598656 -460.347106834558</f>
        <v>-1166.5413301976057</v>
      </c>
      <c r="H3009">
        <f>-699.397390661966 -20.2598031618204 -582.499160894095</f>
        <v>-1302.1563547178814</v>
      </c>
      <c r="I3009">
        <f>-688.989081543893 -15.1056410942615 -659.993108520492</f>
        <v>-1364.0878311586466</v>
      </c>
      <c r="J3009" t="s">
        <v>58288</v>
      </c>
      <c r="K3009" t="s">
        <v>58289</v>
      </c>
      <c r="L3009" t="s">
        <v>58290</v>
      </c>
      <c r="M3009" t="s">
        <v>58291</v>
      </c>
      <c r="N3009">
        <f>-688.461825757445 -49.836794816568 -528.778899602757</f>
        <v>-1267.0775201767701</v>
      </c>
      <c r="O3009">
        <f>-667.091139677294 -201.806304181804 -500.746358911961</f>
        <v>-1369.643802771059</v>
      </c>
      <c r="P3009">
        <f>-604.018775841188 -201.744520675859 -225.79102149873</f>
        <v>-1031.554318015777</v>
      </c>
      <c r="Q3009">
        <f>-438.49649407095 -137.975972271312 -375.739282655119</f>
        <v>-952.21174899738094</v>
      </c>
      <c r="R3009" t="s">
        <v>58292</v>
      </c>
      <c r="S3009" t="s">
        <v>58293</v>
      </c>
      <c r="T3009" t="s">
        <v>58294</v>
      </c>
      <c r="U3009" t="s">
        <v>58295</v>
      </c>
      <c r="V3009">
        <f>-617.451909764633 -95.578850149948 -94.369549218242</f>
        <v>-807.40030913282305</v>
      </c>
      <c r="W3009" t="s">
        <v>58296</v>
      </c>
      <c r="X3009" t="s">
        <v>58297</v>
      </c>
      <c r="Y3009" t="s">
        <v>58298</v>
      </c>
    </row>
    <row r="3010" spans="1:25" x14ac:dyDescent="0.3">
      <c r="A3010">
        <v>150450</v>
      </c>
      <c r="B3010" t="s">
        <v>58299</v>
      </c>
      <c r="C3010">
        <f>-636.623217213314 -5.56379732699315 -93.1537886226131</f>
        <v>-735.34080316292022</v>
      </c>
      <c r="D3010">
        <f>-657.680056356908 -10.3123574057913 -201.742745161752</f>
        <v>-869.7351589244513</v>
      </c>
      <c r="E3010">
        <f>-670.301372852689 -13.2660651920833 -293.709148672877</f>
        <v>-977.27658671764925</v>
      </c>
      <c r="F3010">
        <f>-680.582253847508 -15.6970852059126 -376.934928795716</f>
        <v>-1073.2142678491366</v>
      </c>
      <c r="G3010">
        <f>-689.185222854344 -17.7788086672329 -460.360188615006</f>
        <v>-1167.3242201365829</v>
      </c>
      <c r="H3010">
        <f>-699.920239979342 -20.4375499153741 -582.518338009613</f>
        <v>-1302.8761279043292</v>
      </c>
      <c r="I3010">
        <f>-689.461263128659 -15.2722224371901 -660.004676352866</f>
        <v>-1364.7381619187149</v>
      </c>
      <c r="J3010" t="s">
        <v>58300</v>
      </c>
      <c r="K3010" t="s">
        <v>58301</v>
      </c>
      <c r="L3010" t="s">
        <v>58302</v>
      </c>
      <c r="M3010" t="s">
        <v>58303</v>
      </c>
      <c r="N3010">
        <f>-689.033691768612 -50.0176245896093 -528.789935269977</f>
        <v>-1267.8412516281983</v>
      </c>
      <c r="O3010">
        <f>-667.68729290822 -201.995352280389 -500.786035317717</f>
        <v>-1370.4686805063261</v>
      </c>
      <c r="P3010">
        <f>-604.984150340468 -202.063012401643 -225.746214945158</f>
        <v>-1032.793377687269</v>
      </c>
      <c r="Q3010">
        <f>-439.901243996661 -137.542154983375 -375.856935170007</f>
        <v>-953.300334150043</v>
      </c>
      <c r="R3010" t="s">
        <v>58304</v>
      </c>
      <c r="S3010" t="s">
        <v>58305</v>
      </c>
      <c r="T3010" t="s">
        <v>58306</v>
      </c>
      <c r="U3010" t="s">
        <v>58307</v>
      </c>
      <c r="V3010">
        <f>-618.020353076618 -95.8530996322691 -94.3977285250428</f>
        <v>-808.27118123392984</v>
      </c>
      <c r="W3010" t="s">
        <v>58308</v>
      </c>
      <c r="X3010" t="s">
        <v>58309</v>
      </c>
      <c r="Y3010" t="s">
        <v>58310</v>
      </c>
    </row>
    <row r="3011" spans="1:25" x14ac:dyDescent="0.3">
      <c r="A3011">
        <v>150500</v>
      </c>
      <c r="B3011" t="s">
        <v>58311</v>
      </c>
      <c r="C3011">
        <f>-637.52007065919 -5.563480072527 -93.1629000495903</f>
        <v>-736.24645078130732</v>
      </c>
      <c r="D3011">
        <f>-658.707103204634 -10.3043436149205 -201.726968763418</f>
        <v>-870.73841558297249</v>
      </c>
      <c r="E3011">
        <f>-671.311513107891 -13.2198636969235 -293.696850177394</f>
        <v>-978.22822698220853</v>
      </c>
      <c r="F3011">
        <f>-681.525731277875 -15.6033895857963 -376.932105977618</f>
        <v>-1074.0612268412892</v>
      </c>
      <c r="G3011">
        <f>-690.010665367262 -17.6249059293059 -460.371023974385</f>
        <v>-1168.0065952709529</v>
      </c>
      <c r="H3011">
        <f>-700.516489612293 -20.1811436592163 -582.551291483112</f>
        <v>-1303.2489247546214</v>
      </c>
      <c r="I3011">
        <f>-689.916669681076 -14.9127013435079 -660.011713036756</f>
        <v>-1364.8410840613399</v>
      </c>
      <c r="J3011" t="s">
        <v>58312</v>
      </c>
      <c r="K3011" t="s">
        <v>58313</v>
      </c>
      <c r="L3011" t="s">
        <v>58314</v>
      </c>
      <c r="M3011" t="s">
        <v>58315</v>
      </c>
      <c r="N3011">
        <f>-689.714696757013 -49.8031487154831 -528.828922423299</f>
        <v>-1268.346767895795</v>
      </c>
      <c r="O3011">
        <f>-668.40287554334 -201.800120341664 -500.880891781346</f>
        <v>-1371.0838876663499</v>
      </c>
      <c r="P3011">
        <f>-605.689845704638 -202.072494154141 -225.843505889094</f>
        <v>-1033.605845747873</v>
      </c>
      <c r="Q3011">
        <f>-441.849384357063 -136.882780050127 -377.022616545108</f>
        <v>-955.75478095229801</v>
      </c>
      <c r="R3011" t="s">
        <v>58316</v>
      </c>
      <c r="S3011" t="s">
        <v>58317</v>
      </c>
      <c r="T3011" t="s">
        <v>58318</v>
      </c>
      <c r="U3011" t="s">
        <v>58319</v>
      </c>
      <c r="V3011">
        <f>-618.851718843102 -95.8617400684238 -94.4347508919273</f>
        <v>-809.14820980345314</v>
      </c>
      <c r="W3011" t="s">
        <v>58320</v>
      </c>
      <c r="X3011" t="s">
        <v>58321</v>
      </c>
      <c r="Y3011" t="s">
        <v>58322</v>
      </c>
    </row>
    <row r="3012" spans="1:25" x14ac:dyDescent="0.3">
      <c r="A3012">
        <v>150550</v>
      </c>
      <c r="B3012" t="s">
        <v>58323</v>
      </c>
      <c r="C3012">
        <f>-637.881477669873 -5.48591355142707 -93.1711643332384</f>
        <v>-736.53855555453845</v>
      </c>
      <c r="D3012">
        <f>-659.14031160107 -10.2222992408729 -201.721287323493</f>
        <v>-871.08389816543593</v>
      </c>
      <c r="E3012">
        <f>-671.724988841491 -13.1156219150021 -293.694721575298</f>
        <v>-978.5353323317911</v>
      </c>
      <c r="F3012">
        <f>-681.889007458886 -15.4721765914658 -376.936910601922</f>
        <v>-1074.2980946522739</v>
      </c>
      <c r="G3012">
        <f>-690.291106057446 -17.4589807612554 -460.384946447682</f>
        <v>-1168.1350332663833</v>
      </c>
      <c r="H3012">
        <f>-700.640022424253 -19.9562036877933 -582.579956982107</f>
        <v>-1303.1761830941532</v>
      </c>
      <c r="I3012">
        <f>-689.929584421324 -14.6354407059298 -660.021451379785</f>
        <v>-1364.5864765070387</v>
      </c>
      <c r="J3012" t="s">
        <v>58324</v>
      </c>
      <c r="K3012" t="s">
        <v>58325</v>
      </c>
      <c r="L3012" t="s">
        <v>58326</v>
      </c>
      <c r="M3012" t="s">
        <v>58327</v>
      </c>
      <c r="N3012">
        <f>-689.894223930684 -49.6014753359266 -528.859217511147</f>
        <v>-1268.3549167777576</v>
      </c>
      <c r="O3012">
        <f>-668.528164750644 -201.592862676674 -500.956959257743</f>
        <v>-1371.077986685061</v>
      </c>
      <c r="P3012">
        <f>-605.360793079282 -201.925479269503 -226.023659506371</f>
        <v>-1033.3099318551558</v>
      </c>
      <c r="Q3012">
        <f>-442.141613885124 -136.737485315666 -377.873908384257</f>
        <v>-956.75300758504704</v>
      </c>
      <c r="R3012" t="s">
        <v>58328</v>
      </c>
      <c r="S3012" t="s">
        <v>58329</v>
      </c>
      <c r="T3012" t="s">
        <v>58330</v>
      </c>
      <c r="U3012" t="s">
        <v>58331</v>
      </c>
      <c r="V3012">
        <f>-619.200535763635 -95.8575595237508 -94.450766087338</f>
        <v>-809.50886137472378</v>
      </c>
      <c r="W3012" t="s">
        <v>58332</v>
      </c>
      <c r="X3012" t="s">
        <v>58333</v>
      </c>
      <c r="Y3012" t="s">
        <v>58334</v>
      </c>
    </row>
    <row r="3013" spans="1:25" x14ac:dyDescent="0.3">
      <c r="A3013">
        <v>150600</v>
      </c>
      <c r="B3013" t="s">
        <v>58335</v>
      </c>
      <c r="C3013">
        <f>-638.512277236505 -4.96029094257551 -93.1636036861401</f>
        <v>-736.6361718652206</v>
      </c>
      <c r="D3013">
        <f>-659.869573927041 -9.7195128540659 -201.693417476367</f>
        <v>-871.28250425747387</v>
      </c>
      <c r="E3013">
        <f>-672.474432042301 -12.6024636756829 -293.664322678494</f>
        <v>-978.74121839647796</v>
      </c>
      <c r="F3013">
        <f>-682.630947693497 -14.9391257710126 -376.907992586075</f>
        <v>-1074.4780660505846</v>
      </c>
      <c r="G3013">
        <f>-690.999885927385 -16.8947250329477 -460.360148178615</f>
        <v>-1168.2547591389477</v>
      </c>
      <c r="H3013">
        <f>-701.271988325663 -19.3338869544459 -582.562803434203</f>
        <v>-1303.1686787143119</v>
      </c>
      <c r="I3013">
        <f>-690.34023547558 -13.9129591813021 -659.966336987815</f>
        <v>-1364.2195316446971</v>
      </c>
      <c r="J3013" t="s">
        <v>58336</v>
      </c>
      <c r="K3013" t="s">
        <v>58337</v>
      </c>
      <c r="L3013" t="s">
        <v>58338</v>
      </c>
      <c r="M3013" t="s">
        <v>58339</v>
      </c>
      <c r="N3013">
        <f>-690.519356051405 -48.9965767683311 -528.852873840938</f>
        <v>-1268.3688066606742</v>
      </c>
      <c r="O3013">
        <f>-668.874110335311 -200.977060433638 -501.09919067383</f>
        <v>-1370.950361442779</v>
      </c>
      <c r="P3013">
        <f>-604.458080626946 -201.70231961151 -226.456517290408</f>
        <v>-1032.616917528864</v>
      </c>
      <c r="Q3013">
        <f>-442.515675384728 -136.275186132448 -379.565920897505</f>
        <v>-958.35678241468099</v>
      </c>
      <c r="R3013" t="s">
        <v>58340</v>
      </c>
      <c r="S3013" t="s">
        <v>58341</v>
      </c>
      <c r="T3013" t="s">
        <v>58342</v>
      </c>
      <c r="U3013" t="s">
        <v>58343</v>
      </c>
      <c r="V3013">
        <f>-619.7934178242 -95.2517188769659 -94.4476493920686</f>
        <v>-809.49278609323449</v>
      </c>
      <c r="W3013" t="s">
        <v>58344</v>
      </c>
      <c r="X3013" t="s">
        <v>58345</v>
      </c>
      <c r="Y3013" t="s">
        <v>58346</v>
      </c>
    </row>
    <row r="3014" spans="1:25" x14ac:dyDescent="0.3">
      <c r="A3014">
        <v>150650</v>
      </c>
      <c r="B3014" t="s">
        <v>58347</v>
      </c>
      <c r="C3014">
        <f>-638.742440646795 -4.55979744918318 -93.1536698350129</f>
        <v>-736.45590793099109</v>
      </c>
      <c r="D3014">
        <f>-660.133672554878 -9.33676035965823 -201.675938961541</f>
        <v>-871.14637187607718</v>
      </c>
      <c r="E3014">
        <f>-672.770640009483 -12.2235789450874 -293.642328871859</f>
        <v>-978.63654782642948</v>
      </c>
      <c r="F3014">
        <f>-682.957433359211 -14.5600959456151 -376.882378539382</f>
        <v>-1074.399907844208</v>
      </c>
      <c r="G3014">
        <f>-691.358093027335 -16.5114498739385 -460.331452264667</f>
        <v>-1168.2009951659406</v>
      </c>
      <c r="H3014">
        <f>-701.678122492233 -18.9393936765698 -582.530263065643</f>
        <v>-1303.1477792344458</v>
      </c>
      <c r="I3014">
        <f>-690.671552820876 -13.4546992974144 -659.918785145886</f>
        <v>-1364.0450372641762</v>
      </c>
      <c r="J3014" t="s">
        <v>58348</v>
      </c>
      <c r="K3014" t="s">
        <v>58349</v>
      </c>
      <c r="L3014" t="s">
        <v>58350</v>
      </c>
      <c r="M3014" t="s">
        <v>58351</v>
      </c>
      <c r="N3014">
        <f>-690.869905008669 -48.5999820514905 -528.830268833403</f>
        <v>-1268.3001558935625</v>
      </c>
      <c r="O3014">
        <f>-669.025201461061 -200.558666475176 -501.082743391933</f>
        <v>-1370.6666113281699</v>
      </c>
      <c r="P3014">
        <f>-603.899615629649 -201.146717441915 -226.607011009065</f>
        <v>-1031.653344080629</v>
      </c>
      <c r="Q3014">
        <f>-442.57113032965 -135.710527163976 -380.359360608677</f>
        <v>-958.64101810230295</v>
      </c>
      <c r="R3014" t="s">
        <v>58352</v>
      </c>
      <c r="S3014" t="s">
        <v>58353</v>
      </c>
      <c r="T3014" t="s">
        <v>58354</v>
      </c>
      <c r="U3014" t="s">
        <v>58355</v>
      </c>
      <c r="V3014">
        <f>-620.000141830972 -94.8128064196796 -94.4377008366046</f>
        <v>-809.25064908725619</v>
      </c>
      <c r="W3014" t="s">
        <v>58356</v>
      </c>
      <c r="X3014" t="s">
        <v>58357</v>
      </c>
      <c r="Y3014" t="s">
        <v>58358</v>
      </c>
    </row>
    <row r="3015" spans="1:25" x14ac:dyDescent="0.3">
      <c r="A3015">
        <v>150700</v>
      </c>
      <c r="B3015" t="s">
        <v>58359</v>
      </c>
      <c r="C3015">
        <f>-638.983324056866 -3.84748527951979 -93.1297751509954</f>
        <v>-735.9605844873812</v>
      </c>
      <c r="D3015">
        <f>-660.439801172322 -8.65182623252281 -201.637977604464</f>
        <v>-870.72960500930878</v>
      </c>
      <c r="E3015">
        <f>-673.132408130267 -11.5231292212618 -293.597303950459</f>
        <v>-978.2528413019877</v>
      </c>
      <c r="F3015">
        <f>-683.369466205831 -13.8312549226655 -376.831891816422</f>
        <v>-1074.0326129449186</v>
      </c>
      <c r="G3015">
        <f>-691.820915715909 -15.7380643437609 -460.276857175993</f>
        <v>-1167.8358372356629</v>
      </c>
      <c r="H3015">
        <f>-702.215771432017 -18.0822597811261 -582.470943685238</f>
        <v>-1302.7689748983812</v>
      </c>
      <c r="I3015">
        <f>-691.140426735324 -12.4281142382949 -659.837415220672</f>
        <v>-1363.4059561942909</v>
      </c>
      <c r="J3015" t="s">
        <v>58360</v>
      </c>
      <c r="K3015" t="s">
        <v>58361</v>
      </c>
      <c r="L3015" t="s">
        <v>58362</v>
      </c>
      <c r="M3015" t="s">
        <v>58363</v>
      </c>
      <c r="N3015">
        <f>-691.273156342665 -47.758795403588 -528.807023432179</f>
        <v>-1267.8389751784321</v>
      </c>
      <c r="O3015">
        <f>-668.94379168629 -199.660480553008 -501.130851351645</f>
        <v>-1369.735123590943</v>
      </c>
      <c r="P3015">
        <f>-602.583442107553 -199.839303180084 -226.950417896693</f>
        <v>-1029.37316318433</v>
      </c>
      <c r="Q3015">
        <f>-442.590479226178 -134.098678898913 -381.963296108114</f>
        <v>-958.65245423320494</v>
      </c>
      <c r="R3015" t="s">
        <v>58364</v>
      </c>
      <c r="S3015" t="s">
        <v>58365</v>
      </c>
      <c r="T3015" t="s">
        <v>58366</v>
      </c>
      <c r="U3015" t="s">
        <v>58367</v>
      </c>
      <c r="V3015">
        <f>-620.091521581047 -94.1742757009936 -94.4467968534228</f>
        <v>-808.71259413546341</v>
      </c>
      <c r="W3015" t="s">
        <v>58368</v>
      </c>
      <c r="X3015" t="s">
        <v>58369</v>
      </c>
      <c r="Y3015" t="s">
        <v>58370</v>
      </c>
    </row>
    <row r="3016" spans="1:25" x14ac:dyDescent="0.3">
      <c r="A3016">
        <v>150750</v>
      </c>
      <c r="B3016" t="s">
        <v>58371</v>
      </c>
      <c r="C3016">
        <f>-639.041075063805 -3.48953087549739 -93.1182906514381</f>
        <v>-735.64889659074049</v>
      </c>
      <c r="D3016">
        <f>-660.53392984244 -8.31113370791968 -201.618569339573</f>
        <v>-870.46363288993268</v>
      </c>
      <c r="E3016">
        <f>-673.252162340807 -11.1597441778083 -293.574866254626</f>
        <v>-977.98677277324123</v>
      </c>
      <c r="F3016">
        <f>-683.510289558885 -13.4332002886349 -376.807853737485</f>
        <v>-1073.7513435850049</v>
      </c>
      <c r="G3016">
        <f>-691.980800415928 -15.2896610188252 -460.252038176196</f>
        <v>-1167.5224996109491</v>
      </c>
      <c r="H3016">
        <f>-702.401596470009 -17.5434153584097 -582.44571559618</f>
        <v>-1302.3907274245987</v>
      </c>
      <c r="I3016">
        <f>-691.330708771939 -11.8003913912173 -659.80625933605</f>
        <v>-1362.9373594992062</v>
      </c>
      <c r="J3016" t="s">
        <v>58372</v>
      </c>
      <c r="K3016" t="s">
        <v>58373</v>
      </c>
      <c r="L3016" t="s">
        <v>58374</v>
      </c>
      <c r="M3016" t="s">
        <v>58375</v>
      </c>
      <c r="N3016">
        <f>-691.39675723565 -47.2489894737171 -528.810629294872</f>
        <v>-1267.4563760042392</v>
      </c>
      <c r="O3016">
        <f>-668.795811460671 -199.123613983837 -501.223414388904</f>
        <v>-1369.1428398334119</v>
      </c>
      <c r="P3016">
        <f>-601.912051832049 -199.174508723105 -227.17020206343</f>
        <v>-1028.2567626185839</v>
      </c>
      <c r="Q3016">
        <f>-442.410255096946 -133.192939706533 -382.586238196193</f>
        <v>-958.18943299967202</v>
      </c>
      <c r="R3016" t="s">
        <v>58376</v>
      </c>
      <c r="S3016" t="s">
        <v>58377</v>
      </c>
      <c r="T3016" t="s">
        <v>58378</v>
      </c>
      <c r="U3016" t="s">
        <v>58379</v>
      </c>
      <c r="V3016">
        <f>-620.109121941042 -93.7607651135611 -94.441553728934</f>
        <v>-808.31144078353702</v>
      </c>
      <c r="W3016" t="s">
        <v>58380</v>
      </c>
      <c r="X3016" t="s">
        <v>58381</v>
      </c>
      <c r="Y3016" t="s">
        <v>58382</v>
      </c>
    </row>
    <row r="3017" spans="1:25" x14ac:dyDescent="0.3">
      <c r="A3017">
        <v>150800</v>
      </c>
      <c r="B3017" t="s">
        <v>58383</v>
      </c>
      <c r="C3017">
        <f>-639.215351560178 -2.75105816790528 -93.102615804272</f>
        <v>-735.06902553235523</v>
      </c>
      <c r="D3017">
        <f>-660.727193946647 -7.56338034994678 -201.599647412831</f>
        <v>-869.89022170942485</v>
      </c>
      <c r="E3017">
        <f>-673.463599110181 -10.33632660803 -293.555690286301</f>
        <v>-977.35561600451206</v>
      </c>
      <c r="F3017">
        <f>-683.739151545183 -12.5139905526148 -376.789185575344</f>
        <v>-1073.0423276731417</v>
      </c>
      <c r="G3017">
        <f>-692.228598243868 -14.2453167701783 -460.234174803176</f>
        <v>-1166.7080898172223</v>
      </c>
      <c r="H3017">
        <f>-702.678915282674 -16.2827011705504 -582.428926044053</f>
        <v>-1301.3905424972772</v>
      </c>
      <c r="I3017">
        <f>-691.637740192023 -10.3522901317326 -659.779688337137</f>
        <v>-1361.7697186608925</v>
      </c>
      <c r="J3017" t="s">
        <v>58384</v>
      </c>
      <c r="K3017" t="s">
        <v>58385</v>
      </c>
      <c r="L3017" t="s">
        <v>58386</v>
      </c>
      <c r="M3017" t="s">
        <v>58387</v>
      </c>
      <c r="N3017">
        <f>-691.560617966318 -46.0619339897255 -528.858196287738</f>
        <v>-1266.4807482437814</v>
      </c>
      <c r="O3017">
        <f>-668.479044761367 -197.891430369794 -501.439771103469</f>
        <v>-1367.8102462346301</v>
      </c>
      <c r="P3017">
        <f>-600.513312192987 -197.907368917425 -227.652842450105</f>
        <v>-1026.0735235605171</v>
      </c>
      <c r="Q3017">
        <f>-441.748806657466 -131.29403171664 -383.553494531029</f>
        <v>-956.59633290513489</v>
      </c>
      <c r="R3017" t="s">
        <v>58388</v>
      </c>
      <c r="S3017" t="s">
        <v>58389</v>
      </c>
      <c r="T3017" t="s">
        <v>58390</v>
      </c>
      <c r="U3017" t="s">
        <v>58391</v>
      </c>
      <c r="V3017">
        <f>-620.291470067707 -92.9829303321346 -94.4390813228241</f>
        <v>-807.71348172266573</v>
      </c>
      <c r="W3017" t="s">
        <v>58392</v>
      </c>
      <c r="X3017" t="s">
        <v>58393</v>
      </c>
      <c r="Y3017" t="s">
        <v>58394</v>
      </c>
    </row>
    <row r="3018" spans="1:25" x14ac:dyDescent="0.3">
      <c r="A3018">
        <v>150850</v>
      </c>
      <c r="B3018" t="s">
        <v>58395</v>
      </c>
      <c r="C3018">
        <f>-639.297405914665 -2.46837080387422 -93.0998074988846</f>
        <v>-734.86558421742382</v>
      </c>
      <c r="D3018">
        <f>-660.80656943911 -7.29166480463596 -201.596664867229</f>
        <v>-869.69489911097503</v>
      </c>
      <c r="E3018">
        <f>-673.518244933342 -10.0400927187238 -293.556980570119</f>
        <v>-977.11531822218478</v>
      </c>
      <c r="F3018">
        <f>-683.762396227793 -12.1821078959322 -376.795253524498</f>
        <v>-1072.7397576482231</v>
      </c>
      <c r="G3018">
        <f>-692.211457640401 -13.8632594878111 -460.245444591887</f>
        <v>-1166.3201617200991</v>
      </c>
      <c r="H3018">
        <f>-702.593012039815 -15.8114146889122 -582.447464836782</f>
        <v>-1300.8518915655093</v>
      </c>
      <c r="I3018">
        <f>-691.547447650192 -9.79800533507478 -659.791120906674</f>
        <v>-1361.1365738919408</v>
      </c>
      <c r="J3018" t="s">
        <v>58396</v>
      </c>
      <c r="K3018" t="s">
        <v>58397</v>
      </c>
      <c r="L3018" t="s">
        <v>58398</v>
      </c>
      <c r="M3018" t="s">
        <v>58399</v>
      </c>
      <c r="N3018">
        <f>-691.472653397869 -45.6228371703351 -528.895081548441</f>
        <v>-1265.9905721166451</v>
      </c>
      <c r="O3018">
        <f>-668.259264535657 -197.444082966609 -501.563936027058</f>
        <v>-1367.267283529324</v>
      </c>
      <c r="P3018">
        <f>-599.849298273403 -197.481599441192 -227.887671082287</f>
        <v>-1025.218568796882</v>
      </c>
      <c r="Q3018">
        <f>-441.395586734911 -130.490951624858 -383.942943937387</f>
        <v>-955.82948229715601</v>
      </c>
      <c r="R3018" t="s">
        <v>58400</v>
      </c>
      <c r="S3018" t="s">
        <v>58401</v>
      </c>
      <c r="T3018" t="s">
        <v>58402</v>
      </c>
      <c r="U3018" t="s">
        <v>58403</v>
      </c>
      <c r="V3018">
        <f>-620.343316900686 -92.6948367465154 -94.4419812237544</f>
        <v>-807.48013487095579</v>
      </c>
      <c r="W3018" t="s">
        <v>58404</v>
      </c>
      <c r="X3018" t="s">
        <v>58405</v>
      </c>
      <c r="Y3018" t="s">
        <v>58406</v>
      </c>
    </row>
    <row r="3019" spans="1:25" x14ac:dyDescent="0.3">
      <c r="A3019">
        <v>150900</v>
      </c>
      <c r="B3019" t="s">
        <v>58407</v>
      </c>
      <c r="C3019">
        <f>-639.421997100111 -2.13554137487336 -93.0559284225312</f>
        <v>-734.61346689751554</v>
      </c>
      <c r="D3019">
        <f>-660.967553111675 -6.97927375539211 -201.544783962179</f>
        <v>-869.49161082924616</v>
      </c>
      <c r="E3019">
        <f>-673.619629848305 -9.69847841904652 -293.514004655262</f>
        <v>-976.83211292261353</v>
      </c>
      <c r="F3019">
        <f>-683.773234763047 -11.795942581329 -376.764593069503</f>
        <v>-1072.3337704138789</v>
      </c>
      <c r="G3019">
        <f>-692.095149835306 -13.4133453676336 -460.228724969311</f>
        <v>-1165.7372201722505</v>
      </c>
      <c r="H3019">
        <f>-702.250750985041 -15.2470449589805 -582.451575730621</f>
        <v>-1299.9493716746424</v>
      </c>
      <c r="I3019">
        <f>-691.157506556268 -9.10500435599988 -659.778411966546</f>
        <v>-1360.0409228788139</v>
      </c>
      <c r="J3019" t="s">
        <v>58408</v>
      </c>
      <c r="K3019" t="s">
        <v>58409</v>
      </c>
      <c r="L3019" t="s">
        <v>58410</v>
      </c>
      <c r="M3019" t="s">
        <v>58411</v>
      </c>
      <c r="N3019">
        <f>-691.169915974582 -45.0958890693082 -528.911803945572</f>
        <v>-1265.1776089894622</v>
      </c>
      <c r="O3019">
        <f>-667.741602443662 -196.900909531876 -501.645256578549</f>
        <v>-1366.2877685540871</v>
      </c>
      <c r="P3019">
        <f>-598.956816060271 -197.156707289112 -228.063142129376</f>
        <v>-1024.1766654787589</v>
      </c>
      <c r="Q3019">
        <f>-441.04049877456 -128.980799516932 -384.149709247651</f>
        <v>-954.17100753914303</v>
      </c>
      <c r="R3019" t="s">
        <v>58412</v>
      </c>
      <c r="S3019" t="s">
        <v>58413</v>
      </c>
      <c r="T3019" t="s">
        <v>58414</v>
      </c>
      <c r="U3019" t="s">
        <v>58415</v>
      </c>
      <c r="V3019">
        <f>-620.366135530199 -92.3847489743509 -94.4193081513504</f>
        <v>-807.17019265590034</v>
      </c>
      <c r="W3019" t="s">
        <v>58416</v>
      </c>
      <c r="X3019" t="s">
        <v>58417</v>
      </c>
      <c r="Y3019" t="s">
        <v>58418</v>
      </c>
    </row>
    <row r="3020" spans="1:25" x14ac:dyDescent="0.3">
      <c r="A3020">
        <v>150950</v>
      </c>
      <c r="B3020" t="s">
        <v>58419</v>
      </c>
      <c r="C3020">
        <f>-639.487159727609 -2.03584228048703 -93.0268229660693</f>
        <v>-734.54982497416529</v>
      </c>
      <c r="D3020">
        <f>-661.07070292878 -6.88477954779455 -201.507931746743</f>
        <v>-869.4634142233175</v>
      </c>
      <c r="E3020">
        <f>-673.709791111754 -9.58218250753293 -293.479726874809</f>
        <v>-976.77170049409597</v>
      </c>
      <c r="F3020">
        <f>-683.833475549508 -11.65029037505 -376.734521059723</f>
        <v>-1072.2182869842809</v>
      </c>
      <c r="G3020">
        <f>-692.107193073062 -13.2276051447166 -460.204248086006</f>
        <v>-1165.5390463037845</v>
      </c>
      <c r="H3020">
        <f>-702.172321587347 -14.9910049531409 -582.435641792861</f>
        <v>-1299.5989683333489</v>
      </c>
      <c r="I3020">
        <f>-691.05537128997 -8.80860771346897 -659.755738883945</f>
        <v>-1359.619717887384</v>
      </c>
      <c r="J3020" t="s">
        <v>58420</v>
      </c>
      <c r="K3020" t="s">
        <v>58421</v>
      </c>
      <c r="L3020" t="s">
        <v>58422</v>
      </c>
      <c r="M3020" t="s">
        <v>58423</v>
      </c>
      <c r="N3020">
        <f>-691.103626775973 -44.8646795898612 -528.90730210948</f>
        <v>-1264.8756084753143</v>
      </c>
      <c r="O3020">
        <f>-667.586128397733 -196.668955720359 -501.671990919335</f>
        <v>-1365.9270750374269</v>
      </c>
      <c r="P3020">
        <f>-598.798679348748 -197.027949238405 -228.09062698433</f>
        <v>-1023.917255571483</v>
      </c>
      <c r="Q3020">
        <f>-441.237422395611 -128.052250205611 -384.184800807937</f>
        <v>-953.47447340915903</v>
      </c>
      <c r="R3020" t="s">
        <v>58424</v>
      </c>
      <c r="S3020" t="s">
        <v>58425</v>
      </c>
      <c r="T3020" t="s">
        <v>58426</v>
      </c>
      <c r="U3020" t="s">
        <v>58427</v>
      </c>
      <c r="V3020">
        <f>-620.35003513483 -92.3158437537879 -94.4031646030264</f>
        <v>-807.06904349164438</v>
      </c>
      <c r="W3020" t="s">
        <v>58428</v>
      </c>
      <c r="X3020" t="s">
        <v>58429</v>
      </c>
      <c r="Y3020" t="s">
        <v>58430</v>
      </c>
    </row>
    <row r="3021" spans="1:25" x14ac:dyDescent="0.3">
      <c r="A3021">
        <v>151000</v>
      </c>
      <c r="B3021" t="s">
        <v>58431</v>
      </c>
      <c r="C3021">
        <f>-639.760323357277 -1.9465153906915 -92.9991154554469</f>
        <v>-734.70595420341544</v>
      </c>
      <c r="D3021">
        <f>-661.349427223319 -6.7501627250906 -201.481074469272</f>
        <v>-869.58066441768165</v>
      </c>
      <c r="E3021">
        <f>-673.954016398908 -9.34072952380802 -293.460592981515</f>
        <v>-976.75533890423105</v>
      </c>
      <c r="F3021">
        <f>-684.030683101749 -11.284462830549 -376.724098318136</f>
        <v>-1072.039244250434</v>
      </c>
      <c r="G3021">
        <f>-692.241404589667 -12.7105487268802 -460.202895122421</f>
        <v>-1165.1548484389682</v>
      </c>
      <c r="H3021">
        <f>-702.19671509353 -14.2234417131453 -582.446685189801</f>
        <v>-1298.8668419964763</v>
      </c>
      <c r="I3021">
        <f>-691.032911333747 -7.9652807980583 -659.753896740049</f>
        <v>-1358.7520888718543</v>
      </c>
      <c r="J3021" t="s">
        <v>58432</v>
      </c>
      <c r="K3021" t="s">
        <v>58433</v>
      </c>
      <c r="L3021" t="s">
        <v>58434</v>
      </c>
      <c r="M3021" t="s">
        <v>58435</v>
      </c>
      <c r="N3021">
        <f>-691.213963841884 -44.2149039901558 -528.966348860537</f>
        <v>-1264.3952166925769</v>
      </c>
      <c r="O3021">
        <f>-667.906640422955 -196.073573637836 -501.900139357108</f>
        <v>-1365.880353417899</v>
      </c>
      <c r="P3021">
        <f>-598.730150325233 -197.373369995592 -228.419731994721</f>
        <v>-1024.523252315546</v>
      </c>
      <c r="Q3021">
        <f>-442.659340341022 -125.864683263849 -384.870778396614</f>
        <v>-953.394802001485</v>
      </c>
      <c r="R3021" t="s">
        <v>58436</v>
      </c>
      <c r="S3021" t="s">
        <v>58437</v>
      </c>
      <c r="T3021" t="s">
        <v>58438</v>
      </c>
      <c r="U3021" t="s">
        <v>58439</v>
      </c>
      <c r="V3021">
        <f>-620.664212298807 -92.2040786124628 -94.3821469769537</f>
        <v>-807.25043788822347</v>
      </c>
      <c r="W3021" t="s">
        <v>58440</v>
      </c>
      <c r="X3021" t="s">
        <v>58441</v>
      </c>
      <c r="Y3021" t="s">
        <v>58442</v>
      </c>
    </row>
    <row r="3022" spans="1:25" x14ac:dyDescent="0.3">
      <c r="A3022">
        <v>151050</v>
      </c>
      <c r="B3022" t="s">
        <v>58443</v>
      </c>
      <c r="C3022">
        <f>-639.967368146777 -1.96850132768623 -92.9821193948053</f>
        <v>-734.91798886926847</v>
      </c>
      <c r="D3022">
        <f>-661.526439778177 -6.71826256011809 -201.472369074111</f>
        <v>-869.71707141240609</v>
      </c>
      <c r="E3022">
        <f>-674.075147333331 -9.24936461390917 -293.461278770976</f>
        <v>-976.78579071821605</v>
      </c>
      <c r="F3022">
        <f>-684.089325101018 -11.1326414102296 -376.733819473555</f>
        <v>-1071.9557859848026</v>
      </c>
      <c r="G3022">
        <f>-692.225282609935 -12.4920563571786 -460.220766098496</f>
        <v>-1164.9381050656095</v>
      </c>
      <c r="H3022">
        <f>-702.057704869539 -13.9002426743964 -582.47568264687</f>
        <v>-1298.4336301908054</v>
      </c>
      <c r="I3022">
        <f>-690.843277083396 -7.6130098992453 -659.77339908067</f>
        <v>-1358.2296860633112</v>
      </c>
      <c r="J3022" t="s">
        <v>58444</v>
      </c>
      <c r="K3022" t="s">
        <v>58445</v>
      </c>
      <c r="L3022" t="s">
        <v>58446</v>
      </c>
      <c r="M3022" t="s">
        <v>58447</v>
      </c>
      <c r="N3022">
        <f>-691.169418243412 -43.9462414743646 -529.006842045723</f>
        <v>-1264.1225017634997</v>
      </c>
      <c r="O3022">
        <f>-668.079017154272 -195.846570561618 -502.013041848209</f>
        <v>-1365.9386295640991</v>
      </c>
      <c r="P3022">
        <f>-598.728211257998 -198.025225245705 -228.582515380711</f>
        <v>-1025.335951884414</v>
      </c>
      <c r="Q3022">
        <f>-443.724187982205 -124.984131990626 -385.385821134535</f>
        <v>-954.09414110736611</v>
      </c>
      <c r="R3022" t="s">
        <v>58448</v>
      </c>
      <c r="S3022" t="s">
        <v>58449</v>
      </c>
      <c r="T3022" t="s">
        <v>58450</v>
      </c>
      <c r="U3022" t="s">
        <v>58451</v>
      </c>
      <c r="V3022">
        <f>-621.002621193271 -92.2093281752623 -94.3905982318506</f>
        <v>-807.6025476003839</v>
      </c>
      <c r="W3022" t="s">
        <v>58452</v>
      </c>
      <c r="X3022" t="s">
        <v>58453</v>
      </c>
      <c r="Y3022" t="s">
        <v>58454</v>
      </c>
    </row>
    <row r="3023" spans="1:25" x14ac:dyDescent="0.3">
      <c r="A3023">
        <v>151100</v>
      </c>
      <c r="B3023" t="s">
        <v>58455</v>
      </c>
      <c r="C3023">
        <f>-640.484083626759 -2.01784603851729 -92.9296872778208</f>
        <v>-735.43161694309708</v>
      </c>
      <c r="D3023">
        <f>-661.982550529853 -6.65377104594586 -201.4369906551</f>
        <v>-870.07331223089886</v>
      </c>
      <c r="E3023">
        <f>-674.380432033866 -9.02673538818271 -293.450548085352</f>
        <v>-976.85771550740071</v>
      </c>
      <c r="F3023">
        <f>-684.218705712305 -10.7386390946181 -376.74759192213</f>
        <v>-1071.7049367290531</v>
      </c>
      <c r="G3023">
        <f>-692.13870220402 -11.8995109636339 -460.25841666341</f>
        <v>-1164.2966298310639</v>
      </c>
      <c r="H3023">
        <f>-701.611612268883 -12.9873817860218 -582.545077914019</f>
        <v>-1297.144071968924</v>
      </c>
      <c r="I3023">
        <f>-690.236872818897 -6.58623544218221 -659.809879684259</f>
        <v>-1356.6329879453383</v>
      </c>
      <c r="J3023" t="s">
        <v>58456</v>
      </c>
      <c r="K3023" t="s">
        <v>58457</v>
      </c>
      <c r="L3023" t="s">
        <v>58458</v>
      </c>
      <c r="M3023" t="s">
        <v>58459</v>
      </c>
      <c r="N3023">
        <f>-690.956278977983 -43.1896845506301 -529.117186063503</f>
        <v>-1263.263149592116</v>
      </c>
      <c r="O3023">
        <f>-668.341918095082 -195.212719515202 -502.305110870564</f>
        <v>-1365.8597484808479</v>
      </c>
      <c r="P3023">
        <f>-599.370073193369 -198.616829348238 -228.791228903019</f>
        <v>-1026.7781314446258</v>
      </c>
      <c r="Q3023">
        <f>-446.295180126929 -123.050681889626 -386.291432054167</f>
        <v>-955.63729407072196</v>
      </c>
      <c r="R3023" t="s">
        <v>58460</v>
      </c>
      <c r="S3023" t="s">
        <v>58461</v>
      </c>
      <c r="T3023" t="s">
        <v>58462</v>
      </c>
      <c r="U3023" t="s">
        <v>58463</v>
      </c>
      <c r="V3023">
        <f>-621.834297251324 -92.2634594515678 -94.3980921051987</f>
        <v>-808.49584880809039</v>
      </c>
      <c r="W3023" t="s">
        <v>58464</v>
      </c>
      <c r="X3023" t="s">
        <v>58465</v>
      </c>
      <c r="Y3023" t="s">
        <v>58466</v>
      </c>
    </row>
    <row r="3024" spans="1:25" x14ac:dyDescent="0.3">
      <c r="A3024">
        <v>151150</v>
      </c>
      <c r="B3024" t="s">
        <v>58467</v>
      </c>
      <c r="C3024">
        <f>-640.748302600024 -2.07236821670836 -92.9199179831725</f>
        <v>-735.7405887999048</v>
      </c>
      <c r="D3024">
        <f>-662.225515909479 -6.65951480096783 -201.433492233695</f>
        <v>-870.31852294414182</v>
      </c>
      <c r="E3024">
        <f>-674.532012657582 -8.92904568376525 -293.461809318347</f>
        <v>-976.92286765969425</v>
      </c>
      <c r="F3024">
        <f>-684.258355663992 -10.5212000793338 -376.774606859495</f>
        <v>-1071.5541626028207</v>
      </c>
      <c r="G3024">
        <f>-692.036605933497 -11.5368415078995 -460.300527742889</f>
        <v>-1163.8739751842854</v>
      </c>
      <c r="H3024">
        <f>-701.26957587206 -12.3845998767449 -582.6074216473</f>
        <v>-1296.2615973961051</v>
      </c>
      <c r="I3024">
        <f>-689.809814260689 -5.89182789009396 -659.852017405459</f>
        <v>-1355.5536595562421</v>
      </c>
      <c r="J3024" t="s">
        <v>58468</v>
      </c>
      <c r="K3024" t="s">
        <v>58469</v>
      </c>
      <c r="L3024" t="s">
        <v>58470</v>
      </c>
      <c r="M3024" t="s">
        <v>58471</v>
      </c>
      <c r="N3024">
        <f>-690.773363046212 -42.7032596921088 -529.214014788062</f>
        <v>-1262.6906375263827</v>
      </c>
      <c r="O3024">
        <f>-668.485063929141 -194.794564796012 -502.532442426239</f>
        <v>-1365.812071151392</v>
      </c>
      <c r="P3024">
        <f>-599.965559084255 -198.99940337761 -228.915885203196</f>
        <v>-1027.8808476650611</v>
      </c>
      <c r="Q3024">
        <f>-447.851101879985 -122.114800173153 -386.708560445234</f>
        <v>-956.67446249837189</v>
      </c>
      <c r="R3024" t="s">
        <v>58472</v>
      </c>
      <c r="S3024" t="s">
        <v>58473</v>
      </c>
      <c r="T3024" t="s">
        <v>58474</v>
      </c>
      <c r="U3024" t="s">
        <v>58475</v>
      </c>
      <c r="V3024">
        <f>-622.219593823345 -92.3170690611212 -94.4043353188749</f>
        <v>-808.94099820334111</v>
      </c>
      <c r="W3024" t="s">
        <v>58476</v>
      </c>
      <c r="X3024" t="s">
        <v>58477</v>
      </c>
      <c r="Y3024" t="s">
        <v>58478</v>
      </c>
    </row>
    <row r="3025" spans="1:25" x14ac:dyDescent="0.3">
      <c r="A3025">
        <v>151200</v>
      </c>
      <c r="B3025" t="s">
        <v>58479</v>
      </c>
      <c r="C3025">
        <f>-641.169313419111 -2.24071390224208 -92.9215624767123</f>
        <v>-736.33158979806535</v>
      </c>
      <c r="D3025">
        <f>-662.561070379407 -6.79004113511292 -201.453524504911</f>
        <v>-870.80463601943097</v>
      </c>
      <c r="E3025">
        <f>-674.676944226727 -8.86408471489312 -293.511968419507</f>
        <v>-977.05299736112715</v>
      </c>
      <c r="F3025">
        <f>-684.183409938 -10.2124354495618 -376.854162172653</f>
        <v>-1071.2500075602147</v>
      </c>
      <c r="G3025">
        <f>-691.693219568566 -10.9193469821141 -460.408118300143</f>
        <v>-1163.020684850823</v>
      </c>
      <c r="H3025">
        <f>-700.480164338404 -11.2452537200711 -582.750179123098</f>
        <v>-1294.475597181573</v>
      </c>
      <c r="I3025">
        <f>-688.800009665255 -4.55191424296254 -659.944693321117</f>
        <v>-1353.2966172293345</v>
      </c>
      <c r="J3025" t="s">
        <v>58480</v>
      </c>
      <c r="K3025" t="s">
        <v>58481</v>
      </c>
      <c r="L3025" t="s">
        <v>58482</v>
      </c>
      <c r="M3025" t="s">
        <v>58483</v>
      </c>
      <c r="N3025">
        <f>-690.317855431429 -41.8205934755124 -529.438538535927</f>
        <v>-1261.5769874428684</v>
      </c>
      <c r="O3025">
        <f>-668.755870609667 -194.093276412621 -503.216005937046</f>
        <v>-1366.065152959334</v>
      </c>
      <c r="P3025">
        <f>-601.848754647977 -200.715538854201 -229.24865011065</f>
        <v>-1031.8129436128279</v>
      </c>
      <c r="Q3025">
        <f>-451.573472587044 -121.184267868456 -387.490931134898</f>
        <v>-960.24867159039798</v>
      </c>
      <c r="R3025" t="s">
        <v>58484</v>
      </c>
      <c r="S3025" t="s">
        <v>58485</v>
      </c>
      <c r="T3025" t="s">
        <v>58486</v>
      </c>
      <c r="U3025" t="s">
        <v>58487</v>
      </c>
      <c r="V3025">
        <f>-622.82692403525 -92.3642118553146 -94.4020005469993</f>
        <v>-809.59313643756389</v>
      </c>
      <c r="W3025" t="s">
        <v>58488</v>
      </c>
      <c r="X3025" t="s">
        <v>58489</v>
      </c>
      <c r="Y3025" t="s">
        <v>58490</v>
      </c>
    </row>
    <row r="3026" spans="1:25" x14ac:dyDescent="0.3">
      <c r="A3026">
        <v>151250</v>
      </c>
      <c r="B3026" t="s">
        <v>58491</v>
      </c>
      <c r="C3026">
        <f>-641.362824501716 -2.31788009972729 -92.9044253324284</f>
        <v>-736.58512993387171</v>
      </c>
      <c r="D3026">
        <f>-662.706481615056 -6.83529485947338 -201.447216551687</f>
        <v>-870.98899302621635</v>
      </c>
      <c r="E3026">
        <f>-674.705569835907 -8.81654542057413 -293.523002831954</f>
        <v>-977.04511808843517</v>
      </c>
      <c r="F3026">
        <f>-684.075602216645 -10.0540836635107 -376.882443573718</f>
        <v>-1071.0121294538737</v>
      </c>
      <c r="G3026">
        <f>-691.417359302099 -10.6254602810259 -460.452178362265</f>
        <v>-1162.49499794539</v>
      </c>
      <c r="H3026">
        <f>-699.923665691163 -10.7269619041581 -582.814655217981</f>
        <v>-1293.4652828133021</v>
      </c>
      <c r="I3026">
        <f>-688.10709328322 -3.94362194755354 -659.980456401425</f>
        <v>-1352.0311716321985</v>
      </c>
      <c r="J3026" t="s">
        <v>58492</v>
      </c>
      <c r="K3026" t="s">
        <v>58493</v>
      </c>
      <c r="L3026" t="s">
        <v>58494</v>
      </c>
      <c r="M3026" t="s">
        <v>58495</v>
      </c>
      <c r="N3026">
        <f>-689.991112857597 -41.4220857509172 -529.528594357038</f>
        <v>-1260.9417929655522</v>
      </c>
      <c r="O3026">
        <f>-668.957467266566 -193.803692805607 -503.553617566955</f>
        <v>-1366.3147776391279</v>
      </c>
      <c r="P3026">
        <f>-602.854273730719 -201.774252977992 -229.426899945209</f>
        <v>-1034.05542665392</v>
      </c>
      <c r="Q3026">
        <f>-453.577175982473 -121.101896766235 -388.036154870676</f>
        <v>-962.715227619384</v>
      </c>
      <c r="R3026" t="s">
        <v>58496</v>
      </c>
      <c r="S3026" t="s">
        <v>58497</v>
      </c>
      <c r="T3026" t="s">
        <v>58498</v>
      </c>
      <c r="U3026" t="s">
        <v>58499</v>
      </c>
      <c r="V3026">
        <f>-623.137402779917 -92.3822909209339 -94.3885721302524</f>
        <v>-809.90826583110334</v>
      </c>
      <c r="W3026" t="s">
        <v>58500</v>
      </c>
      <c r="X3026" t="s">
        <v>58501</v>
      </c>
      <c r="Y3026" t="s">
        <v>58502</v>
      </c>
    </row>
    <row r="3027" spans="1:25" x14ac:dyDescent="0.3">
      <c r="A3027">
        <v>151300</v>
      </c>
      <c r="B3027" t="s">
        <v>58503</v>
      </c>
      <c r="C3027">
        <f>-641.729428600325 -2.40757046807153 -92.8887537408386</f>
        <v>-737.0257528092352</v>
      </c>
      <c r="D3027">
        <f>-663.122368640026 -6.87541361071749 -201.423885447239</f>
        <v>-871.42166769798246</v>
      </c>
      <c r="E3027">
        <f>-675.014084351631 -8.62831450974545 -293.518161694761</f>
        <v>-977.1605605561374</v>
      </c>
      <c r="F3027">
        <f>-684.226901535013 -9.58265081825107 -376.898928733412</f>
        <v>-1070.7084810866761</v>
      </c>
      <c r="G3027">
        <f>-691.349695431412 -9.79835088452433 -460.489273827851</f>
        <v>-1161.6373201437873</v>
      </c>
      <c r="H3027">
        <f>-699.467395257143 -9.30201382370433 -582.877113953756</f>
        <v>-1291.6465230346034</v>
      </c>
      <c r="I3027">
        <f>-687.417939251438 -2.26035341895931 -659.983805781249</f>
        <v>-1349.6620984516462</v>
      </c>
      <c r="J3027" t="s">
        <v>58504</v>
      </c>
      <c r="K3027" t="s">
        <v>58505</v>
      </c>
      <c r="L3027" t="s">
        <v>58506</v>
      </c>
      <c r="M3027" t="s">
        <v>58507</v>
      </c>
      <c r="N3027">
        <f>-689.95161031065 -40.3062616208094 -529.694179480794</f>
        <v>-1259.9520514122535</v>
      </c>
      <c r="O3027">
        <f>-670.218211002457 -192.942020180106 -504.109493717156</f>
        <v>-1367.269724899719</v>
      </c>
      <c r="P3027">
        <f>-605.480407171061 -203.15840092521 -229.731546092864</f>
        <v>-1038.370354189135</v>
      </c>
      <c r="Q3027">
        <f>-457.546680151752 -121.294465934458 -388.987492705828</f>
        <v>-967.82863879203808</v>
      </c>
      <c r="R3027" t="s">
        <v>58508</v>
      </c>
      <c r="S3027" t="s">
        <v>58509</v>
      </c>
      <c r="T3027" t="s">
        <v>58510</v>
      </c>
      <c r="U3027" t="s">
        <v>58511</v>
      </c>
      <c r="V3027">
        <f>-623.899782606487 -92.5443589061076 -94.363230043092</f>
        <v>-810.80737155568659</v>
      </c>
      <c r="W3027" t="s">
        <v>58512</v>
      </c>
      <c r="X3027" t="s">
        <v>58513</v>
      </c>
      <c r="Y3027" t="s">
        <v>58514</v>
      </c>
    </row>
    <row r="3028" spans="1:25" x14ac:dyDescent="0.3">
      <c r="A3028">
        <v>151350</v>
      </c>
      <c r="B3028" t="s">
        <v>58515</v>
      </c>
      <c r="C3028">
        <f>-641.884898509269 -2.37984940847286 -92.9237068458669</f>
        <v>-737.18845476360877</v>
      </c>
      <c r="D3028">
        <f>-663.230888353277 -6.80335027187448 -201.469869920063</f>
        <v>-871.50410854521442</v>
      </c>
      <c r="E3028">
        <f>-675.032282027369 -8.439351247069 -293.577853441316</f>
        <v>-977.04948671575403</v>
      </c>
      <c r="F3028">
        <f>-684.143189030531 -9.25381228684978 -376.971338652408</f>
        <v>-1070.3683399697888</v>
      </c>
      <c r="G3028">
        <f>-691.142770631347 -9.29841259810178 -460.57236527294</f>
        <v>-1161.0135485023889</v>
      </c>
      <c r="H3028">
        <f>-699.056870574668 -8.51885857512275 -582.972034372951</f>
        <v>-1290.5477635227417</v>
      </c>
      <c r="I3028">
        <f>-686.884611913809 -1.37324308945767 -660.049878103848</f>
        <v>-1348.3077331071145</v>
      </c>
      <c r="J3028" t="s">
        <v>58516</v>
      </c>
      <c r="K3028" t="s">
        <v>58517</v>
      </c>
      <c r="L3028" t="s">
        <v>58518</v>
      </c>
      <c r="M3028" t="s">
        <v>58519</v>
      </c>
      <c r="N3028">
        <f>-689.787908675142 -39.6765176011584 -529.835254959896</f>
        <v>-1259.2996812361964</v>
      </c>
      <c r="O3028">
        <f>-670.873299141298 -192.436646691772 -504.506414760873</f>
        <v>-1367.816360593943</v>
      </c>
      <c r="P3028">
        <f>-606.897854145471 -203.624686273916 -229.987571856221</f>
        <v>-1040.510112275608</v>
      </c>
      <c r="Q3028">
        <f>-458.590385960035 -121.832722691204 -388.932629214645</f>
        <v>-969.35573786588395</v>
      </c>
      <c r="R3028" t="s">
        <v>58520</v>
      </c>
      <c r="S3028" t="s">
        <v>58521</v>
      </c>
      <c r="T3028" t="s">
        <v>58522</v>
      </c>
      <c r="U3028" t="s">
        <v>58523</v>
      </c>
      <c r="V3028">
        <f>-624.345211231363 -92.5021162319158 -94.3607317443006</f>
        <v>-811.20805920757937</v>
      </c>
      <c r="W3028" t="s">
        <v>58524</v>
      </c>
      <c r="X3028" t="s">
        <v>58525</v>
      </c>
      <c r="Y3028" t="s">
        <v>58526</v>
      </c>
    </row>
    <row r="3029" spans="1:25" x14ac:dyDescent="0.3">
      <c r="A3029">
        <v>151400</v>
      </c>
      <c r="B3029" t="s">
        <v>58527</v>
      </c>
      <c r="C3029">
        <f>-641.763967525815 -2.2411208202443 -92.9765261736366</f>
        <v>-736.98161451969588</v>
      </c>
      <c r="D3029">
        <f>-662.88098905741 -6.55929015262291 -201.571626226841</f>
        <v>-871.01190543687392</v>
      </c>
      <c r="E3029">
        <f>-674.451009557901 -7.99918523665019 -293.712397406226</f>
        <v>-976.16259220077723</v>
      </c>
      <c r="F3029">
        <f>-683.337768686748 -8.58779164157909 -377.131813168494</f>
        <v>-1069.0573734968211</v>
      </c>
      <c r="G3029">
        <f>-690.096097890214 -8.36526568068098 -460.752433770967</f>
        <v>-1159.2137973418619</v>
      </c>
      <c r="H3029">
        <f>-697.638042252368 -7.15220111285771 -583.17214660387</f>
        <v>-1287.9623899690957</v>
      </c>
      <c r="I3029" t="s">
        <v>58528</v>
      </c>
      <c r="J3029" t="s">
        <v>58529</v>
      </c>
      <c r="K3029" t="s">
        <v>58530</v>
      </c>
      <c r="L3029" t="s">
        <v>58531</v>
      </c>
      <c r="M3029" t="s">
        <v>58532</v>
      </c>
      <c r="N3029">
        <f>-688.926008409227 -38.5701161028389 -530.094469228077</f>
        <v>-1257.590593740143</v>
      </c>
      <c r="O3029">
        <f>-672.023469734894 -191.628014319466 -505.155151657531</f>
        <v>-1368.806635711891</v>
      </c>
      <c r="P3029">
        <f>-609.74973626916 -204.663656004202 -230.326844890383</f>
        <v>-1044.7402371637452</v>
      </c>
      <c r="Q3029">
        <f>-459.216933504892 -123.734393983814 -387.612688308958</f>
        <v>-970.56401579766396</v>
      </c>
      <c r="R3029" t="s">
        <v>58533</v>
      </c>
      <c r="S3029" t="s">
        <v>58534</v>
      </c>
      <c r="T3029" t="s">
        <v>58535</v>
      </c>
      <c r="U3029" t="s">
        <v>58536</v>
      </c>
      <c r="V3029">
        <f>-624.888021903004 -92.3641212479679 -94.3644990700924</f>
        <v>-811.61664222106424</v>
      </c>
      <c r="W3029" t="s">
        <v>58537</v>
      </c>
      <c r="X3029" t="s">
        <v>58538</v>
      </c>
      <c r="Y3029" t="s">
        <v>58539</v>
      </c>
    </row>
    <row r="3030" spans="1:25" x14ac:dyDescent="0.3">
      <c r="A3030">
        <v>151450</v>
      </c>
      <c r="B3030" t="s">
        <v>58540</v>
      </c>
      <c r="C3030">
        <f>-641.434163069976 -2.06713666279029 -93.0227208040146</f>
        <v>-736.52402053678088</v>
      </c>
      <c r="D3030">
        <f>-662.418307868473 -6.3256536870756 -201.646034933657</f>
        <v>-870.3899964892056</v>
      </c>
      <c r="E3030">
        <f>-673.872359967988 -7.70733399283836 -293.802053980136</f>
        <v>-975.38174794096244</v>
      </c>
      <c r="F3030">
        <f>-682.653185807151 -8.23629895791692 -377.233225075669</f>
        <v>-1068.1227098407369</v>
      </c>
      <c r="G3030">
        <f>-689.303705695307 -7.95074689296916 -460.8622059379</f>
        <v>-1158.1166585261763</v>
      </c>
      <c r="H3030">
        <f>-696.685818633471 -6.64213854003356 -583.290691379376</f>
        <v>-1286.6186485528806</v>
      </c>
      <c r="I3030" t="s">
        <v>58541</v>
      </c>
      <c r="J3030" t="s">
        <v>58542</v>
      </c>
      <c r="K3030" t="s">
        <v>58543</v>
      </c>
      <c r="L3030" t="s">
        <v>58544</v>
      </c>
      <c r="M3030" t="s">
        <v>58545</v>
      </c>
      <c r="N3030">
        <f>-688.219956722552 -38.1321809933106 -530.215846921061</f>
        <v>-1256.5679846369235</v>
      </c>
      <c r="O3030">
        <f>-672.270417366573 -191.313373815692 -505.435220429539</f>
        <v>-1369.019011611804</v>
      </c>
      <c r="P3030">
        <f>-611.155960436809 -205.191049154708 -230.387991712145</f>
        <v>-1046.7350013036621</v>
      </c>
      <c r="Q3030">
        <f>-459.230532906455 -124.956283443261 -386.687529287829</f>
        <v>-970.87434563754505</v>
      </c>
      <c r="R3030" t="s">
        <v>58546</v>
      </c>
      <c r="S3030" t="s">
        <v>58547</v>
      </c>
      <c r="T3030" t="s">
        <v>58548</v>
      </c>
      <c r="U3030" t="s">
        <v>58549</v>
      </c>
      <c r="V3030">
        <f>-624.9028269427 -92.2404237779481 -94.3605869625109</f>
        <v>-811.50383768315896</v>
      </c>
      <c r="W3030" t="s">
        <v>58550</v>
      </c>
      <c r="X3030" t="s">
        <v>58551</v>
      </c>
      <c r="Y3030" t="s">
        <v>58552</v>
      </c>
    </row>
    <row r="3031" spans="1:25" x14ac:dyDescent="0.3">
      <c r="A3031">
        <v>151500</v>
      </c>
      <c r="B3031" t="s">
        <v>58553</v>
      </c>
      <c r="C3031">
        <f>-640.222692094237 -1.64483812805497 -93.1065180355887</f>
        <v>-734.97404825788067</v>
      </c>
      <c r="D3031">
        <f>-661.011869928043 -5.85019408442781 -201.76946531195</f>
        <v>-868.63152932442085</v>
      </c>
      <c r="E3031">
        <f>-672.399019997825 -7.18023110621448 -293.934458778552</f>
        <v>-973.51370988259146</v>
      </c>
      <c r="F3031">
        <f>-681.158592326266 -7.65646703597167 -377.36814848108</f>
        <v>-1066.1832078433176</v>
      </c>
      <c r="G3031">
        <f>-687.825688923264 -7.31911332651589 -460.99573762471</f>
        <v>-1156.1405398744898</v>
      </c>
      <c r="H3031">
        <f>-695.272624793253 -5.93760207730179 -583.419461372246</f>
        <v>-1284.629688242801</v>
      </c>
      <c r="I3031" t="s">
        <v>58554</v>
      </c>
      <c r="J3031" t="s">
        <v>58555</v>
      </c>
      <c r="K3031" t="s">
        <v>58556</v>
      </c>
      <c r="L3031" t="s">
        <v>58557</v>
      </c>
      <c r="M3031" t="s">
        <v>58558</v>
      </c>
      <c r="N3031">
        <f>-687.118949411723 -37.5151908969167 -530.34757687505</f>
        <v>-1254.9817171836896</v>
      </c>
      <c r="O3031">
        <f>-672.864723173823 -190.918443596162 -505.749463455967</f>
        <v>-1369.5326302259518</v>
      </c>
      <c r="P3031">
        <f>-614.568402175241 -206.237476661964 -230.167454621219</f>
        <v>-1050.9733334584239</v>
      </c>
      <c r="Q3031">
        <f>-459.429534696613 -127.520412807883 -384.063904673462</f>
        <v>-971.01385217795792</v>
      </c>
      <c r="R3031" t="s">
        <v>58559</v>
      </c>
      <c r="S3031" t="s">
        <v>58560</v>
      </c>
      <c r="T3031" t="s">
        <v>58561</v>
      </c>
      <c r="U3031" t="s">
        <v>58562</v>
      </c>
      <c r="V3031">
        <f>-624.201869149612 -92.0295071293949 -94.3335370473253</f>
        <v>-810.5649133263322</v>
      </c>
      <c r="W3031" t="s">
        <v>58563</v>
      </c>
      <c r="X3031" t="s">
        <v>58564</v>
      </c>
      <c r="Y3031" t="s">
        <v>58565</v>
      </c>
    </row>
    <row r="3032" spans="1:25" x14ac:dyDescent="0.3">
      <c r="A3032">
        <v>151550</v>
      </c>
      <c r="B3032" t="s">
        <v>58566</v>
      </c>
      <c r="C3032">
        <f>-639.366117097477 -1.2909515620795 -93.1224845253845</f>
        <v>-733.77955318494094</v>
      </c>
      <c r="D3032">
        <f>-660.044328140681 -5.46195312375426 -201.80786419093</f>
        <v>-867.31414545536529</v>
      </c>
      <c r="E3032">
        <f>-671.428400180495 -6.76274645787316 -293.973679114433</f>
        <v>-972.16482575280122</v>
      </c>
      <c r="F3032">
        <f>-680.221310563385 -7.21235280860719 -377.404166003991</f>
        <v>-1064.8378293759833</v>
      </c>
      <c r="G3032">
        <f>-686.956934697078 -6.85127034777997 -461.026030099763</f>
        <v>-1154.8342351446211</v>
      </c>
      <c r="H3032">
        <f>-694.542210417294 -5.44022193734691 -583.440875912215</f>
        <v>-1283.4233082668559</v>
      </c>
      <c r="I3032" t="s">
        <v>58567</v>
      </c>
      <c r="J3032" t="s">
        <v>58568</v>
      </c>
      <c r="K3032" t="s">
        <v>58569</v>
      </c>
      <c r="L3032" t="s">
        <v>58570</v>
      </c>
      <c r="M3032" t="s">
        <v>58571</v>
      </c>
      <c r="N3032">
        <f>-686.504148001483 -37.0581646720377 -530.375451512426</f>
        <v>-1253.9377641859469</v>
      </c>
      <c r="O3032">
        <f>-673.093321072989 -190.533533879466 -505.819293623002</f>
        <v>-1369.4461485754571</v>
      </c>
      <c r="P3032">
        <f>-616.322770909617 -206.620824552647 -229.962639350972</f>
        <v>-1052.9062348132361</v>
      </c>
      <c r="Q3032">
        <f>-459.109463815067 -128.605945230121 -382.101265191691</f>
        <v>-969.81667423687895</v>
      </c>
      <c r="R3032" t="s">
        <v>58572</v>
      </c>
      <c r="S3032" t="s">
        <v>58573</v>
      </c>
      <c r="T3032" t="s">
        <v>58574</v>
      </c>
      <c r="U3032" t="s">
        <v>58575</v>
      </c>
      <c r="V3032">
        <f>-623.517966212607 -91.7381653967766 -94.3173235866916</f>
        <v>-809.5734551960752</v>
      </c>
      <c r="W3032" t="s">
        <v>58576</v>
      </c>
      <c r="X3032" t="s">
        <v>58577</v>
      </c>
      <c r="Y3032" t="s">
        <v>58578</v>
      </c>
    </row>
    <row r="3033" spans="1:25" x14ac:dyDescent="0.3">
      <c r="A3033">
        <v>151600</v>
      </c>
      <c r="B3033" t="s">
        <v>58579</v>
      </c>
      <c r="C3033">
        <f>-637.344608095436 -0.165365666259504 -93.1857774622196</f>
        <v>-730.69575122391507</v>
      </c>
      <c r="D3033">
        <f>-657.758045010626 -4.31132998515432 -201.922195256693</f>
        <v>-863.99157025247337</v>
      </c>
      <c r="E3033">
        <f>-669.205570265627 -5.61388480238497 -294.080129632642</f>
        <v>-968.89958470065403</v>
      </c>
      <c r="F3033">
        <f>-678.17107099314 -6.07253830505238 -377.492024629954</f>
        <v>-1061.7356339281464</v>
      </c>
      <c r="G3033">
        <f>-685.193740754115 -5.73304685235848 -461.090502534493</f>
        <v>-1152.0172901409665</v>
      </c>
      <c r="H3033">
        <f>-693.323698307132 -4.36894055832659 -583.470996839144</f>
        <v>-1281.1636357046027</v>
      </c>
      <c r="I3033" t="s">
        <v>58580</v>
      </c>
      <c r="J3033" t="s">
        <v>58581</v>
      </c>
      <c r="K3033" t="s">
        <v>58582</v>
      </c>
      <c r="L3033" t="s">
        <v>58583</v>
      </c>
      <c r="M3033" t="s">
        <v>58584</v>
      </c>
      <c r="N3033">
        <f>-685.314932638844 -36.0061094467794 -530.412387704404</f>
        <v>-1251.7334297900275</v>
      </c>
      <c r="O3033">
        <f>-673.052039036701 -189.595120194031 -505.937357816068</f>
        <v>-1368.5845170468001</v>
      </c>
      <c r="P3033">
        <f>-620.219291659088 -207.332501288768 -229.400537867622</f>
        <v>-1056.952330815478</v>
      </c>
      <c r="Q3033">
        <f>-458.038355942712 -130.426135074207 -376.815787078269</f>
        <v>-965.2802780951879</v>
      </c>
      <c r="R3033" t="s">
        <v>58585</v>
      </c>
      <c r="S3033" t="s">
        <v>58586</v>
      </c>
      <c r="T3033" t="s">
        <v>58587</v>
      </c>
      <c r="U3033" t="s">
        <v>58588</v>
      </c>
      <c r="V3033">
        <f>-621.893159010941 -90.8085378828373 -94.2814536197405</f>
        <v>-806.98315051351881</v>
      </c>
      <c r="W3033" t="s">
        <v>58589</v>
      </c>
      <c r="X3033" t="s">
        <v>58590</v>
      </c>
      <c r="Y3033" t="s">
        <v>58591</v>
      </c>
    </row>
    <row r="3034" spans="1:25" x14ac:dyDescent="0.3">
      <c r="A3034">
        <v>151650</v>
      </c>
      <c r="B3034" t="s">
        <v>58592</v>
      </c>
      <c r="C3034" t="s">
        <v>58593</v>
      </c>
      <c r="D3034">
        <f>-656.465419293713 -3.59909348791393 -201.944185920767</f>
        <v>-862.00869870239399</v>
      </c>
      <c r="E3034">
        <f>-667.995581264119 -4.93572803701136 -294.091436477663</f>
        <v>-967.02274577879336</v>
      </c>
      <c r="F3034">
        <f>-677.119106053212 -5.44329006895532 -377.485741634529</f>
        <v>-1060.0481377566964</v>
      </c>
      <c r="G3034">
        <f>-684.383100874131 -5.1731158466871 -461.063953820898</f>
        <v>-1150.6201705417161</v>
      </c>
      <c r="H3034">
        <f>-692.956949846428 -3.93298693350471 -583.415281137441</f>
        <v>-1280.3052179173737</v>
      </c>
      <c r="I3034" t="s">
        <v>58594</v>
      </c>
      <c r="J3034" t="s">
        <v>58595</v>
      </c>
      <c r="K3034" t="s">
        <v>58596</v>
      </c>
      <c r="L3034" t="s">
        <v>58597</v>
      </c>
      <c r="M3034" t="s">
        <v>58598</v>
      </c>
      <c r="N3034">
        <f>-684.88404419914 -35.5345709979374 -530.345486720919</f>
        <v>-1250.7641019179964</v>
      </c>
      <c r="O3034">
        <f>-673.064977734469 -189.159178911503 -505.855301218998</f>
        <v>-1368.07945786497</v>
      </c>
      <c r="P3034">
        <f>-622.459480472461 -207.582461490199 -228.946926577978</f>
        <v>-1058.9888685406379</v>
      </c>
      <c r="Q3034">
        <f>-457.586860154539 -131.007700356424 -373.521651587664</f>
        <v>-962.11621209862699</v>
      </c>
      <c r="R3034" t="s">
        <v>58599</v>
      </c>
      <c r="S3034" t="s">
        <v>58600</v>
      </c>
      <c r="T3034" t="s">
        <v>58601</v>
      </c>
      <c r="U3034" t="s">
        <v>58602</v>
      </c>
      <c r="V3034">
        <f>-620.942033898168 -90.1993906979235 -94.2549673163597</f>
        <v>-805.39639191245124</v>
      </c>
      <c r="W3034" t="s">
        <v>58603</v>
      </c>
      <c r="X3034" t="s">
        <v>58604</v>
      </c>
      <c r="Y3034" t="s">
        <v>58605</v>
      </c>
    </row>
    <row r="3035" spans="1:25" x14ac:dyDescent="0.3">
      <c r="A3035">
        <v>151700</v>
      </c>
      <c r="B3035" t="s">
        <v>58606</v>
      </c>
      <c r="C3035" t="s">
        <v>58607</v>
      </c>
      <c r="D3035">
        <f>-653.755951689426 -1.67294170534387 -202.01611760302</f>
        <v>-857.44501099778984</v>
      </c>
      <c r="E3035">
        <f>-665.426881075491 -3.10007565000001 -294.144388535399</f>
        <v>-962.67134526089001</v>
      </c>
      <c r="F3035">
        <f>-674.830412996793 -3.73224824400472 -377.506807269883</f>
        <v>-1056.0694685106807</v>
      </c>
      <c r="G3035">
        <f>-682.526820908424 -3.63585209387452 -461.046607304718</f>
        <v>-1147.2092803070166</v>
      </c>
      <c r="H3035">
        <f>-691.899922887824 -2.70478029921856 -583.342179902698</f>
        <v>-1277.9468830897406</v>
      </c>
      <c r="I3035" t="s">
        <v>58608</v>
      </c>
      <c r="J3035" t="s">
        <v>58609</v>
      </c>
      <c r="K3035" t="s">
        <v>58610</v>
      </c>
      <c r="L3035" t="s">
        <v>58611</v>
      </c>
      <c r="M3035" t="s">
        <v>58612</v>
      </c>
      <c r="N3035">
        <f>-683.823701712818 -34.2184389146694 -530.220521539633</f>
        <v>-1248.2626621671202</v>
      </c>
      <c r="O3035">
        <f>-673.256758726274 -187.899333285437 -505.474080621847</f>
        <v>-1366.630172633558</v>
      </c>
      <c r="P3035">
        <f>-626.887910883701 -206.810699342419 -227.857769261189</f>
        <v>-1061.5563794873092</v>
      </c>
      <c r="Q3035">
        <f>-456.729923595969 -130.218178509335 -366.163025377559</f>
        <v>-953.11112748286291</v>
      </c>
      <c r="R3035" t="s">
        <v>58613</v>
      </c>
      <c r="S3035" t="s">
        <v>58614</v>
      </c>
      <c r="T3035" t="s">
        <v>58615</v>
      </c>
      <c r="U3035" t="s">
        <v>58616</v>
      </c>
      <c r="V3035">
        <f>-619.170537982128 -88.6213259123429 -94.1754189672515</f>
        <v>-801.96728286172242</v>
      </c>
      <c r="W3035" t="s">
        <v>58617</v>
      </c>
      <c r="X3035" t="s">
        <v>58618</v>
      </c>
      <c r="Y3035" t="s">
        <v>58619</v>
      </c>
    </row>
    <row r="3036" spans="1:25" x14ac:dyDescent="0.3">
      <c r="A3036">
        <v>151750</v>
      </c>
      <c r="B3036" t="s">
        <v>58620</v>
      </c>
      <c r="C3036" t="s">
        <v>58621</v>
      </c>
      <c r="D3036">
        <f>-652.312330234527 -0.419471933872501 -202.14432320221</f>
        <v>-854.87612537060954</v>
      </c>
      <c r="E3036">
        <f>-664.029421591182 -1.89578732180735 -294.265870696386</f>
        <v>-960.19107960937527</v>
      </c>
      <c r="F3036">
        <f>-673.543445073987 -2.59881869825017 -377.61524571211</f>
        <v>-1053.7575094843471</v>
      </c>
      <c r="G3036">
        <f>-681.418961937998 -2.60257465009931 -461.138400527372</f>
        <v>-1145.1599371154693</v>
      </c>
      <c r="H3036">
        <f>-691.129439642982 -1.85022215223444 -583.408780043669</f>
        <v>-1276.3884418388855</v>
      </c>
      <c r="I3036" t="s">
        <v>58622</v>
      </c>
      <c r="J3036" t="s">
        <v>58623</v>
      </c>
      <c r="K3036" t="s">
        <v>58624</v>
      </c>
      <c r="L3036" t="s">
        <v>58625</v>
      </c>
      <c r="M3036" t="s">
        <v>58626</v>
      </c>
      <c r="N3036">
        <f>-683.096364665252 -33.3099575066542 -530.24868772854</f>
        <v>-1246.6550099004471</v>
      </c>
      <c r="O3036">
        <f>-673.36383856313 -187.004903206769 -505.269926469635</f>
        <v>-1365.6386682395339</v>
      </c>
      <c r="P3036">
        <f>-629.112282718889 -205.622065208317 -227.288203097959</f>
        <v>-1062.0225510251651</v>
      </c>
      <c r="Q3036">
        <f>-456.350682437073 -128.829087002384 -362.213397719315</f>
        <v>-947.39316715877203</v>
      </c>
      <c r="R3036" t="s">
        <v>58627</v>
      </c>
      <c r="S3036" t="s">
        <v>58628</v>
      </c>
      <c r="T3036" t="s">
        <v>58629</v>
      </c>
      <c r="U3036" t="s">
        <v>58630</v>
      </c>
      <c r="V3036">
        <f>-618.390345662398 -87.5600031962008 -94.1937073271129</f>
        <v>-800.14405618571163</v>
      </c>
      <c r="W3036" t="s">
        <v>58631</v>
      </c>
      <c r="X3036" t="s">
        <v>58632</v>
      </c>
      <c r="Y3036" t="s">
        <v>58633</v>
      </c>
    </row>
    <row r="3037" spans="1:25" x14ac:dyDescent="0.3">
      <c r="A3037">
        <v>151800</v>
      </c>
      <c r="B3037" t="s">
        <v>58634</v>
      </c>
      <c r="C3037" t="s">
        <v>58635</v>
      </c>
      <c r="D3037" t="s">
        <v>58636</v>
      </c>
      <c r="E3037" t="s">
        <v>58637</v>
      </c>
      <c r="F3037">
        <f>-670.813824391437 -0.247459973601281 -377.746767752107</f>
        <v>-1048.8080521171453</v>
      </c>
      <c r="G3037">
        <f>-678.850962534405 -0.49688955501324 -461.254123524954</f>
        <v>-1140.6019756143723</v>
      </c>
      <c r="H3037">
        <f>-688.864692968664 -0.18632247240339 -583.502022052849</f>
        <v>-1272.5530374939165</v>
      </c>
      <c r="I3037" t="s">
        <v>58638</v>
      </c>
      <c r="J3037" t="s">
        <v>58639</v>
      </c>
      <c r="K3037" t="s">
        <v>58640</v>
      </c>
      <c r="L3037" t="s">
        <v>58641</v>
      </c>
      <c r="M3037" t="s">
        <v>58642</v>
      </c>
      <c r="N3037">
        <f>-681.029596608674 -31.4922965868036 -530.221838156148</f>
        <v>-1242.7437313516257</v>
      </c>
      <c r="O3037">
        <f>-672.86129803479 -185.132143212304 -504.467673352387</f>
        <v>-1362.4611145994809</v>
      </c>
      <c r="P3037">
        <f>-632.465977860545 -201.670501917013 -225.76844241567</f>
        <v>-1059.904922193228</v>
      </c>
      <c r="Q3037">
        <f>-454.686152076424 -125.846904130935 -354.584636790936</f>
        <v>-935.11769299829496</v>
      </c>
      <c r="R3037" t="s">
        <v>58643</v>
      </c>
      <c r="S3037" t="s">
        <v>58644</v>
      </c>
      <c r="T3037" t="s">
        <v>58645</v>
      </c>
      <c r="U3037" t="s">
        <v>58646</v>
      </c>
      <c r="V3037">
        <f>-617.114651730876 -85.6515236201553 -94.1914659330278</f>
        <v>-796.95764128405904</v>
      </c>
      <c r="W3037" t="s">
        <v>58647</v>
      </c>
      <c r="X3037" t="s">
        <v>58648</v>
      </c>
      <c r="Y3037" t="s">
        <v>58649</v>
      </c>
    </row>
    <row r="3038" spans="1:25" x14ac:dyDescent="0.3">
      <c r="A3038">
        <v>151850</v>
      </c>
      <c r="B3038" t="s">
        <v>58650</v>
      </c>
      <c r="C3038" t="s">
        <v>58651</v>
      </c>
      <c r="D3038" t="s">
        <v>58652</v>
      </c>
      <c r="E3038" t="s">
        <v>58653</v>
      </c>
      <c r="F3038" t="s">
        <v>58654</v>
      </c>
      <c r="G3038" t="s">
        <v>58655</v>
      </c>
      <c r="H3038" t="s">
        <v>58656</v>
      </c>
      <c r="I3038" t="s">
        <v>58657</v>
      </c>
      <c r="J3038" t="s">
        <v>58658</v>
      </c>
      <c r="K3038" t="s">
        <v>58659</v>
      </c>
      <c r="L3038" t="s">
        <v>58660</v>
      </c>
      <c r="M3038" t="s">
        <v>58661</v>
      </c>
      <c r="N3038">
        <f>-680.108419754103 -30.6919661371428 -530.213939783499</f>
        <v>-1241.0143256747447</v>
      </c>
      <c r="O3038">
        <f>-672.525519914675 -184.280491630058 -503.995222235243</f>
        <v>-1360.801233779976</v>
      </c>
      <c r="P3038">
        <f>-633.822530167107 -200.061223952323 -225.012089723717</f>
        <v>-1058.8958438431468</v>
      </c>
      <c r="Q3038">
        <f>-454.143241185117 -124.181427486424 -351.13155708107</f>
        <v>-929.45622575261098</v>
      </c>
      <c r="R3038" t="s">
        <v>58662</v>
      </c>
      <c r="S3038" t="s">
        <v>58663</v>
      </c>
      <c r="T3038" t="s">
        <v>58664</v>
      </c>
      <c r="U3038" t="s">
        <v>58665</v>
      </c>
      <c r="V3038">
        <f>-616.575806923656 -84.8774144466984 -94.2156911996692</f>
        <v>-795.66891257002362</v>
      </c>
      <c r="W3038" t="s">
        <v>58666</v>
      </c>
      <c r="X3038" t="s">
        <v>58667</v>
      </c>
      <c r="Y3038" t="s">
        <v>58668</v>
      </c>
    </row>
    <row r="3039" spans="1:25" x14ac:dyDescent="0.3">
      <c r="A3039">
        <v>151900</v>
      </c>
      <c r="B3039" t="s">
        <v>58669</v>
      </c>
      <c r="C3039" t="s">
        <v>58670</v>
      </c>
      <c r="D3039" t="s">
        <v>58671</v>
      </c>
      <c r="E3039" t="s">
        <v>58672</v>
      </c>
      <c r="F3039" t="s">
        <v>58673</v>
      </c>
      <c r="G3039" t="s">
        <v>58674</v>
      </c>
      <c r="H3039" t="s">
        <v>58675</v>
      </c>
      <c r="I3039" t="s">
        <v>58676</v>
      </c>
      <c r="J3039" t="s">
        <v>58677</v>
      </c>
      <c r="K3039" t="s">
        <v>58678</v>
      </c>
      <c r="L3039" t="s">
        <v>58679</v>
      </c>
      <c r="M3039" t="s">
        <v>58680</v>
      </c>
      <c r="N3039">
        <f>-678.469497555725 -28.6553618431003 -530.348416548702</f>
        <v>-1237.4732759475273</v>
      </c>
      <c r="O3039">
        <f>-671.832593491058 -182.15476313459 -503.344717169574</f>
        <v>-1357.332073795222</v>
      </c>
      <c r="P3039">
        <f>-635.843636943683 -196.451804655606 -223.918587851961</f>
        <v>-1056.2140294512501</v>
      </c>
      <c r="Q3039">
        <f>-453.715223864353 -119.679465776566 -345.917710140642</f>
        <v>-919.312399781561</v>
      </c>
      <c r="R3039" t="s">
        <v>58681</v>
      </c>
      <c r="S3039" t="s">
        <v>58682</v>
      </c>
      <c r="T3039" t="s">
        <v>58683</v>
      </c>
      <c r="U3039" t="s">
        <v>58684</v>
      </c>
      <c r="V3039">
        <f>-615.613408059404 -83.1288634511789 -94.348331300623</f>
        <v>-793.09060281120594</v>
      </c>
      <c r="W3039" t="s">
        <v>58685</v>
      </c>
      <c r="X3039" t="s">
        <v>58686</v>
      </c>
      <c r="Y3039" t="s">
        <v>58687</v>
      </c>
    </row>
    <row r="3040" spans="1:25" x14ac:dyDescent="0.3">
      <c r="A3040">
        <v>151950</v>
      </c>
      <c r="B3040" t="s">
        <v>58688</v>
      </c>
      <c r="C3040" t="s">
        <v>58689</v>
      </c>
      <c r="D3040" t="s">
        <v>58690</v>
      </c>
      <c r="E3040" t="s">
        <v>58691</v>
      </c>
      <c r="F3040" t="s">
        <v>58692</v>
      </c>
      <c r="G3040" t="s">
        <v>58693</v>
      </c>
      <c r="H3040" t="s">
        <v>58694</v>
      </c>
      <c r="I3040" t="s">
        <v>58695</v>
      </c>
      <c r="J3040" t="s">
        <v>58696</v>
      </c>
      <c r="K3040" t="s">
        <v>58697</v>
      </c>
      <c r="L3040" t="s">
        <v>58698</v>
      </c>
      <c r="M3040" t="s">
        <v>58699</v>
      </c>
      <c r="N3040">
        <f>-677.582127572107 -27.6983073420295 -530.419770446586</f>
        <v>-1235.7002053607225</v>
      </c>
      <c r="O3040">
        <f>-671.265136136314 -181.166595121611 -503.155302882354</f>
        <v>-1355.5870341402792</v>
      </c>
      <c r="P3040">
        <f>-636.323352387529 -195.022445264062 -223.573963359798</f>
        <v>-1054.919761011389</v>
      </c>
      <c r="Q3040">
        <f>-453.803282183661 -117.276976648478 -344.365623533345</f>
        <v>-915.44588236548395</v>
      </c>
      <c r="R3040" t="s">
        <v>58700</v>
      </c>
      <c r="S3040" t="s">
        <v>58701</v>
      </c>
      <c r="T3040" t="s">
        <v>58702</v>
      </c>
      <c r="U3040" t="s">
        <v>58703</v>
      </c>
      <c r="V3040">
        <f>-615.023662124368 -82.2759316095239 -94.4168846492893</f>
        <v>-791.7164783831812</v>
      </c>
      <c r="W3040" t="s">
        <v>58704</v>
      </c>
      <c r="X3040" t="s">
        <v>58705</v>
      </c>
      <c r="Y3040" t="s">
        <v>58706</v>
      </c>
    </row>
    <row r="3041" spans="1:25" x14ac:dyDescent="0.3">
      <c r="A3041">
        <v>152000</v>
      </c>
      <c r="B3041" t="s">
        <v>58707</v>
      </c>
      <c r="C3041" t="s">
        <v>58708</v>
      </c>
      <c r="D3041" t="s">
        <v>58709</v>
      </c>
      <c r="E3041" t="s">
        <v>58710</v>
      </c>
      <c r="F3041" t="s">
        <v>58711</v>
      </c>
      <c r="G3041" t="s">
        <v>58712</v>
      </c>
      <c r="H3041" t="s">
        <v>58713</v>
      </c>
      <c r="I3041" t="s">
        <v>58714</v>
      </c>
      <c r="J3041" t="s">
        <v>58715</v>
      </c>
      <c r="K3041" t="s">
        <v>58716</v>
      </c>
      <c r="L3041" t="s">
        <v>58717</v>
      </c>
      <c r="M3041" t="s">
        <v>58718</v>
      </c>
      <c r="N3041">
        <f>-676.05171285378 -25.5374611046377 -530.535039356417</f>
        <v>-1232.1242133148348</v>
      </c>
      <c r="O3041">
        <f>-670.425607035319 -178.97791074125 -502.948377193795</f>
        <v>-1352.3518949703641</v>
      </c>
      <c r="P3041">
        <f>-636.633790704248 -192.879433458238 -223.227995065007</f>
        <v>-1052.741219227493</v>
      </c>
      <c r="Q3041">
        <f>-454.441754757373 -112.601059890588 -342.852247093433</f>
        <v>-909.89506174139399</v>
      </c>
      <c r="R3041" t="s">
        <v>58719</v>
      </c>
      <c r="S3041" t="s">
        <v>58720</v>
      </c>
      <c r="T3041" t="s">
        <v>58721</v>
      </c>
      <c r="U3041" t="s">
        <v>58722</v>
      </c>
      <c r="V3041">
        <f>-613.626862000745 -80.6592353585859 -94.5126124778848</f>
        <v>-788.7987098372156</v>
      </c>
      <c r="W3041" t="s">
        <v>58723</v>
      </c>
      <c r="X3041" t="s">
        <v>58724</v>
      </c>
      <c r="Y3041" t="s">
        <v>58725</v>
      </c>
    </row>
    <row r="3042" spans="1:25" x14ac:dyDescent="0.3">
      <c r="A3042">
        <v>152050</v>
      </c>
      <c r="B3042" t="s">
        <v>58726</v>
      </c>
      <c r="C3042" t="s">
        <v>58727</v>
      </c>
      <c r="D3042" t="s">
        <v>58728</v>
      </c>
      <c r="E3042" t="s">
        <v>58729</v>
      </c>
      <c r="F3042" t="s">
        <v>58730</v>
      </c>
      <c r="G3042" t="s">
        <v>58731</v>
      </c>
      <c r="H3042" t="s">
        <v>58732</v>
      </c>
      <c r="I3042" t="s">
        <v>58733</v>
      </c>
      <c r="J3042" t="s">
        <v>58734</v>
      </c>
      <c r="K3042" t="s">
        <v>58735</v>
      </c>
      <c r="L3042" t="s">
        <v>58736</v>
      </c>
      <c r="M3042" t="s">
        <v>58737</v>
      </c>
      <c r="N3042">
        <f>-675.266684728537 -24.4344556405506 -530.577056682927</f>
        <v>-1230.2781970520145</v>
      </c>
      <c r="O3042">
        <f>-669.886938033405 -177.879597960463 -502.978128309781</f>
        <v>-1350.7446643036492</v>
      </c>
      <c r="P3042">
        <f>-636.365280912609 -192.098659504438 -223.241287412742</f>
        <v>-1051.705227829789</v>
      </c>
      <c r="Q3042">
        <f>-454.383196901097 -110.910954362924 -342.570917113833</f>
        <v>-907.86506837785396</v>
      </c>
      <c r="R3042" t="s">
        <v>58738</v>
      </c>
      <c r="S3042" t="s">
        <v>58739</v>
      </c>
      <c r="T3042" t="s">
        <v>58740</v>
      </c>
      <c r="U3042" t="s">
        <v>58741</v>
      </c>
      <c r="V3042">
        <f>-613.03356219155 -79.9513320403858 -94.5248450998148</f>
        <v>-787.50973933175055</v>
      </c>
      <c r="W3042" t="s">
        <v>58742</v>
      </c>
      <c r="X3042" t="s">
        <v>58743</v>
      </c>
      <c r="Y3042" t="s">
        <v>58744</v>
      </c>
    </row>
    <row r="3043" spans="1:25" x14ac:dyDescent="0.3">
      <c r="A3043">
        <v>152100</v>
      </c>
      <c r="B3043" t="s">
        <v>58745</v>
      </c>
      <c r="C3043" t="s">
        <v>58746</v>
      </c>
      <c r="D3043" t="s">
        <v>58747</v>
      </c>
      <c r="E3043" t="s">
        <v>58748</v>
      </c>
      <c r="F3043" t="s">
        <v>58749</v>
      </c>
      <c r="G3043" t="s">
        <v>58750</v>
      </c>
      <c r="H3043" t="s">
        <v>58751</v>
      </c>
      <c r="I3043" t="s">
        <v>58752</v>
      </c>
      <c r="J3043" t="s">
        <v>58753</v>
      </c>
      <c r="K3043" t="s">
        <v>58754</v>
      </c>
      <c r="L3043" t="s">
        <v>58755</v>
      </c>
      <c r="M3043" t="s">
        <v>58756</v>
      </c>
      <c r="N3043">
        <f>-674.109460729218 -22.3567171649609 -530.645733801643</f>
        <v>-1227.1119116958218</v>
      </c>
      <c r="O3043">
        <f>-669.159296473956 -175.859205296252 -503.29858245982</f>
        <v>-1348.3170842300281</v>
      </c>
      <c r="P3043">
        <f>-635.155122380617 -190.774549259894 -223.656294510128</f>
        <v>-1049.585966150639</v>
      </c>
      <c r="Q3043">
        <f>-453.787134278165 -108.132574681693 -342.922749610211</f>
        <v>-904.84245857006897</v>
      </c>
      <c r="R3043" t="s">
        <v>58757</v>
      </c>
      <c r="S3043" t="s">
        <v>58758</v>
      </c>
      <c r="T3043" t="s">
        <v>58759</v>
      </c>
      <c r="U3043" t="s">
        <v>58760</v>
      </c>
      <c r="V3043">
        <f>-612.284375360581 -79.061794380686 -94.5278375439817</f>
        <v>-785.87400728524869</v>
      </c>
      <c r="W3043" t="s">
        <v>58761</v>
      </c>
      <c r="X3043" t="s">
        <v>58762</v>
      </c>
      <c r="Y3043" t="s">
        <v>58763</v>
      </c>
    </row>
    <row r="3044" spans="1:25" x14ac:dyDescent="0.3">
      <c r="A3044">
        <v>152150</v>
      </c>
      <c r="B3044" t="s">
        <v>58764</v>
      </c>
      <c r="C3044" t="s">
        <v>58765</v>
      </c>
      <c r="D3044" t="s">
        <v>58766</v>
      </c>
      <c r="E3044" t="s">
        <v>58767</v>
      </c>
      <c r="F3044" t="s">
        <v>58768</v>
      </c>
      <c r="G3044" t="s">
        <v>58769</v>
      </c>
      <c r="H3044" t="s">
        <v>58770</v>
      </c>
      <c r="I3044" t="s">
        <v>58771</v>
      </c>
      <c r="J3044" t="s">
        <v>58772</v>
      </c>
      <c r="K3044" t="s">
        <v>58773</v>
      </c>
      <c r="L3044" t="s">
        <v>58774</v>
      </c>
      <c r="M3044" t="s">
        <v>58775</v>
      </c>
      <c r="N3044">
        <f>-673.635104320009 -21.4730265488292 -530.673252065786</f>
        <v>-1225.7813829346242</v>
      </c>
      <c r="O3044">
        <f>-668.856579579254 -175.015418308042 -503.50594407051</f>
        <v>-1347.3779419578059</v>
      </c>
      <c r="P3044">
        <f>-634.221313046238 -190.492301228701 -223.971577294538</f>
        <v>-1048.685191569477</v>
      </c>
      <c r="Q3044">
        <f>-453.404298677898 -106.952942835219 -343.449372544593</f>
        <v>-903.80661405771002</v>
      </c>
      <c r="R3044" t="s">
        <v>58776</v>
      </c>
      <c r="S3044" t="s">
        <v>58777</v>
      </c>
      <c r="T3044" t="s">
        <v>58778</v>
      </c>
      <c r="U3044" t="s">
        <v>58779</v>
      </c>
      <c r="V3044">
        <f>-612.105668383614 -78.6767265181261 -94.506156020191</f>
        <v>-785.28855092193112</v>
      </c>
      <c r="W3044" t="s">
        <v>58780</v>
      </c>
      <c r="X3044" t="s">
        <v>58781</v>
      </c>
      <c r="Y3044" t="s">
        <v>58782</v>
      </c>
    </row>
    <row r="3045" spans="1:25" x14ac:dyDescent="0.3">
      <c r="A3045">
        <v>152200</v>
      </c>
      <c r="B3045" t="s">
        <v>58783</v>
      </c>
      <c r="C3045" t="s">
        <v>58784</v>
      </c>
      <c r="D3045" t="s">
        <v>58785</v>
      </c>
      <c r="E3045" t="s">
        <v>58786</v>
      </c>
      <c r="F3045" t="s">
        <v>58787</v>
      </c>
      <c r="G3045" t="s">
        <v>58788</v>
      </c>
      <c r="H3045" t="s">
        <v>58789</v>
      </c>
      <c r="I3045" t="s">
        <v>58790</v>
      </c>
      <c r="J3045" t="s">
        <v>58791</v>
      </c>
      <c r="K3045" t="s">
        <v>58792</v>
      </c>
      <c r="L3045" t="s">
        <v>58793</v>
      </c>
      <c r="M3045" t="s">
        <v>58794</v>
      </c>
      <c r="N3045">
        <f>-673.462320698172 -19.8640185023983 -530.594310749738</f>
        <v>-1223.9206499503084</v>
      </c>
      <c r="O3045">
        <f>-668.910616981282 -173.4770242239 -503.742599468434</f>
        <v>-1346.1302406736161</v>
      </c>
      <c r="P3045">
        <f>-632.7602989603 -190.100712755818 -224.466053580176</f>
        <v>-1047.327065296294</v>
      </c>
      <c r="Q3045">
        <f>-453.234030859622 -104.703210095581 -344.574685318133</f>
        <v>-902.51192627333603</v>
      </c>
      <c r="R3045" t="s">
        <v>58795</v>
      </c>
      <c r="S3045" t="s">
        <v>58796</v>
      </c>
      <c r="T3045" t="s">
        <v>58797</v>
      </c>
      <c r="U3045" t="s">
        <v>58798</v>
      </c>
      <c r="V3045">
        <f>-611.919319895408 -77.5987473062619 -94.4331744642593</f>
        <v>-783.95124166592916</v>
      </c>
      <c r="W3045" t="s">
        <v>58799</v>
      </c>
      <c r="X3045" t="s">
        <v>58800</v>
      </c>
      <c r="Y3045" t="s">
        <v>58801</v>
      </c>
    </row>
    <row r="3046" spans="1:25" x14ac:dyDescent="0.3">
      <c r="A3046">
        <v>152250</v>
      </c>
      <c r="B3046" t="s">
        <v>58802</v>
      </c>
      <c r="C3046" t="s">
        <v>58803</v>
      </c>
      <c r="D3046" t="s">
        <v>58804</v>
      </c>
      <c r="E3046" t="s">
        <v>58805</v>
      </c>
      <c r="F3046" t="s">
        <v>58806</v>
      </c>
      <c r="G3046" t="s">
        <v>58807</v>
      </c>
      <c r="H3046" t="s">
        <v>58808</v>
      </c>
      <c r="I3046" t="s">
        <v>58809</v>
      </c>
      <c r="J3046" t="s">
        <v>58810</v>
      </c>
      <c r="K3046" t="s">
        <v>58811</v>
      </c>
      <c r="L3046" t="s">
        <v>58812</v>
      </c>
      <c r="M3046" t="s">
        <v>58813</v>
      </c>
      <c r="N3046">
        <f>-673.633985761603 -18.9882474210672 -530.56314082896</f>
        <v>-1223.1853740116301</v>
      </c>
      <c r="O3046">
        <f>-669.124218320489 -172.627817595656 -503.84261533779</f>
        <v>-1345.5946512539349</v>
      </c>
      <c r="P3046">
        <f>-632.269444689751 -189.514929705169 -224.673935094151</f>
        <v>-1046.4583094890711</v>
      </c>
      <c r="Q3046">
        <f>-453.142870853912 -103.602777903433 -345.012330997376</f>
        <v>-901.75797975472096</v>
      </c>
      <c r="R3046" t="s">
        <v>58814</v>
      </c>
      <c r="S3046" t="s">
        <v>58815</v>
      </c>
      <c r="T3046" t="s">
        <v>58816</v>
      </c>
      <c r="U3046" t="s">
        <v>58817</v>
      </c>
      <c r="V3046">
        <f>-611.917656971435 -77.0229905305164 -94.4106337158681</f>
        <v>-783.35128121781952</v>
      </c>
      <c r="W3046" t="s">
        <v>58818</v>
      </c>
      <c r="X3046" t="s">
        <v>58819</v>
      </c>
      <c r="Y3046" t="s">
        <v>58820</v>
      </c>
    </row>
    <row r="3047" spans="1:25" x14ac:dyDescent="0.3">
      <c r="A3047">
        <v>152300</v>
      </c>
      <c r="B3047" t="s">
        <v>58821</v>
      </c>
      <c r="C3047" t="s">
        <v>58822</v>
      </c>
      <c r="D3047" t="s">
        <v>58823</v>
      </c>
      <c r="E3047" t="s">
        <v>58824</v>
      </c>
      <c r="F3047" t="s">
        <v>58825</v>
      </c>
      <c r="G3047" t="s">
        <v>58826</v>
      </c>
      <c r="H3047" t="s">
        <v>58827</v>
      </c>
      <c r="I3047" t="s">
        <v>58828</v>
      </c>
      <c r="J3047" t="s">
        <v>58829</v>
      </c>
      <c r="K3047" t="s">
        <v>58830</v>
      </c>
      <c r="L3047" t="s">
        <v>58831</v>
      </c>
      <c r="M3047" t="s">
        <v>58832</v>
      </c>
      <c r="N3047">
        <f>-673.885684886429 -17.1698748000333 -530.474722447306</f>
        <v>-1221.5302821337682</v>
      </c>
      <c r="O3047">
        <f>-669.357347825365 -170.865196938198 -504.116485019475</f>
        <v>-1344.3390297830379</v>
      </c>
      <c r="P3047">
        <f>-631.695859538386 -188.313247319556 -225.0901011367</f>
        <v>-1045.099207994642</v>
      </c>
      <c r="Q3047">
        <f>-453.02545420201 -101.668317048423 -345.580973308546</f>
        <v>-900.27474455897891</v>
      </c>
      <c r="R3047" t="s">
        <v>58833</v>
      </c>
      <c r="S3047" t="s">
        <v>58834</v>
      </c>
      <c r="T3047" t="s">
        <v>58835</v>
      </c>
      <c r="U3047" t="s">
        <v>58836</v>
      </c>
      <c r="V3047">
        <f>-611.837604714283 -75.8515304411792 -94.2943729336927</f>
        <v>-781.98350808915484</v>
      </c>
      <c r="W3047" t="s">
        <v>58837</v>
      </c>
      <c r="X3047" t="s">
        <v>58838</v>
      </c>
      <c r="Y3047" t="s">
        <v>58839</v>
      </c>
    </row>
    <row r="3048" spans="1:25" x14ac:dyDescent="0.3">
      <c r="A3048">
        <v>152350</v>
      </c>
      <c r="B3048" t="s">
        <v>58840</v>
      </c>
      <c r="C3048" t="s">
        <v>58841</v>
      </c>
      <c r="D3048" t="s">
        <v>58842</v>
      </c>
      <c r="E3048" t="s">
        <v>58843</v>
      </c>
      <c r="F3048" t="s">
        <v>58844</v>
      </c>
      <c r="G3048" t="s">
        <v>58845</v>
      </c>
      <c r="H3048" t="s">
        <v>58846</v>
      </c>
      <c r="I3048" t="s">
        <v>58847</v>
      </c>
      <c r="J3048" t="s">
        <v>58848</v>
      </c>
      <c r="K3048" t="s">
        <v>58849</v>
      </c>
      <c r="L3048" t="s">
        <v>58850</v>
      </c>
      <c r="M3048" t="s">
        <v>58851</v>
      </c>
      <c r="N3048">
        <f>-673.979778437136 -16.3250879310449 -530.342996682082</f>
        <v>-1220.6478630502629</v>
      </c>
      <c r="O3048">
        <f>-669.428129869526 -170.054454529581 -504.180354751144</f>
        <v>-1343.6629391502511</v>
      </c>
      <c r="P3048">
        <f>-631.645149088869 -187.8138984022 -225.18995664846</f>
        <v>-1044.6490041395291</v>
      </c>
      <c r="Q3048">
        <f>-453.093385798057 -100.86152738074 -345.635438197574</f>
        <v>-899.59035137637102</v>
      </c>
      <c r="R3048" t="s">
        <v>58852</v>
      </c>
      <c r="S3048" t="s">
        <v>58853</v>
      </c>
      <c r="T3048" t="s">
        <v>58854</v>
      </c>
      <c r="U3048" t="s">
        <v>58855</v>
      </c>
      <c r="V3048">
        <f>-611.724422357875 -75.31102675019 -94.1414465194832</f>
        <v>-781.17689562754822</v>
      </c>
      <c r="W3048" t="s">
        <v>58856</v>
      </c>
      <c r="X3048" t="s">
        <v>58857</v>
      </c>
      <c r="Y3048" t="s">
        <v>58858</v>
      </c>
    </row>
    <row r="3049" spans="1:25" x14ac:dyDescent="0.3">
      <c r="A3049">
        <v>152400</v>
      </c>
      <c r="B3049" t="s">
        <v>58859</v>
      </c>
      <c r="C3049" t="s">
        <v>58860</v>
      </c>
      <c r="D3049" t="s">
        <v>58861</v>
      </c>
      <c r="E3049" t="s">
        <v>58862</v>
      </c>
      <c r="F3049" t="s">
        <v>58863</v>
      </c>
      <c r="G3049" t="s">
        <v>58864</v>
      </c>
      <c r="H3049" t="s">
        <v>58865</v>
      </c>
      <c r="I3049" t="s">
        <v>58866</v>
      </c>
      <c r="J3049" t="s">
        <v>58867</v>
      </c>
      <c r="K3049" t="s">
        <v>58868</v>
      </c>
      <c r="L3049" t="s">
        <v>58869</v>
      </c>
      <c r="M3049" t="s">
        <v>58870</v>
      </c>
      <c r="N3049">
        <f>-673.679217423436 -14.9788523895918 -530.228994274291</f>
        <v>-1218.8870640873188</v>
      </c>
      <c r="O3049">
        <f>-669.124328263311 -168.757801587294 -504.373884764558</f>
        <v>-1342.2560146151629</v>
      </c>
      <c r="P3049">
        <f>-631.518692219331 -187.397219123763 -225.417020460269</f>
        <v>-1044.332931803363</v>
      </c>
      <c r="Q3049">
        <f>-453.11880508642 -99.6122301251985 -345.482998158915</f>
        <v>-898.21403337053357</v>
      </c>
      <c r="R3049" t="s">
        <v>58871</v>
      </c>
      <c r="S3049" t="s">
        <v>58872</v>
      </c>
      <c r="T3049" t="s">
        <v>58873</v>
      </c>
      <c r="U3049" t="s">
        <v>58874</v>
      </c>
      <c r="V3049">
        <f>-612.01591999302 -74.1465582390174 -93.8593057349839</f>
        <v>-780.02178396702129</v>
      </c>
      <c r="W3049" t="s">
        <v>58875</v>
      </c>
      <c r="X3049" t="s">
        <v>58876</v>
      </c>
      <c r="Y3049" t="s">
        <v>58877</v>
      </c>
    </row>
    <row r="3050" spans="1:25" x14ac:dyDescent="0.3">
      <c r="A3050">
        <v>152450</v>
      </c>
      <c r="B3050" t="s">
        <v>58878</v>
      </c>
      <c r="C3050" t="s">
        <v>58879</v>
      </c>
      <c r="D3050" t="s">
        <v>58880</v>
      </c>
      <c r="E3050" t="s">
        <v>58881</v>
      </c>
      <c r="F3050" t="s">
        <v>58882</v>
      </c>
      <c r="G3050" t="s">
        <v>58883</v>
      </c>
      <c r="H3050" t="s">
        <v>58884</v>
      </c>
      <c r="I3050" t="s">
        <v>58885</v>
      </c>
      <c r="J3050" t="s">
        <v>58886</v>
      </c>
      <c r="K3050" t="s">
        <v>58887</v>
      </c>
      <c r="L3050" t="s">
        <v>58888</v>
      </c>
      <c r="M3050" t="s">
        <v>58889</v>
      </c>
      <c r="N3050">
        <f>-673.396299195087 -14.4597965356495 -530.215996718981</f>
        <v>-1218.0720924497175</v>
      </c>
      <c r="O3050">
        <f>-668.903998210759 -168.256373368264 -504.439520364561</f>
        <v>-1341.599891943584</v>
      </c>
      <c r="P3050">
        <f>-631.378309096842 -187.113397908793 -225.486524003173</f>
        <v>-1043.9782310088081</v>
      </c>
      <c r="Q3050">
        <f>-453.112679519672 -98.9806097644589 -345.497043092237</f>
        <v>-897.59033237636777</v>
      </c>
      <c r="R3050" t="s">
        <v>58890</v>
      </c>
      <c r="S3050" t="s">
        <v>58891</v>
      </c>
      <c r="T3050" t="s">
        <v>58892</v>
      </c>
      <c r="U3050" t="s">
        <v>58893</v>
      </c>
      <c r="V3050">
        <f>-612.319886475542 -73.6568775657465 -93.800342176142</f>
        <v>-779.77710621743051</v>
      </c>
      <c r="W3050" t="s">
        <v>58894</v>
      </c>
      <c r="X3050" t="s">
        <v>58895</v>
      </c>
      <c r="Y3050" t="s">
        <v>58896</v>
      </c>
    </row>
    <row r="3051" spans="1:25" x14ac:dyDescent="0.3">
      <c r="A3051">
        <v>152500</v>
      </c>
      <c r="B3051" t="s">
        <v>58897</v>
      </c>
      <c r="C3051" t="s">
        <v>58898</v>
      </c>
      <c r="D3051" t="s">
        <v>58899</v>
      </c>
      <c r="E3051" t="s">
        <v>58900</v>
      </c>
      <c r="F3051" t="s">
        <v>58901</v>
      </c>
      <c r="G3051" t="s">
        <v>58902</v>
      </c>
      <c r="H3051" t="s">
        <v>58903</v>
      </c>
      <c r="I3051" t="s">
        <v>58904</v>
      </c>
      <c r="J3051" t="s">
        <v>58905</v>
      </c>
      <c r="K3051" t="s">
        <v>58906</v>
      </c>
      <c r="L3051" t="s">
        <v>58907</v>
      </c>
      <c r="M3051" t="s">
        <v>58908</v>
      </c>
      <c r="N3051">
        <f>-672.814704606324 -13.4425837719498 -530.2362265253</f>
        <v>-1216.4935149035737</v>
      </c>
      <c r="O3051">
        <f>-668.380578087174 -167.256236867399 -504.551013490597</f>
        <v>-1340.18782844517</v>
      </c>
      <c r="P3051">
        <f>-631.054837032149 -186.383406466234 -225.589445039521</f>
        <v>-1043.0276885379039</v>
      </c>
      <c r="Q3051">
        <f>-453.018621190553 -97.8352196821102 -345.634833191716</f>
        <v>-896.48867406437921</v>
      </c>
      <c r="R3051" t="s">
        <v>58909</v>
      </c>
      <c r="S3051" t="s">
        <v>58910</v>
      </c>
      <c r="T3051" t="s">
        <v>58911</v>
      </c>
      <c r="U3051" t="s">
        <v>58912</v>
      </c>
      <c r="V3051">
        <f>-612.971189988553 -72.7382944249714 -93.7842472883821</f>
        <v>-779.49373170190643</v>
      </c>
      <c r="W3051" t="s">
        <v>58913</v>
      </c>
      <c r="X3051" t="s">
        <v>58914</v>
      </c>
      <c r="Y3051" t="s">
        <v>58915</v>
      </c>
    </row>
    <row r="3052" spans="1:25" x14ac:dyDescent="0.3">
      <c r="A3052">
        <v>152550</v>
      </c>
      <c r="B3052" t="s">
        <v>58916</v>
      </c>
      <c r="C3052" t="s">
        <v>58917</v>
      </c>
      <c r="D3052" t="s">
        <v>58918</v>
      </c>
      <c r="E3052" t="s">
        <v>58919</v>
      </c>
      <c r="F3052" t="s">
        <v>58920</v>
      </c>
      <c r="G3052" t="s">
        <v>58921</v>
      </c>
      <c r="H3052" t="s">
        <v>58922</v>
      </c>
      <c r="I3052" t="s">
        <v>58923</v>
      </c>
      <c r="J3052" t="s">
        <v>58924</v>
      </c>
      <c r="K3052" t="s">
        <v>58925</v>
      </c>
      <c r="L3052" t="s">
        <v>58926</v>
      </c>
      <c r="M3052" t="s">
        <v>58927</v>
      </c>
      <c r="N3052">
        <f>-672.702139485157 -12.9002096684142 -530.284067848384</f>
        <v>-1215.8864170019551</v>
      </c>
      <c r="O3052">
        <f>-668.228739859547 -166.723815982487 -504.654476930194</f>
        <v>-1339.607032772228</v>
      </c>
      <c r="P3052">
        <f>-630.900606976745 -185.757632764414 -225.686962684829</f>
        <v>-1042.345202425988</v>
      </c>
      <c r="Q3052">
        <f>-452.763561550342 -97.4897335350317 -345.788900403091</f>
        <v>-896.0421954884647</v>
      </c>
      <c r="R3052" t="s">
        <v>58928</v>
      </c>
      <c r="S3052" t="s">
        <v>58929</v>
      </c>
      <c r="T3052" t="s">
        <v>58930</v>
      </c>
      <c r="U3052" t="s">
        <v>58931</v>
      </c>
      <c r="V3052">
        <f>-613.290708442758 -72.3518724621022 -93.8056081732523</f>
        <v>-779.44818907811248</v>
      </c>
      <c r="W3052" t="s">
        <v>58932</v>
      </c>
      <c r="X3052" t="s">
        <v>58933</v>
      </c>
      <c r="Y3052" t="s">
        <v>58934</v>
      </c>
    </row>
    <row r="3053" spans="1:25" x14ac:dyDescent="0.3">
      <c r="A3053">
        <v>152600</v>
      </c>
      <c r="B3053" t="s">
        <v>58935</v>
      </c>
      <c r="C3053" t="s">
        <v>58936</v>
      </c>
      <c r="D3053" t="s">
        <v>58937</v>
      </c>
      <c r="E3053" t="s">
        <v>58938</v>
      </c>
      <c r="F3053" t="s">
        <v>58939</v>
      </c>
      <c r="G3053" t="s">
        <v>58940</v>
      </c>
      <c r="H3053" t="s">
        <v>58941</v>
      </c>
      <c r="I3053" t="s">
        <v>58942</v>
      </c>
      <c r="J3053" t="s">
        <v>58943</v>
      </c>
      <c r="K3053" t="s">
        <v>58944</v>
      </c>
      <c r="L3053" t="s">
        <v>58945</v>
      </c>
      <c r="M3053" t="s">
        <v>58946</v>
      </c>
      <c r="N3053">
        <f>-672.666471197494 -11.987995887835 -530.335196278725</f>
        <v>-1214.9896633640542</v>
      </c>
      <c r="O3053">
        <f>-668.130434608377 -165.818758757688 -504.779217503059</f>
        <v>-1338.728410869124</v>
      </c>
      <c r="P3053">
        <f>-630.460048903152 -185.285499061296 -225.887502127207</f>
        <v>-1041.6330500916552</v>
      </c>
      <c r="Q3053">
        <f>-452.336183753908 -97.087222050319 -346.060099632764</f>
        <v>-895.48350543699098</v>
      </c>
      <c r="R3053" t="s">
        <v>58947</v>
      </c>
      <c r="S3053" t="s">
        <v>58948</v>
      </c>
      <c r="T3053" t="s">
        <v>58949</v>
      </c>
      <c r="U3053" t="s">
        <v>58950</v>
      </c>
      <c r="V3053">
        <f>-613.371841699728 -71.5670341489042 -93.8232768029989</f>
        <v>-778.76215265163103</v>
      </c>
      <c r="W3053" t="s">
        <v>58951</v>
      </c>
      <c r="X3053" t="s">
        <v>58952</v>
      </c>
      <c r="Y3053" t="s">
        <v>58953</v>
      </c>
    </row>
    <row r="3054" spans="1:25" x14ac:dyDescent="0.3">
      <c r="A3054">
        <v>152650</v>
      </c>
      <c r="B3054" t="s">
        <v>58954</v>
      </c>
      <c r="C3054" t="s">
        <v>58955</v>
      </c>
      <c r="D3054" t="s">
        <v>58956</v>
      </c>
      <c r="E3054" t="s">
        <v>58957</v>
      </c>
      <c r="F3054" t="s">
        <v>58958</v>
      </c>
      <c r="G3054" t="s">
        <v>58959</v>
      </c>
      <c r="H3054" t="s">
        <v>58960</v>
      </c>
      <c r="I3054" t="s">
        <v>58961</v>
      </c>
      <c r="J3054" t="s">
        <v>58962</v>
      </c>
      <c r="K3054" t="s">
        <v>58963</v>
      </c>
      <c r="L3054" t="s">
        <v>58964</v>
      </c>
      <c r="M3054" t="s">
        <v>58965</v>
      </c>
      <c r="N3054">
        <f>-672.593613778522 -11.4817475413802 -530.330551750591</f>
        <v>-1214.4059130704932</v>
      </c>
      <c r="O3054">
        <f>-668.007267720982 -165.325234301771 -504.830879634536</f>
        <v>-1338.1633816572889</v>
      </c>
      <c r="P3054">
        <f>-630.209282106783 -184.849589878409 -225.960421392462</f>
        <v>-1041.0192933776541</v>
      </c>
      <c r="Q3054">
        <f>-452.222717730461 -96.5955640363809 -346.295626415724</f>
        <v>-895.11390818256586</v>
      </c>
      <c r="R3054" t="s">
        <v>58966</v>
      </c>
      <c r="S3054" t="s">
        <v>58967</v>
      </c>
      <c r="T3054" t="s">
        <v>58968</v>
      </c>
      <c r="U3054" t="s">
        <v>58969</v>
      </c>
      <c r="V3054">
        <f>-612.999572692129 -71.1462791191641 -93.8172939750832</f>
        <v>-777.96314578637634</v>
      </c>
      <c r="W3054" t="s">
        <v>58970</v>
      </c>
      <c r="X3054" t="s">
        <v>58971</v>
      </c>
      <c r="Y3054" t="s">
        <v>58972</v>
      </c>
    </row>
    <row r="3055" spans="1:25" x14ac:dyDescent="0.3">
      <c r="A3055">
        <v>152700</v>
      </c>
      <c r="B3055" t="s">
        <v>58973</v>
      </c>
      <c r="C3055" t="s">
        <v>58974</v>
      </c>
      <c r="D3055" t="s">
        <v>58975</v>
      </c>
      <c r="E3055" t="s">
        <v>58976</v>
      </c>
      <c r="F3055" t="s">
        <v>58977</v>
      </c>
      <c r="G3055" t="s">
        <v>58978</v>
      </c>
      <c r="H3055" t="s">
        <v>58979</v>
      </c>
      <c r="I3055" t="s">
        <v>58980</v>
      </c>
      <c r="J3055" t="s">
        <v>58981</v>
      </c>
      <c r="K3055" t="s">
        <v>58982</v>
      </c>
      <c r="L3055" t="s">
        <v>58983</v>
      </c>
      <c r="M3055" t="s">
        <v>58984</v>
      </c>
      <c r="N3055">
        <f>-672.243045393203 -10.6167990659922 -530.174658163126</f>
        <v>-1213.0345026223213</v>
      </c>
      <c r="O3055">
        <f>-667.52127878974 -164.461334927525 -504.739072408842</f>
        <v>-1336.721686126107</v>
      </c>
      <c r="P3055">
        <f>-629.435296286159 -183.859182653284 -225.898993370681</f>
        <v>-1039.193472310124</v>
      </c>
      <c r="Q3055">
        <f>-451.867727064796 -95.2993483135763 -346.627899507377</f>
        <v>-893.7949748857493</v>
      </c>
      <c r="R3055" t="s">
        <v>58985</v>
      </c>
      <c r="S3055" t="s">
        <v>58986</v>
      </c>
      <c r="T3055" t="s">
        <v>58987</v>
      </c>
      <c r="U3055" t="s">
        <v>58988</v>
      </c>
      <c r="V3055">
        <f>-611.835990515459 -70.3992479916233 -93.7136881551756</f>
        <v>-775.94892666225792</v>
      </c>
      <c r="W3055" t="s">
        <v>58989</v>
      </c>
      <c r="X3055" t="s">
        <v>58990</v>
      </c>
      <c r="Y3055" t="s">
        <v>58991</v>
      </c>
    </row>
    <row r="3056" spans="1:25" x14ac:dyDescent="0.3">
      <c r="A3056">
        <v>152750</v>
      </c>
      <c r="B3056" t="s">
        <v>58992</v>
      </c>
      <c r="C3056" t="s">
        <v>58993</v>
      </c>
      <c r="D3056" t="s">
        <v>58994</v>
      </c>
      <c r="E3056" t="s">
        <v>58995</v>
      </c>
      <c r="F3056" t="s">
        <v>58996</v>
      </c>
      <c r="G3056" t="s">
        <v>58997</v>
      </c>
      <c r="H3056" t="s">
        <v>58998</v>
      </c>
      <c r="I3056" t="s">
        <v>58999</v>
      </c>
      <c r="J3056" t="s">
        <v>59000</v>
      </c>
      <c r="K3056" t="s">
        <v>59001</v>
      </c>
      <c r="L3056" t="s">
        <v>59002</v>
      </c>
      <c r="M3056" t="s">
        <v>59003</v>
      </c>
      <c r="N3056">
        <f>-672.087329522144 -10.3454598257649 -530.05159088893</f>
        <v>-1212.4843802368391</v>
      </c>
      <c r="O3056">
        <f>-667.305890058178 -164.19095731095 -504.642747370992</f>
        <v>-1336.1395947401199</v>
      </c>
      <c r="P3056">
        <f>-628.973443018548 -183.502547140441 -225.830491522102</f>
        <v>-1038.3064816810911</v>
      </c>
      <c r="Q3056">
        <f>-451.372234699681 -95.0978660252104 -346.623374191463</f>
        <v>-893.09347491635435</v>
      </c>
      <c r="R3056" t="s">
        <v>59004</v>
      </c>
      <c r="S3056" t="s">
        <v>59005</v>
      </c>
      <c r="T3056" t="s">
        <v>59006</v>
      </c>
      <c r="U3056" t="s">
        <v>59007</v>
      </c>
      <c r="V3056">
        <f>-611.317512847454 -70.151543385334 -93.6459718336971</f>
        <v>-775.11502806648514</v>
      </c>
      <c r="W3056" t="s">
        <v>59008</v>
      </c>
      <c r="X3056" t="s">
        <v>59009</v>
      </c>
      <c r="Y3056" t="s">
        <v>59010</v>
      </c>
    </row>
    <row r="3057" spans="1:25" x14ac:dyDescent="0.3">
      <c r="A3057">
        <v>152800</v>
      </c>
      <c r="B3057" t="s">
        <v>59011</v>
      </c>
      <c r="C3057" t="s">
        <v>59012</v>
      </c>
      <c r="D3057" t="s">
        <v>59013</v>
      </c>
      <c r="E3057" t="s">
        <v>59014</v>
      </c>
      <c r="F3057" t="s">
        <v>59015</v>
      </c>
      <c r="G3057" t="s">
        <v>59016</v>
      </c>
      <c r="H3057" t="s">
        <v>59017</v>
      </c>
      <c r="I3057" t="s">
        <v>59018</v>
      </c>
      <c r="J3057" t="s">
        <v>59019</v>
      </c>
      <c r="K3057" t="s">
        <v>59020</v>
      </c>
      <c r="L3057" t="s">
        <v>59021</v>
      </c>
      <c r="M3057" t="s">
        <v>59022</v>
      </c>
      <c r="N3057">
        <f>-672.174108605008 -9.97053628134404 -529.831065273477</f>
        <v>-1211.9757101598289</v>
      </c>
      <c r="O3057">
        <f>-667.293511910645 -163.817732511493 -504.450081316525</f>
        <v>-1335.5613257386628</v>
      </c>
      <c r="P3057">
        <f>-628.321173153763 -182.746864645226 -225.700311157513</f>
        <v>-1036.768348956502</v>
      </c>
      <c r="Q3057">
        <f>-450.202101545456 -95.2437770207264 -346.387380281373</f>
        <v>-891.83325884755538</v>
      </c>
      <c r="R3057" t="s">
        <v>59023</v>
      </c>
      <c r="S3057" t="s">
        <v>59024</v>
      </c>
      <c r="T3057" t="s">
        <v>59025</v>
      </c>
      <c r="U3057" t="s">
        <v>59026</v>
      </c>
      <c r="V3057">
        <f>-610.683030244642 -69.907924375899 -93.5206910601114</f>
        <v>-774.11164568065249</v>
      </c>
      <c r="W3057" t="s">
        <v>59027</v>
      </c>
      <c r="X3057" t="s">
        <v>59028</v>
      </c>
      <c r="Y3057" t="s">
        <v>59029</v>
      </c>
    </row>
    <row r="3058" spans="1:25" x14ac:dyDescent="0.3">
      <c r="A3058">
        <v>152850</v>
      </c>
      <c r="B3058" t="s">
        <v>59030</v>
      </c>
      <c r="C3058" t="s">
        <v>59031</v>
      </c>
      <c r="D3058" t="s">
        <v>59032</v>
      </c>
      <c r="E3058" t="s">
        <v>59033</v>
      </c>
      <c r="F3058" t="s">
        <v>59034</v>
      </c>
      <c r="G3058" t="s">
        <v>59035</v>
      </c>
      <c r="H3058" t="s">
        <v>59036</v>
      </c>
      <c r="I3058" t="s">
        <v>59037</v>
      </c>
      <c r="J3058" t="s">
        <v>59038</v>
      </c>
      <c r="K3058" t="s">
        <v>59039</v>
      </c>
      <c r="L3058" t="s">
        <v>59040</v>
      </c>
      <c r="M3058" t="s">
        <v>59041</v>
      </c>
      <c r="N3058">
        <f>-672.321086105331 -9.92814071943894 -529.807659861503</f>
        <v>-1212.0568866862729</v>
      </c>
      <c r="O3058">
        <f>-667.396599174087 -163.780444774822 -504.420876156517</f>
        <v>-1335.5979201054261</v>
      </c>
      <c r="P3058">
        <f>-628.37892376121 -182.570798122013 -225.668014112332</f>
        <v>-1036.617735995555</v>
      </c>
      <c r="Q3058">
        <f>-450.17231123484 -95.4051914514348 -346.470007557671</f>
        <v>-892.04751024394579</v>
      </c>
      <c r="R3058" t="s">
        <v>59042</v>
      </c>
      <c r="S3058" t="s">
        <v>59043</v>
      </c>
      <c r="T3058" t="s">
        <v>59044</v>
      </c>
      <c r="U3058" t="s">
        <v>59045</v>
      </c>
      <c r="V3058">
        <f>-610.659770540846 -70.0166992583984 -93.5437733334527</f>
        <v>-774.22024313269708</v>
      </c>
      <c r="W3058" t="s">
        <v>59046</v>
      </c>
      <c r="X3058" t="s">
        <v>59047</v>
      </c>
      <c r="Y3058" t="s">
        <v>59048</v>
      </c>
    </row>
    <row r="3059" spans="1:25" x14ac:dyDescent="0.3">
      <c r="A3059">
        <v>152900</v>
      </c>
      <c r="B3059" t="s">
        <v>59049</v>
      </c>
      <c r="C3059" t="s">
        <v>59050</v>
      </c>
      <c r="D3059" t="s">
        <v>59051</v>
      </c>
      <c r="E3059" t="s">
        <v>59052</v>
      </c>
      <c r="F3059" t="s">
        <v>59053</v>
      </c>
      <c r="G3059" t="s">
        <v>59054</v>
      </c>
      <c r="H3059" t="s">
        <v>59055</v>
      </c>
      <c r="I3059" t="s">
        <v>59056</v>
      </c>
      <c r="J3059" t="s">
        <v>59057</v>
      </c>
      <c r="K3059" t="s">
        <v>59058</v>
      </c>
      <c r="L3059" t="s">
        <v>59059</v>
      </c>
      <c r="M3059" t="s">
        <v>59060</v>
      </c>
      <c r="N3059">
        <f>-672.137033180456 -9.74882361457662 -530.007238543247</f>
        <v>-1211.8930953382796</v>
      </c>
      <c r="O3059">
        <f>-667.28505614507 -163.593600422646 -504.616394383326</f>
        <v>-1335.495050951042</v>
      </c>
      <c r="P3059">
        <f>-628.696790641866 -182.35839929026 -225.802111787972</f>
        <v>-1036.8573017200979</v>
      </c>
      <c r="Q3059">
        <f>-450.084881206589 -96.1712001781568 -346.707399797342</f>
        <v>-892.96348118208789</v>
      </c>
      <c r="R3059" t="s">
        <v>59061</v>
      </c>
      <c r="S3059" t="s">
        <v>59062</v>
      </c>
      <c r="T3059" t="s">
        <v>59063</v>
      </c>
      <c r="U3059" t="s">
        <v>59064</v>
      </c>
      <c r="V3059">
        <f>-610.790099483894 -69.8406296771479 -93.7540357008727</f>
        <v>-774.38476486191462</v>
      </c>
      <c r="W3059" t="s">
        <v>59065</v>
      </c>
      <c r="X3059" t="s">
        <v>59066</v>
      </c>
      <c r="Y3059" t="s">
        <v>59067</v>
      </c>
    </row>
    <row r="3060" spans="1:25" x14ac:dyDescent="0.3">
      <c r="A3060">
        <v>152950</v>
      </c>
      <c r="B3060" t="s">
        <v>59068</v>
      </c>
      <c r="C3060" t="s">
        <v>59069</v>
      </c>
      <c r="D3060" t="s">
        <v>59070</v>
      </c>
      <c r="E3060" t="s">
        <v>59071</v>
      </c>
      <c r="F3060" t="s">
        <v>59072</v>
      </c>
      <c r="G3060" t="s">
        <v>59073</v>
      </c>
      <c r="H3060" t="s">
        <v>59074</v>
      </c>
      <c r="I3060" t="s">
        <v>59075</v>
      </c>
      <c r="J3060" t="s">
        <v>59076</v>
      </c>
      <c r="K3060" t="s">
        <v>59077</v>
      </c>
      <c r="L3060" t="s">
        <v>59078</v>
      </c>
      <c r="M3060" t="s">
        <v>59079</v>
      </c>
      <c r="N3060">
        <f>-671.920260539811 -9.76847805569923 -530.09924921361</f>
        <v>-1211.7879878091203</v>
      </c>
      <c r="O3060">
        <f>-667.183270575422 -163.614008343674 -504.672968168576</f>
        <v>-1335.4702470876719</v>
      </c>
      <c r="P3060">
        <f>-628.819591033908 -182.405379025735 -225.829418509661</f>
        <v>-1037.0543885693039</v>
      </c>
      <c r="Q3060">
        <f>-449.829080589314 -96.8937823735305 -346.654590881436</f>
        <v>-893.37745384428047</v>
      </c>
      <c r="R3060" t="s">
        <v>59080</v>
      </c>
      <c r="S3060" t="s">
        <v>59081</v>
      </c>
      <c r="T3060" t="s">
        <v>59082</v>
      </c>
      <c r="U3060" t="s">
        <v>59083</v>
      </c>
      <c r="V3060">
        <f>-610.788350287707 -69.8054390969173 -93.847935763738</f>
        <v>-774.44172514836225</v>
      </c>
      <c r="W3060" t="s">
        <v>59084</v>
      </c>
      <c r="X3060" t="s">
        <v>59085</v>
      </c>
      <c r="Y3060" t="s">
        <v>59086</v>
      </c>
    </row>
    <row r="3061" spans="1:25" x14ac:dyDescent="0.3">
      <c r="A3061">
        <v>153000</v>
      </c>
      <c r="B3061" t="s">
        <v>59087</v>
      </c>
      <c r="C3061" t="s">
        <v>59088</v>
      </c>
      <c r="D3061" t="s">
        <v>59089</v>
      </c>
      <c r="E3061" t="s">
        <v>59090</v>
      </c>
      <c r="F3061" t="s">
        <v>59091</v>
      </c>
      <c r="G3061" t="s">
        <v>59092</v>
      </c>
      <c r="H3061" t="s">
        <v>59093</v>
      </c>
      <c r="I3061" t="s">
        <v>59094</v>
      </c>
      <c r="J3061" t="s">
        <v>59095</v>
      </c>
      <c r="K3061" t="s">
        <v>59096</v>
      </c>
      <c r="L3061" t="s">
        <v>59097</v>
      </c>
      <c r="M3061" t="s">
        <v>59098</v>
      </c>
      <c r="N3061">
        <f>-671.641228713306 -10.0062030088686 -530.188356154396</f>
        <v>-1211.8357878765705</v>
      </c>
      <c r="O3061">
        <f>-667.248694931201 -163.8145464124 -504.498276134087</f>
        <v>-1335.5615174776881</v>
      </c>
      <c r="P3061">
        <f>-629.01620009085 -182.266288165512 -225.614081887123</f>
        <v>-1036.896570143485</v>
      </c>
      <c r="Q3061">
        <f>-449.654540661891 -97.7675942116978 -346.601237543391</f>
        <v>-894.02337241697978</v>
      </c>
      <c r="R3061" t="s">
        <v>59099</v>
      </c>
      <c r="S3061" t="s">
        <v>59100</v>
      </c>
      <c r="T3061" t="s">
        <v>59101</v>
      </c>
      <c r="U3061" t="s">
        <v>59102</v>
      </c>
      <c r="V3061">
        <f>-610.730877102615 -69.8941194037868 -93.955115285491</f>
        <v>-774.58011179189282</v>
      </c>
      <c r="W3061" t="s">
        <v>59103</v>
      </c>
      <c r="X3061" t="s">
        <v>59104</v>
      </c>
      <c r="Y3061" t="s">
        <v>59105</v>
      </c>
    </row>
    <row r="3062" spans="1:25" x14ac:dyDescent="0.3">
      <c r="A3062">
        <v>153050</v>
      </c>
      <c r="B3062" t="s">
        <v>59106</v>
      </c>
      <c r="C3062" t="s">
        <v>59107</v>
      </c>
      <c r="D3062" t="s">
        <v>59108</v>
      </c>
      <c r="E3062" t="s">
        <v>59109</v>
      </c>
      <c r="F3062" t="s">
        <v>59110</v>
      </c>
      <c r="G3062" t="s">
        <v>59111</v>
      </c>
      <c r="H3062" t="s">
        <v>59112</v>
      </c>
      <c r="I3062" t="s">
        <v>59113</v>
      </c>
      <c r="J3062" t="s">
        <v>59114</v>
      </c>
      <c r="K3062" t="s">
        <v>59115</v>
      </c>
      <c r="L3062" t="s">
        <v>59116</v>
      </c>
      <c r="M3062" t="s">
        <v>59117</v>
      </c>
      <c r="N3062">
        <f>-671.639191851475 -10.1722752182441 -530.211863899287</f>
        <v>-1212.0233309690061</v>
      </c>
      <c r="O3062">
        <f>-667.423660946321 -163.966066029851 -504.385464743023</f>
        <v>-1335.7751917191949</v>
      </c>
      <c r="P3062">
        <f>-629.206646155774 -182.224764598612 -225.486381933817</f>
        <v>-1036.917792688203</v>
      </c>
      <c r="Q3062">
        <f>-449.832395002281 -97.9568129295428 -346.615817306946</f>
        <v>-894.40502523876967</v>
      </c>
      <c r="R3062" t="s">
        <v>59118</v>
      </c>
      <c r="S3062" t="s">
        <v>59119</v>
      </c>
      <c r="T3062" t="s">
        <v>59120</v>
      </c>
      <c r="U3062" t="s">
        <v>59121</v>
      </c>
      <c r="V3062">
        <f>-610.731891089643 -69.9496090844002 -93.9958166380497</f>
        <v>-774.67731681209295</v>
      </c>
      <c r="W3062" t="s">
        <v>59122</v>
      </c>
      <c r="X3062" t="s">
        <v>59123</v>
      </c>
      <c r="Y3062" t="s">
        <v>59124</v>
      </c>
    </row>
    <row r="3063" spans="1:25" x14ac:dyDescent="0.3">
      <c r="A3063">
        <v>153100</v>
      </c>
      <c r="B3063" t="s">
        <v>59125</v>
      </c>
      <c r="C3063" t="s">
        <v>59126</v>
      </c>
      <c r="D3063" t="s">
        <v>59127</v>
      </c>
      <c r="E3063" t="s">
        <v>59128</v>
      </c>
      <c r="F3063" t="s">
        <v>59129</v>
      </c>
      <c r="G3063" t="s">
        <v>59130</v>
      </c>
      <c r="H3063" t="s">
        <v>59131</v>
      </c>
      <c r="I3063" t="s">
        <v>59132</v>
      </c>
      <c r="J3063" t="s">
        <v>59133</v>
      </c>
      <c r="K3063" t="s">
        <v>59134</v>
      </c>
      <c r="L3063" t="s">
        <v>59135</v>
      </c>
      <c r="M3063" t="s">
        <v>59136</v>
      </c>
      <c r="N3063">
        <f>-671.652549441298 -10.5068012843121 -530.222535256116</f>
        <v>-1212.3818859817261</v>
      </c>
      <c r="O3063">
        <f>-667.670682608108 -164.263048161631 -504.112147503483</f>
        <v>-1336.0458782732221</v>
      </c>
      <c r="P3063">
        <f>-629.570069769961 -181.770658921309 -225.149137089719</f>
        <v>-1036.489865780989</v>
      </c>
      <c r="Q3063">
        <f>-450.087837763669 -98.0463738424651 -346.495352987323</f>
        <v>-894.62956459345696</v>
      </c>
      <c r="R3063" t="s">
        <v>59137</v>
      </c>
      <c r="S3063" t="s">
        <v>59138</v>
      </c>
      <c r="T3063" t="s">
        <v>59139</v>
      </c>
      <c r="U3063" t="s">
        <v>59140</v>
      </c>
      <c r="V3063">
        <f>-610.800984002399 -69.930803360756 -94.0486596994557</f>
        <v>-774.78044706261073</v>
      </c>
      <c r="W3063" t="s">
        <v>59141</v>
      </c>
      <c r="X3063" t="s">
        <v>59142</v>
      </c>
      <c r="Y3063" t="s">
        <v>59143</v>
      </c>
    </row>
    <row r="3064" spans="1:25" x14ac:dyDescent="0.3">
      <c r="A3064">
        <v>153150</v>
      </c>
      <c r="B3064" t="s">
        <v>59144</v>
      </c>
      <c r="C3064" t="s">
        <v>59145</v>
      </c>
      <c r="D3064" t="s">
        <v>59146</v>
      </c>
      <c r="E3064" t="s">
        <v>59147</v>
      </c>
      <c r="F3064" t="s">
        <v>59148</v>
      </c>
      <c r="G3064" t="s">
        <v>59149</v>
      </c>
      <c r="H3064" t="s">
        <v>59150</v>
      </c>
      <c r="I3064" t="s">
        <v>59151</v>
      </c>
      <c r="J3064" t="s">
        <v>59152</v>
      </c>
      <c r="K3064" t="s">
        <v>59153</v>
      </c>
      <c r="L3064" t="s">
        <v>59154</v>
      </c>
      <c r="M3064" t="s">
        <v>59155</v>
      </c>
      <c r="N3064">
        <f>-671.634841232922 -10.6186965416036 -530.202950509073</f>
        <v>-1212.4564882835987</v>
      </c>
      <c r="O3064">
        <f>-667.729702250107 -164.352229976751 -503.929034869504</f>
        <v>-1336.010967096362</v>
      </c>
      <c r="P3064">
        <f>-629.58220684214 -181.611660331756 -224.956738098785</f>
        <v>-1036.1506052726811</v>
      </c>
      <c r="Q3064">
        <f>-450.160150197327 -98.0371279154613 -346.495129004894</f>
        <v>-894.69240711768236</v>
      </c>
      <c r="R3064" t="s">
        <v>59156</v>
      </c>
      <c r="S3064" t="s">
        <v>59157</v>
      </c>
      <c r="T3064" t="s">
        <v>59158</v>
      </c>
      <c r="U3064" t="s">
        <v>59159</v>
      </c>
      <c r="V3064">
        <f>-610.834342081185 -69.8128486245673 -94.0560550446572</f>
        <v>-774.70324575040956</v>
      </c>
      <c r="W3064" t="s">
        <v>59160</v>
      </c>
      <c r="X3064" t="s">
        <v>59161</v>
      </c>
      <c r="Y3064" t="s">
        <v>59162</v>
      </c>
    </row>
    <row r="3065" spans="1:25" x14ac:dyDescent="0.3">
      <c r="A3065">
        <v>153200</v>
      </c>
      <c r="B3065" t="s">
        <v>59163</v>
      </c>
      <c r="C3065" t="s">
        <v>59164</v>
      </c>
      <c r="D3065" t="s">
        <v>59165</v>
      </c>
      <c r="E3065" t="s">
        <v>59166</v>
      </c>
      <c r="F3065" t="s">
        <v>59167</v>
      </c>
      <c r="G3065" t="s">
        <v>59168</v>
      </c>
      <c r="H3065" t="s">
        <v>59169</v>
      </c>
      <c r="I3065" t="s">
        <v>59170</v>
      </c>
      <c r="J3065" t="s">
        <v>59171</v>
      </c>
      <c r="K3065" t="s">
        <v>59172</v>
      </c>
      <c r="L3065" t="s">
        <v>59173</v>
      </c>
      <c r="M3065" t="s">
        <v>59174</v>
      </c>
      <c r="N3065">
        <f>-671.797756005074 -10.8256597135689 -530.187196008327</f>
        <v>-1212.8106117269699</v>
      </c>
      <c r="O3065">
        <f>-667.928449426386 -164.512511368129 -503.669172126599</f>
        <v>-1336.110132921114</v>
      </c>
      <c r="P3065">
        <f>-629.642316886029 -181.597930754902 -224.705356766468</f>
        <v>-1035.9456044073991</v>
      </c>
      <c r="Q3065">
        <f>-450.442321287341 -98.1978941857894 -346.69039655162</f>
        <v>-895.33061202475039</v>
      </c>
      <c r="R3065" t="s">
        <v>59175</v>
      </c>
      <c r="S3065" t="s">
        <v>59176</v>
      </c>
      <c r="T3065" t="s">
        <v>59177</v>
      </c>
      <c r="U3065" t="s">
        <v>59178</v>
      </c>
      <c r="V3065">
        <f>-610.955498157531 -69.6127488709169 -94.0794321229896</f>
        <v>-774.6476791514375</v>
      </c>
      <c r="W3065" t="s">
        <v>59179</v>
      </c>
      <c r="X3065" t="s">
        <v>59180</v>
      </c>
      <c r="Y3065" t="s">
        <v>59181</v>
      </c>
    </row>
    <row r="3066" spans="1:25" x14ac:dyDescent="0.3">
      <c r="A3066">
        <v>153250</v>
      </c>
      <c r="B3066" t="s">
        <v>59182</v>
      </c>
      <c r="C3066" t="s">
        <v>59183</v>
      </c>
      <c r="D3066" t="s">
        <v>59184</v>
      </c>
      <c r="E3066" t="s">
        <v>59185</v>
      </c>
      <c r="F3066" t="s">
        <v>59186</v>
      </c>
      <c r="G3066" t="s">
        <v>59187</v>
      </c>
      <c r="H3066" t="s">
        <v>59188</v>
      </c>
      <c r="I3066" t="s">
        <v>59189</v>
      </c>
      <c r="J3066" t="s">
        <v>59190</v>
      </c>
      <c r="K3066" t="s">
        <v>59191</v>
      </c>
      <c r="L3066" t="s">
        <v>59192</v>
      </c>
      <c r="M3066" t="s">
        <v>59193</v>
      </c>
      <c r="N3066">
        <f>-671.93831501072 -10.9152154887172 -530.175944115039</f>
        <v>-1213.0294746144762</v>
      </c>
      <c r="O3066">
        <f>-668.004908595498 -164.574357327404 -503.518128904499</f>
        <v>-1336.0973948274009</v>
      </c>
      <c r="P3066">
        <f>-629.595049520564 -181.414926744089 -224.556428046126</f>
        <v>-1035.566404310779</v>
      </c>
      <c r="Q3066">
        <f>-450.513075556779 -98.18872073394 -346.833055020823</f>
        <v>-895.53485131154207</v>
      </c>
      <c r="R3066" t="s">
        <v>59194</v>
      </c>
      <c r="S3066" t="s">
        <v>59195</v>
      </c>
      <c r="T3066" t="s">
        <v>59196</v>
      </c>
      <c r="U3066" t="s">
        <v>59197</v>
      </c>
      <c r="V3066">
        <f>-610.967526006155 -69.4584353480332 -94.0943861836553</f>
        <v>-774.52034753784346</v>
      </c>
      <c r="W3066" t="s">
        <v>59198</v>
      </c>
      <c r="X3066" t="s">
        <v>59199</v>
      </c>
      <c r="Y3066" t="s">
        <v>59200</v>
      </c>
    </row>
    <row r="3067" spans="1:25" x14ac:dyDescent="0.3">
      <c r="A3067">
        <v>153300</v>
      </c>
      <c r="B3067" t="s">
        <v>59201</v>
      </c>
      <c r="C3067" t="s">
        <v>59202</v>
      </c>
      <c r="D3067" t="s">
        <v>59203</v>
      </c>
      <c r="E3067" t="s">
        <v>59204</v>
      </c>
      <c r="F3067" t="s">
        <v>59205</v>
      </c>
      <c r="G3067" t="s">
        <v>59206</v>
      </c>
      <c r="H3067" t="s">
        <v>59207</v>
      </c>
      <c r="I3067" t="s">
        <v>59208</v>
      </c>
      <c r="J3067" t="s">
        <v>59209</v>
      </c>
      <c r="K3067" t="s">
        <v>59210</v>
      </c>
      <c r="L3067" t="s">
        <v>59211</v>
      </c>
      <c r="M3067" t="s">
        <v>59212</v>
      </c>
      <c r="N3067">
        <f>-672.219307448333 -11.14771915397 -530.109377891421</f>
        <v>-1213.476404493724</v>
      </c>
      <c r="O3067">
        <f>-668.01013944284 -164.74636973323 -503.143660193163</f>
        <v>-1335.900169369233</v>
      </c>
      <c r="P3067">
        <f>-629.152230529813 -181.055461448572 -224.212422566389</f>
        <v>-1034.4201145447739</v>
      </c>
      <c r="Q3067">
        <f>-450.75722585294 -97.7800941331714 -347.455912655345</f>
        <v>-895.99323264145642</v>
      </c>
      <c r="R3067" t="s">
        <v>59213</v>
      </c>
      <c r="S3067" t="s">
        <v>59214</v>
      </c>
      <c r="T3067" t="s">
        <v>59215</v>
      </c>
      <c r="U3067" t="s">
        <v>59216</v>
      </c>
      <c r="V3067">
        <f>-610.770650142684 -69.0935064172113 -94.1095633282991</f>
        <v>-773.97371988819441</v>
      </c>
      <c r="W3067" t="s">
        <v>59217</v>
      </c>
      <c r="X3067" t="s">
        <v>59218</v>
      </c>
      <c r="Y3067" t="s">
        <v>59219</v>
      </c>
    </row>
    <row r="3068" spans="1:25" x14ac:dyDescent="0.3">
      <c r="A3068">
        <v>153350</v>
      </c>
      <c r="B3068" t="s">
        <v>59220</v>
      </c>
      <c r="C3068" t="s">
        <v>59221</v>
      </c>
      <c r="D3068" t="s">
        <v>59222</v>
      </c>
      <c r="E3068" t="s">
        <v>59223</v>
      </c>
      <c r="F3068" t="s">
        <v>59224</v>
      </c>
      <c r="G3068" t="s">
        <v>59225</v>
      </c>
      <c r="H3068" t="s">
        <v>59226</v>
      </c>
      <c r="I3068" t="s">
        <v>59227</v>
      </c>
      <c r="J3068" t="s">
        <v>59228</v>
      </c>
      <c r="K3068" t="s">
        <v>59229</v>
      </c>
      <c r="L3068" t="s">
        <v>59230</v>
      </c>
      <c r="M3068" t="s">
        <v>59231</v>
      </c>
      <c r="N3068">
        <f>-672.303179062394 -11.2766992802299 -530.07336413616</f>
        <v>-1213.6532424787838</v>
      </c>
      <c r="O3068">
        <f>-667.972058574629 -164.851676538402 -502.98492854784</f>
        <v>-1335.8086636608709</v>
      </c>
      <c r="P3068">
        <f>-628.879832560293 -181.025105609041 -224.078508111804</f>
        <v>-1033.9834462811382</v>
      </c>
      <c r="Q3068">
        <f>-450.796387574525 -97.7515350309391 -347.773034632812</f>
        <v>-896.32095723827615</v>
      </c>
      <c r="R3068" t="s">
        <v>59232</v>
      </c>
      <c r="S3068" t="s">
        <v>59233</v>
      </c>
      <c r="T3068" t="s">
        <v>59234</v>
      </c>
      <c r="U3068" t="s">
        <v>59235</v>
      </c>
      <c r="V3068">
        <f>-610.635558865842 -68.9578168616583 -94.1112428132453</f>
        <v>-773.70461854074563</v>
      </c>
      <c r="W3068" t="s">
        <v>59236</v>
      </c>
      <c r="X3068" t="s">
        <v>59237</v>
      </c>
      <c r="Y3068" t="s">
        <v>59238</v>
      </c>
    </row>
    <row r="3069" spans="1:25" x14ac:dyDescent="0.3">
      <c r="A3069">
        <v>153400</v>
      </c>
      <c r="B3069" t="s">
        <v>59239</v>
      </c>
      <c r="C3069" t="s">
        <v>59240</v>
      </c>
      <c r="D3069" t="s">
        <v>59241</v>
      </c>
      <c r="E3069" t="s">
        <v>59242</v>
      </c>
      <c r="F3069" t="s">
        <v>59243</v>
      </c>
      <c r="G3069" t="s">
        <v>59244</v>
      </c>
      <c r="H3069" t="s">
        <v>59245</v>
      </c>
      <c r="I3069" t="s">
        <v>59246</v>
      </c>
      <c r="J3069" t="s">
        <v>59247</v>
      </c>
      <c r="K3069" t="s">
        <v>59248</v>
      </c>
      <c r="L3069" t="s">
        <v>59249</v>
      </c>
      <c r="M3069" t="s">
        <v>59250</v>
      </c>
      <c r="N3069">
        <f>-672.526484730471 -11.4421894649186 -529.985158078144</f>
        <v>-1213.9538322735334</v>
      </c>
      <c r="O3069">
        <f>-667.923856226656 -164.983973425213 -502.743663764722</f>
        <v>-1335.6514934165909</v>
      </c>
      <c r="P3069">
        <f>-628.449875382404 -180.973680088845 -223.880359357323</f>
        <v>-1033.303914828572</v>
      </c>
      <c r="Q3069">
        <f>-450.593077438775 -97.7158427714403 -347.911133053721</f>
        <v>-896.22005326393628</v>
      </c>
      <c r="R3069" t="s">
        <v>59251</v>
      </c>
      <c r="S3069" t="s">
        <v>59252</v>
      </c>
      <c r="T3069" t="s">
        <v>59253</v>
      </c>
      <c r="U3069" t="s">
        <v>59254</v>
      </c>
      <c r="V3069">
        <f>-610.374016201911 -68.6627193756938 -94.0880601374331</f>
        <v>-773.12479571503786</v>
      </c>
      <c r="W3069" t="s">
        <v>59255</v>
      </c>
      <c r="X3069" t="s">
        <v>59256</v>
      </c>
      <c r="Y3069" t="s">
        <v>59257</v>
      </c>
    </row>
    <row r="3070" spans="1:25" x14ac:dyDescent="0.3">
      <c r="A3070">
        <v>153450</v>
      </c>
      <c r="B3070" t="s">
        <v>59258</v>
      </c>
      <c r="C3070" t="s">
        <v>59259</v>
      </c>
      <c r="D3070" t="s">
        <v>59260</v>
      </c>
      <c r="E3070" t="s">
        <v>59261</v>
      </c>
      <c r="F3070" t="s">
        <v>59262</v>
      </c>
      <c r="G3070" t="s">
        <v>59263</v>
      </c>
      <c r="H3070" t="s">
        <v>59264</v>
      </c>
      <c r="I3070" t="s">
        <v>59265</v>
      </c>
      <c r="J3070" t="s">
        <v>59266</v>
      </c>
      <c r="K3070" t="s">
        <v>59267</v>
      </c>
      <c r="L3070" t="s">
        <v>59268</v>
      </c>
      <c r="M3070" t="s">
        <v>59269</v>
      </c>
      <c r="N3070">
        <f>-672.715174359057 -11.4437699200362 -529.939672604074</f>
        <v>-1214.0986168831671</v>
      </c>
      <c r="O3070">
        <f>-667.948405266265 -164.969265316244 -502.64236556171</f>
        <v>-1335.5600361442189</v>
      </c>
      <c r="P3070">
        <f>-628.36957095548 -180.870416885976 -223.788796616441</f>
        <v>-1033.028784457897</v>
      </c>
      <c r="Q3070">
        <f>-450.562021882865 -97.6333286611077 -347.904091527</f>
        <v>-896.09944207097271</v>
      </c>
      <c r="R3070" t="s">
        <v>59270</v>
      </c>
      <c r="S3070" t="s">
        <v>59271</v>
      </c>
      <c r="T3070" t="s">
        <v>59272</v>
      </c>
      <c r="U3070" t="s">
        <v>59273</v>
      </c>
      <c r="V3070">
        <f>-610.254761345181 -68.5045928698278 -94.0805704071402</f>
        <v>-772.83992462214894</v>
      </c>
      <c r="W3070" t="s">
        <v>59274</v>
      </c>
      <c r="X3070" t="s">
        <v>59275</v>
      </c>
      <c r="Y3070" t="s">
        <v>59276</v>
      </c>
    </row>
    <row r="3071" spans="1:25" x14ac:dyDescent="0.3">
      <c r="A3071">
        <v>153500</v>
      </c>
      <c r="B3071" t="s">
        <v>59277</v>
      </c>
      <c r="C3071" t="s">
        <v>59278</v>
      </c>
      <c r="D3071" t="s">
        <v>59279</v>
      </c>
      <c r="E3071" t="s">
        <v>59280</v>
      </c>
      <c r="F3071" t="s">
        <v>59281</v>
      </c>
      <c r="G3071" t="s">
        <v>59282</v>
      </c>
      <c r="H3071" t="s">
        <v>59283</v>
      </c>
      <c r="I3071" t="s">
        <v>59284</v>
      </c>
      <c r="J3071" t="s">
        <v>59285</v>
      </c>
      <c r="K3071" t="s">
        <v>59286</v>
      </c>
      <c r="L3071" t="s">
        <v>59287</v>
      </c>
      <c r="M3071" t="s">
        <v>59288</v>
      </c>
      <c r="N3071">
        <f>-673.047670847596 -11.5380159942533 -529.897407569563</f>
        <v>-1214.4830944114124</v>
      </c>
      <c r="O3071">
        <f>-668.082416964934 -165.035255466852 -502.490920679006</f>
        <v>-1335.6085931107921</v>
      </c>
      <c r="P3071">
        <f>-628.252601670242 -180.630219516497 -223.65591778578</f>
        <v>-1032.538738972519</v>
      </c>
      <c r="Q3071">
        <f>-450.479050778519 -97.2423417564262 -347.718602118071</f>
        <v>-895.43999465301624</v>
      </c>
      <c r="R3071" t="s">
        <v>59289</v>
      </c>
      <c r="S3071" t="s">
        <v>59290</v>
      </c>
      <c r="T3071" t="s">
        <v>59291</v>
      </c>
      <c r="U3071" t="s">
        <v>59292</v>
      </c>
      <c r="V3071">
        <f>-610.252467256661 -68.3452434815447 -94.0891835222956</f>
        <v>-772.68689426050128</v>
      </c>
      <c r="W3071" t="s">
        <v>59293</v>
      </c>
      <c r="X3071" t="s">
        <v>59294</v>
      </c>
      <c r="Y3071" t="s">
        <v>59295</v>
      </c>
    </row>
    <row r="3072" spans="1:25" x14ac:dyDescent="0.3">
      <c r="A3072">
        <v>153550</v>
      </c>
      <c r="B3072" t="s">
        <v>59296</v>
      </c>
      <c r="C3072" t="s">
        <v>59297</v>
      </c>
      <c r="D3072" t="s">
        <v>59298</v>
      </c>
      <c r="E3072" t="s">
        <v>59299</v>
      </c>
      <c r="F3072" t="s">
        <v>59300</v>
      </c>
      <c r="G3072" t="s">
        <v>59301</v>
      </c>
      <c r="H3072" t="s">
        <v>59302</v>
      </c>
      <c r="I3072" t="s">
        <v>59303</v>
      </c>
      <c r="J3072" t="s">
        <v>59304</v>
      </c>
      <c r="K3072" t="s">
        <v>59305</v>
      </c>
      <c r="L3072" t="s">
        <v>59306</v>
      </c>
      <c r="M3072" t="s">
        <v>59307</v>
      </c>
      <c r="N3072">
        <f>-673.283985872216 -11.6191349788137 -529.88106078584</f>
        <v>-1214.7841816368696</v>
      </c>
      <c r="O3072">
        <f>-668.278011796504 -165.111726648375 -502.460471034498</f>
        <v>-1335.8502094793771</v>
      </c>
      <c r="P3072">
        <f>-628.206128132425 -180.900796544403 -223.670974014452</f>
        <v>-1032.7778986912799</v>
      </c>
      <c r="Q3072">
        <f>-450.566497706872 -96.9944671861188 -347.575957729178</f>
        <v>-895.13692262216887</v>
      </c>
      <c r="R3072" t="s">
        <v>59308</v>
      </c>
      <c r="S3072" t="s">
        <v>59309</v>
      </c>
      <c r="T3072" t="s">
        <v>59310</v>
      </c>
      <c r="U3072" t="s">
        <v>59311</v>
      </c>
      <c r="V3072">
        <f>-610.364040097925 -68.2927111573731 -94.096463994536</f>
        <v>-772.75321524983406</v>
      </c>
      <c r="W3072" t="s">
        <v>59312</v>
      </c>
      <c r="X3072" t="s">
        <v>59313</v>
      </c>
      <c r="Y3072" t="s">
        <v>59314</v>
      </c>
    </row>
    <row r="3073" spans="1:25" x14ac:dyDescent="0.3">
      <c r="A3073">
        <v>153600</v>
      </c>
      <c r="B3073" t="s">
        <v>59315</v>
      </c>
      <c r="C3073" t="s">
        <v>59316</v>
      </c>
      <c r="D3073" t="s">
        <v>59317</v>
      </c>
      <c r="E3073" t="s">
        <v>59318</v>
      </c>
      <c r="F3073" t="s">
        <v>59319</v>
      </c>
      <c r="G3073" t="s">
        <v>59320</v>
      </c>
      <c r="H3073" t="s">
        <v>59321</v>
      </c>
      <c r="I3073" t="s">
        <v>59322</v>
      </c>
      <c r="J3073" t="s">
        <v>59323</v>
      </c>
      <c r="K3073" t="s">
        <v>59324</v>
      </c>
      <c r="L3073" t="s">
        <v>59325</v>
      </c>
      <c r="M3073" t="s">
        <v>59326</v>
      </c>
      <c r="N3073">
        <f>-673.880419591081 -11.7303135209204 -529.869968278752</f>
        <v>-1215.4807013907534</v>
      </c>
      <c r="O3073">
        <f>-668.770829705839 -165.230355779113 -502.476642561214</f>
        <v>-1336.477828046166</v>
      </c>
      <c r="P3073">
        <f>-628.526429324084 -181.158055631433 -223.719846004869</f>
        <v>-1033.404330960386</v>
      </c>
      <c r="Q3073">
        <f>-451.172782384258 -96.3069134202199 -347.390851409991</f>
        <v>-894.87054721446896</v>
      </c>
      <c r="R3073" t="s">
        <v>59327</v>
      </c>
      <c r="S3073" t="s">
        <v>59328</v>
      </c>
      <c r="T3073" t="s">
        <v>59329</v>
      </c>
      <c r="U3073" t="s">
        <v>59330</v>
      </c>
      <c r="V3073">
        <f>-610.703812467347 -68.31571555047 -94.1143919361306</f>
        <v>-773.13391995394761</v>
      </c>
      <c r="W3073" t="s">
        <v>59331</v>
      </c>
      <c r="X3073" t="s">
        <v>59332</v>
      </c>
      <c r="Y3073" t="s">
        <v>59333</v>
      </c>
    </row>
    <row r="3074" spans="1:25" x14ac:dyDescent="0.3">
      <c r="A3074">
        <v>153650</v>
      </c>
      <c r="B3074" t="s">
        <v>59334</v>
      </c>
      <c r="C3074" t="s">
        <v>59335</v>
      </c>
      <c r="D3074" t="s">
        <v>59336</v>
      </c>
      <c r="E3074" t="s">
        <v>59337</v>
      </c>
      <c r="F3074" t="s">
        <v>59338</v>
      </c>
      <c r="G3074" t="s">
        <v>59339</v>
      </c>
      <c r="H3074" t="s">
        <v>59340</v>
      </c>
      <c r="I3074" t="s">
        <v>59341</v>
      </c>
      <c r="J3074" t="s">
        <v>59342</v>
      </c>
      <c r="K3074" t="s">
        <v>59343</v>
      </c>
      <c r="L3074" t="s">
        <v>59344</v>
      </c>
      <c r="M3074" t="s">
        <v>59345</v>
      </c>
      <c r="N3074">
        <f>-674.094839898885 -11.7902603155244 -529.894001381389</f>
        <v>-1215.7791015957982</v>
      </c>
      <c r="O3074">
        <f>-669.037825552109 -165.2835233527 -502.484464482094</f>
        <v>-1336.8058133869029</v>
      </c>
      <c r="P3074">
        <f>-628.779386360349 -181.059909971651 -223.721222605442</f>
        <v>-1033.5605189374419</v>
      </c>
      <c r="Q3074">
        <f>-451.361118748078 -96.2012551239891 -347.29423650435</f>
        <v>-894.85661037641717</v>
      </c>
      <c r="R3074" t="s">
        <v>59346</v>
      </c>
      <c r="S3074" t="s">
        <v>59347</v>
      </c>
      <c r="T3074" t="s">
        <v>59348</v>
      </c>
      <c r="U3074" t="s">
        <v>59349</v>
      </c>
      <c r="V3074">
        <f>-610.88231191845 -68.3813460314809 -94.1325771251226</f>
        <v>-773.39623507505348</v>
      </c>
      <c r="W3074" t="s">
        <v>59350</v>
      </c>
      <c r="X3074" t="s">
        <v>59351</v>
      </c>
      <c r="Y3074" t="s">
        <v>59352</v>
      </c>
    </row>
    <row r="3075" spans="1:25" x14ac:dyDescent="0.3">
      <c r="A3075">
        <v>153700</v>
      </c>
      <c r="B3075" t="s">
        <v>59353</v>
      </c>
      <c r="C3075" t="s">
        <v>59354</v>
      </c>
      <c r="D3075" t="s">
        <v>59355</v>
      </c>
      <c r="E3075" t="s">
        <v>59356</v>
      </c>
      <c r="F3075" t="s">
        <v>59357</v>
      </c>
      <c r="G3075" t="s">
        <v>59358</v>
      </c>
      <c r="H3075" t="s">
        <v>59359</v>
      </c>
      <c r="I3075" t="s">
        <v>59360</v>
      </c>
      <c r="J3075" t="s">
        <v>59361</v>
      </c>
      <c r="K3075" t="s">
        <v>59362</v>
      </c>
      <c r="L3075" t="s">
        <v>59363</v>
      </c>
      <c r="M3075" t="s">
        <v>59364</v>
      </c>
      <c r="N3075">
        <f>-674.184303626464 -11.8561066959626 -529.983347334107</f>
        <v>-1216.0237576565337</v>
      </c>
      <c r="O3075">
        <f>-669.223850537884 -165.360618757402 -502.614391311247</f>
        <v>-1337.1988606065329</v>
      </c>
      <c r="P3075">
        <f>-629.075941941791 -181.174080082997 -223.837340740613</f>
        <v>-1034.0873627654009</v>
      </c>
      <c r="Q3075">
        <f>-451.150684346238 -96.4837711313889 -346.795338368411</f>
        <v>-894.42979384603791</v>
      </c>
      <c r="R3075" t="s">
        <v>59365</v>
      </c>
      <c r="S3075" t="s">
        <v>59366</v>
      </c>
      <c r="T3075" t="s">
        <v>59367</v>
      </c>
      <c r="U3075" t="s">
        <v>59368</v>
      </c>
      <c r="V3075">
        <f>-611.291696701762 -68.4168439654572 -94.1813063697413</f>
        <v>-773.88984703696053</v>
      </c>
      <c r="W3075" t="s">
        <v>59369</v>
      </c>
      <c r="X3075" t="s">
        <v>59370</v>
      </c>
      <c r="Y3075" t="s">
        <v>59371</v>
      </c>
    </row>
    <row r="3076" spans="1:25" x14ac:dyDescent="0.3">
      <c r="A3076">
        <v>153750</v>
      </c>
      <c r="B3076" t="s">
        <v>59372</v>
      </c>
      <c r="C3076" t="s">
        <v>59373</v>
      </c>
      <c r="D3076" t="s">
        <v>59374</v>
      </c>
      <c r="E3076" t="s">
        <v>59375</v>
      </c>
      <c r="F3076" t="s">
        <v>59376</v>
      </c>
      <c r="G3076" t="s">
        <v>59377</v>
      </c>
      <c r="H3076" t="s">
        <v>59378</v>
      </c>
      <c r="I3076" t="s">
        <v>59379</v>
      </c>
      <c r="J3076" t="s">
        <v>59380</v>
      </c>
      <c r="K3076" t="s">
        <v>59381</v>
      </c>
      <c r="L3076" t="s">
        <v>59382</v>
      </c>
      <c r="M3076" t="s">
        <v>59383</v>
      </c>
      <c r="N3076">
        <f>-674.20352483677 -11.8913778431418 -530.007228331967</f>
        <v>-1216.1021310118788</v>
      </c>
      <c r="O3076">
        <f>-669.282582937207 -165.406565721657 -502.669009077146</f>
        <v>-1337.3581577360101</v>
      </c>
      <c r="P3076">
        <f>-629.215552395678 -181.419006910628 -223.891727940319</f>
        <v>-1034.5262872466249</v>
      </c>
      <c r="Q3076">
        <f>-450.988927470863 -96.6560259515716 -346.362187052063</f>
        <v>-894.00714047449765</v>
      </c>
      <c r="R3076" t="s">
        <v>59384</v>
      </c>
      <c r="S3076" t="s">
        <v>59385</v>
      </c>
      <c r="T3076" t="s">
        <v>59386</v>
      </c>
      <c r="U3076" t="s">
        <v>59387</v>
      </c>
      <c r="V3076">
        <f>-611.423705330848 -68.4544394591737 -94.1999677417247</f>
        <v>-774.07811253174634</v>
      </c>
      <c r="W3076" t="s">
        <v>59388</v>
      </c>
      <c r="X3076" t="s">
        <v>59389</v>
      </c>
      <c r="Y3076" t="s">
        <v>59390</v>
      </c>
    </row>
    <row r="3077" spans="1:25" x14ac:dyDescent="0.3">
      <c r="A3077">
        <v>153800</v>
      </c>
      <c r="B3077" t="s">
        <v>59391</v>
      </c>
      <c r="C3077" t="s">
        <v>59392</v>
      </c>
      <c r="D3077" t="s">
        <v>59393</v>
      </c>
      <c r="E3077" t="s">
        <v>59394</v>
      </c>
      <c r="F3077" t="s">
        <v>59395</v>
      </c>
      <c r="G3077" t="s">
        <v>59396</v>
      </c>
      <c r="H3077" t="s">
        <v>59397</v>
      </c>
      <c r="I3077" t="s">
        <v>59398</v>
      </c>
      <c r="J3077" t="s">
        <v>59399</v>
      </c>
      <c r="K3077" t="s">
        <v>59400</v>
      </c>
      <c r="L3077" t="s">
        <v>59401</v>
      </c>
      <c r="M3077" t="s">
        <v>59402</v>
      </c>
      <c r="N3077">
        <f>-674.242626885879 -11.7914328666782 -530.05766307498</f>
        <v>-1216.0917228275371</v>
      </c>
      <c r="O3077">
        <f>-669.396784157881 -165.323297022757 -502.82197708564</f>
        <v>-1337.5420582662782</v>
      </c>
      <c r="P3077">
        <f>-629.626159413617 -181.480899288409 -224.010513021473</f>
        <v>-1035.1175717234989</v>
      </c>
      <c r="Q3077">
        <f>-450.806978762008 -96.7737246039208 -345.653233169361</f>
        <v>-893.23393653528979</v>
      </c>
      <c r="R3077" t="s">
        <v>59403</v>
      </c>
      <c r="S3077" t="s">
        <v>59404</v>
      </c>
      <c r="T3077" t="s">
        <v>59405</v>
      </c>
      <c r="U3077" t="s">
        <v>59406</v>
      </c>
      <c r="V3077">
        <f>-611.535249237999 -68.509953144883 -94.2233663915172</f>
        <v>-774.26856877439911</v>
      </c>
      <c r="W3077" t="s">
        <v>59407</v>
      </c>
      <c r="X3077" t="s">
        <v>59408</v>
      </c>
      <c r="Y3077" t="s">
        <v>59409</v>
      </c>
    </row>
    <row r="3078" spans="1:25" x14ac:dyDescent="0.3">
      <c r="A3078">
        <v>153850</v>
      </c>
      <c r="B3078" t="s">
        <v>59410</v>
      </c>
      <c r="C3078" t="s">
        <v>59411</v>
      </c>
      <c r="D3078" t="s">
        <v>59412</v>
      </c>
      <c r="E3078" t="s">
        <v>59413</v>
      </c>
      <c r="F3078" t="s">
        <v>59414</v>
      </c>
      <c r="G3078" t="s">
        <v>59415</v>
      </c>
      <c r="H3078" t="s">
        <v>59416</v>
      </c>
      <c r="I3078" t="s">
        <v>59417</v>
      </c>
      <c r="J3078" t="s">
        <v>59418</v>
      </c>
      <c r="K3078" t="s">
        <v>59419</v>
      </c>
      <c r="L3078" t="s">
        <v>59420</v>
      </c>
      <c r="M3078" t="s">
        <v>59421</v>
      </c>
      <c r="N3078">
        <f>-674.360923622581 -11.7394801864953 -530.072758403756</f>
        <v>-1216.1731622128323</v>
      </c>
      <c r="O3078">
        <f>-669.547368503564 -165.277618549741 -502.866702871336</f>
        <v>-1337.691689924641</v>
      </c>
      <c r="P3078">
        <f>-629.904633796346 -181.388869056307 -224.034429655335</f>
        <v>-1035.3279325079882</v>
      </c>
      <c r="Q3078">
        <f>-450.817265971919 -96.9267249948189 -345.452671328243</f>
        <v>-893.19666229498091</v>
      </c>
      <c r="R3078" t="s">
        <v>59422</v>
      </c>
      <c r="S3078" t="s">
        <v>59423</v>
      </c>
      <c r="T3078" t="s">
        <v>59424</v>
      </c>
      <c r="U3078" t="s">
        <v>59425</v>
      </c>
      <c r="V3078">
        <f>-611.581960257134 -68.5040843679656 -94.2385551907551</f>
        <v>-774.32459981585464</v>
      </c>
      <c r="W3078" t="s">
        <v>59426</v>
      </c>
      <c r="X3078" t="s">
        <v>59427</v>
      </c>
      <c r="Y3078" t="s">
        <v>59428</v>
      </c>
    </row>
    <row r="3079" spans="1:25" x14ac:dyDescent="0.3">
      <c r="A3079">
        <v>153900</v>
      </c>
      <c r="B3079" t="s">
        <v>59429</v>
      </c>
      <c r="C3079" t="s">
        <v>59430</v>
      </c>
      <c r="D3079" t="s">
        <v>59431</v>
      </c>
      <c r="E3079" t="s">
        <v>59432</v>
      </c>
      <c r="F3079" t="s">
        <v>59433</v>
      </c>
      <c r="G3079" t="s">
        <v>59434</v>
      </c>
      <c r="H3079" t="s">
        <v>59435</v>
      </c>
      <c r="I3079" t="s">
        <v>59436</v>
      </c>
      <c r="J3079" t="s">
        <v>59437</v>
      </c>
      <c r="K3079" t="s">
        <v>59438</v>
      </c>
      <c r="L3079" t="s">
        <v>59439</v>
      </c>
      <c r="M3079" t="s">
        <v>59440</v>
      </c>
      <c r="N3079">
        <f>-674.803157786449 -11.7254862003497 -530.046162241481</f>
        <v>-1216.5748062282796</v>
      </c>
      <c r="O3079">
        <f>-670.082249602086 -165.273318157861 -502.868644217242</f>
        <v>-1338.224211977189</v>
      </c>
      <c r="P3079">
        <f>-630.416399963474 -181.533660006712 -224.048200784833</f>
        <v>-1035.9982607550189</v>
      </c>
      <c r="Q3079">
        <f>-451.294206719732 -97.081125800835 -345.421606811811</f>
        <v>-893.79693933237797</v>
      </c>
      <c r="R3079" t="s">
        <v>59441</v>
      </c>
      <c r="S3079" t="s">
        <v>59442</v>
      </c>
      <c r="T3079" t="s">
        <v>59443</v>
      </c>
      <c r="U3079" t="s">
        <v>59444</v>
      </c>
      <c r="V3079">
        <f>-611.753373478637 -68.5674886426914 -94.2534379925828</f>
        <v>-774.57430011391114</v>
      </c>
      <c r="W3079" t="s">
        <v>59445</v>
      </c>
      <c r="X3079" t="s">
        <v>59446</v>
      </c>
      <c r="Y3079" t="s">
        <v>59447</v>
      </c>
    </row>
    <row r="3080" spans="1:25" x14ac:dyDescent="0.3">
      <c r="A3080">
        <v>153950</v>
      </c>
      <c r="B3080" t="s">
        <v>59448</v>
      </c>
      <c r="C3080" t="s">
        <v>59449</v>
      </c>
      <c r="D3080" t="s">
        <v>59450</v>
      </c>
      <c r="E3080" t="s">
        <v>59451</v>
      </c>
      <c r="F3080" t="s">
        <v>59452</v>
      </c>
      <c r="G3080" t="s">
        <v>59453</v>
      </c>
      <c r="H3080" t="s">
        <v>59454</v>
      </c>
      <c r="I3080" t="s">
        <v>59455</v>
      </c>
      <c r="J3080" t="s">
        <v>59456</v>
      </c>
      <c r="K3080" t="s">
        <v>59457</v>
      </c>
      <c r="L3080" t="s">
        <v>59458</v>
      </c>
      <c r="M3080" t="s">
        <v>59459</v>
      </c>
      <c r="N3080">
        <f>-675.034751131607 -11.7847612886371 -530.024404644671</f>
        <v>-1216.8439170649151</v>
      </c>
      <c r="O3080">
        <f>-670.370491060103 -165.334384219296 -502.840709314006</f>
        <v>-1338.545584593405</v>
      </c>
      <c r="P3080">
        <f>-630.577442551728 -181.618797903853 -224.039762067012</f>
        <v>-1036.236002522593</v>
      </c>
      <c r="Q3080">
        <f>-451.608346209688 -97.0515394785909 -345.559191469376</f>
        <v>-894.21907715765497</v>
      </c>
      <c r="R3080" t="s">
        <v>59460</v>
      </c>
      <c r="S3080" t="s">
        <v>59461</v>
      </c>
      <c r="T3080" t="s">
        <v>59462</v>
      </c>
      <c r="U3080" t="s">
        <v>59463</v>
      </c>
      <c r="V3080">
        <f>-611.858106087543 -68.6431648523678 -94.2568501771705</f>
        <v>-774.75812111708126</v>
      </c>
      <c r="W3080" t="s">
        <v>59464</v>
      </c>
      <c r="X3080" t="s">
        <v>59465</v>
      </c>
      <c r="Y3080" t="s">
        <v>59466</v>
      </c>
    </row>
    <row r="3081" spans="1:25" x14ac:dyDescent="0.3">
      <c r="A3081">
        <v>154000</v>
      </c>
      <c r="B3081" t="s">
        <v>59467</v>
      </c>
      <c r="C3081" t="s">
        <v>59468</v>
      </c>
      <c r="D3081" t="s">
        <v>59469</v>
      </c>
      <c r="E3081" t="s">
        <v>59470</v>
      </c>
      <c r="F3081" t="s">
        <v>59471</v>
      </c>
      <c r="G3081" t="s">
        <v>59472</v>
      </c>
      <c r="H3081" t="s">
        <v>59473</v>
      </c>
      <c r="I3081" t="s">
        <v>59474</v>
      </c>
      <c r="J3081" t="s">
        <v>59475</v>
      </c>
      <c r="K3081" t="s">
        <v>59476</v>
      </c>
      <c r="L3081" t="s">
        <v>59477</v>
      </c>
      <c r="M3081" t="s">
        <v>59478</v>
      </c>
      <c r="N3081">
        <f>-675.449865963344 -12.026870701726 -529.973199427185</f>
        <v>-1217.449936092255</v>
      </c>
      <c r="O3081">
        <f>-670.858933605871 -165.568479245761 -502.73802066747</f>
        <v>-1339.165433519102</v>
      </c>
      <c r="P3081">
        <f>-630.903904184121 -181.802191038904 -223.95741110739</f>
        <v>-1036.663506330415</v>
      </c>
      <c r="Q3081">
        <f>-452.032593898692 -97.2886522554763 -345.658071931626</f>
        <v>-894.97931808579438</v>
      </c>
      <c r="R3081" t="s">
        <v>59479</v>
      </c>
      <c r="S3081" t="s">
        <v>59480</v>
      </c>
      <c r="T3081" t="s">
        <v>59481</v>
      </c>
      <c r="U3081" t="s">
        <v>59482</v>
      </c>
      <c r="V3081">
        <f>-612.025420744705 -68.7806843642929 -94.255282956375</f>
        <v>-775.06138806537297</v>
      </c>
      <c r="W3081" t="s">
        <v>59483</v>
      </c>
      <c r="X3081" t="s">
        <v>59484</v>
      </c>
      <c r="Y3081" t="s">
        <v>59485</v>
      </c>
    </row>
    <row r="3082" spans="1:25" x14ac:dyDescent="0.3">
      <c r="A3082">
        <v>154050</v>
      </c>
      <c r="B3082" t="s">
        <v>59486</v>
      </c>
      <c r="C3082" t="s">
        <v>59487</v>
      </c>
      <c r="D3082" t="s">
        <v>59488</v>
      </c>
      <c r="E3082" t="s">
        <v>59489</v>
      </c>
      <c r="F3082" t="s">
        <v>59490</v>
      </c>
      <c r="G3082" t="s">
        <v>59491</v>
      </c>
      <c r="H3082" t="s">
        <v>59492</v>
      </c>
      <c r="I3082" t="s">
        <v>59493</v>
      </c>
      <c r="J3082" t="s">
        <v>59494</v>
      </c>
      <c r="K3082" t="s">
        <v>59495</v>
      </c>
      <c r="L3082" t="s">
        <v>59496</v>
      </c>
      <c r="M3082" t="s">
        <v>59497</v>
      </c>
      <c r="N3082">
        <f>-675.647242574717 -12.1376305094102 -529.933175599612</f>
        <v>-1217.7180486837392</v>
      </c>
      <c r="O3082">
        <f>-671.013647074463 -165.672469297015 -502.668618846126</f>
        <v>-1339.354735217604</v>
      </c>
      <c r="P3082">
        <f>-631.218053845283 -181.924478712544 -223.866352316789</f>
        <v>-1037.0088848746159</v>
      </c>
      <c r="Q3082">
        <f>-452.279541527042 -97.5963356618036 -345.596969072669</f>
        <v>-895.47284626151463</v>
      </c>
      <c r="R3082" t="s">
        <v>59498</v>
      </c>
      <c r="S3082" t="s">
        <v>59499</v>
      </c>
      <c r="T3082" t="s">
        <v>59500</v>
      </c>
      <c r="U3082" t="s">
        <v>59501</v>
      </c>
      <c r="V3082">
        <f>-612.129919858987 -68.8246043573365 -94.2333317711114</f>
        <v>-775.18785598743489</v>
      </c>
      <c r="W3082" t="s">
        <v>59502</v>
      </c>
      <c r="X3082" t="s">
        <v>59503</v>
      </c>
      <c r="Y3082" t="s">
        <v>59504</v>
      </c>
    </row>
    <row r="3083" spans="1:25" x14ac:dyDescent="0.3">
      <c r="A3083">
        <v>154100</v>
      </c>
      <c r="B3083" t="s">
        <v>59505</v>
      </c>
      <c r="C3083" t="s">
        <v>59506</v>
      </c>
      <c r="D3083" t="s">
        <v>59507</v>
      </c>
      <c r="E3083" t="s">
        <v>59508</v>
      </c>
      <c r="F3083" t="s">
        <v>59509</v>
      </c>
      <c r="G3083" t="s">
        <v>59510</v>
      </c>
      <c r="H3083" t="s">
        <v>59511</v>
      </c>
      <c r="I3083" t="s">
        <v>59512</v>
      </c>
      <c r="J3083" t="s">
        <v>59513</v>
      </c>
      <c r="K3083" t="s">
        <v>59514</v>
      </c>
      <c r="L3083" t="s">
        <v>59515</v>
      </c>
      <c r="M3083" t="s">
        <v>59516</v>
      </c>
      <c r="N3083">
        <f>-675.859615052398 -12.2552108726672 -529.934613774343</f>
        <v>-1218.0494396994081</v>
      </c>
      <c r="O3083">
        <f>-671.080032909648 -165.785500161449 -502.62981782803</f>
        <v>-1339.4953508991271</v>
      </c>
      <c r="P3083">
        <f>-632.135044554491 -182.033224755425 -223.707153057729</f>
        <v>-1037.8754223676451</v>
      </c>
      <c r="Q3083">
        <f>-453.445104076976 -97.9827620310575 -345.993380045333</f>
        <v>-897.42124615336661</v>
      </c>
      <c r="R3083" t="s">
        <v>59517</v>
      </c>
      <c r="S3083" t="s">
        <v>59518</v>
      </c>
      <c r="T3083" t="s">
        <v>59519</v>
      </c>
      <c r="U3083" t="s">
        <v>59520</v>
      </c>
      <c r="V3083">
        <f>-612.357668625368 -68.6350610493489 -94.2232197807512</f>
        <v>-775.21594945546804</v>
      </c>
      <c r="W3083" t="s">
        <v>59521</v>
      </c>
      <c r="X3083" t="s">
        <v>59522</v>
      </c>
      <c r="Y3083" t="s">
        <v>59523</v>
      </c>
    </row>
    <row r="3084" spans="1:25" x14ac:dyDescent="0.3">
      <c r="A3084">
        <v>154150</v>
      </c>
      <c r="B3084" t="s">
        <v>59524</v>
      </c>
      <c r="C3084" t="s">
        <v>59525</v>
      </c>
      <c r="D3084" t="s">
        <v>59526</v>
      </c>
      <c r="E3084" t="s">
        <v>59527</v>
      </c>
      <c r="F3084" t="s">
        <v>59528</v>
      </c>
      <c r="G3084" t="s">
        <v>59529</v>
      </c>
      <c r="H3084" t="s">
        <v>59530</v>
      </c>
      <c r="I3084" t="s">
        <v>59531</v>
      </c>
      <c r="J3084" t="s">
        <v>59532</v>
      </c>
      <c r="K3084" t="s">
        <v>59533</v>
      </c>
      <c r="L3084" t="s">
        <v>59534</v>
      </c>
      <c r="M3084" t="s">
        <v>59535</v>
      </c>
      <c r="N3084">
        <f>-675.792180339756 -12.2808637701155 -529.950028156286</f>
        <v>-1218.0230722661574</v>
      </c>
      <c r="O3084">
        <f>-670.970417585189 -165.80063548462 -502.614707036284</f>
        <v>-1339.3857601060931</v>
      </c>
      <c r="P3084">
        <f>-632.627167127169 -182.014804624192 -223.606590476717</f>
        <v>-1038.2485622280781</v>
      </c>
      <c r="Q3084">
        <f>-454.146944430262 -98.0355137275808 -346.247851797803</f>
        <v>-898.43030995564573</v>
      </c>
      <c r="R3084" t="s">
        <v>59536</v>
      </c>
      <c r="S3084" t="s">
        <v>59537</v>
      </c>
      <c r="T3084" t="s">
        <v>59538</v>
      </c>
      <c r="U3084" t="s">
        <v>59539</v>
      </c>
      <c r="V3084">
        <f>-612.365132116087 -68.4814753872636 -94.2276858018766</f>
        <v>-775.07429330522723</v>
      </c>
      <c r="W3084" t="s">
        <v>59540</v>
      </c>
      <c r="X3084" t="s">
        <v>59541</v>
      </c>
      <c r="Y3084" t="s">
        <v>59542</v>
      </c>
    </row>
    <row r="3085" spans="1:25" x14ac:dyDescent="0.3">
      <c r="A3085">
        <v>154200</v>
      </c>
      <c r="B3085" t="s">
        <v>59543</v>
      </c>
      <c r="C3085" t="s">
        <v>59544</v>
      </c>
      <c r="D3085" t="s">
        <v>59545</v>
      </c>
      <c r="E3085" t="s">
        <v>59546</v>
      </c>
      <c r="F3085" t="s">
        <v>59547</v>
      </c>
      <c r="G3085" t="s">
        <v>59548</v>
      </c>
      <c r="H3085" t="s">
        <v>59549</v>
      </c>
      <c r="I3085" t="s">
        <v>59550</v>
      </c>
      <c r="J3085" t="s">
        <v>59551</v>
      </c>
      <c r="K3085" t="s">
        <v>59552</v>
      </c>
      <c r="L3085" t="s">
        <v>59553</v>
      </c>
      <c r="M3085" t="s">
        <v>59554</v>
      </c>
      <c r="N3085">
        <f>-675.675295257439 -12.4777551540114 -530.009907712614</f>
        <v>-1218.1629581240645</v>
      </c>
      <c r="O3085">
        <f>-670.822226981414 -165.978205714702 -502.581950483532</f>
        <v>-1339.3823831796481</v>
      </c>
      <c r="P3085">
        <f>-633.146882082618 -182.485313190318 -223.500092247814</f>
        <v>-1039.1322875207502</v>
      </c>
      <c r="Q3085">
        <f>-455.127413465645 -97.9922804975588 -346.457665524026</f>
        <v>-899.57735948722984</v>
      </c>
      <c r="R3085" t="s">
        <v>59555</v>
      </c>
      <c r="S3085" t="s">
        <v>59556</v>
      </c>
      <c r="T3085" t="s">
        <v>59557</v>
      </c>
      <c r="U3085" t="s">
        <v>59558</v>
      </c>
      <c r="V3085">
        <f>-612.459198517495 -68.385403919732 -94.2699352448157</f>
        <v>-775.11453768204262</v>
      </c>
      <c r="W3085" t="s">
        <v>59559</v>
      </c>
      <c r="X3085" t="s">
        <v>59560</v>
      </c>
      <c r="Y3085" t="s">
        <v>59561</v>
      </c>
    </row>
    <row r="3086" spans="1:25" x14ac:dyDescent="0.3">
      <c r="A3086">
        <v>154250</v>
      </c>
      <c r="B3086" t="s">
        <v>59562</v>
      </c>
      <c r="C3086" t="s">
        <v>59563</v>
      </c>
      <c r="D3086" t="s">
        <v>59564</v>
      </c>
      <c r="E3086" t="s">
        <v>59565</v>
      </c>
      <c r="F3086" t="s">
        <v>59566</v>
      </c>
      <c r="G3086" t="s">
        <v>59567</v>
      </c>
      <c r="H3086" t="s">
        <v>59568</v>
      </c>
      <c r="I3086" t="s">
        <v>59569</v>
      </c>
      <c r="J3086" t="s">
        <v>59570</v>
      </c>
      <c r="K3086" t="s">
        <v>59571</v>
      </c>
      <c r="L3086" t="s">
        <v>59572</v>
      </c>
      <c r="M3086" t="s">
        <v>59573</v>
      </c>
      <c r="N3086">
        <f>-675.669875686759 -12.5841967507818 -530.033034473946</f>
        <v>-1218.2871069114867</v>
      </c>
      <c r="O3086">
        <f>-670.796828346109 -166.072253095719 -502.558793824517</f>
        <v>-1339.4278752663449</v>
      </c>
      <c r="P3086">
        <f>-633.110975621282 -182.6296031963 -223.481330014835</f>
        <v>-1039.2219088324171</v>
      </c>
      <c r="Q3086">
        <f>-455.586263833448 -97.0856757532542 -346.427476572222</f>
        <v>-899.09941615892421</v>
      </c>
      <c r="R3086" t="s">
        <v>59574</v>
      </c>
      <c r="S3086" t="s">
        <v>59575</v>
      </c>
      <c r="T3086" t="s">
        <v>59576</v>
      </c>
      <c r="U3086" t="s">
        <v>59577</v>
      </c>
      <c r="V3086">
        <f>-612.527468147397 -68.4661286534842 -94.2886102144837</f>
        <v>-775.28220701536497</v>
      </c>
      <c r="W3086" t="s">
        <v>59578</v>
      </c>
      <c r="X3086" t="s">
        <v>59579</v>
      </c>
      <c r="Y3086" t="s">
        <v>59580</v>
      </c>
    </row>
    <row r="3087" spans="1:25" x14ac:dyDescent="0.3">
      <c r="A3087">
        <v>154300</v>
      </c>
      <c r="B3087" t="s">
        <v>59581</v>
      </c>
      <c r="C3087" t="s">
        <v>59582</v>
      </c>
      <c r="D3087" t="s">
        <v>59583</v>
      </c>
      <c r="E3087" t="s">
        <v>59584</v>
      </c>
      <c r="F3087" t="s">
        <v>59585</v>
      </c>
      <c r="G3087" t="s">
        <v>59586</v>
      </c>
      <c r="H3087" t="s">
        <v>59587</v>
      </c>
      <c r="I3087" t="s">
        <v>59588</v>
      </c>
      <c r="J3087" t="s">
        <v>59589</v>
      </c>
      <c r="K3087" t="s">
        <v>59590</v>
      </c>
      <c r="L3087" t="s">
        <v>59591</v>
      </c>
      <c r="M3087" t="s">
        <v>59592</v>
      </c>
      <c r="N3087">
        <f>-675.5606180487 -13.0019381556613 -530.070761615967</f>
        <v>-1218.6333178203281</v>
      </c>
      <c r="O3087">
        <f>-670.495583055705 -166.463789318123 -502.487919297261</f>
        <v>-1339.4472916710888</v>
      </c>
      <c r="P3087">
        <f>-632.737601450891 -183.121791807295 -223.426157890928</f>
        <v>-1039.2855511491141</v>
      </c>
      <c r="Q3087">
        <f>-456.113523486285 -95.4745315219848 -346.18789416645</f>
        <v>-897.7759491747197</v>
      </c>
      <c r="R3087" t="s">
        <v>59593</v>
      </c>
      <c r="S3087" t="s">
        <v>59594</v>
      </c>
      <c r="T3087" t="s">
        <v>59595</v>
      </c>
      <c r="U3087" t="s">
        <v>59596</v>
      </c>
      <c r="V3087">
        <f>-612.552589119758 -68.6502066599476 -94.3242915447864</f>
        <v>-775.52708732449196</v>
      </c>
      <c r="W3087" t="s">
        <v>59597</v>
      </c>
      <c r="X3087" t="s">
        <v>59598</v>
      </c>
      <c r="Y3087" t="s">
        <v>59599</v>
      </c>
    </row>
    <row r="3088" spans="1:25" x14ac:dyDescent="0.3">
      <c r="A3088">
        <v>154350</v>
      </c>
      <c r="B3088" t="s">
        <v>59600</v>
      </c>
      <c r="C3088" t="s">
        <v>59601</v>
      </c>
      <c r="D3088" t="s">
        <v>59602</v>
      </c>
      <c r="E3088" t="s">
        <v>59603</v>
      </c>
      <c r="F3088" t="s">
        <v>59604</v>
      </c>
      <c r="G3088" t="s">
        <v>59605</v>
      </c>
      <c r="H3088" t="s">
        <v>59606</v>
      </c>
      <c r="I3088" t="s">
        <v>59607</v>
      </c>
      <c r="J3088" t="s">
        <v>59608</v>
      </c>
      <c r="K3088" t="s">
        <v>59609</v>
      </c>
      <c r="L3088" t="s">
        <v>59610</v>
      </c>
      <c r="M3088" t="s">
        <v>59611</v>
      </c>
      <c r="N3088">
        <f>-675.730379968988 -13.1510174382693 -530.089169845202</f>
        <v>-1218.9705672524592</v>
      </c>
      <c r="O3088">
        <f>-670.370676254966 -166.604998324622 -502.51534993859</f>
        <v>-1339.4910245181782</v>
      </c>
      <c r="P3088">
        <f>-632.54289876208 -182.665093802426 -223.428104558914</f>
        <v>-1038.6360971234199</v>
      </c>
      <c r="Q3088">
        <f>-455.582868030079 -94.8474253316208 -345.582615985561</f>
        <v>-896.0129093472608</v>
      </c>
      <c r="R3088" t="s">
        <v>59612</v>
      </c>
      <c r="S3088" t="s">
        <v>59613</v>
      </c>
      <c r="T3088" t="s">
        <v>59614</v>
      </c>
      <c r="U3088" t="s">
        <v>59615</v>
      </c>
      <c r="V3088">
        <f>-612.461830038104 -68.7058868124072 -94.3388104571878</f>
        <v>-775.50652730769912</v>
      </c>
      <c r="W3088" t="s">
        <v>59616</v>
      </c>
      <c r="X3088" t="s">
        <v>59617</v>
      </c>
      <c r="Y3088" t="s">
        <v>59618</v>
      </c>
    </row>
    <row r="3089" spans="1:25" x14ac:dyDescent="0.3">
      <c r="A3089">
        <v>154400</v>
      </c>
      <c r="B3089" t="s">
        <v>59619</v>
      </c>
      <c r="C3089" t="s">
        <v>59620</v>
      </c>
      <c r="D3089" t="s">
        <v>59621</v>
      </c>
      <c r="E3089" t="s">
        <v>59622</v>
      </c>
      <c r="F3089" t="s">
        <v>59623</v>
      </c>
      <c r="G3089" t="s">
        <v>59624</v>
      </c>
      <c r="H3089" t="s">
        <v>59625</v>
      </c>
      <c r="I3089" t="s">
        <v>59626</v>
      </c>
      <c r="J3089" t="s">
        <v>59627</v>
      </c>
      <c r="K3089" t="s">
        <v>59628</v>
      </c>
      <c r="L3089" t="s">
        <v>59629</v>
      </c>
      <c r="M3089" t="s">
        <v>59630</v>
      </c>
      <c r="N3089">
        <f>-676.013562277234 -13.152164526947 -530.060308671119</f>
        <v>-1219.2260354752998</v>
      </c>
      <c r="O3089">
        <f>-670.385883894383 -166.602237175615 -502.433024575241</f>
        <v>-1339.421145645239</v>
      </c>
      <c r="P3089">
        <f>-632.716885360811 -182.02031649567 -223.288093552356</f>
        <v>-1038.0252954088371</v>
      </c>
      <c r="Q3089">
        <f>-455.163390110453 -94.8170881985648 -345.020952566084</f>
        <v>-895.00143087510185</v>
      </c>
      <c r="R3089" t="s">
        <v>59631</v>
      </c>
      <c r="S3089" t="s">
        <v>59632</v>
      </c>
      <c r="T3089" t="s">
        <v>59633</v>
      </c>
      <c r="U3089" t="s">
        <v>59634</v>
      </c>
      <c r="V3089">
        <f>-612.366500963458 -68.6635003275412 -94.3398162569497</f>
        <v>-775.36981754794886</v>
      </c>
      <c r="W3089" t="s">
        <v>59635</v>
      </c>
      <c r="X3089" t="s">
        <v>59636</v>
      </c>
      <c r="Y3089" t="s">
        <v>59637</v>
      </c>
    </row>
    <row r="3090" spans="1:25" x14ac:dyDescent="0.3">
      <c r="A3090">
        <v>154450</v>
      </c>
      <c r="B3090" t="s">
        <v>59638</v>
      </c>
      <c r="C3090" t="s">
        <v>59639</v>
      </c>
      <c r="D3090" t="s">
        <v>59640</v>
      </c>
      <c r="E3090" t="s">
        <v>59641</v>
      </c>
      <c r="F3090" t="s">
        <v>59642</v>
      </c>
      <c r="G3090" t="s">
        <v>59643</v>
      </c>
      <c r="H3090" t="s">
        <v>59644</v>
      </c>
      <c r="I3090" t="s">
        <v>59645</v>
      </c>
      <c r="J3090" t="s">
        <v>59646</v>
      </c>
      <c r="K3090" t="s">
        <v>59647</v>
      </c>
      <c r="L3090" t="s">
        <v>59648</v>
      </c>
      <c r="M3090" t="s">
        <v>59649</v>
      </c>
      <c r="N3090">
        <f>-676.066134061058 -13.0363919006866 -530.062764121762</f>
        <v>-1219.1652900835065</v>
      </c>
      <c r="O3090">
        <f>-670.186761978002 -166.467162742224 -502.42910683872</f>
        <v>-1339.083031558946</v>
      </c>
      <c r="P3090">
        <f>-632.913667892032 -181.607004466456 -223.215799385037</f>
        <v>-1037.736471743525</v>
      </c>
      <c r="Q3090">
        <f>-454.434919776197 -95.0426936664305 -344.048299862313</f>
        <v>-893.52591330494045</v>
      </c>
      <c r="R3090" t="s">
        <v>59650</v>
      </c>
      <c r="S3090" t="s">
        <v>59651</v>
      </c>
      <c r="T3090" t="s">
        <v>59652</v>
      </c>
      <c r="U3090" t="s">
        <v>59653</v>
      </c>
      <c r="V3090">
        <f>-612.251428272383 -68.5263214594995 -94.3330130061402</f>
        <v>-775.11076273802269</v>
      </c>
      <c r="W3090" t="s">
        <v>59654</v>
      </c>
      <c r="X3090" t="s">
        <v>59655</v>
      </c>
      <c r="Y3090" t="s">
        <v>59656</v>
      </c>
    </row>
    <row r="3091" spans="1:25" x14ac:dyDescent="0.3">
      <c r="A3091">
        <v>154500</v>
      </c>
      <c r="B3091" t="s">
        <v>59657</v>
      </c>
      <c r="C3091" t="s">
        <v>59658</v>
      </c>
      <c r="D3091" t="s">
        <v>59659</v>
      </c>
      <c r="E3091" t="s">
        <v>59660</v>
      </c>
      <c r="F3091" t="s">
        <v>59661</v>
      </c>
      <c r="G3091" t="s">
        <v>59662</v>
      </c>
      <c r="H3091" t="s">
        <v>59663</v>
      </c>
      <c r="I3091" t="s">
        <v>59664</v>
      </c>
      <c r="J3091" t="s">
        <v>59665</v>
      </c>
      <c r="K3091" t="s">
        <v>59666</v>
      </c>
      <c r="L3091" t="s">
        <v>59667</v>
      </c>
      <c r="M3091" t="s">
        <v>59668</v>
      </c>
      <c r="N3091">
        <f>-675.53525942072 -12.9162224923732 -530.118947246433</f>
        <v>-1218.5704291595262</v>
      </c>
      <c r="O3091">
        <f>-669.156607102257 -166.345201265188 -502.64341031415</f>
        <v>-1338.145218681595</v>
      </c>
      <c r="P3091">
        <f>-633.752880961798 -181.834171899098 -223.205976680663</f>
        <v>-1038.793029541559</v>
      </c>
      <c r="Q3091">
        <f>-453.078406630929 -96.885358557875 -341.903015867286</f>
        <v>-891.86678105609008</v>
      </c>
      <c r="R3091" t="s">
        <v>59669</v>
      </c>
      <c r="S3091" t="s">
        <v>59670</v>
      </c>
      <c r="T3091" t="s">
        <v>59671</v>
      </c>
      <c r="U3091" t="s">
        <v>59672</v>
      </c>
      <c r="V3091">
        <f>-611.962686618301 -68.1720798631104 -94.3191278040789</f>
        <v>-774.45389428549026</v>
      </c>
      <c r="W3091" t="s">
        <v>59673</v>
      </c>
      <c r="X3091" t="s">
        <v>59674</v>
      </c>
      <c r="Y3091" t="s">
        <v>59675</v>
      </c>
    </row>
    <row r="3092" spans="1:25" x14ac:dyDescent="0.3">
      <c r="A3092">
        <v>154550</v>
      </c>
      <c r="B3092" t="s">
        <v>59676</v>
      </c>
      <c r="C3092" t="s">
        <v>59677</v>
      </c>
      <c r="D3092" t="s">
        <v>59678</v>
      </c>
      <c r="E3092" t="s">
        <v>59679</v>
      </c>
      <c r="F3092" t="s">
        <v>59680</v>
      </c>
      <c r="G3092" t="s">
        <v>59681</v>
      </c>
      <c r="H3092" t="s">
        <v>59682</v>
      </c>
      <c r="I3092" t="s">
        <v>59683</v>
      </c>
      <c r="J3092" t="s">
        <v>59684</v>
      </c>
      <c r="K3092" t="s">
        <v>59685</v>
      </c>
      <c r="L3092" t="s">
        <v>59686</v>
      </c>
      <c r="M3092" t="s">
        <v>59687</v>
      </c>
      <c r="N3092">
        <f>-675.283149910184 -12.8586017553148 -530.109369878891</f>
        <v>-1218.2511215443897</v>
      </c>
      <c r="O3092">
        <f>-668.812558632433 -166.298470561777 -502.672334389153</f>
        <v>-1337.7833635833631</v>
      </c>
      <c r="P3092">
        <f>-634.274145474995 -181.618333150727 -223.117279188343</f>
        <v>-1039.0097578140649</v>
      </c>
      <c r="Q3092">
        <f>-452.360605830127 -98.0950978650501 -340.930035154575</f>
        <v>-891.38573884975222</v>
      </c>
      <c r="R3092" t="s">
        <v>59688</v>
      </c>
      <c r="S3092" t="s">
        <v>59689</v>
      </c>
      <c r="T3092" t="s">
        <v>59690</v>
      </c>
      <c r="U3092" t="s">
        <v>59691</v>
      </c>
      <c r="V3092">
        <f>-611.801249060017 -67.9225292197293 -94.2945120191084</f>
        <v>-774.01829029885471</v>
      </c>
      <c r="W3092" t="s">
        <v>59692</v>
      </c>
      <c r="X3092" t="s">
        <v>59693</v>
      </c>
      <c r="Y3092" t="s">
        <v>59694</v>
      </c>
    </row>
    <row r="3093" spans="1:25" x14ac:dyDescent="0.3">
      <c r="A3093">
        <v>154600</v>
      </c>
      <c r="B3093" t="s">
        <v>59695</v>
      </c>
      <c r="C3093" t="s">
        <v>59696</v>
      </c>
      <c r="D3093" t="s">
        <v>59697</v>
      </c>
      <c r="E3093" t="s">
        <v>59698</v>
      </c>
      <c r="F3093" t="s">
        <v>59699</v>
      </c>
      <c r="G3093" t="s">
        <v>59700</v>
      </c>
      <c r="H3093" t="s">
        <v>59701</v>
      </c>
      <c r="I3093" t="s">
        <v>59702</v>
      </c>
      <c r="J3093" t="s">
        <v>59703</v>
      </c>
      <c r="K3093" t="s">
        <v>59704</v>
      </c>
      <c r="L3093" t="s">
        <v>59705</v>
      </c>
      <c r="M3093" t="s">
        <v>59706</v>
      </c>
      <c r="N3093">
        <f>-674.860443338176 -12.8039120648225 -530.036527506095</f>
        <v>-1217.7008829090935</v>
      </c>
      <c r="O3093">
        <f>-668.463457335313 -166.215672432694 -502.433761320527</f>
        <v>-1337.1128910885341</v>
      </c>
      <c r="P3093">
        <f>-634.61743019455 -180.609662129208 -222.745037203101</f>
        <v>-1037.9721295268591</v>
      </c>
      <c r="Q3093">
        <f>-450.009224962895 -101.405424226518 -339.342786432891</f>
        <v>-890.757435622304</v>
      </c>
      <c r="R3093" t="s">
        <v>59707</v>
      </c>
      <c r="S3093" t="s">
        <v>59708</v>
      </c>
      <c r="T3093" t="s">
        <v>59709</v>
      </c>
      <c r="U3093" t="s">
        <v>59710</v>
      </c>
      <c r="V3093">
        <f>-611.512579729023 -67.4936200174793 -94.2432880293841</f>
        <v>-773.24948777588634</v>
      </c>
      <c r="W3093" t="s">
        <v>59711</v>
      </c>
      <c r="X3093" t="s">
        <v>59712</v>
      </c>
      <c r="Y3093" t="s">
        <v>59713</v>
      </c>
    </row>
    <row r="3094" spans="1:25" x14ac:dyDescent="0.3">
      <c r="A3094">
        <v>154650</v>
      </c>
      <c r="B3094" t="s">
        <v>59714</v>
      </c>
      <c r="C3094" t="s">
        <v>59715</v>
      </c>
      <c r="D3094" t="s">
        <v>59716</v>
      </c>
      <c r="E3094" t="s">
        <v>59717</v>
      </c>
      <c r="F3094" t="s">
        <v>59718</v>
      </c>
      <c r="G3094" t="s">
        <v>59719</v>
      </c>
      <c r="H3094" t="s">
        <v>59720</v>
      </c>
      <c r="I3094" t="s">
        <v>59721</v>
      </c>
      <c r="J3094" t="s">
        <v>59722</v>
      </c>
      <c r="K3094" t="s">
        <v>59723</v>
      </c>
      <c r="L3094" t="s">
        <v>59724</v>
      </c>
      <c r="M3094" t="s">
        <v>59725</v>
      </c>
      <c r="N3094">
        <f>-674.745276555602 -12.7896669878089 -529.993615364062</f>
        <v>-1217.5285589074729</v>
      </c>
      <c r="O3094">
        <f>-668.475795497919 -166.18432840298 -502.274038053242</f>
        <v>-1336.934161954141</v>
      </c>
      <c r="P3094">
        <f>-634.702333596178 -180.339180794508 -222.564179963765</f>
        <v>-1037.6056943544511</v>
      </c>
      <c r="Q3094">
        <f>-449.271348650358 -102.522859351053 -338.790253577028</f>
        <v>-890.584461578439</v>
      </c>
      <c r="R3094" t="s">
        <v>59726</v>
      </c>
      <c r="S3094" t="s">
        <v>59727</v>
      </c>
      <c r="T3094" t="s">
        <v>59728</v>
      </c>
      <c r="U3094" t="s">
        <v>59729</v>
      </c>
      <c r="V3094">
        <f>-611.395011980812 -67.2616855329143 -94.2222685180005</f>
        <v>-772.8789660317268</v>
      </c>
      <c r="W3094" t="s">
        <v>59730</v>
      </c>
      <c r="X3094" t="s">
        <v>59731</v>
      </c>
      <c r="Y3094" t="s">
        <v>59732</v>
      </c>
    </row>
    <row r="3095" spans="1:25" x14ac:dyDescent="0.3">
      <c r="A3095">
        <v>154700</v>
      </c>
      <c r="B3095" t="s">
        <v>59733</v>
      </c>
      <c r="C3095" t="s">
        <v>59734</v>
      </c>
      <c r="D3095" t="s">
        <v>59735</v>
      </c>
      <c r="E3095" t="s">
        <v>59736</v>
      </c>
      <c r="F3095" t="s">
        <v>59737</v>
      </c>
      <c r="G3095" t="s">
        <v>59738</v>
      </c>
      <c r="H3095" t="s">
        <v>59739</v>
      </c>
      <c r="I3095" t="s">
        <v>59740</v>
      </c>
      <c r="J3095" t="s">
        <v>59741</v>
      </c>
      <c r="K3095" t="s">
        <v>59742</v>
      </c>
      <c r="L3095" t="s">
        <v>59743</v>
      </c>
      <c r="M3095" t="s">
        <v>59744</v>
      </c>
      <c r="N3095">
        <f>-674.350571967255 -12.7476738267765 -529.915574785207</f>
        <v>-1217.0138205792384</v>
      </c>
      <c r="O3095">
        <f>-668.576127025495 -166.130392177317 -501.98032467808</f>
        <v>-1336.686843880892</v>
      </c>
      <c r="P3095">
        <f>-634.690343452986 -179.768607175873 -222.258413252982</f>
        <v>-1036.7173638818408</v>
      </c>
      <c r="Q3095">
        <f>-449.423243314182 -102.00879650025 -338.783322394537</f>
        <v>-890.21536220896894</v>
      </c>
      <c r="R3095" t="s">
        <v>59745</v>
      </c>
      <c r="S3095" t="s">
        <v>59746</v>
      </c>
      <c r="T3095" t="s">
        <v>59747</v>
      </c>
      <c r="U3095" t="s">
        <v>59748</v>
      </c>
      <c r="V3095">
        <f>-611.131162487623 -66.894407899548 -94.1728268585397</f>
        <v>-772.19839724571068</v>
      </c>
      <c r="W3095" t="s">
        <v>59749</v>
      </c>
      <c r="X3095" t="s">
        <v>59750</v>
      </c>
      <c r="Y3095" t="s">
        <v>59751</v>
      </c>
    </row>
    <row r="3096" spans="1:25" x14ac:dyDescent="0.3">
      <c r="A3096">
        <v>154750</v>
      </c>
      <c r="B3096" t="s">
        <v>59752</v>
      </c>
      <c r="C3096" t="s">
        <v>59753</v>
      </c>
      <c r="D3096" t="s">
        <v>59754</v>
      </c>
      <c r="E3096" t="s">
        <v>59755</v>
      </c>
      <c r="F3096" t="s">
        <v>59756</v>
      </c>
      <c r="G3096" t="s">
        <v>59757</v>
      </c>
      <c r="H3096" t="s">
        <v>59758</v>
      </c>
      <c r="I3096" t="s">
        <v>59759</v>
      </c>
      <c r="J3096" t="s">
        <v>59760</v>
      </c>
      <c r="K3096" t="s">
        <v>59761</v>
      </c>
      <c r="L3096" t="s">
        <v>59762</v>
      </c>
      <c r="M3096" t="s">
        <v>59763</v>
      </c>
      <c r="N3096">
        <f>-674.138321286474 -12.7990989110563 -529.8790947257</f>
        <v>-1216.8165149232304</v>
      </c>
      <c r="O3096">
        <f>-668.671071326884 -166.163173138978 -501.802098681904</f>
        <v>-1336.636343147766</v>
      </c>
      <c r="P3096">
        <f>-634.646707451138 -179.55937001648 -222.085317458702</f>
        <v>-1036.29139492632</v>
      </c>
      <c r="Q3096">
        <f>-450.35450330089 -100.33815672246 -339.170327457148</f>
        <v>-889.86298748049796</v>
      </c>
      <c r="R3096" t="s">
        <v>59764</v>
      </c>
      <c r="S3096" t="s">
        <v>59765</v>
      </c>
      <c r="T3096" t="s">
        <v>59766</v>
      </c>
      <c r="U3096" t="s">
        <v>59767</v>
      </c>
      <c r="V3096">
        <f>-611.054858043348 -66.9033363081828 -94.1703268257992</f>
        <v>-772.12852117732996</v>
      </c>
      <c r="W3096" t="s">
        <v>59768</v>
      </c>
      <c r="X3096" t="s">
        <v>59769</v>
      </c>
      <c r="Y3096" t="s">
        <v>59770</v>
      </c>
    </row>
    <row r="3097" spans="1:25" x14ac:dyDescent="0.3">
      <c r="A3097">
        <v>154800</v>
      </c>
      <c r="B3097" t="s">
        <v>59771</v>
      </c>
      <c r="C3097" t="s">
        <v>59772</v>
      </c>
      <c r="D3097" t="s">
        <v>59773</v>
      </c>
      <c r="E3097" t="s">
        <v>59774</v>
      </c>
      <c r="F3097" t="s">
        <v>59775</v>
      </c>
      <c r="G3097" t="s">
        <v>59776</v>
      </c>
      <c r="H3097" t="s">
        <v>59777</v>
      </c>
      <c r="I3097" t="s">
        <v>59778</v>
      </c>
      <c r="J3097" t="s">
        <v>59779</v>
      </c>
      <c r="K3097" t="s">
        <v>59780</v>
      </c>
      <c r="L3097" t="s">
        <v>59781</v>
      </c>
      <c r="M3097" t="s">
        <v>59782</v>
      </c>
      <c r="N3097">
        <f>-673.868859535005 -12.9984141359105 -529.845524141163</f>
        <v>-1216.7127978120784</v>
      </c>
      <c r="O3097">
        <f>-668.787982795438 -166.333321321191 -501.604112473348</f>
        <v>-1336.7254165899769</v>
      </c>
      <c r="P3097">
        <f>-634.852147052291 -180.102369698988 -221.89480689707</f>
        <v>-1036.8493236483491</v>
      </c>
      <c r="Q3097">
        <f>-450.871927117221 -99.24276654903 -338.348767301833</f>
        <v>-888.46346096808406</v>
      </c>
      <c r="R3097" t="s">
        <v>59783</v>
      </c>
      <c r="S3097" t="s">
        <v>59784</v>
      </c>
      <c r="T3097" t="s">
        <v>59785</v>
      </c>
      <c r="U3097" t="s">
        <v>59786</v>
      </c>
      <c r="V3097">
        <f>-610.889217530866 -67.0509667662109 -94.1832626726467</f>
        <v>-772.12344696972355</v>
      </c>
      <c r="W3097" t="s">
        <v>59787</v>
      </c>
      <c r="X3097" t="s">
        <v>59788</v>
      </c>
      <c r="Y3097" t="s">
        <v>59789</v>
      </c>
    </row>
    <row r="3098" spans="1:25" x14ac:dyDescent="0.3">
      <c r="A3098">
        <v>154850</v>
      </c>
      <c r="B3098" t="s">
        <v>59790</v>
      </c>
      <c r="C3098" t="s">
        <v>59791</v>
      </c>
      <c r="D3098" t="s">
        <v>59792</v>
      </c>
      <c r="E3098" t="s">
        <v>59793</v>
      </c>
      <c r="F3098" t="s">
        <v>59794</v>
      </c>
      <c r="G3098" t="s">
        <v>59795</v>
      </c>
      <c r="H3098" t="s">
        <v>59796</v>
      </c>
      <c r="I3098" t="s">
        <v>59797</v>
      </c>
      <c r="J3098" t="s">
        <v>59798</v>
      </c>
      <c r="K3098" t="s">
        <v>59799</v>
      </c>
      <c r="L3098" t="s">
        <v>59800</v>
      </c>
      <c r="M3098" t="s">
        <v>59801</v>
      </c>
      <c r="N3098">
        <f>-673.595835493057 -13.1430755103283 -529.832350332531</f>
        <v>-1216.5712613359165</v>
      </c>
      <c r="O3098">
        <f>-668.468058572737 -166.471627875944 -501.537506724561</f>
        <v>-1336.4771931732421</v>
      </c>
      <c r="P3098">
        <f>-635.318530438305 -179.963159869241 -221.720263051691</f>
        <v>-1037.0019533592369</v>
      </c>
      <c r="Q3098">
        <f>-451.270837062498 -98.7911715958805 -337.849919504571</f>
        <v>-887.91192816294961</v>
      </c>
      <c r="R3098" t="s">
        <v>59802</v>
      </c>
      <c r="S3098" t="s">
        <v>59803</v>
      </c>
      <c r="T3098" t="s">
        <v>59804</v>
      </c>
      <c r="U3098" t="s">
        <v>59805</v>
      </c>
      <c r="V3098">
        <f>-610.703231321788 -67.1530239940444 -94.1814664445592</f>
        <v>-772.03772176039161</v>
      </c>
      <c r="W3098" t="s">
        <v>59806</v>
      </c>
      <c r="X3098" t="s">
        <v>59807</v>
      </c>
      <c r="Y3098" t="s">
        <v>59808</v>
      </c>
    </row>
    <row r="3099" spans="1:25" x14ac:dyDescent="0.3">
      <c r="A3099">
        <v>154900</v>
      </c>
      <c r="B3099" t="s">
        <v>59809</v>
      </c>
      <c r="C3099" t="s">
        <v>59810</v>
      </c>
      <c r="D3099" t="s">
        <v>59811</v>
      </c>
      <c r="E3099" t="s">
        <v>59812</v>
      </c>
      <c r="F3099" t="s">
        <v>59813</v>
      </c>
      <c r="G3099" t="s">
        <v>59814</v>
      </c>
      <c r="H3099" t="s">
        <v>59815</v>
      </c>
      <c r="I3099" t="s">
        <v>59816</v>
      </c>
      <c r="J3099" t="s">
        <v>59817</v>
      </c>
      <c r="K3099" t="s">
        <v>59818</v>
      </c>
      <c r="L3099" t="s">
        <v>59819</v>
      </c>
      <c r="M3099" t="s">
        <v>59820</v>
      </c>
      <c r="N3099">
        <f>-673.114887679736 -13.4772066417972 -529.863602477389</f>
        <v>-1216.4556967989222</v>
      </c>
      <c r="O3099">
        <f>-667.930935569744 -166.783120776451 -501.451659064277</f>
        <v>-1336.1657154104719</v>
      </c>
      <c r="P3099">
        <f>-635.754627347595 -179.538060902537 -221.486312675417</f>
        <v>-1036.7790009255491</v>
      </c>
      <c r="Q3099">
        <f>-451.708064706858 -98.0263080148879 -337.379495159784</f>
        <v>-887.11386788152993</v>
      </c>
      <c r="R3099" t="s">
        <v>59821</v>
      </c>
      <c r="S3099" t="s">
        <v>59822</v>
      </c>
      <c r="T3099" t="s">
        <v>59823</v>
      </c>
      <c r="U3099" t="s">
        <v>59824</v>
      </c>
      <c r="V3099">
        <f>-610.375932433706 -67.4575988780703 -94.2050167194843</f>
        <v>-772.03854803126058</v>
      </c>
      <c r="W3099" t="s">
        <v>59825</v>
      </c>
      <c r="X3099" t="s">
        <v>59826</v>
      </c>
      <c r="Y3099" t="s">
        <v>59827</v>
      </c>
    </row>
    <row r="3100" spans="1:25" x14ac:dyDescent="0.3">
      <c r="A3100">
        <v>154950</v>
      </c>
      <c r="B3100" t="s">
        <v>59828</v>
      </c>
      <c r="C3100" t="s">
        <v>59829</v>
      </c>
      <c r="D3100" t="s">
        <v>59830</v>
      </c>
      <c r="E3100" t="s">
        <v>59831</v>
      </c>
      <c r="F3100" t="s">
        <v>59832</v>
      </c>
      <c r="G3100" t="s">
        <v>59833</v>
      </c>
      <c r="H3100" t="s">
        <v>59834</v>
      </c>
      <c r="I3100" t="s">
        <v>59835</v>
      </c>
      <c r="J3100" t="s">
        <v>59836</v>
      </c>
      <c r="K3100" t="s">
        <v>59837</v>
      </c>
      <c r="L3100" t="s">
        <v>59838</v>
      </c>
      <c r="M3100" t="s">
        <v>59839</v>
      </c>
      <c r="N3100">
        <f>-673.006428971658 -13.5706897026762 -529.888568948217</f>
        <v>-1216.4656876225513</v>
      </c>
      <c r="O3100">
        <f>-667.75409116532 -166.877655393125 -501.483265770539</f>
        <v>-1336.115012328984</v>
      </c>
      <c r="P3100">
        <f>-635.659624636492 -179.88001279438 -221.51989375197</f>
        <v>-1037.059531182842</v>
      </c>
      <c r="Q3100">
        <f>-451.865780458285 -97.812904661635 -337.422079413915</f>
        <v>-887.10076453383499</v>
      </c>
      <c r="R3100" t="s">
        <v>59840</v>
      </c>
      <c r="S3100" t="s">
        <v>59841</v>
      </c>
      <c r="T3100" t="s">
        <v>59842</v>
      </c>
      <c r="U3100" t="s">
        <v>59843</v>
      </c>
      <c r="V3100">
        <f>-610.309369685701 -67.5099613110347 -94.2158998876517</f>
        <v>-772.03523088438737</v>
      </c>
      <c r="W3100" t="s">
        <v>59844</v>
      </c>
      <c r="X3100" t="s">
        <v>59845</v>
      </c>
      <c r="Y3100" t="s">
        <v>59846</v>
      </c>
    </row>
    <row r="3101" spans="1:25" x14ac:dyDescent="0.3">
      <c r="A3101">
        <v>155000</v>
      </c>
      <c r="B3101" t="s">
        <v>59847</v>
      </c>
      <c r="C3101" t="s">
        <v>59848</v>
      </c>
      <c r="D3101" t="s">
        <v>59849</v>
      </c>
      <c r="E3101" t="s">
        <v>59850</v>
      </c>
      <c r="F3101" t="s">
        <v>59851</v>
      </c>
      <c r="G3101" t="s">
        <v>59852</v>
      </c>
      <c r="H3101" t="s">
        <v>59853</v>
      </c>
      <c r="I3101" t="s">
        <v>59854</v>
      </c>
      <c r="J3101" t="s">
        <v>59855</v>
      </c>
      <c r="K3101" t="s">
        <v>59856</v>
      </c>
      <c r="L3101" t="s">
        <v>59857</v>
      </c>
      <c r="M3101" t="s">
        <v>59858</v>
      </c>
      <c r="N3101">
        <f>-672.938768283233 -13.5421005342077 -529.935249778701</f>
        <v>-1216.4161185961416</v>
      </c>
      <c r="O3101">
        <f>-667.505040841064 -166.850999544268 -501.577290477129</f>
        <v>-1335.9333308624609</v>
      </c>
      <c r="P3101">
        <f>-634.945462359101 -180.362718984438 -221.691899935412</f>
        <v>-1037.000081278951</v>
      </c>
      <c r="Q3101">
        <f>-451.915321474342 -97.1820439099033 -338.008045578686</f>
        <v>-887.10541096293127</v>
      </c>
      <c r="R3101" t="s">
        <v>59859</v>
      </c>
      <c r="S3101" t="s">
        <v>59860</v>
      </c>
      <c r="T3101" t="s">
        <v>59861</v>
      </c>
      <c r="U3101" t="s">
        <v>59862</v>
      </c>
      <c r="V3101">
        <f>-610.315085728493 -67.5042822423518 -94.2329441557952</f>
        <v>-772.05231212664</v>
      </c>
      <c r="W3101" t="s">
        <v>59863</v>
      </c>
      <c r="X3101" t="s">
        <v>59864</v>
      </c>
      <c r="Y3101" t="s">
        <v>59865</v>
      </c>
    </row>
    <row r="3102" spans="1:25" x14ac:dyDescent="0.3">
      <c r="A3102">
        <v>155050</v>
      </c>
      <c r="B3102" t="s">
        <v>59866</v>
      </c>
      <c r="C3102" t="s">
        <v>59867</v>
      </c>
      <c r="D3102" t="s">
        <v>59868</v>
      </c>
      <c r="E3102" t="s">
        <v>59869</v>
      </c>
      <c r="F3102" t="s">
        <v>59870</v>
      </c>
      <c r="G3102" t="s">
        <v>59871</v>
      </c>
      <c r="H3102" t="s">
        <v>59872</v>
      </c>
      <c r="I3102" t="s">
        <v>59873</v>
      </c>
      <c r="J3102" t="s">
        <v>59874</v>
      </c>
      <c r="K3102" t="s">
        <v>59875</v>
      </c>
      <c r="L3102" t="s">
        <v>59876</v>
      </c>
      <c r="M3102" t="s">
        <v>59877</v>
      </c>
      <c r="N3102">
        <f>-672.946142117269 -13.4982475377751 -529.967218862549</f>
        <v>-1216.4116085175931</v>
      </c>
      <c r="O3102">
        <f>-667.404158123356 -166.810622504913 -501.647656906479</f>
        <v>-1335.8624375347481</v>
      </c>
      <c r="P3102">
        <f>-634.55493571549 -180.33488099163 -221.796639548343</f>
        <v>-1036.6864562554631</v>
      </c>
      <c r="Q3102">
        <f>-451.859918752645 -96.8599934193883 -338.428494324912</f>
        <v>-887.14840649694531</v>
      </c>
      <c r="R3102" t="s">
        <v>59878</v>
      </c>
      <c r="S3102" t="s">
        <v>59879</v>
      </c>
      <c r="T3102" t="s">
        <v>59880</v>
      </c>
      <c r="U3102" t="s">
        <v>59881</v>
      </c>
      <c r="V3102">
        <f>-610.385961439435 -67.4748535403473 -94.2407161327592</f>
        <v>-772.10153111254158</v>
      </c>
      <c r="W3102" t="s">
        <v>59882</v>
      </c>
      <c r="X3102" t="s">
        <v>59883</v>
      </c>
      <c r="Y3102" t="s">
        <v>59884</v>
      </c>
    </row>
    <row r="3103" spans="1:25" x14ac:dyDescent="0.3">
      <c r="A3103">
        <v>155100</v>
      </c>
      <c r="B3103" t="s">
        <v>59885</v>
      </c>
      <c r="C3103" t="s">
        <v>59886</v>
      </c>
      <c r="D3103" t="s">
        <v>59887</v>
      </c>
      <c r="E3103" t="s">
        <v>59888</v>
      </c>
      <c r="F3103" t="s">
        <v>59889</v>
      </c>
      <c r="G3103" t="s">
        <v>59890</v>
      </c>
      <c r="H3103" t="s">
        <v>59891</v>
      </c>
      <c r="I3103" t="s">
        <v>59892</v>
      </c>
      <c r="J3103" t="s">
        <v>59893</v>
      </c>
      <c r="K3103" t="s">
        <v>59894</v>
      </c>
      <c r="L3103" t="s">
        <v>59895</v>
      </c>
      <c r="M3103" t="s">
        <v>59896</v>
      </c>
      <c r="N3103">
        <f>-672.916528486271 -13.3848876744826 -530.019282558221</f>
        <v>-1216.3206987189747</v>
      </c>
      <c r="O3103">
        <f>-667.115906013531 -166.706984175284 -501.799056986117</f>
        <v>-1335.6219471749321</v>
      </c>
      <c r="P3103">
        <f>-633.807699459245 -180.324389470312 -222.006766418752</f>
        <v>-1036.1388553483089</v>
      </c>
      <c r="Q3103">
        <f>-451.514279208209 -96.6854200763626 -339.148352660398</f>
        <v>-887.3480519449696</v>
      </c>
      <c r="R3103" t="s">
        <v>59897</v>
      </c>
      <c r="S3103" t="s">
        <v>59898</v>
      </c>
      <c r="T3103" t="s">
        <v>59899</v>
      </c>
      <c r="U3103" t="s">
        <v>59900</v>
      </c>
      <c r="V3103">
        <f>-610.474531027795 -67.3697092004031 -94.2573545499367</f>
        <v>-772.10159477813488</v>
      </c>
      <c r="W3103" t="s">
        <v>59901</v>
      </c>
      <c r="X3103" t="s">
        <v>59902</v>
      </c>
      <c r="Y3103" t="s">
        <v>59903</v>
      </c>
    </row>
    <row r="3104" spans="1:25" x14ac:dyDescent="0.3">
      <c r="A3104">
        <v>155150</v>
      </c>
      <c r="B3104" t="s">
        <v>59904</v>
      </c>
      <c r="C3104" t="s">
        <v>59905</v>
      </c>
      <c r="D3104" t="s">
        <v>59906</v>
      </c>
      <c r="E3104" t="s">
        <v>59907</v>
      </c>
      <c r="F3104" t="s">
        <v>59908</v>
      </c>
      <c r="G3104" t="s">
        <v>59909</v>
      </c>
      <c r="H3104" t="s">
        <v>59910</v>
      </c>
      <c r="I3104" t="s">
        <v>59911</v>
      </c>
      <c r="J3104" t="s">
        <v>59912</v>
      </c>
      <c r="K3104" t="s">
        <v>59913</v>
      </c>
      <c r="L3104" t="s">
        <v>59914</v>
      </c>
      <c r="M3104" t="s">
        <v>59915</v>
      </c>
      <c r="N3104">
        <f>-672.943919600354 -13.3029956760486 -530.020691152582</f>
        <v>-1216.2676064289844</v>
      </c>
      <c r="O3104">
        <f>-667.056209988897 -166.634554273457 -501.850073014105</f>
        <v>-1335.5408372764589</v>
      </c>
      <c r="P3104">
        <f>-633.604139997422 -180.368290212783 -222.080495938813</f>
        <v>-1036.0529261490178</v>
      </c>
      <c r="Q3104">
        <f>-451.384091324142 -96.7319482412622 -339.338092159889</f>
        <v>-887.45413172529322</v>
      </c>
      <c r="R3104" t="s">
        <v>59916</v>
      </c>
      <c r="S3104" t="s">
        <v>59917</v>
      </c>
      <c r="T3104" t="s">
        <v>59918</v>
      </c>
      <c r="U3104" t="s">
        <v>59919</v>
      </c>
      <c r="V3104">
        <f>-610.463149190708 -67.3303992820565 -94.2607889810234</f>
        <v>-772.05433745378798</v>
      </c>
      <c r="W3104" t="s">
        <v>59920</v>
      </c>
      <c r="X3104" t="s">
        <v>59921</v>
      </c>
      <c r="Y3104" t="s">
        <v>59922</v>
      </c>
    </row>
    <row r="3105" spans="1:25" x14ac:dyDescent="0.3">
      <c r="A3105">
        <v>155200</v>
      </c>
      <c r="B3105" t="s">
        <v>59923</v>
      </c>
      <c r="C3105" t="s">
        <v>59924</v>
      </c>
      <c r="D3105" t="s">
        <v>59925</v>
      </c>
      <c r="E3105" t="s">
        <v>59926</v>
      </c>
      <c r="F3105" t="s">
        <v>59927</v>
      </c>
      <c r="G3105" t="s">
        <v>59928</v>
      </c>
      <c r="H3105" t="s">
        <v>59929</v>
      </c>
      <c r="I3105" t="s">
        <v>59930</v>
      </c>
      <c r="J3105" t="s">
        <v>59931</v>
      </c>
      <c r="K3105" t="s">
        <v>59932</v>
      </c>
      <c r="L3105" t="s">
        <v>59933</v>
      </c>
      <c r="M3105" t="s">
        <v>59934</v>
      </c>
      <c r="N3105">
        <f>-673.271731311909 -13.1184131742161 -529.998836563707</f>
        <v>-1216.3889810498322</v>
      </c>
      <c r="O3105">
        <f>-667.327234876871 -166.459014674686 -501.8848412807</f>
        <v>-1335.6710908322571</v>
      </c>
      <c r="P3105">
        <f>-633.598655364295 -180.204582604976 -222.149195701129</f>
        <v>-1035.9524336704001</v>
      </c>
      <c r="Q3105">
        <f>-451.510368340351 -96.5558937282162 -339.602377634914</f>
        <v>-887.66863970348118</v>
      </c>
      <c r="R3105" t="s">
        <v>59935</v>
      </c>
      <c r="S3105" t="s">
        <v>59936</v>
      </c>
      <c r="T3105" t="s">
        <v>59937</v>
      </c>
      <c r="U3105" t="s">
        <v>59938</v>
      </c>
      <c r="V3105">
        <f>-610.416005745066 -67.1689560719149 -94.2570917065297</f>
        <v>-771.84205352351046</v>
      </c>
      <c r="W3105" t="s">
        <v>59939</v>
      </c>
      <c r="X3105" t="s">
        <v>59940</v>
      </c>
      <c r="Y3105" t="s">
        <v>59941</v>
      </c>
    </row>
    <row r="3106" spans="1:25" x14ac:dyDescent="0.3">
      <c r="A3106">
        <v>155250</v>
      </c>
      <c r="B3106" t="s">
        <v>59942</v>
      </c>
      <c r="C3106" t="s">
        <v>59943</v>
      </c>
      <c r="D3106" t="s">
        <v>59944</v>
      </c>
      <c r="E3106" t="s">
        <v>59945</v>
      </c>
      <c r="F3106" t="s">
        <v>59946</v>
      </c>
      <c r="G3106" t="s">
        <v>59947</v>
      </c>
      <c r="H3106" t="s">
        <v>59948</v>
      </c>
      <c r="I3106" t="s">
        <v>59949</v>
      </c>
      <c r="J3106" t="s">
        <v>59950</v>
      </c>
      <c r="K3106" t="s">
        <v>59951</v>
      </c>
      <c r="L3106" t="s">
        <v>59952</v>
      </c>
      <c r="M3106" t="s">
        <v>59953</v>
      </c>
      <c r="N3106">
        <f>-673.444090543238 -12.9911916588042 -529.98162446727</f>
        <v>-1216.4169066693121</v>
      </c>
      <c r="O3106">
        <f>-667.523827536497 -166.333640559173 -501.877367069957</f>
        <v>-1335.7348351656269</v>
      </c>
      <c r="P3106">
        <f>-633.623373886554 -180.108794246807 -222.164110307263</f>
        <v>-1035.896278440624</v>
      </c>
      <c r="Q3106">
        <f>-451.765532458625 -95.9324775578357 -339.597439865316</f>
        <v>-887.29544988177668</v>
      </c>
      <c r="R3106" t="s">
        <v>59954</v>
      </c>
      <c r="S3106" t="s">
        <v>59955</v>
      </c>
      <c r="T3106" t="s">
        <v>59956</v>
      </c>
      <c r="U3106" t="s">
        <v>59957</v>
      </c>
      <c r="V3106">
        <f>-610.44898502346 -67.1144602402492 -94.2404697829072</f>
        <v>-771.80391504661634</v>
      </c>
      <c r="W3106" t="s">
        <v>59958</v>
      </c>
      <c r="X3106" t="s">
        <v>59959</v>
      </c>
      <c r="Y3106" t="s">
        <v>59960</v>
      </c>
    </row>
    <row r="3107" spans="1:25" x14ac:dyDescent="0.3">
      <c r="A3107">
        <v>155300</v>
      </c>
      <c r="B3107" t="s">
        <v>59961</v>
      </c>
      <c r="C3107" t="s">
        <v>59962</v>
      </c>
      <c r="D3107" t="s">
        <v>59963</v>
      </c>
      <c r="E3107" t="s">
        <v>59964</v>
      </c>
      <c r="F3107" t="s">
        <v>59965</v>
      </c>
      <c r="G3107" t="s">
        <v>59966</v>
      </c>
      <c r="H3107" t="s">
        <v>59967</v>
      </c>
      <c r="I3107" t="s">
        <v>59968</v>
      </c>
      <c r="J3107" t="s">
        <v>59969</v>
      </c>
      <c r="K3107" t="s">
        <v>59970</v>
      </c>
      <c r="L3107" t="s">
        <v>59971</v>
      </c>
      <c r="M3107" t="s">
        <v>59972</v>
      </c>
      <c r="N3107">
        <f>-673.544529173162 -12.8288601213267 -529.974135988173</f>
        <v>-1216.3475252826615</v>
      </c>
      <c r="O3107">
        <f>-667.638785851325 -166.17685779245 -501.933014344327</f>
        <v>-1335.748657988102</v>
      </c>
      <c r="P3107">
        <f>-633.778717676263 -180.081750503412 -222.221166074194</f>
        <v>-1036.081634253869</v>
      </c>
      <c r="Q3107">
        <f>-452.254900597266 -94.6874022645677 -339.291353614264</f>
        <v>-886.23365647609762</v>
      </c>
      <c r="R3107" t="s">
        <v>59973</v>
      </c>
      <c r="S3107" t="s">
        <v>59974</v>
      </c>
      <c r="T3107" t="s">
        <v>59975</v>
      </c>
      <c r="U3107" t="s">
        <v>59976</v>
      </c>
      <c r="V3107">
        <f>-610.574392066159 -66.9053501969265 -94.216511993318</f>
        <v>-771.69625425640356</v>
      </c>
      <c r="W3107" t="s">
        <v>59977</v>
      </c>
      <c r="X3107" t="s">
        <v>59978</v>
      </c>
      <c r="Y3107" t="s">
        <v>59979</v>
      </c>
    </row>
    <row r="3108" spans="1:25" x14ac:dyDescent="0.3">
      <c r="A3108">
        <v>155350</v>
      </c>
      <c r="B3108" t="s">
        <v>59980</v>
      </c>
      <c r="C3108" t="s">
        <v>59981</v>
      </c>
      <c r="D3108" t="s">
        <v>59982</v>
      </c>
      <c r="E3108" t="s">
        <v>59983</v>
      </c>
      <c r="F3108" t="s">
        <v>59984</v>
      </c>
      <c r="G3108" t="s">
        <v>59985</v>
      </c>
      <c r="H3108" t="s">
        <v>59986</v>
      </c>
      <c r="I3108" t="s">
        <v>59987</v>
      </c>
      <c r="J3108" t="s">
        <v>59988</v>
      </c>
      <c r="K3108" t="s">
        <v>59989</v>
      </c>
      <c r="L3108" t="s">
        <v>59990</v>
      </c>
      <c r="M3108" t="s">
        <v>59991</v>
      </c>
      <c r="N3108">
        <f>-673.611794323991 -12.8584610447354 -529.938562765047</f>
        <v>-1216.4088181337734</v>
      </c>
      <c r="O3108">
        <f>-667.661119640159 -166.192425438895 -501.852313971363</f>
        <v>-1335.7058590504168</v>
      </c>
      <c r="P3108">
        <f>-634.026164850773 -180.165818987033 -222.116632229683</f>
        <v>-1036.3086160674891</v>
      </c>
      <c r="Q3108">
        <f>-452.437353317483 -94.6418694857714 -338.9912666832</f>
        <v>-886.07048948645445</v>
      </c>
      <c r="R3108" t="s">
        <v>59992</v>
      </c>
      <c r="S3108" t="s">
        <v>59993</v>
      </c>
      <c r="T3108" t="s">
        <v>59994</v>
      </c>
      <c r="U3108" t="s">
        <v>59995</v>
      </c>
      <c r="V3108">
        <f>-610.588932482648 -66.7927412795325 -94.2069624653111</f>
        <v>-771.58863622749163</v>
      </c>
      <c r="W3108" t="s">
        <v>59996</v>
      </c>
      <c r="X3108" t="s">
        <v>59997</v>
      </c>
      <c r="Y3108" t="s">
        <v>59998</v>
      </c>
    </row>
    <row r="3109" spans="1:25" x14ac:dyDescent="0.3">
      <c r="A3109">
        <v>155400</v>
      </c>
      <c r="B3109" t="s">
        <v>59999</v>
      </c>
      <c r="C3109" t="s">
        <v>60000</v>
      </c>
      <c r="D3109" t="s">
        <v>60001</v>
      </c>
      <c r="E3109" t="s">
        <v>60002</v>
      </c>
      <c r="F3109" t="s">
        <v>60003</v>
      </c>
      <c r="G3109" t="s">
        <v>60004</v>
      </c>
      <c r="H3109" t="s">
        <v>60005</v>
      </c>
      <c r="I3109" t="s">
        <v>60006</v>
      </c>
      <c r="J3109" t="s">
        <v>60007</v>
      </c>
      <c r="K3109" t="s">
        <v>60008</v>
      </c>
      <c r="L3109" t="s">
        <v>60009</v>
      </c>
      <c r="M3109" t="s">
        <v>60010</v>
      </c>
      <c r="N3109">
        <f>-673.715091517194 -13.0081270045712 -529.863855629313</f>
        <v>-1216.587074151078</v>
      </c>
      <c r="O3109">
        <f>-667.677539821294 -166.330805872026 -501.671565901034</f>
        <v>-1335.6799115943541</v>
      </c>
      <c r="P3109">
        <f>-634.664598108872 -179.94595992368 -221.844210231075</f>
        <v>-1036.4547682636271</v>
      </c>
      <c r="Q3109">
        <f>-452.693673765696 -95.5385038422169 -338.936107339056</f>
        <v>-887.16828494696892</v>
      </c>
      <c r="R3109" t="s">
        <v>60011</v>
      </c>
      <c r="S3109" t="s">
        <v>60012</v>
      </c>
      <c r="T3109" t="s">
        <v>60013</v>
      </c>
      <c r="U3109" t="s">
        <v>60014</v>
      </c>
      <c r="V3109">
        <f>-610.513327146122 -66.55741065491 -94.1843152282445</f>
        <v>-771.2550530292765</v>
      </c>
      <c r="W3109" t="s">
        <v>60015</v>
      </c>
      <c r="X3109" t="s">
        <v>60016</v>
      </c>
      <c r="Y3109" t="s">
        <v>60017</v>
      </c>
    </row>
    <row r="3110" spans="1:25" x14ac:dyDescent="0.3">
      <c r="A3110">
        <v>155450</v>
      </c>
      <c r="B3110" t="s">
        <v>60018</v>
      </c>
      <c r="C3110" t="s">
        <v>60019</v>
      </c>
      <c r="D3110" t="s">
        <v>60020</v>
      </c>
      <c r="E3110" t="s">
        <v>60021</v>
      </c>
      <c r="F3110" t="s">
        <v>60022</v>
      </c>
      <c r="G3110" t="s">
        <v>60023</v>
      </c>
      <c r="H3110" t="s">
        <v>60024</v>
      </c>
      <c r="I3110" t="s">
        <v>60025</v>
      </c>
      <c r="J3110" t="s">
        <v>60026</v>
      </c>
      <c r="K3110" t="s">
        <v>60027</v>
      </c>
      <c r="L3110" t="s">
        <v>60028</v>
      </c>
      <c r="M3110" t="s">
        <v>60029</v>
      </c>
      <c r="N3110">
        <f>-673.812762160424 -13.1493936628499 -529.814841644549</f>
        <v>-1216.7769974678229</v>
      </c>
      <c r="O3110">
        <f>-667.782192593173 -166.450328635834 -501.521428397896</f>
        <v>-1335.753949626903</v>
      </c>
      <c r="P3110">
        <f>-634.884771463966 -179.794247959702 -221.66733411225</f>
        <v>-1036.3463535359181</v>
      </c>
      <c r="Q3110">
        <f>-452.779514556706 -96.373161211787 -339.256183259842</f>
        <v>-888.40885902833497</v>
      </c>
      <c r="R3110" t="s">
        <v>60030</v>
      </c>
      <c r="S3110" t="s">
        <v>60031</v>
      </c>
      <c r="T3110" t="s">
        <v>60032</v>
      </c>
      <c r="U3110" t="s">
        <v>60033</v>
      </c>
      <c r="V3110">
        <f>-610.499775479712 -66.4480789248801 -94.1698026082177</f>
        <v>-771.11765701280967</v>
      </c>
      <c r="W3110" t="s">
        <v>60034</v>
      </c>
      <c r="X3110" t="s">
        <v>60035</v>
      </c>
      <c r="Y3110" t="s">
        <v>60036</v>
      </c>
    </row>
    <row r="3111" spans="1:25" x14ac:dyDescent="0.3">
      <c r="A3111">
        <v>155500</v>
      </c>
      <c r="B3111" t="s">
        <v>60037</v>
      </c>
      <c r="C3111" t="s">
        <v>60038</v>
      </c>
      <c r="D3111" t="s">
        <v>60039</v>
      </c>
      <c r="E3111" t="s">
        <v>60040</v>
      </c>
      <c r="F3111" t="s">
        <v>60041</v>
      </c>
      <c r="G3111" t="s">
        <v>60042</v>
      </c>
      <c r="H3111" t="s">
        <v>60043</v>
      </c>
      <c r="I3111" t="s">
        <v>60044</v>
      </c>
      <c r="J3111" t="s">
        <v>60045</v>
      </c>
      <c r="K3111" t="s">
        <v>60046</v>
      </c>
      <c r="L3111" t="s">
        <v>60047</v>
      </c>
      <c r="M3111" t="s">
        <v>60048</v>
      </c>
      <c r="N3111">
        <f>-674.162108076761 -13.3564051810038 -529.726960315125</f>
        <v>-1217.2454735728898</v>
      </c>
      <c r="O3111">
        <f>-668.253125360989 -166.62159972074 -501.188007968419</f>
        <v>-1336.0627330501479</v>
      </c>
      <c r="P3111">
        <f>-634.904096326082 -179.691405998695 -221.374590678565</f>
        <v>-1035.9700930033421</v>
      </c>
      <c r="Q3111">
        <f>-452.793014630449 -98.3389979708752 -340.395199806959</f>
        <v>-891.52721240828328</v>
      </c>
      <c r="R3111" t="s">
        <v>60049</v>
      </c>
      <c r="S3111" t="s">
        <v>60050</v>
      </c>
      <c r="T3111" t="s">
        <v>60051</v>
      </c>
      <c r="U3111" t="s">
        <v>60052</v>
      </c>
      <c r="V3111">
        <f>-610.643193668619 -66.1862993850186 -94.1463179713777</f>
        <v>-770.97581102501533</v>
      </c>
      <c r="W3111" t="s">
        <v>60053</v>
      </c>
      <c r="X3111" t="s">
        <v>60054</v>
      </c>
      <c r="Y3111" t="s">
        <v>60055</v>
      </c>
    </row>
    <row r="3112" spans="1:25" x14ac:dyDescent="0.3">
      <c r="A3112">
        <v>155550</v>
      </c>
      <c r="B3112" t="s">
        <v>60056</v>
      </c>
      <c r="C3112" t="s">
        <v>60057</v>
      </c>
      <c r="D3112" t="s">
        <v>60058</v>
      </c>
      <c r="E3112" t="s">
        <v>60059</v>
      </c>
      <c r="F3112" t="s">
        <v>60060</v>
      </c>
      <c r="G3112" t="s">
        <v>60061</v>
      </c>
      <c r="H3112" t="s">
        <v>60062</v>
      </c>
      <c r="I3112" t="s">
        <v>60063</v>
      </c>
      <c r="J3112" t="s">
        <v>60064</v>
      </c>
      <c r="K3112" t="s">
        <v>60065</v>
      </c>
      <c r="L3112" t="s">
        <v>60066</v>
      </c>
      <c r="M3112" t="s">
        <v>60067</v>
      </c>
      <c r="N3112">
        <f>-674.381436393687 -13.4392954683121 -529.697968282486</f>
        <v>-1217.5187001444851</v>
      </c>
      <c r="O3112">
        <f>-668.57541192872 -166.682722685031 -501.032913280712</f>
        <v>-1336.291047894463</v>
      </c>
      <c r="P3112">
        <f>-634.785090330493 -179.539764752953 -221.262591223217</f>
        <v>-1035.587446306663</v>
      </c>
      <c r="Q3112">
        <f>-452.665985136801 -99.2940278933838 -341.019852309779</f>
        <v>-892.97986533996379</v>
      </c>
      <c r="R3112" t="s">
        <v>60068</v>
      </c>
      <c r="S3112" t="s">
        <v>60069</v>
      </c>
      <c r="T3112" t="s">
        <v>60070</v>
      </c>
      <c r="U3112" t="s">
        <v>60071</v>
      </c>
      <c r="V3112">
        <f>-610.790439335369 -66.0658754689257 -94.1371483302564</f>
        <v>-770.99346313455112</v>
      </c>
      <c r="W3112" t="s">
        <v>60072</v>
      </c>
      <c r="X3112" t="s">
        <v>60073</v>
      </c>
      <c r="Y3112" t="s">
        <v>60074</v>
      </c>
    </row>
    <row r="3113" spans="1:25" x14ac:dyDescent="0.3">
      <c r="A3113">
        <v>155600</v>
      </c>
      <c r="B3113" t="s">
        <v>60075</v>
      </c>
      <c r="C3113" t="s">
        <v>60076</v>
      </c>
      <c r="D3113" t="s">
        <v>60077</v>
      </c>
      <c r="E3113" t="s">
        <v>60078</v>
      </c>
      <c r="F3113" t="s">
        <v>60079</v>
      </c>
      <c r="G3113" t="s">
        <v>60080</v>
      </c>
      <c r="H3113" t="s">
        <v>60081</v>
      </c>
      <c r="I3113" t="s">
        <v>60082</v>
      </c>
      <c r="J3113" t="s">
        <v>60083</v>
      </c>
      <c r="K3113" t="s">
        <v>60084</v>
      </c>
      <c r="L3113" t="s">
        <v>60085</v>
      </c>
      <c r="M3113" t="s">
        <v>60086</v>
      </c>
      <c r="N3113">
        <f>-674.892907172066 -13.6837755097106 -529.624278016427</f>
        <v>-1218.2009606982035</v>
      </c>
      <c r="O3113">
        <f>-669.409294090079 -166.878555328236 -500.654810340504</f>
        <v>-1336.942659758819</v>
      </c>
      <c r="P3113">
        <f>-634.743593206926 -179.509765140947 -220.981191122335</f>
        <v>-1035.2345494702081</v>
      </c>
      <c r="Q3113">
        <f>-452.66549536358 -100.432151792173 -341.57476725636</f>
        <v>-894.67241441211308</v>
      </c>
      <c r="R3113" t="s">
        <v>60087</v>
      </c>
      <c r="S3113" t="s">
        <v>60088</v>
      </c>
      <c r="T3113" t="s">
        <v>60089</v>
      </c>
      <c r="U3113" t="s">
        <v>60090</v>
      </c>
      <c r="V3113">
        <f>-611.03860693332 -65.9568333185225 -94.1360870358026</f>
        <v>-771.1315272876451</v>
      </c>
      <c r="W3113" t="s">
        <v>60091</v>
      </c>
      <c r="X3113" t="s">
        <v>60092</v>
      </c>
      <c r="Y3113" t="s">
        <v>60093</v>
      </c>
    </row>
    <row r="3114" spans="1:25" x14ac:dyDescent="0.3">
      <c r="A3114">
        <v>155650</v>
      </c>
      <c r="B3114" t="s">
        <v>60094</v>
      </c>
      <c r="C3114" t="s">
        <v>60095</v>
      </c>
      <c r="D3114" t="s">
        <v>60096</v>
      </c>
      <c r="E3114" t="s">
        <v>60097</v>
      </c>
      <c r="F3114" t="s">
        <v>60098</v>
      </c>
      <c r="G3114" t="s">
        <v>60099</v>
      </c>
      <c r="H3114" t="s">
        <v>60100</v>
      </c>
      <c r="I3114" t="s">
        <v>60101</v>
      </c>
      <c r="J3114" t="s">
        <v>60102</v>
      </c>
      <c r="K3114" t="s">
        <v>60103</v>
      </c>
      <c r="L3114" t="s">
        <v>60104</v>
      </c>
      <c r="M3114" t="s">
        <v>60105</v>
      </c>
      <c r="N3114">
        <f>-675.185458937544 -13.869957470285 -529.57982039903</f>
        <v>-1218.6352368068592</v>
      </c>
      <c r="O3114">
        <f>-669.855670458218 -167.039796531198 -500.491347185656</f>
        <v>-1337.386814175072</v>
      </c>
      <c r="P3114">
        <f>-634.997494010804 -179.696452116864 -220.842892613954</f>
        <v>-1035.536838741622</v>
      </c>
      <c r="Q3114">
        <f>-453.135255858494 -100.548816015037 -341.716172853791</f>
        <v>-895.40024472732205</v>
      </c>
      <c r="R3114" t="s">
        <v>60106</v>
      </c>
      <c r="S3114" t="s">
        <v>60107</v>
      </c>
      <c r="T3114" t="s">
        <v>60108</v>
      </c>
      <c r="U3114" t="s">
        <v>60109</v>
      </c>
      <c r="V3114">
        <f>-611.124329857879 -65.9687722098338 -94.1337776590308</f>
        <v>-771.22687972674362</v>
      </c>
      <c r="W3114" t="s">
        <v>60110</v>
      </c>
      <c r="X3114" t="s">
        <v>60111</v>
      </c>
      <c r="Y3114" t="s">
        <v>60112</v>
      </c>
    </row>
    <row r="3115" spans="1:25" x14ac:dyDescent="0.3">
      <c r="A3115">
        <v>155700</v>
      </c>
      <c r="B3115" t="s">
        <v>60113</v>
      </c>
      <c r="C3115" t="s">
        <v>60114</v>
      </c>
      <c r="D3115" t="s">
        <v>60115</v>
      </c>
      <c r="E3115" t="s">
        <v>60116</v>
      </c>
      <c r="F3115" t="s">
        <v>60117</v>
      </c>
      <c r="G3115" t="s">
        <v>60118</v>
      </c>
      <c r="H3115" t="s">
        <v>60119</v>
      </c>
      <c r="I3115" t="s">
        <v>60120</v>
      </c>
      <c r="J3115" t="s">
        <v>60121</v>
      </c>
      <c r="K3115" t="s">
        <v>60122</v>
      </c>
      <c r="L3115" t="s">
        <v>60123</v>
      </c>
      <c r="M3115" t="s">
        <v>60124</v>
      </c>
      <c r="N3115">
        <f>-675.836898220174 -14.2992600154366 -529.475590021238</f>
        <v>-1219.6117482568486</v>
      </c>
      <c r="O3115">
        <f>-670.792449881611 -167.446229578688 -500.165353757012</f>
        <v>-1338.4040332173108</v>
      </c>
      <c r="P3115">
        <f>-635.687637919031 -179.587856551526 -220.524772479194</f>
        <v>-1035.8002669497509</v>
      </c>
      <c r="Q3115">
        <f>-454.409297704808 -100.351283432125 -342.213951799128</f>
        <v>-896.974532936061</v>
      </c>
      <c r="R3115" t="s">
        <v>60125</v>
      </c>
      <c r="S3115" t="s">
        <v>60126</v>
      </c>
      <c r="T3115" t="s">
        <v>60127</v>
      </c>
      <c r="U3115" t="s">
        <v>60128</v>
      </c>
      <c r="V3115">
        <f>-611.106589447535 -66.0279419278813 -94.124766951971</f>
        <v>-771.25929832738734</v>
      </c>
      <c r="W3115" t="s">
        <v>60129</v>
      </c>
      <c r="X3115" t="s">
        <v>60130</v>
      </c>
      <c r="Y3115" t="s">
        <v>60131</v>
      </c>
    </row>
    <row r="3116" spans="1:25" x14ac:dyDescent="0.3">
      <c r="A3116">
        <v>155750</v>
      </c>
      <c r="B3116" t="s">
        <v>60132</v>
      </c>
      <c r="C3116" t="s">
        <v>60133</v>
      </c>
      <c r="D3116" t="s">
        <v>60134</v>
      </c>
      <c r="E3116" t="s">
        <v>60135</v>
      </c>
      <c r="F3116" t="s">
        <v>60136</v>
      </c>
      <c r="G3116" t="s">
        <v>60137</v>
      </c>
      <c r="H3116" t="s">
        <v>60138</v>
      </c>
      <c r="I3116" t="s">
        <v>60139</v>
      </c>
      <c r="J3116" t="s">
        <v>60140</v>
      </c>
      <c r="K3116" t="s">
        <v>60141</v>
      </c>
      <c r="L3116" t="s">
        <v>60142</v>
      </c>
      <c r="M3116" t="s">
        <v>60143</v>
      </c>
      <c r="N3116">
        <f>-676.212516375886 -14.4543010784348 -529.408830185115</f>
        <v>-1220.0756476394358</v>
      </c>
      <c r="O3116">
        <f>-671.291406946449 -167.587346680099 -500.015817220908</f>
        <v>-1338.894570847456</v>
      </c>
      <c r="P3116">
        <f>-635.952132787797 -179.621629918533 -220.400222144859</f>
        <v>-1035.973984851189</v>
      </c>
      <c r="Q3116">
        <f>-454.955709961986 -100.328775630333 -342.471659866455</f>
        <v>-897.75614545877397</v>
      </c>
      <c r="R3116" t="s">
        <v>60144</v>
      </c>
      <c r="S3116" t="s">
        <v>60145</v>
      </c>
      <c r="T3116" t="s">
        <v>60146</v>
      </c>
      <c r="U3116" t="s">
        <v>60147</v>
      </c>
      <c r="V3116">
        <f>-611.070949783843 -66.12056922072 -94.1240565065333</f>
        <v>-771.31557551109631</v>
      </c>
      <c r="W3116" t="s">
        <v>60148</v>
      </c>
      <c r="X3116" t="s">
        <v>60149</v>
      </c>
      <c r="Y3116" t="s">
        <v>60150</v>
      </c>
    </row>
    <row r="3117" spans="1:25" x14ac:dyDescent="0.3">
      <c r="A3117">
        <v>155800</v>
      </c>
      <c r="B3117" t="s">
        <v>60151</v>
      </c>
      <c r="C3117" t="s">
        <v>60152</v>
      </c>
      <c r="D3117" t="s">
        <v>60153</v>
      </c>
      <c r="E3117" t="s">
        <v>60154</v>
      </c>
      <c r="F3117" t="s">
        <v>60155</v>
      </c>
      <c r="G3117" t="s">
        <v>60156</v>
      </c>
      <c r="H3117" t="s">
        <v>60157</v>
      </c>
      <c r="I3117" t="s">
        <v>60158</v>
      </c>
      <c r="J3117" t="s">
        <v>60159</v>
      </c>
      <c r="K3117" t="s">
        <v>60160</v>
      </c>
      <c r="L3117" t="s">
        <v>60161</v>
      </c>
      <c r="M3117" t="s">
        <v>60162</v>
      </c>
      <c r="N3117">
        <f>-676.899327467802 -14.6795231827878 -529.302236824336</f>
        <v>-1220.8810874749256</v>
      </c>
      <c r="O3117">
        <f>-672.141061544652 -167.818215568414 -499.896920252673</f>
        <v>-1339.8561973657388</v>
      </c>
      <c r="P3117">
        <f>-636.346584910649 -179.888652838912 -220.340822421155</f>
        <v>-1036.5760601707159</v>
      </c>
      <c r="Q3117">
        <f>-455.742579446301 -100.70585835028 -343.063214795528</f>
        <v>-899.51165259210904</v>
      </c>
      <c r="R3117" t="s">
        <v>60163</v>
      </c>
      <c r="S3117" t="s">
        <v>60164</v>
      </c>
      <c r="T3117" t="s">
        <v>60165</v>
      </c>
      <c r="U3117" t="s">
        <v>60166</v>
      </c>
      <c r="V3117">
        <f>-610.922737709581 -66.4666685160871 -94.1256736029386</f>
        <v>-771.51507982860676</v>
      </c>
      <c r="W3117" t="s">
        <v>60167</v>
      </c>
      <c r="X3117" t="s">
        <v>60168</v>
      </c>
      <c r="Y3117" t="s">
        <v>60169</v>
      </c>
    </row>
    <row r="3118" spans="1:25" x14ac:dyDescent="0.3">
      <c r="A3118">
        <v>155850</v>
      </c>
      <c r="B3118" t="s">
        <v>60170</v>
      </c>
      <c r="C3118" t="s">
        <v>60171</v>
      </c>
      <c r="D3118" t="s">
        <v>60172</v>
      </c>
      <c r="E3118" t="s">
        <v>60173</v>
      </c>
      <c r="F3118" t="s">
        <v>60174</v>
      </c>
      <c r="G3118" t="s">
        <v>60175</v>
      </c>
      <c r="H3118" t="s">
        <v>60176</v>
      </c>
      <c r="I3118" t="s">
        <v>60177</v>
      </c>
      <c r="J3118" t="s">
        <v>60178</v>
      </c>
      <c r="K3118" t="s">
        <v>60179</v>
      </c>
      <c r="L3118" t="s">
        <v>60180</v>
      </c>
      <c r="M3118" t="s">
        <v>60181</v>
      </c>
      <c r="N3118">
        <f>-677.264819896493 -14.7959718696156 -529.270250568761</f>
        <v>-1221.3310423348696</v>
      </c>
      <c r="O3118">
        <f>-672.549717301696 -167.941150021006 -499.90505338797</f>
        <v>-1340.395920710672</v>
      </c>
      <c r="P3118">
        <f>-636.447602223844 -180.176435123025 -220.395634145775</f>
        <v>-1037.019671492644</v>
      </c>
      <c r="Q3118">
        <f>-456.118622453739 -100.968489657966 -343.50575265482</f>
        <v>-900.59286476652505</v>
      </c>
      <c r="R3118" t="s">
        <v>60182</v>
      </c>
      <c r="S3118" t="s">
        <v>60183</v>
      </c>
      <c r="T3118" t="s">
        <v>60184</v>
      </c>
      <c r="U3118" t="s">
        <v>60185</v>
      </c>
      <c r="V3118">
        <f>-610.87279518069 -66.7046845620371 -94.1307107184047</f>
        <v>-771.70819046113172</v>
      </c>
      <c r="W3118" t="s">
        <v>60186</v>
      </c>
      <c r="X3118" t="s">
        <v>60187</v>
      </c>
      <c r="Y3118" t="s">
        <v>60188</v>
      </c>
    </row>
    <row r="3119" spans="1:25" x14ac:dyDescent="0.3">
      <c r="A3119">
        <v>155900</v>
      </c>
      <c r="B3119" t="s">
        <v>60189</v>
      </c>
      <c r="C3119" t="s">
        <v>60190</v>
      </c>
      <c r="D3119" t="s">
        <v>60191</v>
      </c>
      <c r="E3119" t="s">
        <v>60192</v>
      </c>
      <c r="F3119" t="s">
        <v>60193</v>
      </c>
      <c r="G3119" t="s">
        <v>60194</v>
      </c>
      <c r="H3119" t="s">
        <v>60195</v>
      </c>
      <c r="I3119" t="s">
        <v>60196</v>
      </c>
      <c r="J3119" t="s">
        <v>60197</v>
      </c>
      <c r="K3119" t="s">
        <v>60198</v>
      </c>
      <c r="L3119" t="s">
        <v>60199</v>
      </c>
      <c r="M3119" t="s">
        <v>60200</v>
      </c>
      <c r="N3119">
        <f>-677.750987852997 -14.846955107171 -529.265824513492</f>
        <v>-1221.8637674736601</v>
      </c>
      <c r="O3119">
        <f>-673.040508020125 -168.034114013572 -500.114724161176</f>
        <v>-1341.189346194873</v>
      </c>
      <c r="P3119">
        <f>-636.255271048161 -180.677022981537 -220.712448117286</f>
        <v>-1037.6447421469841</v>
      </c>
      <c r="Q3119">
        <f>-456.60424343943 -101.330816029979 -344.721299243349</f>
        <v>-902.65635871275799</v>
      </c>
      <c r="R3119" t="s">
        <v>60201</v>
      </c>
      <c r="S3119" t="s">
        <v>60202</v>
      </c>
      <c r="T3119" t="s">
        <v>60203</v>
      </c>
      <c r="U3119" t="s">
        <v>60204</v>
      </c>
      <c r="V3119">
        <f>-610.795812734253 -67.0987089924315 -94.1520666088306</f>
        <v>-772.04658833551514</v>
      </c>
      <c r="W3119" t="s">
        <v>60205</v>
      </c>
      <c r="X3119" t="s">
        <v>60206</v>
      </c>
      <c r="Y3119" t="s">
        <v>60207</v>
      </c>
    </row>
    <row r="3120" spans="1:25" x14ac:dyDescent="0.3">
      <c r="A3120">
        <v>155950</v>
      </c>
      <c r="B3120" t="s">
        <v>60208</v>
      </c>
      <c r="C3120" t="s">
        <v>60209</v>
      </c>
      <c r="D3120" t="s">
        <v>60210</v>
      </c>
      <c r="E3120" t="s">
        <v>60211</v>
      </c>
      <c r="F3120" t="s">
        <v>60212</v>
      </c>
      <c r="G3120" t="s">
        <v>60213</v>
      </c>
      <c r="H3120" t="s">
        <v>60214</v>
      </c>
      <c r="I3120" t="s">
        <v>60215</v>
      </c>
      <c r="J3120" t="s">
        <v>60216</v>
      </c>
      <c r="K3120" t="s">
        <v>60217</v>
      </c>
      <c r="L3120" t="s">
        <v>60218</v>
      </c>
      <c r="M3120" t="s">
        <v>60219</v>
      </c>
      <c r="N3120">
        <f>-678.029908350338 -14.8624009670732 -529.245804598864</f>
        <v>-1222.1381139162752</v>
      </c>
      <c r="O3120">
        <f>-673.205952261212 -168.069393548523 -500.226108877754</f>
        <v>-1341.5014546874891</v>
      </c>
      <c r="P3120">
        <f>-636.026205213767 -180.994474635464 -220.889009962486</f>
        <v>-1037.909689811717</v>
      </c>
      <c r="Q3120">
        <f>-456.685696305104 -101.640431384674 -345.341349464902</f>
        <v>-903.66747715468</v>
      </c>
      <c r="R3120" t="s">
        <v>60220</v>
      </c>
      <c r="S3120" t="s">
        <v>60221</v>
      </c>
      <c r="T3120" t="s">
        <v>60222</v>
      </c>
      <c r="U3120" t="s">
        <v>60223</v>
      </c>
      <c r="V3120">
        <f>-610.747484524964 -67.3564055711106 -94.1544897910632</f>
        <v>-772.25837988713772</v>
      </c>
      <c r="W3120" t="s">
        <v>60224</v>
      </c>
      <c r="X3120" t="s">
        <v>60225</v>
      </c>
      <c r="Y3120" t="s">
        <v>60226</v>
      </c>
    </row>
    <row r="3121" spans="1:25" x14ac:dyDescent="0.3">
      <c r="A3121">
        <v>156000</v>
      </c>
      <c r="B3121" t="s">
        <v>60227</v>
      </c>
      <c r="C3121" t="s">
        <v>60228</v>
      </c>
      <c r="D3121" t="s">
        <v>60229</v>
      </c>
      <c r="E3121" t="s">
        <v>60230</v>
      </c>
      <c r="F3121" t="s">
        <v>60231</v>
      </c>
      <c r="G3121" t="s">
        <v>60232</v>
      </c>
      <c r="H3121" t="s">
        <v>60233</v>
      </c>
      <c r="I3121" t="s">
        <v>60234</v>
      </c>
      <c r="J3121" t="s">
        <v>60235</v>
      </c>
      <c r="K3121" t="s">
        <v>60236</v>
      </c>
      <c r="L3121" t="s">
        <v>60237</v>
      </c>
      <c r="M3121" t="s">
        <v>60238</v>
      </c>
      <c r="N3121">
        <f>-678.687171101953 -14.8932202052374 -529.197649612484</f>
        <v>-1222.7780409196744</v>
      </c>
      <c r="O3121">
        <f>-673.699106818103 -168.147301033478 -500.455002694777</f>
        <v>-1342.3014105463581</v>
      </c>
      <c r="P3121">
        <f>-635.616978725825 -181.706311055059 -221.269458510988</f>
        <v>-1038.5927482918719</v>
      </c>
      <c r="Q3121">
        <f>-457.040151608139 -102.449236393242 -346.876681292429</f>
        <v>-906.36606929381003</v>
      </c>
      <c r="R3121" t="s">
        <v>60239</v>
      </c>
      <c r="S3121" t="s">
        <v>60240</v>
      </c>
      <c r="T3121" t="s">
        <v>60241</v>
      </c>
      <c r="U3121" t="s">
        <v>60242</v>
      </c>
      <c r="V3121">
        <f>-610.664809374506 -67.9111288234124 -94.116223705831</f>
        <v>-772.69216190374937</v>
      </c>
      <c r="W3121" t="s">
        <v>60243</v>
      </c>
      <c r="X3121" t="s">
        <v>60244</v>
      </c>
      <c r="Y3121" t="s">
        <v>60245</v>
      </c>
    </row>
    <row r="3122" spans="1:25" x14ac:dyDescent="0.3">
      <c r="A3122">
        <v>156050</v>
      </c>
      <c r="B3122" t="s">
        <v>60246</v>
      </c>
      <c r="C3122" t="s">
        <v>60247</v>
      </c>
      <c r="D3122" t="s">
        <v>60248</v>
      </c>
      <c r="E3122" t="s">
        <v>60249</v>
      </c>
      <c r="F3122" t="s">
        <v>60250</v>
      </c>
      <c r="G3122" t="s">
        <v>60251</v>
      </c>
      <c r="H3122" t="s">
        <v>60252</v>
      </c>
      <c r="I3122" t="s">
        <v>60253</v>
      </c>
      <c r="J3122" t="s">
        <v>60254</v>
      </c>
      <c r="K3122" t="s">
        <v>60255</v>
      </c>
      <c r="L3122" t="s">
        <v>60256</v>
      </c>
      <c r="M3122" t="s">
        <v>60257</v>
      </c>
      <c r="N3122">
        <f>-678.861154821104 -14.8962135724926 -529.207258485068</f>
        <v>-1222.9646268786646</v>
      </c>
      <c r="O3122">
        <f>-673.872592787249 -168.177896368878 -500.606174004064</f>
        <v>-1342.6566631601909</v>
      </c>
      <c r="P3122">
        <f>-635.208059525224 -181.803529005222 -221.504110109203</f>
        <v>-1038.5156986396491</v>
      </c>
      <c r="Q3122">
        <f>-457.009885670907 -102.961828336562 -347.907797188688</f>
        <v>-907.87951119615695</v>
      </c>
      <c r="R3122" t="s">
        <v>60258</v>
      </c>
      <c r="S3122" t="s">
        <v>60259</v>
      </c>
      <c r="T3122" t="s">
        <v>60260</v>
      </c>
      <c r="U3122" t="s">
        <v>60261</v>
      </c>
      <c r="V3122">
        <f>-610.683141058129 -68.2094010022079 -94.1042696914803</f>
        <v>-772.99681175181718</v>
      </c>
      <c r="W3122" t="s">
        <v>60262</v>
      </c>
      <c r="X3122" t="s">
        <v>60263</v>
      </c>
      <c r="Y3122" t="s">
        <v>60264</v>
      </c>
    </row>
    <row r="3123" spans="1:25" x14ac:dyDescent="0.3">
      <c r="A3123">
        <v>156100</v>
      </c>
      <c r="B3123" t="s">
        <v>60265</v>
      </c>
      <c r="C3123" t="s">
        <v>60266</v>
      </c>
      <c r="D3123" t="s">
        <v>60267</v>
      </c>
      <c r="E3123" t="s">
        <v>60268</v>
      </c>
      <c r="F3123" t="s">
        <v>60269</v>
      </c>
      <c r="G3123" t="s">
        <v>60270</v>
      </c>
      <c r="H3123" t="s">
        <v>60271</v>
      </c>
      <c r="I3123" t="s">
        <v>60272</v>
      </c>
      <c r="J3123" t="s">
        <v>60273</v>
      </c>
      <c r="K3123" t="s">
        <v>60274</v>
      </c>
      <c r="L3123" t="s">
        <v>60275</v>
      </c>
      <c r="M3123" t="s">
        <v>60276</v>
      </c>
      <c r="N3123">
        <f>-678.807725240723 -14.9216222607549 -529.242960251693</f>
        <v>-1222.972307753171</v>
      </c>
      <c r="O3123">
        <f>-673.723155153861 -168.24571985103 -500.893566836663</f>
        <v>-1342.8624418415538</v>
      </c>
      <c r="P3123">
        <f>-633.81052897704 -182.284106742882 -221.987661281535</f>
        <v>-1038.0822970014569</v>
      </c>
      <c r="Q3123">
        <f>-456.632149668539 -104.086065446462 -350.211694241827</f>
        <v>-910.92990935682803</v>
      </c>
      <c r="R3123" t="s">
        <v>60277</v>
      </c>
      <c r="S3123" t="s">
        <v>60278</v>
      </c>
      <c r="T3123" t="s">
        <v>60279</v>
      </c>
      <c r="U3123" t="s">
        <v>60280</v>
      </c>
      <c r="V3123">
        <f>-610.840820744404 -68.5633213776287 -94.0514496589008</f>
        <v>-773.45559178093345</v>
      </c>
      <c r="W3123" t="s">
        <v>60281</v>
      </c>
      <c r="X3123" t="s">
        <v>60282</v>
      </c>
      <c r="Y3123" t="s">
        <v>60283</v>
      </c>
    </row>
    <row r="3124" spans="1:25" x14ac:dyDescent="0.3">
      <c r="A3124">
        <v>156150</v>
      </c>
      <c r="B3124" t="s">
        <v>60284</v>
      </c>
      <c r="C3124" t="s">
        <v>60285</v>
      </c>
      <c r="D3124" t="s">
        <v>60286</v>
      </c>
      <c r="E3124" t="s">
        <v>60287</v>
      </c>
      <c r="F3124" t="s">
        <v>60288</v>
      </c>
      <c r="G3124" t="s">
        <v>60289</v>
      </c>
      <c r="H3124" t="s">
        <v>60290</v>
      </c>
      <c r="I3124" t="s">
        <v>60291</v>
      </c>
      <c r="J3124" t="s">
        <v>60292</v>
      </c>
      <c r="K3124" t="s">
        <v>60293</v>
      </c>
      <c r="L3124" t="s">
        <v>60294</v>
      </c>
      <c r="M3124" t="s">
        <v>60295</v>
      </c>
      <c r="N3124">
        <f>-678.747169659508 -14.9021656362736 -529.246284279802</f>
        <v>-1222.8956195755836</v>
      </c>
      <c r="O3124">
        <f>-673.606381061703 -168.240163020097 -500.988196924879</f>
        <v>-1342.834741006679</v>
      </c>
      <c r="P3124">
        <f>-633.115809251564 -182.74810876979 -222.189623450168</f>
        <v>-1038.0535414715221</v>
      </c>
      <c r="Q3124">
        <f>-456.51148567008 -104.684334055074 -351.284441458747</f>
        <v>-912.48026118390101</v>
      </c>
      <c r="R3124" t="s">
        <v>60296</v>
      </c>
      <c r="S3124" t="s">
        <v>60297</v>
      </c>
      <c r="T3124" t="s">
        <v>60298</v>
      </c>
      <c r="U3124" t="s">
        <v>60299</v>
      </c>
      <c r="V3124">
        <f>-611.020331618079 -68.678747886491 -94.0343564226648</f>
        <v>-773.73343592723484</v>
      </c>
      <c r="W3124" t="s">
        <v>60300</v>
      </c>
      <c r="X3124" t="s">
        <v>60301</v>
      </c>
      <c r="Y3124" t="s">
        <v>60302</v>
      </c>
    </row>
    <row r="3125" spans="1:25" x14ac:dyDescent="0.3">
      <c r="A3125">
        <v>156200</v>
      </c>
      <c r="B3125" t="s">
        <v>60303</v>
      </c>
      <c r="C3125" t="s">
        <v>60304</v>
      </c>
      <c r="D3125" t="s">
        <v>60305</v>
      </c>
      <c r="E3125" t="s">
        <v>60306</v>
      </c>
      <c r="F3125" t="s">
        <v>60307</v>
      </c>
      <c r="G3125" t="s">
        <v>60308</v>
      </c>
      <c r="H3125" t="s">
        <v>60309</v>
      </c>
      <c r="I3125" t="s">
        <v>60310</v>
      </c>
      <c r="J3125" t="s">
        <v>60311</v>
      </c>
      <c r="K3125" t="s">
        <v>60312</v>
      </c>
      <c r="L3125" t="s">
        <v>60313</v>
      </c>
      <c r="M3125" t="s">
        <v>60314</v>
      </c>
      <c r="N3125">
        <f>-678.543174400036 -14.8528605390882 -529.276242090887</f>
        <v>-1222.6722770300112</v>
      </c>
      <c r="O3125">
        <f>-673.257537824496 -168.20881548185 -501.137017083179</f>
        <v>-1342.603370389525</v>
      </c>
      <c r="P3125">
        <f>-632.146147218278 -183.208595977013 -222.455282661</f>
        <v>-1037.8100258562911</v>
      </c>
      <c r="Q3125">
        <f>-456.222519383761 -105.588586375101 -352.74181448081</f>
        <v>-914.55292023967195</v>
      </c>
      <c r="R3125" t="s">
        <v>60315</v>
      </c>
      <c r="S3125" t="s">
        <v>60316</v>
      </c>
      <c r="T3125" t="s">
        <v>60317</v>
      </c>
      <c r="U3125" t="s">
        <v>60318</v>
      </c>
      <c r="V3125">
        <f>-611.23925866731 -68.739094048404 -94.0128319986101</f>
        <v>-773.99118471432405</v>
      </c>
      <c r="W3125" t="s">
        <v>60319</v>
      </c>
      <c r="X3125" t="s">
        <v>60320</v>
      </c>
      <c r="Y3125" t="s">
        <v>60321</v>
      </c>
    </row>
    <row r="3126" spans="1:25" x14ac:dyDescent="0.3">
      <c r="A3126">
        <v>156250</v>
      </c>
      <c r="B3126" t="s">
        <v>60322</v>
      </c>
      <c r="C3126" t="s">
        <v>60323</v>
      </c>
      <c r="D3126" t="s">
        <v>60324</v>
      </c>
      <c r="E3126" t="s">
        <v>60325</v>
      </c>
      <c r="F3126" t="s">
        <v>60326</v>
      </c>
      <c r="G3126" t="s">
        <v>60327</v>
      </c>
      <c r="H3126" t="s">
        <v>60328</v>
      </c>
      <c r="I3126" t="s">
        <v>60329</v>
      </c>
      <c r="J3126" t="s">
        <v>60330</v>
      </c>
      <c r="K3126" t="s">
        <v>60331</v>
      </c>
      <c r="L3126" t="s">
        <v>60332</v>
      </c>
      <c r="M3126" t="s">
        <v>60333</v>
      </c>
      <c r="N3126">
        <f>-678.446460175367 -14.8119594720447 -529.264247735472</f>
        <v>-1222.5226673828838</v>
      </c>
      <c r="O3126">
        <f>-673.081078617342 -168.176835867349 -501.181106770315</f>
        <v>-1342.4390212550061</v>
      </c>
      <c r="P3126">
        <f>-631.950338911916 -183.121839231692 -222.499430785624</f>
        <v>-1037.5716089292321</v>
      </c>
      <c r="Q3126">
        <f>-456.236429663825 -105.729775294201 -353.203758447292</f>
        <v>-915.16996340531796</v>
      </c>
      <c r="R3126" t="s">
        <v>60334</v>
      </c>
      <c r="S3126" t="s">
        <v>60335</v>
      </c>
      <c r="T3126" t="s">
        <v>60336</v>
      </c>
      <c r="U3126" t="s">
        <v>60337</v>
      </c>
      <c r="V3126">
        <f>-611.221051472109 -68.6787569676401 -93.9578214725231</f>
        <v>-773.85762991227216</v>
      </c>
      <c r="W3126" t="s">
        <v>60338</v>
      </c>
      <c r="X3126" t="s">
        <v>60339</v>
      </c>
      <c r="Y3126" t="s">
        <v>60340</v>
      </c>
    </row>
    <row r="3127" spans="1:25" x14ac:dyDescent="0.3">
      <c r="A3127">
        <v>156300</v>
      </c>
      <c r="B3127" t="s">
        <v>60341</v>
      </c>
      <c r="C3127" t="s">
        <v>60342</v>
      </c>
      <c r="D3127" t="s">
        <v>60343</v>
      </c>
      <c r="E3127" t="s">
        <v>60344</v>
      </c>
      <c r="F3127" t="s">
        <v>60345</v>
      </c>
      <c r="G3127" t="s">
        <v>60346</v>
      </c>
      <c r="H3127" t="s">
        <v>60347</v>
      </c>
      <c r="I3127" t="s">
        <v>60348</v>
      </c>
      <c r="J3127" t="s">
        <v>60349</v>
      </c>
      <c r="K3127" t="s">
        <v>60350</v>
      </c>
      <c r="L3127" t="s">
        <v>60351</v>
      </c>
      <c r="M3127" t="s">
        <v>60352</v>
      </c>
      <c r="N3127">
        <f>-678.339760005198 -14.6930045618244 -529.200625889088</f>
        <v>-1222.2333904561103</v>
      </c>
      <c r="O3127">
        <f>-672.786612532291 -168.066976938984 -501.206907065318</f>
        <v>-1342.0604965365928</v>
      </c>
      <c r="P3127">
        <f>-631.877539960677 -183.045086621427 -222.494318131433</f>
        <v>-1037.4169447135371</v>
      </c>
      <c r="Q3127">
        <f>-456.218451318279 -105.699969741465 -353.300171216152</f>
        <v>-915.21859227589607</v>
      </c>
      <c r="R3127" t="s">
        <v>60353</v>
      </c>
      <c r="S3127" t="s">
        <v>60354</v>
      </c>
      <c r="T3127" t="s">
        <v>60355</v>
      </c>
      <c r="U3127" t="s">
        <v>60356</v>
      </c>
      <c r="V3127">
        <f>-611.331740359795 -68.4727417487707 -93.8355800438295</f>
        <v>-773.64006215239522</v>
      </c>
      <c r="W3127" t="s">
        <v>60357</v>
      </c>
      <c r="X3127" t="s">
        <v>60358</v>
      </c>
      <c r="Y3127" t="s">
        <v>60359</v>
      </c>
    </row>
    <row r="3128" spans="1:25" x14ac:dyDescent="0.3">
      <c r="A3128">
        <v>156350</v>
      </c>
      <c r="B3128" t="s">
        <v>60360</v>
      </c>
      <c r="C3128" t="s">
        <v>60361</v>
      </c>
      <c r="D3128" t="s">
        <v>60362</v>
      </c>
      <c r="E3128" t="s">
        <v>60363</v>
      </c>
      <c r="F3128" t="s">
        <v>60364</v>
      </c>
      <c r="G3128" t="s">
        <v>60365</v>
      </c>
      <c r="H3128" t="s">
        <v>60366</v>
      </c>
      <c r="I3128" t="s">
        <v>60367</v>
      </c>
      <c r="J3128" t="s">
        <v>60368</v>
      </c>
      <c r="K3128" t="s">
        <v>60369</v>
      </c>
      <c r="L3128" t="s">
        <v>60370</v>
      </c>
      <c r="M3128" t="s">
        <v>60371</v>
      </c>
      <c r="N3128">
        <f>-678.294992650385 -14.6283883131687 -529.192771292207</f>
        <v>-1222.1161522557607</v>
      </c>
      <c r="O3128">
        <f>-672.606222639005 -167.999225267189 -501.206922527527</f>
        <v>-1341.8123704337208</v>
      </c>
      <c r="P3128">
        <f>-631.942230922438 -183.093868873123 -222.464842199751</f>
        <v>-1037.5009419953119</v>
      </c>
      <c r="Q3128">
        <f>-455.987908092704 -105.734797284514 -352.864958774039</f>
        <v>-914.58766415125706</v>
      </c>
      <c r="R3128" t="s">
        <v>60372</v>
      </c>
      <c r="S3128" t="s">
        <v>60373</v>
      </c>
      <c r="T3128" t="s">
        <v>60374</v>
      </c>
      <c r="U3128" t="s">
        <v>60375</v>
      </c>
      <c r="V3128">
        <f>-611.440352666494 -68.3625582984675 -93.8003861383932</f>
        <v>-773.60329710335475</v>
      </c>
      <c r="W3128" t="s">
        <v>60376</v>
      </c>
      <c r="X3128" t="s">
        <v>60377</v>
      </c>
      <c r="Y3128" t="s">
        <v>60378</v>
      </c>
    </row>
    <row r="3129" spans="1:25" x14ac:dyDescent="0.3">
      <c r="A3129">
        <v>156400</v>
      </c>
      <c r="B3129" t="s">
        <v>60379</v>
      </c>
      <c r="C3129" t="s">
        <v>60380</v>
      </c>
      <c r="D3129" t="s">
        <v>60381</v>
      </c>
      <c r="E3129" t="s">
        <v>60382</v>
      </c>
      <c r="F3129" t="s">
        <v>60383</v>
      </c>
      <c r="G3129" t="s">
        <v>60384</v>
      </c>
      <c r="H3129" t="s">
        <v>60385</v>
      </c>
      <c r="I3129" t="s">
        <v>60386</v>
      </c>
      <c r="J3129" t="s">
        <v>60387</v>
      </c>
      <c r="K3129" t="s">
        <v>60388</v>
      </c>
      <c r="L3129" t="s">
        <v>60389</v>
      </c>
      <c r="M3129" t="s">
        <v>60390</v>
      </c>
      <c r="N3129">
        <f>-677.878186745348 -14.2636534840258 -529.25545965678</f>
        <v>-1221.3972998861536</v>
      </c>
      <c r="O3129">
        <f>-671.942417860227 -167.638807541369 -501.345213710973</f>
        <v>-1340.9264391125689</v>
      </c>
      <c r="P3129">
        <f>-631.998999711586 -182.669541480152 -222.495576477114</f>
        <v>-1037.164117668852</v>
      </c>
      <c r="Q3129">
        <f>-455.176400747269 -105.325821476393 -351.72498375598</f>
        <v>-912.22720597964201</v>
      </c>
      <c r="R3129" t="s">
        <v>60391</v>
      </c>
      <c r="S3129" t="s">
        <v>60392</v>
      </c>
      <c r="T3129" t="s">
        <v>60393</v>
      </c>
      <c r="U3129" t="s">
        <v>60394</v>
      </c>
      <c r="V3129">
        <f>-611.717516230649 -67.968654207189 -93.7818069787016</f>
        <v>-773.46797741653972</v>
      </c>
      <c r="W3129" t="s">
        <v>60395</v>
      </c>
      <c r="X3129" t="s">
        <v>60396</v>
      </c>
      <c r="Y3129" t="s">
        <v>60397</v>
      </c>
    </row>
    <row r="3130" spans="1:25" x14ac:dyDescent="0.3">
      <c r="A3130">
        <v>156450</v>
      </c>
      <c r="B3130" t="s">
        <v>60398</v>
      </c>
      <c r="C3130" t="s">
        <v>60399</v>
      </c>
      <c r="D3130" t="s">
        <v>60400</v>
      </c>
      <c r="E3130" t="s">
        <v>60401</v>
      </c>
      <c r="F3130" t="s">
        <v>60402</v>
      </c>
      <c r="G3130" t="s">
        <v>60403</v>
      </c>
      <c r="H3130" t="s">
        <v>60404</v>
      </c>
      <c r="I3130" t="s">
        <v>60405</v>
      </c>
      <c r="J3130" t="s">
        <v>60406</v>
      </c>
      <c r="K3130" t="s">
        <v>60407</v>
      </c>
      <c r="L3130" t="s">
        <v>60408</v>
      </c>
      <c r="M3130" t="s">
        <v>60409</v>
      </c>
      <c r="N3130">
        <f>-677.643174848299 -14.0646547485353 -529.298708298985</f>
        <v>-1221.0065378958193</v>
      </c>
      <c r="O3130">
        <f>-671.629692807582 -167.437162134642 -501.392708628371</f>
        <v>-1340.459563570595</v>
      </c>
      <c r="P3130">
        <f>-631.841647021986 -182.463675725056 -222.520517783787</f>
        <v>-1036.8258405308288</v>
      </c>
      <c r="Q3130">
        <f>-454.803732179371 -104.917383598596 -351.333171553838</f>
        <v>-911.05428733180497</v>
      </c>
      <c r="R3130" t="s">
        <v>60410</v>
      </c>
      <c r="S3130" t="s">
        <v>60411</v>
      </c>
      <c r="T3130" t="s">
        <v>60412</v>
      </c>
      <c r="U3130" t="s">
        <v>60413</v>
      </c>
      <c r="V3130">
        <f>-611.885515871386 -67.8278169018886 -93.7975187063163</f>
        <v>-773.51085147959088</v>
      </c>
      <c r="W3130" t="s">
        <v>60414</v>
      </c>
      <c r="X3130" t="s">
        <v>60415</v>
      </c>
      <c r="Y3130" t="s">
        <v>60416</v>
      </c>
    </row>
    <row r="3131" spans="1:25" x14ac:dyDescent="0.3">
      <c r="A3131">
        <v>156500</v>
      </c>
      <c r="B3131" t="s">
        <v>60417</v>
      </c>
      <c r="C3131" t="s">
        <v>60418</v>
      </c>
      <c r="D3131" t="s">
        <v>60419</v>
      </c>
      <c r="E3131" t="s">
        <v>60420</v>
      </c>
      <c r="F3131" t="s">
        <v>60421</v>
      </c>
      <c r="G3131" t="s">
        <v>60422</v>
      </c>
      <c r="H3131" t="s">
        <v>60423</v>
      </c>
      <c r="I3131" t="s">
        <v>60424</v>
      </c>
      <c r="J3131" t="s">
        <v>60425</v>
      </c>
      <c r="K3131" t="s">
        <v>60426</v>
      </c>
      <c r="L3131" t="s">
        <v>60427</v>
      </c>
      <c r="M3131" t="s">
        <v>60428</v>
      </c>
      <c r="N3131">
        <f>-677.596679680991 -13.6963148325017 -529.411590575003</f>
        <v>-1220.7045850884956</v>
      </c>
      <c r="O3131">
        <f>-671.466567594636 -167.077537070783 -501.583373099549</f>
        <v>-1340.127477764968</v>
      </c>
      <c r="P3131">
        <f>-631.764750110671 -182.55606592707 -222.723525665326</f>
        <v>-1037.0443417030669</v>
      </c>
      <c r="Q3131">
        <f>-454.730649348266 -103.774102158842 -350.789383823257</f>
        <v>-909.29413533036507</v>
      </c>
      <c r="R3131" t="s">
        <v>60429</v>
      </c>
      <c r="S3131" t="s">
        <v>60430</v>
      </c>
      <c r="T3131" t="s">
        <v>60431</v>
      </c>
      <c r="U3131" t="s">
        <v>60432</v>
      </c>
      <c r="V3131">
        <f>-612.354175823491 -67.6154742454426 -93.861284459928</f>
        <v>-773.83093452886158</v>
      </c>
      <c r="W3131" t="s">
        <v>60433</v>
      </c>
      <c r="X3131" t="s">
        <v>60434</v>
      </c>
      <c r="Y3131" t="s">
        <v>60435</v>
      </c>
    </row>
    <row r="3132" spans="1:25" x14ac:dyDescent="0.3">
      <c r="A3132">
        <v>156550</v>
      </c>
      <c r="B3132" t="s">
        <v>60436</v>
      </c>
      <c r="C3132" t="s">
        <v>60437</v>
      </c>
      <c r="D3132" t="s">
        <v>60438</v>
      </c>
      <c r="E3132" t="s">
        <v>60439</v>
      </c>
      <c r="F3132" t="s">
        <v>60440</v>
      </c>
      <c r="G3132" t="s">
        <v>60441</v>
      </c>
      <c r="H3132" t="s">
        <v>60442</v>
      </c>
      <c r="I3132" t="s">
        <v>60443</v>
      </c>
      <c r="J3132" t="s">
        <v>60444</v>
      </c>
      <c r="K3132" t="s">
        <v>60445</v>
      </c>
      <c r="L3132" t="s">
        <v>60446</v>
      </c>
      <c r="M3132" t="s">
        <v>60447</v>
      </c>
      <c r="N3132">
        <f>-677.587678557205 -13.4429115345931 -529.518768504859</f>
        <v>-1220.5493585966572</v>
      </c>
      <c r="O3132">
        <f>-671.463399462444 -166.844857984604 -501.790518561476</f>
        <v>-1340.0987760085241</v>
      </c>
      <c r="P3132">
        <f>-631.894788402274 -182.35595045119 -222.913614405125</f>
        <v>-1037.164353258589</v>
      </c>
      <c r="Q3132">
        <f>-454.892327779738 -103.155041311503 -350.764636294264</f>
        <v>-908.81200538550502</v>
      </c>
      <c r="R3132" t="s">
        <v>60448</v>
      </c>
      <c r="S3132" t="s">
        <v>60449</v>
      </c>
      <c r="T3132" t="s">
        <v>60450</v>
      </c>
      <c r="U3132" t="s">
        <v>60451</v>
      </c>
      <c r="V3132">
        <f>-612.585244993603 -67.543105966975 -93.9239482640975</f>
        <v>-774.05229922467549</v>
      </c>
      <c r="W3132" t="s">
        <v>60452</v>
      </c>
      <c r="X3132" t="s">
        <v>60453</v>
      </c>
      <c r="Y3132" t="s">
        <v>60454</v>
      </c>
    </row>
    <row r="3133" spans="1:25" x14ac:dyDescent="0.3">
      <c r="A3133">
        <v>156600</v>
      </c>
      <c r="B3133" t="s">
        <v>60455</v>
      </c>
      <c r="C3133" t="s">
        <v>60456</v>
      </c>
      <c r="D3133" t="s">
        <v>60457</v>
      </c>
      <c r="E3133" t="s">
        <v>60458</v>
      </c>
      <c r="F3133" t="s">
        <v>60459</v>
      </c>
      <c r="G3133" t="s">
        <v>60460</v>
      </c>
      <c r="H3133" t="s">
        <v>60461</v>
      </c>
      <c r="I3133" t="s">
        <v>60462</v>
      </c>
      <c r="J3133" t="s">
        <v>60463</v>
      </c>
      <c r="K3133" t="s">
        <v>60464</v>
      </c>
      <c r="L3133" t="s">
        <v>60465</v>
      </c>
      <c r="M3133" t="s">
        <v>60466</v>
      </c>
      <c r="N3133">
        <f>-677.526366317579 -12.8572862557974 -529.721044853687</f>
        <v>-1220.1046974270635</v>
      </c>
      <c r="O3133">
        <f>-671.405789362695 -166.288627647818 -502.159336140743</f>
        <v>-1339.8537531512561</v>
      </c>
      <c r="P3133">
        <f>-632.177839786003 -182.022949432648 -223.246751734327</f>
        <v>-1037.447540952978</v>
      </c>
      <c r="Q3133">
        <f>-455.344888819617 -102.306662380488 -351.011940910178</f>
        <v>-908.66349211028296</v>
      </c>
      <c r="R3133" t="s">
        <v>60467</v>
      </c>
      <c r="S3133" t="s">
        <v>60468</v>
      </c>
      <c r="T3133" t="s">
        <v>60469</v>
      </c>
      <c r="U3133" t="s">
        <v>60470</v>
      </c>
      <c r="V3133">
        <f>-612.922097740864 -67.3034546379204 -94.0726484685677</f>
        <v>-774.29820084735206</v>
      </c>
      <c r="W3133" t="s">
        <v>60471</v>
      </c>
      <c r="X3133" t="s">
        <v>60472</v>
      </c>
      <c r="Y3133" t="s">
        <v>60473</v>
      </c>
    </row>
    <row r="3134" spans="1:25" x14ac:dyDescent="0.3">
      <c r="A3134">
        <v>156650</v>
      </c>
      <c r="B3134" t="s">
        <v>60474</v>
      </c>
      <c r="C3134" t="s">
        <v>60475</v>
      </c>
      <c r="D3134" t="s">
        <v>60476</v>
      </c>
      <c r="E3134" t="s">
        <v>60477</v>
      </c>
      <c r="F3134" t="s">
        <v>60478</v>
      </c>
      <c r="G3134" t="s">
        <v>60479</v>
      </c>
      <c r="H3134" t="s">
        <v>60480</v>
      </c>
      <c r="I3134" t="s">
        <v>60481</v>
      </c>
      <c r="J3134" t="s">
        <v>60482</v>
      </c>
      <c r="K3134" t="s">
        <v>60483</v>
      </c>
      <c r="L3134" t="s">
        <v>60484</v>
      </c>
      <c r="M3134" t="s">
        <v>60485</v>
      </c>
      <c r="N3134">
        <f>-677.52403663038 -12.5138658843186 -529.804651320082</f>
        <v>-1219.8425538347806</v>
      </c>
      <c r="O3134">
        <f>-671.431144423646 -165.966040839627 -502.359371458589</f>
        <v>-1339.7565567218619</v>
      </c>
      <c r="P3134">
        <f>-632.302972388876 -181.987579869984 -223.449117992971</f>
        <v>-1037.7396702518311</v>
      </c>
      <c r="Q3134">
        <f>-455.561397764774 -102.094110323589 -351.230223588675</f>
        <v>-908.88573167703794</v>
      </c>
      <c r="R3134" t="s">
        <v>60486</v>
      </c>
      <c r="S3134" t="s">
        <v>60487</v>
      </c>
      <c r="T3134" t="s">
        <v>60488</v>
      </c>
      <c r="U3134" t="s">
        <v>60489</v>
      </c>
      <c r="V3134">
        <f>-612.99864950592 -67.1809897013529 -94.1301439817786</f>
        <v>-774.30978318905147</v>
      </c>
      <c r="W3134" t="s">
        <v>60490</v>
      </c>
      <c r="X3134" t="s">
        <v>60491</v>
      </c>
      <c r="Y3134" t="s">
        <v>60492</v>
      </c>
    </row>
    <row r="3135" spans="1:25" x14ac:dyDescent="0.3">
      <c r="A3135">
        <v>156700</v>
      </c>
      <c r="B3135" t="s">
        <v>60493</v>
      </c>
      <c r="C3135" t="s">
        <v>60494</v>
      </c>
      <c r="D3135" t="s">
        <v>60495</v>
      </c>
      <c r="E3135" t="s">
        <v>60496</v>
      </c>
      <c r="F3135" t="s">
        <v>60497</v>
      </c>
      <c r="G3135" t="s">
        <v>60498</v>
      </c>
      <c r="H3135" t="s">
        <v>60499</v>
      </c>
      <c r="I3135" t="s">
        <v>60500</v>
      </c>
      <c r="J3135" t="s">
        <v>60501</v>
      </c>
      <c r="K3135" t="s">
        <v>60502</v>
      </c>
      <c r="L3135" t="s">
        <v>60503</v>
      </c>
      <c r="M3135" t="s">
        <v>60504</v>
      </c>
      <c r="N3135">
        <f>-677.390145865751 -11.7594459024358 -529.916450371991</f>
        <v>-1219.0660421401778</v>
      </c>
      <c r="O3135">
        <f>-671.453840027007 -165.263388433885 -502.718083320079</f>
        <v>-1339.435311780971</v>
      </c>
      <c r="P3135">
        <f>-632.279784775688 -181.783861222667 -223.843437532472</f>
        <v>-1037.9070835308271</v>
      </c>
      <c r="Q3135">
        <f>-455.660791022658 -101.846414120085 -351.766362473608</f>
        <v>-909.2735676163511</v>
      </c>
      <c r="R3135" t="s">
        <v>60505</v>
      </c>
      <c r="S3135" t="s">
        <v>60506</v>
      </c>
      <c r="T3135" t="s">
        <v>60507</v>
      </c>
      <c r="U3135" t="s">
        <v>60508</v>
      </c>
      <c r="V3135">
        <f>-612.906825232301 -66.9779671612951 -94.1703202409757</f>
        <v>-774.05511263457174</v>
      </c>
      <c r="W3135" t="s">
        <v>60509</v>
      </c>
      <c r="X3135" t="s">
        <v>60510</v>
      </c>
      <c r="Y3135" t="s">
        <v>60511</v>
      </c>
    </row>
    <row r="3136" spans="1:25" x14ac:dyDescent="0.3">
      <c r="A3136">
        <v>156750</v>
      </c>
      <c r="B3136" t="s">
        <v>60512</v>
      </c>
      <c r="C3136" t="s">
        <v>60513</v>
      </c>
      <c r="D3136" t="s">
        <v>60514</v>
      </c>
      <c r="E3136" t="s">
        <v>60515</v>
      </c>
      <c r="F3136" t="s">
        <v>60516</v>
      </c>
      <c r="G3136" t="s">
        <v>60517</v>
      </c>
      <c r="H3136" t="s">
        <v>60518</v>
      </c>
      <c r="I3136" t="s">
        <v>60519</v>
      </c>
      <c r="J3136" t="s">
        <v>60520</v>
      </c>
      <c r="K3136" t="s">
        <v>60521</v>
      </c>
      <c r="L3136" t="s">
        <v>60522</v>
      </c>
      <c r="M3136" t="s">
        <v>60523</v>
      </c>
      <c r="N3136">
        <f>-677.242233944316 -11.4629295353814 -529.937776624029</f>
        <v>-1218.6429401037262</v>
      </c>
      <c r="O3136">
        <f>-671.407702999476 -164.989291351602 -502.85626534832</f>
        <v>-1339.2532596993979</v>
      </c>
      <c r="P3136">
        <f>-632.116930616036 -181.78819396438 -224.014699940042</f>
        <v>-1037.919824520458</v>
      </c>
      <c r="Q3136">
        <f>-455.641663509031 -101.770439779678 -352.085701282632</f>
        <v>-909.49780457134102</v>
      </c>
      <c r="R3136" t="s">
        <v>60524</v>
      </c>
      <c r="S3136" t="s">
        <v>60525</v>
      </c>
      <c r="T3136" t="s">
        <v>60526</v>
      </c>
      <c r="U3136" t="s">
        <v>60527</v>
      </c>
      <c r="V3136">
        <f>-612.782494859828 -66.9299194173311 -94.1652689333816</f>
        <v>-773.87768321054079</v>
      </c>
      <c r="W3136" t="s">
        <v>60528</v>
      </c>
      <c r="X3136" t="s">
        <v>60529</v>
      </c>
      <c r="Y3136" t="s">
        <v>60530</v>
      </c>
    </row>
    <row r="3137" spans="1:25" x14ac:dyDescent="0.3">
      <c r="A3137">
        <v>156800</v>
      </c>
      <c r="B3137" t="s">
        <v>60531</v>
      </c>
      <c r="C3137" t="s">
        <v>60532</v>
      </c>
      <c r="D3137" t="s">
        <v>60533</v>
      </c>
      <c r="E3137" t="s">
        <v>60534</v>
      </c>
      <c r="F3137" t="s">
        <v>60535</v>
      </c>
      <c r="G3137" t="s">
        <v>60536</v>
      </c>
      <c r="H3137" t="s">
        <v>60537</v>
      </c>
      <c r="I3137" t="s">
        <v>60538</v>
      </c>
      <c r="J3137" t="s">
        <v>60539</v>
      </c>
      <c r="K3137" t="s">
        <v>60540</v>
      </c>
      <c r="L3137" t="s">
        <v>60541</v>
      </c>
      <c r="M3137" t="s">
        <v>60542</v>
      </c>
      <c r="N3137">
        <f>-676.914893200321 -10.8374051452056 -529.917445404304</f>
        <v>-1217.6697437498306</v>
      </c>
      <c r="O3137">
        <f>-671.217441317261 -164.409713693543 -503.075851077255</f>
        <v>-1338.7030060880591</v>
      </c>
      <c r="P3137">
        <f>-631.623855581924 -181.809848226806 -224.314005595725</f>
        <v>-1037.747709404455</v>
      </c>
      <c r="Q3137">
        <f>-455.594978994602 -101.544244036633 -352.843291170313</f>
        <v>-909.98251420154804</v>
      </c>
      <c r="R3137" t="s">
        <v>60543</v>
      </c>
      <c r="S3137" t="s">
        <v>60544</v>
      </c>
      <c r="T3137" t="s">
        <v>60545</v>
      </c>
      <c r="U3137" t="s">
        <v>60546</v>
      </c>
      <c r="V3137">
        <f>-612.323291685679 -66.7786338738072 -94.0846971123046</f>
        <v>-773.18662267179081</v>
      </c>
      <c r="W3137" t="s">
        <v>60547</v>
      </c>
      <c r="X3137" t="s">
        <v>60548</v>
      </c>
      <c r="Y3137" t="s">
        <v>60549</v>
      </c>
    </row>
    <row r="3138" spans="1:25" x14ac:dyDescent="0.3">
      <c r="A3138">
        <v>156850</v>
      </c>
      <c r="B3138" t="s">
        <v>60550</v>
      </c>
      <c r="C3138" t="s">
        <v>60551</v>
      </c>
      <c r="D3138" t="s">
        <v>60552</v>
      </c>
      <c r="E3138" t="s">
        <v>60553</v>
      </c>
      <c r="F3138" t="s">
        <v>60554</v>
      </c>
      <c r="G3138" t="s">
        <v>60555</v>
      </c>
      <c r="H3138" t="s">
        <v>60556</v>
      </c>
      <c r="I3138" t="s">
        <v>60557</v>
      </c>
      <c r="J3138" t="s">
        <v>60558</v>
      </c>
      <c r="K3138" t="s">
        <v>60559</v>
      </c>
      <c r="L3138" t="s">
        <v>60560</v>
      </c>
      <c r="M3138" t="s">
        <v>60561</v>
      </c>
      <c r="N3138">
        <f>-676.731608089174 -10.6147840459269 -529.851943838581</f>
        <v>-1217.1983359736819</v>
      </c>
      <c r="O3138">
        <f>-671.118094719867 -164.208578750773 -503.106469611955</f>
        <v>-1338.4331430825951</v>
      </c>
      <c r="P3138">
        <f>-631.288547372359 -181.747928876741 -224.386858088796</f>
        <v>-1037.423334337896</v>
      </c>
      <c r="Q3138">
        <f>-455.49249907741 -101.4517855925 -353.215550482689</f>
        <v>-910.15983515259904</v>
      </c>
      <c r="R3138" t="s">
        <v>60562</v>
      </c>
      <c r="S3138" t="s">
        <v>60563</v>
      </c>
      <c r="T3138" t="s">
        <v>60564</v>
      </c>
      <c r="U3138" t="s">
        <v>60565</v>
      </c>
      <c r="V3138">
        <f>-611.976886133803 -66.8109971062615 -94.002298373792</f>
        <v>-772.79018161385648</v>
      </c>
      <c r="W3138" t="s">
        <v>60566</v>
      </c>
      <c r="X3138" t="s">
        <v>60567</v>
      </c>
      <c r="Y3138" t="s">
        <v>60568</v>
      </c>
    </row>
    <row r="3139" spans="1:25" x14ac:dyDescent="0.3">
      <c r="A3139">
        <v>156900</v>
      </c>
      <c r="B3139" t="s">
        <v>60569</v>
      </c>
      <c r="C3139" t="s">
        <v>60570</v>
      </c>
      <c r="D3139" t="s">
        <v>60571</v>
      </c>
      <c r="E3139" t="s">
        <v>60572</v>
      </c>
      <c r="F3139" t="s">
        <v>60573</v>
      </c>
      <c r="G3139" t="s">
        <v>60574</v>
      </c>
      <c r="H3139" t="s">
        <v>60575</v>
      </c>
      <c r="I3139" t="s">
        <v>60576</v>
      </c>
      <c r="J3139" t="s">
        <v>60577</v>
      </c>
      <c r="K3139" t="s">
        <v>60578</v>
      </c>
      <c r="L3139" t="s">
        <v>60579</v>
      </c>
      <c r="M3139" t="s">
        <v>60580</v>
      </c>
      <c r="N3139">
        <f>-676.23072676216 -10.086708818839 -529.692834376515</f>
        <v>-1216.0102699575141</v>
      </c>
      <c r="O3139">
        <f>-670.805018918621 -163.717509659557 -503.100440400948</f>
        <v>-1337.622968979126</v>
      </c>
      <c r="P3139">
        <f>-630.534099079816 -181.570300748367 -224.464229878462</f>
        <v>-1036.568629706645</v>
      </c>
      <c r="Q3139">
        <f>-455.04011933772 -101.193237785638 -353.653940682265</f>
        <v>-909.88729780562301</v>
      </c>
      <c r="R3139" t="s">
        <v>60581</v>
      </c>
      <c r="S3139" t="s">
        <v>60582</v>
      </c>
      <c r="T3139" t="s">
        <v>60583</v>
      </c>
      <c r="U3139" t="s">
        <v>60584</v>
      </c>
      <c r="V3139">
        <f>-611.226993904312 -66.7055548761077 -93.8171363343573</f>
        <v>-771.74968511477709</v>
      </c>
      <c r="W3139" t="s">
        <v>60585</v>
      </c>
      <c r="X3139" t="s">
        <v>60586</v>
      </c>
      <c r="Y3139" t="s">
        <v>60587</v>
      </c>
    </row>
    <row r="3140" spans="1:25" x14ac:dyDescent="0.3">
      <c r="A3140">
        <v>156950</v>
      </c>
      <c r="B3140" t="s">
        <v>60588</v>
      </c>
      <c r="C3140" t="s">
        <v>60589</v>
      </c>
      <c r="D3140" t="s">
        <v>60590</v>
      </c>
      <c r="E3140" t="s">
        <v>60591</v>
      </c>
      <c r="F3140" t="s">
        <v>60592</v>
      </c>
      <c r="G3140" t="s">
        <v>60593</v>
      </c>
      <c r="H3140" t="s">
        <v>60594</v>
      </c>
      <c r="I3140" t="s">
        <v>60595</v>
      </c>
      <c r="J3140" t="s">
        <v>60596</v>
      </c>
      <c r="K3140" t="s">
        <v>60597</v>
      </c>
      <c r="L3140" t="s">
        <v>60598</v>
      </c>
      <c r="M3140" t="s">
        <v>60599</v>
      </c>
      <c r="N3140">
        <f>-675.848755245054 -9.88070143619507 -529.638757074992</f>
        <v>-1215.3682137562409</v>
      </c>
      <c r="O3140">
        <f>-670.517686659027 -163.528005675045 -503.141253480199</f>
        <v>-1337.186945814271</v>
      </c>
      <c r="P3140">
        <f>-630.160309934333 -181.572333361727 -224.529901456259</f>
        <v>-1036.2625447523189</v>
      </c>
      <c r="Q3140">
        <f>-454.77690170424 -101.095531649732 -353.807497887474</f>
        <v>-909.67993124144607</v>
      </c>
      <c r="R3140" t="s">
        <v>60600</v>
      </c>
      <c r="S3140" t="s">
        <v>60601</v>
      </c>
      <c r="T3140" t="s">
        <v>60602</v>
      </c>
      <c r="U3140" t="s">
        <v>60603</v>
      </c>
      <c r="V3140">
        <f>-610.904741627254 -66.6789708651213 -93.7349661093098</f>
        <v>-771.31867860168506</v>
      </c>
      <c r="W3140" t="s">
        <v>60604</v>
      </c>
      <c r="X3140" t="s">
        <v>60605</v>
      </c>
      <c r="Y3140" t="s">
        <v>60606</v>
      </c>
    </row>
    <row r="3141" spans="1:25" x14ac:dyDescent="0.3">
      <c r="A3141">
        <v>157000</v>
      </c>
      <c r="B3141" t="s">
        <v>60607</v>
      </c>
      <c r="C3141" t="s">
        <v>60608</v>
      </c>
      <c r="D3141" t="s">
        <v>60609</v>
      </c>
      <c r="E3141" t="s">
        <v>60610</v>
      </c>
      <c r="F3141" t="s">
        <v>60611</v>
      </c>
      <c r="G3141" t="s">
        <v>60612</v>
      </c>
      <c r="H3141" t="s">
        <v>60613</v>
      </c>
      <c r="I3141" t="s">
        <v>60614</v>
      </c>
      <c r="J3141" t="s">
        <v>60615</v>
      </c>
      <c r="K3141" t="s">
        <v>60616</v>
      </c>
      <c r="L3141" t="s">
        <v>60617</v>
      </c>
      <c r="M3141" t="s">
        <v>60618</v>
      </c>
      <c r="N3141">
        <f>-675.202644296867 -9.62122035382458 -529.537301001245</f>
        <v>-1214.3611656519365</v>
      </c>
      <c r="O3141">
        <f>-670.002908908741 -163.292869038993 -503.169868540433</f>
        <v>-1336.4656464881671</v>
      </c>
      <c r="P3141">
        <f>-629.587434852109 -181.770881914681 -224.595288579317</f>
        <v>-1035.953605346107</v>
      </c>
      <c r="Q3141">
        <f>-454.391835858257 -100.989145888326 -353.937300812214</f>
        <v>-909.31828255879714</v>
      </c>
      <c r="R3141" t="s">
        <v>60619</v>
      </c>
      <c r="S3141" t="s">
        <v>60620</v>
      </c>
      <c r="T3141" t="s">
        <v>60621</v>
      </c>
      <c r="U3141" t="s">
        <v>60622</v>
      </c>
      <c r="V3141">
        <f>-610.251293666646 -66.5995304049388 -93.6365188181237</f>
        <v>-770.48734288970854</v>
      </c>
      <c r="W3141" t="s">
        <v>60623</v>
      </c>
      <c r="X3141" t="s">
        <v>60624</v>
      </c>
      <c r="Y3141" t="s">
        <v>60625</v>
      </c>
    </row>
    <row r="3142" spans="1:25" x14ac:dyDescent="0.3">
      <c r="A3142">
        <v>157050</v>
      </c>
      <c r="B3142" t="s">
        <v>60626</v>
      </c>
      <c r="C3142" t="s">
        <v>60627</v>
      </c>
      <c r="D3142" t="s">
        <v>60628</v>
      </c>
      <c r="E3142" t="s">
        <v>60629</v>
      </c>
      <c r="F3142" t="s">
        <v>60630</v>
      </c>
      <c r="G3142" t="s">
        <v>60631</v>
      </c>
      <c r="H3142" t="s">
        <v>60632</v>
      </c>
      <c r="I3142" t="s">
        <v>60633</v>
      </c>
      <c r="J3142" t="s">
        <v>60634</v>
      </c>
      <c r="K3142" t="s">
        <v>60635</v>
      </c>
      <c r="L3142" t="s">
        <v>60636</v>
      </c>
      <c r="M3142" t="s">
        <v>60637</v>
      </c>
      <c r="N3142">
        <f>-674.936888171219 -9.55439447442336 -529.502400611219</f>
        <v>-1213.9936832568615</v>
      </c>
      <c r="O3142">
        <f>-669.799268861767 -163.232233334299 -503.151584624534</f>
        <v>-1336.1830868206</v>
      </c>
      <c r="P3142">
        <f>-629.305207913783 -181.719597610381 -224.589296888523</f>
        <v>-1035.6141024126869</v>
      </c>
      <c r="Q3142">
        <f>-454.047995875084 -101.043031700204 -353.91342269367</f>
        <v>-909.00445026895795</v>
      </c>
      <c r="R3142" t="s">
        <v>60638</v>
      </c>
      <c r="S3142" t="s">
        <v>60639</v>
      </c>
      <c r="T3142" t="s">
        <v>60640</v>
      </c>
      <c r="U3142" t="s">
        <v>60641</v>
      </c>
      <c r="V3142">
        <f>-609.942267960708 -66.5749358321052 -93.6140120781117</f>
        <v>-770.13121587092496</v>
      </c>
      <c r="W3142" t="s">
        <v>60642</v>
      </c>
      <c r="X3142" t="s">
        <v>60643</v>
      </c>
      <c r="Y3142" t="s">
        <v>60644</v>
      </c>
    </row>
    <row r="3143" spans="1:25" x14ac:dyDescent="0.3">
      <c r="A3143">
        <v>157100</v>
      </c>
      <c r="B3143" t="s">
        <v>60645</v>
      </c>
      <c r="C3143" t="s">
        <v>60646</v>
      </c>
      <c r="D3143" t="s">
        <v>60647</v>
      </c>
      <c r="E3143" t="s">
        <v>60648</v>
      </c>
      <c r="F3143" t="s">
        <v>60649</v>
      </c>
      <c r="G3143" t="s">
        <v>60650</v>
      </c>
      <c r="H3143" t="s">
        <v>60651</v>
      </c>
      <c r="I3143" t="s">
        <v>60652</v>
      </c>
      <c r="J3143" t="s">
        <v>60653</v>
      </c>
      <c r="K3143" t="s">
        <v>60654</v>
      </c>
      <c r="L3143" t="s">
        <v>60655</v>
      </c>
      <c r="M3143" t="s">
        <v>60656</v>
      </c>
      <c r="N3143">
        <f>-674.322616905107 -9.32405130406755 -529.513115680686</f>
        <v>-1213.1597838898606</v>
      </c>
      <c r="O3143">
        <f>-669.296541139618 -163.008361485311 -503.163253534497</f>
        <v>-1335.4681561594259</v>
      </c>
      <c r="P3143">
        <f>-628.789645696898 -181.441251124959 -224.599078678771</f>
        <v>-1034.8299755006281</v>
      </c>
      <c r="Q3143">
        <f>-453.239397761928 -101.061383023213 -353.71030672854</f>
        <v>-908.01108751368099</v>
      </c>
      <c r="R3143" t="s">
        <v>60657</v>
      </c>
      <c r="S3143" t="s">
        <v>60658</v>
      </c>
      <c r="T3143" t="s">
        <v>60659</v>
      </c>
      <c r="U3143" t="s">
        <v>60660</v>
      </c>
      <c r="V3143">
        <f>-609.50285516546 -66.4307621014464 -93.6166968450511</f>
        <v>-769.5503141119575</v>
      </c>
      <c r="W3143" t="s">
        <v>60661</v>
      </c>
      <c r="X3143" t="s">
        <v>60662</v>
      </c>
      <c r="Y3143" t="s">
        <v>60663</v>
      </c>
    </row>
    <row r="3144" spans="1:25" x14ac:dyDescent="0.3">
      <c r="A3144">
        <v>157150</v>
      </c>
      <c r="B3144" t="s">
        <v>60664</v>
      </c>
      <c r="C3144" t="s">
        <v>60665</v>
      </c>
      <c r="D3144" t="s">
        <v>60666</v>
      </c>
      <c r="E3144" t="s">
        <v>60667</v>
      </c>
      <c r="F3144" t="s">
        <v>60668</v>
      </c>
      <c r="G3144" t="s">
        <v>60669</v>
      </c>
      <c r="H3144" t="s">
        <v>60670</v>
      </c>
      <c r="I3144" t="s">
        <v>60671</v>
      </c>
      <c r="J3144" t="s">
        <v>60672</v>
      </c>
      <c r="K3144" t="s">
        <v>60673</v>
      </c>
      <c r="L3144" t="s">
        <v>60674</v>
      </c>
      <c r="M3144" t="s">
        <v>60675</v>
      </c>
      <c r="N3144">
        <f>-673.934897764251 -9.23221114785156 -529.551509083259</f>
        <v>-1212.7186179953615</v>
      </c>
      <c r="O3144">
        <f>-668.939150973392 -162.917026399803 -503.224522344812</f>
        <v>-1335.0806997180071</v>
      </c>
      <c r="P3144">
        <f>-628.591861673945 -181.479070137571 -224.645752823003</f>
        <v>-1034.716684634519</v>
      </c>
      <c r="Q3144">
        <f>-452.855981460927 -101.073192678618 -353.487972851083</f>
        <v>-907.417146990628</v>
      </c>
      <c r="R3144" t="s">
        <v>60676</v>
      </c>
      <c r="S3144" t="s">
        <v>60677</v>
      </c>
      <c r="T3144" t="s">
        <v>60678</v>
      </c>
      <c r="U3144" t="s">
        <v>60679</v>
      </c>
      <c r="V3144">
        <f>-609.386424818445 -66.3148892434263 -93.6435094507556</f>
        <v>-769.34482351262682</v>
      </c>
      <c r="W3144" t="s">
        <v>60680</v>
      </c>
      <c r="X3144" t="s">
        <v>60681</v>
      </c>
      <c r="Y3144" t="s">
        <v>60682</v>
      </c>
    </row>
    <row r="3145" spans="1:25" x14ac:dyDescent="0.3">
      <c r="A3145">
        <v>157200</v>
      </c>
      <c r="B3145" t="s">
        <v>60683</v>
      </c>
      <c r="C3145" t="s">
        <v>60684</v>
      </c>
      <c r="D3145" t="s">
        <v>60685</v>
      </c>
      <c r="E3145" t="s">
        <v>60686</v>
      </c>
      <c r="F3145" t="s">
        <v>60687</v>
      </c>
      <c r="G3145" t="s">
        <v>60688</v>
      </c>
      <c r="H3145" t="s">
        <v>60689</v>
      </c>
      <c r="I3145" t="s">
        <v>60690</v>
      </c>
      <c r="J3145" t="s">
        <v>60691</v>
      </c>
      <c r="K3145" t="s">
        <v>60692</v>
      </c>
      <c r="L3145" t="s">
        <v>60693</v>
      </c>
      <c r="M3145" t="s">
        <v>60694</v>
      </c>
      <c r="N3145">
        <f>-673.186302760799 -8.84223245256317 -529.669292826225</f>
        <v>-1211.6978280395872</v>
      </c>
      <c r="O3145">
        <f>-668.354429433636 -162.542503931384 -503.375544955524</f>
        <v>-1334.272478320544</v>
      </c>
      <c r="P3145">
        <f>-628.275224438467 -181.287491995173 -224.770234988925</f>
        <v>-1034.332951422565</v>
      </c>
      <c r="Q3145">
        <f>-452.23528453787 -100.803406961219 -353.147993590754</f>
        <v>-906.18668508984297</v>
      </c>
      <c r="R3145" t="s">
        <v>60695</v>
      </c>
      <c r="S3145" t="s">
        <v>60696</v>
      </c>
      <c r="T3145" t="s">
        <v>60697</v>
      </c>
      <c r="U3145" t="s">
        <v>60698</v>
      </c>
      <c r="V3145">
        <f>-609.142816309313 -65.9542009629909 -93.7284542034631</f>
        <v>-768.82547147576702</v>
      </c>
      <c r="W3145" t="s">
        <v>60699</v>
      </c>
      <c r="X3145" t="s">
        <v>60700</v>
      </c>
      <c r="Y3145" t="s">
        <v>60701</v>
      </c>
    </row>
    <row r="3146" spans="1:25" x14ac:dyDescent="0.3">
      <c r="A3146">
        <v>157250</v>
      </c>
      <c r="B3146" t="s">
        <v>60702</v>
      </c>
      <c r="C3146" t="s">
        <v>60703</v>
      </c>
      <c r="D3146" t="s">
        <v>60704</v>
      </c>
      <c r="E3146" t="s">
        <v>60705</v>
      </c>
      <c r="F3146" t="s">
        <v>60706</v>
      </c>
      <c r="G3146" t="s">
        <v>60707</v>
      </c>
      <c r="H3146" t="s">
        <v>60708</v>
      </c>
      <c r="I3146" t="s">
        <v>60709</v>
      </c>
      <c r="J3146" t="s">
        <v>60710</v>
      </c>
      <c r="K3146" t="s">
        <v>60711</v>
      </c>
      <c r="L3146" t="s">
        <v>60712</v>
      </c>
      <c r="M3146" t="s">
        <v>60713</v>
      </c>
      <c r="N3146">
        <f>-672.948391273475 -8.6786786865564 -529.722162895936</f>
        <v>-1211.3492328559673</v>
      </c>
      <c r="O3146">
        <f>-668.20333006769 -162.380086844981 -503.417656432753</f>
        <v>-1334.0010733454242</v>
      </c>
      <c r="P3146">
        <f>-628.203329240918 -181.119256050063 -224.800679521681</f>
        <v>-1034.123264812662</v>
      </c>
      <c r="Q3146">
        <f>-452.026394522661 -100.639341781573 -352.992642817509</f>
        <v>-905.658379121743</v>
      </c>
      <c r="R3146" t="s">
        <v>60714</v>
      </c>
      <c r="S3146" t="s">
        <v>60715</v>
      </c>
      <c r="T3146" t="s">
        <v>60716</v>
      </c>
      <c r="U3146" t="s">
        <v>60717</v>
      </c>
      <c r="V3146">
        <f>-608.959918498686 -65.748398239607 -93.7655272478355</f>
        <v>-768.47384398612849</v>
      </c>
      <c r="W3146" t="s">
        <v>60718</v>
      </c>
      <c r="X3146" t="s">
        <v>60719</v>
      </c>
      <c r="Y3146" t="s">
        <v>60720</v>
      </c>
    </row>
    <row r="3147" spans="1:25" x14ac:dyDescent="0.3">
      <c r="A3147">
        <v>157300</v>
      </c>
      <c r="B3147" t="s">
        <v>60721</v>
      </c>
      <c r="C3147" t="s">
        <v>60722</v>
      </c>
      <c r="D3147" t="s">
        <v>60723</v>
      </c>
      <c r="E3147" t="s">
        <v>60724</v>
      </c>
      <c r="F3147" t="s">
        <v>60725</v>
      </c>
      <c r="G3147" t="s">
        <v>60726</v>
      </c>
      <c r="H3147" t="s">
        <v>60727</v>
      </c>
      <c r="I3147" t="s">
        <v>60728</v>
      </c>
      <c r="J3147" t="s">
        <v>60729</v>
      </c>
      <c r="K3147" t="s">
        <v>60730</v>
      </c>
      <c r="L3147" t="s">
        <v>60731</v>
      </c>
      <c r="M3147" t="s">
        <v>60732</v>
      </c>
      <c r="N3147">
        <f>-671.967004143488 -8.30715541272593 -529.885995318954</f>
        <v>-1210.1601548751678</v>
      </c>
      <c r="O3147">
        <f>-667.406044545683 -162.018973534735 -503.615610266359</f>
        <v>-1333.0406283467769</v>
      </c>
      <c r="P3147">
        <f>-627.735990780962 -180.778774412741 -224.952756341778</f>
        <v>-1033.467521535481</v>
      </c>
      <c r="Q3147">
        <f>-451.200705472014 -100.30024835885 -352.651866132396</f>
        <v>-904.15281996325996</v>
      </c>
      <c r="R3147" t="s">
        <v>60733</v>
      </c>
      <c r="S3147" t="s">
        <v>60734</v>
      </c>
      <c r="T3147" t="s">
        <v>60735</v>
      </c>
      <c r="U3147" t="s">
        <v>60736</v>
      </c>
      <c r="V3147">
        <f>-608.352305144472 -65.3419951341225 -93.8417648075867</f>
        <v>-767.53606508618122</v>
      </c>
      <c r="W3147" t="s">
        <v>60737</v>
      </c>
      <c r="X3147" t="s">
        <v>60738</v>
      </c>
      <c r="Y3147" t="s">
        <v>60739</v>
      </c>
    </row>
    <row r="3148" spans="1:25" x14ac:dyDescent="0.3">
      <c r="A3148">
        <v>157350</v>
      </c>
      <c r="B3148" t="s">
        <v>60740</v>
      </c>
      <c r="C3148" t="s">
        <v>60741</v>
      </c>
      <c r="D3148" t="s">
        <v>60742</v>
      </c>
      <c r="E3148" t="s">
        <v>60743</v>
      </c>
      <c r="F3148" t="s">
        <v>60744</v>
      </c>
      <c r="G3148" t="s">
        <v>60745</v>
      </c>
      <c r="H3148" t="s">
        <v>60746</v>
      </c>
      <c r="I3148" t="s">
        <v>60747</v>
      </c>
      <c r="J3148" t="s">
        <v>60748</v>
      </c>
      <c r="K3148" t="s">
        <v>60749</v>
      </c>
      <c r="L3148" t="s">
        <v>60750</v>
      </c>
      <c r="M3148" t="s">
        <v>60751</v>
      </c>
      <c r="N3148">
        <f>-671.274716222413 -8.14081941851373 -529.969594267614</f>
        <v>-1209.3851299085406</v>
      </c>
      <c r="O3148">
        <f>-666.784777773676 -161.85957160025 -503.732235182823</f>
        <v>-1332.3765845567489</v>
      </c>
      <c r="P3148">
        <f>-627.331217821904 -180.687791089001 -225.043285178913</f>
        <v>-1033.0622940898181</v>
      </c>
      <c r="Q3148">
        <f>-450.708468794995 -100.216254753412 -352.625909541828</f>
        <v>-903.5506330902349</v>
      </c>
      <c r="R3148" t="s">
        <v>60752</v>
      </c>
      <c r="S3148" t="s">
        <v>60753</v>
      </c>
      <c r="T3148" t="s">
        <v>60754</v>
      </c>
      <c r="U3148" t="s">
        <v>60755</v>
      </c>
      <c r="V3148">
        <f>-608.040160432133 -65.2815518169077 -93.8678928522771</f>
        <v>-767.18960510131785</v>
      </c>
      <c r="W3148" t="s">
        <v>60756</v>
      </c>
      <c r="X3148" t="s">
        <v>60757</v>
      </c>
      <c r="Y3148" t="s">
        <v>60758</v>
      </c>
    </row>
    <row r="3149" spans="1:25" x14ac:dyDescent="0.3">
      <c r="A3149">
        <v>157400</v>
      </c>
      <c r="B3149" t="s">
        <v>60759</v>
      </c>
      <c r="C3149" t="s">
        <v>60760</v>
      </c>
      <c r="D3149" t="s">
        <v>60761</v>
      </c>
      <c r="E3149" t="s">
        <v>60762</v>
      </c>
      <c r="F3149" t="s">
        <v>60763</v>
      </c>
      <c r="G3149" t="s">
        <v>60764</v>
      </c>
      <c r="H3149" t="s">
        <v>60765</v>
      </c>
      <c r="I3149" t="s">
        <v>60766</v>
      </c>
      <c r="J3149" t="s">
        <v>60767</v>
      </c>
      <c r="K3149" t="s">
        <v>60768</v>
      </c>
      <c r="L3149" t="s">
        <v>60769</v>
      </c>
      <c r="M3149" t="s">
        <v>60770</v>
      </c>
      <c r="N3149">
        <f>-669.960724683404 -7.96792549837915 -530.045998058673</f>
        <v>-1207.9746482404562</v>
      </c>
      <c r="O3149">
        <f>-665.543716643069 -161.672279533027 -503.738631552029</f>
        <v>-1330.9546277281252</v>
      </c>
      <c r="P3149">
        <f>-626.319252784838 -180.374949244221 -225.008942230361</f>
        <v>-1031.70314425942</v>
      </c>
      <c r="Q3149">
        <f>-449.77925434893 -99.7267906498955 -352.594330814185</f>
        <v>-902.10037581301049</v>
      </c>
      <c r="R3149" t="s">
        <v>60771</v>
      </c>
      <c r="S3149" t="s">
        <v>60772</v>
      </c>
      <c r="T3149" t="s">
        <v>60773</v>
      </c>
      <c r="U3149" t="s">
        <v>60774</v>
      </c>
      <c r="V3149">
        <f>-607.293241158675 -65.1582694211877 -93.880018476376</f>
        <v>-766.33152905623865</v>
      </c>
      <c r="W3149" t="s">
        <v>60775</v>
      </c>
      <c r="X3149" t="s">
        <v>60776</v>
      </c>
      <c r="Y3149" t="s">
        <v>60777</v>
      </c>
    </row>
    <row r="3150" spans="1:25" x14ac:dyDescent="0.3">
      <c r="A3150">
        <v>157450</v>
      </c>
      <c r="B3150" t="s">
        <v>60778</v>
      </c>
      <c r="C3150" t="s">
        <v>60779</v>
      </c>
      <c r="D3150" t="s">
        <v>60780</v>
      </c>
      <c r="E3150" t="s">
        <v>60781</v>
      </c>
      <c r="F3150" t="s">
        <v>60782</v>
      </c>
      <c r="G3150" t="s">
        <v>60783</v>
      </c>
      <c r="H3150" t="s">
        <v>60784</v>
      </c>
      <c r="I3150" t="s">
        <v>60785</v>
      </c>
      <c r="J3150" t="s">
        <v>60786</v>
      </c>
      <c r="K3150" t="s">
        <v>60787</v>
      </c>
      <c r="L3150" t="s">
        <v>60788</v>
      </c>
      <c r="M3150" t="s">
        <v>60789</v>
      </c>
      <c r="N3150">
        <f>-669.400728777201 -7.99866080663219 -530.038179893822</f>
        <v>-1207.4375694776552</v>
      </c>
      <c r="O3150">
        <f>-664.974217361094 -161.694534747846 -503.677226223049</f>
        <v>-1330.345978331989</v>
      </c>
      <c r="P3150">
        <f>-625.821615360392 -180.408271637338 -224.938035732058</f>
        <v>-1031.167922729788</v>
      </c>
      <c r="Q3150">
        <f>-449.346117969637 -99.4938326319218 -352.44422125006</f>
        <v>-901.28417185161879</v>
      </c>
      <c r="R3150" t="s">
        <v>60790</v>
      </c>
      <c r="S3150" t="s">
        <v>60791</v>
      </c>
      <c r="T3150" t="s">
        <v>60792</v>
      </c>
      <c r="U3150" t="s">
        <v>60793</v>
      </c>
      <c r="V3150">
        <f>-606.810101318101 -65.0472745512914 -93.8615507780115</f>
        <v>-765.71892664740392</v>
      </c>
      <c r="W3150" t="s">
        <v>60794</v>
      </c>
      <c r="X3150" t="s">
        <v>60795</v>
      </c>
      <c r="Y3150" t="s">
        <v>60796</v>
      </c>
    </row>
    <row r="3151" spans="1:25" x14ac:dyDescent="0.3">
      <c r="A3151">
        <v>157500</v>
      </c>
      <c r="B3151" t="s">
        <v>60797</v>
      </c>
      <c r="C3151" t="s">
        <v>60798</v>
      </c>
      <c r="D3151" t="s">
        <v>60799</v>
      </c>
      <c r="E3151" t="s">
        <v>60800</v>
      </c>
      <c r="F3151" t="s">
        <v>60801</v>
      </c>
      <c r="G3151" t="s">
        <v>60802</v>
      </c>
      <c r="H3151" t="s">
        <v>60803</v>
      </c>
      <c r="I3151" t="s">
        <v>60804</v>
      </c>
      <c r="J3151" t="s">
        <v>60805</v>
      </c>
      <c r="K3151" t="s">
        <v>60806</v>
      </c>
      <c r="L3151" t="s">
        <v>60807</v>
      </c>
      <c r="M3151" t="s">
        <v>60808</v>
      </c>
      <c r="N3151">
        <f>-668.322647355022 -7.87830396139248 -529.968459319346</f>
        <v>-1206.1694106357604</v>
      </c>
      <c r="O3151">
        <f>-663.934834071875 -161.560523795663 -503.495424093318</f>
        <v>-1328.9907819608561</v>
      </c>
      <c r="P3151">
        <f>-624.969521835899 -180.124917216051 -224.72022394326</f>
        <v>-1029.81466299521</v>
      </c>
      <c r="Q3151">
        <f>-448.629756547778 -98.4794632927126 -351.947621542849</f>
        <v>-899.05684138333959</v>
      </c>
      <c r="R3151" t="s">
        <v>60809</v>
      </c>
      <c r="S3151" t="s">
        <v>60810</v>
      </c>
      <c r="T3151" t="s">
        <v>60811</v>
      </c>
      <c r="U3151" t="s">
        <v>60812</v>
      </c>
      <c r="V3151">
        <f>-605.569665221624 -64.7221108409626 -93.8047634167929</f>
        <v>-764.09653947937943</v>
      </c>
      <c r="W3151" t="s">
        <v>60813</v>
      </c>
      <c r="X3151" t="s">
        <v>60814</v>
      </c>
      <c r="Y3151" t="s">
        <v>60815</v>
      </c>
    </row>
    <row r="3152" spans="1:25" x14ac:dyDescent="0.3">
      <c r="A3152">
        <v>157550</v>
      </c>
      <c r="B3152" t="s">
        <v>60816</v>
      </c>
      <c r="C3152" t="s">
        <v>60817</v>
      </c>
      <c r="D3152" t="s">
        <v>60818</v>
      </c>
      <c r="E3152" t="s">
        <v>60819</v>
      </c>
      <c r="F3152" t="s">
        <v>60820</v>
      </c>
      <c r="G3152" t="s">
        <v>60821</v>
      </c>
      <c r="H3152" t="s">
        <v>60822</v>
      </c>
      <c r="I3152" t="s">
        <v>60823</v>
      </c>
      <c r="J3152" t="s">
        <v>60824</v>
      </c>
      <c r="K3152" t="s">
        <v>60825</v>
      </c>
      <c r="L3152" t="s">
        <v>60826</v>
      </c>
      <c r="M3152" t="s">
        <v>60827</v>
      </c>
      <c r="N3152">
        <f>-667.861648701974 -7.86553622695783 -529.915724907087</f>
        <v>-1205.6429098360188</v>
      </c>
      <c r="O3152">
        <f>-663.543477401605 -161.531638909886 -503.335573876155</f>
        <v>-1328.410690187646</v>
      </c>
      <c r="P3152">
        <f>-624.732772465295 -179.923328656532 -224.527420340195</f>
        <v>-1029.1835214620221</v>
      </c>
      <c r="Q3152">
        <f>-448.357488757164 -97.9816625594826 -351.515018118825</f>
        <v>-897.8541694354717</v>
      </c>
      <c r="R3152" t="s">
        <v>60828</v>
      </c>
      <c r="S3152" t="s">
        <v>60829</v>
      </c>
      <c r="T3152" t="s">
        <v>60830</v>
      </c>
      <c r="U3152" t="s">
        <v>60831</v>
      </c>
      <c r="V3152">
        <f>-604.790475383992 -64.6017210368802 -93.7726779204346</f>
        <v>-763.16487434130681</v>
      </c>
      <c r="W3152" t="s">
        <v>60832</v>
      </c>
      <c r="X3152" t="s">
        <v>60833</v>
      </c>
      <c r="Y3152" t="s">
        <v>60834</v>
      </c>
    </row>
    <row r="3153" spans="1:25" x14ac:dyDescent="0.3">
      <c r="A3153">
        <v>157600</v>
      </c>
      <c r="B3153" t="s">
        <v>60835</v>
      </c>
      <c r="C3153" t="s">
        <v>60836</v>
      </c>
      <c r="D3153" t="s">
        <v>60837</v>
      </c>
      <c r="E3153" t="s">
        <v>60838</v>
      </c>
      <c r="F3153" t="s">
        <v>60839</v>
      </c>
      <c r="G3153" t="s">
        <v>60840</v>
      </c>
      <c r="H3153" t="s">
        <v>60841</v>
      </c>
      <c r="I3153" t="s">
        <v>60842</v>
      </c>
      <c r="J3153" t="s">
        <v>60843</v>
      </c>
      <c r="K3153" t="s">
        <v>60844</v>
      </c>
      <c r="L3153" t="s">
        <v>60845</v>
      </c>
      <c r="M3153" t="s">
        <v>60846</v>
      </c>
      <c r="N3153">
        <f>-666.635746842547 -7.88040251185043 -529.792398203972</f>
        <v>-1204.3085475583694</v>
      </c>
      <c r="O3153">
        <f>-662.491602994042 -161.5237070384 -503.040556399814</f>
        <v>-1327.0558664322559</v>
      </c>
      <c r="P3153">
        <f>-624.330101000126 -179.313151285078 -224.103583079126</f>
        <v>-1027.7468353643299</v>
      </c>
      <c r="Q3153">
        <f>-447.863213455499 -96.7834742439545 -350.582257752805</f>
        <v>-895.22894545225859</v>
      </c>
      <c r="R3153" t="s">
        <v>60847</v>
      </c>
      <c r="S3153" t="s">
        <v>60848</v>
      </c>
      <c r="T3153" t="s">
        <v>60849</v>
      </c>
      <c r="U3153" t="s">
        <v>60850</v>
      </c>
      <c r="V3153">
        <f>-603.038409791002 -64.3140353688125 -93.6971152508266</f>
        <v>-761.04956041064111</v>
      </c>
      <c r="W3153" t="s">
        <v>60851</v>
      </c>
      <c r="X3153" t="s">
        <v>60852</v>
      </c>
      <c r="Y3153" t="s">
        <v>60853</v>
      </c>
    </row>
    <row r="3154" spans="1:25" x14ac:dyDescent="0.3">
      <c r="A3154">
        <v>157650</v>
      </c>
      <c r="B3154" t="s">
        <v>60854</v>
      </c>
      <c r="C3154" t="s">
        <v>60855</v>
      </c>
      <c r="D3154" t="s">
        <v>60856</v>
      </c>
      <c r="E3154" t="s">
        <v>60857</v>
      </c>
      <c r="F3154" t="s">
        <v>60858</v>
      </c>
      <c r="G3154" t="s">
        <v>60859</v>
      </c>
      <c r="H3154" t="s">
        <v>60860</v>
      </c>
      <c r="I3154" t="s">
        <v>60861</v>
      </c>
      <c r="J3154" t="s">
        <v>60862</v>
      </c>
      <c r="K3154" t="s">
        <v>60863</v>
      </c>
      <c r="L3154" t="s">
        <v>60864</v>
      </c>
      <c r="M3154" t="s">
        <v>60865</v>
      </c>
      <c r="N3154">
        <f>-665.923746514855 -7.94954324998753 -529.734705454421</f>
        <v>-1203.6079952192636</v>
      </c>
      <c r="O3154">
        <f>-661.901183987287 -161.571335568031 -502.868322146968</f>
        <v>-1326.3408417022861</v>
      </c>
      <c r="P3154">
        <f>-623.946163424685 -179.08726963918 -223.885848173543</f>
        <v>-1026.9192812374081</v>
      </c>
      <c r="Q3154">
        <f>-447.449083406889 -96.210123254576 -350.094754210665</f>
        <v>-893.75396087212994</v>
      </c>
      <c r="R3154" t="s">
        <v>60866</v>
      </c>
      <c r="S3154" t="s">
        <v>60867</v>
      </c>
      <c r="T3154" t="s">
        <v>60868</v>
      </c>
      <c r="U3154" t="s">
        <v>60869</v>
      </c>
      <c r="V3154">
        <f>-602.204642408685 -64.310230434301 -93.6579205868097</f>
        <v>-760.17279342979577</v>
      </c>
      <c r="W3154" t="s">
        <v>60870</v>
      </c>
      <c r="X3154" t="s">
        <v>60871</v>
      </c>
      <c r="Y3154" t="s">
        <v>60872</v>
      </c>
    </row>
    <row r="3155" spans="1:25" x14ac:dyDescent="0.3">
      <c r="A3155">
        <v>157700</v>
      </c>
      <c r="B3155" t="s">
        <v>60873</v>
      </c>
      <c r="C3155" t="s">
        <v>60874</v>
      </c>
      <c r="D3155" t="s">
        <v>60875</v>
      </c>
      <c r="E3155" t="s">
        <v>60876</v>
      </c>
      <c r="F3155" t="s">
        <v>60877</v>
      </c>
      <c r="G3155" t="s">
        <v>60878</v>
      </c>
      <c r="H3155" t="s">
        <v>60879</v>
      </c>
      <c r="I3155" t="s">
        <v>60880</v>
      </c>
      <c r="J3155" t="s">
        <v>60881</v>
      </c>
      <c r="K3155" t="s">
        <v>60882</v>
      </c>
      <c r="L3155" t="s">
        <v>60883</v>
      </c>
      <c r="M3155" t="s">
        <v>60884</v>
      </c>
      <c r="N3155">
        <f>-664.408232799414 -8.12678476186284 -529.622666178419</f>
        <v>-1202.1576837396958</v>
      </c>
      <c r="O3155">
        <f>-660.446428422995 -161.694374732487 -502.4120317917</f>
        <v>-1324.552834947182</v>
      </c>
      <c r="P3155">
        <f>-622.939923527525 -178.486510291808 -223.324524392221</f>
        <v>-1024.750958211554</v>
      </c>
      <c r="Q3155">
        <f>-446.318381829291 -95.3751501656413 -349.204810930212</f>
        <v>-890.89834292514433</v>
      </c>
      <c r="R3155" t="s">
        <v>60885</v>
      </c>
      <c r="S3155" t="s">
        <v>60886</v>
      </c>
      <c r="T3155" t="s">
        <v>60887</v>
      </c>
      <c r="U3155" t="s">
        <v>60888</v>
      </c>
      <c r="V3155">
        <f>-600.559233689283 -64.178946255794 -93.5908186883273</f>
        <v>-758.32899863340435</v>
      </c>
      <c r="W3155" t="s">
        <v>60889</v>
      </c>
      <c r="X3155" t="s">
        <v>60890</v>
      </c>
      <c r="Y3155" t="s">
        <v>60891</v>
      </c>
    </row>
    <row r="3156" spans="1:25" x14ac:dyDescent="0.3">
      <c r="A3156">
        <v>157750</v>
      </c>
      <c r="B3156" t="s">
        <v>60892</v>
      </c>
      <c r="C3156" t="s">
        <v>60893</v>
      </c>
      <c r="D3156" t="s">
        <v>60894</v>
      </c>
      <c r="E3156" t="s">
        <v>60895</v>
      </c>
      <c r="F3156" t="s">
        <v>60896</v>
      </c>
      <c r="G3156" t="s">
        <v>60897</v>
      </c>
      <c r="H3156" t="s">
        <v>60898</v>
      </c>
      <c r="I3156" t="s">
        <v>60899</v>
      </c>
      <c r="J3156" t="s">
        <v>60900</v>
      </c>
      <c r="K3156" t="s">
        <v>60901</v>
      </c>
      <c r="L3156" t="s">
        <v>60902</v>
      </c>
      <c r="M3156" t="s">
        <v>60903</v>
      </c>
      <c r="N3156">
        <f>-663.72768320179 -8.23003319492818 -529.538239043121</f>
        <v>-1201.4959554398392</v>
      </c>
      <c r="O3156">
        <f>-659.787940146758 -161.751832521841 -502.091164543755</f>
        <v>-1323.6309372123542</v>
      </c>
      <c r="P3156">
        <f>-622.271820193557 -178.13659905895 -222.980704619184</f>
        <v>-1023.389123871691</v>
      </c>
      <c r="Q3156">
        <f>-445.725476296704 -94.9503706923379 -348.917127678597</f>
        <v>-889.59297466763894</v>
      </c>
      <c r="R3156" t="s">
        <v>60904</v>
      </c>
      <c r="S3156" t="s">
        <v>60905</v>
      </c>
      <c r="T3156" t="s">
        <v>60906</v>
      </c>
      <c r="U3156" t="s">
        <v>60907</v>
      </c>
      <c r="V3156">
        <f>-599.777827574599 -64.1586769923492 -93.5443927174138</f>
        <v>-757.48089728436196</v>
      </c>
      <c r="W3156" t="s">
        <v>60908</v>
      </c>
      <c r="X3156" t="s">
        <v>60909</v>
      </c>
      <c r="Y3156" t="s">
        <v>60910</v>
      </c>
    </row>
    <row r="3157" spans="1:25" x14ac:dyDescent="0.3">
      <c r="A3157">
        <v>157800</v>
      </c>
      <c r="B3157" t="s">
        <v>60911</v>
      </c>
      <c r="C3157" t="s">
        <v>60912</v>
      </c>
      <c r="D3157" t="s">
        <v>60913</v>
      </c>
      <c r="E3157" t="s">
        <v>60914</v>
      </c>
      <c r="F3157" t="s">
        <v>60915</v>
      </c>
      <c r="G3157" t="s">
        <v>60916</v>
      </c>
      <c r="H3157" t="s">
        <v>60917</v>
      </c>
      <c r="I3157" t="s">
        <v>60918</v>
      </c>
      <c r="J3157" t="s">
        <v>60919</v>
      </c>
      <c r="K3157" t="s">
        <v>60920</v>
      </c>
      <c r="L3157" t="s">
        <v>60921</v>
      </c>
      <c r="M3157" t="s">
        <v>60922</v>
      </c>
      <c r="N3157">
        <f>-662.156792601487 -8.31220027713175 -529.422880517324</f>
        <v>-1199.8918733959426</v>
      </c>
      <c r="O3157">
        <f>-658.389614711878 -161.765211028422 -501.552740612685</f>
        <v>-1321.7075663529849</v>
      </c>
      <c r="P3157">
        <f>-620.9738136226 -177.520774771774 -222.392556222117</f>
        <v>-1020.887144616491</v>
      </c>
      <c r="Q3157">
        <f>-444.801668461665 -94.0497225673876 -348.663986824292</f>
        <v>-887.5153778533446</v>
      </c>
      <c r="R3157" t="s">
        <v>60923</v>
      </c>
      <c r="S3157" t="s">
        <v>60924</v>
      </c>
      <c r="T3157" t="s">
        <v>60925</v>
      </c>
      <c r="U3157" t="s">
        <v>60926</v>
      </c>
      <c r="V3157">
        <f>-598.4264054339 -63.8493707935856 -93.4486384140107</f>
        <v>-755.72441464149631</v>
      </c>
      <c r="W3157" t="s">
        <v>60927</v>
      </c>
      <c r="X3157" t="s">
        <v>60928</v>
      </c>
      <c r="Y3157" t="s">
        <v>60929</v>
      </c>
    </row>
    <row r="3158" spans="1:25" x14ac:dyDescent="0.3">
      <c r="A3158">
        <v>157850</v>
      </c>
      <c r="B3158" t="s">
        <v>60930</v>
      </c>
      <c r="C3158" t="s">
        <v>60931</v>
      </c>
      <c r="D3158" t="s">
        <v>60932</v>
      </c>
      <c r="E3158" t="s">
        <v>60933</v>
      </c>
      <c r="F3158" t="s">
        <v>60934</v>
      </c>
      <c r="G3158" t="s">
        <v>60935</v>
      </c>
      <c r="H3158" t="s">
        <v>60936</v>
      </c>
      <c r="I3158" t="s">
        <v>60937</v>
      </c>
      <c r="J3158" t="s">
        <v>60938</v>
      </c>
      <c r="K3158" t="s">
        <v>60939</v>
      </c>
      <c r="L3158" t="s">
        <v>60940</v>
      </c>
      <c r="M3158" t="s">
        <v>60941</v>
      </c>
      <c r="N3158">
        <f>-661.304707480926 -8.2777463781008 -529.383241411896</f>
        <v>-1198.9656952709229</v>
      </c>
      <c r="O3158">
        <f>-657.664056970962 -161.689656420139 -501.27619549135</f>
        <v>-1320.6299088824508</v>
      </c>
      <c r="P3158">
        <f>-620.227890100197 -177.13427572419 -222.101465694412</f>
        <v>-1019.4636315187989</v>
      </c>
      <c r="Q3158">
        <f>-444.39135437401 -93.5447180158976 -348.761639743261</f>
        <v>-886.69771213316858</v>
      </c>
      <c r="R3158" t="s">
        <v>60942</v>
      </c>
      <c r="S3158" t="s">
        <v>60943</v>
      </c>
      <c r="T3158" t="s">
        <v>60944</v>
      </c>
      <c r="U3158" t="s">
        <v>60945</v>
      </c>
      <c r="V3158">
        <f>-597.75242576374 -63.6013953686434 -93.4013906116001</f>
        <v>-754.75521174398341</v>
      </c>
      <c r="W3158" t="s">
        <v>60946</v>
      </c>
      <c r="X3158" t="s">
        <v>60947</v>
      </c>
      <c r="Y3158" t="s">
        <v>60948</v>
      </c>
    </row>
    <row r="3159" spans="1:25" x14ac:dyDescent="0.3">
      <c r="A3159">
        <v>157900</v>
      </c>
      <c r="B3159" t="s">
        <v>60949</v>
      </c>
      <c r="C3159" t="s">
        <v>60950</v>
      </c>
      <c r="D3159" t="s">
        <v>60951</v>
      </c>
      <c r="E3159" t="s">
        <v>60952</v>
      </c>
      <c r="F3159" t="s">
        <v>60953</v>
      </c>
      <c r="G3159" t="s">
        <v>60954</v>
      </c>
      <c r="H3159" t="s">
        <v>60955</v>
      </c>
      <c r="I3159" t="s">
        <v>60956</v>
      </c>
      <c r="J3159" t="s">
        <v>60957</v>
      </c>
      <c r="K3159" t="s">
        <v>60958</v>
      </c>
      <c r="L3159" t="s">
        <v>60959</v>
      </c>
      <c r="M3159" t="s">
        <v>60960</v>
      </c>
      <c r="N3159">
        <f>-659.712556877397 -8.34223129559268 -529.267469068856</f>
        <v>-1197.3222572418458</v>
      </c>
      <c r="O3159">
        <f>-656.344048065307 -161.644475281858 -500.585937368973</f>
        <v>-1318.574460716138</v>
      </c>
      <c r="P3159">
        <f>-618.776493205706 -176.670257588424 -221.405863437442</f>
        <v>-1016.8526142315719</v>
      </c>
      <c r="Q3159">
        <f>-443.727450158324 -92.5811375235944 -348.82387833347</f>
        <v>-885.13246601538845</v>
      </c>
      <c r="R3159" t="s">
        <v>60961</v>
      </c>
      <c r="S3159" t="s">
        <v>60962</v>
      </c>
      <c r="T3159" t="s">
        <v>60963</v>
      </c>
      <c r="U3159" t="s">
        <v>60964</v>
      </c>
      <c r="V3159">
        <f>-596.535010436386 -63.2402745114264 -93.3151698910393</f>
        <v>-753.09045483885166</v>
      </c>
      <c r="W3159" t="s">
        <v>60965</v>
      </c>
      <c r="X3159" t="s">
        <v>60966</v>
      </c>
      <c r="Y3159" t="s">
        <v>60967</v>
      </c>
    </row>
    <row r="3160" spans="1:25" x14ac:dyDescent="0.3">
      <c r="A3160">
        <v>157950</v>
      </c>
      <c r="B3160" t="s">
        <v>60968</v>
      </c>
      <c r="C3160" t="s">
        <v>60969</v>
      </c>
      <c r="D3160" t="s">
        <v>60970</v>
      </c>
      <c r="E3160" t="s">
        <v>60971</v>
      </c>
      <c r="F3160" t="s">
        <v>60972</v>
      </c>
      <c r="G3160" t="s">
        <v>60973</v>
      </c>
      <c r="H3160" t="s">
        <v>60974</v>
      </c>
      <c r="I3160" t="s">
        <v>60975</v>
      </c>
      <c r="J3160" t="s">
        <v>60976</v>
      </c>
      <c r="K3160" t="s">
        <v>60977</v>
      </c>
      <c r="L3160" t="s">
        <v>60978</v>
      </c>
      <c r="M3160" t="s">
        <v>60979</v>
      </c>
      <c r="N3160">
        <f>-659.100965307735 -8.47767011458473 -529.210758364105</f>
        <v>-1196.7893937864246</v>
      </c>
      <c r="O3160">
        <f>-655.884726101933 -161.733522922156 -500.234002977305</f>
        <v>-1317.8522520013939</v>
      </c>
      <c r="P3160">
        <f>-618.429799594853 -176.298353596877 -221.014328812914</f>
        <v>-1015.7424820046439</v>
      </c>
      <c r="Q3160">
        <f>-443.509205932369 -92.1305863751343 -348.557088087325</f>
        <v>-884.19688039482821</v>
      </c>
      <c r="R3160" t="s">
        <v>60980</v>
      </c>
      <c r="S3160" t="s">
        <v>60981</v>
      </c>
      <c r="T3160" t="s">
        <v>60982</v>
      </c>
      <c r="U3160" t="s">
        <v>60983</v>
      </c>
      <c r="V3160">
        <f>-596.02126105492 -63.12120427082 -93.2808024506515</f>
        <v>-752.42326777639164</v>
      </c>
      <c r="W3160" t="s">
        <v>60984</v>
      </c>
      <c r="X3160" t="s">
        <v>60985</v>
      </c>
      <c r="Y3160" t="s">
        <v>60986</v>
      </c>
    </row>
    <row r="3161" spans="1:25" x14ac:dyDescent="0.3">
      <c r="A3161">
        <v>158000</v>
      </c>
      <c r="B3161" t="s">
        <v>60987</v>
      </c>
      <c r="C3161" t="s">
        <v>60988</v>
      </c>
      <c r="D3161" t="s">
        <v>60989</v>
      </c>
      <c r="E3161" t="s">
        <v>60990</v>
      </c>
      <c r="F3161" t="s">
        <v>60991</v>
      </c>
      <c r="G3161" t="s">
        <v>60992</v>
      </c>
      <c r="H3161" t="s">
        <v>60993</v>
      </c>
      <c r="I3161" t="s">
        <v>60994</v>
      </c>
      <c r="J3161" t="s">
        <v>60995</v>
      </c>
      <c r="K3161" t="s">
        <v>60996</v>
      </c>
      <c r="L3161" t="s">
        <v>60997</v>
      </c>
      <c r="M3161" t="s">
        <v>60998</v>
      </c>
      <c r="N3161">
        <f>-657.886907043127 -8.88491124154507 -529.075239820388</f>
        <v>-1195.8470581050601</v>
      </c>
      <c r="O3161">
        <f>-654.847565264697 -162.034102844939 -499.538371855455</f>
        <v>-1316.4200399650908</v>
      </c>
      <c r="P3161">
        <f>-617.812302779347 -175.921209641148 -220.228209368651</f>
        <v>-1013.9617217891459</v>
      </c>
      <c r="Q3161">
        <f>-443.251750995718 -91.472461965026 -348.078031007149</f>
        <v>-882.80224396789299</v>
      </c>
      <c r="R3161" t="s">
        <v>60999</v>
      </c>
      <c r="S3161" t="s">
        <v>61000</v>
      </c>
      <c r="T3161" t="s">
        <v>61001</v>
      </c>
      <c r="U3161" t="s">
        <v>61002</v>
      </c>
      <c r="V3161">
        <f>-595.237416573251 -62.8096944199967 -93.2024735364704</f>
        <v>-751.24958452971816</v>
      </c>
      <c r="W3161" t="s">
        <v>61003</v>
      </c>
      <c r="X3161" t="s">
        <v>61004</v>
      </c>
      <c r="Y3161" t="s">
        <v>61005</v>
      </c>
    </row>
    <row r="3162" spans="1:25" x14ac:dyDescent="0.3">
      <c r="A3162">
        <v>158050</v>
      </c>
      <c r="B3162" t="s">
        <v>61006</v>
      </c>
      <c r="C3162" t="s">
        <v>61007</v>
      </c>
      <c r="D3162" t="s">
        <v>61008</v>
      </c>
      <c r="E3162" t="s">
        <v>61009</v>
      </c>
      <c r="F3162" t="s">
        <v>61010</v>
      </c>
      <c r="G3162" t="s">
        <v>61011</v>
      </c>
      <c r="H3162" t="s">
        <v>61012</v>
      </c>
      <c r="I3162" t="s">
        <v>61013</v>
      </c>
      <c r="J3162" t="s">
        <v>61014</v>
      </c>
      <c r="K3162" t="s">
        <v>61015</v>
      </c>
      <c r="L3162" t="s">
        <v>61016</v>
      </c>
      <c r="M3162" t="s">
        <v>61017</v>
      </c>
      <c r="N3162">
        <f>-657.289715898622 -9.01238445129434 -529.036181017554</f>
        <v>-1195.3382813674702</v>
      </c>
      <c r="O3162">
        <f>-654.348073204973 -162.131061018504 -499.29296815192</f>
        <v>-1315.772102375397</v>
      </c>
      <c r="P3162">
        <f>-617.404902711215 -175.933762040057 -219.966497810145</f>
        <v>-1013.305162561417</v>
      </c>
      <c r="Q3162">
        <f>-443.079255631874 -91.3513016783493 -348.048284784958</f>
        <v>-882.47884209518134</v>
      </c>
      <c r="R3162" t="s">
        <v>61018</v>
      </c>
      <c r="S3162" t="s">
        <v>61019</v>
      </c>
      <c r="T3162" t="s">
        <v>61020</v>
      </c>
      <c r="U3162" t="s">
        <v>61021</v>
      </c>
      <c r="V3162">
        <f>-594.918646877359 -62.6644535336557 -93.1726838479347</f>
        <v>-750.75578425894946</v>
      </c>
      <c r="W3162" t="s">
        <v>61022</v>
      </c>
      <c r="X3162" t="s">
        <v>61023</v>
      </c>
      <c r="Y3162" t="s">
        <v>61024</v>
      </c>
    </row>
    <row r="3163" spans="1:25" x14ac:dyDescent="0.3">
      <c r="A3163">
        <v>158100</v>
      </c>
      <c r="B3163" t="s">
        <v>61025</v>
      </c>
      <c r="C3163" t="s">
        <v>61026</v>
      </c>
      <c r="D3163" t="s">
        <v>61027</v>
      </c>
      <c r="E3163" t="s">
        <v>61028</v>
      </c>
      <c r="F3163" t="s">
        <v>61029</v>
      </c>
      <c r="G3163" t="s">
        <v>61030</v>
      </c>
      <c r="H3163" t="s">
        <v>61031</v>
      </c>
      <c r="I3163" t="s">
        <v>61032</v>
      </c>
      <c r="J3163" t="s">
        <v>61033</v>
      </c>
      <c r="K3163" t="s">
        <v>61034</v>
      </c>
      <c r="L3163" t="s">
        <v>61035</v>
      </c>
      <c r="M3163" t="s">
        <v>61036</v>
      </c>
      <c r="N3163">
        <f>-656.859991411834 -9.29215814056943 -528.949432002613</f>
        <v>-1195.1015815550163</v>
      </c>
      <c r="O3163">
        <f>-654.180529015189 -162.353784225907 -498.929163361592</f>
        <v>-1315.4634766026879</v>
      </c>
      <c r="P3163">
        <f>-616.545926357278 -176.262518871912 -219.700383720185</f>
        <v>-1012.5088289493749</v>
      </c>
      <c r="Q3163">
        <f>-442.648713193479 -91.3525154619649 -348.147237829553</f>
        <v>-882.1484664849969</v>
      </c>
      <c r="R3163" t="s">
        <v>61037</v>
      </c>
      <c r="S3163" t="s">
        <v>61038</v>
      </c>
      <c r="T3163" t="s">
        <v>61039</v>
      </c>
      <c r="U3163" t="s">
        <v>61040</v>
      </c>
      <c r="V3163">
        <f>-594.633272474701 -62.5450507474945 -93.1402412119921</f>
        <v>-750.31856443418769</v>
      </c>
      <c r="W3163" t="s">
        <v>61041</v>
      </c>
      <c r="X3163" t="s">
        <v>61042</v>
      </c>
      <c r="Y3163" t="s">
        <v>61043</v>
      </c>
    </row>
    <row r="3164" spans="1:25" x14ac:dyDescent="0.3">
      <c r="A3164">
        <v>158150</v>
      </c>
      <c r="B3164" t="s">
        <v>61044</v>
      </c>
      <c r="C3164" t="s">
        <v>61045</v>
      </c>
      <c r="D3164" t="s">
        <v>61046</v>
      </c>
      <c r="E3164" t="s">
        <v>61047</v>
      </c>
      <c r="F3164" t="s">
        <v>61048</v>
      </c>
      <c r="G3164" t="s">
        <v>61049</v>
      </c>
      <c r="H3164" t="s">
        <v>61050</v>
      </c>
      <c r="I3164" t="s">
        <v>61051</v>
      </c>
      <c r="J3164" t="s">
        <v>61052</v>
      </c>
      <c r="K3164" t="s">
        <v>61053</v>
      </c>
      <c r="L3164" t="s">
        <v>61054</v>
      </c>
      <c r="M3164" t="s">
        <v>61055</v>
      </c>
      <c r="N3164">
        <f>-656.91159111216 -9.42318037232667 -528.89604670068</f>
        <v>-1195.2308181851668</v>
      </c>
      <c r="O3164">
        <f>-654.395545239021 -162.463757791228 -498.72298688581</f>
        <v>-1315.5822899160589</v>
      </c>
      <c r="P3164">
        <f>-616.079876814375 -176.236793648129 -219.579965032737</f>
        <v>-1011.8966354952411</v>
      </c>
      <c r="Q3164">
        <f>-442.432909549944 -91.3794885916511 -348.399582018265</f>
        <v>-882.2119801598601</v>
      </c>
      <c r="R3164" t="s">
        <v>61056</v>
      </c>
      <c r="S3164" t="s">
        <v>61057</v>
      </c>
      <c r="T3164" t="s">
        <v>61058</v>
      </c>
      <c r="U3164" t="s">
        <v>61059</v>
      </c>
      <c r="V3164">
        <f>-594.551917635284 -62.5055132454718 -93.1256608848488</f>
        <v>-750.18309176560456</v>
      </c>
      <c r="W3164" t="s">
        <v>61060</v>
      </c>
      <c r="X3164" t="s">
        <v>61061</v>
      </c>
      <c r="Y3164" t="s">
        <v>61062</v>
      </c>
    </row>
    <row r="3165" spans="1:25" x14ac:dyDescent="0.3">
      <c r="A3165">
        <v>158200</v>
      </c>
      <c r="B3165" t="s">
        <v>61063</v>
      </c>
      <c r="C3165" t="s">
        <v>61064</v>
      </c>
      <c r="D3165" t="s">
        <v>61065</v>
      </c>
      <c r="E3165" t="s">
        <v>61066</v>
      </c>
      <c r="F3165" t="s">
        <v>61067</v>
      </c>
      <c r="G3165" t="s">
        <v>61068</v>
      </c>
      <c r="H3165" t="s">
        <v>61069</v>
      </c>
      <c r="I3165" t="s">
        <v>61070</v>
      </c>
      <c r="J3165" t="s">
        <v>61071</v>
      </c>
      <c r="K3165" t="s">
        <v>61072</v>
      </c>
      <c r="L3165" t="s">
        <v>61073</v>
      </c>
      <c r="M3165" t="s">
        <v>61074</v>
      </c>
      <c r="N3165">
        <f>-657.636680553682 -9.55658260589939 -528.780827194663</f>
        <v>-1195.9740903542443</v>
      </c>
      <c r="O3165">
        <f>-655.42684533519 -162.538311834685 -498.282665939086</f>
        <v>-1316.247823108961</v>
      </c>
      <c r="P3165">
        <f>-615.588089117831 -175.932002734542 -219.334569570456</f>
        <v>-1010.8546614228291</v>
      </c>
      <c r="Q3165">
        <f>-442.342403984358 -91.2466078321918 -348.806009533694</f>
        <v>-882.39502135024384</v>
      </c>
      <c r="R3165" t="s">
        <v>61075</v>
      </c>
      <c r="S3165" t="s">
        <v>61076</v>
      </c>
      <c r="T3165" t="s">
        <v>61077</v>
      </c>
      <c r="U3165" t="s">
        <v>61078</v>
      </c>
      <c r="V3165">
        <f>-594.525061910073 -62.4359298717134 -93.1232885465161</f>
        <v>-750.08428032830238</v>
      </c>
      <c r="W3165" t="s">
        <v>61079</v>
      </c>
      <c r="X3165" t="s">
        <v>61080</v>
      </c>
      <c r="Y3165" t="s">
        <v>61081</v>
      </c>
    </row>
    <row r="3166" spans="1:25" x14ac:dyDescent="0.3">
      <c r="A3166">
        <v>158250</v>
      </c>
      <c r="B3166" t="s">
        <v>61082</v>
      </c>
      <c r="C3166" t="s">
        <v>61083</v>
      </c>
      <c r="D3166" t="s">
        <v>61084</v>
      </c>
      <c r="E3166" t="s">
        <v>61085</v>
      </c>
      <c r="F3166" t="s">
        <v>61086</v>
      </c>
      <c r="G3166" t="s">
        <v>61087</v>
      </c>
      <c r="H3166" t="s">
        <v>61088</v>
      </c>
      <c r="I3166" t="s">
        <v>61089</v>
      </c>
      <c r="J3166" t="s">
        <v>61090</v>
      </c>
      <c r="K3166" t="s">
        <v>61091</v>
      </c>
      <c r="L3166" t="s">
        <v>61092</v>
      </c>
      <c r="M3166" t="s">
        <v>61093</v>
      </c>
      <c r="N3166">
        <f>-657.977834135245 -9.56382399459721 -528.745270882472</f>
        <v>-1196.2869290123142</v>
      </c>
      <c r="O3166">
        <f>-655.945471531164 -162.529384683993 -498.159930351882</f>
        <v>-1316.6347865670389</v>
      </c>
      <c r="P3166">
        <f>-615.743451384544 -175.893598175124 -219.262634368177</f>
        <v>-1010.899683927845</v>
      </c>
      <c r="Q3166">
        <f>-442.641085015903 -90.9321024504927 -348.74472587323</f>
        <v>-882.31791333962565</v>
      </c>
      <c r="R3166" t="s">
        <v>61094</v>
      </c>
      <c r="S3166" t="s">
        <v>61095</v>
      </c>
      <c r="T3166" t="s">
        <v>61096</v>
      </c>
      <c r="U3166" t="s">
        <v>61097</v>
      </c>
      <c r="V3166">
        <f>-594.548150265478 -62.3766212669659 -93.1297332410564</f>
        <v>-750.0545047735003</v>
      </c>
      <c r="W3166" t="s">
        <v>61098</v>
      </c>
      <c r="X3166" t="s">
        <v>61099</v>
      </c>
      <c r="Y3166" t="s">
        <v>61100</v>
      </c>
    </row>
    <row r="3167" spans="1:25" x14ac:dyDescent="0.3">
      <c r="A3167">
        <v>158300</v>
      </c>
      <c r="B3167" t="s">
        <v>61101</v>
      </c>
      <c r="C3167" t="s">
        <v>61102</v>
      </c>
      <c r="D3167" t="s">
        <v>61103</v>
      </c>
      <c r="E3167" t="s">
        <v>61104</v>
      </c>
      <c r="F3167" t="s">
        <v>61105</v>
      </c>
      <c r="G3167" t="s">
        <v>61106</v>
      </c>
      <c r="H3167" t="s">
        <v>61107</v>
      </c>
      <c r="I3167" t="s">
        <v>61108</v>
      </c>
      <c r="J3167" t="s">
        <v>61109</v>
      </c>
      <c r="K3167" t="s">
        <v>61110</v>
      </c>
      <c r="L3167" t="s">
        <v>61111</v>
      </c>
      <c r="M3167" t="s">
        <v>61112</v>
      </c>
      <c r="N3167">
        <f>-658.347947433755 -9.39256102081572 -528.732975860067</f>
        <v>-1196.4734843146377</v>
      </c>
      <c r="O3167">
        <f>-656.537465281572 -162.348634809515 -498.091119228175</f>
        <v>-1316.9772193192621</v>
      </c>
      <c r="P3167">
        <f>-616.456770128815 -175.82906176985 -219.181737393997</f>
        <v>-1011.467569292662</v>
      </c>
      <c r="Q3167">
        <f>-443.596578655275 -89.7180209424969 -348.227327372923</f>
        <v>-881.54192697069493</v>
      </c>
      <c r="R3167" t="s">
        <v>61113</v>
      </c>
      <c r="S3167" t="s">
        <v>61114</v>
      </c>
      <c r="T3167" t="s">
        <v>61115</v>
      </c>
      <c r="U3167" t="s">
        <v>61116</v>
      </c>
      <c r="V3167">
        <f>-594.688412185107 -62.1628143710466 -93.1370770565345</f>
        <v>-749.98830361268813</v>
      </c>
      <c r="W3167" t="s">
        <v>61117</v>
      </c>
      <c r="X3167" t="s">
        <v>61118</v>
      </c>
      <c r="Y3167" t="s">
        <v>61119</v>
      </c>
    </row>
    <row r="3168" spans="1:25" x14ac:dyDescent="0.3">
      <c r="A3168">
        <v>158350</v>
      </c>
      <c r="B3168" t="s">
        <v>61120</v>
      </c>
      <c r="C3168" t="s">
        <v>61121</v>
      </c>
      <c r="D3168" t="s">
        <v>61122</v>
      </c>
      <c r="E3168" t="s">
        <v>61123</v>
      </c>
      <c r="F3168" t="s">
        <v>61124</v>
      </c>
      <c r="G3168" t="s">
        <v>61125</v>
      </c>
      <c r="H3168" t="s">
        <v>61126</v>
      </c>
      <c r="I3168" t="s">
        <v>61127</v>
      </c>
      <c r="J3168" t="s">
        <v>61128</v>
      </c>
      <c r="K3168" t="s">
        <v>61129</v>
      </c>
      <c r="L3168" t="s">
        <v>61130</v>
      </c>
      <c r="M3168" t="s">
        <v>61131</v>
      </c>
      <c r="N3168">
        <f>-658.375147925476 -9.24362022893797 -528.796874141304</f>
        <v>-1196.415642295718</v>
      </c>
      <c r="O3168">
        <f>-656.618033738215 -162.209278819884 -498.209732953233</f>
        <v>-1317.0370455113321</v>
      </c>
      <c r="P3168">
        <f>-616.968678609413 -175.728839004818 -219.240582846687</f>
        <v>-1011.9381004609181</v>
      </c>
      <c r="Q3168">
        <f>-443.952859177121 -89.1732899557171 -347.7792825555</f>
        <v>-880.90543168833813</v>
      </c>
      <c r="R3168" t="s">
        <v>61132</v>
      </c>
      <c r="S3168" t="s">
        <v>61133</v>
      </c>
      <c r="T3168" t="s">
        <v>61134</v>
      </c>
      <c r="U3168" t="s">
        <v>61135</v>
      </c>
      <c r="V3168">
        <f>-594.855134286911 -62.1126585533045 -93.1496422401634</f>
        <v>-750.11743508037898</v>
      </c>
      <c r="W3168" t="s">
        <v>61136</v>
      </c>
      <c r="X3168" t="s">
        <v>61137</v>
      </c>
      <c r="Y3168" t="s">
        <v>61138</v>
      </c>
    </row>
    <row r="3169" spans="1:25" x14ac:dyDescent="0.3">
      <c r="A3169">
        <v>158400</v>
      </c>
      <c r="B3169" t="s">
        <v>61139</v>
      </c>
      <c r="C3169" t="s">
        <v>61140</v>
      </c>
      <c r="D3169" t="s">
        <v>61141</v>
      </c>
      <c r="E3169" t="s">
        <v>61142</v>
      </c>
      <c r="F3169" t="s">
        <v>61143</v>
      </c>
      <c r="G3169" t="s">
        <v>61144</v>
      </c>
      <c r="H3169" t="s">
        <v>61145</v>
      </c>
      <c r="I3169" t="s">
        <v>61146</v>
      </c>
      <c r="J3169" t="s">
        <v>61147</v>
      </c>
      <c r="K3169" t="s">
        <v>61148</v>
      </c>
      <c r="L3169" t="s">
        <v>61149</v>
      </c>
      <c r="M3169" t="s">
        <v>61150</v>
      </c>
      <c r="N3169">
        <f>-658.409230159434 -9.10329069420845 -528.925199933033</f>
        <v>-1196.4377207866755</v>
      </c>
      <c r="O3169">
        <f>-656.692661186277 -162.094025887062 -498.447581217675</f>
        <v>-1317.2342682910139</v>
      </c>
      <c r="P3169">
        <f>-617.563215625885 -175.745530511559 -219.411469555615</f>
        <v>-1012.720215693059</v>
      </c>
      <c r="Q3169">
        <f>-444.018780180759 -88.90005809576 -347.038832959705</f>
        <v>-879.95767123622397</v>
      </c>
      <c r="R3169" t="s">
        <v>61151</v>
      </c>
      <c r="S3169" t="s">
        <v>61152</v>
      </c>
      <c r="T3169" t="s">
        <v>61153</v>
      </c>
      <c r="U3169" t="s">
        <v>61154</v>
      </c>
      <c r="V3169">
        <f>-595.306771104647 -62.0090032404303 -93.2062790084286</f>
        <v>-750.52205335350595</v>
      </c>
      <c r="W3169" t="s">
        <v>61155</v>
      </c>
      <c r="X3169" t="s">
        <v>61156</v>
      </c>
      <c r="Y3169" t="s">
        <v>61157</v>
      </c>
    </row>
    <row r="3170" spans="1:25" x14ac:dyDescent="0.3">
      <c r="A3170">
        <v>158450</v>
      </c>
      <c r="B3170" t="s">
        <v>61158</v>
      </c>
      <c r="C3170" t="s">
        <v>61159</v>
      </c>
      <c r="D3170" t="s">
        <v>61160</v>
      </c>
      <c r="E3170" t="s">
        <v>61161</v>
      </c>
      <c r="F3170" t="s">
        <v>61162</v>
      </c>
      <c r="G3170" t="s">
        <v>61163</v>
      </c>
      <c r="H3170" t="s">
        <v>61164</v>
      </c>
      <c r="I3170" t="s">
        <v>61165</v>
      </c>
      <c r="J3170" t="s">
        <v>61166</v>
      </c>
      <c r="K3170" t="s">
        <v>61167</v>
      </c>
      <c r="L3170" t="s">
        <v>61168</v>
      </c>
      <c r="M3170" t="s">
        <v>61169</v>
      </c>
      <c r="N3170">
        <f>-658.602067662351 -8.82175847958456 -529.038840831759</f>
        <v>-1196.4626669736945</v>
      </c>
      <c r="O3170">
        <f>-656.920722682255 -161.834153130215 -498.69215128628</f>
        <v>-1317.4470270987499</v>
      </c>
      <c r="P3170">
        <f>-617.469592921507 -175.747888511724 -219.71439378375</f>
        <v>-1012.931875216981</v>
      </c>
      <c r="Q3170">
        <f>-444.294979440271 -88.2931571997894 -347.427890863873</f>
        <v>-880.0160275039334</v>
      </c>
      <c r="R3170" t="s">
        <v>61170</v>
      </c>
      <c r="S3170" t="s">
        <v>61171</v>
      </c>
      <c r="T3170" t="s">
        <v>61172</v>
      </c>
      <c r="U3170" t="s">
        <v>61173</v>
      </c>
      <c r="V3170">
        <f>-595.887899310733 -61.9714324768245 -93.2701565940674</f>
        <v>-751.12948838162492</v>
      </c>
      <c r="W3170" t="s">
        <v>61174</v>
      </c>
      <c r="X3170" t="s">
        <v>61175</v>
      </c>
      <c r="Y3170" t="s">
        <v>61176</v>
      </c>
    </row>
    <row r="3171" spans="1:25" x14ac:dyDescent="0.3">
      <c r="A3171">
        <v>158500</v>
      </c>
      <c r="B3171" t="s">
        <v>61177</v>
      </c>
      <c r="C3171" t="s">
        <v>61178</v>
      </c>
      <c r="D3171" t="s">
        <v>61179</v>
      </c>
      <c r="E3171" t="s">
        <v>61180</v>
      </c>
      <c r="F3171" t="s">
        <v>61181</v>
      </c>
      <c r="G3171" t="s">
        <v>61182</v>
      </c>
      <c r="H3171" t="s">
        <v>61183</v>
      </c>
      <c r="I3171" t="s">
        <v>61184</v>
      </c>
      <c r="J3171" t="s">
        <v>61185</v>
      </c>
      <c r="K3171" t="s">
        <v>61186</v>
      </c>
      <c r="L3171" t="s">
        <v>61187</v>
      </c>
      <c r="M3171" t="s">
        <v>61188</v>
      </c>
      <c r="N3171">
        <f>-658.926286397519 -8.75033296722791 -529.069330900244</f>
        <v>-1196.7459502649908</v>
      </c>
      <c r="O3171">
        <f>-657.243249848137 -161.778991028614 -498.813572762388</f>
        <v>-1317.8358136391389</v>
      </c>
      <c r="P3171">
        <f>-617.276348845717 -176.07977142346 -219.928816143457</f>
        <v>-1013.284936412634</v>
      </c>
      <c r="Q3171">
        <f>-444.930803437305 -87.5476294128048 -348.020972899137</f>
        <v>-880.49940574924676</v>
      </c>
      <c r="R3171" t="s">
        <v>61189</v>
      </c>
      <c r="S3171" t="s">
        <v>61190</v>
      </c>
      <c r="T3171" t="s">
        <v>61191</v>
      </c>
      <c r="U3171" t="s">
        <v>61192</v>
      </c>
      <c r="V3171">
        <f>-596.170719290838 -62.0401245927383 -93.3057591645393</f>
        <v>-751.51660304811548</v>
      </c>
      <c r="W3171" t="s">
        <v>61193</v>
      </c>
      <c r="X3171" t="s">
        <v>61194</v>
      </c>
      <c r="Y3171" t="s">
        <v>61195</v>
      </c>
    </row>
    <row r="3172" spans="1:25" x14ac:dyDescent="0.3">
      <c r="A3172">
        <v>158550</v>
      </c>
      <c r="B3172" t="s">
        <v>61196</v>
      </c>
      <c r="C3172" t="s">
        <v>61197</v>
      </c>
      <c r="D3172" t="s">
        <v>61198</v>
      </c>
      <c r="E3172" t="s">
        <v>61199</v>
      </c>
      <c r="F3172" t="s">
        <v>61200</v>
      </c>
      <c r="G3172" t="s">
        <v>61201</v>
      </c>
      <c r="H3172" t="s">
        <v>61202</v>
      </c>
      <c r="I3172" t="s">
        <v>61203</v>
      </c>
      <c r="J3172" t="s">
        <v>61204</v>
      </c>
      <c r="K3172" t="s">
        <v>61205</v>
      </c>
      <c r="L3172" t="s">
        <v>61206</v>
      </c>
      <c r="M3172" t="s">
        <v>61207</v>
      </c>
      <c r="N3172">
        <f>-659.460423227843 -8.63479046370617 -529.066560867296</f>
        <v>-1197.1617745588451</v>
      </c>
      <c r="O3172">
        <f>-657.745906223046 -161.692354992137 -498.921037925823</f>
        <v>-1318.359299141006</v>
      </c>
      <c r="P3172">
        <f>-617.109690903546 -176.3083832238 -220.149229115076</f>
        <v>-1013.567303242422</v>
      </c>
      <c r="Q3172">
        <f>-445.864375475628 -86.5920885669987 -348.89162714495</f>
        <v>-881.34809118757664</v>
      </c>
      <c r="R3172" t="s">
        <v>61208</v>
      </c>
      <c r="S3172" t="s">
        <v>61209</v>
      </c>
      <c r="T3172" t="s">
        <v>61210</v>
      </c>
      <c r="U3172" t="s">
        <v>61211</v>
      </c>
      <c r="V3172">
        <f>-596.405530488336 -62.1121368638828 -93.3260972285817</f>
        <v>-751.84376458080055</v>
      </c>
      <c r="W3172" t="s">
        <v>61212</v>
      </c>
      <c r="X3172" t="s">
        <v>61213</v>
      </c>
      <c r="Y3172" t="s">
        <v>61214</v>
      </c>
    </row>
    <row r="3173" spans="1:25" x14ac:dyDescent="0.3">
      <c r="A3173">
        <v>158600</v>
      </c>
      <c r="B3173" t="s">
        <v>61215</v>
      </c>
      <c r="C3173" t="s">
        <v>61216</v>
      </c>
      <c r="D3173" t="s">
        <v>61217</v>
      </c>
      <c r="E3173" t="s">
        <v>61218</v>
      </c>
      <c r="F3173" t="s">
        <v>61219</v>
      </c>
      <c r="G3173" t="s">
        <v>61220</v>
      </c>
      <c r="H3173" t="s">
        <v>61221</v>
      </c>
      <c r="I3173" t="s">
        <v>61222</v>
      </c>
      <c r="J3173" t="s">
        <v>61223</v>
      </c>
      <c r="K3173" t="s">
        <v>61224</v>
      </c>
      <c r="L3173" t="s">
        <v>61225</v>
      </c>
      <c r="M3173" t="s">
        <v>61226</v>
      </c>
      <c r="N3173">
        <f>-660.852916780481 -8.16973014492396 -528.972442601489</f>
        <v>-1197.9950895268939</v>
      </c>
      <c r="O3173">
        <f>-659.05372188837 -161.274575477632 -499.05463724937</f>
        <v>-1319.3829346153721</v>
      </c>
      <c r="P3173">
        <f>-616.696637450076 -176.316348554751 -220.561900534137</f>
        <v>-1013.5748865389639</v>
      </c>
      <c r="Q3173">
        <f>-447.919895696891 -84.9991704337742 -351.421194266273</f>
        <v>-884.34026039693822</v>
      </c>
      <c r="R3173" t="s">
        <v>61227</v>
      </c>
      <c r="S3173" t="s">
        <v>61228</v>
      </c>
      <c r="T3173" t="s">
        <v>61229</v>
      </c>
      <c r="U3173" t="s">
        <v>61230</v>
      </c>
      <c r="V3173">
        <f>-596.602363943484 -62.0905361395573 -93.3533465199926</f>
        <v>-752.04624660303386</v>
      </c>
      <c r="W3173" t="s">
        <v>61231</v>
      </c>
      <c r="X3173" t="s">
        <v>61232</v>
      </c>
      <c r="Y3173" t="s">
        <v>61233</v>
      </c>
    </row>
    <row r="3174" spans="1:25" x14ac:dyDescent="0.3">
      <c r="A3174">
        <v>158650</v>
      </c>
      <c r="B3174" t="s">
        <v>61234</v>
      </c>
      <c r="C3174" t="s">
        <v>61235</v>
      </c>
      <c r="D3174" t="s">
        <v>61236</v>
      </c>
      <c r="E3174" t="s">
        <v>61237</v>
      </c>
      <c r="F3174" t="s">
        <v>61238</v>
      </c>
      <c r="G3174" t="s">
        <v>61239</v>
      </c>
      <c r="H3174" t="s">
        <v>61240</v>
      </c>
      <c r="I3174" t="s">
        <v>61241</v>
      </c>
      <c r="J3174" t="s">
        <v>61242</v>
      </c>
      <c r="K3174" t="s">
        <v>61243</v>
      </c>
      <c r="L3174" t="s">
        <v>61244</v>
      </c>
      <c r="M3174" t="s">
        <v>61245</v>
      </c>
      <c r="N3174">
        <f>-661.52182990383 -7.76625146186962 -528.937292858918</f>
        <v>-1198.2253742246176</v>
      </c>
      <c r="O3174">
        <f>-659.700769651529 -160.905400870647 -499.183503394959</f>
        <v>-1319.7896739171349</v>
      </c>
      <c r="P3174">
        <f>-616.508176195107 -176.188291864882 -220.832346576695</f>
        <v>-1013.528814636684</v>
      </c>
      <c r="Q3174">
        <f>-448.802549323278 -84.4596666651414 -352.776227958999</f>
        <v>-886.03844394741839</v>
      </c>
      <c r="R3174" t="s">
        <v>61246</v>
      </c>
      <c r="S3174" t="s">
        <v>61247</v>
      </c>
      <c r="T3174" t="s">
        <v>61248</v>
      </c>
      <c r="U3174" t="s">
        <v>61249</v>
      </c>
      <c r="V3174">
        <f>-596.604999442451 -62.0066052769923 -93.3644058629159</f>
        <v>-751.97601058235921</v>
      </c>
      <c r="W3174" t="s">
        <v>61250</v>
      </c>
      <c r="X3174" t="s">
        <v>61251</v>
      </c>
      <c r="Y3174" t="s">
        <v>61252</v>
      </c>
    </row>
    <row r="3175" spans="1:25" x14ac:dyDescent="0.3">
      <c r="A3175">
        <v>158700</v>
      </c>
      <c r="B3175" t="s">
        <v>61253</v>
      </c>
      <c r="C3175" t="s">
        <v>61254</v>
      </c>
      <c r="D3175" t="s">
        <v>61255</v>
      </c>
      <c r="E3175" t="s">
        <v>61256</v>
      </c>
      <c r="F3175" t="s">
        <v>61257</v>
      </c>
      <c r="G3175" t="s">
        <v>61258</v>
      </c>
      <c r="H3175" t="s">
        <v>61259</v>
      </c>
      <c r="I3175" t="s">
        <v>61260</v>
      </c>
      <c r="J3175" t="s">
        <v>61261</v>
      </c>
      <c r="K3175" t="s">
        <v>61262</v>
      </c>
      <c r="L3175" t="s">
        <v>61263</v>
      </c>
      <c r="M3175" t="s">
        <v>61264</v>
      </c>
      <c r="N3175">
        <f>-662.51145198377 -6.88448272943424 -528.895404177287</f>
        <v>-1198.2913388904913</v>
      </c>
      <c r="O3175">
        <f>-660.516645888513 -160.127616925563 -499.721109308798</f>
        <v>-1320.3653721228741</v>
      </c>
      <c r="P3175">
        <f>-616.458480273085 -176.881012689508 -221.59021242493</f>
        <v>-1014.929705387523</v>
      </c>
      <c r="Q3175">
        <f>-450.629705668022 -83.8322247390627 -354.974122618452</f>
        <v>-889.43605302553669</v>
      </c>
      <c r="R3175" t="s">
        <v>61265</v>
      </c>
      <c r="S3175" t="s">
        <v>61266</v>
      </c>
      <c r="T3175" t="s">
        <v>61267</v>
      </c>
      <c r="U3175" t="s">
        <v>61268</v>
      </c>
      <c r="V3175">
        <f>-596.438630427464 -61.7748832097427 -93.3419096929999</f>
        <v>-751.55542333020662</v>
      </c>
      <c r="W3175" t="s">
        <v>61269</v>
      </c>
      <c r="X3175" t="s">
        <v>61270</v>
      </c>
      <c r="Y3175" t="s">
        <v>61271</v>
      </c>
    </row>
    <row r="3176" spans="1:25" x14ac:dyDescent="0.3">
      <c r="A3176">
        <v>158750</v>
      </c>
      <c r="B3176" t="s">
        <v>61272</v>
      </c>
      <c r="C3176" t="s">
        <v>61273</v>
      </c>
      <c r="D3176" t="s">
        <v>61274</v>
      </c>
      <c r="E3176" t="s">
        <v>61275</v>
      </c>
      <c r="F3176" t="s">
        <v>61276</v>
      </c>
      <c r="G3176" t="s">
        <v>61277</v>
      </c>
      <c r="H3176" t="s">
        <v>61278</v>
      </c>
      <c r="I3176" t="s">
        <v>61279</v>
      </c>
      <c r="J3176" t="s">
        <v>61280</v>
      </c>
      <c r="K3176" t="s">
        <v>61281</v>
      </c>
      <c r="L3176" t="s">
        <v>61282</v>
      </c>
      <c r="M3176" t="s">
        <v>61283</v>
      </c>
      <c r="N3176">
        <f>-663.138991839689 -6.60777221999024 -528.822195443149</f>
        <v>-1198.5689595028282</v>
      </c>
      <c r="O3176">
        <f>-661.017510404693 -159.885693457515 -499.881422637607</f>
        <v>-1320.784626499815</v>
      </c>
      <c r="P3176">
        <f>-616.667682626547 -177.110039333225 -221.825705627032</f>
        <v>-1015.6034275868041</v>
      </c>
      <c r="Q3176">
        <f>-451.290136895021 -84.0252312913217 -355.743688042665</f>
        <v>-891.05905622900775</v>
      </c>
      <c r="R3176" t="s">
        <v>61284</v>
      </c>
      <c r="S3176" t="s">
        <v>61285</v>
      </c>
      <c r="T3176" t="s">
        <v>61286</v>
      </c>
      <c r="U3176" t="s">
        <v>61287</v>
      </c>
      <c r="V3176">
        <f>-596.18813180109 -61.7762068182924 -93.3272327315204</f>
        <v>-751.29157135090281</v>
      </c>
      <c r="W3176" t="s">
        <v>61288</v>
      </c>
      <c r="X3176" t="s">
        <v>61289</v>
      </c>
      <c r="Y3176" t="s">
        <v>61290</v>
      </c>
    </row>
    <row r="3177" spans="1:25" x14ac:dyDescent="0.3">
      <c r="A3177">
        <v>158800</v>
      </c>
      <c r="B3177" t="s">
        <v>61291</v>
      </c>
      <c r="C3177" t="s">
        <v>61292</v>
      </c>
      <c r="D3177" t="s">
        <v>61293</v>
      </c>
      <c r="E3177" t="s">
        <v>61294</v>
      </c>
      <c r="F3177" t="s">
        <v>61295</v>
      </c>
      <c r="G3177" t="s">
        <v>61296</v>
      </c>
      <c r="H3177" t="s">
        <v>61297</v>
      </c>
      <c r="I3177" t="s">
        <v>61298</v>
      </c>
      <c r="J3177" t="s">
        <v>61299</v>
      </c>
      <c r="K3177" t="s">
        <v>61300</v>
      </c>
      <c r="L3177" t="s">
        <v>61301</v>
      </c>
      <c r="M3177" t="s">
        <v>61302</v>
      </c>
      <c r="N3177">
        <f>-664.308481192118 -6.19917804261695 -528.679387330915</f>
        <v>-1199.18704656565</v>
      </c>
      <c r="O3177">
        <f>-662.129598593925 -159.534825970716 -500.022182592503</f>
        <v>-1321.686607157144</v>
      </c>
      <c r="P3177">
        <f>-616.938807904701 -177.255793603701 -222.132910472443</f>
        <v>-1016.327511980845</v>
      </c>
      <c r="Q3177">
        <f>-452.252459011718 -84.1264922254825 -356.869044217686</f>
        <v>-893.24799545488645</v>
      </c>
      <c r="R3177" t="s">
        <v>61303</v>
      </c>
      <c r="S3177" t="s">
        <v>61304</v>
      </c>
      <c r="T3177" t="s">
        <v>61305</v>
      </c>
      <c r="U3177" t="s">
        <v>61306</v>
      </c>
      <c r="V3177">
        <f>-595.535484227673 -61.4900141179594 -93.3068079934152</f>
        <v>-750.33230633904759</v>
      </c>
      <c r="W3177" t="s">
        <v>61307</v>
      </c>
      <c r="X3177" t="s">
        <v>61308</v>
      </c>
      <c r="Y3177" t="s">
        <v>61309</v>
      </c>
    </row>
    <row r="3178" spans="1:25" x14ac:dyDescent="0.3">
      <c r="A3178">
        <v>158850</v>
      </c>
      <c r="B3178" t="s">
        <v>61310</v>
      </c>
      <c r="C3178" t="s">
        <v>61311</v>
      </c>
      <c r="D3178" t="s">
        <v>61312</v>
      </c>
      <c r="E3178" t="s">
        <v>61313</v>
      </c>
      <c r="F3178" t="s">
        <v>61314</v>
      </c>
      <c r="G3178" t="s">
        <v>61315</v>
      </c>
      <c r="H3178" t="s">
        <v>61316</v>
      </c>
      <c r="I3178" t="s">
        <v>61317</v>
      </c>
      <c r="J3178" t="s">
        <v>61318</v>
      </c>
      <c r="K3178" t="s">
        <v>61319</v>
      </c>
      <c r="L3178" t="s">
        <v>61320</v>
      </c>
      <c r="M3178" t="s">
        <v>61321</v>
      </c>
      <c r="N3178">
        <f>-664.889873423757 -5.80846026203153 -528.579784625966</f>
        <v>-1199.2781183117545</v>
      </c>
      <c r="O3178">
        <f>-662.689527886787 -159.168378188646 -500.039420378407</f>
        <v>-1321.8973264538399</v>
      </c>
      <c r="P3178">
        <f>-617.058664113799 -176.861050827423 -222.220464680025</f>
        <v>-1016.1401796212469</v>
      </c>
      <c r="Q3178">
        <f>-452.435322241243 -83.9193728918958 -357.163266986519</f>
        <v>-893.5179621196578</v>
      </c>
      <c r="R3178" t="s">
        <v>61322</v>
      </c>
      <c r="S3178" t="s">
        <v>61323</v>
      </c>
      <c r="T3178" t="s">
        <v>61324</v>
      </c>
      <c r="U3178" t="s">
        <v>61325</v>
      </c>
      <c r="V3178">
        <f>-595.278589739477 -61.169771055494 -93.2810833194079</f>
        <v>-749.72944411437891</v>
      </c>
      <c r="W3178" t="s">
        <v>61326</v>
      </c>
      <c r="X3178" t="s">
        <v>61327</v>
      </c>
      <c r="Y3178" t="s">
        <v>61328</v>
      </c>
    </row>
    <row r="3179" spans="1:25" x14ac:dyDescent="0.3">
      <c r="A3179">
        <v>158900</v>
      </c>
      <c r="B3179" t="s">
        <v>61329</v>
      </c>
      <c r="C3179" t="s">
        <v>61330</v>
      </c>
      <c r="D3179" t="s">
        <v>61331</v>
      </c>
      <c r="E3179" t="s">
        <v>61332</v>
      </c>
      <c r="F3179" t="s">
        <v>61333</v>
      </c>
      <c r="G3179" t="s">
        <v>61334</v>
      </c>
      <c r="H3179" t="s">
        <v>61335</v>
      </c>
      <c r="I3179" t="s">
        <v>61336</v>
      </c>
      <c r="J3179" t="s">
        <v>61337</v>
      </c>
      <c r="K3179" t="s">
        <v>61338</v>
      </c>
      <c r="L3179" t="s">
        <v>61339</v>
      </c>
      <c r="M3179" t="s">
        <v>61340</v>
      </c>
      <c r="N3179">
        <f>-666.170544760396 -4.98418576322592 -528.33926304682</f>
        <v>-1199.4939935704419</v>
      </c>
      <c r="O3179">
        <f>-663.90042358366 -158.400107096075 -500.081719518845</f>
        <v>-1322.3822501985799</v>
      </c>
      <c r="P3179">
        <f>-617.7481870577 -176.6970403342 -222.387922976742</f>
        <v>-1016.833150368642</v>
      </c>
      <c r="Q3179">
        <f>-453.04660554539 -83.4825697259339 -357.046639497074</f>
        <v>-893.57581476839789</v>
      </c>
      <c r="R3179" t="s">
        <v>61341</v>
      </c>
      <c r="S3179" t="s">
        <v>61342</v>
      </c>
      <c r="T3179" t="s">
        <v>61343</v>
      </c>
      <c r="U3179" t="s">
        <v>61344</v>
      </c>
      <c r="V3179">
        <f>-594.959090329405 -60.639452186874 -93.2269977317831</f>
        <v>-748.825540248062</v>
      </c>
      <c r="W3179" t="s">
        <v>61345</v>
      </c>
      <c r="X3179" t="s">
        <v>61346</v>
      </c>
      <c r="Y3179" t="s">
        <v>61347</v>
      </c>
    </row>
    <row r="3180" spans="1:25" x14ac:dyDescent="0.3">
      <c r="A3180">
        <v>158950</v>
      </c>
      <c r="B3180" t="s">
        <v>61348</v>
      </c>
      <c r="C3180" t="s">
        <v>61349</v>
      </c>
      <c r="D3180" t="s">
        <v>61350</v>
      </c>
      <c r="E3180" t="s">
        <v>61351</v>
      </c>
      <c r="F3180" t="s">
        <v>61352</v>
      </c>
      <c r="G3180" t="s">
        <v>61353</v>
      </c>
      <c r="H3180" t="s">
        <v>61354</v>
      </c>
      <c r="I3180" t="s">
        <v>61355</v>
      </c>
      <c r="J3180" t="s">
        <v>61356</v>
      </c>
      <c r="K3180" t="s">
        <v>61357</v>
      </c>
      <c r="L3180" t="s">
        <v>61358</v>
      </c>
      <c r="M3180" t="s">
        <v>61359</v>
      </c>
      <c r="N3180">
        <f>-666.723092121839 -4.50886985912462 -528.250064349397</f>
        <v>-1199.4820263303607</v>
      </c>
      <c r="O3180">
        <f>-664.525192245069 -157.951228998216 -500.150020049103</f>
        <v>-1322.6264412923879</v>
      </c>
      <c r="P3180">
        <f>-618.1229961668 -176.585576271314 -222.520377076193</f>
        <v>-1017.228949514307</v>
      </c>
      <c r="Q3180">
        <f>-453.323796350165 -83.0693658136565 -356.850207135258</f>
        <v>-893.24336929907963</v>
      </c>
      <c r="R3180" t="s">
        <v>61360</v>
      </c>
      <c r="S3180" t="s">
        <v>61361</v>
      </c>
      <c r="T3180" t="s">
        <v>61362</v>
      </c>
      <c r="U3180" t="s">
        <v>61363</v>
      </c>
      <c r="V3180">
        <f>-594.951646592558 -60.3619248165992 -93.1954236433048</f>
        <v>-748.50899505246196</v>
      </c>
      <c r="W3180" t="s">
        <v>61364</v>
      </c>
      <c r="X3180" t="s">
        <v>61365</v>
      </c>
      <c r="Y3180" t="s">
        <v>61366</v>
      </c>
    </row>
    <row r="3181" spans="1:25" x14ac:dyDescent="0.3">
      <c r="A3181">
        <v>159000</v>
      </c>
      <c r="B3181" t="s">
        <v>61367</v>
      </c>
      <c r="C3181" t="s">
        <v>61368</v>
      </c>
      <c r="D3181" t="s">
        <v>61369</v>
      </c>
      <c r="E3181" t="s">
        <v>61370</v>
      </c>
      <c r="F3181" t="s">
        <v>61371</v>
      </c>
      <c r="G3181" t="s">
        <v>61372</v>
      </c>
      <c r="H3181" t="s">
        <v>61373</v>
      </c>
      <c r="I3181" t="s">
        <v>61374</v>
      </c>
      <c r="J3181" t="s">
        <v>61375</v>
      </c>
      <c r="K3181" t="s">
        <v>61376</v>
      </c>
      <c r="L3181" t="s">
        <v>61377</v>
      </c>
      <c r="M3181" t="s">
        <v>61378</v>
      </c>
      <c r="N3181">
        <f>-667.910534011191 -3.87657453866495 -528.106958360595</f>
        <v>-1199.8940669104509</v>
      </c>
      <c r="O3181">
        <f>-665.831641034379 -157.360615193525 -500.249154973475</f>
        <v>-1323.441411201379</v>
      </c>
      <c r="P3181">
        <f>-619.027644142139 -176.47980242778 -222.719949555655</f>
        <v>-1018.227396125574</v>
      </c>
      <c r="Q3181">
        <f>-454.300503505585 -81.8749049253074 -356.373985261695</f>
        <v>-892.54939369258739</v>
      </c>
      <c r="R3181" t="s">
        <v>61379</v>
      </c>
      <c r="S3181" t="s">
        <v>61380</v>
      </c>
      <c r="T3181" t="s">
        <v>61381</v>
      </c>
      <c r="U3181" t="s">
        <v>61382</v>
      </c>
      <c r="V3181">
        <f>-595.193748795898 -60.0640861993943 -93.1700430204664</f>
        <v>-748.42787801575878</v>
      </c>
      <c r="W3181" t="s">
        <v>61383</v>
      </c>
      <c r="X3181" t="s">
        <v>61384</v>
      </c>
      <c r="Y3181" t="s">
        <v>61385</v>
      </c>
    </row>
    <row r="3182" spans="1:25" x14ac:dyDescent="0.3">
      <c r="A3182">
        <v>159050</v>
      </c>
      <c r="B3182" t="s">
        <v>61386</v>
      </c>
      <c r="C3182" t="s">
        <v>61387</v>
      </c>
      <c r="D3182" t="s">
        <v>61388</v>
      </c>
      <c r="E3182" t="s">
        <v>61389</v>
      </c>
      <c r="F3182" t="s">
        <v>61390</v>
      </c>
      <c r="G3182" t="s">
        <v>61391</v>
      </c>
      <c r="H3182" t="s">
        <v>61392</v>
      </c>
      <c r="I3182" t="s">
        <v>61393</v>
      </c>
      <c r="J3182" t="s">
        <v>61394</v>
      </c>
      <c r="K3182" t="s">
        <v>61395</v>
      </c>
      <c r="L3182" t="s">
        <v>61396</v>
      </c>
      <c r="M3182" t="s">
        <v>61397</v>
      </c>
      <c r="N3182">
        <f>-668.418383276967 -3.63497943986499 -528.068353044305</f>
        <v>-1200.121715761137</v>
      </c>
      <c r="O3182">
        <f>-666.317083412007 -157.138213193635 -500.312518787735</f>
        <v>-1323.7678153933771</v>
      </c>
      <c r="P3182">
        <f>-619.429414462605 -176.618620656402 -222.822625925338</f>
        <v>-1018.870661044345</v>
      </c>
      <c r="Q3182">
        <f>-454.989825143036 -81.1178018138849 -356.193417792755</f>
        <v>-892.30104474967584</v>
      </c>
      <c r="R3182" t="s">
        <v>61398</v>
      </c>
      <c r="S3182" t="s">
        <v>61399</v>
      </c>
      <c r="T3182" t="s">
        <v>61400</v>
      </c>
      <c r="U3182" t="s">
        <v>61401</v>
      </c>
      <c r="V3182">
        <f>-595.463409310369 -60.0201986353386 -93.1779419003209</f>
        <v>-748.66154984602849</v>
      </c>
      <c r="W3182" t="s">
        <v>61402</v>
      </c>
      <c r="X3182" t="s">
        <v>61403</v>
      </c>
      <c r="Y3182" t="s">
        <v>61404</v>
      </c>
    </row>
    <row r="3183" spans="1:25" x14ac:dyDescent="0.3">
      <c r="A3183">
        <v>159100</v>
      </c>
      <c r="B3183" t="s">
        <v>61405</v>
      </c>
      <c r="C3183" t="s">
        <v>61406</v>
      </c>
      <c r="D3183" t="s">
        <v>61407</v>
      </c>
      <c r="E3183" t="s">
        <v>61408</v>
      </c>
      <c r="F3183" t="s">
        <v>61409</v>
      </c>
      <c r="G3183" t="s">
        <v>61410</v>
      </c>
      <c r="H3183" t="s">
        <v>61411</v>
      </c>
      <c r="I3183" t="s">
        <v>61412</v>
      </c>
      <c r="J3183" t="s">
        <v>61413</v>
      </c>
      <c r="K3183" t="s">
        <v>61414</v>
      </c>
      <c r="L3183" t="s">
        <v>61415</v>
      </c>
      <c r="M3183" t="s">
        <v>61416</v>
      </c>
      <c r="N3183">
        <f>-669.22874797061 -2.90943465635269 -528.079497288579</f>
        <v>-1200.2176799155418</v>
      </c>
      <c r="O3183">
        <f>-667.116907300405 -156.449883626378 -500.532052630136</f>
        <v>-1324.0988435569191</v>
      </c>
      <c r="P3183">
        <f>-619.889844031405 -176.567195828849 -223.145257129828</f>
        <v>-1019.602296990082</v>
      </c>
      <c r="Q3183">
        <f>-456.511169926498 -79.1372369418182 -356.424295648444</f>
        <v>-892.07270251676027</v>
      </c>
      <c r="R3183" t="s">
        <v>61417</v>
      </c>
      <c r="S3183" t="s">
        <v>61418</v>
      </c>
      <c r="T3183" t="s">
        <v>61419</v>
      </c>
      <c r="U3183" t="s">
        <v>61420</v>
      </c>
      <c r="V3183">
        <f>-596.274137745193 -59.7418846260275 -93.203202682687</f>
        <v>-749.21922505390751</v>
      </c>
      <c r="W3183" t="s">
        <v>61421</v>
      </c>
      <c r="X3183" t="s">
        <v>61422</v>
      </c>
      <c r="Y3183" t="s">
        <v>61423</v>
      </c>
    </row>
    <row r="3184" spans="1:25" x14ac:dyDescent="0.3">
      <c r="A3184">
        <v>159150</v>
      </c>
      <c r="B3184" t="s">
        <v>61424</v>
      </c>
      <c r="C3184" t="s">
        <v>61425</v>
      </c>
      <c r="D3184" t="s">
        <v>61426</v>
      </c>
      <c r="E3184" t="s">
        <v>61427</v>
      </c>
      <c r="F3184" t="s">
        <v>61428</v>
      </c>
      <c r="G3184" t="s">
        <v>61429</v>
      </c>
      <c r="H3184" t="s">
        <v>61430</v>
      </c>
      <c r="I3184" t="s">
        <v>61431</v>
      </c>
      <c r="J3184" t="s">
        <v>61432</v>
      </c>
      <c r="K3184" t="s">
        <v>61433</v>
      </c>
      <c r="L3184" t="s">
        <v>61434</v>
      </c>
      <c r="M3184" t="s">
        <v>61435</v>
      </c>
      <c r="N3184">
        <f>-669.521041543348 -2.59672426088173 -528.143995233562</f>
        <v>-1200.2617610377918</v>
      </c>
      <c r="O3184">
        <f>-667.409632518865 -156.150509571283 -500.679904016739</f>
        <v>-1324.2400461068869</v>
      </c>
      <c r="P3184">
        <f>-619.832109406922 -176.662611753678 -223.381854474681</f>
        <v>-1019.8765756352809</v>
      </c>
      <c r="Q3184">
        <f>-457.230632706134 -78.161274433945 -356.82385761588</f>
        <v>-892.21576475595896</v>
      </c>
      <c r="R3184" t="s">
        <v>61436</v>
      </c>
      <c r="S3184" t="s">
        <v>61437</v>
      </c>
      <c r="T3184" t="s">
        <v>61438</v>
      </c>
      <c r="U3184" t="s">
        <v>61439</v>
      </c>
      <c r="V3184">
        <f>-596.847625176467 -59.6913759028691 -93.2329636509169</f>
        <v>-749.77196473025299</v>
      </c>
      <c r="W3184" t="s">
        <v>61440</v>
      </c>
      <c r="X3184" t="s">
        <v>61441</v>
      </c>
      <c r="Y3184" t="s">
        <v>61442</v>
      </c>
    </row>
    <row r="3185" spans="1:25" x14ac:dyDescent="0.3">
      <c r="A3185">
        <v>159200</v>
      </c>
      <c r="B3185" t="s">
        <v>61443</v>
      </c>
      <c r="C3185" t="s">
        <v>61444</v>
      </c>
      <c r="D3185" t="s">
        <v>61445</v>
      </c>
      <c r="E3185" t="s">
        <v>61446</v>
      </c>
      <c r="F3185" t="s">
        <v>61447</v>
      </c>
      <c r="G3185" t="s">
        <v>61448</v>
      </c>
      <c r="H3185" t="s">
        <v>61449</v>
      </c>
      <c r="I3185" t="s">
        <v>61450</v>
      </c>
      <c r="J3185" t="s">
        <v>61451</v>
      </c>
      <c r="K3185" t="s">
        <v>61452</v>
      </c>
      <c r="L3185" t="s">
        <v>61453</v>
      </c>
      <c r="M3185" t="s">
        <v>61454</v>
      </c>
      <c r="N3185">
        <f>-670.076400297413 -1.99221279038579 -528.25639663107</f>
        <v>-1200.3250097188688</v>
      </c>
      <c r="O3185">
        <f>-667.911686068097 -155.582517041378 -500.980335876627</f>
        <v>-1324.4745389861018</v>
      </c>
      <c r="P3185">
        <f>-619.556338707099 -176.909440401492 -223.878221568557</f>
        <v>-1020.3440006771481</v>
      </c>
      <c r="Q3185">
        <f>-458.588901091569 -76.473597832728 -357.858457553738</f>
        <v>-892.92095647803512</v>
      </c>
      <c r="R3185" t="s">
        <v>61455</v>
      </c>
      <c r="S3185" t="s">
        <v>61456</v>
      </c>
      <c r="T3185" t="s">
        <v>61457</v>
      </c>
      <c r="U3185" t="s">
        <v>61458</v>
      </c>
      <c r="V3185">
        <f>-597.904983522793 -59.5010019446047 -93.3022580123085</f>
        <v>-750.7082434797062</v>
      </c>
      <c r="W3185" t="s">
        <v>61459</v>
      </c>
      <c r="X3185" t="s">
        <v>61460</v>
      </c>
      <c r="Y3185" t="s">
        <v>61461</v>
      </c>
    </row>
    <row r="3186" spans="1:25" x14ac:dyDescent="0.3">
      <c r="A3186">
        <v>159250</v>
      </c>
      <c r="B3186" t="s">
        <v>61462</v>
      </c>
      <c r="C3186" t="s">
        <v>61463</v>
      </c>
      <c r="D3186" t="s">
        <v>61464</v>
      </c>
      <c r="E3186" t="s">
        <v>61465</v>
      </c>
      <c r="F3186" t="s">
        <v>61466</v>
      </c>
      <c r="G3186" t="s">
        <v>61467</v>
      </c>
      <c r="H3186" t="s">
        <v>61468</v>
      </c>
      <c r="I3186" t="s">
        <v>61469</v>
      </c>
      <c r="J3186" t="s">
        <v>61470</v>
      </c>
      <c r="K3186" t="s">
        <v>61471</v>
      </c>
      <c r="L3186" t="s">
        <v>61472</v>
      </c>
      <c r="M3186" t="s">
        <v>61473</v>
      </c>
      <c r="N3186">
        <f>-670.333364304941 -1.65226913124798 -528.314607764972</f>
        <v>-1200.300241201161</v>
      </c>
      <c r="O3186">
        <f>-668.143734798463 -155.253759919609 -501.115996472967</f>
        <v>-1324.5134911910391</v>
      </c>
      <c r="P3186">
        <f>-619.332636860877 -176.950826299451 -224.12279247957</f>
        <v>-1020.4062556398979</v>
      </c>
      <c r="Q3186">
        <f>-459.096716877556 -75.6749780779439 -358.346979018561</f>
        <v>-893.11867397406093</v>
      </c>
      <c r="R3186" t="s">
        <v>61474</v>
      </c>
      <c r="S3186" t="s">
        <v>61475</v>
      </c>
      <c r="T3186" t="s">
        <v>61476</v>
      </c>
      <c r="U3186" t="s">
        <v>61477</v>
      </c>
      <c r="V3186">
        <f>-598.35861362136 -59.3196206479872 -93.3304827562383</f>
        <v>-751.0087170255855</v>
      </c>
      <c r="W3186" t="s">
        <v>61478</v>
      </c>
      <c r="X3186" t="s">
        <v>61479</v>
      </c>
      <c r="Y3186" t="s">
        <v>61480</v>
      </c>
    </row>
    <row r="3187" spans="1:25" x14ac:dyDescent="0.3">
      <c r="A3187">
        <v>159300</v>
      </c>
      <c r="B3187" t="s">
        <v>61481</v>
      </c>
      <c r="C3187" t="s">
        <v>61482</v>
      </c>
      <c r="D3187" t="s">
        <v>61483</v>
      </c>
      <c r="E3187" t="s">
        <v>61484</v>
      </c>
      <c r="F3187" t="s">
        <v>61485</v>
      </c>
      <c r="G3187" t="s">
        <v>61486</v>
      </c>
      <c r="H3187" t="s">
        <v>61487</v>
      </c>
      <c r="I3187" t="s">
        <v>61488</v>
      </c>
      <c r="J3187" t="s">
        <v>61489</v>
      </c>
      <c r="K3187" t="s">
        <v>61490</v>
      </c>
      <c r="L3187" t="s">
        <v>61491</v>
      </c>
      <c r="M3187" t="s">
        <v>61492</v>
      </c>
      <c r="N3187">
        <f>-671.108521158622 -0.952036083678877 -528.377802611023</f>
        <v>-1200.4383598533238</v>
      </c>
      <c r="O3187">
        <f>-668.76667342383 -154.601710005493 -501.453109943441</f>
        <v>-1324.8214933727641</v>
      </c>
      <c r="P3187">
        <f>-619.167512384675 -176.921042153028 -224.649170265848</f>
        <v>-1020.7377248035509</v>
      </c>
      <c r="Q3187">
        <f>-460.311694435813 -74.2672049797159 -359.466012729379</f>
        <v>-894.04491214490781</v>
      </c>
      <c r="R3187" t="s">
        <v>61493</v>
      </c>
      <c r="S3187" t="s">
        <v>61494</v>
      </c>
      <c r="T3187" t="s">
        <v>61495</v>
      </c>
      <c r="U3187" t="s">
        <v>61496</v>
      </c>
      <c r="V3187">
        <f>-599.201232872608 -58.8990008775183 -93.3571868332263</f>
        <v>-751.45742058335259</v>
      </c>
      <c r="W3187" t="s">
        <v>61497</v>
      </c>
      <c r="X3187" t="s">
        <v>61498</v>
      </c>
      <c r="Y3187" t="s">
        <v>61499</v>
      </c>
    </row>
    <row r="3188" spans="1:25" x14ac:dyDescent="0.3">
      <c r="A3188">
        <v>159350</v>
      </c>
      <c r="B3188" t="s">
        <v>61500</v>
      </c>
      <c r="C3188" t="s">
        <v>61501</v>
      </c>
      <c r="D3188" t="s">
        <v>61502</v>
      </c>
      <c r="E3188" t="s">
        <v>61503</v>
      </c>
      <c r="F3188" t="s">
        <v>61504</v>
      </c>
      <c r="G3188" t="s">
        <v>61505</v>
      </c>
      <c r="H3188" t="s">
        <v>61506</v>
      </c>
      <c r="I3188" t="s">
        <v>61507</v>
      </c>
      <c r="J3188" t="s">
        <v>61508</v>
      </c>
      <c r="K3188" t="s">
        <v>61509</v>
      </c>
      <c r="L3188" t="s">
        <v>61510</v>
      </c>
      <c r="M3188" t="s">
        <v>61511</v>
      </c>
      <c r="N3188">
        <f>-671.659162916752 -0.64854579951475 -528.372568473385</f>
        <v>-1200.6802771896519</v>
      </c>
      <c r="O3188">
        <f>-669.197358157949 -154.318224467566 -501.57681472937</f>
        <v>-1325.092397354885</v>
      </c>
      <c r="P3188">
        <f>-619.240595740369 -176.983006482477 -224.865274314789</f>
        <v>-1021.088876537635</v>
      </c>
      <c r="Q3188">
        <f>-461.09514579871 -73.5209524248091 -359.899028282365</f>
        <v>-894.51512650588415</v>
      </c>
      <c r="R3188" t="s">
        <v>61512</v>
      </c>
      <c r="S3188" t="s">
        <v>61513</v>
      </c>
      <c r="T3188" t="s">
        <v>61514</v>
      </c>
      <c r="U3188" t="s">
        <v>61515</v>
      </c>
      <c r="V3188">
        <f>-599.517588890385 -58.7355178761004 -93.3652129238574</f>
        <v>-751.61831969034279</v>
      </c>
      <c r="W3188" t="s">
        <v>61516</v>
      </c>
      <c r="X3188" t="s">
        <v>61517</v>
      </c>
      <c r="Y3188" t="s">
        <v>61518</v>
      </c>
    </row>
    <row r="3189" spans="1:25" x14ac:dyDescent="0.3">
      <c r="A3189">
        <v>159400</v>
      </c>
      <c r="B3189" t="s">
        <v>61519</v>
      </c>
      <c r="C3189" t="s">
        <v>61520</v>
      </c>
      <c r="D3189" t="s">
        <v>61521</v>
      </c>
      <c r="E3189" t="s">
        <v>61522</v>
      </c>
      <c r="F3189" t="s">
        <v>61523</v>
      </c>
      <c r="G3189" t="s">
        <v>61524</v>
      </c>
      <c r="H3189" t="s">
        <v>61525</v>
      </c>
      <c r="I3189" t="s">
        <v>61526</v>
      </c>
      <c r="J3189" t="s">
        <v>61527</v>
      </c>
      <c r="K3189" t="s">
        <v>61528</v>
      </c>
      <c r="L3189" t="s">
        <v>61529</v>
      </c>
      <c r="M3189" t="s">
        <v>61530</v>
      </c>
      <c r="N3189">
        <f>-672.387808415093 -0.0762371829209769 -528.394678928468</f>
        <v>-1200.8587245264821</v>
      </c>
      <c r="O3189">
        <f>-669.765612151289 -153.782900871199 -501.825629940911</f>
        <v>-1325.374142963399</v>
      </c>
      <c r="P3189">
        <f>-619.137891589739 -176.987630608243 -225.28098939741</f>
        <v>-1021.406511595392</v>
      </c>
      <c r="Q3189">
        <f>-462.369041541612 -72.1325514369296 -360.844354526233</f>
        <v>-895.34594750477459</v>
      </c>
      <c r="R3189" t="s">
        <v>61531</v>
      </c>
      <c r="S3189" t="s">
        <v>61532</v>
      </c>
      <c r="T3189" t="s">
        <v>61533</v>
      </c>
      <c r="U3189" t="s">
        <v>61534</v>
      </c>
      <c r="V3189">
        <f>-599.953482336462 -58.4961426667803 -93.3769016535153</f>
        <v>-751.82652665675766</v>
      </c>
      <c r="W3189" t="s">
        <v>61535</v>
      </c>
      <c r="X3189" t="s">
        <v>61536</v>
      </c>
      <c r="Y3189" t="s">
        <v>61537</v>
      </c>
    </row>
    <row r="3190" spans="1:25" x14ac:dyDescent="0.3">
      <c r="A3190">
        <v>159450</v>
      </c>
      <c r="B3190" t="s">
        <v>61538</v>
      </c>
      <c r="C3190" t="s">
        <v>61539</v>
      </c>
      <c r="D3190" t="s">
        <v>61540</v>
      </c>
      <c r="E3190" t="s">
        <v>61541</v>
      </c>
      <c r="F3190" t="s">
        <v>61542</v>
      </c>
      <c r="G3190" t="s">
        <v>61543</v>
      </c>
      <c r="H3190" t="s">
        <v>61544</v>
      </c>
      <c r="I3190" t="s">
        <v>61545</v>
      </c>
      <c r="J3190" t="s">
        <v>61546</v>
      </c>
      <c r="K3190" t="s">
        <v>61547</v>
      </c>
      <c r="L3190" t="s">
        <v>61548</v>
      </c>
      <c r="M3190" t="s">
        <v>61549</v>
      </c>
      <c r="N3190" t="s">
        <v>61550</v>
      </c>
      <c r="O3190">
        <f>-669.957885267287 -153.474803543053 -501.939572530242</f>
        <v>-1325.3722613405821</v>
      </c>
      <c r="P3190">
        <f>-619.04135415583 -176.76901464241 -225.455499385048</f>
        <v>-1021.265868183288</v>
      </c>
      <c r="Q3190">
        <f>-462.750828218046 -71.542323943379 -361.283197801008</f>
        <v>-895.57634996243303</v>
      </c>
      <c r="R3190" t="s">
        <v>61551</v>
      </c>
      <c r="S3190" t="s">
        <v>61552</v>
      </c>
      <c r="T3190" t="s">
        <v>61553</v>
      </c>
      <c r="U3190" t="s">
        <v>61554</v>
      </c>
      <c r="V3190">
        <f>-600.084024879033 -58.356679000108 -93.3779440501576</f>
        <v>-751.81864792929855</v>
      </c>
      <c r="W3190" t="s">
        <v>61555</v>
      </c>
      <c r="X3190" t="s">
        <v>61556</v>
      </c>
      <c r="Y3190" t="s">
        <v>61557</v>
      </c>
    </row>
    <row r="3191" spans="1:25" x14ac:dyDescent="0.3">
      <c r="A3191">
        <v>159500</v>
      </c>
      <c r="B3191" t="s">
        <v>61558</v>
      </c>
      <c r="C3191" t="s">
        <v>61559</v>
      </c>
      <c r="D3191" t="s">
        <v>61560</v>
      </c>
      <c r="E3191" t="s">
        <v>61561</v>
      </c>
      <c r="F3191" t="s">
        <v>61562</v>
      </c>
      <c r="G3191" t="s">
        <v>61563</v>
      </c>
      <c r="H3191" t="s">
        <v>61564</v>
      </c>
      <c r="I3191" t="s">
        <v>61565</v>
      </c>
      <c r="J3191" t="s">
        <v>61566</v>
      </c>
      <c r="K3191" t="s">
        <v>61567</v>
      </c>
      <c r="L3191" t="s">
        <v>61568</v>
      </c>
      <c r="M3191" t="s">
        <v>61569</v>
      </c>
      <c r="N3191" t="s">
        <v>61570</v>
      </c>
      <c r="O3191">
        <f>-669.901854168815 -152.841435372013 -502.223713779412</f>
        <v>-1324.9670033202401</v>
      </c>
      <c r="P3191">
        <f>-618.306478091903 -176.521764375932 -225.898231118417</f>
        <v>-1020.726473586252</v>
      </c>
      <c r="Q3191">
        <f>-462.693239646295 -70.4829429443378 -361.871761253158</f>
        <v>-895.04794384379079</v>
      </c>
      <c r="R3191" t="s">
        <v>61571</v>
      </c>
      <c r="S3191" t="s">
        <v>61572</v>
      </c>
      <c r="T3191" t="s">
        <v>61573</v>
      </c>
      <c r="U3191" t="s">
        <v>61574</v>
      </c>
      <c r="V3191">
        <f>-600.173214294056 -58.0103695586952 -93.3821820977604</f>
        <v>-751.5657659505116</v>
      </c>
      <c r="W3191" t="s">
        <v>61575</v>
      </c>
      <c r="X3191" t="s">
        <v>61576</v>
      </c>
      <c r="Y3191" t="s">
        <v>61577</v>
      </c>
    </row>
    <row r="3192" spans="1:25" x14ac:dyDescent="0.3">
      <c r="A3192">
        <v>159550</v>
      </c>
      <c r="B3192" t="s">
        <v>61578</v>
      </c>
      <c r="C3192" t="s">
        <v>61579</v>
      </c>
      <c r="D3192" t="s">
        <v>61580</v>
      </c>
      <c r="E3192" t="s">
        <v>61581</v>
      </c>
      <c r="F3192" t="s">
        <v>61582</v>
      </c>
      <c r="G3192" t="s">
        <v>61583</v>
      </c>
      <c r="H3192" t="s">
        <v>61584</v>
      </c>
      <c r="I3192" t="s">
        <v>61585</v>
      </c>
      <c r="J3192" t="s">
        <v>61586</v>
      </c>
      <c r="K3192" t="s">
        <v>61587</v>
      </c>
      <c r="L3192" t="s">
        <v>61588</v>
      </c>
      <c r="M3192" t="s">
        <v>61589</v>
      </c>
      <c r="N3192" t="s">
        <v>61590</v>
      </c>
      <c r="O3192">
        <f>-669.763039343055 -152.638731745458 -502.372554914772</f>
        <v>-1324.7743260032851</v>
      </c>
      <c r="P3192">
        <f>-617.875959909204 -176.638854449643 -226.129242519137</f>
        <v>-1020.644056877984</v>
      </c>
      <c r="Q3192">
        <f>-462.489209543949 -70.0332293068079 -361.918581644443</f>
        <v>-894.44102049519984</v>
      </c>
      <c r="R3192" t="s">
        <v>61591</v>
      </c>
      <c r="S3192" t="s">
        <v>61592</v>
      </c>
      <c r="T3192" t="s">
        <v>61593</v>
      </c>
      <c r="U3192" t="s">
        <v>61594</v>
      </c>
      <c r="V3192">
        <f>-600.130806098452 -57.838077508464 -93.3740024125492</f>
        <v>-751.34288601946525</v>
      </c>
      <c r="W3192" t="s">
        <v>61595</v>
      </c>
      <c r="X3192" t="s">
        <v>61596</v>
      </c>
      <c r="Y3192" t="s">
        <v>61597</v>
      </c>
    </row>
    <row r="3193" spans="1:25" x14ac:dyDescent="0.3">
      <c r="A3193">
        <v>159600</v>
      </c>
      <c r="B3193" t="s">
        <v>61598</v>
      </c>
      <c r="C3193" t="s">
        <v>61599</v>
      </c>
      <c r="D3193" t="s">
        <v>61600</v>
      </c>
      <c r="E3193" t="s">
        <v>61601</v>
      </c>
      <c r="F3193" t="s">
        <v>61602</v>
      </c>
      <c r="G3193" t="s">
        <v>61603</v>
      </c>
      <c r="H3193" t="s">
        <v>61604</v>
      </c>
      <c r="I3193" t="s">
        <v>61605</v>
      </c>
      <c r="J3193" t="s">
        <v>61606</v>
      </c>
      <c r="K3193" t="s">
        <v>61607</v>
      </c>
      <c r="L3193" t="s">
        <v>61608</v>
      </c>
      <c r="M3193" t="s">
        <v>61609</v>
      </c>
      <c r="N3193" t="s">
        <v>61610</v>
      </c>
      <c r="O3193">
        <f>-669.384868189982 -152.008145508817 -502.610703840075</f>
        <v>-1324.0037175388741</v>
      </c>
      <c r="P3193">
        <f>-617.318041188886 -176.407779699224 -226.436372740626</f>
        <v>-1020.162193628736</v>
      </c>
      <c r="Q3193">
        <f>-462.286795220803 -68.9558513220702 -361.964784696634</f>
        <v>-893.20743123950729</v>
      </c>
      <c r="R3193" t="s">
        <v>61611</v>
      </c>
      <c r="S3193" t="s">
        <v>61612</v>
      </c>
      <c r="T3193" t="s">
        <v>61613</v>
      </c>
      <c r="U3193" t="s">
        <v>61614</v>
      </c>
      <c r="V3193">
        <f>-599.874526886031 -57.3497929759419 -93.3329927884548</f>
        <v>-750.55731265042778</v>
      </c>
      <c r="W3193" t="s">
        <v>61615</v>
      </c>
      <c r="X3193" t="s">
        <v>61616</v>
      </c>
      <c r="Y3193" t="s">
        <v>61617</v>
      </c>
    </row>
    <row r="3194" spans="1:25" x14ac:dyDescent="0.3">
      <c r="A3194">
        <v>159650</v>
      </c>
      <c r="B3194" t="s">
        <v>61618</v>
      </c>
      <c r="C3194" t="s">
        <v>61619</v>
      </c>
      <c r="D3194" t="s">
        <v>61620</v>
      </c>
      <c r="E3194" t="s">
        <v>61621</v>
      </c>
      <c r="F3194" t="s">
        <v>61622</v>
      </c>
      <c r="G3194" t="s">
        <v>61623</v>
      </c>
      <c r="H3194" t="s">
        <v>61624</v>
      </c>
      <c r="I3194" t="s">
        <v>61625</v>
      </c>
      <c r="J3194" t="s">
        <v>61626</v>
      </c>
      <c r="K3194" t="s">
        <v>61627</v>
      </c>
      <c r="L3194" t="s">
        <v>61628</v>
      </c>
      <c r="M3194" t="s">
        <v>61629</v>
      </c>
      <c r="N3194" t="s">
        <v>61630</v>
      </c>
      <c r="O3194">
        <f>-669.084465575488 -151.720254514905 -502.706913372121</f>
        <v>-1323.5116334625141</v>
      </c>
      <c r="P3194">
        <f>-617.089024196297 -176.247996424912 -226.530381562673</f>
        <v>-1019.8674021838821</v>
      </c>
      <c r="Q3194">
        <f>-462.319343409976 -68.4343123121978 -362.07070315433</f>
        <v>-892.82435887650377</v>
      </c>
      <c r="R3194" t="s">
        <v>61631</v>
      </c>
      <c r="S3194" t="s">
        <v>61632</v>
      </c>
      <c r="T3194" t="s">
        <v>61633</v>
      </c>
      <c r="U3194" t="s">
        <v>61634</v>
      </c>
      <c r="V3194">
        <f>-599.684950958249 -57.2152075121701 -93.3179165220475</f>
        <v>-750.21807499246665</v>
      </c>
      <c r="W3194" t="s">
        <v>61635</v>
      </c>
      <c r="X3194" t="s">
        <v>61636</v>
      </c>
      <c r="Y3194" t="s">
        <v>61637</v>
      </c>
    </row>
    <row r="3195" spans="1:25" x14ac:dyDescent="0.3">
      <c r="A3195">
        <v>159700</v>
      </c>
      <c r="B3195" t="s">
        <v>61638</v>
      </c>
      <c r="C3195" t="s">
        <v>61639</v>
      </c>
      <c r="D3195" t="s">
        <v>61640</v>
      </c>
      <c r="E3195" t="s">
        <v>61641</v>
      </c>
      <c r="F3195" t="s">
        <v>61642</v>
      </c>
      <c r="G3195" t="s">
        <v>61643</v>
      </c>
      <c r="H3195" t="s">
        <v>61644</v>
      </c>
      <c r="I3195" t="s">
        <v>61645</v>
      </c>
      <c r="J3195" t="s">
        <v>61646</v>
      </c>
      <c r="K3195" t="s">
        <v>61647</v>
      </c>
      <c r="L3195" t="s">
        <v>61648</v>
      </c>
      <c r="M3195" t="s">
        <v>61649</v>
      </c>
      <c r="N3195" t="s">
        <v>61650</v>
      </c>
      <c r="O3195">
        <f>-668.582843075885 -151.166023100023 -502.961807199356</f>
        <v>-1322.7106733752639</v>
      </c>
      <c r="P3195">
        <f>-616.625678237036 -176.073712910699 -226.812172162395</f>
        <v>-1019.51156331013</v>
      </c>
      <c r="Q3195">
        <f>-462.295097633604 -67.7018417122274 -362.407713503502</f>
        <v>-892.40465284933339</v>
      </c>
      <c r="R3195" t="s">
        <v>61651</v>
      </c>
      <c r="S3195" t="s">
        <v>61652</v>
      </c>
      <c r="T3195" t="s">
        <v>61653</v>
      </c>
      <c r="U3195" t="s">
        <v>61654</v>
      </c>
      <c r="V3195">
        <f>-599.257179347847 -56.964565718813 -93.298235224403</f>
        <v>-749.51998029106301</v>
      </c>
      <c r="W3195" t="s">
        <v>61655</v>
      </c>
      <c r="X3195" t="s">
        <v>61656</v>
      </c>
      <c r="Y3195" t="s">
        <v>61657</v>
      </c>
    </row>
    <row r="3196" spans="1:25" x14ac:dyDescent="0.3">
      <c r="A3196">
        <v>159750</v>
      </c>
      <c r="B3196" t="s">
        <v>61658</v>
      </c>
      <c r="C3196" t="s">
        <v>61659</v>
      </c>
      <c r="D3196" t="s">
        <v>61660</v>
      </c>
      <c r="E3196" t="s">
        <v>61661</v>
      </c>
      <c r="F3196" t="s">
        <v>61662</v>
      </c>
      <c r="G3196" t="s">
        <v>61663</v>
      </c>
      <c r="H3196" t="s">
        <v>61664</v>
      </c>
      <c r="I3196" t="s">
        <v>61665</v>
      </c>
      <c r="J3196" t="s">
        <v>61666</v>
      </c>
      <c r="K3196" t="s">
        <v>61667</v>
      </c>
      <c r="L3196" t="s">
        <v>61668</v>
      </c>
      <c r="M3196" t="s">
        <v>61669</v>
      </c>
      <c r="N3196" t="s">
        <v>61670</v>
      </c>
      <c r="O3196">
        <f>-668.425980410616 -150.921204226134 -503.049994705952</f>
        <v>-1322.397179342702</v>
      </c>
      <c r="P3196">
        <f>-616.35001233288 -175.975972690165 -226.935986426848</f>
        <v>-1019.2619714498931</v>
      </c>
      <c r="Q3196">
        <f>-462.213807827344 -67.4241234736082 -362.608669380284</f>
        <v>-892.24660068123626</v>
      </c>
      <c r="R3196" t="s">
        <v>61671</v>
      </c>
      <c r="S3196" t="s">
        <v>61672</v>
      </c>
      <c r="T3196" t="s">
        <v>61673</v>
      </c>
      <c r="U3196" t="s">
        <v>61674</v>
      </c>
      <c r="V3196">
        <f>-599.061610108813 -56.9477846796906 -93.2802481510244</f>
        <v>-749.28964293952799</v>
      </c>
      <c r="W3196" t="s">
        <v>61675</v>
      </c>
      <c r="X3196" t="s">
        <v>61676</v>
      </c>
      <c r="Y3196" t="s">
        <v>61677</v>
      </c>
    </row>
    <row r="3197" spans="1:25" x14ac:dyDescent="0.3">
      <c r="A3197">
        <v>159800</v>
      </c>
      <c r="B3197" t="s">
        <v>61678</v>
      </c>
      <c r="C3197" t="s">
        <v>61679</v>
      </c>
      <c r="D3197" t="s">
        <v>61680</v>
      </c>
      <c r="E3197" t="s">
        <v>61681</v>
      </c>
      <c r="F3197" t="s">
        <v>61682</v>
      </c>
      <c r="G3197" t="s">
        <v>61683</v>
      </c>
      <c r="H3197" t="s">
        <v>61684</v>
      </c>
      <c r="I3197" t="s">
        <v>61685</v>
      </c>
      <c r="J3197" t="s">
        <v>61686</v>
      </c>
      <c r="K3197" t="s">
        <v>61687</v>
      </c>
      <c r="L3197" t="s">
        <v>61688</v>
      </c>
      <c r="M3197" t="s">
        <v>61689</v>
      </c>
      <c r="N3197" t="s">
        <v>61690</v>
      </c>
      <c r="O3197">
        <f>-667.752078450665 -150.509757391478 -503.305223457039</f>
        <v>-1321.5670592991819</v>
      </c>
      <c r="P3197">
        <f>-615.786298755498 -175.51151758765 -227.165688913675</f>
        <v>-1018.4635052568231</v>
      </c>
      <c r="Q3197">
        <f>-460.934051628121 -68.0081268769452 -362.857712515065</f>
        <v>-891.7998910201311</v>
      </c>
      <c r="R3197" t="s">
        <v>61691</v>
      </c>
      <c r="S3197" t="s">
        <v>61692</v>
      </c>
      <c r="T3197" t="s">
        <v>61693</v>
      </c>
      <c r="U3197" t="s">
        <v>61694</v>
      </c>
      <c r="V3197">
        <f>-598.761704130111 -56.8975136925246 -93.2705731318354</f>
        <v>-748.92979095447095</v>
      </c>
      <c r="W3197" t="s">
        <v>61695</v>
      </c>
      <c r="X3197" t="s">
        <v>61696</v>
      </c>
      <c r="Y3197" t="s">
        <v>61697</v>
      </c>
    </row>
    <row r="3198" spans="1:25" x14ac:dyDescent="0.3">
      <c r="A3198">
        <v>159850</v>
      </c>
      <c r="B3198" t="s">
        <v>61698</v>
      </c>
      <c r="C3198" t="s">
        <v>61699</v>
      </c>
      <c r="D3198" t="s">
        <v>61700</v>
      </c>
      <c r="E3198" t="s">
        <v>61701</v>
      </c>
      <c r="F3198" t="s">
        <v>61702</v>
      </c>
      <c r="G3198" t="s">
        <v>61703</v>
      </c>
      <c r="H3198" t="s">
        <v>61704</v>
      </c>
      <c r="I3198" t="s">
        <v>61705</v>
      </c>
      <c r="J3198" t="s">
        <v>61706</v>
      </c>
      <c r="K3198" t="s">
        <v>61707</v>
      </c>
      <c r="L3198" t="s">
        <v>61708</v>
      </c>
      <c r="M3198" t="s">
        <v>61709</v>
      </c>
      <c r="N3198" t="s">
        <v>61710</v>
      </c>
      <c r="O3198">
        <f>-667.316849778507 -150.315741232857 -503.411672048017</f>
        <v>-1321.0442630593811</v>
      </c>
      <c r="P3198">
        <f>-615.640451533718 -175.376992026778 -227.223186068465</f>
        <v>-1018.240629628961</v>
      </c>
      <c r="Q3198">
        <f>-460.108737579406 -68.5335610394177 -362.659296092222</f>
        <v>-891.30159471104571</v>
      </c>
      <c r="R3198" t="s">
        <v>61711</v>
      </c>
      <c r="S3198" t="s">
        <v>61712</v>
      </c>
      <c r="T3198" t="s">
        <v>61713</v>
      </c>
      <c r="U3198" t="s">
        <v>61714</v>
      </c>
      <c r="V3198">
        <f>-598.587786981502 -56.855475195227 -93.2702845202285</f>
        <v>-748.71354669695745</v>
      </c>
      <c r="W3198" t="s">
        <v>61715</v>
      </c>
      <c r="X3198" t="s">
        <v>61716</v>
      </c>
      <c r="Y3198" t="s">
        <v>61717</v>
      </c>
    </row>
    <row r="3199" spans="1:25" x14ac:dyDescent="0.3">
      <c r="A3199">
        <v>159900</v>
      </c>
      <c r="B3199" t="s">
        <v>61718</v>
      </c>
      <c r="C3199" t="s">
        <v>61719</v>
      </c>
      <c r="D3199" t="s">
        <v>61720</v>
      </c>
      <c r="E3199" t="s">
        <v>61721</v>
      </c>
      <c r="F3199" t="s">
        <v>61722</v>
      </c>
      <c r="G3199" t="s">
        <v>61723</v>
      </c>
      <c r="H3199" t="s">
        <v>61724</v>
      </c>
      <c r="I3199" t="s">
        <v>61725</v>
      </c>
      <c r="J3199" t="s">
        <v>61726</v>
      </c>
      <c r="K3199" t="s">
        <v>61727</v>
      </c>
      <c r="L3199" t="s">
        <v>61728</v>
      </c>
      <c r="M3199" t="s">
        <v>61729</v>
      </c>
      <c r="N3199" t="s">
        <v>61730</v>
      </c>
      <c r="O3199">
        <f>-666.624935104859 -149.797421160231 -503.692620552619</f>
        <v>-1320.114976817709</v>
      </c>
      <c r="P3199">
        <f>-615.841064643422 -175.025884160592 -227.353892951657</f>
        <v>-1018.220841755671</v>
      </c>
      <c r="Q3199">
        <f>-458.422954116195 -69.3832657819405 -361.546756221816</f>
        <v>-889.35297611995156</v>
      </c>
      <c r="R3199" t="s">
        <v>61731</v>
      </c>
      <c r="S3199" t="s">
        <v>61732</v>
      </c>
      <c r="T3199" t="s">
        <v>61733</v>
      </c>
      <c r="U3199" t="s">
        <v>61734</v>
      </c>
      <c r="V3199">
        <f>-598.196063970803 -56.6840589744838 -93.234702683722</f>
        <v>-748.11482562900892</v>
      </c>
      <c r="W3199" t="s">
        <v>61735</v>
      </c>
      <c r="X3199" t="s">
        <v>61736</v>
      </c>
      <c r="Y3199" t="s">
        <v>61737</v>
      </c>
    </row>
    <row r="3200" spans="1:25" x14ac:dyDescent="0.3">
      <c r="A3200">
        <v>159950</v>
      </c>
      <c r="B3200" t="s">
        <v>61738</v>
      </c>
      <c r="C3200" t="s">
        <v>61739</v>
      </c>
      <c r="D3200" t="s">
        <v>61740</v>
      </c>
      <c r="E3200" t="s">
        <v>61741</v>
      </c>
      <c r="F3200" t="s">
        <v>61742</v>
      </c>
      <c r="G3200" t="s">
        <v>61743</v>
      </c>
      <c r="H3200" t="s">
        <v>61744</v>
      </c>
      <c r="I3200" t="s">
        <v>61745</v>
      </c>
      <c r="J3200" t="s">
        <v>61746</v>
      </c>
      <c r="K3200" t="s">
        <v>61747</v>
      </c>
      <c r="L3200" t="s">
        <v>61748</v>
      </c>
      <c r="M3200" t="s">
        <v>61749</v>
      </c>
      <c r="N3200" t="s">
        <v>61750</v>
      </c>
      <c r="O3200">
        <f>-666.386068091004 -149.510072378992 -503.850567387829</f>
        <v>-1319.746707857825</v>
      </c>
      <c r="P3200">
        <f>-616.14079667388 -174.748400404637 -227.414216489569</f>
        <v>-1018.3034135680859</v>
      </c>
      <c r="Q3200">
        <f>-457.688983509308 -69.6232355754341 -360.794359857046</f>
        <v>-888.10657894178803</v>
      </c>
      <c r="R3200" t="s">
        <v>61751</v>
      </c>
      <c r="S3200" t="s">
        <v>61752</v>
      </c>
      <c r="T3200" t="s">
        <v>61753</v>
      </c>
      <c r="U3200" t="s">
        <v>61754</v>
      </c>
      <c r="V3200">
        <f>-598.11993799606 -56.57665654271 -93.2134713326194</f>
        <v>-747.91006587138941</v>
      </c>
      <c r="W3200" t="s">
        <v>61755</v>
      </c>
      <c r="X3200" t="s">
        <v>61756</v>
      </c>
      <c r="Y3200" t="s">
        <v>61757</v>
      </c>
    </row>
    <row r="3201" spans="1:25" x14ac:dyDescent="0.3">
      <c r="A3201">
        <v>160000</v>
      </c>
      <c r="B3201" t="s">
        <v>61758</v>
      </c>
      <c r="C3201" t="s">
        <v>61759</v>
      </c>
      <c r="D3201" t="s">
        <v>61760</v>
      </c>
      <c r="E3201" t="s">
        <v>61761</v>
      </c>
      <c r="F3201" t="s">
        <v>61762</v>
      </c>
      <c r="G3201" t="s">
        <v>61763</v>
      </c>
      <c r="H3201" t="s">
        <v>61764</v>
      </c>
      <c r="I3201" t="s">
        <v>61765</v>
      </c>
      <c r="J3201" t="s">
        <v>61766</v>
      </c>
      <c r="K3201" t="s">
        <v>61767</v>
      </c>
      <c r="L3201" t="s">
        <v>61768</v>
      </c>
      <c r="M3201" t="s">
        <v>61769</v>
      </c>
      <c r="N3201" t="s">
        <v>61770</v>
      </c>
      <c r="O3201">
        <f>-665.956880817788 -148.978859776579 -504.092960259569</f>
        <v>-1319.028700853936</v>
      </c>
      <c r="P3201">
        <f>-616.6192996723 -174.371047627486 -227.507385697651</f>
        <v>-1018.497732997437</v>
      </c>
      <c r="Q3201">
        <f>-456.69820246568 -69.6771392840924 -359.465588733363</f>
        <v>-885.84093048313548</v>
      </c>
      <c r="R3201" t="s">
        <v>61771</v>
      </c>
      <c r="S3201" t="s">
        <v>61772</v>
      </c>
      <c r="T3201" t="s">
        <v>61773</v>
      </c>
      <c r="U3201" t="s">
        <v>61774</v>
      </c>
      <c r="V3201">
        <f>-598.171717511777 -56.298925424956 -93.1951665463318</f>
        <v>-747.66580948306489</v>
      </c>
      <c r="W3201" t="s">
        <v>61775</v>
      </c>
      <c r="X3201" t="s">
        <v>61776</v>
      </c>
      <c r="Y3201" t="s">
        <v>61777</v>
      </c>
    </row>
    <row r="3202" spans="1:25" x14ac:dyDescent="0.3">
      <c r="A3202">
        <v>160050</v>
      </c>
      <c r="B3202" t="s">
        <v>61778</v>
      </c>
      <c r="C3202" t="s">
        <v>61779</v>
      </c>
      <c r="D3202" t="s">
        <v>61780</v>
      </c>
      <c r="E3202" t="s">
        <v>61781</v>
      </c>
      <c r="F3202" t="s">
        <v>61782</v>
      </c>
      <c r="G3202" t="s">
        <v>61783</v>
      </c>
      <c r="H3202" t="s">
        <v>61784</v>
      </c>
      <c r="I3202" t="s">
        <v>61785</v>
      </c>
      <c r="J3202" t="s">
        <v>61786</v>
      </c>
      <c r="K3202" t="s">
        <v>61787</v>
      </c>
      <c r="L3202" t="s">
        <v>61788</v>
      </c>
      <c r="M3202" t="s">
        <v>61789</v>
      </c>
      <c r="N3202" t="s">
        <v>61790</v>
      </c>
      <c r="O3202">
        <f>-665.638752140185 -148.746986770313 -504.206871016565</f>
        <v>-1318.592609927063</v>
      </c>
      <c r="P3202">
        <f>-616.937443332769 -174.319818915269 -227.525132517655</f>
        <v>-1018.7823947656931</v>
      </c>
      <c r="Q3202">
        <f>-456.458850600453 -69.5276374422519 -358.726310003947</f>
        <v>-884.71279804665187</v>
      </c>
      <c r="R3202" t="s">
        <v>61791</v>
      </c>
      <c r="S3202" t="s">
        <v>61792</v>
      </c>
      <c r="T3202" t="s">
        <v>61793</v>
      </c>
      <c r="U3202" t="s">
        <v>61794</v>
      </c>
      <c r="V3202">
        <f>-598.248734188472 -56.1981046859223 -93.1904770371033</f>
        <v>-747.63731591149758</v>
      </c>
      <c r="W3202" t="s">
        <v>61795</v>
      </c>
      <c r="X3202" t="s">
        <v>61796</v>
      </c>
      <c r="Y3202" t="s">
        <v>61797</v>
      </c>
    </row>
    <row r="3203" spans="1:25" x14ac:dyDescent="0.3">
      <c r="A3203">
        <v>160100</v>
      </c>
      <c r="B3203" t="s">
        <v>61798</v>
      </c>
      <c r="C3203" t="s">
        <v>61799</v>
      </c>
      <c r="D3203" t="s">
        <v>61800</v>
      </c>
      <c r="E3203" t="s">
        <v>61801</v>
      </c>
      <c r="F3203" t="s">
        <v>61802</v>
      </c>
      <c r="G3203" t="s">
        <v>61803</v>
      </c>
      <c r="H3203" t="s">
        <v>61804</v>
      </c>
      <c r="I3203" t="s">
        <v>61805</v>
      </c>
      <c r="J3203" t="s">
        <v>61806</v>
      </c>
      <c r="K3203" t="s">
        <v>61807</v>
      </c>
      <c r="L3203" t="s">
        <v>61808</v>
      </c>
      <c r="M3203" t="s">
        <v>61809</v>
      </c>
      <c r="N3203" t="s">
        <v>61810</v>
      </c>
      <c r="O3203">
        <f>-664.799691594035 -148.475576811289 -504.432807288744</f>
        <v>-1317.7080756940682</v>
      </c>
      <c r="P3203">
        <f>-617.548556591949 -174.102761685582 -227.504679030168</f>
        <v>-1019.155997307699</v>
      </c>
      <c r="Q3203">
        <f>-455.736150136014 -69.6863090728154 -357.360322364694</f>
        <v>-882.78278157352338</v>
      </c>
      <c r="R3203" t="s">
        <v>61811</v>
      </c>
      <c r="S3203" t="s">
        <v>61812</v>
      </c>
      <c r="T3203" t="s">
        <v>61813</v>
      </c>
      <c r="U3203" t="s">
        <v>61814</v>
      </c>
      <c r="V3203">
        <f>-598.281675864912 -56.1040767799352 -93.2012737134089</f>
        <v>-747.58702635825614</v>
      </c>
      <c r="W3203" t="s">
        <v>61815</v>
      </c>
      <c r="X3203" t="s">
        <v>61816</v>
      </c>
      <c r="Y3203" t="s">
        <v>61817</v>
      </c>
    </row>
    <row r="3204" spans="1:25" x14ac:dyDescent="0.3">
      <c r="A3204">
        <v>160150</v>
      </c>
      <c r="B3204" t="s">
        <v>61818</v>
      </c>
      <c r="C3204" t="s">
        <v>61819</v>
      </c>
      <c r="D3204" t="s">
        <v>61820</v>
      </c>
      <c r="E3204" t="s">
        <v>61821</v>
      </c>
      <c r="F3204" t="s">
        <v>61822</v>
      </c>
      <c r="G3204" t="s">
        <v>61823</v>
      </c>
      <c r="H3204" t="s">
        <v>61824</v>
      </c>
      <c r="I3204" t="s">
        <v>61825</v>
      </c>
      <c r="J3204" t="s">
        <v>61826</v>
      </c>
      <c r="K3204" t="s">
        <v>61827</v>
      </c>
      <c r="L3204" t="s">
        <v>61828</v>
      </c>
      <c r="M3204" t="s">
        <v>61829</v>
      </c>
      <c r="N3204" t="s">
        <v>61830</v>
      </c>
      <c r="O3204">
        <f>-664.318938051771 -148.372439245869 -504.484868374675</f>
        <v>-1317.176245672315</v>
      </c>
      <c r="P3204">
        <f>-617.597602118441 -173.793686094937 -227.447953721348</f>
        <v>-1018.839241934726</v>
      </c>
      <c r="Q3204">
        <f>-455.161159782411 -69.7025148196599 -356.784629546791</f>
        <v>-881.64830414886183</v>
      </c>
      <c r="R3204" t="s">
        <v>61831</v>
      </c>
      <c r="S3204" t="s">
        <v>61832</v>
      </c>
      <c r="T3204" t="s">
        <v>61833</v>
      </c>
      <c r="U3204" t="s">
        <v>61834</v>
      </c>
      <c r="V3204">
        <f>-598.229134046597 -56.0324098749197 -93.2030264845361</f>
        <v>-747.46457040605276</v>
      </c>
      <c r="W3204" t="s">
        <v>61835</v>
      </c>
      <c r="X3204" t="s">
        <v>61836</v>
      </c>
      <c r="Y3204" t="s">
        <v>61837</v>
      </c>
    </row>
    <row r="3205" spans="1:25" x14ac:dyDescent="0.3">
      <c r="A3205">
        <v>160200</v>
      </c>
      <c r="B3205" t="s">
        <v>61838</v>
      </c>
      <c r="C3205" t="s">
        <v>61839</v>
      </c>
      <c r="D3205" t="s">
        <v>61840</v>
      </c>
      <c r="E3205" t="s">
        <v>61841</v>
      </c>
      <c r="F3205" t="s">
        <v>61842</v>
      </c>
      <c r="G3205" t="s">
        <v>61843</v>
      </c>
      <c r="H3205" t="s">
        <v>61844</v>
      </c>
      <c r="I3205" t="s">
        <v>61845</v>
      </c>
      <c r="J3205" t="s">
        <v>61846</v>
      </c>
      <c r="K3205" t="s">
        <v>61847</v>
      </c>
      <c r="L3205" t="s">
        <v>61848</v>
      </c>
      <c r="M3205" t="s">
        <v>61849</v>
      </c>
      <c r="N3205" t="s">
        <v>61850</v>
      </c>
      <c r="O3205">
        <f>-663.396661994415 -148.219939911642 -504.468646475409</f>
        <v>-1316.085248381466</v>
      </c>
      <c r="P3205">
        <f>-617.52476552624 -173.352113160547 -227.263345103997</f>
        <v>-1018.140223790784</v>
      </c>
      <c r="Q3205">
        <f>-454.228657575415 -69.9518334847667 -356.070464880458</f>
        <v>-880.25095594063964</v>
      </c>
      <c r="R3205" t="s">
        <v>61851</v>
      </c>
      <c r="S3205" t="s">
        <v>61852</v>
      </c>
      <c r="T3205" t="s">
        <v>61853</v>
      </c>
      <c r="U3205" t="s">
        <v>61854</v>
      </c>
      <c r="V3205">
        <f>-598.175394928629 -55.5958851307248 -93.1940569101617</f>
        <v>-746.96533696951553</v>
      </c>
      <c r="W3205" t="s">
        <v>61855</v>
      </c>
      <c r="X3205" t="s">
        <v>61856</v>
      </c>
      <c r="Y3205" t="s">
        <v>61857</v>
      </c>
    </row>
    <row r="3206" spans="1:25" x14ac:dyDescent="0.3">
      <c r="A3206">
        <v>160250</v>
      </c>
      <c r="B3206" t="s">
        <v>61858</v>
      </c>
      <c r="C3206" t="s">
        <v>61859</v>
      </c>
      <c r="D3206" t="s">
        <v>61860</v>
      </c>
      <c r="E3206" t="s">
        <v>61861</v>
      </c>
      <c r="F3206" t="s">
        <v>61862</v>
      </c>
      <c r="G3206" t="s">
        <v>61863</v>
      </c>
      <c r="H3206" t="s">
        <v>61864</v>
      </c>
      <c r="I3206" t="s">
        <v>61865</v>
      </c>
      <c r="J3206" t="s">
        <v>61866</v>
      </c>
      <c r="K3206" t="s">
        <v>61867</v>
      </c>
      <c r="L3206" t="s">
        <v>61868</v>
      </c>
      <c r="M3206" t="s">
        <v>61869</v>
      </c>
      <c r="N3206" t="s">
        <v>61870</v>
      </c>
      <c r="O3206">
        <f>-663.075464527765 -148.057719219187 -504.438989590235</f>
        <v>-1315.572173337187</v>
      </c>
      <c r="P3206">
        <f>-617.51041856526 -173.004441352485 -227.166402793117</f>
        <v>-1017.681262710862</v>
      </c>
      <c r="Q3206">
        <f>-453.788190052277 -70.137904112042 -355.860043433874</f>
        <v>-879.78613759819302</v>
      </c>
      <c r="R3206" t="s">
        <v>61871</v>
      </c>
      <c r="S3206" t="s">
        <v>61872</v>
      </c>
      <c r="T3206" t="s">
        <v>61873</v>
      </c>
      <c r="U3206" t="s">
        <v>61874</v>
      </c>
      <c r="V3206">
        <f>-598.146167172143 -55.3546508375198 -93.1864277035653</f>
        <v>-746.68724571322809</v>
      </c>
      <c r="W3206" t="s">
        <v>61875</v>
      </c>
      <c r="X3206" t="s">
        <v>61876</v>
      </c>
      <c r="Y3206" t="s">
        <v>61877</v>
      </c>
    </row>
    <row r="3207" spans="1:25" x14ac:dyDescent="0.3">
      <c r="A3207">
        <v>160300</v>
      </c>
      <c r="B3207" t="s">
        <v>61878</v>
      </c>
      <c r="C3207" t="s">
        <v>61879</v>
      </c>
      <c r="D3207" t="s">
        <v>61880</v>
      </c>
      <c r="E3207" t="s">
        <v>61881</v>
      </c>
      <c r="F3207" t="s">
        <v>61882</v>
      </c>
      <c r="G3207" t="s">
        <v>61883</v>
      </c>
      <c r="H3207" t="s">
        <v>61884</v>
      </c>
      <c r="I3207" t="s">
        <v>61885</v>
      </c>
      <c r="J3207" t="s">
        <v>61886</v>
      </c>
      <c r="K3207" t="s">
        <v>61887</v>
      </c>
      <c r="L3207" t="s">
        <v>61888</v>
      </c>
      <c r="M3207" t="s">
        <v>61889</v>
      </c>
      <c r="N3207" t="s">
        <v>61890</v>
      </c>
      <c r="O3207">
        <f>-662.605439338289 -147.998259526274 -504.211769572335</f>
        <v>-1314.8154684368981</v>
      </c>
      <c r="P3207">
        <f>-617.291408338276 -172.339531170125 -226.844270434856</f>
        <v>-1016.4752099432571</v>
      </c>
      <c r="Q3207">
        <f>-452.995294490755 -70.2844705906889 -355.452382942699</f>
        <v>-878.73214802414282</v>
      </c>
      <c r="R3207" t="s">
        <v>61891</v>
      </c>
      <c r="S3207" t="s">
        <v>61892</v>
      </c>
      <c r="T3207" t="s">
        <v>61893</v>
      </c>
      <c r="U3207" t="s">
        <v>61894</v>
      </c>
      <c r="V3207">
        <f>-597.994837665695 -55.0384800834058 -93.1444524353013</f>
        <v>-746.17777018440211</v>
      </c>
      <c r="W3207" t="s">
        <v>61895</v>
      </c>
      <c r="X3207" t="s">
        <v>61896</v>
      </c>
      <c r="Y3207" t="s">
        <v>61897</v>
      </c>
    </row>
    <row r="3208" spans="1:25" x14ac:dyDescent="0.3">
      <c r="A3208">
        <v>160350</v>
      </c>
      <c r="B3208" t="s">
        <v>61898</v>
      </c>
      <c r="C3208" t="s">
        <v>61899</v>
      </c>
      <c r="D3208" t="s">
        <v>61900</v>
      </c>
      <c r="E3208" t="s">
        <v>61901</v>
      </c>
      <c r="F3208" t="s">
        <v>61902</v>
      </c>
      <c r="G3208" t="s">
        <v>61903</v>
      </c>
      <c r="H3208" t="s">
        <v>61904</v>
      </c>
      <c r="I3208" t="s">
        <v>61905</v>
      </c>
      <c r="J3208" t="s">
        <v>61906</v>
      </c>
      <c r="K3208" t="s">
        <v>61907</v>
      </c>
      <c r="L3208" t="s">
        <v>61908</v>
      </c>
      <c r="M3208" t="s">
        <v>61909</v>
      </c>
      <c r="N3208" t="s">
        <v>61910</v>
      </c>
      <c r="O3208">
        <f>-662.250209791482 -148.12869275258 -504.043835329695</f>
        <v>-1314.4227378737571</v>
      </c>
      <c r="P3208">
        <f>-617.080123905782 -172.106332306836 -226.621292135887</f>
        <v>-1015.8077483485049</v>
      </c>
      <c r="Q3208">
        <f>-452.403562443338 -70.423393837279 -355.037635525755</f>
        <v>-877.86459180637189</v>
      </c>
      <c r="R3208" t="s">
        <v>61911</v>
      </c>
      <c r="S3208" t="s">
        <v>61912</v>
      </c>
      <c r="T3208" t="s">
        <v>61913</v>
      </c>
      <c r="U3208" t="s">
        <v>61914</v>
      </c>
      <c r="V3208">
        <f>-597.880913013957 -54.8559756113041 -93.1146458787941</f>
        <v>-745.85153450405517</v>
      </c>
      <c r="W3208" t="s">
        <v>61915</v>
      </c>
      <c r="X3208" t="s">
        <v>61916</v>
      </c>
      <c r="Y3208" t="s">
        <v>61917</v>
      </c>
    </row>
    <row r="3209" spans="1:25" x14ac:dyDescent="0.3">
      <c r="A3209">
        <v>160400</v>
      </c>
      <c r="B3209" t="s">
        <v>61918</v>
      </c>
      <c r="C3209" t="s">
        <v>61919</v>
      </c>
      <c r="D3209" t="s">
        <v>61920</v>
      </c>
      <c r="E3209" t="s">
        <v>61921</v>
      </c>
      <c r="F3209" t="s">
        <v>61922</v>
      </c>
      <c r="G3209" t="s">
        <v>61923</v>
      </c>
      <c r="H3209" t="s">
        <v>61924</v>
      </c>
      <c r="I3209" t="s">
        <v>61925</v>
      </c>
      <c r="J3209" t="s">
        <v>61926</v>
      </c>
      <c r="K3209" t="s">
        <v>61927</v>
      </c>
      <c r="L3209" t="s">
        <v>61928</v>
      </c>
      <c r="M3209" t="s">
        <v>61929</v>
      </c>
      <c r="N3209" t="s">
        <v>61930</v>
      </c>
      <c r="O3209">
        <f>-661.662383179019 -148.537674177777 -503.459491246625</f>
        <v>-1313.6595486034212</v>
      </c>
      <c r="P3209">
        <f>-616.871540142782 -171.610997943376 -225.898666595338</f>
        <v>-1014.381204681496</v>
      </c>
      <c r="Q3209">
        <f>-451.45647684255 -70.5997549741912 -353.895439451728</f>
        <v>-875.95167126846923</v>
      </c>
      <c r="R3209" t="s">
        <v>61931</v>
      </c>
      <c r="S3209" t="s">
        <v>61932</v>
      </c>
      <c r="T3209" t="s">
        <v>61933</v>
      </c>
      <c r="U3209" t="s">
        <v>61934</v>
      </c>
      <c r="V3209">
        <f>-597.612405692685 -54.5315936134682 -93.0690848635252</f>
        <v>-745.21308416967838</v>
      </c>
      <c r="W3209" t="s">
        <v>61935</v>
      </c>
      <c r="X3209" t="s">
        <v>61936</v>
      </c>
      <c r="Y3209" t="s">
        <v>61937</v>
      </c>
    </row>
    <row r="3210" spans="1:25" x14ac:dyDescent="0.3">
      <c r="A3210">
        <v>160450</v>
      </c>
      <c r="B3210" t="s">
        <v>61938</v>
      </c>
      <c r="C3210" t="s">
        <v>61939</v>
      </c>
      <c r="D3210" t="s">
        <v>61940</v>
      </c>
      <c r="E3210" t="s">
        <v>61941</v>
      </c>
      <c r="F3210" t="s">
        <v>61942</v>
      </c>
      <c r="G3210" t="s">
        <v>61943</v>
      </c>
      <c r="H3210" t="s">
        <v>61944</v>
      </c>
      <c r="I3210" t="s">
        <v>61945</v>
      </c>
      <c r="J3210" t="s">
        <v>61946</v>
      </c>
      <c r="K3210" t="s">
        <v>61947</v>
      </c>
      <c r="L3210" t="s">
        <v>61948</v>
      </c>
      <c r="M3210" t="s">
        <v>61949</v>
      </c>
      <c r="N3210" t="s">
        <v>61950</v>
      </c>
      <c r="O3210">
        <f>-661.471114635507 -148.888115308589 -503.113924002533</f>
        <v>-1313.4731539466291</v>
      </c>
      <c r="P3210">
        <f>-617.025005092523 -171.283209904486 -225.442149383385</f>
        <v>-1013.7503643803939</v>
      </c>
      <c r="Q3210">
        <f>-451.244351742639 -70.7130536922668 -353.31312746922</f>
        <v>-875.27053290412573</v>
      </c>
      <c r="R3210" t="s">
        <v>61951</v>
      </c>
      <c r="S3210" t="s">
        <v>61952</v>
      </c>
      <c r="T3210" t="s">
        <v>61953</v>
      </c>
      <c r="U3210" t="s">
        <v>61954</v>
      </c>
      <c r="V3210">
        <f>-597.445707082746 -54.4529780675155 -93.0559359266505</f>
        <v>-744.95462107691196</v>
      </c>
      <c r="W3210" t="s">
        <v>61955</v>
      </c>
      <c r="X3210" t="s">
        <v>61956</v>
      </c>
      <c r="Y3210" t="s">
        <v>61957</v>
      </c>
    </row>
    <row r="3211" spans="1:25" x14ac:dyDescent="0.3">
      <c r="A3211">
        <v>160500</v>
      </c>
      <c r="B3211" t="s">
        <v>61958</v>
      </c>
      <c r="C3211" t="s">
        <v>61959</v>
      </c>
      <c r="D3211" t="s">
        <v>61960</v>
      </c>
      <c r="E3211" t="s">
        <v>61961</v>
      </c>
      <c r="F3211" t="s">
        <v>61962</v>
      </c>
      <c r="G3211" t="s">
        <v>61963</v>
      </c>
      <c r="H3211" t="s">
        <v>61964</v>
      </c>
      <c r="I3211" t="s">
        <v>61965</v>
      </c>
      <c r="J3211" t="s">
        <v>61966</v>
      </c>
      <c r="K3211" t="s">
        <v>61967</v>
      </c>
      <c r="L3211" t="s">
        <v>61968</v>
      </c>
      <c r="M3211" t="s">
        <v>61969</v>
      </c>
      <c r="N3211" t="s">
        <v>61970</v>
      </c>
      <c r="O3211">
        <f>-661.246619148288 -149.676063163439 -502.40035776591</f>
        <v>-1313.323040077637</v>
      </c>
      <c r="P3211">
        <f>-617.606159581384 -170.703151036201 -224.493864005275</f>
        <v>-1012.80317462286</v>
      </c>
      <c r="Q3211">
        <f>-450.653766372907 -71.7051282430984 -352.06684069022</f>
        <v>-874.42573530622531</v>
      </c>
      <c r="R3211" t="s">
        <v>61971</v>
      </c>
      <c r="S3211" t="s">
        <v>61972</v>
      </c>
      <c r="T3211" t="s">
        <v>61973</v>
      </c>
      <c r="U3211" t="s">
        <v>61974</v>
      </c>
      <c r="V3211">
        <f>-597.205462267268 -54.3972336357297 -93.047181074686</f>
        <v>-744.64987697768368</v>
      </c>
      <c r="W3211" t="s">
        <v>61975</v>
      </c>
      <c r="X3211" t="s">
        <v>61976</v>
      </c>
      <c r="Y3211" t="s">
        <v>61977</v>
      </c>
    </row>
    <row r="3212" spans="1:25" x14ac:dyDescent="0.3">
      <c r="A3212">
        <v>160550</v>
      </c>
      <c r="B3212" t="s">
        <v>61978</v>
      </c>
      <c r="C3212" t="s">
        <v>61979</v>
      </c>
      <c r="D3212" t="s">
        <v>61980</v>
      </c>
      <c r="E3212" t="s">
        <v>61981</v>
      </c>
      <c r="F3212" t="s">
        <v>61982</v>
      </c>
      <c r="G3212" t="s">
        <v>61983</v>
      </c>
      <c r="H3212" t="s">
        <v>61984</v>
      </c>
      <c r="I3212" t="s">
        <v>61985</v>
      </c>
      <c r="J3212" t="s">
        <v>61986</v>
      </c>
      <c r="K3212" t="s">
        <v>61987</v>
      </c>
      <c r="L3212" t="s">
        <v>61988</v>
      </c>
      <c r="M3212" t="s">
        <v>61989</v>
      </c>
      <c r="N3212" t="s">
        <v>61990</v>
      </c>
      <c r="O3212">
        <f>-661.07113572574 -149.984216469448 -502.063946151926</f>
        <v>-1313.119298347114</v>
      </c>
      <c r="P3212">
        <f>-618.023218376332 -170.568139707921 -224.032104928921</f>
        <v>-1012.6234630131739</v>
      </c>
      <c r="Q3212">
        <f>-450.384251558439 -72.3552602055174 -351.310927821785</f>
        <v>-874.05043958574151</v>
      </c>
      <c r="R3212" t="s">
        <v>61991</v>
      </c>
      <c r="S3212" t="s">
        <v>61992</v>
      </c>
      <c r="T3212" t="s">
        <v>61993</v>
      </c>
      <c r="U3212" t="s">
        <v>61994</v>
      </c>
      <c r="V3212">
        <f>-597.173559320945 -54.2773511045514 -93.0386377802671</f>
        <v>-744.48954820576341</v>
      </c>
      <c r="W3212" t="s">
        <v>61995</v>
      </c>
      <c r="X3212" t="s">
        <v>61996</v>
      </c>
      <c r="Y3212" t="s">
        <v>61997</v>
      </c>
    </row>
    <row r="3213" spans="1:25" x14ac:dyDescent="0.3">
      <c r="A3213">
        <v>160600</v>
      </c>
      <c r="B3213" t="s">
        <v>61998</v>
      </c>
      <c r="C3213" t="s">
        <v>61999</v>
      </c>
      <c r="D3213" t="s">
        <v>62000</v>
      </c>
      <c r="E3213" t="s">
        <v>62001</v>
      </c>
      <c r="F3213" t="s">
        <v>62002</v>
      </c>
      <c r="G3213" t="s">
        <v>62003</v>
      </c>
      <c r="H3213" t="s">
        <v>62004</v>
      </c>
      <c r="I3213" t="s">
        <v>62005</v>
      </c>
      <c r="J3213" t="s">
        <v>62006</v>
      </c>
      <c r="K3213" t="s">
        <v>62007</v>
      </c>
      <c r="L3213" t="s">
        <v>62008</v>
      </c>
      <c r="M3213" t="s">
        <v>62009</v>
      </c>
      <c r="N3213" t="s">
        <v>62010</v>
      </c>
      <c r="O3213">
        <f>-660.902061677962 -150.495155143898 -501.567190068619</f>
        <v>-1312.964406890479</v>
      </c>
      <c r="P3213">
        <f>-619.011699622623 -169.97808343524 -223.279126928622</f>
        <v>-1012.268909986485</v>
      </c>
      <c r="Q3213">
        <f>-449.68971150831 -73.5043153183092 -349.657089251298</f>
        <v>-872.85111607791714</v>
      </c>
      <c r="R3213" t="s">
        <v>62011</v>
      </c>
      <c r="S3213" t="s">
        <v>62012</v>
      </c>
      <c r="T3213" t="s">
        <v>62013</v>
      </c>
      <c r="U3213" t="s">
        <v>62014</v>
      </c>
      <c r="V3213">
        <f>-597.204005568536 -54.1786842897304 -93.037661145459</f>
        <v>-744.42035100372539</v>
      </c>
      <c r="W3213" t="s">
        <v>62015</v>
      </c>
      <c r="X3213" t="s">
        <v>62016</v>
      </c>
      <c r="Y3213" t="s">
        <v>62017</v>
      </c>
    </row>
    <row r="3214" spans="1:25" x14ac:dyDescent="0.3">
      <c r="A3214">
        <v>160650</v>
      </c>
      <c r="B3214" t="s">
        <v>62018</v>
      </c>
      <c r="C3214" t="s">
        <v>62019</v>
      </c>
      <c r="D3214" t="s">
        <v>62020</v>
      </c>
      <c r="E3214" t="s">
        <v>62021</v>
      </c>
      <c r="F3214" t="s">
        <v>62022</v>
      </c>
      <c r="G3214" t="s">
        <v>62023</v>
      </c>
      <c r="H3214" t="s">
        <v>62024</v>
      </c>
      <c r="I3214" t="s">
        <v>62025</v>
      </c>
      <c r="J3214" t="s">
        <v>62026</v>
      </c>
      <c r="K3214" t="s">
        <v>62027</v>
      </c>
      <c r="L3214" t="s">
        <v>62028</v>
      </c>
      <c r="M3214" t="s">
        <v>62029</v>
      </c>
      <c r="N3214" t="s">
        <v>62030</v>
      </c>
      <c r="O3214">
        <f>-660.881429563963 -150.70711697453 -501.342321739365</f>
        <v>-1312.9308682778581</v>
      </c>
      <c r="P3214">
        <f>-619.581800649524 -169.734111440956 -222.934539864554</f>
        <v>-1012.250451955034</v>
      </c>
      <c r="Q3214">
        <f>-449.368455916486 -74.0598183324714 -348.721533972097</f>
        <v>-872.1498082210544</v>
      </c>
      <c r="R3214" t="s">
        <v>62031</v>
      </c>
      <c r="S3214" t="s">
        <v>62032</v>
      </c>
      <c r="T3214" t="s">
        <v>62033</v>
      </c>
      <c r="U3214" t="s">
        <v>62034</v>
      </c>
      <c r="V3214">
        <f>-597.296592171796 -54.1351459485429 -93.0472792889015</f>
        <v>-744.47901740924044</v>
      </c>
      <c r="W3214" t="s">
        <v>62035</v>
      </c>
      <c r="X3214" t="s">
        <v>62036</v>
      </c>
      <c r="Y3214" t="s">
        <v>62037</v>
      </c>
    </row>
    <row r="3215" spans="1:25" x14ac:dyDescent="0.3">
      <c r="A3215">
        <v>160700</v>
      </c>
      <c r="B3215" t="s">
        <v>62038</v>
      </c>
      <c r="C3215" t="s">
        <v>62039</v>
      </c>
      <c r="D3215" t="s">
        <v>62040</v>
      </c>
      <c r="E3215" t="s">
        <v>62041</v>
      </c>
      <c r="F3215" t="s">
        <v>62042</v>
      </c>
      <c r="G3215" t="s">
        <v>62043</v>
      </c>
      <c r="H3215" t="s">
        <v>62044</v>
      </c>
      <c r="I3215" t="s">
        <v>62045</v>
      </c>
      <c r="J3215" t="s">
        <v>62046</v>
      </c>
      <c r="K3215" t="s">
        <v>62047</v>
      </c>
      <c r="L3215" t="s">
        <v>62048</v>
      </c>
      <c r="M3215" t="s">
        <v>62049</v>
      </c>
      <c r="N3215" t="s">
        <v>62050</v>
      </c>
      <c r="O3215">
        <f>-660.651955611029 -151.201824196768 -500.998110887108</f>
        <v>-1312.851890694905</v>
      </c>
      <c r="P3215">
        <f>-620.815521873809 -169.453881363416 -222.325364168162</f>
        <v>-1012.594767405387</v>
      </c>
      <c r="Q3215">
        <f>-448.653699143691 -75.6664754727694 -346.875547366022</f>
        <v>-871.19572198248238</v>
      </c>
      <c r="R3215" t="s">
        <v>62051</v>
      </c>
      <c r="S3215" t="s">
        <v>62052</v>
      </c>
      <c r="T3215" t="s">
        <v>62053</v>
      </c>
      <c r="U3215" t="s">
        <v>62054</v>
      </c>
      <c r="V3215">
        <f>-597.501142903606 -54.1289105261287 -93.0728452787894</f>
        <v>-744.70289870852412</v>
      </c>
      <c r="W3215" t="s">
        <v>62055</v>
      </c>
      <c r="X3215" t="s">
        <v>62056</v>
      </c>
      <c r="Y3215" t="s">
        <v>62057</v>
      </c>
    </row>
    <row r="3216" spans="1:25" x14ac:dyDescent="0.3">
      <c r="A3216">
        <v>160750</v>
      </c>
      <c r="B3216" t="s">
        <v>62058</v>
      </c>
      <c r="C3216" t="s">
        <v>62059</v>
      </c>
      <c r="D3216" t="s">
        <v>62060</v>
      </c>
      <c r="E3216" t="s">
        <v>62061</v>
      </c>
      <c r="F3216" t="s">
        <v>62062</v>
      </c>
      <c r="G3216" t="s">
        <v>62063</v>
      </c>
      <c r="H3216" t="s">
        <v>62064</v>
      </c>
      <c r="I3216" t="s">
        <v>62065</v>
      </c>
      <c r="J3216" t="s">
        <v>62066</v>
      </c>
      <c r="K3216" t="s">
        <v>62067</v>
      </c>
      <c r="L3216" t="s">
        <v>62068</v>
      </c>
      <c r="M3216" t="s">
        <v>62069</v>
      </c>
      <c r="N3216" t="s">
        <v>62070</v>
      </c>
      <c r="O3216">
        <f>-660.68201229517 -151.445907878585 -500.856458374002</f>
        <v>-1312.9843785477569</v>
      </c>
      <c r="P3216">
        <f>-621.379125757771 -169.172790682427 -222.074157054361</f>
        <v>-1012.626073494559</v>
      </c>
      <c r="Q3216">
        <f>-448.465267182513 -76.3484883124379 -346.303815420556</f>
        <v>-871.11757091550692</v>
      </c>
      <c r="R3216" t="s">
        <v>62071</v>
      </c>
      <c r="S3216" t="s">
        <v>62072</v>
      </c>
      <c r="T3216" t="s">
        <v>62073</v>
      </c>
      <c r="U3216" t="s">
        <v>62074</v>
      </c>
      <c r="V3216">
        <f>-597.622672908447 -54.202877901995 -93.0854256392813</f>
        <v>-744.91097644972331</v>
      </c>
      <c r="W3216" t="s">
        <v>62075</v>
      </c>
      <c r="X3216" t="s">
        <v>62076</v>
      </c>
      <c r="Y3216" t="s">
        <v>62077</v>
      </c>
    </row>
    <row r="3217" spans="1:25" x14ac:dyDescent="0.3">
      <c r="A3217">
        <v>160800</v>
      </c>
      <c r="B3217" t="s">
        <v>62078</v>
      </c>
      <c r="C3217" t="s">
        <v>62079</v>
      </c>
      <c r="D3217" t="s">
        <v>62080</v>
      </c>
      <c r="E3217" t="s">
        <v>62081</v>
      </c>
      <c r="F3217" t="s">
        <v>62082</v>
      </c>
      <c r="G3217" t="s">
        <v>62083</v>
      </c>
      <c r="H3217" t="s">
        <v>62084</v>
      </c>
      <c r="I3217" t="s">
        <v>62085</v>
      </c>
      <c r="J3217" t="s">
        <v>62086</v>
      </c>
      <c r="K3217" t="s">
        <v>62087</v>
      </c>
      <c r="L3217" t="s">
        <v>62088</v>
      </c>
      <c r="M3217" t="s">
        <v>62089</v>
      </c>
      <c r="N3217" t="s">
        <v>62090</v>
      </c>
      <c r="O3217">
        <f>-660.673136819948 -152.076456606196 -500.555715870531</f>
        <v>-1313.305309296675</v>
      </c>
      <c r="P3217">
        <f>-622.284955280511 -169.481081548533 -221.625672184149</f>
        <v>-1013.391709013193</v>
      </c>
      <c r="Q3217">
        <f>-448.611339459125 -77.5441194282437 -345.454697152124</f>
        <v>-871.61015603949272</v>
      </c>
      <c r="R3217" t="s">
        <v>62091</v>
      </c>
      <c r="S3217" t="s">
        <v>62092</v>
      </c>
      <c r="T3217" t="s">
        <v>62093</v>
      </c>
      <c r="U3217" t="s">
        <v>62094</v>
      </c>
      <c r="V3217">
        <f>-597.923162724471 -54.4519974443535 -93.1129516215589</f>
        <v>-745.48811179038341</v>
      </c>
      <c r="W3217" t="s">
        <v>62095</v>
      </c>
      <c r="X3217" t="s">
        <v>62096</v>
      </c>
      <c r="Y3217" t="s">
        <v>62097</v>
      </c>
    </row>
    <row r="3218" spans="1:25" x14ac:dyDescent="0.3">
      <c r="A3218">
        <v>160850</v>
      </c>
      <c r="B3218" t="s">
        <v>62098</v>
      </c>
      <c r="C3218" t="s">
        <v>62099</v>
      </c>
      <c r="D3218" t="s">
        <v>62100</v>
      </c>
      <c r="E3218" t="s">
        <v>62101</v>
      </c>
      <c r="F3218" t="s">
        <v>62102</v>
      </c>
      <c r="G3218" t="s">
        <v>62103</v>
      </c>
      <c r="H3218" t="s">
        <v>62104</v>
      </c>
      <c r="I3218" t="s">
        <v>62105</v>
      </c>
      <c r="J3218" t="s">
        <v>62106</v>
      </c>
      <c r="K3218" t="s">
        <v>62107</v>
      </c>
      <c r="L3218" t="s">
        <v>62108</v>
      </c>
      <c r="M3218" t="s">
        <v>62109</v>
      </c>
      <c r="N3218" t="s">
        <v>62110</v>
      </c>
      <c r="O3218">
        <f>-660.704168094459 -152.462556086579 -500.419481608596</f>
        <v>-1313.5862057896341</v>
      </c>
      <c r="P3218">
        <f>-622.776839162857 -169.829155266147 -221.424046426659</f>
        <v>-1014.0300408556629</v>
      </c>
      <c r="Q3218">
        <f>-448.834862504992 -78.2522895515422 -345.1429617098</f>
        <v>-872.23011376633417</v>
      </c>
      <c r="R3218" t="s">
        <v>62111</v>
      </c>
      <c r="S3218" t="s">
        <v>62112</v>
      </c>
      <c r="T3218" t="s">
        <v>62113</v>
      </c>
      <c r="U3218" t="s">
        <v>62114</v>
      </c>
      <c r="V3218">
        <f>-598.057065281193 -54.5917538500532 -93.1266092186838</f>
        <v>-745.77542834993005</v>
      </c>
      <c r="W3218" t="s">
        <v>62115</v>
      </c>
      <c r="X3218" t="s">
        <v>62116</v>
      </c>
      <c r="Y3218" t="s">
        <v>62117</v>
      </c>
    </row>
    <row r="3219" spans="1:25" x14ac:dyDescent="0.3">
      <c r="A3219">
        <v>160900</v>
      </c>
      <c r="B3219" t="s">
        <v>62118</v>
      </c>
      <c r="C3219" t="s">
        <v>62119</v>
      </c>
      <c r="D3219" t="s">
        <v>62120</v>
      </c>
      <c r="E3219" t="s">
        <v>62121</v>
      </c>
      <c r="F3219" t="s">
        <v>62122</v>
      </c>
      <c r="G3219" t="s">
        <v>62123</v>
      </c>
      <c r="H3219" t="s">
        <v>62124</v>
      </c>
      <c r="I3219" t="s">
        <v>62125</v>
      </c>
      <c r="J3219" t="s">
        <v>62126</v>
      </c>
      <c r="K3219" t="s">
        <v>62127</v>
      </c>
      <c r="L3219" t="s">
        <v>62128</v>
      </c>
      <c r="M3219" t="s">
        <v>62129</v>
      </c>
      <c r="N3219" t="s">
        <v>62130</v>
      </c>
      <c r="O3219">
        <f>-661.091921633389 -152.932094149417 -500.109910160485</f>
        <v>-1314.1339259432912</v>
      </c>
      <c r="P3219">
        <f>-623.543007415395 -169.785200565204 -221.031681982825</f>
        <v>-1014.3598899634241</v>
      </c>
      <c r="Q3219">
        <f>-449.27764419222 -78.8804966730527 -344.79118399485</f>
        <v>-872.94932486012272</v>
      </c>
      <c r="R3219" t="s">
        <v>62131</v>
      </c>
      <c r="S3219" t="s">
        <v>62132</v>
      </c>
      <c r="T3219" t="s">
        <v>62133</v>
      </c>
      <c r="U3219" t="s">
        <v>62134</v>
      </c>
      <c r="V3219">
        <f>-598.268960870319 -54.6495638182641 -93.1593353870169</f>
        <v>-746.07786007560003</v>
      </c>
      <c r="W3219" t="s">
        <v>62135</v>
      </c>
      <c r="X3219" t="s">
        <v>62136</v>
      </c>
      <c r="Y3219" t="s">
        <v>62137</v>
      </c>
    </row>
    <row r="3220" spans="1:25" x14ac:dyDescent="0.3">
      <c r="A3220">
        <v>160950</v>
      </c>
      <c r="B3220" t="s">
        <v>62138</v>
      </c>
      <c r="C3220" t="s">
        <v>62139</v>
      </c>
      <c r="D3220" t="s">
        <v>62140</v>
      </c>
      <c r="E3220" t="s">
        <v>62141</v>
      </c>
      <c r="F3220" t="s">
        <v>62142</v>
      </c>
      <c r="G3220" t="s">
        <v>62143</v>
      </c>
      <c r="H3220" t="s">
        <v>62144</v>
      </c>
      <c r="I3220" t="s">
        <v>62145</v>
      </c>
      <c r="J3220" t="s">
        <v>62146</v>
      </c>
      <c r="K3220" t="s">
        <v>62147</v>
      </c>
      <c r="L3220" t="s">
        <v>62148</v>
      </c>
      <c r="M3220" t="s">
        <v>62149</v>
      </c>
      <c r="N3220" t="s">
        <v>62150</v>
      </c>
      <c r="O3220">
        <f>-661.152856210255 -153.206663098681 -499.960691970225</f>
        <v>-1314.320211279161</v>
      </c>
      <c r="P3220">
        <f>-623.691923710866 -169.880975822092 -220.859806734499</f>
        <v>-1014.432706267457</v>
      </c>
      <c r="Q3220">
        <f>-449.343857303299 -79.1550258438388 -344.634329279912</f>
        <v>-873.13321242704978</v>
      </c>
      <c r="R3220" t="s">
        <v>62151</v>
      </c>
      <c r="S3220" t="s">
        <v>62152</v>
      </c>
      <c r="T3220" t="s">
        <v>62153</v>
      </c>
      <c r="U3220" t="s">
        <v>62154</v>
      </c>
      <c r="V3220">
        <f>-598.327514040159 -54.6713581600948 -93.1696474585075</f>
        <v>-746.16851965876128</v>
      </c>
      <c r="W3220" t="s">
        <v>62155</v>
      </c>
      <c r="X3220" t="s">
        <v>62156</v>
      </c>
      <c r="Y3220" t="s">
        <v>62157</v>
      </c>
    </row>
    <row r="3221" spans="1:25" x14ac:dyDescent="0.3">
      <c r="A3221">
        <v>161000</v>
      </c>
      <c r="B3221" t="s">
        <v>62158</v>
      </c>
      <c r="C3221" t="s">
        <v>62159</v>
      </c>
      <c r="D3221" t="s">
        <v>62160</v>
      </c>
      <c r="E3221" t="s">
        <v>62161</v>
      </c>
      <c r="F3221" t="s">
        <v>62162</v>
      </c>
      <c r="G3221" t="s">
        <v>62163</v>
      </c>
      <c r="H3221" t="s">
        <v>62164</v>
      </c>
      <c r="I3221" t="s">
        <v>62165</v>
      </c>
      <c r="J3221" t="s">
        <v>62166</v>
      </c>
      <c r="K3221" t="s">
        <v>62167</v>
      </c>
      <c r="L3221" t="s">
        <v>62168</v>
      </c>
      <c r="M3221" t="s">
        <v>62169</v>
      </c>
      <c r="N3221">
        <f>-662.290166401263 -0.622341319363613 -529.100971791938</f>
        <v>-1192.0134795125646</v>
      </c>
      <c r="O3221">
        <f>-661.207483240836 -153.798364198439 -499.546516584228</f>
        <v>-1314.5523640235031</v>
      </c>
      <c r="P3221">
        <f>-623.999766892914 -170.074688936847 -220.388340881522</f>
        <v>-1014.462796711283</v>
      </c>
      <c r="Q3221">
        <f>-449.604561441919 -79.636076510305 -344.306557052506</f>
        <v>-873.54719500472993</v>
      </c>
      <c r="R3221" t="s">
        <v>62170</v>
      </c>
      <c r="S3221" t="s">
        <v>62171</v>
      </c>
      <c r="T3221" t="s">
        <v>62172</v>
      </c>
      <c r="U3221" t="s">
        <v>62173</v>
      </c>
      <c r="V3221">
        <f>-598.408009688358 -54.5855433028646 -93.1755885441904</f>
        <v>-746.16914153541302</v>
      </c>
      <c r="W3221" t="s">
        <v>62174</v>
      </c>
      <c r="X3221" t="s">
        <v>62175</v>
      </c>
      <c r="Y3221" t="s">
        <v>62176</v>
      </c>
    </row>
    <row r="3222" spans="1:25" x14ac:dyDescent="0.3">
      <c r="A3222">
        <v>161050</v>
      </c>
      <c r="B3222" t="s">
        <v>62177</v>
      </c>
      <c r="C3222" t="s">
        <v>62178</v>
      </c>
      <c r="D3222" t="s">
        <v>62179</v>
      </c>
      <c r="E3222" t="s">
        <v>62180</v>
      </c>
      <c r="F3222" t="s">
        <v>62181</v>
      </c>
      <c r="G3222" t="s">
        <v>62182</v>
      </c>
      <c r="H3222" t="s">
        <v>62183</v>
      </c>
      <c r="I3222" t="s">
        <v>62184</v>
      </c>
      <c r="J3222" t="s">
        <v>62185</v>
      </c>
      <c r="K3222" t="s">
        <v>62186</v>
      </c>
      <c r="L3222" t="s">
        <v>62187</v>
      </c>
      <c r="M3222" t="s">
        <v>62188</v>
      </c>
      <c r="N3222">
        <f>-662.540865810856 -0.928243776058025 -529.053465603158</f>
        <v>-1192.5225751900721</v>
      </c>
      <c r="O3222">
        <f>-661.339618589825 -154.070540507905 -499.331945575341</f>
        <v>-1314.742104673071</v>
      </c>
      <c r="P3222">
        <f>-624.304165109115 -170.069420309237 -220.134936928509</f>
        <v>-1014.508522346861</v>
      </c>
      <c r="Q3222">
        <f>-449.894455343336 -79.713643017576 -344.093057140749</f>
        <v>-873.70115550166099</v>
      </c>
      <c r="R3222" t="s">
        <v>62189</v>
      </c>
      <c r="S3222" t="s">
        <v>62190</v>
      </c>
      <c r="T3222" t="s">
        <v>62191</v>
      </c>
      <c r="U3222" t="s">
        <v>62192</v>
      </c>
      <c r="V3222">
        <f>-598.424086648977 -54.4803235013767 -93.1718529082772</f>
        <v>-746.07626305863084</v>
      </c>
      <c r="W3222" t="s">
        <v>62193</v>
      </c>
      <c r="X3222" t="s">
        <v>62194</v>
      </c>
      <c r="Y3222" t="s">
        <v>62195</v>
      </c>
    </row>
    <row r="3223" spans="1:25" x14ac:dyDescent="0.3">
      <c r="A3223">
        <v>161100</v>
      </c>
      <c r="B3223" t="s">
        <v>62196</v>
      </c>
      <c r="C3223" t="s">
        <v>62197</v>
      </c>
      <c r="D3223" t="s">
        <v>62198</v>
      </c>
      <c r="E3223" t="s">
        <v>62199</v>
      </c>
      <c r="F3223" t="s">
        <v>62200</v>
      </c>
      <c r="G3223" t="s">
        <v>62201</v>
      </c>
      <c r="H3223" t="s">
        <v>62202</v>
      </c>
      <c r="I3223" t="s">
        <v>62203</v>
      </c>
      <c r="J3223" t="s">
        <v>62204</v>
      </c>
      <c r="K3223" t="s">
        <v>62205</v>
      </c>
      <c r="L3223" t="s">
        <v>62206</v>
      </c>
      <c r="M3223" t="s">
        <v>62207</v>
      </c>
      <c r="N3223">
        <f>-662.984616990237 -1.45165602821658 -528.963236342551</f>
        <v>-1193.3995093610047</v>
      </c>
      <c r="O3223">
        <f>-661.632281876935 -154.523900355814 -498.885339067045</f>
        <v>-1315.0415212997941</v>
      </c>
      <c r="P3223">
        <f>-624.679627303098 -169.759550996997 -219.634670429922</f>
        <v>-1014.0738487300169</v>
      </c>
      <c r="Q3223">
        <f>-450.253506652336 -79.6537942023499 -343.751716367369</f>
        <v>-873.6590172220549</v>
      </c>
      <c r="R3223" t="s">
        <v>62208</v>
      </c>
      <c r="S3223" t="s">
        <v>62209</v>
      </c>
      <c r="T3223" t="s">
        <v>62210</v>
      </c>
      <c r="U3223" t="s">
        <v>62211</v>
      </c>
      <c r="V3223">
        <f>-598.479927831365 -54.206225031133 -93.1533175163561</f>
        <v>-745.83947037885412</v>
      </c>
      <c r="W3223" t="s">
        <v>62212</v>
      </c>
      <c r="X3223" t="s">
        <v>62213</v>
      </c>
      <c r="Y3223" t="s">
        <v>62214</v>
      </c>
    </row>
    <row r="3224" spans="1:25" x14ac:dyDescent="0.3">
      <c r="A3224">
        <v>161150</v>
      </c>
      <c r="B3224" t="s">
        <v>62215</v>
      </c>
      <c r="C3224" t="s">
        <v>62216</v>
      </c>
      <c r="D3224" t="s">
        <v>62217</v>
      </c>
      <c r="E3224" t="s">
        <v>62218</v>
      </c>
      <c r="F3224" t="s">
        <v>62219</v>
      </c>
      <c r="G3224" t="s">
        <v>62220</v>
      </c>
      <c r="H3224" t="s">
        <v>62221</v>
      </c>
      <c r="I3224" t="s">
        <v>62222</v>
      </c>
      <c r="J3224" t="s">
        <v>62223</v>
      </c>
      <c r="K3224" t="s">
        <v>62224</v>
      </c>
      <c r="L3224" t="s">
        <v>62225</v>
      </c>
      <c r="M3224" t="s">
        <v>62226</v>
      </c>
      <c r="N3224">
        <f>-662.999910930051 -1.78019791991187 -528.935376879183</f>
        <v>-1193.7154857291457</v>
      </c>
      <c r="O3224">
        <f>-661.516696466993 -154.811665529996 -498.679776563635</f>
        <v>-1315.008138560624</v>
      </c>
      <c r="P3224">
        <f>-624.650162060209 -169.954478092623 -219.412603687227</f>
        <v>-1014.017243840059</v>
      </c>
      <c r="Q3224">
        <f>-450.268666260236 -79.7189562189051 -343.498024898341</f>
        <v>-873.48564737748211</v>
      </c>
      <c r="R3224" t="s">
        <v>62227</v>
      </c>
      <c r="S3224" t="s">
        <v>62228</v>
      </c>
      <c r="T3224" t="s">
        <v>62229</v>
      </c>
      <c r="U3224" t="s">
        <v>62230</v>
      </c>
      <c r="V3224">
        <f>-598.561175604416 -54.0933559620919 -93.1456586688902</f>
        <v>-745.80019023539808</v>
      </c>
      <c r="W3224" t="s">
        <v>62231</v>
      </c>
      <c r="X3224" t="s">
        <v>62232</v>
      </c>
      <c r="Y3224" t="s">
        <v>62233</v>
      </c>
    </row>
    <row r="3225" spans="1:25" x14ac:dyDescent="0.3">
      <c r="A3225">
        <v>161200</v>
      </c>
      <c r="B3225" t="s">
        <v>62234</v>
      </c>
      <c r="C3225" t="s">
        <v>62235</v>
      </c>
      <c r="D3225" t="s">
        <v>62236</v>
      </c>
      <c r="E3225" t="s">
        <v>62237</v>
      </c>
      <c r="F3225" t="s">
        <v>62238</v>
      </c>
      <c r="G3225" t="s">
        <v>62239</v>
      </c>
      <c r="H3225" t="s">
        <v>62240</v>
      </c>
      <c r="I3225" t="s">
        <v>62241</v>
      </c>
      <c r="J3225" t="s">
        <v>62242</v>
      </c>
      <c r="K3225" t="s">
        <v>62243</v>
      </c>
      <c r="L3225" t="s">
        <v>62244</v>
      </c>
      <c r="M3225" t="s">
        <v>62245</v>
      </c>
      <c r="N3225">
        <f>-662.852794998379 -2.48034483366177 -528.932588931072</f>
        <v>-1194.2657287631127</v>
      </c>
      <c r="O3225">
        <f>-661.139625885141 -155.463818540986 -498.421428866353</f>
        <v>-1315.0248732924799</v>
      </c>
      <c r="P3225">
        <f>-624.66058171672 -170.239499502088 -219.083822968302</f>
        <v>-1013.9839041871101</v>
      </c>
      <c r="Q3225">
        <f>-450.211189016823 -79.7172324208357 -342.86461116974</f>
        <v>-872.79303260739869</v>
      </c>
      <c r="R3225" t="s">
        <v>62246</v>
      </c>
      <c r="S3225" t="s">
        <v>62247</v>
      </c>
      <c r="T3225" t="s">
        <v>62248</v>
      </c>
      <c r="U3225" t="s">
        <v>62249</v>
      </c>
      <c r="V3225">
        <f>-598.65361531203 -53.8598651877019 -93.1259527408413</f>
        <v>-745.63943324057311</v>
      </c>
      <c r="W3225" t="s">
        <v>62250</v>
      </c>
      <c r="X3225" t="s">
        <v>62251</v>
      </c>
      <c r="Y3225" t="s">
        <v>62252</v>
      </c>
    </row>
    <row r="3226" spans="1:25" x14ac:dyDescent="0.3">
      <c r="A3226">
        <v>161250</v>
      </c>
      <c r="B3226" t="s">
        <v>62253</v>
      </c>
      <c r="C3226" t="s">
        <v>62254</v>
      </c>
      <c r="D3226" t="s">
        <v>62255</v>
      </c>
      <c r="E3226" t="s">
        <v>62256</v>
      </c>
      <c r="F3226" t="s">
        <v>62257</v>
      </c>
      <c r="G3226" t="s">
        <v>62258</v>
      </c>
      <c r="H3226" t="s">
        <v>62259</v>
      </c>
      <c r="I3226" t="s">
        <v>62260</v>
      </c>
      <c r="J3226" t="s">
        <v>62261</v>
      </c>
      <c r="K3226" t="s">
        <v>62262</v>
      </c>
      <c r="L3226" t="s">
        <v>62263</v>
      </c>
      <c r="M3226" t="s">
        <v>62264</v>
      </c>
      <c r="N3226">
        <f>-662.787305362224 -2.81254771608792 -528.921513706425</f>
        <v>-1194.521366784737</v>
      </c>
      <c r="O3226">
        <f>-660.947228430896 -155.76562553 -498.27196728435</f>
        <v>-1314.9848212452459</v>
      </c>
      <c r="P3226">
        <f>-624.686548763372 -170.379197687362 -218.897455347767</f>
        <v>-1013.9632017985009</v>
      </c>
      <c r="Q3226">
        <f>-450.299410058071 -79.5012047950377 -342.505145988284</f>
        <v>-872.30576084139261</v>
      </c>
      <c r="R3226" t="s">
        <v>62265</v>
      </c>
      <c r="S3226" t="s">
        <v>62266</v>
      </c>
      <c r="T3226" t="s">
        <v>62267</v>
      </c>
      <c r="U3226" t="s">
        <v>62268</v>
      </c>
      <c r="V3226">
        <f>-598.600271304229 -53.6989130771569 -93.1167176260583</f>
        <v>-745.41590200744417</v>
      </c>
      <c r="W3226" t="s">
        <v>62269</v>
      </c>
      <c r="X3226" t="s">
        <v>62270</v>
      </c>
      <c r="Y3226" t="s">
        <v>62271</v>
      </c>
    </row>
    <row r="3227" spans="1:25" x14ac:dyDescent="0.3">
      <c r="A3227">
        <v>161300</v>
      </c>
      <c r="B3227" t="s">
        <v>62272</v>
      </c>
      <c r="C3227" t="s">
        <v>62273</v>
      </c>
      <c r="D3227" t="s">
        <v>62274</v>
      </c>
      <c r="E3227" t="s">
        <v>62275</v>
      </c>
      <c r="F3227" t="s">
        <v>62276</v>
      </c>
      <c r="G3227" t="s">
        <v>62277</v>
      </c>
      <c r="H3227" t="s">
        <v>62278</v>
      </c>
      <c r="I3227" t="s">
        <v>62279</v>
      </c>
      <c r="J3227" t="s">
        <v>62280</v>
      </c>
      <c r="K3227" t="s">
        <v>62281</v>
      </c>
      <c r="L3227" t="s">
        <v>62282</v>
      </c>
      <c r="M3227" t="s">
        <v>62283</v>
      </c>
      <c r="N3227">
        <f>-662.672301807981 -3.33234642584625 -528.878998601717</f>
        <v>-1194.8836468355441</v>
      </c>
      <c r="O3227">
        <f>-660.480071621199 -156.225117758374 -497.959891393548</f>
        <v>-1314.6650807731212</v>
      </c>
      <c r="P3227">
        <f>-624.646800801609 -170.511929682716 -218.513176931856</f>
        <v>-1013.6719074161809</v>
      </c>
      <c r="Q3227">
        <f>-450.224246364922 -78.795772894734 -341.449799343713</f>
        <v>-870.46981860336905</v>
      </c>
      <c r="R3227" t="s">
        <v>62284</v>
      </c>
      <c r="S3227" t="s">
        <v>62285</v>
      </c>
      <c r="T3227" t="s">
        <v>62286</v>
      </c>
      <c r="U3227" t="s">
        <v>62287</v>
      </c>
      <c r="V3227">
        <f>-598.348839437353 -53.3415755636486 -93.088653102908</f>
        <v>-744.77906810390959</v>
      </c>
      <c r="W3227" t="s">
        <v>62288</v>
      </c>
      <c r="X3227" t="s">
        <v>62289</v>
      </c>
      <c r="Y3227" t="s">
        <v>62290</v>
      </c>
    </row>
    <row r="3228" spans="1:25" x14ac:dyDescent="0.3">
      <c r="A3228">
        <v>161350</v>
      </c>
      <c r="B3228" t="s">
        <v>62291</v>
      </c>
      <c r="C3228" t="s">
        <v>62292</v>
      </c>
      <c r="D3228" t="s">
        <v>62293</v>
      </c>
      <c r="E3228" t="s">
        <v>62294</v>
      </c>
      <c r="F3228" t="s">
        <v>62295</v>
      </c>
      <c r="G3228" t="s">
        <v>62296</v>
      </c>
      <c r="H3228" t="s">
        <v>62297</v>
      </c>
      <c r="I3228" t="s">
        <v>62298</v>
      </c>
      <c r="J3228" t="s">
        <v>62299</v>
      </c>
      <c r="K3228" t="s">
        <v>62300</v>
      </c>
      <c r="L3228" t="s">
        <v>62301</v>
      </c>
      <c r="M3228" t="s">
        <v>62302</v>
      </c>
      <c r="N3228">
        <f>-662.671407962216 -3.57154297436387 -528.843378316876</f>
        <v>-1195.0863292534559</v>
      </c>
      <c r="O3228">
        <f>-660.306218317578 -156.440725662768 -497.814329765904</f>
        <v>-1314.56127374625</v>
      </c>
      <c r="P3228">
        <f>-624.601489463828 -170.419422380354 -218.335579508506</f>
        <v>-1013.356491352688</v>
      </c>
      <c r="Q3228">
        <f>-450.192082270196 -78.3940213697185 -341.059610132803</f>
        <v>-869.6457137727175</v>
      </c>
      <c r="R3228" t="s">
        <v>62303</v>
      </c>
      <c r="S3228" t="s">
        <v>62304</v>
      </c>
      <c r="T3228" t="s">
        <v>62305</v>
      </c>
      <c r="U3228" t="s">
        <v>62306</v>
      </c>
      <c r="V3228">
        <f>-598.194441885646 -53.1979975120046 -93.0805089211119</f>
        <v>-744.47294831876252</v>
      </c>
      <c r="W3228" t="s">
        <v>62307</v>
      </c>
      <c r="X3228" t="s">
        <v>62308</v>
      </c>
      <c r="Y3228" t="s">
        <v>62309</v>
      </c>
    </row>
    <row r="3229" spans="1:25" x14ac:dyDescent="0.3">
      <c r="A3229">
        <v>161400</v>
      </c>
      <c r="B3229" t="s">
        <v>62310</v>
      </c>
      <c r="C3229" t="s">
        <v>62311</v>
      </c>
      <c r="D3229" t="s">
        <v>62312</v>
      </c>
      <c r="E3229" t="s">
        <v>62313</v>
      </c>
      <c r="F3229" t="s">
        <v>62314</v>
      </c>
      <c r="G3229" t="s">
        <v>62315</v>
      </c>
      <c r="H3229" t="s">
        <v>62316</v>
      </c>
      <c r="I3229" t="s">
        <v>62317</v>
      </c>
      <c r="J3229" t="s">
        <v>62318</v>
      </c>
      <c r="K3229" t="s">
        <v>62319</v>
      </c>
      <c r="L3229" t="s">
        <v>62320</v>
      </c>
      <c r="M3229" t="s">
        <v>62321</v>
      </c>
      <c r="N3229">
        <f>-662.580359895436 -3.77583242201626 -528.767408642511</f>
        <v>-1195.1236009599634</v>
      </c>
      <c r="O3229">
        <f>-659.935498733156 -156.594455095491 -497.48887655792</f>
        <v>-1314.0188303865671</v>
      </c>
      <c r="P3229">
        <f>-624.281886303084 -170.032653349308 -217.977183164791</f>
        <v>-1012.291722817183</v>
      </c>
      <c r="Q3229">
        <f>-449.859635694222 -77.8813143581083 -340.588542711528</f>
        <v>-868.3294927638583</v>
      </c>
      <c r="R3229" t="s">
        <v>62322</v>
      </c>
      <c r="S3229" t="s">
        <v>62323</v>
      </c>
      <c r="T3229" t="s">
        <v>62324</v>
      </c>
      <c r="U3229" t="s">
        <v>62325</v>
      </c>
      <c r="V3229">
        <f>-597.829747358695 -52.8310524496296 -93.0419137877367</f>
        <v>-743.70271359606136</v>
      </c>
      <c r="W3229" t="s">
        <v>62326</v>
      </c>
      <c r="X3229" t="s">
        <v>62327</v>
      </c>
      <c r="Y3229" t="s">
        <v>62328</v>
      </c>
    </row>
    <row r="3230" spans="1:25" x14ac:dyDescent="0.3">
      <c r="A3230">
        <v>161450</v>
      </c>
      <c r="B3230" t="s">
        <v>62329</v>
      </c>
      <c r="C3230" t="s">
        <v>62330</v>
      </c>
      <c r="D3230" t="s">
        <v>62331</v>
      </c>
      <c r="E3230" t="s">
        <v>62332</v>
      </c>
      <c r="F3230" t="s">
        <v>62333</v>
      </c>
      <c r="G3230" t="s">
        <v>62334</v>
      </c>
      <c r="H3230" t="s">
        <v>62335</v>
      </c>
      <c r="I3230" t="s">
        <v>62336</v>
      </c>
      <c r="J3230" t="s">
        <v>62337</v>
      </c>
      <c r="K3230" t="s">
        <v>62338</v>
      </c>
      <c r="L3230" t="s">
        <v>62339</v>
      </c>
      <c r="M3230" t="s">
        <v>62340</v>
      </c>
      <c r="N3230">
        <f>-662.426454739488 -3.8298349021893 -528.747154099728</f>
        <v>-1195.0034437414054</v>
      </c>
      <c r="O3230">
        <f>-659.675079183299 -156.627160687316 -497.384160274593</f>
        <v>-1313.6864001452082</v>
      </c>
      <c r="P3230">
        <f>-624.133175825397 -169.992819294598 -217.854817335261</f>
        <v>-1011.980812455256</v>
      </c>
      <c r="Q3230">
        <f>-449.71791590041 -77.8148674501213 -340.455952527793</f>
        <v>-867.98873587832429</v>
      </c>
      <c r="R3230" t="s">
        <v>62341</v>
      </c>
      <c r="S3230" t="s">
        <v>62342</v>
      </c>
      <c r="T3230" t="s">
        <v>62343</v>
      </c>
      <c r="U3230" t="s">
        <v>62344</v>
      </c>
      <c r="V3230">
        <f>-597.60582081158 -52.7021331261685 -93.0301598455384</f>
        <v>-743.33811378328687</v>
      </c>
      <c r="W3230" t="s">
        <v>62345</v>
      </c>
      <c r="X3230" t="s">
        <v>62346</v>
      </c>
      <c r="Y3230" t="s">
        <v>62347</v>
      </c>
    </row>
    <row r="3231" spans="1:25" x14ac:dyDescent="0.3">
      <c r="A3231">
        <v>161500</v>
      </c>
      <c r="B3231" t="s">
        <v>62348</v>
      </c>
      <c r="C3231" t="s">
        <v>62349</v>
      </c>
      <c r="D3231" t="s">
        <v>62350</v>
      </c>
      <c r="E3231" t="s">
        <v>62351</v>
      </c>
      <c r="F3231" t="s">
        <v>62352</v>
      </c>
      <c r="G3231" t="s">
        <v>62353</v>
      </c>
      <c r="H3231" t="s">
        <v>62354</v>
      </c>
      <c r="I3231" t="s">
        <v>62355</v>
      </c>
      <c r="J3231" t="s">
        <v>62356</v>
      </c>
      <c r="K3231" t="s">
        <v>62357</v>
      </c>
      <c r="L3231" t="s">
        <v>62358</v>
      </c>
      <c r="M3231" t="s">
        <v>62359</v>
      </c>
      <c r="N3231">
        <f>-662.091782248936 -3.88531593321136 -528.72975884836</f>
        <v>-1194.7068570305073</v>
      </c>
      <c r="O3231">
        <f>-659.279133676163 -156.666380717277 -497.283654028725</f>
        <v>-1313.229168422165</v>
      </c>
      <c r="P3231">
        <f>-624.022621163734 -169.850764376522 -217.709299633056</f>
        <v>-1011.582685173312</v>
      </c>
      <c r="Q3231">
        <f>-449.487353598221 -77.879472580729 -340.295043604442</f>
        <v>-867.66186978339192</v>
      </c>
      <c r="R3231" t="s">
        <v>62360</v>
      </c>
      <c r="S3231" t="s">
        <v>62361</v>
      </c>
      <c r="T3231" t="s">
        <v>62362</v>
      </c>
      <c r="U3231" t="s">
        <v>62363</v>
      </c>
      <c r="V3231">
        <f>-597.201217323623 -52.5662508788548 -93.0319756908566</f>
        <v>-742.79944389333446</v>
      </c>
      <c r="W3231" t="s">
        <v>62364</v>
      </c>
      <c r="X3231" t="s">
        <v>62365</v>
      </c>
      <c r="Y3231" t="s">
        <v>62366</v>
      </c>
    </row>
    <row r="3232" spans="1:25" x14ac:dyDescent="0.3">
      <c r="A3232">
        <v>161550</v>
      </c>
      <c r="B3232" t="s">
        <v>62367</v>
      </c>
      <c r="C3232" t="s">
        <v>62368</v>
      </c>
      <c r="D3232" t="s">
        <v>62369</v>
      </c>
      <c r="E3232" t="s">
        <v>62370</v>
      </c>
      <c r="F3232" t="s">
        <v>62371</v>
      </c>
      <c r="G3232" t="s">
        <v>62372</v>
      </c>
      <c r="H3232" t="s">
        <v>62373</v>
      </c>
      <c r="I3232" t="s">
        <v>62374</v>
      </c>
      <c r="J3232" t="s">
        <v>62375</v>
      </c>
      <c r="K3232" t="s">
        <v>62376</v>
      </c>
      <c r="L3232" t="s">
        <v>62377</v>
      </c>
      <c r="M3232" t="s">
        <v>62378</v>
      </c>
      <c r="N3232">
        <f>-661.984750024781 -3.89732842272338 -528.720010002939</f>
        <v>-1194.6020884504433</v>
      </c>
      <c r="O3232">
        <f>-659.234678510833 -156.668369920892 -497.223579537398</f>
        <v>-1313.1266279691231</v>
      </c>
      <c r="P3232">
        <f>-624.030337637651 -169.653819901343 -217.633442646719</f>
        <v>-1011.317600185713</v>
      </c>
      <c r="Q3232">
        <f>-449.379655824476 -77.7983110398482 -340.141463932446</f>
        <v>-867.31943079677012</v>
      </c>
      <c r="R3232" t="s">
        <v>62379</v>
      </c>
      <c r="S3232" t="s">
        <v>62380</v>
      </c>
      <c r="T3232" t="s">
        <v>62381</v>
      </c>
      <c r="U3232" t="s">
        <v>62382</v>
      </c>
      <c r="V3232">
        <f>-597.005632289605 -52.5829052373281 -93.0342491875197</f>
        <v>-742.62278671445279</v>
      </c>
      <c r="W3232" t="s">
        <v>62383</v>
      </c>
      <c r="X3232" t="s">
        <v>62384</v>
      </c>
      <c r="Y3232" t="s">
        <v>62385</v>
      </c>
    </row>
    <row r="3233" spans="1:25" x14ac:dyDescent="0.3">
      <c r="A3233">
        <v>161600</v>
      </c>
      <c r="B3233" t="s">
        <v>62386</v>
      </c>
      <c r="C3233" t="s">
        <v>62387</v>
      </c>
      <c r="D3233" t="s">
        <v>62388</v>
      </c>
      <c r="E3233" t="s">
        <v>62389</v>
      </c>
      <c r="F3233" t="s">
        <v>62390</v>
      </c>
      <c r="G3233" t="s">
        <v>62391</v>
      </c>
      <c r="H3233" t="s">
        <v>62392</v>
      </c>
      <c r="I3233" t="s">
        <v>62393</v>
      </c>
      <c r="J3233" t="s">
        <v>62394</v>
      </c>
      <c r="K3233" t="s">
        <v>62395</v>
      </c>
      <c r="L3233" t="s">
        <v>62396</v>
      </c>
      <c r="M3233" t="s">
        <v>62397</v>
      </c>
      <c r="N3233">
        <f>-661.741767617353 -3.91629546222362 -528.679531462928</f>
        <v>-1194.3375945425046</v>
      </c>
      <c r="O3233">
        <f>-659.098957453104 -156.671365231721 -497.091772490757</f>
        <v>-1312.862095175582</v>
      </c>
      <c r="P3233">
        <f>-624.116770652421 -169.42999238579 -217.463244608717</f>
        <v>-1011.010007646928</v>
      </c>
      <c r="Q3233">
        <f>-448.921508966049 -77.8472617279601 -339.396555278329</f>
        <v>-866.165325972338</v>
      </c>
      <c r="R3233" t="s">
        <v>62398</v>
      </c>
      <c r="S3233" t="s">
        <v>62399</v>
      </c>
      <c r="T3233" t="s">
        <v>62400</v>
      </c>
      <c r="U3233" t="s">
        <v>62401</v>
      </c>
      <c r="V3233">
        <f>-596.644849348335 -52.428358126444 -93.0175786696968</f>
        <v>-742.09078614447583</v>
      </c>
      <c r="W3233" t="s">
        <v>62402</v>
      </c>
      <c r="X3233" t="s">
        <v>62403</v>
      </c>
      <c r="Y3233" t="s">
        <v>62404</v>
      </c>
    </row>
    <row r="3234" spans="1:25" x14ac:dyDescent="0.3">
      <c r="A3234">
        <v>161650</v>
      </c>
      <c r="B3234" t="s">
        <v>62405</v>
      </c>
      <c r="C3234" t="s">
        <v>62406</v>
      </c>
      <c r="D3234" t="s">
        <v>62407</v>
      </c>
      <c r="E3234" t="s">
        <v>62408</v>
      </c>
      <c r="F3234" t="s">
        <v>62409</v>
      </c>
      <c r="G3234" t="s">
        <v>62410</v>
      </c>
      <c r="H3234" t="s">
        <v>62411</v>
      </c>
      <c r="I3234" t="s">
        <v>62412</v>
      </c>
      <c r="J3234" t="s">
        <v>62413</v>
      </c>
      <c r="K3234" t="s">
        <v>62414</v>
      </c>
      <c r="L3234" t="s">
        <v>62415</v>
      </c>
      <c r="M3234" t="s">
        <v>62416</v>
      </c>
      <c r="N3234">
        <f>-661.526009798108 -3.80731756765681 -528.669693256379</f>
        <v>-1194.0030206221438</v>
      </c>
      <c r="O3234">
        <f>-658.955438524832 -156.561348858325 -497.071738016919</f>
        <v>-1312.5885254000759</v>
      </c>
      <c r="P3234">
        <f>-624.32977195717 -169.29164886326 -217.397721962909</f>
        <v>-1011.019142783339</v>
      </c>
      <c r="Q3234">
        <f>-448.687663110229 -77.8632976201793 -338.802837115007</f>
        <v>-865.35379784541533</v>
      </c>
      <c r="R3234" t="s">
        <v>62417</v>
      </c>
      <c r="S3234" t="s">
        <v>62418</v>
      </c>
      <c r="T3234" t="s">
        <v>62419</v>
      </c>
      <c r="U3234" t="s">
        <v>62420</v>
      </c>
      <c r="V3234">
        <f>-596.453245296404 -52.3194194104562 -92.9977319273173</f>
        <v>-741.77039663417759</v>
      </c>
      <c r="W3234" t="s">
        <v>62421</v>
      </c>
      <c r="X3234" t="s">
        <v>62422</v>
      </c>
      <c r="Y3234" t="s">
        <v>62423</v>
      </c>
    </row>
    <row r="3235" spans="1:25" x14ac:dyDescent="0.3">
      <c r="A3235">
        <v>161700</v>
      </c>
      <c r="B3235" t="s">
        <v>62424</v>
      </c>
      <c r="C3235" t="s">
        <v>62425</v>
      </c>
      <c r="D3235" t="s">
        <v>62426</v>
      </c>
      <c r="E3235" t="s">
        <v>62427</v>
      </c>
      <c r="F3235" t="s">
        <v>62428</v>
      </c>
      <c r="G3235" t="s">
        <v>62429</v>
      </c>
      <c r="H3235" t="s">
        <v>62430</v>
      </c>
      <c r="I3235" t="s">
        <v>62431</v>
      </c>
      <c r="J3235" t="s">
        <v>62432</v>
      </c>
      <c r="K3235" t="s">
        <v>62433</v>
      </c>
      <c r="L3235" t="s">
        <v>62434</v>
      </c>
      <c r="M3235" t="s">
        <v>62435</v>
      </c>
      <c r="N3235">
        <f>-660.770201509444 -3.6560739298568 -528.725208942425</f>
        <v>-1193.1514843817258</v>
      </c>
      <c r="O3235">
        <f>-658.383707209073 -156.421722267251 -497.184927470476</f>
        <v>-1311.9903569467999</v>
      </c>
      <c r="P3235">
        <f>-624.738466435991 -169.318186876757 -217.398921226753</f>
        <v>-1011.4555745395011</v>
      </c>
      <c r="Q3235">
        <f>-448.699263897807 -77.9131014590466 -338.245291660065</f>
        <v>-864.85765701691867</v>
      </c>
      <c r="R3235" t="s">
        <v>62436</v>
      </c>
      <c r="S3235" t="s">
        <v>62437</v>
      </c>
      <c r="T3235" t="s">
        <v>62438</v>
      </c>
      <c r="U3235" t="s">
        <v>62439</v>
      </c>
      <c r="V3235">
        <f>-596.025502802112 -52.2575824396415 -92.9659874195019</f>
        <v>-741.24907266125535</v>
      </c>
      <c r="W3235" t="s">
        <v>62440</v>
      </c>
      <c r="X3235" t="s">
        <v>62441</v>
      </c>
      <c r="Y3235" t="s">
        <v>62442</v>
      </c>
    </row>
    <row r="3236" spans="1:25" x14ac:dyDescent="0.3">
      <c r="A3236">
        <v>161750</v>
      </c>
      <c r="B3236" t="s">
        <v>62443</v>
      </c>
      <c r="C3236" t="s">
        <v>62444</v>
      </c>
      <c r="D3236" t="s">
        <v>62445</v>
      </c>
      <c r="E3236" t="s">
        <v>62446</v>
      </c>
      <c r="F3236" t="s">
        <v>62447</v>
      </c>
      <c r="G3236" t="s">
        <v>62448</v>
      </c>
      <c r="H3236" t="s">
        <v>62449</v>
      </c>
      <c r="I3236" t="s">
        <v>62450</v>
      </c>
      <c r="J3236" t="s">
        <v>62451</v>
      </c>
      <c r="K3236" t="s">
        <v>62452</v>
      </c>
      <c r="L3236" t="s">
        <v>62453</v>
      </c>
      <c r="M3236" t="s">
        <v>62454</v>
      </c>
      <c r="N3236">
        <f>-660.302760825377 -3.55061596435326 -528.764887736614</f>
        <v>-1192.6182645263443</v>
      </c>
      <c r="O3236">
        <f>-657.933431135965 -156.332489096136 -497.324287682579</f>
        <v>-1311.5902079146799</v>
      </c>
      <c r="P3236">
        <f>-624.726832866736 -169.521596098167 -217.49931568034</f>
        <v>-1011.7477446452431</v>
      </c>
      <c r="Q3236">
        <f>-448.610183992407 -78.0055624936165 -338.148768771244</f>
        <v>-864.76451525726748</v>
      </c>
      <c r="R3236" t="s">
        <v>62455</v>
      </c>
      <c r="S3236" t="s">
        <v>62456</v>
      </c>
      <c r="T3236" t="s">
        <v>62457</v>
      </c>
      <c r="U3236" t="s">
        <v>62458</v>
      </c>
      <c r="V3236">
        <f>-595.835440583907 -52.1721201748435 -92.9532111026988</f>
        <v>-740.9607718614493</v>
      </c>
      <c r="W3236" t="s">
        <v>62459</v>
      </c>
      <c r="X3236" t="s">
        <v>62460</v>
      </c>
      <c r="Y3236" t="s">
        <v>62461</v>
      </c>
    </row>
    <row r="3237" spans="1:25" x14ac:dyDescent="0.3">
      <c r="A3237">
        <v>161800</v>
      </c>
      <c r="B3237" t="s">
        <v>62462</v>
      </c>
      <c r="C3237" t="s">
        <v>62463</v>
      </c>
      <c r="D3237" t="s">
        <v>62464</v>
      </c>
      <c r="E3237" t="s">
        <v>62465</v>
      </c>
      <c r="F3237" t="s">
        <v>62466</v>
      </c>
      <c r="G3237" t="s">
        <v>62467</v>
      </c>
      <c r="H3237" t="s">
        <v>62468</v>
      </c>
      <c r="I3237" t="s">
        <v>62469</v>
      </c>
      <c r="J3237" t="s">
        <v>62470</v>
      </c>
      <c r="K3237" t="s">
        <v>62471</v>
      </c>
      <c r="L3237" t="s">
        <v>62472</v>
      </c>
      <c r="M3237" t="s">
        <v>62473</v>
      </c>
      <c r="N3237">
        <f>-659.588595061444 -3.30439339825352 -528.822733148671</f>
        <v>-1191.7157216083685</v>
      </c>
      <c r="O3237">
        <f>-657.096237083905 -156.10551427923 -497.47784235936</f>
        <v>-1310.6795937224949</v>
      </c>
      <c r="P3237">
        <f>-624.131395264739 -169.373336597231 -217.628205977715</f>
        <v>-1011.1329378396849</v>
      </c>
      <c r="Q3237">
        <f>-447.806918053165 -77.9502461065217 -338.044154537042</f>
        <v>-863.80131869672869</v>
      </c>
      <c r="R3237" t="s">
        <v>62474</v>
      </c>
      <c r="S3237" t="s">
        <v>62475</v>
      </c>
      <c r="T3237" t="s">
        <v>62476</v>
      </c>
      <c r="U3237" t="s">
        <v>62477</v>
      </c>
      <c r="V3237">
        <f>-595.337879555457 -51.9876978913517 -92.930991874097</f>
        <v>-740.25656932090567</v>
      </c>
      <c r="W3237" t="s">
        <v>62478</v>
      </c>
      <c r="X3237" t="s">
        <v>62479</v>
      </c>
      <c r="Y3237" t="s">
        <v>62480</v>
      </c>
    </row>
    <row r="3238" spans="1:25" x14ac:dyDescent="0.3">
      <c r="A3238">
        <v>161850</v>
      </c>
      <c r="B3238" t="s">
        <v>62481</v>
      </c>
      <c r="C3238" t="s">
        <v>62482</v>
      </c>
      <c r="D3238" t="s">
        <v>62483</v>
      </c>
      <c r="E3238" t="s">
        <v>62484</v>
      </c>
      <c r="F3238" t="s">
        <v>62485</v>
      </c>
      <c r="G3238" t="s">
        <v>62486</v>
      </c>
      <c r="H3238" t="s">
        <v>62487</v>
      </c>
      <c r="I3238" t="s">
        <v>62488</v>
      </c>
      <c r="J3238" t="s">
        <v>62489</v>
      </c>
      <c r="K3238" t="s">
        <v>62490</v>
      </c>
      <c r="L3238" t="s">
        <v>62491</v>
      </c>
      <c r="M3238" t="s">
        <v>62492</v>
      </c>
      <c r="N3238">
        <f>-659.098362623195 -3.20560167749227 -528.853393293932</f>
        <v>-1191.1573575946193</v>
      </c>
      <c r="O3238">
        <f>-656.346225626324 -156.018966770213 -497.564442846341</f>
        <v>-1309.929635242878</v>
      </c>
      <c r="P3238">
        <f>-623.350249364752 -169.303643561602 -217.719270540316</f>
        <v>-1010.37316346667</v>
      </c>
      <c r="Q3238">
        <f>-446.896185372908 -77.9560805017009 -338.002648848737</f>
        <v>-862.85491472334593</v>
      </c>
      <c r="R3238" t="s">
        <v>62493</v>
      </c>
      <c r="S3238" t="s">
        <v>62494</v>
      </c>
      <c r="T3238" t="s">
        <v>62495</v>
      </c>
      <c r="U3238" t="s">
        <v>62496</v>
      </c>
      <c r="V3238">
        <f>-594.805566389524 -51.9811191491447 -92.9052788747676</f>
        <v>-739.69196441343627</v>
      </c>
      <c r="W3238" t="s">
        <v>62497</v>
      </c>
      <c r="X3238" t="s">
        <v>62498</v>
      </c>
      <c r="Y3238" t="s">
        <v>62499</v>
      </c>
    </row>
    <row r="3239" spans="1:25" x14ac:dyDescent="0.3">
      <c r="A3239">
        <v>161900</v>
      </c>
      <c r="B3239" t="s">
        <v>62500</v>
      </c>
      <c r="C3239" t="s">
        <v>62501</v>
      </c>
      <c r="D3239" t="s">
        <v>62502</v>
      </c>
      <c r="E3239" t="s">
        <v>62503</v>
      </c>
      <c r="F3239" t="s">
        <v>62504</v>
      </c>
      <c r="G3239" t="s">
        <v>62505</v>
      </c>
      <c r="H3239" t="s">
        <v>62506</v>
      </c>
      <c r="I3239" t="s">
        <v>62507</v>
      </c>
      <c r="J3239" t="s">
        <v>62508</v>
      </c>
      <c r="K3239" t="s">
        <v>62509</v>
      </c>
      <c r="L3239" t="s">
        <v>62510</v>
      </c>
      <c r="M3239" t="s">
        <v>62511</v>
      </c>
      <c r="N3239">
        <f>-658.668731543249 -3.19977785452443 -528.896771688426</f>
        <v>-1190.7652810861996</v>
      </c>
      <c r="O3239">
        <f>-655.803108632857 -156.023217626349 -497.670798636784</f>
        <v>-1309.4971248959901</v>
      </c>
      <c r="P3239">
        <f>-622.908258473872 -169.333078422389 -217.814880154503</f>
        <v>-1010.056217050764</v>
      </c>
      <c r="Q3239">
        <f>-446.467638177563 -77.8645612239877 -338.026088776043</f>
        <v>-862.35828817759375</v>
      </c>
      <c r="R3239" t="s">
        <v>62512</v>
      </c>
      <c r="S3239" t="s">
        <v>62513</v>
      </c>
      <c r="T3239" t="s">
        <v>62514</v>
      </c>
      <c r="U3239" t="s">
        <v>62515</v>
      </c>
      <c r="V3239">
        <f>-594.545555601142 -52.0078639391172 -92.8927573278759</f>
        <v>-739.44617686813513</v>
      </c>
      <c r="W3239" t="s">
        <v>62516</v>
      </c>
      <c r="X3239" t="s">
        <v>62517</v>
      </c>
      <c r="Y3239" t="s">
        <v>62518</v>
      </c>
    </row>
    <row r="3240" spans="1:25" x14ac:dyDescent="0.3">
      <c r="A3240">
        <v>161950</v>
      </c>
      <c r="B3240" t="s">
        <v>62519</v>
      </c>
      <c r="C3240" t="s">
        <v>62520</v>
      </c>
      <c r="D3240" t="s">
        <v>62521</v>
      </c>
      <c r="E3240" t="s">
        <v>62522</v>
      </c>
      <c r="F3240" t="s">
        <v>62523</v>
      </c>
      <c r="G3240" t="s">
        <v>62524</v>
      </c>
      <c r="H3240" t="s">
        <v>62525</v>
      </c>
      <c r="I3240" t="s">
        <v>62526</v>
      </c>
      <c r="J3240" t="s">
        <v>62527</v>
      </c>
      <c r="K3240" t="s">
        <v>62528</v>
      </c>
      <c r="L3240" t="s">
        <v>62529</v>
      </c>
      <c r="M3240" t="s">
        <v>62530</v>
      </c>
      <c r="N3240">
        <f>-658.104609268488 -3.26057375875985 -528.93479270407</f>
        <v>-1190.2999757313178</v>
      </c>
      <c r="O3240">
        <f>-655.129616997405 -156.090999420178 -497.765497370878</f>
        <v>-1308.9861137884611</v>
      </c>
      <c r="P3240">
        <f>-622.310526210402 -169.510814580007 -217.905835794998</f>
        <v>-1009.7271765854071</v>
      </c>
      <c r="Q3240">
        <f>-445.968113724115 -77.7357914262409 -338.02762669205</f>
        <v>-861.73153184240596</v>
      </c>
      <c r="R3240" t="s">
        <v>62531</v>
      </c>
      <c r="S3240" t="s">
        <v>62532</v>
      </c>
      <c r="T3240" t="s">
        <v>62533</v>
      </c>
      <c r="U3240" t="s">
        <v>62534</v>
      </c>
      <c r="V3240">
        <f>-594.252153187583 -52.0723724754826 -92.8809083048284</f>
        <v>-739.2054339678939</v>
      </c>
      <c r="W3240" t="s">
        <v>62535</v>
      </c>
      <c r="X3240" t="s">
        <v>62536</v>
      </c>
      <c r="Y3240" t="s">
        <v>62537</v>
      </c>
    </row>
    <row r="3241" spans="1:25" x14ac:dyDescent="0.3">
      <c r="A3241">
        <v>162000</v>
      </c>
      <c r="B3241" t="s">
        <v>62538</v>
      </c>
      <c r="C3241" t="s">
        <v>62539</v>
      </c>
      <c r="D3241" t="s">
        <v>62540</v>
      </c>
      <c r="E3241" t="s">
        <v>62541</v>
      </c>
      <c r="F3241" t="s">
        <v>62542</v>
      </c>
      <c r="G3241" t="s">
        <v>62543</v>
      </c>
      <c r="H3241" t="s">
        <v>62544</v>
      </c>
      <c r="I3241" t="s">
        <v>62545</v>
      </c>
      <c r="J3241" t="s">
        <v>62546</v>
      </c>
      <c r="K3241" t="s">
        <v>62547</v>
      </c>
      <c r="L3241" t="s">
        <v>62548</v>
      </c>
      <c r="M3241" t="s">
        <v>62549</v>
      </c>
      <c r="N3241">
        <f>-656.72531605018 -3.62710131115773 -529.042951054344</f>
        <v>-1189.3953684156818</v>
      </c>
      <c r="O3241">
        <f>-653.571550026777 -156.469941451402 -497.951686337966</f>
        <v>-1307.9931778161451</v>
      </c>
      <c r="P3241">
        <f>-621.006476644597 -170.242631259865 -218.079543743742</f>
        <v>-1009.328651648204</v>
      </c>
      <c r="Q3241">
        <f>-444.721686783936 -77.7003297693502 -337.696094208794</f>
        <v>-860.11811076208028</v>
      </c>
      <c r="R3241" t="s">
        <v>62550</v>
      </c>
      <c r="S3241" t="s">
        <v>62551</v>
      </c>
      <c r="T3241" t="s">
        <v>62552</v>
      </c>
      <c r="U3241" t="s">
        <v>62553</v>
      </c>
      <c r="V3241">
        <f>-593.562940057735 -52.4097630323474 -92.8756784217798</f>
        <v>-738.84838151186216</v>
      </c>
      <c r="W3241" t="s">
        <v>62554</v>
      </c>
      <c r="X3241" t="s">
        <v>62555</v>
      </c>
      <c r="Y3241" t="s">
        <v>62556</v>
      </c>
    </row>
    <row r="3242" spans="1:25" x14ac:dyDescent="0.3">
      <c r="A3242">
        <v>162050</v>
      </c>
      <c r="B3242" t="s">
        <v>62557</v>
      </c>
      <c r="C3242" t="s">
        <v>62558</v>
      </c>
      <c r="D3242" t="s">
        <v>62559</v>
      </c>
      <c r="E3242" t="s">
        <v>62560</v>
      </c>
      <c r="F3242" t="s">
        <v>62561</v>
      </c>
      <c r="G3242" t="s">
        <v>62562</v>
      </c>
      <c r="H3242" t="s">
        <v>62563</v>
      </c>
      <c r="I3242" t="s">
        <v>62564</v>
      </c>
      <c r="J3242" t="s">
        <v>62565</v>
      </c>
      <c r="K3242" t="s">
        <v>62566</v>
      </c>
      <c r="L3242" t="s">
        <v>62567</v>
      </c>
      <c r="M3242" t="s">
        <v>62568</v>
      </c>
      <c r="N3242">
        <f>-656.021931638822 -3.83900926061801 -529.099254618069</f>
        <v>-1188.960195517509</v>
      </c>
      <c r="O3242">
        <f>-652.743960377333 -156.687764890213 -498.032467602692</f>
        <v>-1307.4641928702381</v>
      </c>
      <c r="P3242">
        <f>-620.437433236611 -170.476757534119 -218.131221607444</f>
        <v>-1009.045412378174</v>
      </c>
      <c r="Q3242">
        <f>-444.056379245953 -77.7943354570023 -337.496998549204</f>
        <v>-859.34771325215934</v>
      </c>
      <c r="R3242" t="s">
        <v>62569</v>
      </c>
      <c r="S3242" t="s">
        <v>62570</v>
      </c>
      <c r="T3242" t="s">
        <v>62571</v>
      </c>
      <c r="U3242" t="s">
        <v>62572</v>
      </c>
      <c r="V3242">
        <f>-593.215900130172 -52.6134400893109 -92.8659716506417</f>
        <v>-738.69531187012456</v>
      </c>
      <c r="W3242" t="s">
        <v>62573</v>
      </c>
      <c r="X3242" t="s">
        <v>62574</v>
      </c>
      <c r="Y3242" t="s">
        <v>62575</v>
      </c>
    </row>
    <row r="3243" spans="1:25" x14ac:dyDescent="0.3">
      <c r="A3243">
        <v>162100</v>
      </c>
      <c r="B3243" t="s">
        <v>62576</v>
      </c>
      <c r="C3243" t="s">
        <v>62577</v>
      </c>
      <c r="D3243" t="s">
        <v>62578</v>
      </c>
      <c r="E3243" t="s">
        <v>62579</v>
      </c>
      <c r="F3243" t="s">
        <v>62580</v>
      </c>
      <c r="G3243" t="s">
        <v>62581</v>
      </c>
      <c r="H3243" t="s">
        <v>62582</v>
      </c>
      <c r="I3243" t="s">
        <v>62583</v>
      </c>
      <c r="J3243" t="s">
        <v>62584</v>
      </c>
      <c r="K3243" t="s">
        <v>62585</v>
      </c>
      <c r="L3243" t="s">
        <v>62586</v>
      </c>
      <c r="M3243" t="s">
        <v>62587</v>
      </c>
      <c r="N3243">
        <f>-654.68256671056 -4.33874479742258 -529.205820403271</f>
        <v>-1188.2271319112535</v>
      </c>
      <c r="O3243">
        <f>-651.173657436577 -157.183285485197 -498.16040139543</f>
        <v>-1306.5173443172039</v>
      </c>
      <c r="P3243">
        <f>-619.465757273666 -171.111877495501 -218.197686889669</f>
        <v>-1008.775321658836</v>
      </c>
      <c r="Q3243">
        <f>-442.97734508616 -78.1880331490156 -337.21658422106</f>
        <v>-858.38196245623556</v>
      </c>
      <c r="R3243" t="s">
        <v>62588</v>
      </c>
      <c r="S3243" t="s">
        <v>62589</v>
      </c>
      <c r="T3243" t="s">
        <v>62590</v>
      </c>
      <c r="U3243" t="s">
        <v>62591</v>
      </c>
      <c r="V3243">
        <f>-592.537580957478 -53.0729923202236 -92.8554239713303</f>
        <v>-738.46599724903194</v>
      </c>
      <c r="W3243" t="s">
        <v>62592</v>
      </c>
      <c r="X3243" t="s">
        <v>62593</v>
      </c>
      <c r="Y3243" t="s">
        <v>62594</v>
      </c>
    </row>
    <row r="3244" spans="1:25" x14ac:dyDescent="0.3">
      <c r="A3244">
        <v>162150</v>
      </c>
      <c r="B3244" t="s">
        <v>62595</v>
      </c>
      <c r="C3244" t="s">
        <v>62596</v>
      </c>
      <c r="D3244" t="s">
        <v>62597</v>
      </c>
      <c r="E3244" t="s">
        <v>62598</v>
      </c>
      <c r="F3244" t="s">
        <v>62599</v>
      </c>
      <c r="G3244" t="s">
        <v>62600</v>
      </c>
      <c r="H3244" t="s">
        <v>62601</v>
      </c>
      <c r="I3244" t="s">
        <v>62602</v>
      </c>
      <c r="J3244" t="s">
        <v>62603</v>
      </c>
      <c r="K3244" t="s">
        <v>62604</v>
      </c>
      <c r="L3244" t="s">
        <v>62605</v>
      </c>
      <c r="M3244" t="s">
        <v>62606</v>
      </c>
      <c r="N3244">
        <f>-654.167202407593 -4.61729959588615 -529.251116915341</f>
        <v>-1188.0356189188201</v>
      </c>
      <c r="O3244">
        <f>-650.545462764901 -157.46762897645 -498.227826339222</f>
        <v>-1306.240918080573</v>
      </c>
      <c r="P3244">
        <f>-619.062551737717 -171.379222485075 -218.238727046887</f>
        <v>-1008.680501269679</v>
      </c>
      <c r="Q3244">
        <f>-442.595997597143 -78.3948034045522 -337.24282235962</f>
        <v>-858.23362336131527</v>
      </c>
      <c r="R3244" t="s">
        <v>62607</v>
      </c>
      <c r="S3244" t="s">
        <v>62608</v>
      </c>
      <c r="T3244" t="s">
        <v>62609</v>
      </c>
      <c r="U3244" t="s">
        <v>62610</v>
      </c>
      <c r="V3244">
        <f>-592.265907210081 -53.2865757312231 -92.8619021439692</f>
        <v>-738.41438508527335</v>
      </c>
      <c r="W3244" t="s">
        <v>62611</v>
      </c>
      <c r="X3244" t="s">
        <v>62612</v>
      </c>
      <c r="Y3244" t="s">
        <v>62613</v>
      </c>
    </row>
    <row r="3245" spans="1:25" x14ac:dyDescent="0.3">
      <c r="A3245">
        <v>162200</v>
      </c>
      <c r="B3245" t="s">
        <v>62614</v>
      </c>
      <c r="C3245" t="s">
        <v>62615</v>
      </c>
      <c r="D3245" t="s">
        <v>62616</v>
      </c>
      <c r="E3245" t="s">
        <v>62617</v>
      </c>
      <c r="F3245" t="s">
        <v>62618</v>
      </c>
      <c r="G3245" t="s">
        <v>62619</v>
      </c>
      <c r="H3245" t="s">
        <v>62620</v>
      </c>
      <c r="I3245" t="s">
        <v>62621</v>
      </c>
      <c r="J3245" t="s">
        <v>62622</v>
      </c>
      <c r="K3245" t="s">
        <v>62623</v>
      </c>
      <c r="L3245" t="s">
        <v>62624</v>
      </c>
      <c r="M3245" t="s">
        <v>62625</v>
      </c>
      <c r="N3245">
        <f>-653.246747332627 -5.08493951353762 -529.32672311494</f>
        <v>-1187.6584099611046</v>
      </c>
      <c r="O3245">
        <f>-649.545123555065 -157.92599188938 -498.274316715765</f>
        <v>-1305.7454321602099</v>
      </c>
      <c r="P3245">
        <f>-618.048555856639 -171.984165433428 -218.294090033019</f>
        <v>-1008.326811323086</v>
      </c>
      <c r="Q3245">
        <f>-441.90052737667 -78.6111724739396 -337.465517758073</f>
        <v>-857.97721760868262</v>
      </c>
      <c r="R3245" t="s">
        <v>62626</v>
      </c>
      <c r="S3245" t="s">
        <v>62627</v>
      </c>
      <c r="T3245" t="s">
        <v>62628</v>
      </c>
      <c r="U3245" t="s">
        <v>62629</v>
      </c>
      <c r="V3245">
        <f>-591.739909859463 -53.6830327892872 -92.8530093166753</f>
        <v>-738.27595196542541</v>
      </c>
      <c r="W3245" t="s">
        <v>62630</v>
      </c>
      <c r="X3245" t="s">
        <v>62631</v>
      </c>
      <c r="Y3245" t="s">
        <v>62632</v>
      </c>
    </row>
    <row r="3246" spans="1:25" x14ac:dyDescent="0.3">
      <c r="A3246">
        <v>162250</v>
      </c>
      <c r="B3246" t="s">
        <v>62633</v>
      </c>
      <c r="C3246" t="s">
        <v>62634</v>
      </c>
      <c r="D3246" t="s">
        <v>62635</v>
      </c>
      <c r="E3246" t="s">
        <v>62636</v>
      </c>
      <c r="F3246" t="s">
        <v>62637</v>
      </c>
      <c r="G3246" t="s">
        <v>62638</v>
      </c>
      <c r="H3246" t="s">
        <v>62639</v>
      </c>
      <c r="I3246" t="s">
        <v>62640</v>
      </c>
      <c r="J3246" t="s">
        <v>62641</v>
      </c>
      <c r="K3246" t="s">
        <v>62642</v>
      </c>
      <c r="L3246" t="s">
        <v>62643</v>
      </c>
      <c r="M3246" t="s">
        <v>62644</v>
      </c>
      <c r="N3246">
        <f>-652.827111826686 -5.41755108840198 -529.358435755932</f>
        <v>-1187.6030986710198</v>
      </c>
      <c r="O3246">
        <f>-649.147107047643 -158.256207838115 -498.296046649822</f>
        <v>-1305.69936153558</v>
      </c>
      <c r="P3246">
        <f>-617.575120983964 -172.417716736776 -218.329494736371</f>
        <v>-1008.322332457111</v>
      </c>
      <c r="Q3246">
        <f>-441.59223896688 -78.8352655757601 -337.580904736343</f>
        <v>-858.00840927898309</v>
      </c>
      <c r="R3246" t="s">
        <v>62645</v>
      </c>
      <c r="S3246" t="s">
        <v>62646</v>
      </c>
      <c r="T3246" t="s">
        <v>62647</v>
      </c>
      <c r="U3246" t="s">
        <v>62648</v>
      </c>
      <c r="V3246">
        <f>-591.528022268381 -53.9459868044264 -92.8529553668468</f>
        <v>-738.32696443965426</v>
      </c>
      <c r="W3246" t="s">
        <v>62649</v>
      </c>
      <c r="X3246" t="s">
        <v>62650</v>
      </c>
      <c r="Y3246" t="s">
        <v>62651</v>
      </c>
    </row>
    <row r="3247" spans="1:25" x14ac:dyDescent="0.3">
      <c r="A3247">
        <v>162300</v>
      </c>
      <c r="B3247" t="s">
        <v>62652</v>
      </c>
      <c r="C3247" t="s">
        <v>62653</v>
      </c>
      <c r="D3247" t="s">
        <v>62654</v>
      </c>
      <c r="E3247" t="s">
        <v>62655</v>
      </c>
      <c r="F3247" t="s">
        <v>62656</v>
      </c>
      <c r="G3247" t="s">
        <v>62657</v>
      </c>
      <c r="H3247" t="s">
        <v>62658</v>
      </c>
      <c r="I3247" t="s">
        <v>62659</v>
      </c>
      <c r="J3247" t="s">
        <v>62660</v>
      </c>
      <c r="K3247" t="s">
        <v>62661</v>
      </c>
      <c r="L3247" t="s">
        <v>62662</v>
      </c>
      <c r="M3247" t="s">
        <v>62663</v>
      </c>
      <c r="N3247">
        <f>-652.237306620139 -5.78733667296683 -529.381502758531</f>
        <v>-1187.4061460516368</v>
      </c>
      <c r="O3247">
        <f>-648.757145328687 -158.60918355186 -498.198179427074</f>
        <v>-1305.5645083076211</v>
      </c>
      <c r="P3247">
        <f>-617.199165367513 -172.492108332499 -218.216190712088</f>
        <v>-1007.9074644121001</v>
      </c>
      <c r="Q3247">
        <f>-440.99058582795 -79.3115330221735 -337.44893764816</f>
        <v>-857.75105649828356</v>
      </c>
      <c r="R3247" t="s">
        <v>62664</v>
      </c>
      <c r="S3247" t="s">
        <v>62665</v>
      </c>
      <c r="T3247" t="s">
        <v>62666</v>
      </c>
      <c r="U3247" t="s">
        <v>62667</v>
      </c>
      <c r="V3247">
        <f>-591.251525742032 -54.2331234107037 -92.8573177389934</f>
        <v>-738.34196689172904</v>
      </c>
      <c r="W3247" t="s">
        <v>62668</v>
      </c>
      <c r="X3247" t="s">
        <v>62669</v>
      </c>
      <c r="Y3247" t="s">
        <v>62670</v>
      </c>
    </row>
    <row r="3248" spans="1:25" x14ac:dyDescent="0.3">
      <c r="A3248">
        <v>162350</v>
      </c>
      <c r="B3248" t="s">
        <v>62671</v>
      </c>
      <c r="C3248" t="s">
        <v>62672</v>
      </c>
      <c r="D3248" t="s">
        <v>62673</v>
      </c>
      <c r="E3248" t="s">
        <v>62674</v>
      </c>
      <c r="F3248" t="s">
        <v>62675</v>
      </c>
      <c r="G3248" t="s">
        <v>62676</v>
      </c>
      <c r="H3248" t="s">
        <v>62677</v>
      </c>
      <c r="I3248" t="s">
        <v>62678</v>
      </c>
      <c r="J3248" t="s">
        <v>62679</v>
      </c>
      <c r="K3248" t="s">
        <v>62680</v>
      </c>
      <c r="L3248" t="s">
        <v>62681</v>
      </c>
      <c r="M3248" t="s">
        <v>62682</v>
      </c>
      <c r="N3248">
        <f>-652.011483539038 -5.96914456838795 -529.386910143378</f>
        <v>-1187.367538250804</v>
      </c>
      <c r="O3248">
        <f>-648.672155082339 -158.773585808859 -498.106843898761</f>
        <v>-1305.5525847899589</v>
      </c>
      <c r="P3248">
        <f>-617.283894062826 -172.532335583369 -218.099597017102</f>
        <v>-1007.915826663297</v>
      </c>
      <c r="Q3248">
        <f>-440.869289010025 -79.5991783068976 -337.220729765542</f>
        <v>-857.68919708246449</v>
      </c>
      <c r="R3248" t="s">
        <v>62683</v>
      </c>
      <c r="S3248" t="s">
        <v>62684</v>
      </c>
      <c r="T3248" t="s">
        <v>62685</v>
      </c>
      <c r="U3248" t="s">
        <v>62686</v>
      </c>
      <c r="V3248">
        <f>-591.164404407883 -54.4173375134803 -92.860019061177</f>
        <v>-738.44176098254036</v>
      </c>
      <c r="W3248" t="s">
        <v>62687</v>
      </c>
      <c r="X3248" t="s">
        <v>62688</v>
      </c>
      <c r="Y3248" t="s">
        <v>62689</v>
      </c>
    </row>
    <row r="3249" spans="1:25" x14ac:dyDescent="0.3">
      <c r="A3249">
        <v>162400</v>
      </c>
      <c r="B3249" t="s">
        <v>62690</v>
      </c>
      <c r="C3249" t="s">
        <v>62691</v>
      </c>
      <c r="D3249" t="s">
        <v>62692</v>
      </c>
      <c r="E3249" t="s">
        <v>62693</v>
      </c>
      <c r="F3249" t="s">
        <v>62694</v>
      </c>
      <c r="G3249" t="s">
        <v>62695</v>
      </c>
      <c r="H3249" t="s">
        <v>62696</v>
      </c>
      <c r="I3249" t="s">
        <v>62697</v>
      </c>
      <c r="J3249" t="s">
        <v>62698</v>
      </c>
      <c r="K3249" t="s">
        <v>62699</v>
      </c>
      <c r="L3249" t="s">
        <v>62700</v>
      </c>
      <c r="M3249" t="s">
        <v>62701</v>
      </c>
      <c r="N3249">
        <f>-651.611646629389 -6.52122476347108 -529.445439991103</f>
        <v>-1187.578311383963</v>
      </c>
      <c r="O3249">
        <f>-648.669890333287 -159.291199612539 -497.972838868291</f>
        <v>-1305.9339288141168</v>
      </c>
      <c r="P3249">
        <f>-617.839400393067 -172.783576802473 -217.890658977784</f>
        <v>-1008.513636173324</v>
      </c>
      <c r="Q3249">
        <f>-440.926158084791 -80.4664068726206 -336.750999521491</f>
        <v>-858.14356447890259</v>
      </c>
      <c r="R3249" t="s">
        <v>62702</v>
      </c>
      <c r="S3249" t="s">
        <v>62703</v>
      </c>
      <c r="T3249" t="s">
        <v>62704</v>
      </c>
      <c r="U3249" t="s">
        <v>62705</v>
      </c>
      <c r="V3249">
        <f>-591.185176613252 -55.0877265747451 -92.8950378177537</f>
        <v>-739.16794100575089</v>
      </c>
      <c r="W3249" t="s">
        <v>62706</v>
      </c>
      <c r="X3249" t="s">
        <v>62707</v>
      </c>
      <c r="Y3249" t="s">
        <v>62708</v>
      </c>
    </row>
    <row r="3250" spans="1:25" x14ac:dyDescent="0.3">
      <c r="A3250">
        <v>162450</v>
      </c>
      <c r="B3250" t="s">
        <v>62709</v>
      </c>
      <c r="C3250" t="s">
        <v>62710</v>
      </c>
      <c r="D3250" t="s">
        <v>62711</v>
      </c>
      <c r="E3250" t="s">
        <v>62712</v>
      </c>
      <c r="F3250" t="s">
        <v>62713</v>
      </c>
      <c r="G3250" t="s">
        <v>62714</v>
      </c>
      <c r="H3250" t="s">
        <v>62715</v>
      </c>
      <c r="I3250" t="s">
        <v>62716</v>
      </c>
      <c r="J3250" t="s">
        <v>62717</v>
      </c>
      <c r="K3250" t="s">
        <v>62718</v>
      </c>
      <c r="L3250" t="s">
        <v>62719</v>
      </c>
      <c r="M3250" t="s">
        <v>62720</v>
      </c>
      <c r="N3250">
        <f>-651.532834418935 -6.76782678342852 -529.456102437991</f>
        <v>-1187.7567636403546</v>
      </c>
      <c r="O3250">
        <f>-648.799054950051 -159.522320001446 -497.89658337119</f>
        <v>-1306.2179583226871</v>
      </c>
      <c r="P3250">
        <f>-618.253802150975 -172.913621674167 -217.778313673332</f>
        <v>-1008.945737498474</v>
      </c>
      <c r="Q3250">
        <f>-441.14058465659 -80.9218032519536 -336.59310317471</f>
        <v>-858.65549108325365</v>
      </c>
      <c r="R3250" t="s">
        <v>62721</v>
      </c>
      <c r="S3250" t="s">
        <v>62722</v>
      </c>
      <c r="T3250" t="s">
        <v>62723</v>
      </c>
      <c r="U3250" t="s">
        <v>62724</v>
      </c>
      <c r="V3250">
        <f>-591.279809100469 -55.3066672058528 -92.9154043257961</f>
        <v>-739.50188063211795</v>
      </c>
      <c r="W3250" t="s">
        <v>62725</v>
      </c>
      <c r="X3250" t="s">
        <v>62726</v>
      </c>
      <c r="Y3250" t="s">
        <v>62727</v>
      </c>
    </row>
    <row r="3251" spans="1:25" x14ac:dyDescent="0.3">
      <c r="A3251">
        <v>162500</v>
      </c>
      <c r="B3251" t="s">
        <v>62728</v>
      </c>
      <c r="C3251" t="s">
        <v>62729</v>
      </c>
      <c r="D3251" t="s">
        <v>62730</v>
      </c>
      <c r="E3251" t="s">
        <v>62731</v>
      </c>
      <c r="F3251" t="s">
        <v>62732</v>
      </c>
      <c r="G3251" t="s">
        <v>62733</v>
      </c>
      <c r="H3251" t="s">
        <v>62734</v>
      </c>
      <c r="I3251" t="s">
        <v>62735</v>
      </c>
      <c r="J3251" t="s">
        <v>62736</v>
      </c>
      <c r="K3251" t="s">
        <v>62737</v>
      </c>
      <c r="L3251" t="s">
        <v>62738</v>
      </c>
      <c r="M3251" t="s">
        <v>62739</v>
      </c>
      <c r="N3251">
        <f>-651.676039442182 -7.09672681645088 -529.43256174487</f>
        <v>-1188.2053280035029</v>
      </c>
      <c r="O3251">
        <f>-649.394260535078 -159.812857217149 -497.656708448422</f>
        <v>-1306.8638262006491</v>
      </c>
      <c r="P3251">
        <f>-619.011602636363 -172.840947724285 -217.503625726997</f>
        <v>-1009.3561760876451</v>
      </c>
      <c r="Q3251">
        <f>-441.573173876198 -81.5927556175295 -336.40656011799</f>
        <v>-859.57248961171751</v>
      </c>
      <c r="R3251" t="s">
        <v>62740</v>
      </c>
      <c r="S3251" t="s">
        <v>62741</v>
      </c>
      <c r="T3251" t="s">
        <v>62742</v>
      </c>
      <c r="U3251" t="s">
        <v>62743</v>
      </c>
      <c r="V3251">
        <f>-591.490294187963 -55.4266276089795 -92.9290073739091</f>
        <v>-739.8459291708516</v>
      </c>
      <c r="W3251" t="s">
        <v>62744</v>
      </c>
      <c r="X3251" t="s">
        <v>62745</v>
      </c>
      <c r="Y3251" t="s">
        <v>62746</v>
      </c>
    </row>
    <row r="3252" spans="1:25" x14ac:dyDescent="0.3">
      <c r="A3252">
        <v>162550</v>
      </c>
      <c r="B3252" t="s">
        <v>62747</v>
      </c>
      <c r="C3252" t="s">
        <v>62748</v>
      </c>
      <c r="D3252" t="s">
        <v>62749</v>
      </c>
      <c r="E3252" t="s">
        <v>62750</v>
      </c>
      <c r="F3252" t="s">
        <v>62751</v>
      </c>
      <c r="G3252" t="s">
        <v>62752</v>
      </c>
      <c r="H3252" t="s">
        <v>62753</v>
      </c>
      <c r="I3252" t="s">
        <v>62754</v>
      </c>
      <c r="J3252" t="s">
        <v>62755</v>
      </c>
      <c r="K3252" t="s">
        <v>62756</v>
      </c>
      <c r="L3252" t="s">
        <v>62757</v>
      </c>
      <c r="M3252" t="s">
        <v>62758</v>
      </c>
      <c r="N3252">
        <f>-651.764009822598 -7.22641864077445 -529.42253416245</f>
        <v>-1188.4129626258225</v>
      </c>
      <c r="O3252">
        <f>-649.693021624088 -159.921569934162 -497.520700832688</f>
        <v>-1307.135292390938</v>
      </c>
      <c r="P3252">
        <f>-619.300163129291 -172.726701441052 -217.358511364858</f>
        <v>-1009.3853759352011</v>
      </c>
      <c r="Q3252">
        <f>-441.72639815315 -81.9138122745721 -336.39263529414</f>
        <v>-860.03284572186203</v>
      </c>
      <c r="R3252" t="s">
        <v>62759</v>
      </c>
      <c r="S3252" t="s">
        <v>62760</v>
      </c>
      <c r="T3252" t="s">
        <v>62761</v>
      </c>
      <c r="U3252" t="s">
        <v>62762</v>
      </c>
      <c r="V3252">
        <f>-591.610824252807 -55.3982607919015 -92.9381950919001</f>
        <v>-739.94728013660858</v>
      </c>
      <c r="W3252" t="s">
        <v>62763</v>
      </c>
      <c r="X3252" t="s">
        <v>62764</v>
      </c>
      <c r="Y3252" t="s">
        <v>62765</v>
      </c>
    </row>
    <row r="3253" spans="1:25" x14ac:dyDescent="0.3">
      <c r="A3253">
        <v>162600</v>
      </c>
      <c r="B3253" t="s">
        <v>62766</v>
      </c>
      <c r="C3253" t="s">
        <v>62767</v>
      </c>
      <c r="D3253" t="s">
        <v>62768</v>
      </c>
      <c r="E3253" t="s">
        <v>62769</v>
      </c>
      <c r="F3253" t="s">
        <v>62770</v>
      </c>
      <c r="G3253" t="s">
        <v>62771</v>
      </c>
      <c r="H3253" t="s">
        <v>62772</v>
      </c>
      <c r="I3253" t="s">
        <v>62773</v>
      </c>
      <c r="J3253" t="s">
        <v>62774</v>
      </c>
      <c r="K3253" t="s">
        <v>62775</v>
      </c>
      <c r="L3253" t="s">
        <v>62776</v>
      </c>
      <c r="M3253" t="s">
        <v>62777</v>
      </c>
      <c r="N3253">
        <f>-652.103795667842 -7.33731693070354 -529.364335257579</f>
        <v>-1188.8054478561244</v>
      </c>
      <c r="O3253">
        <f>-650.296402549501 -159.978574116135 -497.193017075366</f>
        <v>-1307.4679937410019</v>
      </c>
      <c r="P3253">
        <f>-619.936279150999 -172.393319010995 -217.009646119817</f>
        <v>-1009.339244281811</v>
      </c>
      <c r="Q3253">
        <f>-442.118967490471 -82.4668109962463 -336.352833371147</f>
        <v>-860.93861185786432</v>
      </c>
      <c r="R3253" t="s">
        <v>62778</v>
      </c>
      <c r="S3253" t="s">
        <v>62779</v>
      </c>
      <c r="T3253" t="s">
        <v>62780</v>
      </c>
      <c r="U3253" t="s">
        <v>62781</v>
      </c>
      <c r="V3253">
        <f>-591.862306898596 -55.1263046583701 -92.9420946814918</f>
        <v>-739.9307062384579</v>
      </c>
      <c r="W3253" t="s">
        <v>62782</v>
      </c>
      <c r="X3253" t="s">
        <v>62783</v>
      </c>
      <c r="Y3253" t="s">
        <v>62784</v>
      </c>
    </row>
    <row r="3254" spans="1:25" x14ac:dyDescent="0.3">
      <c r="A3254">
        <v>162650</v>
      </c>
      <c r="B3254" t="s">
        <v>62785</v>
      </c>
      <c r="C3254" t="s">
        <v>62786</v>
      </c>
      <c r="D3254" t="s">
        <v>62787</v>
      </c>
      <c r="E3254" t="s">
        <v>62788</v>
      </c>
      <c r="F3254" t="s">
        <v>62789</v>
      </c>
      <c r="G3254" t="s">
        <v>62790</v>
      </c>
      <c r="H3254" t="s">
        <v>62791</v>
      </c>
      <c r="I3254" t="s">
        <v>62792</v>
      </c>
      <c r="J3254" t="s">
        <v>62793</v>
      </c>
      <c r="K3254" t="s">
        <v>62794</v>
      </c>
      <c r="L3254" t="s">
        <v>62795</v>
      </c>
      <c r="M3254" t="s">
        <v>62796</v>
      </c>
      <c r="N3254">
        <f>-652.459815490484 -7.32739638903809 -529.309251638389</f>
        <v>-1189.0964635179112</v>
      </c>
      <c r="O3254">
        <f>-650.7549178154 -159.942158987212 -496.992779933744</f>
        <v>-1307.689856736356</v>
      </c>
      <c r="P3254">
        <f>-620.246938812019 -172.056677136209 -216.812374485923</f>
        <v>-1009.1159904341511</v>
      </c>
      <c r="Q3254">
        <f>-442.357115897345 -82.5579344608382 -336.368800662521</f>
        <v>-861.28385102070411</v>
      </c>
      <c r="R3254" t="s">
        <v>62797</v>
      </c>
      <c r="S3254" t="s">
        <v>62798</v>
      </c>
      <c r="T3254" t="s">
        <v>62799</v>
      </c>
      <c r="U3254" t="s">
        <v>62800</v>
      </c>
      <c r="V3254">
        <f>-591.978420168124 -54.9210183127425 -92.9382838233771</f>
        <v>-739.83772230424358</v>
      </c>
      <c r="W3254" t="s">
        <v>62801</v>
      </c>
      <c r="X3254" t="s">
        <v>62802</v>
      </c>
      <c r="Y3254" t="s">
        <v>62803</v>
      </c>
    </row>
    <row r="3255" spans="1:25" x14ac:dyDescent="0.3">
      <c r="A3255">
        <v>162700</v>
      </c>
      <c r="B3255" t="s">
        <v>62804</v>
      </c>
      <c r="C3255" t="s">
        <v>62805</v>
      </c>
      <c r="D3255" t="s">
        <v>62806</v>
      </c>
      <c r="E3255" t="s">
        <v>62807</v>
      </c>
      <c r="F3255" t="s">
        <v>62808</v>
      </c>
      <c r="G3255" t="s">
        <v>62809</v>
      </c>
      <c r="H3255" t="s">
        <v>62810</v>
      </c>
      <c r="I3255" t="s">
        <v>62811</v>
      </c>
      <c r="J3255" t="s">
        <v>62812</v>
      </c>
      <c r="K3255" t="s">
        <v>62813</v>
      </c>
      <c r="L3255" t="s">
        <v>62814</v>
      </c>
      <c r="M3255" t="s">
        <v>62815</v>
      </c>
      <c r="N3255">
        <f>-653.219961492665 -7.02500135740161 -529.183041688043</f>
        <v>-1189.4280045381097</v>
      </c>
      <c r="O3255">
        <f>-651.6391830679 -159.596898830796 -496.650073259153</f>
        <v>-1307.8861551578491</v>
      </c>
      <c r="P3255">
        <f>-620.709931313483 -171.208007946732 -216.494478188828</f>
        <v>-1008.412417449043</v>
      </c>
      <c r="Q3255">
        <f>-442.767790982556 -82.2879866936232 -336.404292808096</f>
        <v>-861.46007048427521</v>
      </c>
      <c r="R3255" t="s">
        <v>62816</v>
      </c>
      <c r="S3255" t="s">
        <v>62817</v>
      </c>
      <c r="T3255" t="s">
        <v>62818</v>
      </c>
      <c r="U3255" t="s">
        <v>62819</v>
      </c>
      <c r="V3255">
        <f>-592.148243445259 -54.2586826907609 -92.913697220184</f>
        <v>-739.3206233562039</v>
      </c>
      <c r="W3255" t="s">
        <v>62820</v>
      </c>
      <c r="X3255" t="s">
        <v>62821</v>
      </c>
      <c r="Y3255" t="s">
        <v>62822</v>
      </c>
    </row>
    <row r="3256" spans="1:25" x14ac:dyDescent="0.3">
      <c r="A3256">
        <v>162750</v>
      </c>
      <c r="B3256" t="s">
        <v>62823</v>
      </c>
      <c r="C3256" t="s">
        <v>62824</v>
      </c>
      <c r="D3256" t="s">
        <v>62825</v>
      </c>
      <c r="E3256" t="s">
        <v>62826</v>
      </c>
      <c r="F3256" t="s">
        <v>62827</v>
      </c>
      <c r="G3256" t="s">
        <v>62828</v>
      </c>
      <c r="H3256" t="s">
        <v>62829</v>
      </c>
      <c r="I3256" t="s">
        <v>62830</v>
      </c>
      <c r="J3256" t="s">
        <v>62831</v>
      </c>
      <c r="K3256" t="s">
        <v>62832</v>
      </c>
      <c r="L3256" t="s">
        <v>62833</v>
      </c>
      <c r="M3256" t="s">
        <v>62834</v>
      </c>
      <c r="N3256">
        <f>-653.505287304679 -6.80789096025615 -529.124978674358</f>
        <v>-1189.4381569392931</v>
      </c>
      <c r="O3256">
        <f>-651.910393858457 -159.356128801638 -496.527836304214</f>
        <v>-1307.7943589643091</v>
      </c>
      <c r="P3256">
        <f>-620.804169642296 -170.925969875613 -216.390184476081</f>
        <v>-1008.1203239939899</v>
      </c>
      <c r="Q3256">
        <f>-442.977155048369 -81.9695811123308 -336.443603699856</f>
        <v>-861.39033986055586</v>
      </c>
      <c r="R3256" t="s">
        <v>62835</v>
      </c>
      <c r="S3256" t="s">
        <v>62836</v>
      </c>
      <c r="T3256" t="s">
        <v>62837</v>
      </c>
      <c r="U3256" t="s">
        <v>62838</v>
      </c>
      <c r="V3256">
        <f>-592.2181412846 -53.7756569381297 -92.8911572578437</f>
        <v>-738.88495548057347</v>
      </c>
      <c r="W3256" t="s">
        <v>62839</v>
      </c>
      <c r="X3256" t="s">
        <v>62840</v>
      </c>
      <c r="Y3256" t="s">
        <v>62841</v>
      </c>
    </row>
    <row r="3257" spans="1:25" x14ac:dyDescent="0.3">
      <c r="A3257">
        <v>162800</v>
      </c>
      <c r="B3257" t="s">
        <v>62842</v>
      </c>
      <c r="C3257" t="s">
        <v>62843</v>
      </c>
      <c r="D3257" t="s">
        <v>62844</v>
      </c>
      <c r="E3257" t="s">
        <v>62845</v>
      </c>
      <c r="F3257" t="s">
        <v>62846</v>
      </c>
      <c r="G3257" t="s">
        <v>62847</v>
      </c>
      <c r="H3257" t="s">
        <v>62848</v>
      </c>
      <c r="I3257" t="s">
        <v>62849</v>
      </c>
      <c r="J3257" t="s">
        <v>62850</v>
      </c>
      <c r="K3257" t="s">
        <v>62851</v>
      </c>
      <c r="L3257" t="s">
        <v>62852</v>
      </c>
      <c r="M3257" t="s">
        <v>62853</v>
      </c>
      <c r="N3257">
        <f>-654.079860906803 -6.5084305311218 -529.013734124465</f>
        <v>-1189.6020255623898</v>
      </c>
      <c r="O3257">
        <f>-652.401421123225 -159.036029340256 -496.296856306436</f>
        <v>-1307.7343067699169</v>
      </c>
      <c r="P3257">
        <f>-620.922530718201 -170.487376074467 -216.196012044613</f>
        <v>-1007.6059188372809</v>
      </c>
      <c r="Q3257">
        <f>-443.427460117969 -81.4169636720944 -336.655420925861</f>
        <v>-861.49984471592438</v>
      </c>
      <c r="R3257" t="s">
        <v>62854</v>
      </c>
      <c r="S3257" t="s">
        <v>62855</v>
      </c>
      <c r="T3257" t="s">
        <v>62856</v>
      </c>
      <c r="U3257" t="s">
        <v>62857</v>
      </c>
      <c r="V3257">
        <f>-592.305342461266 -53.1112646557624 -92.8717682346074</f>
        <v>-738.28837535163586</v>
      </c>
      <c r="W3257" t="s">
        <v>62858</v>
      </c>
      <c r="X3257" t="s">
        <v>62859</v>
      </c>
      <c r="Y3257" t="s">
        <v>62860</v>
      </c>
    </row>
    <row r="3258" spans="1:25" x14ac:dyDescent="0.3">
      <c r="A3258">
        <v>162850</v>
      </c>
      <c r="B3258" t="s">
        <v>62861</v>
      </c>
      <c r="C3258" t="s">
        <v>62862</v>
      </c>
      <c r="D3258" t="s">
        <v>62863</v>
      </c>
      <c r="E3258" t="s">
        <v>62864</v>
      </c>
      <c r="F3258" t="s">
        <v>62865</v>
      </c>
      <c r="G3258" t="s">
        <v>62866</v>
      </c>
      <c r="H3258" t="s">
        <v>62867</v>
      </c>
      <c r="I3258" t="s">
        <v>62868</v>
      </c>
      <c r="J3258" t="s">
        <v>62869</v>
      </c>
      <c r="K3258" t="s">
        <v>62870</v>
      </c>
      <c r="L3258" t="s">
        <v>62871</v>
      </c>
      <c r="M3258" t="s">
        <v>62872</v>
      </c>
      <c r="N3258">
        <f>-654.354349947392 -6.46402680636197 -528.956109964245</f>
        <v>-1189.774486717999</v>
      </c>
      <c r="O3258">
        <f>-652.700196572561 -158.972041251386 -496.152968261709</f>
        <v>-1307.8252060856562</v>
      </c>
      <c r="P3258">
        <f>-620.861702066962 -170.268480316009 -216.086431726336</f>
        <v>-1007.2166141093071</v>
      </c>
      <c r="Q3258">
        <f>-443.495044998353 -81.2364946638527 -336.763273872799</f>
        <v>-861.49481353500471</v>
      </c>
      <c r="R3258" t="s">
        <v>62873</v>
      </c>
      <c r="S3258" t="s">
        <v>62874</v>
      </c>
      <c r="T3258" t="s">
        <v>62875</v>
      </c>
      <c r="U3258" t="s">
        <v>62876</v>
      </c>
      <c r="V3258">
        <f>-592.300915230258 -52.95978670162 -92.8652354454318</f>
        <v>-738.12593737730992</v>
      </c>
      <c r="W3258" t="s">
        <v>62877</v>
      </c>
      <c r="X3258" t="s">
        <v>62878</v>
      </c>
      <c r="Y3258" t="s">
        <v>62879</v>
      </c>
    </row>
    <row r="3259" spans="1:25" x14ac:dyDescent="0.3">
      <c r="A3259">
        <v>162900</v>
      </c>
      <c r="B3259" t="s">
        <v>62880</v>
      </c>
      <c r="C3259" t="s">
        <v>62881</v>
      </c>
      <c r="D3259" t="s">
        <v>62882</v>
      </c>
      <c r="E3259" t="s">
        <v>62883</v>
      </c>
      <c r="F3259" t="s">
        <v>62884</v>
      </c>
      <c r="G3259" t="s">
        <v>62885</v>
      </c>
      <c r="H3259" t="s">
        <v>62886</v>
      </c>
      <c r="I3259" t="s">
        <v>62887</v>
      </c>
      <c r="J3259" t="s">
        <v>62888</v>
      </c>
      <c r="K3259" t="s">
        <v>62889</v>
      </c>
      <c r="L3259" t="s">
        <v>62890</v>
      </c>
      <c r="M3259" t="s">
        <v>62891</v>
      </c>
      <c r="N3259">
        <f>-654.866470015878 -6.57012493534421 -528.845088892111</f>
        <v>-1190.2816838433332</v>
      </c>
      <c r="O3259">
        <f>-653.224147666183 -159.04323458945 -495.874386793632</f>
        <v>-1308.1417690492649</v>
      </c>
      <c r="P3259">
        <f>-620.918258443904 -169.949402469503 -215.845805502722</f>
        <v>-1006.713466416129</v>
      </c>
      <c r="Q3259">
        <f>-443.710234965591 -81.1858166350685 -336.952603800067</f>
        <v>-861.84865540072644</v>
      </c>
      <c r="R3259" t="s">
        <v>62892</v>
      </c>
      <c r="S3259" t="s">
        <v>62893</v>
      </c>
      <c r="T3259" t="s">
        <v>62894</v>
      </c>
      <c r="U3259" t="s">
        <v>62895</v>
      </c>
      <c r="V3259">
        <f>-592.323605405109 -52.8971501511114 -92.8641389734491</f>
        <v>-738.08489452966955</v>
      </c>
      <c r="W3259" t="s">
        <v>62896</v>
      </c>
      <c r="X3259" t="s">
        <v>62897</v>
      </c>
      <c r="Y3259" t="s">
        <v>62898</v>
      </c>
    </row>
    <row r="3260" spans="1:25" x14ac:dyDescent="0.3">
      <c r="A3260">
        <v>162950</v>
      </c>
      <c r="B3260" t="s">
        <v>62899</v>
      </c>
      <c r="C3260" t="s">
        <v>62900</v>
      </c>
      <c r="D3260" t="s">
        <v>62901</v>
      </c>
      <c r="E3260" t="s">
        <v>62902</v>
      </c>
      <c r="F3260" t="s">
        <v>62903</v>
      </c>
      <c r="G3260" t="s">
        <v>62904</v>
      </c>
      <c r="H3260" t="s">
        <v>62905</v>
      </c>
      <c r="I3260" t="s">
        <v>62906</v>
      </c>
      <c r="J3260" t="s">
        <v>62907</v>
      </c>
      <c r="K3260" t="s">
        <v>62908</v>
      </c>
      <c r="L3260" t="s">
        <v>62909</v>
      </c>
      <c r="M3260" t="s">
        <v>62910</v>
      </c>
      <c r="N3260">
        <f>-655.070935906816 -6.65105779358578 -528.783797242867</f>
        <v>-1190.5057909432687</v>
      </c>
      <c r="O3260">
        <f>-653.4686618018 -159.111524771367 -495.763620656165</f>
        <v>-1308.343807229332</v>
      </c>
      <c r="P3260">
        <f>-621.024413276427 -169.982362330409 -215.749655697766</f>
        <v>-1006.7564313046021</v>
      </c>
      <c r="Q3260">
        <f>-443.896001718923 -81.2740805367064 -337.013234650064</f>
        <v>-862.18331690569335</v>
      </c>
      <c r="R3260" t="s">
        <v>62911</v>
      </c>
      <c r="S3260" t="s">
        <v>62912</v>
      </c>
      <c r="T3260" t="s">
        <v>62913</v>
      </c>
      <c r="U3260" t="s">
        <v>62914</v>
      </c>
      <c r="V3260">
        <f>-592.334878257264 -52.8987819378478 -92.856557638754</f>
        <v>-738.09021783386584</v>
      </c>
      <c r="W3260" t="s">
        <v>62915</v>
      </c>
      <c r="X3260" t="s">
        <v>62916</v>
      </c>
      <c r="Y3260" t="s">
        <v>62917</v>
      </c>
    </row>
    <row r="3261" spans="1:25" x14ac:dyDescent="0.3">
      <c r="A3261">
        <v>163000</v>
      </c>
      <c r="B3261" t="s">
        <v>62918</v>
      </c>
      <c r="C3261" t="s">
        <v>62919</v>
      </c>
      <c r="D3261" t="s">
        <v>62920</v>
      </c>
      <c r="E3261" t="s">
        <v>62921</v>
      </c>
      <c r="F3261" t="s">
        <v>62922</v>
      </c>
      <c r="G3261" t="s">
        <v>62923</v>
      </c>
      <c r="H3261" t="s">
        <v>62924</v>
      </c>
      <c r="I3261" t="s">
        <v>62925</v>
      </c>
      <c r="J3261" t="s">
        <v>62926</v>
      </c>
      <c r="K3261" t="s">
        <v>62927</v>
      </c>
      <c r="L3261" t="s">
        <v>62928</v>
      </c>
      <c r="M3261" t="s">
        <v>62929</v>
      </c>
      <c r="N3261">
        <f>-655.400299046433 -6.72122575265348 -528.721947422838</f>
        <v>-1190.8434722219245</v>
      </c>
      <c r="O3261">
        <f>-653.942416645075 -159.178123120667 -495.670665806289</f>
        <v>-1308.791205572031</v>
      </c>
      <c r="P3261">
        <f>-621.391770551958 -170.048824729696 -215.669219004808</f>
        <v>-1007.109814286462</v>
      </c>
      <c r="Q3261">
        <f>-444.386814255025 -81.1981371914892 -337.008934692816</f>
        <v>-862.59388613933015</v>
      </c>
      <c r="R3261" t="s">
        <v>62930</v>
      </c>
      <c r="S3261" t="s">
        <v>62931</v>
      </c>
      <c r="T3261" t="s">
        <v>62932</v>
      </c>
      <c r="U3261" t="s">
        <v>62933</v>
      </c>
      <c r="V3261">
        <f>-592.377817888073 -53.0111353380044 -92.852070065076</f>
        <v>-738.24102329115328</v>
      </c>
      <c r="W3261" t="s">
        <v>62934</v>
      </c>
      <c r="X3261" t="s">
        <v>62935</v>
      </c>
      <c r="Y3261" t="s">
        <v>62936</v>
      </c>
    </row>
    <row r="3262" spans="1:25" x14ac:dyDescent="0.3">
      <c r="A3262">
        <v>163050</v>
      </c>
      <c r="B3262" t="s">
        <v>62937</v>
      </c>
      <c r="C3262" t="s">
        <v>62938</v>
      </c>
      <c r="D3262" t="s">
        <v>62939</v>
      </c>
      <c r="E3262" t="s">
        <v>62940</v>
      </c>
      <c r="F3262" t="s">
        <v>62941</v>
      </c>
      <c r="G3262" t="s">
        <v>62942</v>
      </c>
      <c r="H3262" t="s">
        <v>62943</v>
      </c>
      <c r="I3262" t="s">
        <v>62944</v>
      </c>
      <c r="J3262" t="s">
        <v>62945</v>
      </c>
      <c r="K3262" t="s">
        <v>62946</v>
      </c>
      <c r="L3262" t="s">
        <v>62947</v>
      </c>
      <c r="M3262" t="s">
        <v>62948</v>
      </c>
      <c r="N3262">
        <f>-655.543836198999 -6.72924117980006 -528.709160972982</f>
        <v>-1190.982238351781</v>
      </c>
      <c r="O3262">
        <f>-654.149124854434 -159.190795090476 -495.668631710722</f>
        <v>-1309.0085516556319</v>
      </c>
      <c r="P3262">
        <f>-621.65766657153 -170.167331202148 -215.664365804283</f>
        <v>-1007.4893635779609</v>
      </c>
      <c r="Q3262">
        <f>-444.84803523614 -81.040682381368 -337.086587641102</f>
        <v>-862.97530525860998</v>
      </c>
      <c r="R3262" t="s">
        <v>62949</v>
      </c>
      <c r="S3262" t="s">
        <v>62950</v>
      </c>
      <c r="T3262" t="s">
        <v>62951</v>
      </c>
      <c r="U3262" t="s">
        <v>62952</v>
      </c>
      <c r="V3262">
        <f>-592.407796562092 -53.0677852501169 -92.8605748003688</f>
        <v>-738.33615661257772</v>
      </c>
      <c r="W3262" t="s">
        <v>62953</v>
      </c>
      <c r="X3262" t="s">
        <v>62954</v>
      </c>
      <c r="Y3262" t="s">
        <v>62955</v>
      </c>
    </row>
    <row r="3263" spans="1:25" x14ac:dyDescent="0.3">
      <c r="A3263">
        <v>163100</v>
      </c>
      <c r="B3263" t="s">
        <v>62956</v>
      </c>
      <c r="C3263" t="s">
        <v>62957</v>
      </c>
      <c r="D3263" t="s">
        <v>62958</v>
      </c>
      <c r="E3263" t="s">
        <v>62959</v>
      </c>
      <c r="F3263" t="s">
        <v>62960</v>
      </c>
      <c r="G3263" t="s">
        <v>62961</v>
      </c>
      <c r="H3263" t="s">
        <v>62962</v>
      </c>
      <c r="I3263" t="s">
        <v>62963</v>
      </c>
      <c r="J3263" t="s">
        <v>62964</v>
      </c>
      <c r="K3263" t="s">
        <v>62965</v>
      </c>
      <c r="L3263" t="s">
        <v>62966</v>
      </c>
      <c r="M3263" t="s">
        <v>62967</v>
      </c>
      <c r="N3263">
        <f>-655.823729507022 -6.6621661930526 -528.719345429501</f>
        <v>-1191.2052411295756</v>
      </c>
      <c r="O3263">
        <f>-654.575712193733 -159.159977278055 -495.824065471503</f>
        <v>-1309.559754943291</v>
      </c>
      <c r="P3263">
        <f>-622.23950144203 -170.461869526529 -215.814862670835</f>
        <v>-1008.5162336393939</v>
      </c>
      <c r="Q3263">
        <f>-445.653858920285 -81.4424541615654 -337.64071192602</f>
        <v>-864.73702500787044</v>
      </c>
      <c r="R3263" t="s">
        <v>62968</v>
      </c>
      <c r="S3263" t="s">
        <v>62969</v>
      </c>
      <c r="T3263" t="s">
        <v>62970</v>
      </c>
      <c r="U3263" t="s">
        <v>62971</v>
      </c>
      <c r="V3263">
        <f>-592.522086945914 -53.3287788234641 -92.9021367750388</f>
        <v>-738.75300254441686</v>
      </c>
      <c r="W3263" t="s">
        <v>62972</v>
      </c>
      <c r="X3263" t="s">
        <v>62973</v>
      </c>
      <c r="Y3263" t="s">
        <v>62974</v>
      </c>
    </row>
    <row r="3264" spans="1:25" x14ac:dyDescent="0.3">
      <c r="A3264">
        <v>163150</v>
      </c>
      <c r="B3264" t="s">
        <v>62975</v>
      </c>
      <c r="C3264" t="s">
        <v>62976</v>
      </c>
      <c r="D3264" t="s">
        <v>62977</v>
      </c>
      <c r="E3264" t="s">
        <v>62978</v>
      </c>
      <c r="F3264" t="s">
        <v>62979</v>
      </c>
      <c r="G3264" t="s">
        <v>62980</v>
      </c>
      <c r="H3264" t="s">
        <v>62981</v>
      </c>
      <c r="I3264" t="s">
        <v>62982</v>
      </c>
      <c r="J3264" t="s">
        <v>62983</v>
      </c>
      <c r="K3264" t="s">
        <v>62984</v>
      </c>
      <c r="L3264" t="s">
        <v>62985</v>
      </c>
      <c r="M3264" t="s">
        <v>62986</v>
      </c>
      <c r="N3264">
        <f>-655.93037122618 -6.56848220851134 -528.735500223159</f>
        <v>-1191.2343536578503</v>
      </c>
      <c r="O3264">
        <f>-654.741785369244 -159.080495293056 -495.925400771651</f>
        <v>-1309.7476814339511</v>
      </c>
      <c r="P3264">
        <f>-622.297735722218 -170.482524083363 -215.932672039066</f>
        <v>-1008.712931844647</v>
      </c>
      <c r="Q3264">
        <f>-445.579873390057 -82.0697085223226 -338.008456630452</f>
        <v>-865.6580385428316</v>
      </c>
      <c r="R3264" t="s">
        <v>62987</v>
      </c>
      <c r="S3264" t="s">
        <v>62988</v>
      </c>
      <c r="T3264" t="s">
        <v>62989</v>
      </c>
      <c r="U3264" t="s">
        <v>62990</v>
      </c>
      <c r="V3264">
        <f>-592.619530018174 -53.4801736783854 -92.9228322040411</f>
        <v>-739.02253590060059</v>
      </c>
      <c r="W3264" t="s">
        <v>62991</v>
      </c>
      <c r="X3264" t="s">
        <v>62992</v>
      </c>
      <c r="Y3264" t="s">
        <v>62993</v>
      </c>
    </row>
    <row r="3265" spans="1:25" x14ac:dyDescent="0.3">
      <c r="A3265">
        <v>163200</v>
      </c>
      <c r="B3265" t="s">
        <v>62994</v>
      </c>
      <c r="C3265" t="s">
        <v>62995</v>
      </c>
      <c r="D3265" t="s">
        <v>62996</v>
      </c>
      <c r="E3265" t="s">
        <v>62997</v>
      </c>
      <c r="F3265" t="s">
        <v>62998</v>
      </c>
      <c r="G3265" t="s">
        <v>62999</v>
      </c>
      <c r="H3265" t="s">
        <v>63000</v>
      </c>
      <c r="I3265" t="s">
        <v>63001</v>
      </c>
      <c r="J3265" t="s">
        <v>63002</v>
      </c>
      <c r="K3265" t="s">
        <v>63003</v>
      </c>
      <c r="L3265" t="s">
        <v>63004</v>
      </c>
      <c r="M3265" t="s">
        <v>63005</v>
      </c>
      <c r="N3265">
        <f>-656.738195504227 -6.392889291551 -528.712781263283</f>
        <v>-1191.8438660590609</v>
      </c>
      <c r="O3265">
        <f>-655.487565069889 -158.965394470696 -496.197096563678</f>
        <v>-1310.6500561042631</v>
      </c>
      <c r="P3265">
        <f>-622.53373139528 -171.107907787144 -216.295006870078</f>
        <v>-1009.9366460525021</v>
      </c>
      <c r="Q3265">
        <f>-445.46561239938 -83.429164631161 -338.392722912788</f>
        <v>-867.28749994332907</v>
      </c>
      <c r="R3265" t="s">
        <v>63006</v>
      </c>
      <c r="S3265" t="s">
        <v>63007</v>
      </c>
      <c r="T3265" t="s">
        <v>63008</v>
      </c>
      <c r="U3265" t="s">
        <v>63009</v>
      </c>
      <c r="V3265">
        <f>-592.910273533127 -53.81085416888 -92.9573214353218</f>
        <v>-739.67844913732881</v>
      </c>
      <c r="W3265" t="s">
        <v>63010</v>
      </c>
      <c r="X3265" t="s">
        <v>63011</v>
      </c>
      <c r="Y3265" t="s">
        <v>63012</v>
      </c>
    </row>
    <row r="3266" spans="1:25" x14ac:dyDescent="0.3">
      <c r="A3266">
        <v>163250</v>
      </c>
      <c r="B3266" t="s">
        <v>63013</v>
      </c>
      <c r="C3266" t="s">
        <v>63014</v>
      </c>
      <c r="D3266" t="s">
        <v>63015</v>
      </c>
      <c r="E3266" t="s">
        <v>63016</v>
      </c>
      <c r="F3266" t="s">
        <v>63017</v>
      </c>
      <c r="G3266" t="s">
        <v>63018</v>
      </c>
      <c r="H3266" t="s">
        <v>63019</v>
      </c>
      <c r="I3266" t="s">
        <v>63020</v>
      </c>
      <c r="J3266" t="s">
        <v>63021</v>
      </c>
      <c r="K3266" t="s">
        <v>63022</v>
      </c>
      <c r="L3266" t="s">
        <v>63023</v>
      </c>
      <c r="M3266" t="s">
        <v>63024</v>
      </c>
      <c r="N3266">
        <f>-657.208206811266 -6.27078441448339 -528.694940231283</f>
        <v>-1192.1739314570323</v>
      </c>
      <c r="O3266">
        <f>-655.896667749792 -158.883272324584 -496.362091146719</f>
        <v>-1311.1420312210951</v>
      </c>
      <c r="P3266">
        <f>-622.591740955962 -171.520613735992 -216.523479511891</f>
        <v>-1010.635834203845</v>
      </c>
      <c r="Q3266">
        <f>-445.515716731786 -83.5877374244699 -338.426932089501</f>
        <v>-867.53038624575697</v>
      </c>
      <c r="R3266" t="s">
        <v>63025</v>
      </c>
      <c r="S3266" t="s">
        <v>63026</v>
      </c>
      <c r="T3266" t="s">
        <v>63027</v>
      </c>
      <c r="U3266" t="s">
        <v>63028</v>
      </c>
      <c r="V3266">
        <f>-593.061512783954 -53.9398103982753 -92.9686209123988</f>
        <v>-739.96994409462809</v>
      </c>
      <c r="W3266" t="s">
        <v>63029</v>
      </c>
      <c r="X3266" t="s">
        <v>63030</v>
      </c>
      <c r="Y3266" t="s">
        <v>63031</v>
      </c>
    </row>
    <row r="3267" spans="1:25" x14ac:dyDescent="0.3">
      <c r="A3267">
        <v>163300</v>
      </c>
      <c r="B3267" t="s">
        <v>63032</v>
      </c>
      <c r="C3267" t="s">
        <v>63033</v>
      </c>
      <c r="D3267" t="s">
        <v>63034</v>
      </c>
      <c r="E3267" t="s">
        <v>63035</v>
      </c>
      <c r="F3267" t="s">
        <v>63036</v>
      </c>
      <c r="G3267" t="s">
        <v>63037</v>
      </c>
      <c r="H3267" t="s">
        <v>63038</v>
      </c>
      <c r="I3267" t="s">
        <v>63039</v>
      </c>
      <c r="J3267" t="s">
        <v>63040</v>
      </c>
      <c r="K3267" t="s">
        <v>63041</v>
      </c>
      <c r="L3267" t="s">
        <v>63042</v>
      </c>
      <c r="M3267" t="s">
        <v>63043</v>
      </c>
      <c r="N3267">
        <f>-658.127220053597 -6.05188713765961 -528.677945889553</f>
        <v>-1192.8570530808097</v>
      </c>
      <c r="O3267">
        <f>-656.656229875899 -158.754614292935 -496.767546858218</f>
        <v>-1312.1783910270519</v>
      </c>
      <c r="P3267">
        <f>-622.930516113211 -171.978385736464 -217.006541004771</f>
        <v>-1011.9154428544459</v>
      </c>
      <c r="Q3267">
        <f>-446.084799872752 -82.9303027766771 -338.433726104964</f>
        <v>-867.44882875439316</v>
      </c>
      <c r="R3267" t="s">
        <v>63044</v>
      </c>
      <c r="S3267" t="s">
        <v>63045</v>
      </c>
      <c r="T3267" t="s">
        <v>63046</v>
      </c>
      <c r="U3267" t="s">
        <v>63047</v>
      </c>
      <c r="V3267">
        <f>-593.200015255202 -54.1810790181412 -92.9962562777166</f>
        <v>-740.37735055105975</v>
      </c>
      <c r="W3267" t="s">
        <v>63048</v>
      </c>
      <c r="X3267" t="s">
        <v>63049</v>
      </c>
      <c r="Y3267" t="s">
        <v>63050</v>
      </c>
    </row>
    <row r="3268" spans="1:25" x14ac:dyDescent="0.3">
      <c r="A3268">
        <v>163350</v>
      </c>
      <c r="B3268" t="s">
        <v>63051</v>
      </c>
      <c r="C3268" t="s">
        <v>63052</v>
      </c>
      <c r="D3268" t="s">
        <v>63053</v>
      </c>
      <c r="E3268" t="s">
        <v>63054</v>
      </c>
      <c r="F3268" t="s">
        <v>63055</v>
      </c>
      <c r="G3268" t="s">
        <v>63056</v>
      </c>
      <c r="H3268" t="s">
        <v>63057</v>
      </c>
      <c r="I3268" t="s">
        <v>63058</v>
      </c>
      <c r="J3268" t="s">
        <v>63059</v>
      </c>
      <c r="K3268" t="s">
        <v>63060</v>
      </c>
      <c r="L3268" t="s">
        <v>63061</v>
      </c>
      <c r="M3268" t="s">
        <v>63062</v>
      </c>
      <c r="N3268">
        <f>-658.365266862697 -5.92545102664121 -528.695073680623</f>
        <v>-1192.9857915699613</v>
      </c>
      <c r="O3268">
        <f>-656.77624874742 -158.674473527217 -497.016025252434</f>
        <v>-1312.466747527071</v>
      </c>
      <c r="P3268">
        <f>-622.986941517162 -172.265783218652 -217.28015837563</f>
        <v>-1012.532883111444</v>
      </c>
      <c r="Q3268">
        <f>-446.214885806699 -82.4985943521704 -338.284427281801</f>
        <v>-866.99790744067036</v>
      </c>
      <c r="R3268" t="s">
        <v>63063</v>
      </c>
      <c r="S3268" t="s">
        <v>63064</v>
      </c>
      <c r="T3268" t="s">
        <v>63065</v>
      </c>
      <c r="U3268" t="s">
        <v>63066</v>
      </c>
      <c r="V3268">
        <f>-593.18848770189 -54.2367131328083 -92.9895584130928</f>
        <v>-740.41475924779115</v>
      </c>
      <c r="W3268" t="s">
        <v>63067</v>
      </c>
      <c r="X3268" t="s">
        <v>63068</v>
      </c>
      <c r="Y3268" t="s">
        <v>63069</v>
      </c>
    </row>
    <row r="3269" spans="1:25" x14ac:dyDescent="0.3">
      <c r="A3269">
        <v>163400</v>
      </c>
      <c r="B3269" t="s">
        <v>63070</v>
      </c>
      <c r="C3269" t="s">
        <v>63071</v>
      </c>
      <c r="D3269" t="s">
        <v>63072</v>
      </c>
      <c r="E3269" t="s">
        <v>63073</v>
      </c>
      <c r="F3269" t="s">
        <v>63074</v>
      </c>
      <c r="G3269" t="s">
        <v>63075</v>
      </c>
      <c r="H3269" t="s">
        <v>63076</v>
      </c>
      <c r="I3269" t="s">
        <v>63077</v>
      </c>
      <c r="J3269" t="s">
        <v>63078</v>
      </c>
      <c r="K3269" t="s">
        <v>63079</v>
      </c>
      <c r="L3269" t="s">
        <v>63080</v>
      </c>
      <c r="M3269" t="s">
        <v>63081</v>
      </c>
      <c r="N3269">
        <f>-658.83508779651 -5.65654186727556 -528.738614805187</f>
        <v>-1193.2302444689726</v>
      </c>
      <c r="O3269">
        <f>-656.905337479667 -158.496203406606 -497.530127037017</f>
        <v>-1312.93166792329</v>
      </c>
      <c r="P3269">
        <f>-623.116543353261 -173.115041122915 -217.846132136139</f>
        <v>-1014.077716612315</v>
      </c>
      <c r="Q3269">
        <f>-446.534889338848 -81.9667470318111 -338.093549443852</f>
        <v>-866.59518581451107</v>
      </c>
      <c r="R3269" t="s">
        <v>63082</v>
      </c>
      <c r="S3269" t="s">
        <v>63083</v>
      </c>
      <c r="T3269" t="s">
        <v>63084</v>
      </c>
      <c r="U3269" t="s">
        <v>63085</v>
      </c>
      <c r="V3269">
        <f>-593.142607223616 -54.3979002521633 -92.9875932011103</f>
        <v>-740.52810067688949</v>
      </c>
      <c r="W3269" t="s">
        <v>63086</v>
      </c>
      <c r="X3269" t="s">
        <v>63087</v>
      </c>
      <c r="Y3269" t="s">
        <v>63088</v>
      </c>
    </row>
    <row r="3270" spans="1:25" x14ac:dyDescent="0.3">
      <c r="A3270">
        <v>163450</v>
      </c>
      <c r="B3270" t="s">
        <v>63089</v>
      </c>
      <c r="C3270" t="s">
        <v>63090</v>
      </c>
      <c r="D3270" t="s">
        <v>63091</v>
      </c>
      <c r="E3270" t="s">
        <v>63092</v>
      </c>
      <c r="F3270" t="s">
        <v>63093</v>
      </c>
      <c r="G3270" t="s">
        <v>63094</v>
      </c>
      <c r="H3270" t="s">
        <v>63095</v>
      </c>
      <c r="I3270" t="s">
        <v>63096</v>
      </c>
      <c r="J3270" t="s">
        <v>63097</v>
      </c>
      <c r="K3270" t="s">
        <v>63098</v>
      </c>
      <c r="L3270" t="s">
        <v>63099</v>
      </c>
      <c r="M3270" t="s">
        <v>63100</v>
      </c>
      <c r="N3270">
        <f>-659.570557364395 -5.55326499137414 -528.731442624347</f>
        <v>-1193.8552649801161</v>
      </c>
      <c r="O3270">
        <f>-657.352469645944 -158.464024919212 -497.879632895056</f>
        <v>-1313.696127460212</v>
      </c>
      <c r="P3270">
        <f>-623.640487377623 -173.549990103225 -218.211118226367</f>
        <v>-1015.4015957072151</v>
      </c>
      <c r="Q3270">
        <f>-446.752978038883 -82.1744620455656 -337.834785248673</f>
        <v>-866.76222533312148</v>
      </c>
      <c r="R3270" t="s">
        <v>63101</v>
      </c>
      <c r="S3270" t="s">
        <v>63102</v>
      </c>
      <c r="T3270" t="s">
        <v>63103</v>
      </c>
      <c r="U3270" t="s">
        <v>63104</v>
      </c>
      <c r="V3270">
        <f>-593.111717987616 -54.6264487724034 -92.9845593480626</f>
        <v>-740.72272610808193</v>
      </c>
      <c r="W3270" t="s">
        <v>63105</v>
      </c>
      <c r="X3270" t="s">
        <v>63106</v>
      </c>
      <c r="Y3270" t="s">
        <v>63107</v>
      </c>
    </row>
    <row r="3271" spans="1:25" x14ac:dyDescent="0.3">
      <c r="A3271">
        <v>163500</v>
      </c>
      <c r="B3271" t="s">
        <v>63108</v>
      </c>
      <c r="C3271" t="s">
        <v>63109</v>
      </c>
      <c r="D3271" t="s">
        <v>63110</v>
      </c>
      <c r="E3271" t="s">
        <v>63111</v>
      </c>
      <c r="F3271" t="s">
        <v>63112</v>
      </c>
      <c r="G3271" t="s">
        <v>63113</v>
      </c>
      <c r="H3271" t="s">
        <v>63114</v>
      </c>
      <c r="I3271" t="s">
        <v>63115</v>
      </c>
      <c r="J3271" t="s">
        <v>63116</v>
      </c>
      <c r="K3271" t="s">
        <v>63117</v>
      </c>
      <c r="L3271" t="s">
        <v>63118</v>
      </c>
      <c r="M3271" t="s">
        <v>63119</v>
      </c>
      <c r="N3271">
        <f>-659.934611269811 -5.49242069296042 -528.726682623811</f>
        <v>-1194.1537145865823</v>
      </c>
      <c r="O3271">
        <f>-657.670648899289 -158.426974975873 -497.983292234547</f>
        <v>-1314.0809161097091</v>
      </c>
      <c r="P3271">
        <f>-623.927178363687 -173.421842633674 -218.313581032565</f>
        <v>-1015.662602029926</v>
      </c>
      <c r="Q3271">
        <f>-446.931393550086 -82.2828494655948 -337.957738463195</f>
        <v>-867.17198147887586</v>
      </c>
      <c r="R3271" t="s">
        <v>63120</v>
      </c>
      <c r="S3271" t="s">
        <v>63121</v>
      </c>
      <c r="T3271" t="s">
        <v>63122</v>
      </c>
      <c r="U3271" t="s">
        <v>63123</v>
      </c>
      <c r="V3271">
        <f>-593.186903012607 -54.749661310655 -92.987354807194</f>
        <v>-740.92391913045606</v>
      </c>
      <c r="W3271" t="s">
        <v>63124</v>
      </c>
      <c r="X3271" t="s">
        <v>63125</v>
      </c>
      <c r="Y3271" t="s">
        <v>63126</v>
      </c>
    </row>
    <row r="3272" spans="1:25" x14ac:dyDescent="0.3">
      <c r="A3272">
        <v>163550</v>
      </c>
      <c r="B3272" t="s">
        <v>63127</v>
      </c>
      <c r="C3272" t="s">
        <v>63128</v>
      </c>
      <c r="D3272" t="s">
        <v>63129</v>
      </c>
      <c r="E3272" t="s">
        <v>63130</v>
      </c>
      <c r="F3272" t="s">
        <v>63131</v>
      </c>
      <c r="G3272" t="s">
        <v>63132</v>
      </c>
      <c r="H3272" t="s">
        <v>63133</v>
      </c>
      <c r="I3272" t="s">
        <v>63134</v>
      </c>
      <c r="J3272" t="s">
        <v>63135</v>
      </c>
      <c r="K3272" t="s">
        <v>63136</v>
      </c>
      <c r="L3272" t="s">
        <v>63137</v>
      </c>
      <c r="M3272" t="s">
        <v>63138</v>
      </c>
      <c r="N3272">
        <f>-660.250576844594 -5.54507165579321 -528.728651873249</f>
        <v>-1194.5243003736362</v>
      </c>
      <c r="O3272">
        <f>-657.954907683426 -158.495061715926 -498.087036394885</f>
        <v>-1314.5370057942368</v>
      </c>
      <c r="P3272">
        <f>-624.277764657652 -173.57619797587 -218.414123350136</f>
        <v>-1016.2680859836581</v>
      </c>
      <c r="Q3272">
        <f>-447.340767176653 -82.4554524021846 -338.159146402146</f>
        <v>-867.95536598098363</v>
      </c>
      <c r="R3272" t="s">
        <v>63139</v>
      </c>
      <c r="S3272" t="s">
        <v>63140</v>
      </c>
      <c r="T3272" t="s">
        <v>63141</v>
      </c>
      <c r="U3272" t="s">
        <v>63142</v>
      </c>
      <c r="V3272">
        <f>-593.291536228489 -54.8560878574247 -92.9953346616919</f>
        <v>-741.14295874760558</v>
      </c>
      <c r="W3272" t="s">
        <v>63143</v>
      </c>
      <c r="X3272" t="s">
        <v>63144</v>
      </c>
      <c r="Y3272" t="s">
        <v>63145</v>
      </c>
    </row>
    <row r="3273" spans="1:25" x14ac:dyDescent="0.3">
      <c r="A3273">
        <v>163600</v>
      </c>
      <c r="B3273" t="s">
        <v>63146</v>
      </c>
      <c r="C3273" t="s">
        <v>63147</v>
      </c>
      <c r="D3273" t="s">
        <v>63148</v>
      </c>
      <c r="E3273" t="s">
        <v>63149</v>
      </c>
      <c r="F3273" t="s">
        <v>63150</v>
      </c>
      <c r="G3273" t="s">
        <v>63151</v>
      </c>
      <c r="H3273" t="s">
        <v>63152</v>
      </c>
      <c r="I3273" t="s">
        <v>63153</v>
      </c>
      <c r="J3273" t="s">
        <v>63154</v>
      </c>
      <c r="K3273" t="s">
        <v>63155</v>
      </c>
      <c r="L3273" t="s">
        <v>63156</v>
      </c>
      <c r="M3273" t="s">
        <v>63157</v>
      </c>
      <c r="N3273">
        <f>-660.905389048845 -5.4977970633513 -528.735759942985</f>
        <v>-1195.1389460551813</v>
      </c>
      <c r="O3273">
        <f>-658.724341936947 -158.500681997523 -498.361678533595</f>
        <v>-1315.5867024680649</v>
      </c>
      <c r="P3273">
        <f>-625.187654192528 -174.507603858301 -218.723325193911</f>
        <v>-1018.41858324474</v>
      </c>
      <c r="Q3273">
        <f>-448.062303069039 -82.9614715980101 -337.86365667934</f>
        <v>-868.88743134638912</v>
      </c>
      <c r="R3273" t="s">
        <v>63158</v>
      </c>
      <c r="S3273" t="s">
        <v>63159</v>
      </c>
      <c r="T3273" t="s">
        <v>63160</v>
      </c>
      <c r="U3273" t="s">
        <v>63161</v>
      </c>
      <c r="V3273">
        <f>-593.538029773949 -54.9814462837558 -93.0156116639054</f>
        <v>-741.53508772161013</v>
      </c>
      <c r="W3273" t="s">
        <v>63162</v>
      </c>
      <c r="X3273" t="s">
        <v>63163</v>
      </c>
      <c r="Y3273" t="s">
        <v>63164</v>
      </c>
    </row>
    <row r="3274" spans="1:25" x14ac:dyDescent="0.3">
      <c r="A3274">
        <v>163650</v>
      </c>
      <c r="B3274" t="s">
        <v>63165</v>
      </c>
      <c r="C3274" t="s">
        <v>63166</v>
      </c>
      <c r="D3274" t="s">
        <v>63167</v>
      </c>
      <c r="E3274" t="s">
        <v>63168</v>
      </c>
      <c r="F3274" t="s">
        <v>63169</v>
      </c>
      <c r="G3274" t="s">
        <v>63170</v>
      </c>
      <c r="H3274" t="s">
        <v>63171</v>
      </c>
      <c r="I3274" t="s">
        <v>63172</v>
      </c>
      <c r="J3274" t="s">
        <v>63173</v>
      </c>
      <c r="K3274" t="s">
        <v>63174</v>
      </c>
      <c r="L3274" t="s">
        <v>63175</v>
      </c>
      <c r="M3274" t="s">
        <v>63176</v>
      </c>
      <c r="N3274">
        <f>-661.170917367133 -5.45192650304307 -528.735787664834</f>
        <v>-1195.3586315350101</v>
      </c>
      <c r="O3274">
        <f>-659.063107857917 -158.473468457303 -498.443118873966</f>
        <v>-1315.9796951891858</v>
      </c>
      <c r="P3274">
        <f>-625.664526014008 -174.582530579799 -218.79402523045</f>
        <v>-1019.0410818242569</v>
      </c>
      <c r="Q3274">
        <f>-448.389217001891 -83.0592466041333 -337.728887245675</f>
        <v>-869.1773508516992</v>
      </c>
      <c r="R3274" t="s">
        <v>63177</v>
      </c>
      <c r="S3274" t="s">
        <v>63178</v>
      </c>
      <c r="T3274" t="s">
        <v>63179</v>
      </c>
      <c r="U3274" t="s">
        <v>63180</v>
      </c>
      <c r="V3274">
        <f>-593.720372268791 -55.0205303630898 -93.0280793845291</f>
        <v>-741.76898201640995</v>
      </c>
      <c r="W3274" t="s">
        <v>63181</v>
      </c>
      <c r="X3274" t="s">
        <v>63182</v>
      </c>
      <c r="Y3274" t="s">
        <v>63183</v>
      </c>
    </row>
    <row r="3275" spans="1:25" x14ac:dyDescent="0.3">
      <c r="A3275">
        <v>163700</v>
      </c>
      <c r="B3275" t="s">
        <v>63184</v>
      </c>
      <c r="C3275" t="s">
        <v>63185</v>
      </c>
      <c r="D3275" t="s">
        <v>63186</v>
      </c>
      <c r="E3275" t="s">
        <v>63187</v>
      </c>
      <c r="F3275" t="s">
        <v>63188</v>
      </c>
      <c r="G3275" t="s">
        <v>63189</v>
      </c>
      <c r="H3275" t="s">
        <v>63190</v>
      </c>
      <c r="I3275" t="s">
        <v>63191</v>
      </c>
      <c r="J3275" t="s">
        <v>63192</v>
      </c>
      <c r="K3275" t="s">
        <v>63193</v>
      </c>
      <c r="L3275" t="s">
        <v>63194</v>
      </c>
      <c r="M3275" t="s">
        <v>63195</v>
      </c>
      <c r="N3275">
        <f>-661.733814759899 -5.35213881604318 -528.719654303184</f>
        <v>-1195.8056078791262</v>
      </c>
      <c r="O3275">
        <f>-659.829995335732 -158.390985893393 -498.48761222379</f>
        <v>-1316.708593452915</v>
      </c>
      <c r="P3275">
        <f>-626.688545485592 -174.412754615523 -218.802830022224</f>
        <v>-1019.904130123339</v>
      </c>
      <c r="Q3275">
        <f>-449.030539624576 -83.3168817549849 -337.494435330415</f>
        <v>-869.8418567099759</v>
      </c>
      <c r="R3275" t="s">
        <v>63196</v>
      </c>
      <c r="S3275" t="s">
        <v>63197</v>
      </c>
      <c r="T3275" t="s">
        <v>63198</v>
      </c>
      <c r="U3275" t="s">
        <v>63199</v>
      </c>
      <c r="V3275">
        <f>-594.116080759566 -54.9965761665665 -93.0454435044999</f>
        <v>-742.15810043063232</v>
      </c>
      <c r="W3275" t="s">
        <v>63200</v>
      </c>
      <c r="X3275" t="s">
        <v>63201</v>
      </c>
      <c r="Y3275" t="s">
        <v>63202</v>
      </c>
    </row>
    <row r="3276" spans="1:25" x14ac:dyDescent="0.3">
      <c r="A3276">
        <v>163750</v>
      </c>
      <c r="B3276" t="s">
        <v>63203</v>
      </c>
      <c r="C3276" t="s">
        <v>63204</v>
      </c>
      <c r="D3276" t="s">
        <v>63205</v>
      </c>
      <c r="E3276" t="s">
        <v>63206</v>
      </c>
      <c r="F3276" t="s">
        <v>63207</v>
      </c>
      <c r="G3276" t="s">
        <v>63208</v>
      </c>
      <c r="H3276" t="s">
        <v>63209</v>
      </c>
      <c r="I3276" t="s">
        <v>63210</v>
      </c>
      <c r="J3276" t="s">
        <v>63211</v>
      </c>
      <c r="K3276" t="s">
        <v>63212</v>
      </c>
      <c r="L3276" t="s">
        <v>63213</v>
      </c>
      <c r="M3276" t="s">
        <v>63214</v>
      </c>
      <c r="N3276">
        <f>-661.918527542901 -5.24442519420018 -528.734767587571</f>
        <v>-1195.8977203246723</v>
      </c>
      <c r="O3276">
        <f>-660.168143507174 -158.290490527571 -498.514415425404</f>
        <v>-1316.973049460149</v>
      </c>
      <c r="P3276">
        <f>-627.209005702859 -174.271271046533 -218.805936227836</f>
        <v>-1020.286212977228</v>
      </c>
      <c r="Q3276">
        <f>-449.372564191667 -83.4349000619086 -337.429264419998</f>
        <v>-870.23672867357368</v>
      </c>
      <c r="R3276" t="s">
        <v>63215</v>
      </c>
      <c r="S3276" t="s">
        <v>63216</v>
      </c>
      <c r="T3276" t="s">
        <v>63217</v>
      </c>
      <c r="U3276" t="s">
        <v>63218</v>
      </c>
      <c r="V3276">
        <f>-594.335156945754 -54.9956072997454 -93.0563836280883</f>
        <v>-742.38714787358765</v>
      </c>
      <c r="W3276" t="s">
        <v>63219</v>
      </c>
      <c r="X3276" t="s">
        <v>63220</v>
      </c>
      <c r="Y3276" t="s">
        <v>63221</v>
      </c>
    </row>
    <row r="3277" spans="1:25" x14ac:dyDescent="0.3">
      <c r="A3277">
        <v>163800</v>
      </c>
      <c r="B3277" t="s">
        <v>63222</v>
      </c>
      <c r="C3277" t="s">
        <v>63223</v>
      </c>
      <c r="D3277" t="s">
        <v>63224</v>
      </c>
      <c r="E3277" t="s">
        <v>63225</v>
      </c>
      <c r="F3277" t="s">
        <v>63226</v>
      </c>
      <c r="G3277" t="s">
        <v>63227</v>
      </c>
      <c r="H3277" t="s">
        <v>63228</v>
      </c>
      <c r="I3277" t="s">
        <v>63229</v>
      </c>
      <c r="J3277" t="s">
        <v>63230</v>
      </c>
      <c r="K3277" t="s">
        <v>63231</v>
      </c>
      <c r="L3277" t="s">
        <v>63232</v>
      </c>
      <c r="M3277" t="s">
        <v>63233</v>
      </c>
      <c r="N3277">
        <f>-661.939594280813 -4.91265558386363 -528.817272104131</f>
        <v>-1195.6695219688077</v>
      </c>
      <c r="O3277">
        <f>-660.454680042192 -157.969197668582 -498.667905392637</f>
        <v>-1317.091783103411</v>
      </c>
      <c r="P3277">
        <f>-628.239415852862 -174.490850688356 -218.903979423222</f>
        <v>-1021.63424596444</v>
      </c>
      <c r="Q3277">
        <f>-449.933143847245 -84.0159249396565 -337.09737025151</f>
        <v>-871.04643903841156</v>
      </c>
      <c r="R3277" t="s">
        <v>63234</v>
      </c>
      <c r="S3277" t="s">
        <v>63235</v>
      </c>
      <c r="T3277" t="s">
        <v>63236</v>
      </c>
      <c r="U3277" t="s">
        <v>63237</v>
      </c>
      <c r="V3277">
        <f>-594.693123643084 -54.8238445123266 -93.0695112865781</f>
        <v>-742.58647944198867</v>
      </c>
      <c r="W3277" t="s">
        <v>63238</v>
      </c>
      <c r="X3277" t="s">
        <v>63239</v>
      </c>
      <c r="Y3277" t="s">
        <v>63240</v>
      </c>
    </row>
    <row r="3278" spans="1:25" x14ac:dyDescent="0.3">
      <c r="A3278">
        <v>163850</v>
      </c>
      <c r="B3278" t="s">
        <v>63241</v>
      </c>
      <c r="C3278" t="s">
        <v>63242</v>
      </c>
      <c r="D3278" t="s">
        <v>63243</v>
      </c>
      <c r="E3278" t="s">
        <v>63244</v>
      </c>
      <c r="F3278" t="s">
        <v>63245</v>
      </c>
      <c r="G3278" t="s">
        <v>63246</v>
      </c>
      <c r="H3278" t="s">
        <v>63247</v>
      </c>
      <c r="I3278" t="s">
        <v>63248</v>
      </c>
      <c r="J3278" t="s">
        <v>63249</v>
      </c>
      <c r="K3278" t="s">
        <v>63250</v>
      </c>
      <c r="L3278" t="s">
        <v>63251</v>
      </c>
      <c r="M3278" t="s">
        <v>63252</v>
      </c>
      <c r="N3278">
        <f>-661.918343466192 -4.7120731690195 -528.856266775723</f>
        <v>-1195.4866834109346</v>
      </c>
      <c r="O3278">
        <f>-660.601088626077 -157.777776961624 -498.719389508103</f>
        <v>-1317.098255095804</v>
      </c>
      <c r="P3278">
        <f>-628.801652233998 -174.173435525346 -218.900634976272</f>
        <v>-1021.8757227356159</v>
      </c>
      <c r="Q3278">
        <f>-450.099214265357 -84.4119004241425 -337.039748204986</f>
        <v>-871.55086289448536</v>
      </c>
      <c r="R3278" t="s">
        <v>63253</v>
      </c>
      <c r="S3278" t="s">
        <v>63254</v>
      </c>
      <c r="T3278" t="s">
        <v>63255</v>
      </c>
      <c r="U3278" t="s">
        <v>63256</v>
      </c>
      <c r="V3278">
        <f>-594.857258249099 -54.6977824619203 -93.0854860961623</f>
        <v>-742.64052680718157</v>
      </c>
      <c r="W3278" t="s">
        <v>63257</v>
      </c>
      <c r="X3278" t="s">
        <v>63258</v>
      </c>
      <c r="Y3278" t="s">
        <v>63259</v>
      </c>
    </row>
    <row r="3279" spans="1:25" x14ac:dyDescent="0.3">
      <c r="A3279">
        <v>163900</v>
      </c>
      <c r="B3279" t="s">
        <v>63260</v>
      </c>
      <c r="C3279" t="s">
        <v>63261</v>
      </c>
      <c r="D3279" t="s">
        <v>63262</v>
      </c>
      <c r="E3279" t="s">
        <v>63263</v>
      </c>
      <c r="F3279" t="s">
        <v>63264</v>
      </c>
      <c r="G3279" t="s">
        <v>63265</v>
      </c>
      <c r="H3279" t="s">
        <v>63266</v>
      </c>
      <c r="I3279" t="s">
        <v>63267</v>
      </c>
      <c r="J3279" t="s">
        <v>63268</v>
      </c>
      <c r="K3279" t="s">
        <v>63269</v>
      </c>
      <c r="L3279" t="s">
        <v>63270</v>
      </c>
      <c r="M3279" t="s">
        <v>63271</v>
      </c>
      <c r="N3279">
        <f>-661.917399231953 -4.44046247195001 -528.892620407323</f>
        <v>-1195.2504821112261</v>
      </c>
      <c r="O3279">
        <f>-660.997044193683 -157.483755576907 -498.64797553569</f>
        <v>-1317.12877530628</v>
      </c>
      <c r="P3279">
        <f>-629.588270454091 -173.889982983344 -218.785744433626</f>
        <v>-1022.2639978710611</v>
      </c>
      <c r="Q3279">
        <f>-450.247033977953 -85.3254077773361 -336.860288927229</f>
        <v>-872.43273068251813</v>
      </c>
      <c r="R3279" t="s">
        <v>63272</v>
      </c>
      <c r="S3279" t="s">
        <v>63273</v>
      </c>
      <c r="T3279" t="s">
        <v>63274</v>
      </c>
      <c r="U3279" t="s">
        <v>63275</v>
      </c>
      <c r="V3279">
        <f>-595.278096430829 -54.5227087870703 -93.1084103582716</f>
        <v>-742.90921557617094</v>
      </c>
      <c r="W3279" t="s">
        <v>63276</v>
      </c>
      <c r="X3279" t="s">
        <v>63277</v>
      </c>
      <c r="Y3279" t="s">
        <v>63278</v>
      </c>
    </row>
    <row r="3280" spans="1:25" x14ac:dyDescent="0.3">
      <c r="A3280">
        <v>163950</v>
      </c>
      <c r="B3280" t="s">
        <v>63279</v>
      </c>
      <c r="C3280" t="s">
        <v>63280</v>
      </c>
      <c r="D3280" t="s">
        <v>63281</v>
      </c>
      <c r="E3280" t="s">
        <v>63282</v>
      </c>
      <c r="F3280" t="s">
        <v>63283</v>
      </c>
      <c r="G3280" t="s">
        <v>63284</v>
      </c>
      <c r="H3280" t="s">
        <v>63285</v>
      </c>
      <c r="I3280" t="s">
        <v>63286</v>
      </c>
      <c r="J3280" t="s">
        <v>63287</v>
      </c>
      <c r="K3280" t="s">
        <v>63288</v>
      </c>
      <c r="L3280" t="s">
        <v>63289</v>
      </c>
      <c r="M3280" t="s">
        <v>63290</v>
      </c>
      <c r="N3280">
        <f>-662.000208641836 -4.30380414318984 -528.909923972475</f>
        <v>-1195.213936757501</v>
      </c>
      <c r="O3280">
        <f>-661.284583178577 -157.341758129671 -498.622823145804</f>
        <v>-1317.2491644540519</v>
      </c>
      <c r="P3280">
        <f>-629.967158858801 -173.578467059127 -218.740278866883</f>
        <v>-1022.285904784811</v>
      </c>
      <c r="Q3280">
        <f>-450.298759302533 -85.6281443467722 -336.776560542</f>
        <v>-872.70346419130533</v>
      </c>
      <c r="R3280" t="s">
        <v>63291</v>
      </c>
      <c r="S3280" t="s">
        <v>63292</v>
      </c>
      <c r="T3280" t="s">
        <v>63293</v>
      </c>
      <c r="U3280" t="s">
        <v>63294</v>
      </c>
      <c r="V3280">
        <f>-595.472049018989 -54.4514295408646 -93.1217615223003</f>
        <v>-743.0452400821539</v>
      </c>
      <c r="W3280" t="s">
        <v>63295</v>
      </c>
      <c r="X3280" t="s">
        <v>63296</v>
      </c>
      <c r="Y3280" t="s">
        <v>63297</v>
      </c>
    </row>
    <row r="3281" spans="1:25" x14ac:dyDescent="0.3">
      <c r="A3281">
        <v>164000</v>
      </c>
      <c r="B3281" t="s">
        <v>63298</v>
      </c>
      <c r="C3281" t="s">
        <v>63299</v>
      </c>
      <c r="D3281" t="s">
        <v>63300</v>
      </c>
      <c r="E3281" t="s">
        <v>63301</v>
      </c>
      <c r="F3281" t="s">
        <v>63302</v>
      </c>
      <c r="G3281" t="s">
        <v>63303</v>
      </c>
      <c r="H3281" t="s">
        <v>63304</v>
      </c>
      <c r="I3281" t="s">
        <v>63305</v>
      </c>
      <c r="J3281" t="s">
        <v>63306</v>
      </c>
      <c r="K3281" t="s">
        <v>63307</v>
      </c>
      <c r="L3281" t="s">
        <v>63308</v>
      </c>
      <c r="M3281" t="s">
        <v>63309</v>
      </c>
      <c r="N3281">
        <f>-662.158263288669 -4.02052065572639 -528.934286784036</f>
        <v>-1195.1130707284315</v>
      </c>
      <c r="O3281">
        <f>-661.776394693274 -157.042815653418 -498.564063414458</f>
        <v>-1317.3832737611501</v>
      </c>
      <c r="P3281">
        <f>-630.712974827142 -173.11757489744 -218.643974770118</f>
        <v>-1022.4745244947001</v>
      </c>
      <c r="Q3281">
        <f>-450.317469185591 -86.1330589152517 -336.28634108744</f>
        <v>-872.73686918828275</v>
      </c>
      <c r="R3281" t="s">
        <v>63310</v>
      </c>
      <c r="S3281" t="s">
        <v>63311</v>
      </c>
      <c r="T3281" t="s">
        <v>63312</v>
      </c>
      <c r="U3281" t="s">
        <v>63313</v>
      </c>
      <c r="V3281">
        <f>-595.820926017864 -54.3100075060529 -93.1502885727759</f>
        <v>-743.28122209669289</v>
      </c>
      <c r="W3281" t="s">
        <v>63314</v>
      </c>
      <c r="X3281" t="s">
        <v>63315</v>
      </c>
      <c r="Y3281" t="s">
        <v>63316</v>
      </c>
    </row>
    <row r="3282" spans="1:25" x14ac:dyDescent="0.3">
      <c r="A3282">
        <v>164050</v>
      </c>
      <c r="B3282" t="s">
        <v>63317</v>
      </c>
      <c r="C3282" t="s">
        <v>63318</v>
      </c>
      <c r="D3282" t="s">
        <v>63319</v>
      </c>
      <c r="E3282" t="s">
        <v>63320</v>
      </c>
      <c r="F3282" t="s">
        <v>63321</v>
      </c>
      <c r="G3282" t="s">
        <v>63322</v>
      </c>
      <c r="H3282" t="s">
        <v>63323</v>
      </c>
      <c r="I3282" t="s">
        <v>63324</v>
      </c>
      <c r="J3282" t="s">
        <v>63325</v>
      </c>
      <c r="K3282" t="s">
        <v>63326</v>
      </c>
      <c r="L3282" t="s">
        <v>63327</v>
      </c>
      <c r="M3282" t="s">
        <v>63328</v>
      </c>
      <c r="N3282">
        <f>-662.188568055006 -3.91266284760536 -528.924131516111</f>
        <v>-1195.0253624187224</v>
      </c>
      <c r="O3282">
        <f>-661.960688055672 -156.927198784975 -498.520370790354</f>
        <v>-1317.4082576310009</v>
      </c>
      <c r="P3282">
        <f>-631.127581293487 -172.955438448589 -218.572110559413</f>
        <v>-1022.655130301489</v>
      </c>
      <c r="Q3282">
        <f>-450.481780992764 -86.158876495814 -335.968896131067</f>
        <v>-872.609553619645</v>
      </c>
      <c r="R3282" t="s">
        <v>63329</v>
      </c>
      <c r="S3282" t="s">
        <v>63330</v>
      </c>
      <c r="T3282" t="s">
        <v>63331</v>
      </c>
      <c r="U3282" t="s">
        <v>63332</v>
      </c>
      <c r="V3282">
        <f>-595.878972950467 -54.2491598039612 -93.1490736993499</f>
        <v>-743.27720645377804</v>
      </c>
      <c r="W3282" t="s">
        <v>63333</v>
      </c>
      <c r="X3282" t="s">
        <v>63334</v>
      </c>
      <c r="Y3282" t="s">
        <v>63335</v>
      </c>
    </row>
    <row r="3283" spans="1:25" x14ac:dyDescent="0.3">
      <c r="A3283">
        <v>164100</v>
      </c>
      <c r="B3283" t="s">
        <v>63336</v>
      </c>
      <c r="C3283" t="s">
        <v>63337</v>
      </c>
      <c r="D3283" t="s">
        <v>63338</v>
      </c>
      <c r="E3283" t="s">
        <v>63339</v>
      </c>
      <c r="F3283" t="s">
        <v>63340</v>
      </c>
      <c r="G3283" t="s">
        <v>63341</v>
      </c>
      <c r="H3283" t="s">
        <v>63342</v>
      </c>
      <c r="I3283" t="s">
        <v>63343</v>
      </c>
      <c r="J3283" t="s">
        <v>63344</v>
      </c>
      <c r="K3283" t="s">
        <v>63345</v>
      </c>
      <c r="L3283" t="s">
        <v>63346</v>
      </c>
      <c r="M3283" t="s">
        <v>63347</v>
      </c>
      <c r="N3283">
        <f>-662.120656543519 -3.91050357528002 -528.923013971575</f>
        <v>-1194.954174090374</v>
      </c>
      <c r="O3283">
        <f>-662.079777027131 -156.898747605807 -498.415860264216</f>
        <v>-1317.3943848971539</v>
      </c>
      <c r="P3283">
        <f>-631.954245243193 -172.798442520328 -218.383212555507</f>
        <v>-1023.135900319028</v>
      </c>
      <c r="Q3283">
        <f>-450.716931265256 -86.0571672378073 -334.905806595804</f>
        <v>-871.67990509886727</v>
      </c>
      <c r="R3283" t="s">
        <v>63348</v>
      </c>
      <c r="S3283" t="s">
        <v>63349</v>
      </c>
      <c r="T3283" t="s">
        <v>63350</v>
      </c>
      <c r="U3283" t="s">
        <v>63351</v>
      </c>
      <c r="V3283">
        <f>-595.912896282502 -54.1865996233737 -93.1429399646255</f>
        <v>-743.24243587050114</v>
      </c>
      <c r="W3283" t="s">
        <v>63352</v>
      </c>
      <c r="X3283" t="s">
        <v>63353</v>
      </c>
      <c r="Y3283" t="s">
        <v>63354</v>
      </c>
    </row>
    <row r="3284" spans="1:25" x14ac:dyDescent="0.3">
      <c r="A3284">
        <v>164150</v>
      </c>
      <c r="B3284" t="s">
        <v>63355</v>
      </c>
      <c r="C3284" t="s">
        <v>63356</v>
      </c>
      <c r="D3284" t="s">
        <v>63357</v>
      </c>
      <c r="E3284" t="s">
        <v>63358</v>
      </c>
      <c r="F3284" t="s">
        <v>63359</v>
      </c>
      <c r="G3284" t="s">
        <v>63360</v>
      </c>
      <c r="H3284" t="s">
        <v>63361</v>
      </c>
      <c r="I3284" t="s">
        <v>63362</v>
      </c>
      <c r="J3284" t="s">
        <v>63363</v>
      </c>
      <c r="K3284" t="s">
        <v>63364</v>
      </c>
      <c r="L3284" t="s">
        <v>63365</v>
      </c>
      <c r="M3284" t="s">
        <v>63366</v>
      </c>
      <c r="N3284">
        <f>-662.049385786334 -3.92557813053145 -528.92391453369</f>
        <v>-1194.8988784505555</v>
      </c>
      <c r="O3284">
        <f>-662.002369377559 -156.917229597241 -498.396732190301</f>
        <v>-1317.316331165101</v>
      </c>
      <c r="P3284">
        <f>-632.393546767545 -172.72490202817 -218.303801912726</f>
        <v>-1023.422250708441</v>
      </c>
      <c r="Q3284">
        <f>-450.923175579127 -85.94557915479 -334.434836354857</f>
        <v>-871.30359108877406</v>
      </c>
      <c r="R3284" t="s">
        <v>63367</v>
      </c>
      <c r="S3284" t="s">
        <v>63368</v>
      </c>
      <c r="T3284" t="s">
        <v>63369</v>
      </c>
      <c r="U3284" t="s">
        <v>63370</v>
      </c>
      <c r="V3284">
        <f>-595.89075037579 -54.1432088117926 -93.1427570737538</f>
        <v>-743.17671626133654</v>
      </c>
      <c r="W3284" t="s">
        <v>63371</v>
      </c>
      <c r="X3284" t="s">
        <v>63372</v>
      </c>
      <c r="Y3284" t="s">
        <v>63373</v>
      </c>
    </row>
    <row r="3285" spans="1:25" x14ac:dyDescent="0.3">
      <c r="A3285">
        <v>164200</v>
      </c>
      <c r="B3285" t="s">
        <v>63374</v>
      </c>
      <c r="C3285" t="s">
        <v>63375</v>
      </c>
      <c r="D3285" t="s">
        <v>63376</v>
      </c>
      <c r="E3285" t="s">
        <v>63377</v>
      </c>
      <c r="F3285" t="s">
        <v>63378</v>
      </c>
      <c r="G3285" t="s">
        <v>63379</v>
      </c>
      <c r="H3285" t="s">
        <v>63380</v>
      </c>
      <c r="I3285" t="s">
        <v>63381</v>
      </c>
      <c r="J3285" t="s">
        <v>63382</v>
      </c>
      <c r="K3285" t="s">
        <v>63383</v>
      </c>
      <c r="L3285" t="s">
        <v>63384</v>
      </c>
      <c r="M3285" t="s">
        <v>63385</v>
      </c>
      <c r="N3285">
        <f>-662.011835398959 -3.9198938848233 -528.939904960149</f>
        <v>-1194.8716342439311</v>
      </c>
      <c r="O3285">
        <f>-661.860100505284 -156.914826497425 -498.44990145878</f>
        <v>-1317.2248284614889</v>
      </c>
      <c r="P3285">
        <f>-633.022610090881 -172.901499325533 -218.286551157879</f>
        <v>-1024.2106605742929</v>
      </c>
      <c r="Q3285">
        <f>-451.233174669038 -85.9201437835427 -333.7655799808</f>
        <v>-870.91889843338072</v>
      </c>
      <c r="R3285" t="s">
        <v>63386</v>
      </c>
      <c r="S3285" t="s">
        <v>63387</v>
      </c>
      <c r="T3285" t="s">
        <v>63388</v>
      </c>
      <c r="U3285" t="s">
        <v>63389</v>
      </c>
      <c r="V3285">
        <f>-595.874779162731 -54.1221667981308 -93.1565356699957</f>
        <v>-743.15348163085753</v>
      </c>
      <c r="W3285" t="s">
        <v>63390</v>
      </c>
      <c r="X3285" t="s">
        <v>63391</v>
      </c>
      <c r="Y3285" t="s">
        <v>63392</v>
      </c>
    </row>
    <row r="3286" spans="1:25" x14ac:dyDescent="0.3">
      <c r="A3286">
        <v>164250</v>
      </c>
      <c r="B3286" t="s">
        <v>63393</v>
      </c>
      <c r="C3286" t="s">
        <v>63394</v>
      </c>
      <c r="D3286" t="s">
        <v>63395</v>
      </c>
      <c r="E3286" t="s">
        <v>63396</v>
      </c>
      <c r="F3286" t="s">
        <v>63397</v>
      </c>
      <c r="G3286" t="s">
        <v>63398</v>
      </c>
      <c r="H3286" t="s">
        <v>63399</v>
      </c>
      <c r="I3286" t="s">
        <v>63400</v>
      </c>
      <c r="J3286" t="s">
        <v>63401</v>
      </c>
      <c r="K3286" t="s">
        <v>63402</v>
      </c>
      <c r="L3286" t="s">
        <v>63403</v>
      </c>
      <c r="M3286" t="s">
        <v>63404</v>
      </c>
      <c r="N3286">
        <f>-662.17724867645 -3.86017795429757 -528.944746394868</f>
        <v>-1194.9821730256156</v>
      </c>
      <c r="O3286">
        <f>-661.932611087095 -156.869538609366 -498.506265024789</f>
        <v>-1317.3084147212501</v>
      </c>
      <c r="P3286">
        <f>-633.203884735768 -172.900743287756 -218.334483863762</f>
        <v>-1024.4391118872859</v>
      </c>
      <c r="Q3286">
        <f>-451.195062676337 -85.9778289615626 -333.511366675267</f>
        <v>-870.68425831316665</v>
      </c>
      <c r="R3286" t="s">
        <v>63405</v>
      </c>
      <c r="S3286" t="s">
        <v>63406</v>
      </c>
      <c r="T3286" t="s">
        <v>63407</v>
      </c>
      <c r="U3286" t="s">
        <v>63408</v>
      </c>
      <c r="V3286">
        <f>-595.890230861959 -54.1048184877743 -93.154953085947</f>
        <v>-743.15000243568034</v>
      </c>
      <c r="W3286" t="s">
        <v>63409</v>
      </c>
      <c r="X3286" t="s">
        <v>63410</v>
      </c>
      <c r="Y3286" t="s">
        <v>63411</v>
      </c>
    </row>
    <row r="3287" spans="1:25" x14ac:dyDescent="0.3">
      <c r="A3287">
        <v>164300</v>
      </c>
      <c r="B3287" t="s">
        <v>63412</v>
      </c>
      <c r="C3287" t="s">
        <v>63413</v>
      </c>
      <c r="D3287" t="s">
        <v>63414</v>
      </c>
      <c r="E3287" t="s">
        <v>63415</v>
      </c>
      <c r="F3287" t="s">
        <v>63416</v>
      </c>
      <c r="G3287" t="s">
        <v>63417</v>
      </c>
      <c r="H3287" t="s">
        <v>63418</v>
      </c>
      <c r="I3287" t="s">
        <v>63419</v>
      </c>
      <c r="J3287" t="s">
        <v>63420</v>
      </c>
      <c r="K3287" t="s">
        <v>63421</v>
      </c>
      <c r="L3287" t="s">
        <v>63422</v>
      </c>
      <c r="M3287" t="s">
        <v>63423</v>
      </c>
      <c r="N3287">
        <f>-661.954171666633 -3.59911354468477 -528.999967285665</f>
        <v>-1194.5532524969826</v>
      </c>
      <c r="O3287">
        <f>-661.44672527839 -156.638611866442 -498.721926740981</f>
        <v>-1316.807263885813</v>
      </c>
      <c r="P3287">
        <f>-632.780606759911 -172.744229385924 -218.547974042983</f>
        <v>-1024.072810188818</v>
      </c>
      <c r="Q3287">
        <f>-450.350457340607 -86.0497908844559 -333.229637653544</f>
        <v>-869.62988587860696</v>
      </c>
      <c r="R3287" t="s">
        <v>63424</v>
      </c>
      <c r="S3287" t="s">
        <v>63425</v>
      </c>
      <c r="T3287" t="s">
        <v>63426</v>
      </c>
      <c r="U3287" t="s">
        <v>63427</v>
      </c>
      <c r="V3287">
        <f>-595.890263074856 -53.9621676802731 -93.1398017544084</f>
        <v>-742.99223250953742</v>
      </c>
      <c r="W3287" t="s">
        <v>63428</v>
      </c>
      <c r="X3287" t="s">
        <v>63429</v>
      </c>
      <c r="Y3287" t="s">
        <v>63430</v>
      </c>
    </row>
    <row r="3288" spans="1:25" x14ac:dyDescent="0.3">
      <c r="A3288">
        <v>164350</v>
      </c>
      <c r="B3288" t="s">
        <v>63431</v>
      </c>
      <c r="C3288" t="s">
        <v>63432</v>
      </c>
      <c r="D3288" t="s">
        <v>63433</v>
      </c>
      <c r="E3288" t="s">
        <v>63434</v>
      </c>
      <c r="F3288" t="s">
        <v>63435</v>
      </c>
      <c r="G3288" t="s">
        <v>63436</v>
      </c>
      <c r="H3288" t="s">
        <v>63437</v>
      </c>
      <c r="I3288" t="s">
        <v>63438</v>
      </c>
      <c r="J3288" t="s">
        <v>63439</v>
      </c>
      <c r="K3288" t="s">
        <v>63440</v>
      </c>
      <c r="L3288" t="s">
        <v>63441</v>
      </c>
      <c r="M3288" t="s">
        <v>63442</v>
      </c>
      <c r="N3288">
        <f>-661.707621300979 -3.52584183587669 -529.041649466997</f>
        <v>-1194.2751126038527</v>
      </c>
      <c r="O3288">
        <f>-661.054885599044 -156.585328412884 -498.882192754806</f>
        <v>-1316.5224067667341</v>
      </c>
      <c r="P3288">
        <f>-632.467308233261 -172.873648522136 -218.710809953921</f>
        <v>-1024.0517667093179</v>
      </c>
      <c r="Q3288">
        <f>-449.800476367993 -86.2725230004116 -333.08580427424</f>
        <v>-869.15880364264456</v>
      </c>
      <c r="R3288" t="s">
        <v>63443</v>
      </c>
      <c r="S3288" t="s">
        <v>63444</v>
      </c>
      <c r="T3288" t="s">
        <v>63445</v>
      </c>
      <c r="U3288" t="s">
        <v>63446</v>
      </c>
      <c r="V3288">
        <f>-595.865460017296 -53.8859627836118 -93.132876452719</f>
        <v>-742.88429925362675</v>
      </c>
      <c r="W3288" t="s">
        <v>63447</v>
      </c>
      <c r="X3288" t="s">
        <v>63448</v>
      </c>
      <c r="Y3288" t="s">
        <v>63449</v>
      </c>
    </row>
    <row r="3289" spans="1:25" x14ac:dyDescent="0.3">
      <c r="A3289">
        <v>164400</v>
      </c>
      <c r="B3289" t="s">
        <v>63450</v>
      </c>
      <c r="C3289" t="s">
        <v>63451</v>
      </c>
      <c r="D3289" t="s">
        <v>63452</v>
      </c>
      <c r="E3289" t="s">
        <v>63453</v>
      </c>
      <c r="F3289" t="s">
        <v>63454</v>
      </c>
      <c r="G3289" t="s">
        <v>63455</v>
      </c>
      <c r="H3289" t="s">
        <v>63456</v>
      </c>
      <c r="I3289" t="s">
        <v>63457</v>
      </c>
      <c r="J3289" t="s">
        <v>63458</v>
      </c>
      <c r="K3289" t="s">
        <v>63459</v>
      </c>
      <c r="L3289" t="s">
        <v>63460</v>
      </c>
      <c r="M3289" t="s">
        <v>63461</v>
      </c>
      <c r="N3289">
        <f>-661.196114393695 -3.41358386585171 -529.064829054632</f>
        <v>-1193.6745273141787</v>
      </c>
      <c r="O3289">
        <f>-660.29673620804 -156.523490806717 -499.141849442648</f>
        <v>-1315.9620764574049</v>
      </c>
      <c r="P3289">
        <f>-632.096793260388 -172.922464478351 -218.937725980825</f>
        <v>-1023.9569837195641</v>
      </c>
      <c r="Q3289">
        <f>-448.687748096863 -87.4609795217782 -332.981433528837</f>
        <v>-869.13016114747825</v>
      </c>
      <c r="R3289" t="s">
        <v>63462</v>
      </c>
      <c r="S3289" t="s">
        <v>63463</v>
      </c>
      <c r="T3289" t="s">
        <v>63464</v>
      </c>
      <c r="U3289" t="s">
        <v>63465</v>
      </c>
      <c r="V3289">
        <f>-595.554646062967 -53.860595455116 -93.1132612298617</f>
        <v>-742.52850274794469</v>
      </c>
      <c r="W3289" t="s">
        <v>63466</v>
      </c>
      <c r="X3289" t="s">
        <v>63467</v>
      </c>
      <c r="Y3289" t="s">
        <v>63468</v>
      </c>
    </row>
    <row r="3290" spans="1:25" x14ac:dyDescent="0.3">
      <c r="A3290">
        <v>164450</v>
      </c>
      <c r="B3290" t="s">
        <v>63469</v>
      </c>
      <c r="C3290" t="s">
        <v>63470</v>
      </c>
      <c r="D3290" t="s">
        <v>63471</v>
      </c>
      <c r="E3290" t="s">
        <v>63472</v>
      </c>
      <c r="F3290" t="s">
        <v>63473</v>
      </c>
      <c r="G3290" t="s">
        <v>63474</v>
      </c>
      <c r="H3290" t="s">
        <v>63475</v>
      </c>
      <c r="I3290" t="s">
        <v>63476</v>
      </c>
      <c r="J3290" t="s">
        <v>63477</v>
      </c>
      <c r="K3290" t="s">
        <v>63478</v>
      </c>
      <c r="L3290" t="s">
        <v>63479</v>
      </c>
      <c r="M3290" t="s">
        <v>63480</v>
      </c>
      <c r="N3290">
        <f>-660.942241821707 -3.42651492145137 -529.080715185263</f>
        <v>-1193.4494719284212</v>
      </c>
      <c r="O3290">
        <f>-659.906857144038 -156.55701740056 -499.258997034775</f>
        <v>-1315.7228715793731</v>
      </c>
      <c r="P3290">
        <f>-631.998028602018 -173.033769376691 -219.030217915025</f>
        <v>-1024.062015893734</v>
      </c>
      <c r="Q3290">
        <f>-448.153797715133 -88.128842293622 -332.788663764225</f>
        <v>-869.07130377298006</v>
      </c>
      <c r="R3290" t="s">
        <v>63481</v>
      </c>
      <c r="S3290" t="s">
        <v>63482</v>
      </c>
      <c r="T3290" t="s">
        <v>63483</v>
      </c>
      <c r="U3290" t="s">
        <v>63484</v>
      </c>
      <c r="V3290">
        <f>-595.326274852021 -53.9900519522325 -93.1039688433618</f>
        <v>-742.42029564761538</v>
      </c>
      <c r="W3290" t="s">
        <v>63485</v>
      </c>
      <c r="X3290" t="s">
        <v>63486</v>
      </c>
      <c r="Y3290" t="s">
        <v>63487</v>
      </c>
    </row>
    <row r="3291" spans="1:25" x14ac:dyDescent="0.3">
      <c r="A3291">
        <v>164500</v>
      </c>
      <c r="B3291" t="s">
        <v>63488</v>
      </c>
      <c r="C3291" t="s">
        <v>63489</v>
      </c>
      <c r="D3291" t="s">
        <v>63490</v>
      </c>
      <c r="E3291" t="s">
        <v>63491</v>
      </c>
      <c r="F3291" t="s">
        <v>63492</v>
      </c>
      <c r="G3291" t="s">
        <v>63493</v>
      </c>
      <c r="H3291" t="s">
        <v>63494</v>
      </c>
      <c r="I3291" t="s">
        <v>63495</v>
      </c>
      <c r="J3291" t="s">
        <v>63496</v>
      </c>
      <c r="K3291" t="s">
        <v>63497</v>
      </c>
      <c r="L3291" t="s">
        <v>63498</v>
      </c>
      <c r="M3291" t="s">
        <v>63499</v>
      </c>
      <c r="N3291">
        <f>-660.495803814908 -3.35543644877498 -529.12273061172</f>
        <v>-1192.973970875403</v>
      </c>
      <c r="O3291">
        <f>-659.291138684741 -156.533799195972 -499.571014461017</f>
        <v>-1315.39595234173</v>
      </c>
      <c r="P3291">
        <f>-632.129763301157 -172.597400889172 -219.244830733638</f>
        <v>-1023.971994923967</v>
      </c>
      <c r="Q3291">
        <f>-446.808729845851 -89.4561921577426 -331.904495625741</f>
        <v>-868.16941762933459</v>
      </c>
      <c r="R3291" t="s">
        <v>63500</v>
      </c>
      <c r="S3291" t="s">
        <v>63501</v>
      </c>
      <c r="T3291" t="s">
        <v>63502</v>
      </c>
      <c r="U3291" t="s">
        <v>63503</v>
      </c>
      <c r="V3291">
        <f>-594.799294482662 -54.3180954309548 -93.0711835387253</f>
        <v>-742.18857345234221</v>
      </c>
      <c r="W3291" t="s">
        <v>63504</v>
      </c>
      <c r="X3291" t="s">
        <v>63505</v>
      </c>
      <c r="Y3291" t="s">
        <v>63506</v>
      </c>
    </row>
    <row r="3292" spans="1:25" x14ac:dyDescent="0.3">
      <c r="A3292">
        <v>164550</v>
      </c>
      <c r="B3292" t="s">
        <v>63507</v>
      </c>
      <c r="C3292" t="s">
        <v>63508</v>
      </c>
      <c r="D3292" t="s">
        <v>63509</v>
      </c>
      <c r="E3292" t="s">
        <v>63510</v>
      </c>
      <c r="F3292" t="s">
        <v>63511</v>
      </c>
      <c r="G3292" t="s">
        <v>63512</v>
      </c>
      <c r="H3292" t="s">
        <v>63513</v>
      </c>
      <c r="I3292" t="s">
        <v>63514</v>
      </c>
      <c r="J3292" t="s">
        <v>63515</v>
      </c>
      <c r="K3292" t="s">
        <v>63516</v>
      </c>
      <c r="L3292" t="s">
        <v>63517</v>
      </c>
      <c r="M3292" t="s">
        <v>63518</v>
      </c>
      <c r="N3292">
        <f>-660.355918882615 -3.36026376963559 -529.132998844448</f>
        <v>-1192.8491814966987</v>
      </c>
      <c r="O3292">
        <f>-659.135252861321 -156.556695397643 -499.675968920312</f>
        <v>-1315.367917179276</v>
      </c>
      <c r="P3292">
        <f>-632.341009977683 -172.467912434138 -219.305732907817</f>
        <v>-1024.1146553196379</v>
      </c>
      <c r="Q3292">
        <f>-446.09219091452 -90.1462188941609 -331.033228215013</f>
        <v>-867.27163802369387</v>
      </c>
      <c r="R3292" t="s">
        <v>63519</v>
      </c>
      <c r="S3292" t="s">
        <v>63520</v>
      </c>
      <c r="T3292" t="s">
        <v>63521</v>
      </c>
      <c r="U3292" t="s">
        <v>63522</v>
      </c>
      <c r="V3292">
        <f>-594.594972387556 -54.5530683368688 -93.0593912869914</f>
        <v>-742.20743201141624</v>
      </c>
      <c r="W3292" t="s">
        <v>63523</v>
      </c>
      <c r="X3292" t="s">
        <v>63524</v>
      </c>
      <c r="Y3292" t="s">
        <v>63525</v>
      </c>
    </row>
    <row r="3293" spans="1:25" x14ac:dyDescent="0.3">
      <c r="A3293">
        <v>164600</v>
      </c>
      <c r="B3293" t="s">
        <v>63526</v>
      </c>
      <c r="C3293" t="s">
        <v>63527</v>
      </c>
      <c r="D3293" t="s">
        <v>63528</v>
      </c>
      <c r="E3293" t="s">
        <v>63529</v>
      </c>
      <c r="F3293" t="s">
        <v>63530</v>
      </c>
      <c r="G3293" t="s">
        <v>63531</v>
      </c>
      <c r="H3293" t="s">
        <v>63532</v>
      </c>
      <c r="I3293" t="s">
        <v>63533</v>
      </c>
      <c r="J3293" t="s">
        <v>63534</v>
      </c>
      <c r="K3293" t="s">
        <v>63535</v>
      </c>
      <c r="L3293" t="s">
        <v>63536</v>
      </c>
      <c r="M3293" t="s">
        <v>63537</v>
      </c>
      <c r="N3293">
        <f>-659.991901437007 -3.47569309849928 -529.184442225479</f>
        <v>-1192.6520367609851</v>
      </c>
      <c r="O3293">
        <f>-658.698457014497 -156.704415706233 -499.917936955527</f>
        <v>-1315.3208096762569</v>
      </c>
      <c r="P3293">
        <f>-633.854744891553 -172.489919193368 -219.361043257309</f>
        <v>-1025.70570734223</v>
      </c>
      <c r="Q3293">
        <f>-445.242349044168 -91.7683969497809 -328.255308696273</f>
        <v>-865.26605469022195</v>
      </c>
      <c r="R3293" t="s">
        <v>63538</v>
      </c>
      <c r="S3293" t="s">
        <v>63539</v>
      </c>
      <c r="T3293" t="s">
        <v>63540</v>
      </c>
      <c r="U3293" t="s">
        <v>63541</v>
      </c>
      <c r="V3293">
        <f>-594.274441118317 -55.0468074023281 -93.0614705321012</f>
        <v>-742.38271905274632</v>
      </c>
      <c r="W3293" t="s">
        <v>63542</v>
      </c>
      <c r="X3293" t="s">
        <v>63543</v>
      </c>
      <c r="Y3293" t="s">
        <v>63544</v>
      </c>
    </row>
    <row r="3294" spans="1:25" x14ac:dyDescent="0.3">
      <c r="A3294">
        <v>164650</v>
      </c>
      <c r="B3294" t="s">
        <v>63545</v>
      </c>
      <c r="C3294" t="s">
        <v>63546</v>
      </c>
      <c r="D3294" t="s">
        <v>63547</v>
      </c>
      <c r="E3294" t="s">
        <v>63548</v>
      </c>
      <c r="F3294" t="s">
        <v>63549</v>
      </c>
      <c r="G3294" t="s">
        <v>63550</v>
      </c>
      <c r="H3294" t="s">
        <v>63551</v>
      </c>
      <c r="I3294" t="s">
        <v>63552</v>
      </c>
      <c r="J3294" t="s">
        <v>63553</v>
      </c>
      <c r="K3294" t="s">
        <v>63554</v>
      </c>
      <c r="L3294" t="s">
        <v>63555</v>
      </c>
      <c r="M3294" t="s">
        <v>63556</v>
      </c>
      <c r="N3294">
        <f>-659.729462223804 -3.62889636623595 -529.213819979356</f>
        <v>-1192.5721785693959</v>
      </c>
      <c r="O3294">
        <f>-658.389492900799 -156.870893242429 -500.022291589371</f>
        <v>-1315.282677732599</v>
      </c>
      <c r="P3294">
        <f>-635.040793409086 -172.656025196505 -219.336926472428</f>
        <v>-1027.0337450780189</v>
      </c>
      <c r="Q3294">
        <f>-445.273062779899 -92.6840014499069 -326.767053642787</f>
        <v>-864.72411787259296</v>
      </c>
      <c r="R3294" t="s">
        <v>63557</v>
      </c>
      <c r="S3294" t="s">
        <v>63558</v>
      </c>
      <c r="T3294" t="s">
        <v>63559</v>
      </c>
      <c r="U3294" t="s">
        <v>63560</v>
      </c>
      <c r="V3294">
        <f>-594.159480221937 -55.2742180728712 -93.0704435343511</f>
        <v>-742.50414182915927</v>
      </c>
      <c r="W3294" t="s">
        <v>63561</v>
      </c>
      <c r="X3294" t="s">
        <v>63562</v>
      </c>
      <c r="Y3294" t="s">
        <v>63563</v>
      </c>
    </row>
    <row r="3295" spans="1:25" x14ac:dyDescent="0.3">
      <c r="A3295">
        <v>164700</v>
      </c>
      <c r="B3295" t="s">
        <v>63564</v>
      </c>
      <c r="C3295" t="s">
        <v>63565</v>
      </c>
      <c r="D3295" t="s">
        <v>63566</v>
      </c>
      <c r="E3295" t="s">
        <v>63567</v>
      </c>
      <c r="F3295" t="s">
        <v>63568</v>
      </c>
      <c r="G3295" t="s">
        <v>63569</v>
      </c>
      <c r="H3295" t="s">
        <v>63570</v>
      </c>
      <c r="I3295" t="s">
        <v>63571</v>
      </c>
      <c r="J3295" t="s">
        <v>63572</v>
      </c>
      <c r="K3295" t="s">
        <v>63573</v>
      </c>
      <c r="L3295" t="s">
        <v>63574</v>
      </c>
      <c r="M3295" t="s">
        <v>63575</v>
      </c>
      <c r="N3295">
        <f>-659.104899610473 -3.93097373975775 -529.313063093973</f>
        <v>-1192.3489364442039</v>
      </c>
      <c r="O3295">
        <f>-657.981482294043 -157.187032144637 -500.188155074357</f>
        <v>-1315.3566695130369</v>
      </c>
      <c r="P3295">
        <f>-637.928902913267 -172.35751961898 -219.214216834166</f>
        <v>-1029.500639366413</v>
      </c>
      <c r="Q3295">
        <f>-445.807090043925 -94.0890034472716 -323.673493888652</f>
        <v>-863.5695873798486</v>
      </c>
      <c r="R3295" t="s">
        <v>63576</v>
      </c>
      <c r="S3295" t="s">
        <v>63577</v>
      </c>
      <c r="T3295" t="s">
        <v>63578</v>
      </c>
      <c r="U3295" t="s">
        <v>63579</v>
      </c>
      <c r="V3295">
        <f>-594.102906245096 -55.7237408147555 -93.0958405240574</f>
        <v>-742.92248758390895</v>
      </c>
      <c r="W3295" t="s">
        <v>63580</v>
      </c>
      <c r="X3295" t="s">
        <v>63581</v>
      </c>
      <c r="Y3295" t="s">
        <v>63582</v>
      </c>
    </row>
    <row r="3296" spans="1:25" x14ac:dyDescent="0.3">
      <c r="A3296">
        <v>164750</v>
      </c>
      <c r="B3296" t="s">
        <v>63583</v>
      </c>
      <c r="C3296" t="s">
        <v>63584</v>
      </c>
      <c r="D3296" t="s">
        <v>63585</v>
      </c>
      <c r="E3296" t="s">
        <v>63586</v>
      </c>
      <c r="F3296" t="s">
        <v>63587</v>
      </c>
      <c r="G3296" t="s">
        <v>63588</v>
      </c>
      <c r="H3296" t="s">
        <v>63589</v>
      </c>
      <c r="I3296" t="s">
        <v>63590</v>
      </c>
      <c r="J3296" t="s">
        <v>63591</v>
      </c>
      <c r="K3296" t="s">
        <v>63592</v>
      </c>
      <c r="L3296" t="s">
        <v>63593</v>
      </c>
      <c r="M3296" t="s">
        <v>63594</v>
      </c>
      <c r="N3296">
        <f>-658.730503304669 -4.22985703473 -529.36662186132</f>
        <v>-1192.3269822007192</v>
      </c>
      <c r="O3296">
        <f>-657.812532245039 -157.474842181187 -500.197906653121</f>
        <v>-1315.485281079347</v>
      </c>
      <c r="P3296">
        <f>-639.198123294954 -172.630127385886 -219.124236382846</f>
        <v>-1030.952487063686</v>
      </c>
      <c r="Q3296">
        <f>-446.120045919808 -94.7654785754919 -322.112304097164</f>
        <v>-862.99782859246397</v>
      </c>
      <c r="R3296" t="s">
        <v>63595</v>
      </c>
      <c r="S3296" t="s">
        <v>63596</v>
      </c>
      <c r="T3296" t="s">
        <v>63597</v>
      </c>
      <c r="U3296" t="s">
        <v>63598</v>
      </c>
      <c r="V3296">
        <f>-594.122473009237 -56.0547578002424 -93.1095572914787</f>
        <v>-743.28678810095812</v>
      </c>
      <c r="W3296" t="s">
        <v>63599</v>
      </c>
      <c r="X3296" t="s">
        <v>63600</v>
      </c>
      <c r="Y3296" t="s">
        <v>63601</v>
      </c>
    </row>
    <row r="3297" spans="1:25" x14ac:dyDescent="0.3">
      <c r="A3297">
        <v>164800</v>
      </c>
      <c r="B3297" t="s">
        <v>63602</v>
      </c>
      <c r="C3297" t="s">
        <v>63603</v>
      </c>
      <c r="D3297" t="s">
        <v>63604</v>
      </c>
      <c r="E3297" t="s">
        <v>63605</v>
      </c>
      <c r="F3297" t="s">
        <v>63606</v>
      </c>
      <c r="G3297" t="s">
        <v>63607</v>
      </c>
      <c r="H3297" t="s">
        <v>63608</v>
      </c>
      <c r="I3297" t="s">
        <v>63609</v>
      </c>
      <c r="J3297" t="s">
        <v>63610</v>
      </c>
      <c r="K3297" t="s">
        <v>63611</v>
      </c>
      <c r="L3297" t="s">
        <v>63612</v>
      </c>
      <c r="M3297" t="s">
        <v>63613</v>
      </c>
      <c r="N3297">
        <f>-658.020086867973 -5.15576126348878 -529.509350540463</f>
        <v>-1192.6851986719248</v>
      </c>
      <c r="O3297">
        <f>-657.52661113524 -158.393306589752 -500.253041884317</f>
        <v>-1316.1729596093091</v>
      </c>
      <c r="P3297">
        <f>-641.096665784633 -172.953513371137 -219.01175933648</f>
        <v>-1033.06193849225</v>
      </c>
      <c r="Q3297">
        <f>-446.48299971492 -95.721078737683 -319.556306881965</f>
        <v>-861.7603853345679</v>
      </c>
      <c r="R3297" t="s">
        <v>63614</v>
      </c>
      <c r="S3297" t="s">
        <v>63615</v>
      </c>
      <c r="T3297" t="s">
        <v>63616</v>
      </c>
      <c r="U3297" t="s">
        <v>63617</v>
      </c>
      <c r="V3297">
        <f>-594.407144949805 -56.9751289237163 -93.157414881163</f>
        <v>-744.53968875468433</v>
      </c>
      <c r="W3297" t="s">
        <v>63618</v>
      </c>
      <c r="X3297" t="s">
        <v>63619</v>
      </c>
      <c r="Y3297" t="s">
        <v>63620</v>
      </c>
    </row>
    <row r="3298" spans="1:25" x14ac:dyDescent="0.3">
      <c r="A3298">
        <v>164850</v>
      </c>
      <c r="B3298" t="s">
        <v>63621</v>
      </c>
      <c r="C3298" t="s">
        <v>63622</v>
      </c>
      <c r="D3298" t="s">
        <v>63623</v>
      </c>
      <c r="E3298" t="s">
        <v>63624</v>
      </c>
      <c r="F3298" t="s">
        <v>63625</v>
      </c>
      <c r="G3298" t="s">
        <v>63626</v>
      </c>
      <c r="H3298" t="s">
        <v>63627</v>
      </c>
      <c r="I3298" t="s">
        <v>63628</v>
      </c>
      <c r="J3298" t="s">
        <v>63629</v>
      </c>
      <c r="K3298" t="s">
        <v>63630</v>
      </c>
      <c r="L3298" t="s">
        <v>63631</v>
      </c>
      <c r="M3298" t="s">
        <v>63632</v>
      </c>
      <c r="N3298">
        <f>-658.037960172129 -6.13039883794022 -529.568138319617</f>
        <v>-1193.7364973296862</v>
      </c>
      <c r="O3298">
        <f>-657.912392488654 -159.335044290577 -500.128723580636</f>
        <v>-1317.3761603598668</v>
      </c>
      <c r="P3298">
        <f>-641.949362019279 -172.828034313178 -218.807498013931</f>
        <v>-1033.584894346388</v>
      </c>
      <c r="Q3298">
        <f>-446.228730478725 -95.8744810669766 -317.397985008701</f>
        <v>-859.50119655440267</v>
      </c>
      <c r="R3298" t="s">
        <v>63633</v>
      </c>
      <c r="S3298" t="s">
        <v>63634</v>
      </c>
      <c r="T3298" t="s">
        <v>63635</v>
      </c>
      <c r="U3298" t="s">
        <v>63636</v>
      </c>
      <c r="V3298">
        <f>-594.808227603366 -57.9240523906133 -93.1976975997829</f>
        <v>-745.92997759376226</v>
      </c>
      <c r="W3298" t="s">
        <v>63637</v>
      </c>
      <c r="X3298" t="s">
        <v>63638</v>
      </c>
      <c r="Y3298" t="s">
        <v>63639</v>
      </c>
    </row>
    <row r="3299" spans="1:25" x14ac:dyDescent="0.3">
      <c r="A3299">
        <v>164900</v>
      </c>
      <c r="B3299" t="s">
        <v>63640</v>
      </c>
      <c r="C3299" t="s">
        <v>63641</v>
      </c>
      <c r="D3299" t="s">
        <v>63642</v>
      </c>
      <c r="E3299" t="s">
        <v>63643</v>
      </c>
      <c r="F3299" t="s">
        <v>63644</v>
      </c>
      <c r="G3299" t="s">
        <v>63645</v>
      </c>
      <c r="H3299" t="s">
        <v>63646</v>
      </c>
      <c r="I3299" t="s">
        <v>63647</v>
      </c>
      <c r="J3299" t="s">
        <v>63648</v>
      </c>
      <c r="K3299" t="s">
        <v>63649</v>
      </c>
      <c r="L3299" t="s">
        <v>63650</v>
      </c>
      <c r="M3299" t="s">
        <v>63651</v>
      </c>
      <c r="N3299">
        <f>-658.042437902352 -6.58517325192406 -529.625423440436</f>
        <v>-1194.2530345947121</v>
      </c>
      <c r="O3299">
        <f>-657.959062768682 -159.77892054177 -500.138982502814</f>
        <v>-1317.876965813266</v>
      </c>
      <c r="P3299">
        <f>-642.082119545003 -173.403058729303 -218.819000269217</f>
        <v>-1034.304178543523</v>
      </c>
      <c r="Q3299">
        <f>-446.080327074357 -96.0589206393913 -316.541689365888</f>
        <v>-858.68093707963635</v>
      </c>
      <c r="R3299" t="s">
        <v>63652</v>
      </c>
      <c r="S3299" t="s">
        <v>63653</v>
      </c>
      <c r="T3299" t="s">
        <v>63654</v>
      </c>
      <c r="U3299" t="s">
        <v>63655</v>
      </c>
      <c r="V3299">
        <f>-595.027956040247 -58.376650087549 -93.2206346110886</f>
        <v>-746.6252407388846</v>
      </c>
      <c r="W3299" t="s">
        <v>63656</v>
      </c>
      <c r="X3299" t="s">
        <v>63657</v>
      </c>
      <c r="Y3299" t="s">
        <v>63658</v>
      </c>
    </row>
    <row r="3300" spans="1:25" x14ac:dyDescent="0.3">
      <c r="A3300">
        <v>164950</v>
      </c>
      <c r="B3300" t="s">
        <v>63659</v>
      </c>
      <c r="C3300" t="s">
        <v>63660</v>
      </c>
      <c r="D3300" t="s">
        <v>63661</v>
      </c>
      <c r="E3300" t="s">
        <v>63662</v>
      </c>
      <c r="F3300" t="s">
        <v>63663</v>
      </c>
      <c r="G3300" t="s">
        <v>63664</v>
      </c>
      <c r="H3300" t="s">
        <v>63665</v>
      </c>
      <c r="I3300" t="s">
        <v>63666</v>
      </c>
      <c r="J3300" t="s">
        <v>63667</v>
      </c>
      <c r="K3300" t="s">
        <v>63668</v>
      </c>
      <c r="L3300" t="s">
        <v>63669</v>
      </c>
      <c r="M3300" t="s">
        <v>63670</v>
      </c>
      <c r="N3300">
        <f>-658.083533753808 -6.97581323221675 -529.698145160041</f>
        <v>-1194.7574921460657</v>
      </c>
      <c r="O3300">
        <f>-657.953831941367 -160.170927914665 -500.202171124825</f>
        <v>-1318.326930980857</v>
      </c>
      <c r="P3300">
        <f>-642.267708320033 -173.616609281237 -218.86289452499</f>
        <v>-1034.7472121262599</v>
      </c>
      <c r="Q3300">
        <f>-445.934620472136 -96.2775215734798 -315.921985708916</f>
        <v>-858.13412775453185</v>
      </c>
      <c r="R3300" t="s">
        <v>63671</v>
      </c>
      <c r="S3300" t="s">
        <v>63672</v>
      </c>
      <c r="T3300" t="s">
        <v>63673</v>
      </c>
      <c r="U3300" t="s">
        <v>63674</v>
      </c>
      <c r="V3300">
        <f>-595.210992830074 -58.7630634230634 -93.2555108314313</f>
        <v>-747.22956708456866</v>
      </c>
      <c r="W3300" t="s">
        <v>63675</v>
      </c>
      <c r="X3300" t="s">
        <v>63676</v>
      </c>
      <c r="Y3300" t="s">
        <v>63677</v>
      </c>
    </row>
    <row r="3301" spans="1:25" x14ac:dyDescent="0.3">
      <c r="A3301">
        <v>165000</v>
      </c>
      <c r="B3301" t="s">
        <v>63678</v>
      </c>
      <c r="C3301" t="s">
        <v>63679</v>
      </c>
      <c r="D3301" t="s">
        <v>63680</v>
      </c>
      <c r="E3301" t="s">
        <v>63681</v>
      </c>
      <c r="F3301" t="s">
        <v>63682</v>
      </c>
      <c r="G3301" t="s">
        <v>63683</v>
      </c>
      <c r="H3301" t="s">
        <v>63684</v>
      </c>
      <c r="I3301" t="s">
        <v>63685</v>
      </c>
      <c r="J3301" t="s">
        <v>63686</v>
      </c>
      <c r="K3301" t="s">
        <v>63687</v>
      </c>
      <c r="L3301" t="s">
        <v>63688</v>
      </c>
      <c r="M3301" t="s">
        <v>63689</v>
      </c>
      <c r="N3301">
        <f>-658.209962312744 -7.40682495056171 -529.821270195987</f>
        <v>-1195.4380574592928</v>
      </c>
      <c r="O3301">
        <f>-657.79379763698 -160.599758397686 -500.311167262274</f>
        <v>-1318.7047232969401</v>
      </c>
      <c r="P3301">
        <f>-642.844949416512 -173.575517825161 -218.909705249748</f>
        <v>-1035.3301724914211</v>
      </c>
      <c r="Q3301">
        <f>-445.413181440111 -96.810862369382 -314.180117664078</f>
        <v>-856.40416147357098</v>
      </c>
      <c r="R3301" t="s">
        <v>63690</v>
      </c>
      <c r="S3301" t="s">
        <v>63691</v>
      </c>
      <c r="T3301" t="s">
        <v>63692</v>
      </c>
      <c r="U3301" t="s">
        <v>63693</v>
      </c>
      <c r="V3301">
        <f>-595.46377259418 -59.2114327780905 -93.3128287067144</f>
        <v>-747.98803407898492</v>
      </c>
      <c r="W3301" t="s">
        <v>63694</v>
      </c>
      <c r="X3301" t="s">
        <v>63695</v>
      </c>
      <c r="Y3301" t="s">
        <v>63696</v>
      </c>
    </row>
    <row r="3302" spans="1:25" x14ac:dyDescent="0.3">
      <c r="A3302">
        <v>165050</v>
      </c>
      <c r="B3302" t="s">
        <v>63697</v>
      </c>
      <c r="C3302" t="s">
        <v>63698</v>
      </c>
      <c r="D3302" t="s">
        <v>63699</v>
      </c>
      <c r="E3302" t="s">
        <v>63700</v>
      </c>
      <c r="F3302" t="s">
        <v>63701</v>
      </c>
      <c r="G3302" t="s">
        <v>63702</v>
      </c>
      <c r="H3302" t="s">
        <v>63703</v>
      </c>
      <c r="I3302" t="s">
        <v>63704</v>
      </c>
      <c r="J3302" t="s">
        <v>63705</v>
      </c>
      <c r="K3302" t="s">
        <v>63706</v>
      </c>
      <c r="L3302" t="s">
        <v>63707</v>
      </c>
      <c r="M3302" t="s">
        <v>63708</v>
      </c>
      <c r="N3302">
        <f>-658.291834102767 -7.54109448187364 -529.876588700373</f>
        <v>-1195.7095172850136</v>
      </c>
      <c r="O3302">
        <f>-657.643496283535 -160.743669229171 -500.417004330611</f>
        <v>-1318.8041698433171</v>
      </c>
      <c r="P3302">
        <f>-643.432290895875 -173.643984444889 -218.973892741406</f>
        <v>-1036.0501680821701</v>
      </c>
      <c r="Q3302">
        <f>-445.385866069046 -97.0971138392415 -313.137010424156</f>
        <v>-855.61999033244342</v>
      </c>
      <c r="R3302" t="s">
        <v>63709</v>
      </c>
      <c r="S3302" t="s">
        <v>63710</v>
      </c>
      <c r="T3302" t="s">
        <v>63711</v>
      </c>
      <c r="U3302" t="s">
        <v>63712</v>
      </c>
      <c r="V3302">
        <f>-595.533886505743 -59.3562027271835 -93.3285928454983</f>
        <v>-748.21868207842476</v>
      </c>
      <c r="W3302" t="s">
        <v>63713</v>
      </c>
      <c r="X3302" t="s">
        <v>63714</v>
      </c>
      <c r="Y3302" t="s">
        <v>63715</v>
      </c>
    </row>
    <row r="3303" spans="1:25" x14ac:dyDescent="0.3">
      <c r="A3303">
        <v>165100</v>
      </c>
      <c r="B3303" t="s">
        <v>63716</v>
      </c>
      <c r="C3303" t="s">
        <v>63717</v>
      </c>
      <c r="D3303" t="s">
        <v>63718</v>
      </c>
      <c r="E3303" t="s">
        <v>63719</v>
      </c>
      <c r="F3303" t="s">
        <v>63720</v>
      </c>
      <c r="G3303" t="s">
        <v>63721</v>
      </c>
      <c r="H3303" t="s">
        <v>63722</v>
      </c>
      <c r="I3303" t="s">
        <v>63723</v>
      </c>
      <c r="J3303" t="s">
        <v>63724</v>
      </c>
      <c r="K3303" t="s">
        <v>63725</v>
      </c>
      <c r="L3303" t="s">
        <v>63726</v>
      </c>
      <c r="M3303" t="s">
        <v>63727</v>
      </c>
      <c r="N3303">
        <f>-658.056568476179 -7.700536017084 -530.023136013787</f>
        <v>-1195.7802405070502</v>
      </c>
      <c r="O3303">
        <f>-657.027998209407 -160.926786971506 -500.73937176658</f>
        <v>-1318.694156947493</v>
      </c>
      <c r="P3303">
        <f>-644.216618494068 -173.650493886071 -219.220990727283</f>
        <v>-1037.0881031074221</v>
      </c>
      <c r="Q3303">
        <f>-445.055171049879 -97.5988703982364 -311.413195858932</f>
        <v>-854.06723730704744</v>
      </c>
      <c r="R3303" t="s">
        <v>63728</v>
      </c>
      <c r="S3303" t="s">
        <v>63729</v>
      </c>
      <c r="T3303" t="s">
        <v>63730</v>
      </c>
      <c r="U3303" t="s">
        <v>63731</v>
      </c>
      <c r="V3303">
        <f>-595.734642666454 -59.5174593769198 -93.3559450907226</f>
        <v>-748.6080471340963</v>
      </c>
      <c r="W3303" t="s">
        <v>63732</v>
      </c>
      <c r="X3303" t="s">
        <v>63733</v>
      </c>
      <c r="Y3303" t="s">
        <v>63734</v>
      </c>
    </row>
    <row r="3304" spans="1:25" x14ac:dyDescent="0.3">
      <c r="A3304">
        <v>165150</v>
      </c>
      <c r="B3304" t="s">
        <v>63735</v>
      </c>
      <c r="C3304" t="s">
        <v>63736</v>
      </c>
      <c r="D3304" t="s">
        <v>63737</v>
      </c>
      <c r="E3304" t="s">
        <v>63738</v>
      </c>
      <c r="F3304" t="s">
        <v>63739</v>
      </c>
      <c r="G3304" t="s">
        <v>63740</v>
      </c>
      <c r="H3304" t="s">
        <v>63741</v>
      </c>
      <c r="I3304" t="s">
        <v>63742</v>
      </c>
      <c r="J3304" t="s">
        <v>63743</v>
      </c>
      <c r="K3304" t="s">
        <v>63744</v>
      </c>
      <c r="L3304" t="s">
        <v>63745</v>
      </c>
      <c r="M3304" t="s">
        <v>63746</v>
      </c>
      <c r="N3304">
        <f>-657.83524571345 -7.94003123088351 -530.070474364281</f>
        <v>-1195.8457513086146</v>
      </c>
      <c r="O3304">
        <f>-656.630424471047 -161.168726145179 -500.822743484344</f>
        <v>-1318.62189410057</v>
      </c>
      <c r="P3304">
        <f>-644.380930502901 -173.862504665814 -219.278128513429</f>
        <v>-1037.521563682144</v>
      </c>
      <c r="Q3304">
        <f>-444.866682265937 -97.944303371688 -310.814983106647</f>
        <v>-853.62596874427197</v>
      </c>
      <c r="R3304" t="s">
        <v>63747</v>
      </c>
      <c r="S3304" t="s">
        <v>63748</v>
      </c>
      <c r="T3304" t="s">
        <v>63749</v>
      </c>
      <c r="U3304" t="s">
        <v>63750</v>
      </c>
      <c r="V3304">
        <f>-595.864543196514 -59.5595683798813 -93.3583198460568</f>
        <v>-748.78243142245208</v>
      </c>
      <c r="W3304" t="s">
        <v>63751</v>
      </c>
      <c r="X3304" t="s">
        <v>63752</v>
      </c>
      <c r="Y3304" t="s">
        <v>63753</v>
      </c>
    </row>
    <row r="3305" spans="1:25" x14ac:dyDescent="0.3">
      <c r="A3305">
        <v>165200</v>
      </c>
      <c r="B3305" t="s">
        <v>63754</v>
      </c>
      <c r="C3305" t="s">
        <v>63755</v>
      </c>
      <c r="D3305" t="s">
        <v>63756</v>
      </c>
      <c r="E3305" t="s">
        <v>63757</v>
      </c>
      <c r="F3305" t="s">
        <v>63758</v>
      </c>
      <c r="G3305" t="s">
        <v>63759</v>
      </c>
      <c r="H3305" t="s">
        <v>63760</v>
      </c>
      <c r="I3305" t="s">
        <v>63761</v>
      </c>
      <c r="J3305" t="s">
        <v>63762</v>
      </c>
      <c r="K3305" t="s">
        <v>63763</v>
      </c>
      <c r="L3305" t="s">
        <v>63764</v>
      </c>
      <c r="M3305" t="s">
        <v>63765</v>
      </c>
      <c r="N3305">
        <f>-657.663267582796 -8.45690404912216 -530.11603705579</f>
        <v>-1196.2362086877083</v>
      </c>
      <c r="O3305">
        <f>-656.139809835351 -161.683615897048 -500.817542688261</f>
        <v>-1318.6409684206601</v>
      </c>
      <c r="P3305">
        <f>-644.614849739646 -174.43605586451 -219.244956841813</f>
        <v>-1038.2958624459691</v>
      </c>
      <c r="Q3305">
        <f>-444.629460562964 -98.936045320791 -310.097253035745</f>
        <v>-853.66275891949999</v>
      </c>
      <c r="R3305" t="s">
        <v>63766</v>
      </c>
      <c r="S3305" t="s">
        <v>63767</v>
      </c>
      <c r="T3305" t="s">
        <v>63768</v>
      </c>
      <c r="U3305" t="s">
        <v>63769</v>
      </c>
      <c r="V3305">
        <f>-596.051913919507 -59.6111472350099 -93.3699402994221</f>
        <v>-749.03300145393894</v>
      </c>
      <c r="W3305" t="s">
        <v>63770</v>
      </c>
      <c r="X3305" t="s">
        <v>63771</v>
      </c>
      <c r="Y3305" t="s">
        <v>63772</v>
      </c>
    </row>
    <row r="3306" spans="1:25" x14ac:dyDescent="0.3">
      <c r="A3306">
        <v>165250</v>
      </c>
      <c r="B3306" t="s">
        <v>63773</v>
      </c>
      <c r="C3306" t="s">
        <v>63774</v>
      </c>
      <c r="D3306" t="s">
        <v>63775</v>
      </c>
      <c r="E3306" t="s">
        <v>63776</v>
      </c>
      <c r="F3306" t="s">
        <v>63777</v>
      </c>
      <c r="G3306" t="s">
        <v>63778</v>
      </c>
      <c r="H3306" t="s">
        <v>63779</v>
      </c>
      <c r="I3306" t="s">
        <v>63780</v>
      </c>
      <c r="J3306" t="s">
        <v>63781</v>
      </c>
      <c r="K3306" t="s">
        <v>63782</v>
      </c>
      <c r="L3306" t="s">
        <v>63783</v>
      </c>
      <c r="M3306" t="s">
        <v>63784</v>
      </c>
      <c r="N3306">
        <f>-657.745393920219 -8.72371616990517 -530.150883465346</f>
        <v>-1196.6199935554703</v>
      </c>
      <c r="O3306">
        <f>-656.133378363397 -161.941309673267 -500.816485973977</f>
        <v>-1318.891174010641</v>
      </c>
      <c r="P3306">
        <f>-644.585459379554 -174.443063775064 -219.233716800529</f>
        <v>-1038.2622399551469</v>
      </c>
      <c r="Q3306">
        <f>-444.262447501199 -99.524699816661 -309.822998680329</f>
        <v>-853.61014599818895</v>
      </c>
      <c r="R3306" t="s">
        <v>63785</v>
      </c>
      <c r="S3306" t="s">
        <v>63786</v>
      </c>
      <c r="T3306" t="s">
        <v>63787</v>
      </c>
      <c r="U3306" t="s">
        <v>63788</v>
      </c>
      <c r="V3306">
        <f>-596.160538617336 -59.6789108281905 -93.3765863593298</f>
        <v>-749.21603580485635</v>
      </c>
      <c r="W3306" t="s">
        <v>63789</v>
      </c>
      <c r="X3306" t="s">
        <v>63790</v>
      </c>
      <c r="Y3306" t="s">
        <v>63791</v>
      </c>
    </row>
    <row r="3307" spans="1:25" x14ac:dyDescent="0.3">
      <c r="A3307">
        <v>165300</v>
      </c>
      <c r="B3307" t="s">
        <v>63792</v>
      </c>
      <c r="C3307" t="s">
        <v>63793</v>
      </c>
      <c r="D3307" t="s">
        <v>63794</v>
      </c>
      <c r="E3307" t="s">
        <v>63795</v>
      </c>
      <c r="F3307" t="s">
        <v>63796</v>
      </c>
      <c r="G3307" t="s">
        <v>63797</v>
      </c>
      <c r="H3307" t="s">
        <v>63798</v>
      </c>
      <c r="I3307" t="s">
        <v>63799</v>
      </c>
      <c r="J3307" t="s">
        <v>63800</v>
      </c>
      <c r="K3307" t="s">
        <v>63801</v>
      </c>
      <c r="L3307" t="s">
        <v>63802</v>
      </c>
      <c r="M3307" t="s">
        <v>63803</v>
      </c>
      <c r="N3307">
        <f>-658.347469601382 -9.41534918825323 -530.085714763629</f>
        <v>-1197.8485335532641</v>
      </c>
      <c r="O3307">
        <f>-656.499184379437 -162.591846312122 -500.589400569347</f>
        <v>-1319.6804312609061</v>
      </c>
      <c r="P3307">
        <f>-644.488063743756 -174.709900985885 -219.009091519445</f>
        <v>-1038.207056249086</v>
      </c>
      <c r="Q3307">
        <f>-443.546016413392 -100.860784884878 -309.104321429667</f>
        <v>-853.51112272793694</v>
      </c>
      <c r="R3307" t="s">
        <v>63804</v>
      </c>
      <c r="S3307" t="s">
        <v>63805</v>
      </c>
      <c r="T3307" t="s">
        <v>63806</v>
      </c>
      <c r="U3307" t="s">
        <v>63807</v>
      </c>
      <c r="V3307">
        <f>-596.416399808511 -59.8751001358969 -93.3855822172759</f>
        <v>-749.67708216168376</v>
      </c>
      <c r="W3307" t="s">
        <v>63808</v>
      </c>
      <c r="X3307" t="s">
        <v>63809</v>
      </c>
      <c r="Y3307" t="s">
        <v>63810</v>
      </c>
    </row>
    <row r="3308" spans="1:25" x14ac:dyDescent="0.3">
      <c r="A3308">
        <v>165350</v>
      </c>
      <c r="B3308" t="s">
        <v>63811</v>
      </c>
      <c r="C3308" t="s">
        <v>63812</v>
      </c>
      <c r="D3308" t="s">
        <v>63813</v>
      </c>
      <c r="E3308" t="s">
        <v>63814</v>
      </c>
      <c r="F3308" t="s">
        <v>63815</v>
      </c>
      <c r="G3308" t="s">
        <v>63816</v>
      </c>
      <c r="H3308" t="s">
        <v>63817</v>
      </c>
      <c r="I3308" t="s">
        <v>63818</v>
      </c>
      <c r="J3308" t="s">
        <v>63819</v>
      </c>
      <c r="K3308" t="s">
        <v>63820</v>
      </c>
      <c r="L3308" t="s">
        <v>63821</v>
      </c>
      <c r="M3308" t="s">
        <v>63822</v>
      </c>
      <c r="N3308">
        <f>-658.882459752045 -9.76038899246078 -530.045646496854</f>
        <v>-1198.6884952413598</v>
      </c>
      <c r="O3308">
        <f>-656.910480856221 -162.922138037825 -500.448816521289</f>
        <v>-1320.2814354153352</v>
      </c>
      <c r="P3308">
        <f>-644.594300611498 -174.840015563366 -218.873057471297</f>
        <v>-1038.3073736461611</v>
      </c>
      <c r="Q3308">
        <f>-443.311613992088 -101.509347710125 -308.630924604358</f>
        <v>-853.45188630657094</v>
      </c>
      <c r="R3308" t="s">
        <v>63823</v>
      </c>
      <c r="S3308" t="s">
        <v>63824</v>
      </c>
      <c r="T3308" t="s">
        <v>63825</v>
      </c>
      <c r="U3308" t="s">
        <v>63826</v>
      </c>
      <c r="V3308">
        <f>-596.60297188603 -59.9873139861386 -93.4019815824502</f>
        <v>-749.99226745461874</v>
      </c>
      <c r="W3308" t="s">
        <v>63827</v>
      </c>
      <c r="X3308" t="s">
        <v>63828</v>
      </c>
      <c r="Y3308" t="s">
        <v>63829</v>
      </c>
    </row>
    <row r="3309" spans="1:25" x14ac:dyDescent="0.3">
      <c r="A3309">
        <v>165400</v>
      </c>
      <c r="B3309" t="s">
        <v>63830</v>
      </c>
      <c r="C3309" t="s">
        <v>63831</v>
      </c>
      <c r="D3309" t="s">
        <v>63832</v>
      </c>
      <c r="E3309" t="s">
        <v>63833</v>
      </c>
      <c r="F3309" t="s">
        <v>63834</v>
      </c>
      <c r="G3309" t="s">
        <v>63835</v>
      </c>
      <c r="H3309" t="s">
        <v>63836</v>
      </c>
      <c r="I3309" t="s">
        <v>63837</v>
      </c>
      <c r="J3309" t="s">
        <v>63838</v>
      </c>
      <c r="K3309" t="s">
        <v>63839</v>
      </c>
      <c r="L3309" t="s">
        <v>63840</v>
      </c>
      <c r="M3309" t="s">
        <v>63841</v>
      </c>
      <c r="N3309">
        <f>-660.223596442204 -10.5456059199778 -529.941127916106</f>
        <v>-1200.7103302782878</v>
      </c>
      <c r="O3309">
        <f>-658.038688752945 -163.657267802051 -500.140121359403</f>
        <v>-1321.8360779143991</v>
      </c>
      <c r="P3309">
        <f>-644.991032212263 -174.910073877943 -218.569992141269</f>
        <v>-1038.471098231475</v>
      </c>
      <c r="Q3309">
        <f>-443.21048538234 -102.366469034705 -307.847824743785</f>
        <v>-853.42477916082998</v>
      </c>
      <c r="R3309" t="s">
        <v>63842</v>
      </c>
      <c r="S3309" t="s">
        <v>63843</v>
      </c>
      <c r="T3309" t="s">
        <v>63844</v>
      </c>
      <c r="U3309" t="s">
        <v>63845</v>
      </c>
      <c r="V3309">
        <f>-596.968717108472 -60.2038018361368 -93.4329723276553</f>
        <v>-750.60549127226409</v>
      </c>
      <c r="W3309" t="s">
        <v>63846</v>
      </c>
      <c r="X3309" t="s">
        <v>63847</v>
      </c>
      <c r="Y3309" t="s">
        <v>63848</v>
      </c>
    </row>
    <row r="3310" spans="1:25" x14ac:dyDescent="0.3">
      <c r="A3310">
        <v>165450</v>
      </c>
      <c r="B3310" t="s">
        <v>63849</v>
      </c>
      <c r="C3310" t="s">
        <v>63850</v>
      </c>
      <c r="D3310" t="s">
        <v>63851</v>
      </c>
      <c r="E3310" t="s">
        <v>63852</v>
      </c>
      <c r="F3310" t="s">
        <v>63853</v>
      </c>
      <c r="G3310" t="s">
        <v>63854</v>
      </c>
      <c r="H3310" t="s">
        <v>63855</v>
      </c>
      <c r="I3310" t="s">
        <v>63856</v>
      </c>
      <c r="J3310" t="s">
        <v>63857</v>
      </c>
      <c r="K3310" t="s">
        <v>63858</v>
      </c>
      <c r="L3310" t="s">
        <v>63859</v>
      </c>
      <c r="M3310" t="s">
        <v>63860</v>
      </c>
      <c r="N3310">
        <f>-660.769051980929 -10.9427006770297 -529.875475679396</f>
        <v>-1201.5872283373546</v>
      </c>
      <c r="O3310">
        <f>-658.45114569127 -164.036919134699 -499.963958879426</f>
        <v>-1322.452023705395</v>
      </c>
      <c r="P3310">
        <f>-645.462587281636 -174.986528682427 -218.379128611989</f>
        <v>-1038.8282445760519</v>
      </c>
      <c r="Q3310">
        <f>-443.450266417796 -102.578012134439 -307.241825527065</f>
        <v>-853.27010407929993</v>
      </c>
      <c r="R3310" t="s">
        <v>63861</v>
      </c>
      <c r="S3310" t="s">
        <v>63862</v>
      </c>
      <c r="T3310" t="s">
        <v>63863</v>
      </c>
      <c r="U3310" t="s">
        <v>63864</v>
      </c>
      <c r="V3310">
        <f>-597.109423070536 -60.2716900665048 -93.4407546974753</f>
        <v>-750.82186783451607</v>
      </c>
      <c r="W3310" t="s">
        <v>63865</v>
      </c>
      <c r="X3310" t="s">
        <v>63866</v>
      </c>
      <c r="Y3310" t="s">
        <v>63867</v>
      </c>
    </row>
    <row r="3311" spans="1:25" x14ac:dyDescent="0.3">
      <c r="A3311">
        <v>165500</v>
      </c>
      <c r="B3311" t="s">
        <v>63868</v>
      </c>
      <c r="C3311" t="s">
        <v>63869</v>
      </c>
      <c r="D3311" t="s">
        <v>63870</v>
      </c>
      <c r="E3311" t="s">
        <v>63871</v>
      </c>
      <c r="F3311" t="s">
        <v>63872</v>
      </c>
      <c r="G3311" t="s">
        <v>63873</v>
      </c>
      <c r="H3311" t="s">
        <v>63874</v>
      </c>
      <c r="I3311" t="s">
        <v>63875</v>
      </c>
      <c r="J3311" t="s">
        <v>63876</v>
      </c>
      <c r="K3311" t="s">
        <v>63877</v>
      </c>
      <c r="L3311" t="s">
        <v>63878</v>
      </c>
      <c r="M3311" t="s">
        <v>63879</v>
      </c>
      <c r="N3311">
        <f>-661.617944564234 -11.5693944742388 -529.817318726461</f>
        <v>-1203.0046577649339</v>
      </c>
      <c r="O3311">
        <f>-659.093364643942 -164.640398352431 -499.769538747914</f>
        <v>-1323.503301744287</v>
      </c>
      <c r="P3311">
        <f>-646.933130159635 -175.045887571464 -218.127262011019</f>
        <v>-1040.106279742118</v>
      </c>
      <c r="Q3311">
        <f>-444.476778080289 -102.157836045404 -305.576176394805</f>
        <v>-852.21079052049799</v>
      </c>
      <c r="R3311" t="s">
        <v>63880</v>
      </c>
      <c r="S3311" t="s">
        <v>63881</v>
      </c>
      <c r="T3311" t="s">
        <v>63882</v>
      </c>
      <c r="U3311" t="s">
        <v>63883</v>
      </c>
      <c r="V3311">
        <f>-597.446882599396 -60.3934345774051 -93.4917855275144</f>
        <v>-751.33210270431539</v>
      </c>
      <c r="W3311" t="s">
        <v>63884</v>
      </c>
      <c r="X3311" t="s">
        <v>63885</v>
      </c>
      <c r="Y3311" t="s">
        <v>63886</v>
      </c>
    </row>
    <row r="3312" spans="1:25" x14ac:dyDescent="0.3">
      <c r="A3312">
        <v>165550</v>
      </c>
      <c r="B3312" t="s">
        <v>63887</v>
      </c>
      <c r="C3312" t="s">
        <v>63888</v>
      </c>
      <c r="D3312" t="s">
        <v>63889</v>
      </c>
      <c r="E3312" t="s">
        <v>63890</v>
      </c>
      <c r="F3312" t="s">
        <v>63891</v>
      </c>
      <c r="G3312" t="s">
        <v>63892</v>
      </c>
      <c r="H3312" t="s">
        <v>63893</v>
      </c>
      <c r="I3312" t="s">
        <v>63894</v>
      </c>
      <c r="J3312" t="s">
        <v>63895</v>
      </c>
      <c r="K3312" t="s">
        <v>63896</v>
      </c>
      <c r="L3312" t="s">
        <v>63897</v>
      </c>
      <c r="M3312" t="s">
        <v>63898</v>
      </c>
      <c r="N3312">
        <f>-662.176208771054 -11.8178269380733 -529.77464144532</f>
        <v>-1203.7686771544472</v>
      </c>
      <c r="O3312">
        <f>-659.594558790222 -164.876800189622 -499.687607736179</f>
        <v>-1324.1589667160231</v>
      </c>
      <c r="P3312">
        <f>-647.98709010904 -175.202961952188 -218.01891114494</f>
        <v>-1041.2089632061679</v>
      </c>
      <c r="Q3312">
        <f>-445.393971807579 -101.678200969608 -304.613941769187</f>
        <v>-851.68611454637403</v>
      </c>
      <c r="R3312" t="s">
        <v>63899</v>
      </c>
      <c r="S3312" t="s">
        <v>63900</v>
      </c>
      <c r="T3312" t="s">
        <v>63901</v>
      </c>
      <c r="U3312" t="s">
        <v>63902</v>
      </c>
      <c r="V3312">
        <f>-597.669105571858 -60.4066094068489 -93.5077074773494</f>
        <v>-751.58342245605638</v>
      </c>
      <c r="W3312" t="s">
        <v>63903</v>
      </c>
      <c r="X3312" t="s">
        <v>63904</v>
      </c>
      <c r="Y3312" t="s">
        <v>63905</v>
      </c>
    </row>
    <row r="3313" spans="1:25" x14ac:dyDescent="0.3">
      <c r="A3313">
        <v>165600</v>
      </c>
      <c r="B3313" t="s">
        <v>63906</v>
      </c>
      <c r="C3313" t="s">
        <v>63907</v>
      </c>
      <c r="D3313" t="s">
        <v>63908</v>
      </c>
      <c r="E3313" t="s">
        <v>63909</v>
      </c>
      <c r="F3313" t="s">
        <v>63910</v>
      </c>
      <c r="G3313" t="s">
        <v>63911</v>
      </c>
      <c r="H3313" t="s">
        <v>63912</v>
      </c>
      <c r="I3313" t="s">
        <v>63913</v>
      </c>
      <c r="J3313" t="s">
        <v>63914</v>
      </c>
      <c r="K3313" t="s">
        <v>63915</v>
      </c>
      <c r="L3313" t="s">
        <v>63916</v>
      </c>
      <c r="M3313" t="s">
        <v>63917</v>
      </c>
      <c r="N3313">
        <f>-663.636056906427 -12.146762827367 -529.670027111703</f>
        <v>-1205.4528468454969</v>
      </c>
      <c r="O3313">
        <f>-660.850941331275 -165.211014929846 -499.623451763704</f>
        <v>-1325.6854080248249</v>
      </c>
      <c r="P3313">
        <f>-650.781981179739 -175.425893599218 -217.891616603496</f>
        <v>-1044.0994913824529</v>
      </c>
      <c r="Q3313">
        <f>-447.733033988097 -100.782868621135 -302.437888505543</f>
        <v>-850.95379111477507</v>
      </c>
      <c r="R3313" t="s">
        <v>63918</v>
      </c>
      <c r="S3313" t="s">
        <v>63919</v>
      </c>
      <c r="T3313" t="s">
        <v>63920</v>
      </c>
      <c r="U3313" t="s">
        <v>63921</v>
      </c>
      <c r="V3313">
        <f>-598.27048834587 -60.3724574371497 -93.5157512458029</f>
        <v>-752.15869702882264</v>
      </c>
      <c r="W3313" t="s">
        <v>63922</v>
      </c>
      <c r="X3313" t="s">
        <v>63923</v>
      </c>
      <c r="Y3313" t="s">
        <v>63924</v>
      </c>
    </row>
    <row r="3314" spans="1:25" x14ac:dyDescent="0.3">
      <c r="A3314">
        <v>165650</v>
      </c>
      <c r="B3314" t="s">
        <v>63925</v>
      </c>
      <c r="C3314" t="s">
        <v>63926</v>
      </c>
      <c r="D3314" t="s">
        <v>63927</v>
      </c>
      <c r="E3314" t="s">
        <v>63928</v>
      </c>
      <c r="F3314" t="s">
        <v>63929</v>
      </c>
      <c r="G3314" t="s">
        <v>63930</v>
      </c>
      <c r="H3314" t="s">
        <v>63931</v>
      </c>
      <c r="I3314" t="s">
        <v>63932</v>
      </c>
      <c r="J3314" t="s">
        <v>63933</v>
      </c>
      <c r="K3314" t="s">
        <v>63934</v>
      </c>
      <c r="L3314" t="s">
        <v>63935</v>
      </c>
      <c r="M3314" t="s">
        <v>63936</v>
      </c>
      <c r="N3314">
        <f>-664.460232154454 -12.3396439198075 -529.597543943974</f>
        <v>-1206.3974200182356</v>
      </c>
      <c r="O3314">
        <f>-661.358558078673 -165.393378339498 -499.561797969512</f>
        <v>-1326.3137343876829</v>
      </c>
      <c r="P3314">
        <f>-652.749256890665 -175.732805738657 -217.786059235589</f>
        <v>-1046.2681218649111</v>
      </c>
      <c r="Q3314">
        <f>-449.26485332366 -100.949894222184 -301.153464462504</f>
        <v>-851.36821200834811</v>
      </c>
      <c r="R3314" t="s">
        <v>63937</v>
      </c>
      <c r="S3314" t="s">
        <v>63938</v>
      </c>
      <c r="T3314" t="s">
        <v>63939</v>
      </c>
      <c r="U3314" t="s">
        <v>63940</v>
      </c>
      <c r="V3314">
        <f>-598.588170874343 -60.3321912040547 -93.5152248396686</f>
        <v>-752.43558691806618</v>
      </c>
      <c r="W3314" t="s">
        <v>63941</v>
      </c>
      <c r="X3314" t="s">
        <v>63942</v>
      </c>
      <c r="Y3314" t="s">
        <v>63943</v>
      </c>
    </row>
    <row r="3315" spans="1:25" x14ac:dyDescent="0.3">
      <c r="A3315">
        <v>165700</v>
      </c>
      <c r="B3315" t="s">
        <v>63944</v>
      </c>
      <c r="C3315" t="s">
        <v>63945</v>
      </c>
      <c r="D3315" t="s">
        <v>63946</v>
      </c>
      <c r="E3315" t="s">
        <v>63947</v>
      </c>
      <c r="F3315" t="s">
        <v>63948</v>
      </c>
      <c r="G3315" t="s">
        <v>63949</v>
      </c>
      <c r="H3315" t="s">
        <v>63950</v>
      </c>
      <c r="I3315" t="s">
        <v>63951</v>
      </c>
      <c r="J3315" t="s">
        <v>63952</v>
      </c>
      <c r="K3315" t="s">
        <v>63953</v>
      </c>
      <c r="L3315" t="s">
        <v>63954</v>
      </c>
      <c r="M3315" t="s">
        <v>63955</v>
      </c>
      <c r="N3315">
        <f>-665.684243057229 -12.6278579622356 -529.440829515893</f>
        <v>-1207.7529305353576</v>
      </c>
      <c r="O3315">
        <f>-662.133990150516 -165.709815926443 -499.589534265694</f>
        <v>-1327.4333403426531</v>
      </c>
      <c r="P3315">
        <f>-656.441597056464 -176.49176013653 -217.756416789582</f>
        <v>-1050.6897739825761</v>
      </c>
      <c r="Q3315">
        <f>-452.084678123391 -101.969032520562 -299.20051271018</f>
        <v>-853.25422335413305</v>
      </c>
      <c r="R3315" t="s">
        <v>63956</v>
      </c>
      <c r="S3315" t="s">
        <v>63957</v>
      </c>
      <c r="T3315" t="s">
        <v>63958</v>
      </c>
      <c r="U3315" t="s">
        <v>63959</v>
      </c>
      <c r="V3315">
        <f>-598.933877164225 -60.1165832802676 -93.4560538436465</f>
        <v>-752.5065142881391</v>
      </c>
      <c r="W3315" t="s">
        <v>63960</v>
      </c>
      <c r="X3315" t="s">
        <v>63961</v>
      </c>
      <c r="Y3315" t="s">
        <v>63962</v>
      </c>
    </row>
    <row r="3316" spans="1:25" x14ac:dyDescent="0.3">
      <c r="A3316">
        <v>165750</v>
      </c>
      <c r="B3316" t="s">
        <v>63963</v>
      </c>
      <c r="C3316" t="s">
        <v>63964</v>
      </c>
      <c r="D3316" t="s">
        <v>63965</v>
      </c>
      <c r="E3316" t="s">
        <v>63966</v>
      </c>
      <c r="F3316" t="s">
        <v>63967</v>
      </c>
      <c r="G3316" t="s">
        <v>63968</v>
      </c>
      <c r="H3316" t="s">
        <v>63969</v>
      </c>
      <c r="I3316" t="s">
        <v>63970</v>
      </c>
      <c r="J3316" t="s">
        <v>63971</v>
      </c>
      <c r="K3316" t="s">
        <v>63972</v>
      </c>
      <c r="L3316" t="s">
        <v>63973</v>
      </c>
      <c r="M3316" t="s">
        <v>63974</v>
      </c>
      <c r="N3316">
        <f>-666.066307205441 -12.6937797751734 -529.359769944111</f>
        <v>-1208.1198569247254</v>
      </c>
      <c r="O3316">
        <f>-662.444798226576 -165.811666511231 -499.703011507022</f>
        <v>-1327.9594762448291</v>
      </c>
      <c r="P3316">
        <f>-657.887897066621 -176.730620300778 -217.854485365292</f>
        <v>-1052.4730027326909</v>
      </c>
      <c r="Q3316">
        <f>-453.16526846041 -102.135590088079 -298.307940759275</f>
        <v>-853.608799307764</v>
      </c>
      <c r="R3316" t="s">
        <v>63975</v>
      </c>
      <c r="S3316" t="s">
        <v>63976</v>
      </c>
      <c r="T3316" t="s">
        <v>63977</v>
      </c>
      <c r="U3316" t="s">
        <v>63978</v>
      </c>
      <c r="V3316">
        <f>-599.014486497046 -60.048266877835 -93.4021226472157</f>
        <v>-752.46487602209675</v>
      </c>
      <c r="W3316" t="s">
        <v>63979</v>
      </c>
      <c r="X3316" t="s">
        <v>63980</v>
      </c>
      <c r="Y3316" t="s">
        <v>63981</v>
      </c>
    </row>
    <row r="3317" spans="1:25" x14ac:dyDescent="0.3">
      <c r="A3317">
        <v>165800</v>
      </c>
      <c r="B3317" t="s">
        <v>63982</v>
      </c>
      <c r="C3317" t="s">
        <v>63983</v>
      </c>
      <c r="D3317" t="s">
        <v>63984</v>
      </c>
      <c r="E3317" t="s">
        <v>63985</v>
      </c>
      <c r="F3317" t="s">
        <v>63986</v>
      </c>
      <c r="G3317" t="s">
        <v>63987</v>
      </c>
      <c r="H3317" t="s">
        <v>63988</v>
      </c>
      <c r="I3317" t="s">
        <v>63989</v>
      </c>
      <c r="J3317" t="s">
        <v>63990</v>
      </c>
      <c r="K3317" t="s">
        <v>63991</v>
      </c>
      <c r="L3317" t="s">
        <v>63992</v>
      </c>
      <c r="M3317" t="s">
        <v>63993</v>
      </c>
      <c r="N3317">
        <f>-667.103397677948 -13.2151981836755 -529.071816113327</f>
        <v>-1209.3904119749504</v>
      </c>
      <c r="O3317">
        <f>-663.267066294811 -166.338734731896 -499.494390881541</f>
        <v>-1329.100191908248</v>
      </c>
      <c r="P3317">
        <f>-660.770695955996 -177.32983377629 -217.622808643779</f>
        <v>-1055.7233383760649</v>
      </c>
      <c r="Q3317">
        <f>-455.560873968956 -102.133382895702 -296.254848148873</f>
        <v>-853.94910501353093</v>
      </c>
      <c r="R3317" t="s">
        <v>63994</v>
      </c>
      <c r="S3317" t="s">
        <v>63995</v>
      </c>
      <c r="T3317" t="s">
        <v>63996</v>
      </c>
      <c r="U3317" t="s">
        <v>63997</v>
      </c>
      <c r="V3317">
        <f>-599.28036324074 -60.147435567221 -93.261937840014</f>
        <v>-752.689736647975</v>
      </c>
      <c r="W3317" t="s">
        <v>63998</v>
      </c>
      <c r="X3317" t="s">
        <v>63999</v>
      </c>
      <c r="Y3317" t="s">
        <v>64000</v>
      </c>
    </row>
    <row r="3318" spans="1:25" x14ac:dyDescent="0.3">
      <c r="A3318">
        <v>165850</v>
      </c>
      <c r="B3318" t="s">
        <v>64001</v>
      </c>
      <c r="C3318" t="s">
        <v>64002</v>
      </c>
      <c r="D3318" t="s">
        <v>64003</v>
      </c>
      <c r="E3318" t="s">
        <v>64004</v>
      </c>
      <c r="F3318" t="s">
        <v>64005</v>
      </c>
      <c r="G3318" t="s">
        <v>64006</v>
      </c>
      <c r="H3318" t="s">
        <v>64007</v>
      </c>
      <c r="I3318" t="s">
        <v>64008</v>
      </c>
      <c r="J3318" t="s">
        <v>64009</v>
      </c>
      <c r="K3318" t="s">
        <v>64010</v>
      </c>
      <c r="L3318" t="s">
        <v>64011</v>
      </c>
      <c r="M3318" t="s">
        <v>64012</v>
      </c>
      <c r="N3318">
        <f>-667.614534021284 -13.3537063274407 -528.943299396279</f>
        <v>-1209.9115397450037</v>
      </c>
      <c r="O3318">
        <f>-663.696951925887 -166.475244630431 -499.373404931304</f>
        <v>-1329.545601487622</v>
      </c>
      <c r="P3318">
        <f>-662.113654344671 -177.342358077155 -217.490538517843</f>
        <v>-1056.9465509396691</v>
      </c>
      <c r="Q3318">
        <f>-456.723313261131 -101.715454463716 -295.233176452115</f>
        <v>-853.67194417696203</v>
      </c>
      <c r="R3318" t="s">
        <v>64013</v>
      </c>
      <c r="S3318" t="s">
        <v>64014</v>
      </c>
      <c r="T3318" t="s">
        <v>64015</v>
      </c>
      <c r="U3318" t="s">
        <v>64016</v>
      </c>
      <c r="V3318">
        <f>-599.464598522297 -60.1762164341335 -93.2138058195478</f>
        <v>-752.85462077597833</v>
      </c>
      <c r="W3318" t="s">
        <v>64017</v>
      </c>
      <c r="X3318" t="s">
        <v>64018</v>
      </c>
      <c r="Y3318" t="s">
        <v>64019</v>
      </c>
    </row>
    <row r="3319" spans="1:25" x14ac:dyDescent="0.3">
      <c r="A3319">
        <v>165900</v>
      </c>
      <c r="B3319" t="s">
        <v>64020</v>
      </c>
      <c r="C3319" t="s">
        <v>64021</v>
      </c>
      <c r="D3319" t="s">
        <v>64022</v>
      </c>
      <c r="E3319" t="s">
        <v>64023</v>
      </c>
      <c r="F3319" t="s">
        <v>64024</v>
      </c>
      <c r="G3319" t="s">
        <v>64025</v>
      </c>
      <c r="H3319" t="s">
        <v>64026</v>
      </c>
      <c r="I3319" t="s">
        <v>64027</v>
      </c>
      <c r="J3319" t="s">
        <v>64028</v>
      </c>
      <c r="K3319" t="s">
        <v>64029</v>
      </c>
      <c r="L3319" t="s">
        <v>64030</v>
      </c>
      <c r="M3319" t="s">
        <v>64031</v>
      </c>
      <c r="N3319">
        <f>-668.292738815393 -13.7252659558244 -528.778819361148</f>
        <v>-1210.7968241323654</v>
      </c>
      <c r="O3319">
        <f>-664.054228420562 -166.843988493132 -499.221062933274</f>
        <v>-1330.1192798469681</v>
      </c>
      <c r="P3319">
        <f>-664.720477642654 -177.265817180286 -217.317624091168</f>
        <v>-1059.3039189141082</v>
      </c>
      <c r="Q3319">
        <f>-458.570098503512 -101.621398733904 -293.004547178763</f>
        <v>-853.19604441617901</v>
      </c>
      <c r="R3319" t="s">
        <v>64032</v>
      </c>
      <c r="S3319" t="s">
        <v>64033</v>
      </c>
      <c r="T3319" t="s">
        <v>64034</v>
      </c>
      <c r="U3319" t="s">
        <v>64035</v>
      </c>
      <c r="V3319">
        <f>-599.962406668481 -60.2735888421673 -93.1626335364534</f>
        <v>-753.39862904710174</v>
      </c>
      <c r="W3319" t="s">
        <v>64036</v>
      </c>
      <c r="X3319" t="s">
        <v>64037</v>
      </c>
      <c r="Y3319" t="s">
        <v>64038</v>
      </c>
    </row>
    <row r="3320" spans="1:25" x14ac:dyDescent="0.3">
      <c r="A3320">
        <v>165950</v>
      </c>
      <c r="B3320" t="s">
        <v>64039</v>
      </c>
      <c r="C3320" t="s">
        <v>64040</v>
      </c>
      <c r="D3320" t="s">
        <v>64041</v>
      </c>
      <c r="E3320" t="s">
        <v>64042</v>
      </c>
      <c r="F3320" t="s">
        <v>64043</v>
      </c>
      <c r="G3320" t="s">
        <v>64044</v>
      </c>
      <c r="H3320" t="s">
        <v>64045</v>
      </c>
      <c r="I3320" t="s">
        <v>64046</v>
      </c>
      <c r="J3320" t="s">
        <v>64047</v>
      </c>
      <c r="K3320" t="s">
        <v>64048</v>
      </c>
      <c r="L3320" t="s">
        <v>64049</v>
      </c>
      <c r="M3320" t="s">
        <v>64050</v>
      </c>
      <c r="N3320">
        <f>-668.495311695138 -13.9204442283071 -528.709306723748</f>
        <v>-1211.1250626471931</v>
      </c>
      <c r="O3320">
        <f>-664.235216901421 -167.125434816017 -499.56390391904</f>
        <v>-1330.9245556364781</v>
      </c>
      <c r="P3320">
        <f>-666.59812784541 -178.253732389394 -217.696584077651</f>
        <v>-1062.5484443124551</v>
      </c>
      <c r="Q3320">
        <f>-459.50697185445 -102.495056804993 -290.651277533638</f>
        <v>-852.65330619308099</v>
      </c>
      <c r="R3320" t="s">
        <v>64051</v>
      </c>
      <c r="S3320" t="s">
        <v>64052</v>
      </c>
      <c r="T3320" t="s">
        <v>64053</v>
      </c>
      <c r="U3320" t="s">
        <v>64054</v>
      </c>
      <c r="V3320">
        <f>-600.407749300226 -60.3170697532855 -93.1196806568075</f>
        <v>-753.84449971031904</v>
      </c>
      <c r="W3320" t="s">
        <v>64055</v>
      </c>
      <c r="X3320" t="s">
        <v>64056</v>
      </c>
      <c r="Y3320" t="s">
        <v>64057</v>
      </c>
    </row>
    <row r="3321" spans="1:25" x14ac:dyDescent="0.3">
      <c r="A3321">
        <v>166000</v>
      </c>
      <c r="B3321" t="s">
        <v>64058</v>
      </c>
      <c r="C3321" t="s">
        <v>64059</v>
      </c>
      <c r="D3321" t="s">
        <v>64060</v>
      </c>
      <c r="E3321" t="s">
        <v>64061</v>
      </c>
      <c r="F3321" t="s">
        <v>64062</v>
      </c>
      <c r="G3321" t="s">
        <v>64063</v>
      </c>
      <c r="H3321" t="s">
        <v>64064</v>
      </c>
      <c r="I3321" t="s">
        <v>64065</v>
      </c>
      <c r="J3321" t="s">
        <v>64066</v>
      </c>
      <c r="K3321" t="s">
        <v>64067</v>
      </c>
      <c r="L3321" t="s">
        <v>64068</v>
      </c>
      <c r="M3321" t="s">
        <v>64069</v>
      </c>
      <c r="N3321">
        <f>-668.973848835836 -13.8428512272824 -528.644874116136</f>
        <v>-1211.4615741792543</v>
      </c>
      <c r="O3321">
        <f>-664.73303468998 -167.089321556093 -499.732006267539</f>
        <v>-1331.554362513612</v>
      </c>
      <c r="P3321">
        <f>-667.420247563723 -178.372733381368 -217.873759701718</f>
        <v>-1063.6667406468091</v>
      </c>
      <c r="Q3321">
        <f>-459.542116267159 -102.782354498705 -288.735054952614</f>
        <v>-851.05952571847797</v>
      </c>
      <c r="R3321" t="s">
        <v>64070</v>
      </c>
      <c r="S3321" t="s">
        <v>64071</v>
      </c>
      <c r="T3321" t="s">
        <v>64072</v>
      </c>
      <c r="U3321" t="s">
        <v>64073</v>
      </c>
      <c r="V3321">
        <f>-600.610682319366 -60.3038732972436 -93.0813890899061</f>
        <v>-753.99594470651573</v>
      </c>
      <c r="W3321" t="s">
        <v>64074</v>
      </c>
      <c r="X3321" t="s">
        <v>64075</v>
      </c>
      <c r="Y3321" t="s">
        <v>64076</v>
      </c>
    </row>
    <row r="3322" spans="1:25" x14ac:dyDescent="0.3">
      <c r="A3322">
        <v>166050</v>
      </c>
      <c r="B3322" t="s">
        <v>64077</v>
      </c>
      <c r="C3322" t="s">
        <v>64078</v>
      </c>
      <c r="D3322" t="s">
        <v>64079</v>
      </c>
      <c r="E3322" t="s">
        <v>64080</v>
      </c>
      <c r="F3322" t="s">
        <v>64081</v>
      </c>
      <c r="G3322" t="s">
        <v>64082</v>
      </c>
      <c r="H3322" t="s">
        <v>64083</v>
      </c>
      <c r="I3322" t="s">
        <v>64084</v>
      </c>
      <c r="J3322" t="s">
        <v>64085</v>
      </c>
      <c r="K3322" t="s">
        <v>64086</v>
      </c>
      <c r="L3322" t="s">
        <v>64087</v>
      </c>
      <c r="M3322" t="s">
        <v>64088</v>
      </c>
      <c r="N3322">
        <f>-669.724715698721 -13.7320660857399 -528.566970861435</f>
        <v>-1212.0237526458959</v>
      </c>
      <c r="O3322">
        <f>-665.47091072028 -167.028851832019 -499.90355564791</f>
        <v>-1332.403318200209</v>
      </c>
      <c r="P3322">
        <f>-667.962268906223 -178.022708423863 -218.032097194662</f>
        <v>-1064.0170745247481</v>
      </c>
      <c r="Q3322">
        <f>-459.101921594689 -103.079237161348 -286.657189958167</f>
        <v>-848.83834871420402</v>
      </c>
      <c r="R3322" t="s">
        <v>64089</v>
      </c>
      <c r="S3322" t="s">
        <v>64090</v>
      </c>
      <c r="T3322" t="s">
        <v>64091</v>
      </c>
      <c r="U3322" t="s">
        <v>64092</v>
      </c>
      <c r="V3322">
        <f>-600.798261623867 -60.3349190708884 -93.0498848389781</f>
        <v>-754.1830655337335</v>
      </c>
      <c r="W3322" t="s">
        <v>64093</v>
      </c>
      <c r="X3322" t="s">
        <v>64094</v>
      </c>
      <c r="Y3322" t="s">
        <v>64095</v>
      </c>
    </row>
    <row r="3323" spans="1:25" x14ac:dyDescent="0.3">
      <c r="A3323">
        <v>166100</v>
      </c>
      <c r="B3323" t="s">
        <v>64096</v>
      </c>
      <c r="C3323" t="s">
        <v>64097</v>
      </c>
      <c r="D3323" t="s">
        <v>64098</v>
      </c>
      <c r="E3323" t="s">
        <v>64099</v>
      </c>
      <c r="F3323" t="s">
        <v>64100</v>
      </c>
      <c r="G3323" t="s">
        <v>64101</v>
      </c>
      <c r="H3323" t="s">
        <v>64102</v>
      </c>
      <c r="I3323" t="s">
        <v>64103</v>
      </c>
      <c r="J3323" t="s">
        <v>64104</v>
      </c>
      <c r="K3323" t="s">
        <v>64105</v>
      </c>
      <c r="L3323" t="s">
        <v>64106</v>
      </c>
      <c r="M3323" t="s">
        <v>64107</v>
      </c>
      <c r="N3323">
        <f>-671.611451232418 -13.6910098623398 -528.336246087453</f>
        <v>-1213.6387071822107</v>
      </c>
      <c r="O3323">
        <f>-666.898806372779 -167.060668139863 -500.219794749986</f>
        <v>-1334.1792692626279</v>
      </c>
      <c r="P3323">
        <f>-669.584491323867 -178.478176044059 -218.367002854845</f>
        <v>-1066.4296702227709</v>
      </c>
      <c r="Q3323">
        <f>-458.833284272297 -103.638608641948 -281.068631451379</f>
        <v>-843.54052436562404</v>
      </c>
      <c r="R3323" t="s">
        <v>64108</v>
      </c>
      <c r="S3323" t="s">
        <v>64109</v>
      </c>
      <c r="T3323" t="s">
        <v>64110</v>
      </c>
      <c r="U3323" t="s">
        <v>64111</v>
      </c>
      <c r="V3323">
        <f>-601.175634425011 -60.3645460175362 -93.0022532393299</f>
        <v>-754.54243368187713</v>
      </c>
      <c r="W3323" t="s">
        <v>64112</v>
      </c>
      <c r="X3323" t="s">
        <v>64113</v>
      </c>
      <c r="Y3323" t="s">
        <v>64114</v>
      </c>
    </row>
    <row r="3324" spans="1:25" x14ac:dyDescent="0.3">
      <c r="A3324">
        <v>166150</v>
      </c>
      <c r="B3324" t="s">
        <v>64115</v>
      </c>
      <c r="C3324" t="s">
        <v>64116</v>
      </c>
      <c r="D3324" t="s">
        <v>64117</v>
      </c>
      <c r="E3324" t="s">
        <v>64118</v>
      </c>
      <c r="F3324" t="s">
        <v>64119</v>
      </c>
      <c r="G3324" t="s">
        <v>64120</v>
      </c>
      <c r="H3324" t="s">
        <v>64121</v>
      </c>
      <c r="I3324" t="s">
        <v>64122</v>
      </c>
      <c r="J3324" t="s">
        <v>64123</v>
      </c>
      <c r="K3324" t="s">
        <v>64124</v>
      </c>
      <c r="L3324" t="s">
        <v>64125</v>
      </c>
      <c r="M3324" t="s">
        <v>64126</v>
      </c>
      <c r="N3324">
        <f>-672.542699739507 -13.560093133515 -528.254119662684</f>
        <v>-1214.3569125357062</v>
      </c>
      <c r="O3324">
        <f>-667.53172896507 -166.990998769517 -500.463168771541</f>
        <v>-1334.985896506128</v>
      </c>
      <c r="P3324">
        <f>-670.859807311202 -178.592070042328 -218.624623923457</f>
        <v>-1068.0765012769871</v>
      </c>
      <c r="Q3324">
        <f>-458.839498057282 -104.057272303992 -277.280352388877</f>
        <v>-840.17712275015106</v>
      </c>
      <c r="R3324" t="s">
        <v>64127</v>
      </c>
      <c r="S3324" t="s">
        <v>64128</v>
      </c>
      <c r="T3324" t="s">
        <v>64129</v>
      </c>
      <c r="U3324" t="s">
        <v>64130</v>
      </c>
      <c r="V3324">
        <f>-601.351859525453 -60.3553722308784 -92.9848955116947</f>
        <v>-754.69212726802618</v>
      </c>
      <c r="W3324" t="s">
        <v>64131</v>
      </c>
      <c r="X3324" t="s">
        <v>64132</v>
      </c>
      <c r="Y3324" t="s">
        <v>64133</v>
      </c>
    </row>
    <row r="3325" spans="1:25" x14ac:dyDescent="0.3">
      <c r="A3325">
        <v>166200</v>
      </c>
      <c r="B3325" t="s">
        <v>64134</v>
      </c>
      <c r="C3325" t="s">
        <v>64135</v>
      </c>
      <c r="D3325" t="s">
        <v>64136</v>
      </c>
      <c r="E3325" t="s">
        <v>64137</v>
      </c>
      <c r="F3325" t="s">
        <v>64138</v>
      </c>
      <c r="G3325" t="s">
        <v>64139</v>
      </c>
      <c r="H3325" t="s">
        <v>64140</v>
      </c>
      <c r="I3325" t="s">
        <v>64141</v>
      </c>
      <c r="J3325" t="s">
        <v>64142</v>
      </c>
      <c r="K3325" t="s">
        <v>64143</v>
      </c>
      <c r="L3325" t="s">
        <v>64144</v>
      </c>
      <c r="M3325" t="s">
        <v>64145</v>
      </c>
      <c r="N3325">
        <f>-674.090783235001 -12.9427723375236 -528.181373951837</f>
        <v>-1215.2149295243617</v>
      </c>
      <c r="O3325">
        <f>-668.132253173763 -166.451646481805 -501.057216135456</f>
        <v>-1335.641115791024</v>
      </c>
      <c r="P3325">
        <f>-674.72998093201 -177.967919656422 -219.272780301673</f>
        <v>-1071.9706808901051</v>
      </c>
      <c r="Q3325">
        <f>-459.856909470799 -104.95258835606 -268.738807378896</f>
        <v>-833.54830520575501</v>
      </c>
      <c r="R3325" t="s">
        <v>64146</v>
      </c>
      <c r="S3325" t="s">
        <v>64147</v>
      </c>
      <c r="T3325" t="s">
        <v>64148</v>
      </c>
      <c r="U3325" t="s">
        <v>64149</v>
      </c>
      <c r="V3325">
        <f>-601.691858943388 -60.3254698897715 -92.9333641986864</f>
        <v>-754.95069303184584</v>
      </c>
      <c r="W3325" t="s">
        <v>64150</v>
      </c>
      <c r="X3325" t="s">
        <v>64151</v>
      </c>
      <c r="Y3325" t="s">
        <v>64152</v>
      </c>
    </row>
    <row r="3326" spans="1:25" x14ac:dyDescent="0.3">
      <c r="A3326">
        <v>166250</v>
      </c>
      <c r="B3326" t="s">
        <v>64153</v>
      </c>
      <c r="C3326" t="s">
        <v>64154</v>
      </c>
      <c r="D3326" t="s">
        <v>64155</v>
      </c>
      <c r="E3326" t="s">
        <v>64156</v>
      </c>
      <c r="F3326" t="s">
        <v>64157</v>
      </c>
      <c r="G3326" t="s">
        <v>64158</v>
      </c>
      <c r="H3326" t="s">
        <v>64159</v>
      </c>
      <c r="I3326" t="s">
        <v>64160</v>
      </c>
      <c r="J3326" t="s">
        <v>64161</v>
      </c>
      <c r="K3326" t="s">
        <v>64162</v>
      </c>
      <c r="L3326" t="s">
        <v>64163</v>
      </c>
      <c r="M3326" t="s">
        <v>64164</v>
      </c>
      <c r="N3326">
        <f>-674.44617007803 -12.6359255732932 -528.217377349451</f>
        <v>-1215.2994730007742</v>
      </c>
      <c r="O3326">
        <f>-667.974404268604 -166.181450848419 -501.414733974873</f>
        <v>-1335.570589091896</v>
      </c>
      <c r="P3326">
        <f>-677.375410839253 -178.658122778832 -219.750940058031</f>
        <v>-1075.784473676116</v>
      </c>
      <c r="Q3326">
        <f>-460.792794893368 -107.155270235693 -263.65781148634</f>
        <v>-831.60587661540103</v>
      </c>
      <c r="R3326" t="s">
        <v>64165</v>
      </c>
      <c r="S3326" t="s">
        <v>64166</v>
      </c>
      <c r="T3326" t="s">
        <v>64167</v>
      </c>
      <c r="U3326" t="s">
        <v>64168</v>
      </c>
      <c r="V3326">
        <f>-601.811525125836 -60.3059665904282 -92.9264210836134</f>
        <v>-755.0439127998776</v>
      </c>
      <c r="W3326" t="s">
        <v>64169</v>
      </c>
      <c r="X3326" t="s">
        <v>64170</v>
      </c>
      <c r="Y3326" t="s">
        <v>64171</v>
      </c>
    </row>
    <row r="3327" spans="1:25" x14ac:dyDescent="0.3">
      <c r="A3327">
        <v>166300</v>
      </c>
      <c r="B3327" t="s">
        <v>64172</v>
      </c>
      <c r="C3327" t="s">
        <v>64173</v>
      </c>
      <c r="D3327" t="s">
        <v>64174</v>
      </c>
      <c r="E3327" t="s">
        <v>64175</v>
      </c>
      <c r="F3327" t="s">
        <v>64176</v>
      </c>
      <c r="G3327" t="s">
        <v>64177</v>
      </c>
      <c r="H3327" t="s">
        <v>64178</v>
      </c>
      <c r="I3327" t="s">
        <v>64179</v>
      </c>
      <c r="J3327" t="s">
        <v>64180</v>
      </c>
      <c r="K3327" t="s">
        <v>64181</v>
      </c>
      <c r="L3327" t="s">
        <v>64182</v>
      </c>
      <c r="M3327" t="s">
        <v>64183</v>
      </c>
      <c r="N3327">
        <f>-674.254987379473 -11.7672485003118 -528.457614923886</f>
        <v>-1214.4798508036708</v>
      </c>
      <c r="O3327">
        <f>-666.974147959871 -165.424708799943 -502.46699012512</f>
        <v>-1334.8658468849339</v>
      </c>
      <c r="P3327">
        <f>-682.948857321869 -180.862469486774 -221.246268745825</f>
        <v>-1085.057595554468</v>
      </c>
      <c r="Q3327">
        <f>-463.480249794865 -112.433873188371 -254.406343894052</f>
        <v>-830.32046687728803</v>
      </c>
      <c r="R3327" t="s">
        <v>64184</v>
      </c>
      <c r="S3327" t="s">
        <v>64185</v>
      </c>
      <c r="T3327" t="s">
        <v>64186</v>
      </c>
      <c r="U3327" t="s">
        <v>64187</v>
      </c>
      <c r="V3327">
        <f>-602.091883266324 -60.1430391185343 -92.9306209494715</f>
        <v>-755.16554333432975</v>
      </c>
      <c r="W3327" t="s">
        <v>64188</v>
      </c>
      <c r="X3327" t="s">
        <v>64189</v>
      </c>
      <c r="Y3327" t="s">
        <v>64190</v>
      </c>
    </row>
    <row r="3328" spans="1:25" x14ac:dyDescent="0.3">
      <c r="A3328">
        <v>166350</v>
      </c>
      <c r="B3328" t="s">
        <v>64191</v>
      </c>
      <c r="C3328" t="s">
        <v>64192</v>
      </c>
      <c r="D3328" t="s">
        <v>64193</v>
      </c>
      <c r="E3328" t="s">
        <v>64194</v>
      </c>
      <c r="F3328" t="s">
        <v>64195</v>
      </c>
      <c r="G3328" t="s">
        <v>64196</v>
      </c>
      <c r="H3328" t="s">
        <v>64197</v>
      </c>
      <c r="I3328" t="s">
        <v>64198</v>
      </c>
      <c r="J3328" t="s">
        <v>64199</v>
      </c>
      <c r="K3328" t="s">
        <v>64200</v>
      </c>
      <c r="L3328" t="s">
        <v>64201</v>
      </c>
      <c r="M3328" t="s">
        <v>64202</v>
      </c>
      <c r="N3328">
        <f>-673.763199680561 -11.3688423696883 -528.622467705259</f>
        <v>-1213.7545097555085</v>
      </c>
      <c r="O3328">
        <f>-666.203825817899 -165.066957765656 -502.950556709706</f>
        <v>-1334.2213402932609</v>
      </c>
      <c r="P3328">
        <f>-685.629971462853 -181.357731602141 -221.99527292227</f>
        <v>-1088.9829759872639</v>
      </c>
      <c r="Q3328">
        <f>-464.601803804554 -115.521732793101 -249.575824183061</f>
        <v>-829.69936078071601</v>
      </c>
      <c r="R3328" t="s">
        <v>64203</v>
      </c>
      <c r="S3328" t="s">
        <v>64204</v>
      </c>
      <c r="T3328" t="s">
        <v>64205</v>
      </c>
      <c r="U3328" t="s">
        <v>64206</v>
      </c>
      <c r="V3328">
        <f>-602.260887253621 -60.0939998736751 -92.9360537237224</f>
        <v>-755.29094085101849</v>
      </c>
      <c r="W3328" t="s">
        <v>64207</v>
      </c>
      <c r="X3328" t="s">
        <v>64208</v>
      </c>
      <c r="Y3328" t="s">
        <v>64209</v>
      </c>
    </row>
    <row r="3329" spans="1:25" x14ac:dyDescent="0.3">
      <c r="A3329">
        <v>166400</v>
      </c>
      <c r="B3329" t="s">
        <v>64210</v>
      </c>
      <c r="C3329" t="s">
        <v>64211</v>
      </c>
      <c r="D3329" t="s">
        <v>64212</v>
      </c>
      <c r="E3329" t="s">
        <v>64213</v>
      </c>
      <c r="F3329" t="s">
        <v>64214</v>
      </c>
      <c r="G3329" t="s">
        <v>64215</v>
      </c>
      <c r="H3329" t="s">
        <v>64216</v>
      </c>
      <c r="I3329" t="s">
        <v>64217</v>
      </c>
      <c r="J3329" t="s">
        <v>64218</v>
      </c>
      <c r="K3329" t="s">
        <v>64219</v>
      </c>
      <c r="L3329" t="s">
        <v>64220</v>
      </c>
      <c r="M3329" t="s">
        <v>64221</v>
      </c>
      <c r="N3329">
        <f>-672.513799297958 -11.0198268254358 -529.001846232972</f>
        <v>-1212.5354723563657</v>
      </c>
      <c r="O3329">
        <f>-665.069739192981 -164.799226262449 -503.819488346949</f>
        <v>-1333.6884538023792</v>
      </c>
      <c r="P3329">
        <f>-690.341118151148 -182.987870120193 -223.446413211677</f>
        <v>-1096.775401483018</v>
      </c>
      <c r="Q3329">
        <f>-466.828370876946 -121.936428181731 -239.673841351623</f>
        <v>-828.43864041029997</v>
      </c>
      <c r="R3329" t="s">
        <v>64222</v>
      </c>
      <c r="S3329" t="s">
        <v>64223</v>
      </c>
      <c r="T3329" t="s">
        <v>64224</v>
      </c>
      <c r="U3329" t="s">
        <v>64225</v>
      </c>
      <c r="V3329">
        <f>-602.831974088098 -60.2061341562608 -92.9754902089491</f>
        <v>-756.01359845330785</v>
      </c>
      <c r="W3329" t="s">
        <v>64226</v>
      </c>
      <c r="X3329" t="s">
        <v>64227</v>
      </c>
      <c r="Y3329" t="s">
        <v>64228</v>
      </c>
    </row>
    <row r="3330" spans="1:25" x14ac:dyDescent="0.3">
      <c r="A3330">
        <v>166450</v>
      </c>
      <c r="B3330" t="s">
        <v>64229</v>
      </c>
      <c r="C3330" t="s">
        <v>64230</v>
      </c>
      <c r="D3330" t="s">
        <v>64231</v>
      </c>
      <c r="E3330" t="s">
        <v>64232</v>
      </c>
      <c r="F3330" t="s">
        <v>64233</v>
      </c>
      <c r="G3330" t="s">
        <v>64234</v>
      </c>
      <c r="H3330" t="s">
        <v>64235</v>
      </c>
      <c r="I3330" t="s">
        <v>64236</v>
      </c>
      <c r="J3330" t="s">
        <v>64237</v>
      </c>
      <c r="K3330" t="s">
        <v>64238</v>
      </c>
      <c r="L3330" t="s">
        <v>64239</v>
      </c>
      <c r="M3330" t="s">
        <v>64240</v>
      </c>
      <c r="N3330">
        <f>-671.861416242344 -11.2874227167372 -529.290940035392</f>
        <v>-1212.4397789944733</v>
      </c>
      <c r="O3330">
        <f>-664.921581307968 -165.137181625756 -504.342527185196</f>
        <v>-1334.4012901189199</v>
      </c>
      <c r="P3330">
        <f>-695.116064056041 -183.671355856774 -224.479314995215</f>
        <v>-1103.26673490803</v>
      </c>
      <c r="Q3330">
        <f>-470.328967011786 -125.766309829904 -232.621134881923</f>
        <v>-828.71641172361308</v>
      </c>
      <c r="R3330" t="s">
        <v>64241</v>
      </c>
      <c r="S3330" t="s">
        <v>64242</v>
      </c>
      <c r="T3330" t="s">
        <v>64243</v>
      </c>
      <c r="U3330" t="s">
        <v>64244</v>
      </c>
      <c r="V3330">
        <f>-603.788351501867 -60.6157943674009 -93.0263340674636</f>
        <v>-757.43047993673156</v>
      </c>
      <c r="W3330" t="s">
        <v>64245</v>
      </c>
      <c r="X3330" t="s">
        <v>64246</v>
      </c>
      <c r="Y3330" t="s">
        <v>64247</v>
      </c>
    </row>
    <row r="3331" spans="1:25" x14ac:dyDescent="0.3">
      <c r="A3331">
        <v>166500</v>
      </c>
      <c r="B3331" t="s">
        <v>64248</v>
      </c>
      <c r="C3331" t="s">
        <v>64249</v>
      </c>
      <c r="D3331" t="s">
        <v>64250</v>
      </c>
      <c r="E3331" t="s">
        <v>64251</v>
      </c>
      <c r="F3331" t="s">
        <v>64252</v>
      </c>
      <c r="G3331" t="s">
        <v>64253</v>
      </c>
      <c r="H3331" t="s">
        <v>64254</v>
      </c>
      <c r="I3331" t="s">
        <v>64255</v>
      </c>
      <c r="J3331" t="s">
        <v>64256</v>
      </c>
      <c r="K3331" t="s">
        <v>64257</v>
      </c>
      <c r="L3331" t="s">
        <v>64258</v>
      </c>
      <c r="M3331" t="s">
        <v>64259</v>
      </c>
      <c r="N3331">
        <f>-671.532819165966 -11.4589727138539 -529.455236906879</f>
        <v>-1212.4470287866989</v>
      </c>
      <c r="O3331">
        <f>-665.307577986225 -165.375483993672 -504.708092669195</f>
        <v>-1335.3911546490922</v>
      </c>
      <c r="P3331">
        <f>-697.314691384918 -183.356264188327 -225.01033544403</f>
        <v>-1105.681291017275</v>
      </c>
      <c r="Q3331">
        <f>-472.157017178819 -126.547842931349 -230.045561509878</f>
        <v>-828.75042162004593</v>
      </c>
      <c r="R3331" t="s">
        <v>64260</v>
      </c>
      <c r="S3331" t="s">
        <v>64261</v>
      </c>
      <c r="T3331" t="s">
        <v>64262</v>
      </c>
      <c r="U3331" t="s">
        <v>64263</v>
      </c>
      <c r="V3331">
        <f>-604.348434915103 -60.9301736256923 -93.0646388660763</f>
        <v>-758.34324740687157</v>
      </c>
      <c r="W3331" t="s">
        <v>64264</v>
      </c>
      <c r="X3331" t="s">
        <v>64265</v>
      </c>
      <c r="Y3331" t="s">
        <v>64266</v>
      </c>
    </row>
    <row r="3332" spans="1:25" x14ac:dyDescent="0.3">
      <c r="A3332">
        <v>166550</v>
      </c>
      <c r="B3332" t="s">
        <v>64267</v>
      </c>
      <c r="C3332" t="s">
        <v>64268</v>
      </c>
      <c r="D3332" t="s">
        <v>64269</v>
      </c>
      <c r="E3332" t="s">
        <v>64270</v>
      </c>
      <c r="F3332" t="s">
        <v>64271</v>
      </c>
      <c r="G3332" t="s">
        <v>64272</v>
      </c>
      <c r="H3332" t="s">
        <v>64273</v>
      </c>
      <c r="I3332" t="s">
        <v>64274</v>
      </c>
      <c r="J3332" t="s">
        <v>64275</v>
      </c>
      <c r="K3332" t="s">
        <v>64276</v>
      </c>
      <c r="L3332" t="s">
        <v>64277</v>
      </c>
      <c r="M3332" t="s">
        <v>64278</v>
      </c>
      <c r="N3332">
        <f>-671.344957340326 -11.6634907721257 -529.637758824084</f>
        <v>-1212.6462069365357</v>
      </c>
      <c r="O3332">
        <f>-665.97657884682 -165.630032942845 -505.093062692614</f>
        <v>-1336.6996744822791</v>
      </c>
      <c r="P3332">
        <f>-699.113611789928 -183.217332885535 -225.501905354209</f>
        <v>-1107.832850029672</v>
      </c>
      <c r="Q3332">
        <f>-473.843510767653 -126.681209321493 -227.859133848405</f>
        <v>-828.38385393755107</v>
      </c>
      <c r="R3332" t="s">
        <v>64279</v>
      </c>
      <c r="S3332" t="s">
        <v>64280</v>
      </c>
      <c r="T3332" t="s">
        <v>64281</v>
      </c>
      <c r="U3332" t="s">
        <v>64282</v>
      </c>
      <c r="V3332">
        <f>-604.9799169937 -61.2793059830433 -93.1115130816258</f>
        <v>-759.37073605836918</v>
      </c>
      <c r="W3332" t="s">
        <v>64283</v>
      </c>
      <c r="X3332" t="s">
        <v>64284</v>
      </c>
      <c r="Y3332" t="s">
        <v>64285</v>
      </c>
    </row>
    <row r="3333" spans="1:25" x14ac:dyDescent="0.3">
      <c r="A3333">
        <v>166600</v>
      </c>
      <c r="B3333" t="s">
        <v>64286</v>
      </c>
      <c r="C3333" t="s">
        <v>64287</v>
      </c>
      <c r="D3333" t="s">
        <v>64288</v>
      </c>
      <c r="E3333" t="s">
        <v>64289</v>
      </c>
      <c r="F3333" t="s">
        <v>64290</v>
      </c>
      <c r="G3333" t="s">
        <v>64291</v>
      </c>
      <c r="H3333" t="s">
        <v>64292</v>
      </c>
      <c r="I3333" t="s">
        <v>64293</v>
      </c>
      <c r="J3333" t="s">
        <v>64294</v>
      </c>
      <c r="K3333" t="s">
        <v>64295</v>
      </c>
      <c r="L3333" t="s">
        <v>64296</v>
      </c>
      <c r="M3333" t="s">
        <v>64297</v>
      </c>
      <c r="N3333">
        <f>-671.091296913584 -12.9909133160209 -529.88069414387</f>
        <v>-1213.9629043734749</v>
      </c>
      <c r="O3333">
        <f>-667.237449483285 -166.988414916227 -505.292828336256</f>
        <v>-1339.5186927357679</v>
      </c>
      <c r="P3333">
        <f>-703.362860742722 -183.208871724598 -225.989341193063</f>
        <v>-1112.561073660383</v>
      </c>
      <c r="Q3333">
        <f>-478.14866245185 -126.411564530611 -227.057460446087</f>
        <v>-831.61768742854804</v>
      </c>
      <c r="R3333" t="s">
        <v>64298</v>
      </c>
      <c r="S3333" t="s">
        <v>64299</v>
      </c>
      <c r="T3333" t="s">
        <v>64300</v>
      </c>
      <c r="U3333" t="s">
        <v>64301</v>
      </c>
      <c r="V3333">
        <f>-606.308096970314 -62.4239220722 -93.220676680218</f>
        <v>-761.95269572273196</v>
      </c>
      <c r="W3333" t="s">
        <v>64302</v>
      </c>
      <c r="X3333" t="s">
        <v>64303</v>
      </c>
      <c r="Y3333" t="s">
        <v>64304</v>
      </c>
    </row>
    <row r="3334" spans="1:25" x14ac:dyDescent="0.3">
      <c r="A3334">
        <v>166650</v>
      </c>
      <c r="B3334" t="s">
        <v>64305</v>
      </c>
      <c r="C3334" t="s">
        <v>64306</v>
      </c>
      <c r="D3334" t="s">
        <v>64307</v>
      </c>
      <c r="E3334" t="s">
        <v>64308</v>
      </c>
      <c r="F3334" t="s">
        <v>64309</v>
      </c>
      <c r="G3334" t="s">
        <v>64310</v>
      </c>
      <c r="H3334" t="s">
        <v>64311</v>
      </c>
      <c r="I3334" t="s">
        <v>64312</v>
      </c>
      <c r="J3334" t="s">
        <v>64313</v>
      </c>
      <c r="K3334" t="s">
        <v>64314</v>
      </c>
      <c r="L3334" t="s">
        <v>64315</v>
      </c>
      <c r="M3334" t="s">
        <v>64316</v>
      </c>
      <c r="N3334">
        <f>-671.058767175606 -13.8231724733812 -530.009719277897</f>
        <v>-1214.8916589268842</v>
      </c>
      <c r="O3334">
        <f>-667.761046328429 -167.809075444552 -505.203426707462</f>
        <v>-1340.773548480443</v>
      </c>
      <c r="P3334">
        <f>-705.283436030018 -182.390733602972 -225.99388671997</f>
        <v>-1113.6680563529601</v>
      </c>
      <c r="Q3334">
        <f>-479.715681387162 -127.005026343672 -226.357151524427</f>
        <v>-833.07785925526093</v>
      </c>
      <c r="R3334" t="s">
        <v>64317</v>
      </c>
      <c r="S3334" t="s">
        <v>64318</v>
      </c>
      <c r="T3334" t="s">
        <v>64319</v>
      </c>
      <c r="U3334" t="s">
        <v>64320</v>
      </c>
      <c r="V3334">
        <f>-606.832957685927 -62.9819602192699 -93.2948892316883</f>
        <v>-763.10980713688525</v>
      </c>
      <c r="W3334" t="s">
        <v>64321</v>
      </c>
      <c r="X3334" t="s">
        <v>64322</v>
      </c>
      <c r="Y3334" t="s">
        <v>64323</v>
      </c>
    </row>
    <row r="3335" spans="1:25" x14ac:dyDescent="0.3">
      <c r="A3335">
        <v>166700</v>
      </c>
      <c r="B3335" t="s">
        <v>64324</v>
      </c>
      <c r="C3335" t="s">
        <v>64325</v>
      </c>
      <c r="D3335" t="s">
        <v>64326</v>
      </c>
      <c r="E3335" t="s">
        <v>64327</v>
      </c>
      <c r="F3335" t="s">
        <v>64328</v>
      </c>
      <c r="G3335" t="s">
        <v>64329</v>
      </c>
      <c r="H3335" t="s">
        <v>64330</v>
      </c>
      <c r="I3335" t="s">
        <v>64331</v>
      </c>
      <c r="J3335" t="s">
        <v>64332</v>
      </c>
      <c r="K3335" t="s">
        <v>64333</v>
      </c>
      <c r="L3335" t="s">
        <v>64334</v>
      </c>
      <c r="M3335" t="s">
        <v>64335</v>
      </c>
      <c r="N3335">
        <f>-671.178149688459 -15.4279449458943 -530.261072677415</f>
        <v>-1216.8671673117683</v>
      </c>
      <c r="O3335">
        <f>-669.111464154817 -169.356791793904 -505.011792441716</f>
        <v>-1343.4800483904369</v>
      </c>
      <c r="P3335">
        <f>-705.741460350296 -180.426618429492 -225.522444223403</f>
        <v>-1111.6905230031912</v>
      </c>
      <c r="Q3335">
        <f>-479.838819810761 -126.434841442061 -226.712052188822</f>
        <v>-832.98571344164395</v>
      </c>
      <c r="R3335" t="s">
        <v>64336</v>
      </c>
      <c r="S3335" t="s">
        <v>64337</v>
      </c>
      <c r="T3335" t="s">
        <v>64338</v>
      </c>
      <c r="U3335" t="s">
        <v>64339</v>
      </c>
      <c r="V3335">
        <f>-607.73947307685 -64.3049446265993 -93.4579900548118</f>
        <v>-765.50240775826114</v>
      </c>
      <c r="W3335" t="s">
        <v>64340</v>
      </c>
      <c r="X3335" t="s">
        <v>64341</v>
      </c>
      <c r="Y3335" t="s">
        <v>64342</v>
      </c>
    </row>
    <row r="3336" spans="1:25" x14ac:dyDescent="0.3">
      <c r="A3336">
        <v>166750</v>
      </c>
      <c r="B3336" t="s">
        <v>64343</v>
      </c>
      <c r="C3336" t="s">
        <v>64344</v>
      </c>
      <c r="D3336" t="s">
        <v>64345</v>
      </c>
      <c r="E3336" t="s">
        <v>64346</v>
      </c>
      <c r="F3336" t="s">
        <v>64347</v>
      </c>
      <c r="G3336" t="s">
        <v>64348</v>
      </c>
      <c r="H3336" t="s">
        <v>64349</v>
      </c>
      <c r="I3336" t="s">
        <v>64350</v>
      </c>
      <c r="J3336" t="s">
        <v>64351</v>
      </c>
      <c r="K3336" t="s">
        <v>64352</v>
      </c>
      <c r="L3336" t="s">
        <v>64353</v>
      </c>
      <c r="M3336" t="s">
        <v>64354</v>
      </c>
      <c r="N3336">
        <f>-671.88719962745 -17.092796050978 -530.233774550389</f>
        <v>-1219.2137702288169</v>
      </c>
      <c r="O3336">
        <f>-670.370603488082 -170.91880612542 -504.291266223729</f>
        <v>-1345.580675837231</v>
      </c>
      <c r="P3336">
        <f>-704.27403060716 -180.85553003756 -224.415479369205</f>
        <v>-1109.545040013925</v>
      </c>
      <c r="Q3336">
        <f>-478.229972999573 -127.482382537233 -226.398389988471</f>
        <v>-832.11074552527703</v>
      </c>
      <c r="R3336" t="s">
        <v>64355</v>
      </c>
      <c r="S3336" t="s">
        <v>64356</v>
      </c>
      <c r="T3336" t="s">
        <v>64357</v>
      </c>
      <c r="U3336" t="s">
        <v>64358</v>
      </c>
      <c r="V3336">
        <f>-607.966289512118 -65.3878900391533 -93.5521009294781</f>
        <v>-766.90628048074939</v>
      </c>
      <c r="W3336" t="s">
        <v>64359</v>
      </c>
      <c r="X3336" t="s">
        <v>64360</v>
      </c>
      <c r="Y3336" t="s">
        <v>64361</v>
      </c>
    </row>
    <row r="3337" spans="1:25" x14ac:dyDescent="0.3">
      <c r="A3337">
        <v>166800</v>
      </c>
      <c r="B3337" t="s">
        <v>64362</v>
      </c>
      <c r="C3337" t="s">
        <v>64363</v>
      </c>
      <c r="D3337" t="s">
        <v>64364</v>
      </c>
      <c r="E3337" t="s">
        <v>64365</v>
      </c>
      <c r="F3337" t="s">
        <v>64366</v>
      </c>
      <c r="G3337" t="s">
        <v>64367</v>
      </c>
      <c r="H3337" t="s">
        <v>64368</v>
      </c>
      <c r="I3337" t="s">
        <v>64369</v>
      </c>
      <c r="J3337" t="s">
        <v>64370</v>
      </c>
      <c r="K3337" t="s">
        <v>64371</v>
      </c>
      <c r="L3337" t="s">
        <v>64372</v>
      </c>
      <c r="M3337" t="s">
        <v>64373</v>
      </c>
      <c r="N3337">
        <f>-672.381093483161 -17.6125738202786 -530.197229971172</f>
        <v>-1220.1908972746114</v>
      </c>
      <c r="O3337">
        <f>-670.83702536455 -171.408294484902 -504.069483841657</f>
        <v>-1346.3148036911091</v>
      </c>
      <c r="P3337">
        <f>-703.325951508405 -181.120959747368 -224.018281437045</f>
        <v>-1108.4651926928179</v>
      </c>
      <c r="Q3337">
        <f>-477.266724553844 -127.848078154659 -226.801515888511</f>
        <v>-831.91631859701397</v>
      </c>
      <c r="R3337" t="s">
        <v>64374</v>
      </c>
      <c r="S3337" t="s">
        <v>64375</v>
      </c>
      <c r="T3337" t="s">
        <v>64376</v>
      </c>
      <c r="U3337" t="s">
        <v>64377</v>
      </c>
      <c r="V3337">
        <f>-607.851879275544 -65.7772269423015 -93.5751845254002</f>
        <v>-767.20429074324568</v>
      </c>
      <c r="W3337" t="s">
        <v>64378</v>
      </c>
      <c r="X3337" t="s">
        <v>64379</v>
      </c>
      <c r="Y3337" t="s">
        <v>64380</v>
      </c>
    </row>
    <row r="3338" spans="1:25" x14ac:dyDescent="0.3">
      <c r="A3338">
        <v>166850</v>
      </c>
      <c r="B3338" t="s">
        <v>64381</v>
      </c>
      <c r="C3338" t="s">
        <v>64382</v>
      </c>
      <c r="D3338" t="s">
        <v>64383</v>
      </c>
      <c r="E3338" t="s">
        <v>64384</v>
      </c>
      <c r="F3338" t="s">
        <v>64385</v>
      </c>
      <c r="G3338" t="s">
        <v>64386</v>
      </c>
      <c r="H3338" t="s">
        <v>64387</v>
      </c>
      <c r="I3338" t="s">
        <v>64388</v>
      </c>
      <c r="J3338" t="s">
        <v>64389</v>
      </c>
      <c r="K3338" t="s">
        <v>64390</v>
      </c>
      <c r="L3338" t="s">
        <v>64391</v>
      </c>
      <c r="M3338" t="s">
        <v>64392</v>
      </c>
      <c r="N3338">
        <f>-672.772027224272 -17.9041673106549 -530.188425091078</f>
        <v>-1220.8646196260049</v>
      </c>
      <c r="O3338">
        <f>-670.949064826901 -171.69685314901 -504.049605327298</f>
        <v>-1346.695523303209</v>
      </c>
      <c r="P3338">
        <f>-702.499062933994 -181.252721363867 -223.885611598989</f>
        <v>-1107.63739589685</v>
      </c>
      <c r="Q3338">
        <f>-476.317197193967 -128.560021803506 -227.600007116699</f>
        <v>-832.47722611417191</v>
      </c>
      <c r="R3338" t="s">
        <v>64393</v>
      </c>
      <c r="S3338" t="s">
        <v>64394</v>
      </c>
      <c r="T3338" t="s">
        <v>64395</v>
      </c>
      <c r="U3338" t="s">
        <v>64396</v>
      </c>
      <c r="V3338">
        <f>-607.601568118923 -66.0791202612083 -93.5815705632426</f>
        <v>-767.26225894337392</v>
      </c>
      <c r="W3338" t="s">
        <v>64397</v>
      </c>
      <c r="X3338" t="s">
        <v>64398</v>
      </c>
      <c r="Y3338" t="s">
        <v>64399</v>
      </c>
    </row>
    <row r="3339" spans="1:25" x14ac:dyDescent="0.3">
      <c r="A3339">
        <v>166900</v>
      </c>
      <c r="B3339" t="s">
        <v>64400</v>
      </c>
      <c r="C3339" t="s">
        <v>64401</v>
      </c>
      <c r="D3339" t="s">
        <v>64402</v>
      </c>
      <c r="E3339" t="s">
        <v>64403</v>
      </c>
      <c r="F3339" t="s">
        <v>64404</v>
      </c>
      <c r="G3339" t="s">
        <v>64405</v>
      </c>
      <c r="H3339" t="s">
        <v>64406</v>
      </c>
      <c r="I3339" t="s">
        <v>64407</v>
      </c>
      <c r="J3339" t="s">
        <v>64408</v>
      </c>
      <c r="K3339" t="s">
        <v>64409</v>
      </c>
      <c r="L3339" t="s">
        <v>64410</v>
      </c>
      <c r="M3339" t="s">
        <v>64411</v>
      </c>
      <c r="N3339">
        <f>-673.490152701762 -18.0521425050142 -530.070649541929</f>
        <v>-1221.6129447487051</v>
      </c>
      <c r="O3339">
        <f>-670.753229031043 -171.8457508694 -503.99282244447</f>
        <v>-1346.591802344913</v>
      </c>
      <c r="P3339">
        <f>-701.357602807416 -182.018889710359 -223.745636236388</f>
        <v>-1107.122128754163</v>
      </c>
      <c r="Q3339">
        <f>-475.156791925298 -129.529642156313 -228.900519236536</f>
        <v>-833.58695331814693</v>
      </c>
      <c r="R3339" t="s">
        <v>64412</v>
      </c>
      <c r="S3339" t="s">
        <v>64413</v>
      </c>
      <c r="T3339" t="s">
        <v>64414</v>
      </c>
      <c r="U3339" t="s">
        <v>64415</v>
      </c>
      <c r="V3339">
        <f>-606.650194208045 -66.276696565267 -93.5420579272234</f>
        <v>-766.46894870053541</v>
      </c>
      <c r="W3339" t="s">
        <v>64416</v>
      </c>
      <c r="X3339" t="s">
        <v>64417</v>
      </c>
      <c r="Y3339" t="s">
        <v>64418</v>
      </c>
    </row>
    <row r="3340" spans="1:25" x14ac:dyDescent="0.3">
      <c r="A3340">
        <v>166950</v>
      </c>
      <c r="B3340" t="s">
        <v>64419</v>
      </c>
      <c r="C3340" t="s">
        <v>64420</v>
      </c>
      <c r="D3340" t="s">
        <v>64421</v>
      </c>
      <c r="E3340" t="s">
        <v>64422</v>
      </c>
      <c r="F3340" t="s">
        <v>64423</v>
      </c>
      <c r="G3340" t="s">
        <v>64424</v>
      </c>
      <c r="H3340" t="s">
        <v>64425</v>
      </c>
      <c r="I3340" t="s">
        <v>64426</v>
      </c>
      <c r="J3340" t="s">
        <v>64427</v>
      </c>
      <c r="K3340" t="s">
        <v>64428</v>
      </c>
      <c r="L3340" t="s">
        <v>64429</v>
      </c>
      <c r="M3340" t="s">
        <v>64430</v>
      </c>
      <c r="N3340">
        <f>-673.841778781648 -18.0970816915817 -529.940827146372</f>
        <v>-1221.8796876196018</v>
      </c>
      <c r="O3340">
        <f>-670.585371744043 -171.88266634758 -503.890022823563</f>
        <v>-1346.3580609151859</v>
      </c>
      <c r="P3340">
        <f>-700.875766764447 -183.108441557601 -223.648881433037</f>
        <v>-1107.6330897550852</v>
      </c>
      <c r="Q3340">
        <f>-474.903171291862 -129.644149421896 -228.796256408468</f>
        <v>-833.34357712222607</v>
      </c>
      <c r="R3340" t="s">
        <v>64431</v>
      </c>
      <c r="S3340" t="s">
        <v>64432</v>
      </c>
      <c r="T3340" t="s">
        <v>64433</v>
      </c>
      <c r="U3340" t="s">
        <v>64434</v>
      </c>
      <c r="V3340">
        <f>-606.033100259905 -66.3143193117362 -93.4711274858996</f>
        <v>-765.81854705754085</v>
      </c>
      <c r="W3340" t="s">
        <v>64435</v>
      </c>
      <c r="X3340" t="s">
        <v>64436</v>
      </c>
      <c r="Y3340" t="s">
        <v>64437</v>
      </c>
    </row>
    <row r="3341" spans="1:25" x14ac:dyDescent="0.3">
      <c r="A3341">
        <v>167000</v>
      </c>
      <c r="B3341" t="s">
        <v>64438</v>
      </c>
      <c r="C3341" t="s">
        <v>64439</v>
      </c>
      <c r="D3341" t="s">
        <v>64440</v>
      </c>
      <c r="E3341" t="s">
        <v>64441</v>
      </c>
      <c r="F3341" t="s">
        <v>64442</v>
      </c>
      <c r="G3341" t="s">
        <v>64443</v>
      </c>
      <c r="H3341" t="s">
        <v>64444</v>
      </c>
      <c r="I3341" t="s">
        <v>64445</v>
      </c>
      <c r="J3341" t="s">
        <v>64446</v>
      </c>
      <c r="K3341" t="s">
        <v>64447</v>
      </c>
      <c r="L3341" t="s">
        <v>64448</v>
      </c>
      <c r="M3341" t="s">
        <v>64449</v>
      </c>
      <c r="N3341">
        <f>-674.62522609686 -17.9514080632657 -529.685107930916</f>
        <v>-1222.2617420910419</v>
      </c>
      <c r="O3341">
        <f>-670.044160208207 -171.726370839771 -503.815493411083</f>
        <v>-1345.586024459061</v>
      </c>
      <c r="P3341">
        <f>-699.990787838305 -185.186672052223 -223.635790563681</f>
        <v>-1108.8132504542091</v>
      </c>
      <c r="Q3341">
        <f>-474.795788903251 -128.583652349834 -229.277967975464</f>
        <v>-832.657409228549</v>
      </c>
      <c r="R3341" t="s">
        <v>64450</v>
      </c>
      <c r="S3341" t="s">
        <v>64451</v>
      </c>
      <c r="T3341" t="s">
        <v>64452</v>
      </c>
      <c r="U3341" t="s">
        <v>64453</v>
      </c>
      <c r="V3341">
        <f>-604.839217642626 -66.3436472267056 -93.3285515522238</f>
        <v>-764.51141642155528</v>
      </c>
      <c r="W3341" t="s">
        <v>64454</v>
      </c>
      <c r="X3341" t="s">
        <v>64455</v>
      </c>
      <c r="Y3341" t="s">
        <v>64456</v>
      </c>
    </row>
    <row r="3342" spans="1:25" x14ac:dyDescent="0.3">
      <c r="A3342">
        <v>167050</v>
      </c>
      <c r="B3342" t="s">
        <v>64457</v>
      </c>
      <c r="C3342" t="s">
        <v>64458</v>
      </c>
      <c r="D3342" t="s">
        <v>64459</v>
      </c>
      <c r="E3342" t="s">
        <v>64460</v>
      </c>
      <c r="F3342" t="s">
        <v>64461</v>
      </c>
      <c r="G3342" t="s">
        <v>64462</v>
      </c>
      <c r="H3342" t="s">
        <v>64463</v>
      </c>
      <c r="I3342" t="s">
        <v>64464</v>
      </c>
      <c r="J3342" t="s">
        <v>64465</v>
      </c>
      <c r="K3342" t="s">
        <v>64466</v>
      </c>
      <c r="L3342" t="s">
        <v>64467</v>
      </c>
      <c r="M3342" t="s">
        <v>64468</v>
      </c>
      <c r="N3342">
        <f>-675.072738529676 -17.9339712876617 -529.519857944699</f>
        <v>-1222.5265677620368</v>
      </c>
      <c r="O3342">
        <f>-669.747440552628 -171.67453293195 -503.604390755938</f>
        <v>-1345.0263642405159</v>
      </c>
      <c r="P3342">
        <f>-699.398600201756 -186.301685322378 -223.45197827249</f>
        <v>-1109.1522637966241</v>
      </c>
      <c r="Q3342">
        <f>-474.830494205991 -127.35046296625 -229.969082040002</f>
        <v>-832.15003921224309</v>
      </c>
      <c r="R3342" t="s">
        <v>64469</v>
      </c>
      <c r="S3342" t="s">
        <v>64470</v>
      </c>
      <c r="T3342" t="s">
        <v>64471</v>
      </c>
      <c r="U3342" t="s">
        <v>64472</v>
      </c>
      <c r="V3342">
        <f>-604.269890546733 -66.313309698435 -93.261276513678</f>
        <v>-763.84447675884599</v>
      </c>
      <c r="W3342" t="s">
        <v>64473</v>
      </c>
      <c r="X3342" t="s">
        <v>64474</v>
      </c>
      <c r="Y3342" t="s">
        <v>64475</v>
      </c>
    </row>
    <row r="3343" spans="1:25" x14ac:dyDescent="0.3">
      <c r="A3343">
        <v>167100</v>
      </c>
      <c r="B3343" t="s">
        <v>64476</v>
      </c>
      <c r="C3343" t="s">
        <v>64477</v>
      </c>
      <c r="D3343" t="s">
        <v>64478</v>
      </c>
      <c r="E3343" t="s">
        <v>64479</v>
      </c>
      <c r="F3343" t="s">
        <v>64480</v>
      </c>
      <c r="G3343" t="s">
        <v>64481</v>
      </c>
      <c r="H3343" t="s">
        <v>64482</v>
      </c>
      <c r="I3343" t="s">
        <v>64483</v>
      </c>
      <c r="J3343" t="s">
        <v>64484</v>
      </c>
      <c r="K3343" t="s">
        <v>64485</v>
      </c>
      <c r="L3343" t="s">
        <v>64486</v>
      </c>
      <c r="M3343" t="s">
        <v>64487</v>
      </c>
      <c r="N3343">
        <f>-675.815005374969 -17.6456708105484 -529.310234563366</f>
        <v>-1222.7709107488834</v>
      </c>
      <c r="O3343">
        <f>-669.702321840959 -171.41346059773 -503.722914615765</f>
        <v>-1344.8386970544541</v>
      </c>
      <c r="P3343">
        <f>-697.301548869727 -188.688228949064 -223.511467590755</f>
        <v>-1109.5012454095461</v>
      </c>
      <c r="Q3343">
        <f>-474.639594112751 -123.019929422281 -231.11683357692</f>
        <v>-828.77635711195194</v>
      </c>
      <c r="R3343" t="s">
        <v>64488</v>
      </c>
      <c r="S3343" t="s">
        <v>64489</v>
      </c>
      <c r="T3343" t="s">
        <v>64490</v>
      </c>
      <c r="U3343" t="s">
        <v>64491</v>
      </c>
      <c r="V3343">
        <f>-603.208419130523 -66.1782203111773 -93.1687927744565</f>
        <v>-762.55543221615676</v>
      </c>
      <c r="W3343" t="s">
        <v>64492</v>
      </c>
      <c r="X3343" t="s">
        <v>64493</v>
      </c>
      <c r="Y3343" t="s">
        <v>64494</v>
      </c>
    </row>
    <row r="3344" spans="1:25" x14ac:dyDescent="0.3">
      <c r="A3344">
        <v>167150</v>
      </c>
      <c r="B3344" t="s">
        <v>64495</v>
      </c>
      <c r="C3344" t="s">
        <v>64496</v>
      </c>
      <c r="D3344" t="s">
        <v>64497</v>
      </c>
      <c r="E3344" t="s">
        <v>64498</v>
      </c>
      <c r="F3344" t="s">
        <v>64499</v>
      </c>
      <c r="G3344" t="s">
        <v>64500</v>
      </c>
      <c r="H3344" t="s">
        <v>64501</v>
      </c>
      <c r="I3344" t="s">
        <v>64502</v>
      </c>
      <c r="J3344" t="s">
        <v>64503</v>
      </c>
      <c r="K3344" t="s">
        <v>64504</v>
      </c>
      <c r="L3344" t="s">
        <v>64505</v>
      </c>
      <c r="M3344" t="s">
        <v>64506</v>
      </c>
      <c r="N3344">
        <f>-676.303029585082 -17.580174116852 -529.190682359621</f>
        <v>-1223.073886061555</v>
      </c>
      <c r="O3344">
        <f>-669.726174593652 -171.341297396601 -503.739726355028</f>
        <v>-1344.807198345281</v>
      </c>
      <c r="P3344">
        <f>-695.75150517704 -189.144107510358 -223.410693732794</f>
        <v>-1108.306306420192</v>
      </c>
      <c r="Q3344">
        <f>-474.044853812703 -120.311118512716 -230.941909100992</f>
        <v>-825.2978814264111</v>
      </c>
      <c r="R3344" t="s">
        <v>64507</v>
      </c>
      <c r="S3344" t="s">
        <v>64508</v>
      </c>
      <c r="T3344" t="s">
        <v>64509</v>
      </c>
      <c r="U3344" t="s">
        <v>64510</v>
      </c>
      <c r="V3344">
        <f>-602.789312035096 -66.1987124063076 -93.1316210707973</f>
        <v>-762.11964551220103</v>
      </c>
      <c r="W3344" t="s">
        <v>64511</v>
      </c>
      <c r="X3344" t="s">
        <v>64512</v>
      </c>
      <c r="Y3344" t="s">
        <v>64513</v>
      </c>
    </row>
    <row r="3345" spans="1:25" x14ac:dyDescent="0.3">
      <c r="A3345">
        <v>167200</v>
      </c>
      <c r="B3345" t="s">
        <v>64514</v>
      </c>
      <c r="C3345" t="s">
        <v>64515</v>
      </c>
      <c r="D3345" t="s">
        <v>64516</v>
      </c>
      <c r="E3345" t="s">
        <v>64517</v>
      </c>
      <c r="F3345" t="s">
        <v>64518</v>
      </c>
      <c r="G3345" t="s">
        <v>64519</v>
      </c>
      <c r="H3345" t="s">
        <v>64520</v>
      </c>
      <c r="I3345" t="s">
        <v>64521</v>
      </c>
      <c r="J3345" t="s">
        <v>64522</v>
      </c>
      <c r="K3345" t="s">
        <v>64523</v>
      </c>
      <c r="L3345" t="s">
        <v>64524</v>
      </c>
      <c r="M3345" t="s">
        <v>64525</v>
      </c>
      <c r="N3345">
        <f>-676.979543732435 -17.5235196322856 -528.96902668866</f>
        <v>-1223.4720900533807</v>
      </c>
      <c r="O3345">
        <f>-669.352625035843 -171.287388043392 -503.688972590598</f>
        <v>-1344.3289856698329</v>
      </c>
      <c r="P3345">
        <f>-693.216192324837 -187.765478524207 -223.086855808094</f>
        <v>-1104.0685266571379</v>
      </c>
      <c r="Q3345">
        <f>-472.001325192085 -117.495258210974 -231.722652230225</f>
        <v>-821.21923563328403</v>
      </c>
      <c r="R3345" t="s">
        <v>64526</v>
      </c>
      <c r="S3345" t="s">
        <v>64527</v>
      </c>
      <c r="T3345" t="s">
        <v>64528</v>
      </c>
      <c r="U3345" t="s">
        <v>64529</v>
      </c>
      <c r="V3345">
        <f>-602.122536491928 -66.1463917159099 -93.0995050660189</f>
        <v>-761.36843327385679</v>
      </c>
      <c r="W3345" t="s">
        <v>64530</v>
      </c>
      <c r="X3345" t="s">
        <v>64531</v>
      </c>
      <c r="Y3345" t="s">
        <v>64532</v>
      </c>
    </row>
    <row r="3346" spans="1:25" x14ac:dyDescent="0.3">
      <c r="A3346">
        <v>167250</v>
      </c>
      <c r="B3346" t="s">
        <v>64533</v>
      </c>
      <c r="C3346" t="s">
        <v>64534</v>
      </c>
      <c r="D3346" t="s">
        <v>64535</v>
      </c>
      <c r="E3346" t="s">
        <v>64536</v>
      </c>
      <c r="F3346" t="s">
        <v>64537</v>
      </c>
      <c r="G3346" t="s">
        <v>64538</v>
      </c>
      <c r="H3346" t="s">
        <v>64539</v>
      </c>
      <c r="I3346" t="s">
        <v>64540</v>
      </c>
      <c r="J3346" t="s">
        <v>64541</v>
      </c>
      <c r="K3346" t="s">
        <v>64542</v>
      </c>
      <c r="L3346" t="s">
        <v>64543</v>
      </c>
      <c r="M3346" t="s">
        <v>64544</v>
      </c>
      <c r="N3346">
        <f>-677.361082936199 -17.5284040814824 -528.937370530693</f>
        <v>-1223.8268575483744</v>
      </c>
      <c r="O3346">
        <f>-669.552167087312 -171.284617385653 -503.746090662066</f>
        <v>-1344.5828751350311</v>
      </c>
      <c r="P3346">
        <f>-691.682428960474 -187.450499806134 -222.983682785416</f>
        <v>-1102.1166115520239</v>
      </c>
      <c r="Q3346">
        <f>-470.488093956255 -117.201196367205 -232.290003148885</f>
        <v>-819.97929347234503</v>
      </c>
      <c r="R3346" t="s">
        <v>64545</v>
      </c>
      <c r="S3346" t="s">
        <v>64546</v>
      </c>
      <c r="T3346" t="s">
        <v>64547</v>
      </c>
      <c r="U3346" t="s">
        <v>64548</v>
      </c>
      <c r="V3346">
        <f>-601.989182844152 -66.1812639877287 -93.121029731866</f>
        <v>-761.29147656374664</v>
      </c>
      <c r="W3346" t="s">
        <v>64549</v>
      </c>
      <c r="X3346" t="s">
        <v>64550</v>
      </c>
      <c r="Y3346" t="s">
        <v>64551</v>
      </c>
    </row>
    <row r="3347" spans="1:25" x14ac:dyDescent="0.3">
      <c r="A3347">
        <v>167300</v>
      </c>
      <c r="B3347" t="s">
        <v>64552</v>
      </c>
      <c r="C3347" t="s">
        <v>64553</v>
      </c>
      <c r="D3347" t="s">
        <v>64554</v>
      </c>
      <c r="E3347" t="s">
        <v>64555</v>
      </c>
      <c r="F3347" t="s">
        <v>64556</v>
      </c>
      <c r="G3347" t="s">
        <v>64557</v>
      </c>
      <c r="H3347" t="s">
        <v>64558</v>
      </c>
      <c r="I3347" t="s">
        <v>64559</v>
      </c>
      <c r="J3347" t="s">
        <v>64560</v>
      </c>
      <c r="K3347" t="s">
        <v>64561</v>
      </c>
      <c r="L3347" t="s">
        <v>64562</v>
      </c>
      <c r="M3347" t="s">
        <v>64563</v>
      </c>
      <c r="N3347">
        <f>-677.9669636568 -17.9053035372747 -528.946585305746</f>
        <v>-1224.8188524998207</v>
      </c>
      <c r="O3347">
        <f>-669.991407253235 -171.655574039314 -503.726818261067</f>
        <v>-1345.3737995536162</v>
      </c>
      <c r="P3347">
        <f>-689.335103708115 -187.03042123547 -222.714302959506</f>
        <v>-1099.079827903091</v>
      </c>
      <c r="Q3347">
        <f>-468.254017708709 -116.926559851014 -235.249938823304</f>
        <v>-820.430516383027</v>
      </c>
      <c r="R3347" t="s">
        <v>64564</v>
      </c>
      <c r="S3347" t="s">
        <v>64565</v>
      </c>
      <c r="T3347" t="s">
        <v>64566</v>
      </c>
      <c r="U3347" t="s">
        <v>64567</v>
      </c>
      <c r="V3347">
        <f>-602.348875274709 -66.5071217512627 -93.2284299539259</f>
        <v>-762.08442697989767</v>
      </c>
      <c r="W3347" t="s">
        <v>64568</v>
      </c>
      <c r="X3347" t="s">
        <v>64569</v>
      </c>
      <c r="Y3347" t="s">
        <v>64570</v>
      </c>
    </row>
    <row r="3348" spans="1:25" x14ac:dyDescent="0.3">
      <c r="A3348">
        <v>167350</v>
      </c>
      <c r="B3348" t="s">
        <v>64571</v>
      </c>
      <c r="C3348" t="s">
        <v>64572</v>
      </c>
      <c r="D3348" t="s">
        <v>64573</v>
      </c>
      <c r="E3348" t="s">
        <v>64574</v>
      </c>
      <c r="F3348" t="s">
        <v>64575</v>
      </c>
      <c r="G3348" t="s">
        <v>64576</v>
      </c>
      <c r="H3348" t="s">
        <v>64577</v>
      </c>
      <c r="I3348" t="s">
        <v>64578</v>
      </c>
      <c r="J3348" t="s">
        <v>64579</v>
      </c>
      <c r="K3348" t="s">
        <v>64580</v>
      </c>
      <c r="L3348" t="s">
        <v>64581</v>
      </c>
      <c r="M3348" t="s">
        <v>64582</v>
      </c>
      <c r="N3348">
        <f>-678.299453750845 -18.0902561373091 -528.982379169763</f>
        <v>-1225.372089057917</v>
      </c>
      <c r="O3348">
        <f>-670.470892109463 -171.82824933373 -503.6128686255</f>
        <v>-1345.912010068693</v>
      </c>
      <c r="P3348">
        <f>-688.207158811872 -186.451453019115 -222.454211004834</f>
        <v>-1097.1128228358209</v>
      </c>
      <c r="Q3348">
        <f>-467.076490766617 -116.874120385621 -236.903689819187</f>
        <v>-820.854300971425</v>
      </c>
      <c r="R3348" t="s">
        <v>64583</v>
      </c>
      <c r="S3348" t="s">
        <v>64584</v>
      </c>
      <c r="T3348" t="s">
        <v>64585</v>
      </c>
      <c r="U3348" t="s">
        <v>64586</v>
      </c>
      <c r="V3348">
        <f>-602.759770174726 -66.630321249633 -93.2852286600819</f>
        <v>-762.67532008444084</v>
      </c>
      <c r="W3348" t="s">
        <v>64587</v>
      </c>
      <c r="X3348" t="s">
        <v>64588</v>
      </c>
      <c r="Y3348" t="s">
        <v>64589</v>
      </c>
    </row>
    <row r="3349" spans="1:25" x14ac:dyDescent="0.3">
      <c r="A3349">
        <v>167400</v>
      </c>
      <c r="B3349" t="s">
        <v>64590</v>
      </c>
      <c r="C3349" t="s">
        <v>64591</v>
      </c>
      <c r="D3349" t="s">
        <v>64592</v>
      </c>
      <c r="E3349" t="s">
        <v>64593</v>
      </c>
      <c r="F3349" t="s">
        <v>64594</v>
      </c>
      <c r="G3349" t="s">
        <v>64595</v>
      </c>
      <c r="H3349" t="s">
        <v>64596</v>
      </c>
      <c r="I3349" t="s">
        <v>64597</v>
      </c>
      <c r="J3349" t="s">
        <v>64598</v>
      </c>
      <c r="K3349" t="s">
        <v>64599</v>
      </c>
      <c r="L3349" t="s">
        <v>64600</v>
      </c>
      <c r="M3349" t="s">
        <v>64601</v>
      </c>
      <c r="N3349">
        <f>-678.955657609843 -18.5365086447798 -529.080389243736</f>
        <v>-1226.5725554983587</v>
      </c>
      <c r="O3349">
        <f>-671.84245013049 -172.228364801483 -503.344657152192</f>
        <v>-1347.415472084165</v>
      </c>
      <c r="P3349">
        <f>-686.364855876217 -185.506053940403 -221.935035456322</f>
        <v>-1093.8059452729422</v>
      </c>
      <c r="Q3349">
        <f>-464.616785761668 -119.018329510184 -240.794796682902</f>
        <v>-824.42991195475395</v>
      </c>
      <c r="R3349" t="s">
        <v>64602</v>
      </c>
      <c r="S3349" t="s">
        <v>64603</v>
      </c>
      <c r="T3349" t="s">
        <v>64604</v>
      </c>
      <c r="U3349" t="s">
        <v>64605</v>
      </c>
      <c r="V3349">
        <f>-603.811632045681 -66.8710633233625 -93.390191795204</f>
        <v>-764.0728871642475</v>
      </c>
      <c r="W3349" t="s">
        <v>64606</v>
      </c>
      <c r="X3349" t="s">
        <v>64607</v>
      </c>
      <c r="Y3349" t="s">
        <v>64608</v>
      </c>
    </row>
    <row r="3350" spans="1:25" x14ac:dyDescent="0.3">
      <c r="A3350">
        <v>167450</v>
      </c>
      <c r="B3350" t="s">
        <v>64609</v>
      </c>
      <c r="C3350" t="s">
        <v>64610</v>
      </c>
      <c r="D3350" t="s">
        <v>64611</v>
      </c>
      <c r="E3350" t="s">
        <v>64612</v>
      </c>
      <c r="F3350" t="s">
        <v>64613</v>
      </c>
      <c r="G3350" t="s">
        <v>64614</v>
      </c>
      <c r="H3350" t="s">
        <v>64615</v>
      </c>
      <c r="I3350" t="s">
        <v>64616</v>
      </c>
      <c r="J3350" t="s">
        <v>64617</v>
      </c>
      <c r="K3350" t="s">
        <v>64618</v>
      </c>
      <c r="L3350" t="s">
        <v>64619</v>
      </c>
      <c r="M3350" t="s">
        <v>64620</v>
      </c>
      <c r="N3350">
        <f>-679.202385617799 -18.9158382149583 -529.096718408989</f>
        <v>-1227.2149422417463</v>
      </c>
      <c r="O3350">
        <f>-672.383384426897 -172.599084780014 -503.126469410938</f>
        <v>-1348.1089386178489</v>
      </c>
      <c r="P3350">
        <f>-685.415072207581 -184.84226472271 -221.596869173475</f>
        <v>-1091.854206103766</v>
      </c>
      <c r="Q3350">
        <f>-463.514896860746 -119.822094944902 -243.533552503426</f>
        <v>-826.87054430907403</v>
      </c>
      <c r="R3350" t="s">
        <v>64621</v>
      </c>
      <c r="S3350" t="s">
        <v>64622</v>
      </c>
      <c r="T3350" t="s">
        <v>64623</v>
      </c>
      <c r="U3350" t="s">
        <v>64624</v>
      </c>
      <c r="V3350">
        <f>-604.355941674161 -67.0070305468678 -93.4300432182865</f>
        <v>-764.79301543931535</v>
      </c>
      <c r="W3350" t="s">
        <v>64625</v>
      </c>
      <c r="X3350" t="s">
        <v>64626</v>
      </c>
      <c r="Y3350" t="s">
        <v>64627</v>
      </c>
    </row>
    <row r="3351" spans="1:25" x14ac:dyDescent="0.3">
      <c r="A3351">
        <v>167500</v>
      </c>
      <c r="B3351" t="s">
        <v>64628</v>
      </c>
      <c r="C3351" t="s">
        <v>64629</v>
      </c>
      <c r="D3351" t="s">
        <v>64630</v>
      </c>
      <c r="E3351" t="s">
        <v>64631</v>
      </c>
      <c r="F3351" t="s">
        <v>64632</v>
      </c>
      <c r="G3351" t="s">
        <v>64633</v>
      </c>
      <c r="H3351" t="s">
        <v>64634</v>
      </c>
      <c r="I3351" t="s">
        <v>64635</v>
      </c>
      <c r="J3351" t="s">
        <v>64636</v>
      </c>
      <c r="K3351" t="s">
        <v>64637</v>
      </c>
      <c r="L3351" t="s">
        <v>64638</v>
      </c>
      <c r="M3351" t="s">
        <v>64639</v>
      </c>
      <c r="N3351">
        <f>-679.689168424082 -19.470075473175 -529.13398940113</f>
        <v>-1228.2932332983869</v>
      </c>
      <c r="O3351">
        <f>-673.373022132515 -173.081156641288 -502.670080610885</f>
        <v>-1349.124259384688</v>
      </c>
      <c r="P3351">
        <f>-683.673454021981 -184.260424730679 -220.983194432471</f>
        <v>-1088.9170731851309</v>
      </c>
      <c r="Q3351">
        <f>-462.219806195926 -119.906299061661 -248.648123935698</f>
        <v>-830.77422919328501</v>
      </c>
      <c r="R3351" t="s">
        <v>64640</v>
      </c>
      <c r="S3351" t="s">
        <v>64641</v>
      </c>
      <c r="T3351" t="s">
        <v>64642</v>
      </c>
      <c r="U3351" t="s">
        <v>64643</v>
      </c>
      <c r="V3351">
        <f>-605.454665077209 -67.0212936568071 -93.4839773153867</f>
        <v>-765.95993604940281</v>
      </c>
      <c r="W3351" t="s">
        <v>64644</v>
      </c>
      <c r="X3351" t="s">
        <v>64645</v>
      </c>
      <c r="Y3351" t="s">
        <v>64646</v>
      </c>
    </row>
    <row r="3352" spans="1:25" x14ac:dyDescent="0.3">
      <c r="A3352">
        <v>167550</v>
      </c>
      <c r="B3352" t="s">
        <v>64647</v>
      </c>
      <c r="C3352" t="s">
        <v>64648</v>
      </c>
      <c r="D3352" t="s">
        <v>64649</v>
      </c>
      <c r="E3352" t="s">
        <v>64650</v>
      </c>
      <c r="F3352" t="s">
        <v>64651</v>
      </c>
      <c r="G3352" t="s">
        <v>64652</v>
      </c>
      <c r="H3352" t="s">
        <v>64653</v>
      </c>
      <c r="I3352" t="s">
        <v>64654</v>
      </c>
      <c r="J3352" t="s">
        <v>64655</v>
      </c>
      <c r="K3352" t="s">
        <v>64656</v>
      </c>
      <c r="L3352" t="s">
        <v>64657</v>
      </c>
      <c r="M3352" t="s">
        <v>64658</v>
      </c>
      <c r="N3352">
        <f>-679.962963597639 -19.7298033891686 -529.133843157689</f>
        <v>-1228.8266101444965</v>
      </c>
      <c r="O3352">
        <f>-673.739166359921 -173.308688469877 -502.413723173084</f>
        <v>-1349.4615780028821</v>
      </c>
      <c r="P3352">
        <f>-682.921335995237 -183.949005046057 -220.667273083077</f>
        <v>-1087.537614124371</v>
      </c>
      <c r="Q3352">
        <f>-461.694995745081 -120.126208975548 -251.229830312596</f>
        <v>-833.05103503322493</v>
      </c>
      <c r="R3352" t="s">
        <v>64659</v>
      </c>
      <c r="S3352" t="s">
        <v>64660</v>
      </c>
      <c r="T3352" t="s">
        <v>64661</v>
      </c>
      <c r="U3352" t="s">
        <v>64662</v>
      </c>
      <c r="V3352">
        <f>-605.861489955043 -66.9066867345753 -93.5082365522964</f>
        <v>-766.27641324191461</v>
      </c>
      <c r="W3352" t="s">
        <v>64663</v>
      </c>
      <c r="X3352" t="s">
        <v>64664</v>
      </c>
      <c r="Y3352" t="s">
        <v>64665</v>
      </c>
    </row>
    <row r="3353" spans="1:25" x14ac:dyDescent="0.3">
      <c r="A3353">
        <v>167600</v>
      </c>
      <c r="B3353" t="s">
        <v>64666</v>
      </c>
      <c r="C3353" t="s">
        <v>64667</v>
      </c>
      <c r="D3353" t="s">
        <v>64668</v>
      </c>
      <c r="E3353" t="s">
        <v>64669</v>
      </c>
      <c r="F3353" t="s">
        <v>64670</v>
      </c>
      <c r="G3353" t="s">
        <v>64671</v>
      </c>
      <c r="H3353" t="s">
        <v>64672</v>
      </c>
      <c r="I3353" t="s">
        <v>64673</v>
      </c>
      <c r="J3353" t="s">
        <v>64674</v>
      </c>
      <c r="K3353" t="s">
        <v>64675</v>
      </c>
      <c r="L3353" t="s">
        <v>64676</v>
      </c>
      <c r="M3353" t="s">
        <v>64677</v>
      </c>
      <c r="N3353">
        <f>-680.436403411007 -20.0738416559079 -529.103036569157</f>
        <v>-1229.6132816360719</v>
      </c>
      <c r="O3353">
        <f>-674.243247527833 -173.566689055824 -501.874450836481</f>
        <v>-1349.6843874201379</v>
      </c>
      <c r="P3353">
        <f>-681.844384641947 -184.241351391972 -220.082218933983</f>
        <v>-1086.167954967902</v>
      </c>
      <c r="Q3353">
        <f>-462.340914376037 -119.09382307811 -259.102029397405</f>
        <v>-840.53676685155199</v>
      </c>
      <c r="R3353" t="s">
        <v>64678</v>
      </c>
      <c r="S3353" t="s">
        <v>64679</v>
      </c>
      <c r="T3353" t="s">
        <v>64680</v>
      </c>
      <c r="U3353" t="s">
        <v>64681</v>
      </c>
      <c r="V3353">
        <f>-606.521228647845 -66.4839257279066 -93.5329527014466</f>
        <v>-766.53810707719811</v>
      </c>
      <c r="W3353" t="s">
        <v>64682</v>
      </c>
      <c r="X3353" t="s">
        <v>64683</v>
      </c>
      <c r="Y3353" t="s">
        <v>64684</v>
      </c>
    </row>
    <row r="3354" spans="1:25" x14ac:dyDescent="0.3">
      <c r="A3354">
        <v>167650</v>
      </c>
      <c r="B3354" t="s">
        <v>64685</v>
      </c>
      <c r="C3354" t="s">
        <v>64686</v>
      </c>
      <c r="D3354" t="s">
        <v>64687</v>
      </c>
      <c r="E3354" t="s">
        <v>64688</v>
      </c>
      <c r="F3354" t="s">
        <v>64689</v>
      </c>
      <c r="G3354" t="s">
        <v>64690</v>
      </c>
      <c r="H3354" t="s">
        <v>64691</v>
      </c>
      <c r="I3354" t="s">
        <v>64692</v>
      </c>
      <c r="J3354" t="s">
        <v>64693</v>
      </c>
      <c r="K3354" t="s">
        <v>64694</v>
      </c>
      <c r="L3354" t="s">
        <v>64695</v>
      </c>
      <c r="M3354" t="s">
        <v>64696</v>
      </c>
      <c r="N3354">
        <f>-680.685961329796 -20.095179943145 -529.087564243397</f>
        <v>-1229.868705516338</v>
      </c>
      <c r="O3354">
        <f>-674.517631864003 -173.542491113446 -501.627689357794</f>
        <v>-1349.6878123352431</v>
      </c>
      <c r="P3354">
        <f>-681.423147062249 -184.535788660017 -219.829748649467</f>
        <v>-1085.7886843717331</v>
      </c>
      <c r="Q3354">
        <f>-463.200026644363 -117.860217124529 -263.207045324587</f>
        <v>-844.26728909347889</v>
      </c>
      <c r="R3354" t="s">
        <v>64697</v>
      </c>
      <c r="S3354" t="s">
        <v>64698</v>
      </c>
      <c r="T3354" t="s">
        <v>64699</v>
      </c>
      <c r="U3354" t="s">
        <v>64700</v>
      </c>
      <c r="V3354">
        <f>-606.796514662977 -66.1790840238091 -93.5401833335067</f>
        <v>-766.5157820202927</v>
      </c>
      <c r="W3354" t="s">
        <v>64701</v>
      </c>
      <c r="X3354" t="s">
        <v>64702</v>
      </c>
      <c r="Y3354" t="s">
        <v>64703</v>
      </c>
    </row>
    <row r="3355" spans="1:25" x14ac:dyDescent="0.3">
      <c r="A3355">
        <v>167700</v>
      </c>
      <c r="B3355" t="s">
        <v>64704</v>
      </c>
      <c r="C3355" t="s">
        <v>64705</v>
      </c>
      <c r="D3355" t="s">
        <v>64706</v>
      </c>
      <c r="E3355" t="s">
        <v>64707</v>
      </c>
      <c r="F3355" t="s">
        <v>64708</v>
      </c>
      <c r="G3355" t="s">
        <v>64709</v>
      </c>
      <c r="H3355" t="s">
        <v>64710</v>
      </c>
      <c r="I3355" t="s">
        <v>64711</v>
      </c>
      <c r="J3355" t="s">
        <v>64712</v>
      </c>
      <c r="K3355" t="s">
        <v>64713</v>
      </c>
      <c r="L3355" t="s">
        <v>64714</v>
      </c>
      <c r="M3355" t="s">
        <v>64715</v>
      </c>
      <c r="N3355">
        <f>-681.275334404519 -20.1436838494903 -528.953501515513</f>
        <v>-1230.3725197695223</v>
      </c>
      <c r="O3355">
        <f>-674.952854265635 -173.490645795398 -500.975839436502</f>
        <v>-1349.419339497535</v>
      </c>
      <c r="P3355">
        <f>-680.775952806089 -184.954655839039 -219.172340635484</f>
        <v>-1084.9029492806119</v>
      </c>
      <c r="Q3355">
        <f>-465.16154922891 -115.767211592123 -270.86428706338</f>
        <v>-851.793047884413</v>
      </c>
      <c r="R3355" t="s">
        <v>64716</v>
      </c>
      <c r="S3355" t="s">
        <v>64717</v>
      </c>
      <c r="T3355" t="s">
        <v>64718</v>
      </c>
      <c r="U3355" t="s">
        <v>64719</v>
      </c>
      <c r="V3355">
        <f>-607.281338268263 -65.5363069189905 -93.5208511906169</f>
        <v>-766.33849637787034</v>
      </c>
      <c r="W3355" t="s">
        <v>64720</v>
      </c>
      <c r="X3355" t="s">
        <v>64721</v>
      </c>
      <c r="Y3355" t="s">
        <v>64722</v>
      </c>
    </row>
    <row r="3356" spans="1:25" x14ac:dyDescent="0.3">
      <c r="A3356">
        <v>167750</v>
      </c>
      <c r="B3356" t="s">
        <v>64723</v>
      </c>
      <c r="C3356" t="s">
        <v>64724</v>
      </c>
      <c r="D3356" t="s">
        <v>64725</v>
      </c>
      <c r="E3356" t="s">
        <v>64726</v>
      </c>
      <c r="F3356" t="s">
        <v>64727</v>
      </c>
      <c r="G3356" t="s">
        <v>64728</v>
      </c>
      <c r="H3356" t="s">
        <v>64729</v>
      </c>
      <c r="I3356" t="s">
        <v>64730</v>
      </c>
      <c r="J3356" t="s">
        <v>64731</v>
      </c>
      <c r="K3356" t="s">
        <v>64732</v>
      </c>
      <c r="L3356" t="s">
        <v>64733</v>
      </c>
      <c r="M3356" t="s">
        <v>64734</v>
      </c>
      <c r="N3356">
        <f>-681.535368204517 -20.1330312144112 -528.886883656401</f>
        <v>-1230.555283075329</v>
      </c>
      <c r="O3356">
        <f>-675.209727013547 -173.435323752853 -500.67778958452</f>
        <v>-1349.3228403509199</v>
      </c>
      <c r="P3356">
        <f>-680.46806874111 -185.129325194612 -218.872648819101</f>
        <v>-1084.470042754823</v>
      </c>
      <c r="Q3356">
        <f>-466.191428961686 -114.754372031231 -274.383572929607</f>
        <v>-855.32937392252393</v>
      </c>
      <c r="R3356" t="s">
        <v>64735</v>
      </c>
      <c r="S3356" t="s">
        <v>64736</v>
      </c>
      <c r="T3356" t="s">
        <v>64737</v>
      </c>
      <c r="U3356" t="s">
        <v>64738</v>
      </c>
      <c r="V3356">
        <f>-607.460765434911 -65.2170349361677 -93.5008718100669</f>
        <v>-766.17867218114554</v>
      </c>
      <c r="W3356" t="s">
        <v>64739</v>
      </c>
      <c r="X3356" t="s">
        <v>64740</v>
      </c>
      <c r="Y3356" t="s">
        <v>64741</v>
      </c>
    </row>
    <row r="3357" spans="1:25" x14ac:dyDescent="0.3">
      <c r="A3357">
        <v>167800</v>
      </c>
      <c r="B3357" t="s">
        <v>64742</v>
      </c>
      <c r="C3357" t="s">
        <v>64743</v>
      </c>
      <c r="D3357" t="s">
        <v>64744</v>
      </c>
      <c r="E3357" t="s">
        <v>64745</v>
      </c>
      <c r="F3357" t="s">
        <v>64746</v>
      </c>
      <c r="G3357" t="s">
        <v>64747</v>
      </c>
      <c r="H3357" t="s">
        <v>64748</v>
      </c>
      <c r="I3357" t="s">
        <v>64749</v>
      </c>
      <c r="J3357" t="s">
        <v>64750</v>
      </c>
      <c r="K3357" t="s">
        <v>64751</v>
      </c>
      <c r="L3357" t="s">
        <v>64752</v>
      </c>
      <c r="M3357" t="s">
        <v>64753</v>
      </c>
      <c r="N3357">
        <f>-682.128077787021 -20.2136938106548 -528.676777865385</f>
        <v>-1231.0185494630609</v>
      </c>
      <c r="O3357">
        <f>-675.817680595245 -173.413436311769 -499.957959909356</f>
        <v>-1349.1890768163701</v>
      </c>
      <c r="P3357">
        <f>-680.03997282249 -185.091075334856 -218.134561382836</f>
        <v>-1083.2656095401819</v>
      </c>
      <c r="Q3357">
        <f>-468.515256363823 -112.595903353671 -280.985959299378</f>
        <v>-862.09711901687206</v>
      </c>
      <c r="R3357" t="s">
        <v>64754</v>
      </c>
      <c r="S3357" t="s">
        <v>64755</v>
      </c>
      <c r="T3357" t="s">
        <v>64756</v>
      </c>
      <c r="U3357" t="s">
        <v>64757</v>
      </c>
      <c r="V3357">
        <f>-607.768467447726 -64.651306625208 -93.45096508262</f>
        <v>-765.87073915555402</v>
      </c>
      <c r="W3357" t="s">
        <v>64758</v>
      </c>
      <c r="X3357" t="s">
        <v>64759</v>
      </c>
      <c r="Y3357" t="s">
        <v>64760</v>
      </c>
    </row>
    <row r="3358" spans="1:25" x14ac:dyDescent="0.3">
      <c r="A3358">
        <v>167850</v>
      </c>
      <c r="B3358" t="s">
        <v>64761</v>
      </c>
      <c r="C3358" t="s">
        <v>64762</v>
      </c>
      <c r="D3358" t="s">
        <v>64763</v>
      </c>
      <c r="E3358" t="s">
        <v>64764</v>
      </c>
      <c r="F3358" t="s">
        <v>64765</v>
      </c>
      <c r="G3358" t="s">
        <v>64766</v>
      </c>
      <c r="H3358" t="s">
        <v>64767</v>
      </c>
      <c r="I3358" t="s">
        <v>64768</v>
      </c>
      <c r="J3358" t="s">
        <v>64769</v>
      </c>
      <c r="K3358" t="s">
        <v>64770</v>
      </c>
      <c r="L3358" t="s">
        <v>64771</v>
      </c>
      <c r="M3358" t="s">
        <v>64772</v>
      </c>
      <c r="N3358">
        <f>-682.387088159517 -20.3138026780091 -528.549333603179</f>
        <v>-1231.2502244407051</v>
      </c>
      <c r="O3358">
        <f>-676.068503135815 -173.471806604648 -499.556424348698</f>
        <v>-1349.0967340891611</v>
      </c>
      <c r="P3358">
        <f>-679.737618915095 -185.143651791436 -217.725005857423</f>
        <v>-1082.606276563954</v>
      </c>
      <c r="Q3358">
        <f>-469.583258343939 -111.671419705657 -283.94839764834</f>
        <v>-865.20307569793601</v>
      </c>
      <c r="R3358" t="s">
        <v>64773</v>
      </c>
      <c r="S3358" t="s">
        <v>64774</v>
      </c>
      <c r="T3358" t="s">
        <v>64775</v>
      </c>
      <c r="U3358" t="s">
        <v>64776</v>
      </c>
      <c r="V3358">
        <f>-607.832192284032 -64.3827571032489 -93.4135083086547</f>
        <v>-765.62845769593559</v>
      </c>
      <c r="W3358" t="s">
        <v>64777</v>
      </c>
      <c r="X3358" t="s">
        <v>64778</v>
      </c>
      <c r="Y3358" t="s">
        <v>64779</v>
      </c>
    </row>
    <row r="3359" spans="1:25" x14ac:dyDescent="0.3">
      <c r="A3359">
        <v>167900</v>
      </c>
      <c r="B3359" t="s">
        <v>64780</v>
      </c>
      <c r="C3359" t="s">
        <v>64781</v>
      </c>
      <c r="D3359" t="s">
        <v>64782</v>
      </c>
      <c r="E3359" t="s">
        <v>64783</v>
      </c>
      <c r="F3359" t="s">
        <v>64784</v>
      </c>
      <c r="G3359" t="s">
        <v>64785</v>
      </c>
      <c r="H3359" t="s">
        <v>64786</v>
      </c>
      <c r="I3359" t="s">
        <v>64787</v>
      </c>
      <c r="J3359" t="s">
        <v>64788</v>
      </c>
      <c r="K3359" t="s">
        <v>64789</v>
      </c>
      <c r="L3359" t="s">
        <v>64790</v>
      </c>
      <c r="M3359" t="s">
        <v>64791</v>
      </c>
      <c r="N3359">
        <f>-682.870659950823 -20.3491664805422 -528.329729823693</f>
        <v>-1231.5495562550582</v>
      </c>
      <c r="O3359">
        <f>-676.490675864892 -173.431643776697 -498.961437277696</f>
        <v>-1348.8837569192849</v>
      </c>
      <c r="P3359">
        <f>-678.854327077412 -185.420388932087 -217.129411660748</f>
        <v>-1081.4041276702469</v>
      </c>
      <c r="Q3359">
        <f>-471.269871063928 -110.343903550831 -289.384101709157</f>
        <v>-870.99787632391599</v>
      </c>
      <c r="R3359" t="s">
        <v>64792</v>
      </c>
      <c r="S3359" t="s">
        <v>64793</v>
      </c>
      <c r="T3359" t="s">
        <v>64794</v>
      </c>
      <c r="U3359" t="s">
        <v>64795</v>
      </c>
      <c r="V3359">
        <f>-607.892831989978 -63.9974565091345 -93.3284875787106</f>
        <v>-765.21877607782312</v>
      </c>
      <c r="W3359" t="s">
        <v>64796</v>
      </c>
      <c r="X3359" t="s">
        <v>64797</v>
      </c>
      <c r="Y3359" t="s">
        <v>64798</v>
      </c>
    </row>
    <row r="3360" spans="1:25" x14ac:dyDescent="0.3">
      <c r="A3360">
        <v>167950</v>
      </c>
      <c r="B3360" t="s">
        <v>64799</v>
      </c>
      <c r="C3360" t="s">
        <v>64800</v>
      </c>
      <c r="D3360" t="s">
        <v>64801</v>
      </c>
      <c r="E3360" t="s">
        <v>64802</v>
      </c>
      <c r="F3360" t="s">
        <v>64803</v>
      </c>
      <c r="G3360" t="s">
        <v>64804</v>
      </c>
      <c r="H3360" t="s">
        <v>64805</v>
      </c>
      <c r="I3360" t="s">
        <v>64806</v>
      </c>
      <c r="J3360" t="s">
        <v>64807</v>
      </c>
      <c r="K3360" t="s">
        <v>64808</v>
      </c>
      <c r="L3360" t="s">
        <v>64809</v>
      </c>
      <c r="M3360" t="s">
        <v>64810</v>
      </c>
      <c r="N3360">
        <f>-683.139526339932 -20.2536631803112 -528.241660303692</f>
        <v>-1231.6348498239352</v>
      </c>
      <c r="O3360">
        <f>-676.679237094238 -173.318307783781 -498.773976980799</f>
        <v>-1348.771521858818</v>
      </c>
      <c r="P3360">
        <f>-678.509429125936 -185.726254143548 -216.956222819138</f>
        <v>-1081.1919060886219</v>
      </c>
      <c r="Q3360">
        <f>-472.268098499358 -109.753782921809 -292.064197471105</f>
        <v>-874.08607889227198</v>
      </c>
      <c r="R3360" t="s">
        <v>64811</v>
      </c>
      <c r="S3360" t="s">
        <v>64812</v>
      </c>
      <c r="T3360" t="s">
        <v>64813</v>
      </c>
      <c r="U3360" t="s">
        <v>64814</v>
      </c>
      <c r="V3360">
        <f>-607.915328428623 -63.8406024214933 -93.3152194668755</f>
        <v>-765.07115031699175</v>
      </c>
      <c r="W3360" t="s">
        <v>64815</v>
      </c>
      <c r="X3360" t="s">
        <v>64816</v>
      </c>
      <c r="Y3360" t="s">
        <v>64817</v>
      </c>
    </row>
    <row r="3361" spans="1:25" x14ac:dyDescent="0.3">
      <c r="A3361">
        <v>168000</v>
      </c>
      <c r="B3361" t="s">
        <v>64818</v>
      </c>
      <c r="C3361" t="s">
        <v>64819</v>
      </c>
      <c r="D3361" t="s">
        <v>64820</v>
      </c>
      <c r="E3361" t="s">
        <v>64821</v>
      </c>
      <c r="F3361" t="s">
        <v>64822</v>
      </c>
      <c r="G3361" t="s">
        <v>64823</v>
      </c>
      <c r="H3361" t="s">
        <v>64824</v>
      </c>
      <c r="I3361" t="s">
        <v>64825</v>
      </c>
      <c r="J3361" t="s">
        <v>64826</v>
      </c>
      <c r="K3361" t="s">
        <v>64827</v>
      </c>
      <c r="L3361" t="s">
        <v>64828</v>
      </c>
      <c r="M3361" t="s">
        <v>64829</v>
      </c>
      <c r="N3361">
        <f>-683.657853397338 -19.8698018937359 -528.137373906305</f>
        <v>-1231.665029197379</v>
      </c>
      <c r="O3361">
        <f>-677.219945308957 -172.920540098698 -498.628072965617</f>
        <v>-1348.7685583732718</v>
      </c>
      <c r="P3361">
        <f>-677.898250016615 -186.582979765148 -216.86307360203</f>
        <v>-1081.344303383793</v>
      </c>
      <c r="Q3361">
        <f>-474.345501745777 -108.410416085436 -296.887334708204</f>
        <v>-879.64325253941706</v>
      </c>
      <c r="R3361" t="s">
        <v>64830</v>
      </c>
      <c r="S3361" t="s">
        <v>64831</v>
      </c>
      <c r="T3361" t="s">
        <v>64832</v>
      </c>
      <c r="U3361" t="s">
        <v>64833</v>
      </c>
      <c r="V3361">
        <f>-608.005728885985 -63.5633629282897 -93.3055109320103</f>
        <v>-764.87460274628506</v>
      </c>
      <c r="W3361" t="s">
        <v>64834</v>
      </c>
      <c r="X3361" t="s">
        <v>64835</v>
      </c>
      <c r="Y3361" t="s">
        <v>64836</v>
      </c>
    </row>
    <row r="3362" spans="1:25" x14ac:dyDescent="0.3">
      <c r="A3362">
        <v>168050</v>
      </c>
      <c r="B3362" t="s">
        <v>64837</v>
      </c>
      <c r="C3362" t="s">
        <v>64838</v>
      </c>
      <c r="D3362" t="s">
        <v>64839</v>
      </c>
      <c r="E3362" t="s">
        <v>64840</v>
      </c>
      <c r="F3362" t="s">
        <v>64841</v>
      </c>
      <c r="G3362" t="s">
        <v>64842</v>
      </c>
      <c r="H3362" t="s">
        <v>64843</v>
      </c>
      <c r="I3362" t="s">
        <v>64844</v>
      </c>
      <c r="J3362" t="s">
        <v>64845</v>
      </c>
      <c r="K3362" t="s">
        <v>64846</v>
      </c>
      <c r="L3362" t="s">
        <v>64847</v>
      </c>
      <c r="M3362" t="s">
        <v>64848</v>
      </c>
      <c r="N3362">
        <f>-683.81467041101 -19.7265734349235 -528.106556100337</f>
        <v>-1231.6477999462704</v>
      </c>
      <c r="O3362">
        <f>-677.488659891726 -172.788962498573 -498.60735595378</f>
        <v>-1348.8849783440789</v>
      </c>
      <c r="P3362">
        <f>-677.485996306388 -187.207422274254 -216.879340111625</f>
        <v>-1081.5727586922669</v>
      </c>
      <c r="Q3362">
        <f>-475.109025271519 -107.904537689012 -298.752273317257</f>
        <v>-881.76583627778791</v>
      </c>
      <c r="R3362" t="s">
        <v>64849</v>
      </c>
      <c r="S3362" t="s">
        <v>64850</v>
      </c>
      <c r="T3362" t="s">
        <v>64851</v>
      </c>
      <c r="U3362" t="s">
        <v>64852</v>
      </c>
      <c r="V3362">
        <f>-608.046518456951 -63.5252945194902 -93.3039153467176</f>
        <v>-764.87572832315891</v>
      </c>
      <c r="W3362" t="s">
        <v>64853</v>
      </c>
      <c r="X3362" t="s">
        <v>64854</v>
      </c>
      <c r="Y3362" t="s">
        <v>64855</v>
      </c>
    </row>
    <row r="3363" spans="1:25" x14ac:dyDescent="0.3">
      <c r="A3363">
        <v>168100</v>
      </c>
      <c r="B3363" t="s">
        <v>64856</v>
      </c>
      <c r="C3363" t="s">
        <v>64857</v>
      </c>
      <c r="D3363" t="s">
        <v>64858</v>
      </c>
      <c r="E3363" t="s">
        <v>64859</v>
      </c>
      <c r="F3363" t="s">
        <v>64860</v>
      </c>
      <c r="G3363" t="s">
        <v>64861</v>
      </c>
      <c r="H3363" t="s">
        <v>64862</v>
      </c>
      <c r="I3363" t="s">
        <v>64863</v>
      </c>
      <c r="J3363" t="s">
        <v>64864</v>
      </c>
      <c r="K3363" t="s">
        <v>64865</v>
      </c>
      <c r="L3363" t="s">
        <v>64866</v>
      </c>
      <c r="M3363" t="s">
        <v>64867</v>
      </c>
      <c r="N3363">
        <f>-684.164984692184 -19.3635714123363 -528.037199105459</f>
        <v>-1231.5657552099792</v>
      </c>
      <c r="O3363">
        <f>-678.161608064733 -172.465081502922 -498.694746843602</f>
        <v>-1349.3214364112569</v>
      </c>
      <c r="P3363">
        <f>-676.988425376903 -187.771950210594 -217.016000382926</f>
        <v>-1081.776375970423</v>
      </c>
      <c r="Q3363">
        <f>-476.508303103542 -106.843601396211 -301.909165719805</f>
        <v>-885.26107021955795</v>
      </c>
      <c r="R3363" t="s">
        <v>64868</v>
      </c>
      <c r="S3363" t="s">
        <v>64869</v>
      </c>
      <c r="T3363" t="s">
        <v>64870</v>
      </c>
      <c r="U3363" t="s">
        <v>64871</v>
      </c>
      <c r="V3363">
        <f>-608.031867125685 -63.5743677521452 -93.2907668364926</f>
        <v>-764.89700171432287</v>
      </c>
      <c r="W3363" t="s">
        <v>64872</v>
      </c>
      <c r="X3363" t="s">
        <v>64873</v>
      </c>
      <c r="Y3363" t="s">
        <v>64874</v>
      </c>
    </row>
    <row r="3364" spans="1:25" x14ac:dyDescent="0.3">
      <c r="A3364">
        <v>168150</v>
      </c>
      <c r="B3364" t="s">
        <v>64875</v>
      </c>
      <c r="C3364" t="s">
        <v>64876</v>
      </c>
      <c r="D3364" t="s">
        <v>64877</v>
      </c>
      <c r="E3364" t="s">
        <v>64878</v>
      </c>
      <c r="F3364" t="s">
        <v>64879</v>
      </c>
      <c r="G3364" t="s">
        <v>64880</v>
      </c>
      <c r="H3364" t="s">
        <v>64881</v>
      </c>
      <c r="I3364" t="s">
        <v>64882</v>
      </c>
      <c r="J3364" t="s">
        <v>64883</v>
      </c>
      <c r="K3364" t="s">
        <v>64884</v>
      </c>
      <c r="L3364" t="s">
        <v>64885</v>
      </c>
      <c r="M3364" t="s">
        <v>64886</v>
      </c>
      <c r="N3364">
        <f>-684.398398031496 -19.1615601196606 -528.002207504886</f>
        <v>-1231.5621656560425</v>
      </c>
      <c r="O3364">
        <f>-678.54447791954 -172.285121624253 -498.734756284482</f>
        <v>-1349.564355828275</v>
      </c>
      <c r="P3364">
        <f>-676.790172892201 -187.940209438068 -217.078200280385</f>
        <v>-1081.808582610654</v>
      </c>
      <c r="Q3364">
        <f>-476.99310734508 -106.560114108324 -303.141850575789</f>
        <v>-886.69507202919294</v>
      </c>
      <c r="R3364" t="s">
        <v>64887</v>
      </c>
      <c r="S3364" t="s">
        <v>64888</v>
      </c>
      <c r="T3364" t="s">
        <v>64889</v>
      </c>
      <c r="U3364" t="s">
        <v>64890</v>
      </c>
      <c r="V3364">
        <f>-607.990241585176 -63.6588808590636 -93.2842323984887</f>
        <v>-764.93335484272836</v>
      </c>
      <c r="W3364" t="s">
        <v>64891</v>
      </c>
      <c r="X3364" t="s">
        <v>64892</v>
      </c>
      <c r="Y3364" t="s">
        <v>64893</v>
      </c>
    </row>
    <row r="3365" spans="1:25" x14ac:dyDescent="0.3">
      <c r="A3365">
        <v>168200</v>
      </c>
      <c r="B3365" t="s">
        <v>64894</v>
      </c>
      <c r="C3365" t="s">
        <v>64895</v>
      </c>
      <c r="D3365" t="s">
        <v>64896</v>
      </c>
      <c r="E3365" t="s">
        <v>64897</v>
      </c>
      <c r="F3365" t="s">
        <v>64898</v>
      </c>
      <c r="G3365" t="s">
        <v>64899</v>
      </c>
      <c r="H3365" t="s">
        <v>64900</v>
      </c>
      <c r="I3365" t="s">
        <v>64901</v>
      </c>
      <c r="J3365" t="s">
        <v>64902</v>
      </c>
      <c r="K3365" t="s">
        <v>64903</v>
      </c>
      <c r="L3365" t="s">
        <v>64904</v>
      </c>
      <c r="M3365" t="s">
        <v>64905</v>
      </c>
      <c r="N3365">
        <f>-684.71591815698 -18.7125881773725 -527.961875358924</f>
        <v>-1231.3903816932766</v>
      </c>
      <c r="O3365">
        <f>-679.097586933462 -171.895894422604 -498.973203294412</f>
        <v>-1349.9666846504779</v>
      </c>
      <c r="P3365">
        <f>-676.494995119241 -188.683703367234 -217.3884017534</f>
        <v>-1082.5671002398749</v>
      </c>
      <c r="Q3365">
        <f>-477.705881900543 -106.3472321942 -304.864689072483</f>
        <v>-888.917803167226</v>
      </c>
      <c r="R3365" t="s">
        <v>64906</v>
      </c>
      <c r="S3365" t="s">
        <v>64907</v>
      </c>
      <c r="T3365" t="s">
        <v>64908</v>
      </c>
      <c r="U3365" t="s">
        <v>64909</v>
      </c>
      <c r="V3365">
        <f>-607.842817348302 -63.9161847979744 -93.2804755150997</f>
        <v>-765.03947766137617</v>
      </c>
      <c r="W3365" t="s">
        <v>64910</v>
      </c>
      <c r="X3365" t="s">
        <v>64911</v>
      </c>
      <c r="Y3365" t="s">
        <v>64912</v>
      </c>
    </row>
    <row r="3366" spans="1:25" x14ac:dyDescent="0.3">
      <c r="A3366">
        <v>168250</v>
      </c>
      <c r="B3366" t="s">
        <v>64913</v>
      </c>
      <c r="C3366" t="s">
        <v>64914</v>
      </c>
      <c r="D3366" t="s">
        <v>64915</v>
      </c>
      <c r="E3366" t="s">
        <v>64916</v>
      </c>
      <c r="F3366" t="s">
        <v>64917</v>
      </c>
      <c r="G3366" t="s">
        <v>64918</v>
      </c>
      <c r="H3366" t="s">
        <v>64919</v>
      </c>
      <c r="I3366" t="s">
        <v>64920</v>
      </c>
      <c r="J3366" t="s">
        <v>64921</v>
      </c>
      <c r="K3366" t="s">
        <v>64922</v>
      </c>
      <c r="L3366" t="s">
        <v>64923</v>
      </c>
      <c r="M3366" t="s">
        <v>64924</v>
      </c>
      <c r="N3366">
        <f>-684.780631025035 -18.3384957377991 -527.988539900155</f>
        <v>-1231.1076666629892</v>
      </c>
      <c r="O3366">
        <f>-679.309805397737 -171.572793702325 -499.187614665864</f>
        <v>-1350.0702137659259</v>
      </c>
      <c r="P3366">
        <f>-676.406751731322 -189.097310767457 -217.650675401538</f>
        <v>-1083.1547379003168</v>
      </c>
      <c r="Q3366">
        <f>-477.930194162623 -106.295327269734 -305.396937070837</f>
        <v>-889.62245850319403</v>
      </c>
      <c r="R3366" t="s">
        <v>64925</v>
      </c>
      <c r="S3366" t="s">
        <v>64926</v>
      </c>
      <c r="T3366" t="s">
        <v>64927</v>
      </c>
      <c r="U3366" t="s">
        <v>64928</v>
      </c>
      <c r="V3366">
        <f>-607.757217374183 -64.0606647141533 -93.2776791654705</f>
        <v>-765.09556125380686</v>
      </c>
      <c r="W3366" t="s">
        <v>64929</v>
      </c>
      <c r="X3366" t="s">
        <v>64930</v>
      </c>
      <c r="Y3366" t="s">
        <v>64931</v>
      </c>
    </row>
    <row r="3367" spans="1:25" x14ac:dyDescent="0.3">
      <c r="A3367">
        <v>168300</v>
      </c>
      <c r="B3367" t="s">
        <v>64932</v>
      </c>
      <c r="C3367" t="s">
        <v>64933</v>
      </c>
      <c r="D3367" t="s">
        <v>64934</v>
      </c>
      <c r="E3367" t="s">
        <v>64935</v>
      </c>
      <c r="F3367" t="s">
        <v>64936</v>
      </c>
      <c r="G3367" t="s">
        <v>64937</v>
      </c>
      <c r="H3367" t="s">
        <v>64938</v>
      </c>
      <c r="I3367" t="s">
        <v>64939</v>
      </c>
      <c r="J3367" t="s">
        <v>64940</v>
      </c>
      <c r="K3367" t="s">
        <v>64941</v>
      </c>
      <c r="L3367" t="s">
        <v>64942</v>
      </c>
      <c r="M3367" t="s">
        <v>64943</v>
      </c>
      <c r="N3367">
        <f>-684.760152538562 -17.6386243993827 -528.045805386334</f>
        <v>-1230.4445823242786</v>
      </c>
      <c r="O3367">
        <f>-679.580945125491 -170.93805324636 -499.626767994711</f>
        <v>-1350.1457663665619</v>
      </c>
      <c r="P3367">
        <f>-676.414312307696 -189.584100647486 -218.164761853306</f>
        <v>-1084.1631748084881</v>
      </c>
      <c r="Q3367">
        <f>-478.669902963241 -105.682772955547 -306.517807689445</f>
        <v>-890.87048360823303</v>
      </c>
      <c r="R3367" t="s">
        <v>64944</v>
      </c>
      <c r="S3367" t="s">
        <v>64945</v>
      </c>
      <c r="T3367" t="s">
        <v>64946</v>
      </c>
      <c r="U3367" t="s">
        <v>64947</v>
      </c>
      <c r="V3367">
        <f>-607.608040082253 -64.3221202579591 -93.2685673079242</f>
        <v>-765.19872764813624</v>
      </c>
      <c r="W3367" t="s">
        <v>64948</v>
      </c>
      <c r="X3367" t="s">
        <v>64949</v>
      </c>
      <c r="Y3367" t="s">
        <v>64950</v>
      </c>
    </row>
    <row r="3368" spans="1:25" x14ac:dyDescent="0.3">
      <c r="A3368">
        <v>168350</v>
      </c>
      <c r="B3368" t="s">
        <v>64951</v>
      </c>
      <c r="C3368" t="s">
        <v>64952</v>
      </c>
      <c r="D3368" t="s">
        <v>64953</v>
      </c>
      <c r="E3368" t="s">
        <v>64954</v>
      </c>
      <c r="F3368" t="s">
        <v>64955</v>
      </c>
      <c r="G3368" t="s">
        <v>64956</v>
      </c>
      <c r="H3368" t="s">
        <v>64957</v>
      </c>
      <c r="I3368" t="s">
        <v>64958</v>
      </c>
      <c r="J3368" t="s">
        <v>64959</v>
      </c>
      <c r="K3368" t="s">
        <v>64960</v>
      </c>
      <c r="L3368" t="s">
        <v>64961</v>
      </c>
      <c r="M3368" t="s">
        <v>64962</v>
      </c>
      <c r="N3368">
        <f>-684.765863493446 -17.4054586087473 -528.046655038528</f>
        <v>-1230.2179771407214</v>
      </c>
      <c r="O3368">
        <f>-679.675516908488 -170.746740272857 -499.794666713503</f>
        <v>-1350.2169238948479</v>
      </c>
      <c r="P3368">
        <f>-676.757859705494 -189.873918630806 -218.362309554711</f>
        <v>-1084.9940878910108</v>
      </c>
      <c r="Q3368">
        <f>-479.184269180342 -105.639189138868 -306.780082384628</f>
        <v>-891.60354070383801</v>
      </c>
      <c r="R3368" t="s">
        <v>64963</v>
      </c>
      <c r="S3368" t="s">
        <v>64964</v>
      </c>
      <c r="T3368" t="s">
        <v>64965</v>
      </c>
      <c r="U3368" t="s">
        <v>64966</v>
      </c>
      <c r="V3368">
        <f>-607.529466455972 -64.4290852287613 -93.2646085454563</f>
        <v>-765.22316023018971</v>
      </c>
      <c r="W3368" t="s">
        <v>64967</v>
      </c>
      <c r="X3368" t="s">
        <v>64968</v>
      </c>
      <c r="Y3368" t="s">
        <v>64969</v>
      </c>
    </row>
    <row r="3369" spans="1:25" x14ac:dyDescent="0.3">
      <c r="A3369">
        <v>168400</v>
      </c>
      <c r="B3369" t="s">
        <v>64970</v>
      </c>
      <c r="C3369" t="s">
        <v>64971</v>
      </c>
      <c r="D3369" t="s">
        <v>64972</v>
      </c>
      <c r="E3369" t="s">
        <v>64973</v>
      </c>
      <c r="F3369" t="s">
        <v>64974</v>
      </c>
      <c r="G3369" t="s">
        <v>64975</v>
      </c>
      <c r="H3369" t="s">
        <v>64976</v>
      </c>
      <c r="I3369" t="s">
        <v>64977</v>
      </c>
      <c r="J3369" t="s">
        <v>64978</v>
      </c>
      <c r="K3369" t="s">
        <v>64979</v>
      </c>
      <c r="L3369" t="s">
        <v>64980</v>
      </c>
      <c r="M3369" t="s">
        <v>64981</v>
      </c>
      <c r="N3369">
        <f>-684.741076050447 -16.8268249072714 -528.089504202144</f>
        <v>-1229.6574051598623</v>
      </c>
      <c r="O3369">
        <f>-679.842300932531 -170.234547673082 -500.180837297003</f>
        <v>-1350.257685902616</v>
      </c>
      <c r="P3369">
        <f>-677.447812988133 -189.915146571102 -218.78168946879</f>
        <v>-1086.144649028025</v>
      </c>
      <c r="Q3369">
        <f>-479.778165409189 -105.70504637553 -307.008193834341</f>
        <v>-892.49140561906006</v>
      </c>
      <c r="R3369" t="s">
        <v>64982</v>
      </c>
      <c r="S3369" t="s">
        <v>64983</v>
      </c>
      <c r="T3369" t="s">
        <v>64984</v>
      </c>
      <c r="U3369" t="s">
        <v>64985</v>
      </c>
      <c r="V3369">
        <f>-607.391420624769 -64.5768201147748 -93.2583115331915</f>
        <v>-765.22655227273538</v>
      </c>
      <c r="W3369" t="s">
        <v>64986</v>
      </c>
      <c r="X3369" t="s">
        <v>64987</v>
      </c>
      <c r="Y3369" t="s">
        <v>64988</v>
      </c>
    </row>
    <row r="3370" spans="1:25" x14ac:dyDescent="0.3">
      <c r="A3370">
        <v>168450</v>
      </c>
      <c r="B3370" t="s">
        <v>64989</v>
      </c>
      <c r="C3370" t="s">
        <v>64990</v>
      </c>
      <c r="D3370" t="s">
        <v>64991</v>
      </c>
      <c r="E3370" t="s">
        <v>64992</v>
      </c>
      <c r="F3370" t="s">
        <v>64993</v>
      </c>
      <c r="G3370" t="s">
        <v>64994</v>
      </c>
      <c r="H3370" t="s">
        <v>64995</v>
      </c>
      <c r="I3370" t="s">
        <v>64996</v>
      </c>
      <c r="J3370" t="s">
        <v>64997</v>
      </c>
      <c r="K3370" t="s">
        <v>64998</v>
      </c>
      <c r="L3370" t="s">
        <v>64999</v>
      </c>
      <c r="M3370" t="s">
        <v>65000</v>
      </c>
      <c r="N3370">
        <f>-684.721329745138 -16.6692998425351 -528.083043416891</f>
        <v>-1229.473673004564</v>
      </c>
      <c r="O3370">
        <f>-679.851462107584 -170.099084275193 -500.310892548416</f>
        <v>-1350.261438931193</v>
      </c>
      <c r="P3370">
        <f>-677.915379827904 -189.975624079157 -218.921977555246</f>
        <v>-1086.8129814623069</v>
      </c>
      <c r="Q3370">
        <f>-480.197226967825 -106.061675542592 -307.321698135923</f>
        <v>-893.58060064633992</v>
      </c>
      <c r="R3370" t="s">
        <v>65001</v>
      </c>
      <c r="S3370" t="s">
        <v>65002</v>
      </c>
      <c r="T3370" t="s">
        <v>65003</v>
      </c>
      <c r="U3370" t="s">
        <v>65004</v>
      </c>
      <c r="V3370">
        <f>-607.300735516371 -64.6510105400807 -93.2564313429625</f>
        <v>-765.20817739941424</v>
      </c>
      <c r="W3370" t="s">
        <v>65005</v>
      </c>
      <c r="X3370" t="s">
        <v>65006</v>
      </c>
      <c r="Y3370" t="s">
        <v>65007</v>
      </c>
    </row>
    <row r="3371" spans="1:25" x14ac:dyDescent="0.3">
      <c r="A3371">
        <v>168500</v>
      </c>
      <c r="B3371" t="s">
        <v>65008</v>
      </c>
      <c r="C3371" t="s">
        <v>65009</v>
      </c>
      <c r="D3371" t="s">
        <v>65010</v>
      </c>
      <c r="E3371" t="s">
        <v>65011</v>
      </c>
      <c r="F3371" t="s">
        <v>65012</v>
      </c>
      <c r="G3371" t="s">
        <v>65013</v>
      </c>
      <c r="H3371" t="s">
        <v>65014</v>
      </c>
      <c r="I3371" t="s">
        <v>65015</v>
      </c>
      <c r="J3371" t="s">
        <v>65016</v>
      </c>
      <c r="K3371" t="s">
        <v>65017</v>
      </c>
      <c r="L3371" t="s">
        <v>65018</v>
      </c>
      <c r="M3371" t="s">
        <v>65019</v>
      </c>
      <c r="N3371">
        <f>-684.612307115184 -16.0888691099387 -528.102855249287</f>
        <v>-1228.8040314744098</v>
      </c>
      <c r="O3371">
        <f>-680.042958182958 -169.565360084784 -500.484985316795</f>
        <v>-1350.0933035845371</v>
      </c>
      <c r="P3371">
        <f>-678.168186294161 -189.557530701495 -219.103689842892</f>
        <v>-1086.829406838548</v>
      </c>
      <c r="Q3371">
        <f>-480.204738859948 -106.812285562527 -308.054403552179</f>
        <v>-895.07142797465406</v>
      </c>
      <c r="R3371" t="s">
        <v>65020</v>
      </c>
      <c r="S3371" t="s">
        <v>65021</v>
      </c>
      <c r="T3371" t="s">
        <v>65022</v>
      </c>
      <c r="U3371" t="s">
        <v>65023</v>
      </c>
      <c r="V3371">
        <f>-607.223195771247 -64.5915214140089 -93.2387836976641</f>
        <v>-765.05350088291993</v>
      </c>
      <c r="W3371" t="s">
        <v>65024</v>
      </c>
      <c r="X3371" t="s">
        <v>65025</v>
      </c>
      <c r="Y3371" t="s">
        <v>65026</v>
      </c>
    </row>
    <row r="3372" spans="1:25" x14ac:dyDescent="0.3">
      <c r="A3372">
        <v>168550</v>
      </c>
      <c r="B3372" t="s">
        <v>65027</v>
      </c>
      <c r="C3372" t="s">
        <v>65028</v>
      </c>
      <c r="D3372" t="s">
        <v>65029</v>
      </c>
      <c r="E3372" t="s">
        <v>65030</v>
      </c>
      <c r="F3372" t="s">
        <v>65031</v>
      </c>
      <c r="G3372" t="s">
        <v>65032</v>
      </c>
      <c r="H3372" t="s">
        <v>65033</v>
      </c>
      <c r="I3372" t="s">
        <v>65034</v>
      </c>
      <c r="J3372" t="s">
        <v>65035</v>
      </c>
      <c r="K3372" t="s">
        <v>65036</v>
      </c>
      <c r="L3372" t="s">
        <v>65037</v>
      </c>
      <c r="M3372" t="s">
        <v>65038</v>
      </c>
      <c r="N3372">
        <f>-684.709673420163 -15.4534268975874 -528.101403466443</f>
        <v>-1228.2645037841935</v>
      </c>
      <c r="O3372">
        <f>-680.346223138121 -168.95091119197 -500.582246221167</f>
        <v>-1349.879380551258</v>
      </c>
      <c r="P3372">
        <f>-678.432562233812 -189.077663888668 -219.210997934032</f>
        <v>-1086.721224056512</v>
      </c>
      <c r="Q3372">
        <f>-480.326404511217 -107.27544092217 -308.714385236895</f>
        <v>-896.31623067028204</v>
      </c>
      <c r="R3372" t="s">
        <v>65039</v>
      </c>
      <c r="S3372" t="s">
        <v>65040</v>
      </c>
      <c r="T3372" t="s">
        <v>65041</v>
      </c>
      <c r="U3372" t="s">
        <v>65042</v>
      </c>
      <c r="V3372">
        <f>-607.344438755609 -64.3742494582232 -93.2304433057396</f>
        <v>-764.94913151957178</v>
      </c>
      <c r="W3372" t="s">
        <v>65043</v>
      </c>
      <c r="X3372" t="s">
        <v>65044</v>
      </c>
      <c r="Y3372" t="s">
        <v>65045</v>
      </c>
    </row>
    <row r="3373" spans="1:25" x14ac:dyDescent="0.3">
      <c r="A3373">
        <v>168600</v>
      </c>
      <c r="B3373" t="s">
        <v>65046</v>
      </c>
      <c r="C3373" t="s">
        <v>65047</v>
      </c>
      <c r="D3373" t="s">
        <v>65048</v>
      </c>
      <c r="E3373" t="s">
        <v>65049</v>
      </c>
      <c r="F3373" t="s">
        <v>65050</v>
      </c>
      <c r="G3373" t="s">
        <v>65051</v>
      </c>
      <c r="H3373" t="s">
        <v>65052</v>
      </c>
      <c r="I3373" t="s">
        <v>65053</v>
      </c>
      <c r="J3373" t="s">
        <v>65054</v>
      </c>
      <c r="K3373" t="s">
        <v>65055</v>
      </c>
      <c r="L3373" t="s">
        <v>65056</v>
      </c>
      <c r="M3373" t="s">
        <v>65057</v>
      </c>
      <c r="N3373">
        <f>-684.808352252945 -15.0926158807131 -528.087703315352</f>
        <v>-1227.9886714490101</v>
      </c>
      <c r="O3373">
        <f>-680.522106909456 -168.602888249972 -500.628337268817</f>
        <v>-1349.7533324282451</v>
      </c>
      <c r="P3373">
        <f>-678.759583860154 -188.711324830099 -219.254698610533</f>
        <v>-1086.7256073007859</v>
      </c>
      <c r="Q3373">
        <f>-480.597637413804 -107.272392237385 -308.965594524373</f>
        <v>-896.83562417556209</v>
      </c>
      <c r="R3373" t="s">
        <v>65058</v>
      </c>
      <c r="S3373" t="s">
        <v>65059</v>
      </c>
      <c r="T3373" t="s">
        <v>65060</v>
      </c>
      <c r="U3373" t="s">
        <v>65061</v>
      </c>
      <c r="V3373">
        <f>-607.406702557739 -64.2434486577274 -93.2198535801185</f>
        <v>-764.87000479558492</v>
      </c>
      <c r="W3373" t="s">
        <v>65062</v>
      </c>
      <c r="X3373" t="s">
        <v>65063</v>
      </c>
      <c r="Y3373" t="s">
        <v>65064</v>
      </c>
    </row>
    <row r="3374" spans="1:25" x14ac:dyDescent="0.3">
      <c r="A3374">
        <v>168650</v>
      </c>
      <c r="B3374" t="s">
        <v>65065</v>
      </c>
      <c r="C3374" t="s">
        <v>65066</v>
      </c>
      <c r="D3374" t="s">
        <v>65067</v>
      </c>
      <c r="E3374" t="s">
        <v>65068</v>
      </c>
      <c r="F3374" t="s">
        <v>65069</v>
      </c>
      <c r="G3374" t="s">
        <v>65070</v>
      </c>
      <c r="H3374" t="s">
        <v>65071</v>
      </c>
      <c r="I3374" t="s">
        <v>65072</v>
      </c>
      <c r="J3374" t="s">
        <v>65073</v>
      </c>
      <c r="K3374" t="s">
        <v>65074</v>
      </c>
      <c r="L3374" t="s">
        <v>65075</v>
      </c>
      <c r="M3374" t="s">
        <v>65076</v>
      </c>
      <c r="N3374">
        <f>-684.73669987792 -14.4763934981784 -528.069084751127</f>
        <v>-1227.2821781272255</v>
      </c>
      <c r="O3374">
        <f>-680.601907711919 -167.994436250031 -500.657141304961</f>
        <v>-1349.253485266911</v>
      </c>
      <c r="P3374">
        <f>-679.180516753643 -188.559667646484 -219.314679711939</f>
        <v>-1087.0548641120658</v>
      </c>
      <c r="Q3374">
        <f>-480.938542786693 -107.695283464137 -309.368060447</f>
        <v>-898.00188669783006</v>
      </c>
      <c r="R3374" t="s">
        <v>65077</v>
      </c>
      <c r="S3374" t="s">
        <v>65078</v>
      </c>
      <c r="T3374" t="s">
        <v>65079</v>
      </c>
      <c r="U3374" t="s">
        <v>65080</v>
      </c>
      <c r="V3374">
        <f>-607.356214889591 -63.9394318830896 -93.1892084064367</f>
        <v>-764.48485517911729</v>
      </c>
      <c r="W3374" t="s">
        <v>65081</v>
      </c>
      <c r="X3374" t="s">
        <v>65082</v>
      </c>
      <c r="Y3374" t="s">
        <v>65083</v>
      </c>
    </row>
    <row r="3375" spans="1:25" x14ac:dyDescent="0.3">
      <c r="A3375">
        <v>168700</v>
      </c>
      <c r="B3375" t="s">
        <v>65084</v>
      </c>
      <c r="C3375" t="s">
        <v>65085</v>
      </c>
      <c r="D3375" t="s">
        <v>65086</v>
      </c>
      <c r="E3375" t="s">
        <v>65087</v>
      </c>
      <c r="F3375" t="s">
        <v>65088</v>
      </c>
      <c r="G3375" t="s">
        <v>65089</v>
      </c>
      <c r="H3375" t="s">
        <v>65090</v>
      </c>
      <c r="I3375" t="s">
        <v>65091</v>
      </c>
      <c r="J3375" t="s">
        <v>65092</v>
      </c>
      <c r="K3375" t="s">
        <v>65093</v>
      </c>
      <c r="L3375" t="s">
        <v>65094</v>
      </c>
      <c r="M3375" t="s">
        <v>65095</v>
      </c>
      <c r="N3375">
        <f>-684.723055440032 -14.2356910225678 -528.055155527459</f>
        <v>-1227.0139019900589</v>
      </c>
      <c r="O3375">
        <f>-680.641511534108 -167.764923874611 -500.666125417712</f>
        <v>-1349.0725608264311</v>
      </c>
      <c r="P3375">
        <f>-679.50111585381 -188.336614496973 -219.322851056433</f>
        <v>-1087.1605814072159</v>
      </c>
      <c r="Q3375">
        <f>-481.096210925337 -107.875807380373 -309.378792760542</f>
        <v>-898.35081106625194</v>
      </c>
      <c r="R3375" t="s">
        <v>65096</v>
      </c>
      <c r="S3375" t="s">
        <v>65097</v>
      </c>
      <c r="T3375" t="s">
        <v>65098</v>
      </c>
      <c r="U3375" t="s">
        <v>65099</v>
      </c>
      <c r="V3375">
        <f>-607.287894243363 -63.8078386332684 -93.1720824849599</f>
        <v>-764.26781536159126</v>
      </c>
      <c r="W3375" t="s">
        <v>65100</v>
      </c>
      <c r="X3375" t="s">
        <v>65101</v>
      </c>
      <c r="Y3375" t="s">
        <v>65102</v>
      </c>
    </row>
    <row r="3376" spans="1:25" x14ac:dyDescent="0.3">
      <c r="A3376">
        <v>168750</v>
      </c>
      <c r="B3376" t="s">
        <v>65103</v>
      </c>
      <c r="C3376" t="s">
        <v>65104</v>
      </c>
      <c r="D3376" t="s">
        <v>65105</v>
      </c>
      <c r="E3376" t="s">
        <v>65106</v>
      </c>
      <c r="F3376" t="s">
        <v>65107</v>
      </c>
      <c r="G3376" t="s">
        <v>65108</v>
      </c>
      <c r="H3376" t="s">
        <v>65109</v>
      </c>
      <c r="I3376" t="s">
        <v>65110</v>
      </c>
      <c r="J3376" t="s">
        <v>65111</v>
      </c>
      <c r="K3376" t="s">
        <v>65112</v>
      </c>
      <c r="L3376" t="s">
        <v>65113</v>
      </c>
      <c r="M3376" t="s">
        <v>65114</v>
      </c>
      <c r="N3376">
        <f>-684.727400070982 -13.9817030450984 -528.031514100314</f>
        <v>-1226.7406172163942</v>
      </c>
      <c r="O3376">
        <f>-680.735255262756 -167.517626044869 -500.637608488266</f>
        <v>-1348.890489795891</v>
      </c>
      <c r="P3376">
        <f>-679.806278189654 -188.108580396988 -219.294784685707</f>
        <v>-1087.209643272349</v>
      </c>
      <c r="Q3376">
        <f>-481.196441487388 -108.002674635263 -309.215557101144</f>
        <v>-898.41467322379492</v>
      </c>
      <c r="R3376" t="s">
        <v>65115</v>
      </c>
      <c r="S3376" t="s">
        <v>65116</v>
      </c>
      <c r="T3376" t="s">
        <v>65117</v>
      </c>
      <c r="U3376" t="s">
        <v>65118</v>
      </c>
      <c r="V3376">
        <f>-607.24560016211 -63.6836377966463 -93.148918328772</f>
        <v>-764.07815628752826</v>
      </c>
      <c r="W3376" t="s">
        <v>65119</v>
      </c>
      <c r="X3376" t="s">
        <v>65120</v>
      </c>
      <c r="Y3376" t="s">
        <v>65121</v>
      </c>
    </row>
    <row r="3377" spans="1:25" x14ac:dyDescent="0.3">
      <c r="A3377">
        <v>168800</v>
      </c>
      <c r="B3377" t="s">
        <v>65122</v>
      </c>
      <c r="C3377" t="s">
        <v>65123</v>
      </c>
      <c r="D3377" t="s">
        <v>65124</v>
      </c>
      <c r="E3377" t="s">
        <v>65125</v>
      </c>
      <c r="F3377" t="s">
        <v>65126</v>
      </c>
      <c r="G3377" t="s">
        <v>65127</v>
      </c>
      <c r="H3377" t="s">
        <v>65128</v>
      </c>
      <c r="I3377" t="s">
        <v>65129</v>
      </c>
      <c r="J3377" t="s">
        <v>65130</v>
      </c>
      <c r="K3377" t="s">
        <v>65131</v>
      </c>
      <c r="L3377" t="s">
        <v>65132</v>
      </c>
      <c r="M3377" t="s">
        <v>65133</v>
      </c>
      <c r="N3377">
        <f>-684.419832873388 -13.3586544471787 -528.045130953474</f>
        <v>-1225.8236182740407</v>
      </c>
      <c r="O3377">
        <f>-680.637062423586 -166.891675665799 -500.637748882352</f>
        <v>-1348.166486971737</v>
      </c>
      <c r="P3377">
        <f>-680.03983719826 -187.390089370705 -219.28742468692</f>
        <v>-1086.717351255885</v>
      </c>
      <c r="Q3377">
        <f>-481.04192678826 -107.794632975352 -308.802188542941</f>
        <v>-897.638748306553</v>
      </c>
      <c r="R3377" t="s">
        <v>65134</v>
      </c>
      <c r="S3377" t="s">
        <v>65135</v>
      </c>
      <c r="T3377" t="s">
        <v>65136</v>
      </c>
      <c r="U3377" t="s">
        <v>65137</v>
      </c>
      <c r="V3377">
        <f>-607.20247819553 -63.3175400103203 -93.1349872302343</f>
        <v>-763.65500543608459</v>
      </c>
      <c r="W3377" t="s">
        <v>65138</v>
      </c>
      <c r="X3377" t="s">
        <v>65139</v>
      </c>
      <c r="Y3377" t="s">
        <v>65140</v>
      </c>
    </row>
    <row r="3378" spans="1:25" x14ac:dyDescent="0.3">
      <c r="A3378">
        <v>168850</v>
      </c>
      <c r="B3378" t="s">
        <v>65141</v>
      </c>
      <c r="C3378" t="s">
        <v>65142</v>
      </c>
      <c r="D3378" t="s">
        <v>65143</v>
      </c>
      <c r="E3378" t="s">
        <v>65144</v>
      </c>
      <c r="F3378" t="s">
        <v>65145</v>
      </c>
      <c r="G3378" t="s">
        <v>65146</v>
      </c>
      <c r="H3378" t="s">
        <v>65147</v>
      </c>
      <c r="I3378" t="s">
        <v>65148</v>
      </c>
      <c r="J3378" t="s">
        <v>65149</v>
      </c>
      <c r="K3378" t="s">
        <v>65150</v>
      </c>
      <c r="L3378" t="s">
        <v>65151</v>
      </c>
      <c r="M3378" t="s">
        <v>65152</v>
      </c>
      <c r="N3378">
        <f>-684.242253708876 -13.1072584438557 -528.064926191002</f>
        <v>-1225.4144383437338</v>
      </c>
      <c r="O3378">
        <f>-680.584203682206 -166.639152736268 -500.628655177088</f>
        <v>-1347.8520115955619</v>
      </c>
      <c r="P3378">
        <f>-679.941456076032 -187.268869988537 -219.2879569039</f>
        <v>-1086.4982829684691</v>
      </c>
      <c r="Q3378">
        <f>-480.942320632388 -107.473943737338 -308.622162065442</f>
        <v>-897.03842643516793</v>
      </c>
      <c r="R3378" t="s">
        <v>65153</v>
      </c>
      <c r="S3378" t="s">
        <v>65154</v>
      </c>
      <c r="T3378" t="s">
        <v>65155</v>
      </c>
      <c r="U3378" t="s">
        <v>65156</v>
      </c>
      <c r="V3378">
        <f>-607.215456523827 -63.1790364430449 -93.1365709200566</f>
        <v>-763.53106388692845</v>
      </c>
      <c r="W3378" t="s">
        <v>65157</v>
      </c>
      <c r="X3378" t="s">
        <v>65158</v>
      </c>
      <c r="Y3378" t="s">
        <v>65159</v>
      </c>
    </row>
    <row r="3379" spans="1:25" x14ac:dyDescent="0.3">
      <c r="A3379">
        <v>168900</v>
      </c>
      <c r="B3379" t="s">
        <v>65160</v>
      </c>
      <c r="C3379" t="s">
        <v>65161</v>
      </c>
      <c r="D3379" t="s">
        <v>65162</v>
      </c>
      <c r="E3379" t="s">
        <v>65163</v>
      </c>
      <c r="F3379" t="s">
        <v>65164</v>
      </c>
      <c r="G3379" t="s">
        <v>65165</v>
      </c>
      <c r="H3379" t="s">
        <v>65166</v>
      </c>
      <c r="I3379" t="s">
        <v>65167</v>
      </c>
      <c r="J3379" t="s">
        <v>65168</v>
      </c>
      <c r="K3379" t="s">
        <v>65169</v>
      </c>
      <c r="L3379" t="s">
        <v>65170</v>
      </c>
      <c r="M3379" t="s">
        <v>65171</v>
      </c>
      <c r="N3379">
        <f>-683.711120303711 -12.6856010346903 -528.098666141745</f>
        <v>-1224.4953874801463</v>
      </c>
      <c r="O3379">
        <f>-680.1988616468 -166.223549135223 -500.68928667414</f>
        <v>-1347.111697456163</v>
      </c>
      <c r="P3379">
        <f>-679.831005633548 -187.214572120674 -219.374881042044</f>
        <v>-1086.4204587962661</v>
      </c>
      <c r="Q3379">
        <f>-480.867452408487 -106.94124119589 -308.359331729276</f>
        <v>-896.16802533365308</v>
      </c>
      <c r="R3379" t="s">
        <v>65172</v>
      </c>
      <c r="S3379" t="s">
        <v>65173</v>
      </c>
      <c r="T3379" t="s">
        <v>65174</v>
      </c>
      <c r="U3379" t="s">
        <v>65175</v>
      </c>
      <c r="V3379">
        <f>-607.090101200831 -62.9633623108959 -93.1399238971359</f>
        <v>-763.1933874088628</v>
      </c>
      <c r="W3379" t="s">
        <v>65176</v>
      </c>
      <c r="X3379" t="s">
        <v>65177</v>
      </c>
      <c r="Y3379" t="s">
        <v>65178</v>
      </c>
    </row>
    <row r="3380" spans="1:25" x14ac:dyDescent="0.3">
      <c r="A3380">
        <v>168950</v>
      </c>
      <c r="B3380" t="s">
        <v>65179</v>
      </c>
      <c r="C3380" t="s">
        <v>65180</v>
      </c>
      <c r="D3380" t="s">
        <v>65181</v>
      </c>
      <c r="E3380" t="s">
        <v>65182</v>
      </c>
      <c r="F3380" t="s">
        <v>65183</v>
      </c>
      <c r="G3380" t="s">
        <v>65184</v>
      </c>
      <c r="H3380" t="s">
        <v>65185</v>
      </c>
      <c r="I3380" t="s">
        <v>65186</v>
      </c>
      <c r="J3380" t="s">
        <v>65187</v>
      </c>
      <c r="K3380" t="s">
        <v>65188</v>
      </c>
      <c r="L3380" t="s">
        <v>65189</v>
      </c>
      <c r="M3380" t="s">
        <v>65190</v>
      </c>
      <c r="N3380">
        <f>-683.448835399191 -12.4428231913998 -528.119989007821</f>
        <v>-1224.0116475984119</v>
      </c>
      <c r="O3380">
        <f>-679.986915688941 -165.985620807608 -500.746241801116</f>
        <v>-1346.718778297665</v>
      </c>
      <c r="P3380">
        <f>-679.80871337072 -187.062634269341 -219.438016083245</f>
        <v>-1086.309363723306</v>
      </c>
      <c r="Q3380">
        <f>-480.754100505726 -106.674184609868 -308.11445334364</f>
        <v>-895.54273845923399</v>
      </c>
      <c r="R3380" t="s">
        <v>65191</v>
      </c>
      <c r="S3380" t="s">
        <v>65192</v>
      </c>
      <c r="T3380" t="s">
        <v>65193</v>
      </c>
      <c r="U3380" t="s">
        <v>65194</v>
      </c>
      <c r="V3380">
        <f>-606.980742728068 -62.865122344014 -93.140523074057</f>
        <v>-762.98638814613901</v>
      </c>
      <c r="W3380" t="s">
        <v>65195</v>
      </c>
      <c r="X3380" t="s">
        <v>65196</v>
      </c>
      <c r="Y3380" t="s">
        <v>65197</v>
      </c>
    </row>
    <row r="3381" spans="1:25" x14ac:dyDescent="0.3">
      <c r="A3381">
        <v>169000</v>
      </c>
      <c r="B3381" t="s">
        <v>65198</v>
      </c>
      <c r="C3381" t="s">
        <v>65199</v>
      </c>
      <c r="D3381" t="s">
        <v>65200</v>
      </c>
      <c r="E3381" t="s">
        <v>65201</v>
      </c>
      <c r="F3381" t="s">
        <v>65202</v>
      </c>
      <c r="G3381" t="s">
        <v>65203</v>
      </c>
      <c r="H3381" t="s">
        <v>65204</v>
      </c>
      <c r="I3381" t="s">
        <v>65205</v>
      </c>
      <c r="J3381" t="s">
        <v>65206</v>
      </c>
      <c r="K3381" t="s">
        <v>65207</v>
      </c>
      <c r="L3381" t="s">
        <v>65208</v>
      </c>
      <c r="M3381" t="s">
        <v>65209</v>
      </c>
      <c r="N3381">
        <f>-682.874766989581 -12.0296459733456 -528.187155838631</f>
        <v>-1223.0915688015575</v>
      </c>
      <c r="O3381">
        <f>-679.422285275146 -165.602576377824 -500.914242323705</f>
        <v>-1345.9391039766751</v>
      </c>
      <c r="P3381">
        <f>-679.674830382693 -186.963290780416 -219.627535950497</f>
        <v>-1086.265657113606</v>
      </c>
      <c r="Q3381">
        <f>-480.543936455648 -106.32550572294 -307.905251322081</f>
        <v>-894.77469350066895</v>
      </c>
      <c r="R3381" t="s">
        <v>65210</v>
      </c>
      <c r="S3381" t="s">
        <v>65211</v>
      </c>
      <c r="T3381" t="s">
        <v>65212</v>
      </c>
      <c r="U3381" t="s">
        <v>65213</v>
      </c>
      <c r="V3381">
        <f>-606.697250821552 -62.7038693878687 -93.1474011978809</f>
        <v>-762.54852140730156</v>
      </c>
      <c r="W3381" t="s">
        <v>65214</v>
      </c>
      <c r="X3381" t="s">
        <v>65215</v>
      </c>
      <c r="Y3381" t="s">
        <v>65216</v>
      </c>
    </row>
    <row r="3382" spans="1:25" x14ac:dyDescent="0.3">
      <c r="A3382">
        <v>169050</v>
      </c>
      <c r="B3382" t="s">
        <v>65217</v>
      </c>
      <c r="C3382" t="s">
        <v>65218</v>
      </c>
      <c r="D3382" t="s">
        <v>65219</v>
      </c>
      <c r="E3382" t="s">
        <v>65220</v>
      </c>
      <c r="F3382" t="s">
        <v>65221</v>
      </c>
      <c r="G3382" t="s">
        <v>65222</v>
      </c>
      <c r="H3382" t="s">
        <v>65223</v>
      </c>
      <c r="I3382" t="s">
        <v>65224</v>
      </c>
      <c r="J3382" t="s">
        <v>65225</v>
      </c>
      <c r="K3382" t="s">
        <v>65226</v>
      </c>
      <c r="L3382" t="s">
        <v>65227</v>
      </c>
      <c r="M3382" t="s">
        <v>65228</v>
      </c>
      <c r="N3382">
        <f>-682.436256853611 -11.6909042680427 -528.271227574988</f>
        <v>-1222.3983886966416</v>
      </c>
      <c r="O3382">
        <f>-678.991855378461 -165.269020407584 -501.069625461546</f>
        <v>-1345.330501247591</v>
      </c>
      <c r="P3382">
        <f>-679.364950578198 -186.835135915952 -219.798617431895</f>
        <v>-1085.998703926045</v>
      </c>
      <c r="Q3382">
        <f>-480.197604156252 -106.068724807438 -307.876337510637</f>
        <v>-894.14266647432703</v>
      </c>
      <c r="R3382" t="s">
        <v>65229</v>
      </c>
      <c r="S3382" t="s">
        <v>65230</v>
      </c>
      <c r="T3382" t="s">
        <v>65231</v>
      </c>
      <c r="U3382" t="s">
        <v>65232</v>
      </c>
      <c r="V3382">
        <f>-606.571071874835 -62.6238365990152 -93.155352334847</f>
        <v>-762.35026080869716</v>
      </c>
      <c r="W3382" t="s">
        <v>65233</v>
      </c>
      <c r="X3382" t="s">
        <v>65234</v>
      </c>
      <c r="Y3382" t="s">
        <v>65235</v>
      </c>
    </row>
    <row r="3383" spans="1:25" x14ac:dyDescent="0.3">
      <c r="A3383">
        <v>169100</v>
      </c>
      <c r="B3383" t="s">
        <v>65236</v>
      </c>
      <c r="C3383" t="s">
        <v>65237</v>
      </c>
      <c r="D3383" t="s">
        <v>65238</v>
      </c>
      <c r="E3383" t="s">
        <v>65239</v>
      </c>
      <c r="F3383" t="s">
        <v>65240</v>
      </c>
      <c r="G3383" t="s">
        <v>65241</v>
      </c>
      <c r="H3383" t="s">
        <v>65242</v>
      </c>
      <c r="I3383" t="s">
        <v>65243</v>
      </c>
      <c r="J3383" t="s">
        <v>65244</v>
      </c>
      <c r="K3383" t="s">
        <v>65245</v>
      </c>
      <c r="L3383" t="s">
        <v>65246</v>
      </c>
      <c r="M3383" t="s">
        <v>65247</v>
      </c>
      <c r="N3383">
        <f>-681.538805658035 -11.2276511411046 -528.450249947158</f>
        <v>-1221.2167067462976</v>
      </c>
      <c r="O3383">
        <f>-677.995156295923 -164.825307981645 -501.382494790402</f>
        <v>-1344.2029590679699</v>
      </c>
      <c r="P3383">
        <f>-678.624346387381 -186.939556855363 -220.154523946504</f>
        <v>-1085.7184271892479</v>
      </c>
      <c r="Q3383">
        <f>-479.407548072737 -105.69611472648 -307.679918610242</f>
        <v>-892.78358140945898</v>
      </c>
      <c r="R3383" t="s">
        <v>65248</v>
      </c>
      <c r="S3383" t="s">
        <v>65249</v>
      </c>
      <c r="T3383" t="s">
        <v>65250</v>
      </c>
      <c r="U3383" t="s">
        <v>65251</v>
      </c>
      <c r="V3383">
        <f>-606.421541108837 -62.4328529451559 -93.2059259683886</f>
        <v>-762.06032002238146</v>
      </c>
      <c r="W3383" t="s">
        <v>65252</v>
      </c>
      <c r="X3383" t="s">
        <v>65253</v>
      </c>
      <c r="Y3383" t="s">
        <v>65254</v>
      </c>
    </row>
    <row r="3384" spans="1:25" x14ac:dyDescent="0.3">
      <c r="A3384">
        <v>169150</v>
      </c>
      <c r="B3384" t="s">
        <v>65255</v>
      </c>
      <c r="C3384" t="s">
        <v>65256</v>
      </c>
      <c r="D3384" t="s">
        <v>65257</v>
      </c>
      <c r="E3384" t="s">
        <v>65258</v>
      </c>
      <c r="F3384" t="s">
        <v>65259</v>
      </c>
      <c r="G3384" t="s">
        <v>65260</v>
      </c>
      <c r="H3384" t="s">
        <v>65261</v>
      </c>
      <c r="I3384" t="s">
        <v>65262</v>
      </c>
      <c r="J3384" t="s">
        <v>65263</v>
      </c>
      <c r="K3384" t="s">
        <v>65264</v>
      </c>
      <c r="L3384" t="s">
        <v>65265</v>
      </c>
      <c r="M3384" t="s">
        <v>65266</v>
      </c>
      <c r="N3384">
        <f>-681.13741874704 -11.0506470959174 -528.5237001621</f>
        <v>-1220.7117660050574</v>
      </c>
      <c r="O3384">
        <f>-677.567797226341 -164.656898749809 -501.50111666042</f>
        <v>-1343.72581263657</v>
      </c>
      <c r="P3384">
        <f>-678.311463237753 -187.117567578877 -220.301008651627</f>
        <v>-1085.730039468257</v>
      </c>
      <c r="Q3384">
        <f>-479.027313467405 -105.535517778225 -307.356728766333</f>
        <v>-891.91956001196309</v>
      </c>
      <c r="R3384" t="s">
        <v>65267</v>
      </c>
      <c r="S3384" t="s">
        <v>65268</v>
      </c>
      <c r="T3384" t="s">
        <v>65269</v>
      </c>
      <c r="U3384" t="s">
        <v>65270</v>
      </c>
      <c r="V3384">
        <f>-606.322994668382 -62.3474053637835 -93.2377243382523</f>
        <v>-761.9081243704178</v>
      </c>
      <c r="W3384" t="s">
        <v>65271</v>
      </c>
      <c r="X3384" t="s">
        <v>65272</v>
      </c>
      <c r="Y3384" t="s">
        <v>65273</v>
      </c>
    </row>
    <row r="3385" spans="1:25" x14ac:dyDescent="0.3">
      <c r="A3385">
        <v>169200</v>
      </c>
      <c r="B3385" t="s">
        <v>65274</v>
      </c>
      <c r="C3385" t="s">
        <v>65275</v>
      </c>
      <c r="D3385" t="s">
        <v>65276</v>
      </c>
      <c r="E3385" t="s">
        <v>65277</v>
      </c>
      <c r="F3385" t="s">
        <v>65278</v>
      </c>
      <c r="G3385" t="s">
        <v>65279</v>
      </c>
      <c r="H3385" t="s">
        <v>65280</v>
      </c>
      <c r="I3385" t="s">
        <v>65281</v>
      </c>
      <c r="J3385" t="s">
        <v>65282</v>
      </c>
      <c r="K3385" t="s">
        <v>65283</v>
      </c>
      <c r="L3385" t="s">
        <v>65284</v>
      </c>
      <c r="M3385" t="s">
        <v>65285</v>
      </c>
      <c r="N3385">
        <f>-680.250649854875 -10.7345264278504 -528.714274447515</f>
        <v>-1219.6994507302402</v>
      </c>
      <c r="O3385">
        <f>-676.689923204646 -164.361673094993 -501.796923289623</f>
        <v>-1342.848519589262</v>
      </c>
      <c r="P3385">
        <f>-677.895602972298 -187.244388988437 -220.632436304628</f>
        <v>-1085.772428265363</v>
      </c>
      <c r="Q3385">
        <f>-478.587249386108 -104.726240990867 -306.745401414825</f>
        <v>-890.05889179179997</v>
      </c>
      <c r="R3385" t="s">
        <v>65286</v>
      </c>
      <c r="S3385" t="s">
        <v>65287</v>
      </c>
      <c r="T3385" t="s">
        <v>65288</v>
      </c>
      <c r="U3385" t="s">
        <v>65289</v>
      </c>
      <c r="V3385">
        <f>-606.117557839378 -62.2348723970604 -93.3085572956766</f>
        <v>-761.66098753211497</v>
      </c>
      <c r="W3385" t="s">
        <v>65290</v>
      </c>
      <c r="X3385" t="s">
        <v>65291</v>
      </c>
      <c r="Y3385" t="s">
        <v>65292</v>
      </c>
    </row>
    <row r="3386" spans="1:25" x14ac:dyDescent="0.3">
      <c r="A3386">
        <v>169250</v>
      </c>
      <c r="B3386" t="s">
        <v>65293</v>
      </c>
      <c r="C3386" t="s">
        <v>65294</v>
      </c>
      <c r="D3386" t="s">
        <v>65295</v>
      </c>
      <c r="E3386" t="s">
        <v>65296</v>
      </c>
      <c r="F3386" t="s">
        <v>65297</v>
      </c>
      <c r="G3386" t="s">
        <v>65298</v>
      </c>
      <c r="H3386" t="s">
        <v>65299</v>
      </c>
      <c r="I3386" t="s">
        <v>65300</v>
      </c>
      <c r="J3386" t="s">
        <v>65301</v>
      </c>
      <c r="K3386" t="s">
        <v>65302</v>
      </c>
      <c r="L3386" t="s">
        <v>65303</v>
      </c>
      <c r="M3386" t="s">
        <v>65304</v>
      </c>
      <c r="N3386">
        <f>-679.776718055628 -10.6010714505812 -528.813021757802</f>
        <v>-1219.1908112640112</v>
      </c>
      <c r="O3386">
        <f>-676.23426853086 -164.231938070144 -501.949067393027</f>
        <v>-1342.4152739940309</v>
      </c>
      <c r="P3386">
        <f>-677.806783263948 -187.198238193556 -220.793058411417</f>
        <v>-1085.7980798689209</v>
      </c>
      <c r="Q3386">
        <f>-478.589362712887 -104.192212307938 -306.647423895477</f>
        <v>-889.42899891630202</v>
      </c>
      <c r="R3386" t="s">
        <v>65305</v>
      </c>
      <c r="S3386" t="s">
        <v>65306</v>
      </c>
      <c r="T3386" t="s">
        <v>65307</v>
      </c>
      <c r="U3386" t="s">
        <v>65308</v>
      </c>
      <c r="V3386">
        <f>-606.008097772014 -62.1746479112317 -93.3469023176393</f>
        <v>-761.529648000885</v>
      </c>
      <c r="W3386" t="s">
        <v>65309</v>
      </c>
      <c r="X3386" t="s">
        <v>65310</v>
      </c>
      <c r="Y3386" t="s">
        <v>65311</v>
      </c>
    </row>
    <row r="3387" spans="1:25" x14ac:dyDescent="0.3">
      <c r="A3387">
        <v>169300</v>
      </c>
      <c r="B3387" t="s">
        <v>65312</v>
      </c>
      <c r="C3387" t="s">
        <v>65313</v>
      </c>
      <c r="D3387" t="s">
        <v>65314</v>
      </c>
      <c r="E3387" t="s">
        <v>65315</v>
      </c>
      <c r="F3387" t="s">
        <v>65316</v>
      </c>
      <c r="G3387" t="s">
        <v>65317</v>
      </c>
      <c r="H3387" t="s">
        <v>65318</v>
      </c>
      <c r="I3387" t="s">
        <v>65319</v>
      </c>
      <c r="J3387" t="s">
        <v>65320</v>
      </c>
      <c r="K3387" t="s">
        <v>65321</v>
      </c>
      <c r="L3387" t="s">
        <v>65322</v>
      </c>
      <c r="M3387" t="s">
        <v>65323</v>
      </c>
      <c r="N3387">
        <f>-678.705875531331 -10.342339590424 -529.018890261989</f>
        <v>-1218.0671053837441</v>
      </c>
      <c r="O3387">
        <f>-675.231744343185 -163.985656094466 -502.21015862546</f>
        <v>-1341.4275590631109</v>
      </c>
      <c r="P3387">
        <f>-677.317653031851 -187.121602077683 -221.071411290639</f>
        <v>-1085.510666400173</v>
      </c>
      <c r="Q3387">
        <f>-478.135129923502 -103.510273334604 -306.417987144038</f>
        <v>-888.06339040214402</v>
      </c>
      <c r="R3387" t="s">
        <v>65324</v>
      </c>
      <c r="S3387" t="s">
        <v>65325</v>
      </c>
      <c r="T3387" t="s">
        <v>65326</v>
      </c>
      <c r="U3387" t="s">
        <v>65327</v>
      </c>
      <c r="V3387">
        <f>-605.677108917791 -62.1264023102933 -93.4174984485577</f>
        <v>-761.22100967664198</v>
      </c>
      <c r="W3387" t="s">
        <v>65328</v>
      </c>
      <c r="X3387" t="s">
        <v>65329</v>
      </c>
      <c r="Y3387" t="s">
        <v>65330</v>
      </c>
    </row>
    <row r="3388" spans="1:25" x14ac:dyDescent="0.3">
      <c r="A3388">
        <v>169350</v>
      </c>
      <c r="B3388" t="s">
        <v>65331</v>
      </c>
      <c r="C3388" t="s">
        <v>65332</v>
      </c>
      <c r="D3388" t="s">
        <v>65333</v>
      </c>
      <c r="E3388" t="s">
        <v>65334</v>
      </c>
      <c r="F3388" t="s">
        <v>65335</v>
      </c>
      <c r="G3388" t="s">
        <v>65336</v>
      </c>
      <c r="H3388" t="s">
        <v>65337</v>
      </c>
      <c r="I3388" t="s">
        <v>65338</v>
      </c>
      <c r="J3388" t="s">
        <v>65339</v>
      </c>
      <c r="K3388" t="s">
        <v>65340</v>
      </c>
      <c r="L3388" t="s">
        <v>65341</v>
      </c>
      <c r="M3388" t="s">
        <v>65342</v>
      </c>
      <c r="N3388">
        <f>-678.122748392061 -10.2796162309169 -529.104575949526</f>
        <v>-1217.5069405725039</v>
      </c>
      <c r="O3388">
        <f>-674.630022832968 -163.924993058474 -502.29619938703</f>
        <v>-1340.851215278472</v>
      </c>
      <c r="P3388">
        <f>-676.995109123654 -187.113011467521 -221.163897598062</f>
        <v>-1085.2720181892369</v>
      </c>
      <c r="Q3388">
        <f>-477.8723238382 -103.366501713244 -306.517306463825</f>
        <v>-887.75613201526892</v>
      </c>
      <c r="R3388" t="s">
        <v>65343</v>
      </c>
      <c r="S3388" t="s">
        <v>65344</v>
      </c>
      <c r="T3388" t="s">
        <v>65345</v>
      </c>
      <c r="U3388" t="s">
        <v>65346</v>
      </c>
      <c r="V3388">
        <f>-605.469996600317 -62.0903660582553 -93.4436980019917</f>
        <v>-761.00406066056405</v>
      </c>
      <c r="W3388" t="s">
        <v>65347</v>
      </c>
      <c r="X3388" t="s">
        <v>65348</v>
      </c>
      <c r="Y3388" t="s">
        <v>65349</v>
      </c>
    </row>
    <row r="3389" spans="1:25" x14ac:dyDescent="0.3">
      <c r="A3389">
        <v>169400</v>
      </c>
      <c r="B3389" t="s">
        <v>65350</v>
      </c>
      <c r="C3389" t="s">
        <v>65351</v>
      </c>
      <c r="D3389" t="s">
        <v>65352</v>
      </c>
      <c r="E3389" t="s">
        <v>65353</v>
      </c>
      <c r="F3389" t="s">
        <v>65354</v>
      </c>
      <c r="G3389" t="s">
        <v>65355</v>
      </c>
      <c r="H3389" t="s">
        <v>65356</v>
      </c>
      <c r="I3389" t="s">
        <v>65357</v>
      </c>
      <c r="J3389" t="s">
        <v>65358</v>
      </c>
      <c r="K3389" t="s">
        <v>65359</v>
      </c>
      <c r="L3389" t="s">
        <v>65360</v>
      </c>
      <c r="M3389" t="s">
        <v>65361</v>
      </c>
      <c r="N3389">
        <f>-676.712110350253 -10.0644288958092 -529.290831624539</f>
        <v>-1216.0673708706013</v>
      </c>
      <c r="O3389">
        <f>-673.119688474091 -163.725739551974 -502.559958044271</f>
        <v>-1339.4053860703361</v>
      </c>
      <c r="P3389">
        <f>-676.32366213558 -187.526484548249 -221.487361611096</f>
        <v>-1085.3375082949249</v>
      </c>
      <c r="Q3389">
        <f>-477.249362306109 -103.821552174527 -306.994208800462</f>
        <v>-888.06512328109807</v>
      </c>
      <c r="R3389" t="s">
        <v>65362</v>
      </c>
      <c r="S3389" t="s">
        <v>65363</v>
      </c>
      <c r="T3389" t="s">
        <v>65364</v>
      </c>
      <c r="U3389" t="s">
        <v>65365</v>
      </c>
      <c r="V3389">
        <f>-604.955449585754 -61.8650390834173 -93.4597252272326</f>
        <v>-760.28021389640389</v>
      </c>
      <c r="W3389" t="s">
        <v>65366</v>
      </c>
      <c r="X3389" t="s">
        <v>65367</v>
      </c>
      <c r="Y3389" t="s">
        <v>65368</v>
      </c>
    </row>
    <row r="3390" spans="1:25" x14ac:dyDescent="0.3">
      <c r="A3390">
        <v>169450</v>
      </c>
      <c r="B3390" t="s">
        <v>65369</v>
      </c>
      <c r="C3390" t="s">
        <v>65370</v>
      </c>
      <c r="D3390" t="s">
        <v>65371</v>
      </c>
      <c r="E3390" t="s">
        <v>65372</v>
      </c>
      <c r="F3390" t="s">
        <v>65373</v>
      </c>
      <c r="G3390" t="s">
        <v>65374</v>
      </c>
      <c r="H3390" t="s">
        <v>65375</v>
      </c>
      <c r="I3390" t="s">
        <v>65376</v>
      </c>
      <c r="J3390" t="s">
        <v>65377</v>
      </c>
      <c r="K3390" t="s">
        <v>65378</v>
      </c>
      <c r="L3390" t="s">
        <v>65379</v>
      </c>
      <c r="M3390" t="s">
        <v>65380</v>
      </c>
      <c r="N3390">
        <f>-676.058719811795 -9.89629087399953 -529.385333509637</f>
        <v>-1215.3403441954315</v>
      </c>
      <c r="O3390">
        <f>-672.487234686542 -163.564584399921 -502.714404097316</f>
        <v>-1338.7662231837789</v>
      </c>
      <c r="P3390">
        <f>-675.723727884107 -187.85894411248 -221.684335735665</f>
        <v>-1085.2670077322521</v>
      </c>
      <c r="Q3390">
        <f>-476.899553591035 -104.018202478972 -307.638806059911</f>
        <v>-888.55656212991812</v>
      </c>
      <c r="R3390" t="s">
        <v>65381</v>
      </c>
      <c r="S3390" t="s">
        <v>65382</v>
      </c>
      <c r="T3390" t="s">
        <v>65383</v>
      </c>
      <c r="U3390" t="s">
        <v>65384</v>
      </c>
      <c r="V3390">
        <f>-604.671353309096 -61.7578049510528 -93.4548592615425</f>
        <v>-759.88401752169136</v>
      </c>
      <c r="W3390" t="s">
        <v>65385</v>
      </c>
      <c r="X3390" t="s">
        <v>65386</v>
      </c>
      <c r="Y3390" t="s">
        <v>65387</v>
      </c>
    </row>
    <row r="3391" spans="1:25" x14ac:dyDescent="0.3">
      <c r="A3391">
        <v>169500</v>
      </c>
      <c r="B3391" t="s">
        <v>65388</v>
      </c>
      <c r="C3391" t="s">
        <v>65389</v>
      </c>
      <c r="D3391" t="s">
        <v>65390</v>
      </c>
      <c r="E3391" t="s">
        <v>65391</v>
      </c>
      <c r="F3391" t="s">
        <v>65392</v>
      </c>
      <c r="G3391" t="s">
        <v>65393</v>
      </c>
      <c r="H3391" t="s">
        <v>65394</v>
      </c>
      <c r="I3391" t="s">
        <v>65395</v>
      </c>
      <c r="J3391" t="s">
        <v>65396</v>
      </c>
      <c r="K3391" t="s">
        <v>65397</v>
      </c>
      <c r="L3391" t="s">
        <v>65398</v>
      </c>
      <c r="M3391" t="s">
        <v>65399</v>
      </c>
      <c r="N3391">
        <f>-675.05001509757 -9.64381288604704 -529.492477159573</f>
        <v>-1214.1863051431901</v>
      </c>
      <c r="O3391">
        <f>-671.416514648234 -163.31492753058 -502.859933650806</f>
        <v>-1337.5913758296201</v>
      </c>
      <c r="P3391">
        <f>-674.206875971045 -187.807187833512 -221.842333588614</f>
        <v>-1083.8563973931709</v>
      </c>
      <c r="Q3391">
        <f>-475.932171771941 -103.747673025231 -308.846165247054</f>
        <v>-888.52601004422604</v>
      </c>
      <c r="R3391" t="s">
        <v>65400</v>
      </c>
      <c r="S3391" t="s">
        <v>65401</v>
      </c>
      <c r="T3391" t="s">
        <v>65402</v>
      </c>
      <c r="U3391" t="s">
        <v>65403</v>
      </c>
      <c r="V3391">
        <f>-604.075559775367 -61.5606512775016 -93.4268531909743</f>
        <v>-759.06306424384286</v>
      </c>
      <c r="W3391" t="s">
        <v>65404</v>
      </c>
      <c r="X3391" t="s">
        <v>65405</v>
      </c>
      <c r="Y3391" t="s">
        <v>65406</v>
      </c>
    </row>
    <row r="3392" spans="1:25" x14ac:dyDescent="0.3">
      <c r="A3392">
        <v>169550</v>
      </c>
      <c r="B3392" t="s">
        <v>65407</v>
      </c>
      <c r="C3392" t="s">
        <v>65408</v>
      </c>
      <c r="D3392" t="s">
        <v>65409</v>
      </c>
      <c r="E3392" t="s">
        <v>65410</v>
      </c>
      <c r="F3392" t="s">
        <v>65411</v>
      </c>
      <c r="G3392" t="s">
        <v>65412</v>
      </c>
      <c r="H3392" t="s">
        <v>65413</v>
      </c>
      <c r="I3392" t="s">
        <v>65414</v>
      </c>
      <c r="J3392" t="s">
        <v>65415</v>
      </c>
      <c r="K3392" t="s">
        <v>65416</v>
      </c>
      <c r="L3392" t="s">
        <v>65417</v>
      </c>
      <c r="M3392" t="s">
        <v>65418</v>
      </c>
      <c r="N3392">
        <f>-674.208914197002 -9.40521783509644 -529.545896933059</f>
        <v>-1213.1600289651574</v>
      </c>
      <c r="O3392">
        <f>-670.29001788497 -163.083317205617 -502.974227074722</f>
        <v>-1336.347562165309</v>
      </c>
      <c r="P3392">
        <f>-672.983129465277 -187.945367849708 -221.988018652921</f>
        <v>-1082.916515967906</v>
      </c>
      <c r="Q3392">
        <f>-475.072700752181 -103.44635869924 -309.394392466653</f>
        <v>-887.91345191807397</v>
      </c>
      <c r="R3392" t="s">
        <v>65419</v>
      </c>
      <c r="S3392" t="s">
        <v>65420</v>
      </c>
      <c r="T3392" t="s">
        <v>65421</v>
      </c>
      <c r="U3392" t="s">
        <v>65422</v>
      </c>
      <c r="V3392">
        <f>-603.369769647873 -61.229740258291 -93.3870179060743</f>
        <v>-757.98652781223836</v>
      </c>
      <c r="W3392" t="s">
        <v>65423</v>
      </c>
      <c r="X3392" t="s">
        <v>65424</v>
      </c>
      <c r="Y3392" t="s">
        <v>65425</v>
      </c>
    </row>
    <row r="3393" spans="1:25" x14ac:dyDescent="0.3">
      <c r="A3393">
        <v>169600</v>
      </c>
      <c r="B3393" t="s">
        <v>65426</v>
      </c>
      <c r="C3393" t="s">
        <v>65427</v>
      </c>
      <c r="D3393" t="s">
        <v>65428</v>
      </c>
      <c r="E3393" t="s">
        <v>65429</v>
      </c>
      <c r="F3393" t="s">
        <v>65430</v>
      </c>
      <c r="G3393" t="s">
        <v>65431</v>
      </c>
      <c r="H3393" t="s">
        <v>65432</v>
      </c>
      <c r="I3393" t="s">
        <v>65433</v>
      </c>
      <c r="J3393" t="s">
        <v>65434</v>
      </c>
      <c r="K3393" t="s">
        <v>65435</v>
      </c>
      <c r="L3393" t="s">
        <v>65436</v>
      </c>
      <c r="M3393" t="s">
        <v>65437</v>
      </c>
      <c r="N3393">
        <f>-673.746435526042 -9.31056098534123 -529.575730713923</f>
        <v>-1212.6327272253061</v>
      </c>
      <c r="O3393">
        <f>-669.712581498439 -162.989149564406 -503.027859168084</f>
        <v>-1335.729590230929</v>
      </c>
      <c r="P3393">
        <f>-672.477729612829 -187.898121245551 -222.046663027595</f>
        <v>-1082.4225138859749</v>
      </c>
      <c r="Q3393">
        <f>-474.607819491689 -103.488996242945 -309.631721040189</f>
        <v>-887.72853677482294</v>
      </c>
      <c r="R3393" t="s">
        <v>65438</v>
      </c>
      <c r="S3393" t="s">
        <v>65439</v>
      </c>
      <c r="T3393" t="s">
        <v>65440</v>
      </c>
      <c r="U3393" t="s">
        <v>65441</v>
      </c>
      <c r="V3393">
        <f>-602.941532196905 -61.0915006344751 -93.3584998432692</f>
        <v>-757.39153267464928</v>
      </c>
      <c r="W3393" t="s">
        <v>65442</v>
      </c>
      <c r="X3393" t="s">
        <v>65443</v>
      </c>
      <c r="Y3393" t="s">
        <v>65444</v>
      </c>
    </row>
    <row r="3394" spans="1:25" x14ac:dyDescent="0.3">
      <c r="A3394">
        <v>169650</v>
      </c>
      <c r="B3394" t="s">
        <v>65445</v>
      </c>
      <c r="C3394" t="s">
        <v>65446</v>
      </c>
      <c r="D3394" t="s">
        <v>65447</v>
      </c>
      <c r="E3394" t="s">
        <v>65448</v>
      </c>
      <c r="F3394" t="s">
        <v>65449</v>
      </c>
      <c r="G3394" t="s">
        <v>65450</v>
      </c>
      <c r="H3394" t="s">
        <v>65451</v>
      </c>
      <c r="I3394" t="s">
        <v>65452</v>
      </c>
      <c r="J3394" t="s">
        <v>65453</v>
      </c>
      <c r="K3394" t="s">
        <v>65454</v>
      </c>
      <c r="L3394" t="s">
        <v>65455</v>
      </c>
      <c r="M3394" t="s">
        <v>65456</v>
      </c>
      <c r="N3394">
        <f>-673.246372342758 -9.27481945017894 -529.596642494572</f>
        <v>-1212.1178342875091</v>
      </c>
      <c r="O3394">
        <f>-669.120418716528 -162.943119844889 -503.018762656623</f>
        <v>-1335.0823012180399</v>
      </c>
      <c r="P3394">
        <f>-671.968144180866 -187.897546415023 -222.04224626713</f>
        <v>-1081.9079368630189</v>
      </c>
      <c r="Q3394">
        <f>-474.266813331381 -103.310300506484 -309.835791438614</f>
        <v>-887.41290527647902</v>
      </c>
      <c r="R3394" t="s">
        <v>65457</v>
      </c>
      <c r="S3394" t="s">
        <v>65458</v>
      </c>
      <c r="T3394" t="s">
        <v>65459</v>
      </c>
      <c r="U3394" t="s">
        <v>65460</v>
      </c>
      <c r="V3394">
        <f>-602.529862151421 -60.9625138391666 -93.3338198763582</f>
        <v>-756.8261958669458</v>
      </c>
      <c r="W3394" t="s">
        <v>65461</v>
      </c>
      <c r="X3394" t="s">
        <v>65462</v>
      </c>
      <c r="Y3394" t="s">
        <v>65463</v>
      </c>
    </row>
    <row r="3395" spans="1:25" x14ac:dyDescent="0.3">
      <c r="A3395">
        <v>169700</v>
      </c>
      <c r="B3395" t="s">
        <v>65464</v>
      </c>
      <c r="C3395" t="s">
        <v>65465</v>
      </c>
      <c r="D3395" t="s">
        <v>65466</v>
      </c>
      <c r="E3395" t="s">
        <v>65467</v>
      </c>
      <c r="F3395" t="s">
        <v>65468</v>
      </c>
      <c r="G3395" t="s">
        <v>65469</v>
      </c>
      <c r="H3395" t="s">
        <v>65470</v>
      </c>
      <c r="I3395" t="s">
        <v>65471</v>
      </c>
      <c r="J3395" t="s">
        <v>65472</v>
      </c>
      <c r="K3395" t="s">
        <v>65473</v>
      </c>
      <c r="L3395" t="s">
        <v>65474</v>
      </c>
      <c r="M3395" t="s">
        <v>65475</v>
      </c>
      <c r="N3395">
        <f>-671.946938834165 -9.32577937986594 -529.656931789651</f>
        <v>-1210.9296500036821</v>
      </c>
      <c r="O3395">
        <f>-667.688001628283 -162.973980934937 -502.980213218212</f>
        <v>-1333.6421957814321</v>
      </c>
      <c r="P3395">
        <f>-670.678697111773 -188.186718053453 -222.028316432608</f>
        <v>-1080.8937315978339</v>
      </c>
      <c r="Q3395">
        <f>-473.443461843668 -102.554053580993 -309.856631904456</f>
        <v>-885.85414732911693</v>
      </c>
      <c r="R3395" t="s">
        <v>65476</v>
      </c>
      <c r="S3395" t="s">
        <v>65477</v>
      </c>
      <c r="T3395" t="s">
        <v>65478</v>
      </c>
      <c r="U3395" t="s">
        <v>65479</v>
      </c>
      <c r="V3395">
        <f>-601.845801409315 -60.7181522817855 -93.2903182721319</f>
        <v>-755.85427196323235</v>
      </c>
      <c r="W3395" t="s">
        <v>65480</v>
      </c>
      <c r="X3395" t="s">
        <v>65481</v>
      </c>
      <c r="Y3395" t="s">
        <v>65482</v>
      </c>
    </row>
    <row r="3396" spans="1:25" x14ac:dyDescent="0.3">
      <c r="A3396">
        <v>169750</v>
      </c>
      <c r="B3396" t="s">
        <v>65483</v>
      </c>
      <c r="C3396" t="s">
        <v>65484</v>
      </c>
      <c r="D3396" t="s">
        <v>65485</v>
      </c>
      <c r="E3396" t="s">
        <v>65486</v>
      </c>
      <c r="F3396" t="s">
        <v>65487</v>
      </c>
      <c r="G3396" t="s">
        <v>65488</v>
      </c>
      <c r="H3396" t="s">
        <v>65489</v>
      </c>
      <c r="I3396" t="s">
        <v>65490</v>
      </c>
      <c r="J3396" t="s">
        <v>65491</v>
      </c>
      <c r="K3396" t="s">
        <v>65492</v>
      </c>
      <c r="L3396" t="s">
        <v>65493</v>
      </c>
      <c r="M3396" t="s">
        <v>65494</v>
      </c>
      <c r="N3396">
        <f>-671.128529332153 -9.28824719540307 -529.708437897404</f>
        <v>-1210.1252144249602</v>
      </c>
      <c r="O3396">
        <f>-666.847186357725 -162.920413960753 -502.933316039081</f>
        <v>-1332.700916357559</v>
      </c>
      <c r="P3396">
        <f>-669.758780736655 -187.90629424861 -221.960397839434</f>
        <v>-1079.625472824699</v>
      </c>
      <c r="Q3396">
        <f>-472.787673760355 -101.84082310488 -309.958293235501</f>
        <v>-884.58679010073593</v>
      </c>
      <c r="R3396" t="s">
        <v>65495</v>
      </c>
      <c r="S3396" t="s">
        <v>65496</v>
      </c>
      <c r="T3396" t="s">
        <v>65497</v>
      </c>
      <c r="U3396" t="s">
        <v>65498</v>
      </c>
      <c r="V3396">
        <f>-601.531695612946 -60.6065669345981 -93.2755497412804</f>
        <v>-755.41381228882449</v>
      </c>
      <c r="W3396" t="s">
        <v>65499</v>
      </c>
      <c r="X3396" t="s">
        <v>65500</v>
      </c>
      <c r="Y3396" t="s">
        <v>65501</v>
      </c>
    </row>
    <row r="3397" spans="1:25" x14ac:dyDescent="0.3">
      <c r="A3397">
        <v>169800</v>
      </c>
      <c r="B3397" t="s">
        <v>65502</v>
      </c>
      <c r="C3397" t="s">
        <v>65503</v>
      </c>
      <c r="D3397" t="s">
        <v>65504</v>
      </c>
      <c r="E3397" t="s">
        <v>65505</v>
      </c>
      <c r="F3397" t="s">
        <v>65506</v>
      </c>
      <c r="G3397" t="s">
        <v>65507</v>
      </c>
      <c r="H3397" t="s">
        <v>65508</v>
      </c>
      <c r="I3397" t="s">
        <v>65509</v>
      </c>
      <c r="J3397" t="s">
        <v>65510</v>
      </c>
      <c r="K3397" t="s">
        <v>65511</v>
      </c>
      <c r="L3397" t="s">
        <v>65512</v>
      </c>
      <c r="M3397" t="s">
        <v>65513</v>
      </c>
      <c r="N3397">
        <f>-669.46546951545 -9.28064559264976 -529.785672979443</f>
        <v>-1208.5317880875427</v>
      </c>
      <c r="O3397">
        <f>-665.127618426472 -162.85801765827 -502.720017626877</f>
        <v>-1330.7056537116191</v>
      </c>
      <c r="P3397">
        <f>-668.12898204801 -187.201943342718 -221.691579289512</f>
        <v>-1077.02250468024</v>
      </c>
      <c r="Q3397">
        <f>-471.332600476037 -100.787231338905 -309.738323927004</f>
        <v>-881.85815574194601</v>
      </c>
      <c r="R3397" t="s">
        <v>65514</v>
      </c>
      <c r="S3397" t="s">
        <v>65515</v>
      </c>
      <c r="T3397" t="s">
        <v>65516</v>
      </c>
      <c r="U3397" t="s">
        <v>65517</v>
      </c>
      <c r="V3397">
        <f>-601.004816964603 -60.4433262334244 -93.2438189987887</f>
        <v>-754.69196219681612</v>
      </c>
      <c r="W3397" t="s">
        <v>65518</v>
      </c>
      <c r="X3397" t="s">
        <v>65519</v>
      </c>
      <c r="Y3397" t="s">
        <v>65520</v>
      </c>
    </row>
    <row r="3398" spans="1:25" x14ac:dyDescent="0.3">
      <c r="A3398">
        <v>169850</v>
      </c>
      <c r="B3398" t="s">
        <v>65521</v>
      </c>
      <c r="C3398" t="s">
        <v>65522</v>
      </c>
      <c r="D3398" t="s">
        <v>65523</v>
      </c>
      <c r="E3398" t="s">
        <v>65524</v>
      </c>
      <c r="F3398" t="s">
        <v>65525</v>
      </c>
      <c r="G3398" t="s">
        <v>65526</v>
      </c>
      <c r="H3398" t="s">
        <v>65527</v>
      </c>
      <c r="I3398" t="s">
        <v>65528</v>
      </c>
      <c r="J3398" t="s">
        <v>65529</v>
      </c>
      <c r="K3398" t="s">
        <v>65530</v>
      </c>
      <c r="L3398" t="s">
        <v>65531</v>
      </c>
      <c r="M3398" t="s">
        <v>65532</v>
      </c>
      <c r="N3398">
        <f>-668.132686823701 -9.38211470062129 -529.928000275983</f>
        <v>-1207.4428018003052</v>
      </c>
      <c r="O3398">
        <f>-663.752377709195 -162.928403458102 -502.706607085626</f>
        <v>-1329.3873882529231</v>
      </c>
      <c r="P3398">
        <f>-667.26462902101 -187.10257032232 -221.669470681234</f>
        <v>-1076.036670024564</v>
      </c>
      <c r="Q3398">
        <f>-470.001229496152 -100.643849851485 -308.620904612451</f>
        <v>-879.26598396008796</v>
      </c>
      <c r="R3398" t="s">
        <v>65533</v>
      </c>
      <c r="S3398" t="s">
        <v>65534</v>
      </c>
      <c r="T3398" t="s">
        <v>65535</v>
      </c>
      <c r="U3398" t="s">
        <v>65536</v>
      </c>
      <c r="V3398">
        <f>-600.632424739554 -60.6473610625958 -93.256371068544</f>
        <v>-754.53615687069384</v>
      </c>
      <c r="W3398" t="s">
        <v>65537</v>
      </c>
      <c r="X3398" t="s">
        <v>65538</v>
      </c>
      <c r="Y3398" t="s">
        <v>65539</v>
      </c>
    </row>
    <row r="3399" spans="1:25" x14ac:dyDescent="0.3">
      <c r="A3399">
        <v>169900</v>
      </c>
      <c r="B3399" t="s">
        <v>65540</v>
      </c>
      <c r="C3399" t="s">
        <v>65541</v>
      </c>
      <c r="D3399" t="s">
        <v>65542</v>
      </c>
      <c r="E3399" t="s">
        <v>65543</v>
      </c>
      <c r="F3399" t="s">
        <v>65544</v>
      </c>
      <c r="G3399" t="s">
        <v>65545</v>
      </c>
      <c r="H3399" t="s">
        <v>65546</v>
      </c>
      <c r="I3399" t="s">
        <v>65547</v>
      </c>
      <c r="J3399" t="s">
        <v>65548</v>
      </c>
      <c r="K3399" t="s">
        <v>65549</v>
      </c>
      <c r="L3399" t="s">
        <v>65550</v>
      </c>
      <c r="M3399" t="s">
        <v>65551</v>
      </c>
      <c r="N3399">
        <f>-667.508608462044 -9.47866651313007 -529.961867454289</f>
        <v>-1206.9491424294629</v>
      </c>
      <c r="O3399">
        <f>-663.132315196094 -163.018915491154 -502.696007442718</f>
        <v>-1328.8472381299659</v>
      </c>
      <c r="P3399">
        <f>-666.97220434468 -187.132546122198 -221.657941789241</f>
        <v>-1075.762692256119</v>
      </c>
      <c r="Q3399">
        <f>-469.425097919573 -100.734919889123 -308.024119446159</f>
        <v>-878.18413725485493</v>
      </c>
      <c r="R3399" t="s">
        <v>65552</v>
      </c>
      <c r="S3399" t="s">
        <v>65553</v>
      </c>
      <c r="T3399" t="s">
        <v>65554</v>
      </c>
      <c r="U3399" t="s">
        <v>65555</v>
      </c>
      <c r="V3399">
        <f>-600.387874623765 -60.7237653370405 -93.2540707434915</f>
        <v>-754.36571070429704</v>
      </c>
      <c r="W3399" t="s">
        <v>65556</v>
      </c>
      <c r="X3399" t="s">
        <v>65557</v>
      </c>
      <c r="Y3399" t="s">
        <v>65558</v>
      </c>
    </row>
    <row r="3400" spans="1:25" x14ac:dyDescent="0.3">
      <c r="A3400">
        <v>169950</v>
      </c>
      <c r="B3400" t="s">
        <v>65559</v>
      </c>
      <c r="C3400" t="s">
        <v>65560</v>
      </c>
      <c r="D3400" t="s">
        <v>65561</v>
      </c>
      <c r="E3400" t="s">
        <v>65562</v>
      </c>
      <c r="F3400" t="s">
        <v>65563</v>
      </c>
      <c r="G3400" t="s">
        <v>65564</v>
      </c>
      <c r="H3400" t="s">
        <v>65565</v>
      </c>
      <c r="I3400" t="s">
        <v>65566</v>
      </c>
      <c r="J3400" t="s">
        <v>65567</v>
      </c>
      <c r="K3400" t="s">
        <v>65568</v>
      </c>
      <c r="L3400" t="s">
        <v>65569</v>
      </c>
      <c r="M3400" t="s">
        <v>65570</v>
      </c>
      <c r="N3400">
        <f>-667.010143422074 -9.58269945133134 -529.976623203218</f>
        <v>-1206.5694660766233</v>
      </c>
      <c r="O3400">
        <f>-662.669071472802 -163.105798415972 -502.585815083746</f>
        <v>-1328.3606849725199</v>
      </c>
      <c r="P3400">
        <f>-666.72377069056 -186.941396025378 -221.527115304518</f>
        <v>-1075.1922820204559</v>
      </c>
      <c r="Q3400">
        <f>-468.828666398257 -100.742512658942 -307.293238576428</f>
        <v>-876.864417633627</v>
      </c>
      <c r="R3400" t="s">
        <v>65571</v>
      </c>
      <c r="S3400" t="s">
        <v>65572</v>
      </c>
      <c r="T3400" t="s">
        <v>65573</v>
      </c>
      <c r="U3400" t="s">
        <v>65574</v>
      </c>
      <c r="V3400">
        <f>-600.128269526825 -60.7406818432808 -93.2480061899213</f>
        <v>-754.116957560027</v>
      </c>
      <c r="W3400" t="s">
        <v>65575</v>
      </c>
      <c r="X3400" t="s">
        <v>65576</v>
      </c>
      <c r="Y3400" t="s">
        <v>65577</v>
      </c>
    </row>
    <row r="3401" spans="1:25" x14ac:dyDescent="0.3">
      <c r="A3401">
        <v>170000</v>
      </c>
      <c r="B3401" t="s">
        <v>65578</v>
      </c>
      <c r="C3401" t="s">
        <v>65579</v>
      </c>
      <c r="D3401" t="s">
        <v>65580</v>
      </c>
      <c r="E3401" t="s">
        <v>65581</v>
      </c>
      <c r="F3401" t="s">
        <v>65582</v>
      </c>
      <c r="G3401" t="s">
        <v>65583</v>
      </c>
      <c r="H3401" t="s">
        <v>65584</v>
      </c>
      <c r="I3401" t="s">
        <v>65585</v>
      </c>
      <c r="J3401" t="s">
        <v>65586</v>
      </c>
      <c r="K3401" t="s">
        <v>65587</v>
      </c>
      <c r="L3401" t="s">
        <v>65588</v>
      </c>
      <c r="M3401" t="s">
        <v>65589</v>
      </c>
      <c r="N3401">
        <f>-666.360829513352 -9.750382315553 -529.9668723026</f>
        <v>-1206.078084131505</v>
      </c>
      <c r="O3401">
        <f>-662.201784564498 -163.237505460815 -502.34955624131</f>
        <v>-1327.7888462666228</v>
      </c>
      <c r="P3401">
        <f>-666.692512426993 -186.660650496816 -221.26284154107</f>
        <v>-1074.6160044648789</v>
      </c>
      <c r="Q3401">
        <f>-468.162276175141 -100.832959946578 -305.926215737536</f>
        <v>-874.92145185925506</v>
      </c>
      <c r="R3401" t="s">
        <v>65590</v>
      </c>
      <c r="S3401" t="s">
        <v>65591</v>
      </c>
      <c r="T3401" t="s">
        <v>65592</v>
      </c>
      <c r="U3401" t="s">
        <v>65593</v>
      </c>
      <c r="V3401">
        <f>-599.665775201539 -60.7368575197154 -93.2347534978472</f>
        <v>-753.63738621910159</v>
      </c>
      <c r="W3401" t="s">
        <v>65594</v>
      </c>
      <c r="X3401" t="s">
        <v>65595</v>
      </c>
      <c r="Y3401" t="s">
        <v>65596</v>
      </c>
    </row>
    <row r="3402" spans="1:25" x14ac:dyDescent="0.3">
      <c r="A3402">
        <v>170050</v>
      </c>
      <c r="B3402" t="s">
        <v>65597</v>
      </c>
      <c r="C3402" t="s">
        <v>65598</v>
      </c>
      <c r="D3402" t="s">
        <v>65599</v>
      </c>
      <c r="E3402" t="s">
        <v>65600</v>
      </c>
      <c r="F3402" t="s">
        <v>65601</v>
      </c>
      <c r="G3402" t="s">
        <v>65602</v>
      </c>
      <c r="H3402" t="s">
        <v>65603</v>
      </c>
      <c r="I3402" t="s">
        <v>65604</v>
      </c>
      <c r="J3402" t="s">
        <v>65605</v>
      </c>
      <c r="K3402" t="s">
        <v>65606</v>
      </c>
      <c r="L3402" t="s">
        <v>65607</v>
      </c>
      <c r="M3402" t="s">
        <v>65608</v>
      </c>
      <c r="N3402">
        <f>-666.145809509491 -9.78908457701118 -529.954869290576</f>
        <v>-1205.889763377078</v>
      </c>
      <c r="O3402">
        <f>-662.15953861985 -163.263384955582 -502.262796752794</f>
        <v>-1327.6857203282259</v>
      </c>
      <c r="P3402">
        <f>-666.74581800127 -186.568650709784 -221.167679163633</f>
        <v>-1074.4821478746871</v>
      </c>
      <c r="Q3402">
        <f>-467.995180959273 -100.842645771854 -305.416091334177</f>
        <v>-874.25391806530411</v>
      </c>
      <c r="R3402" t="s">
        <v>65609</v>
      </c>
      <c r="S3402" t="s">
        <v>65610</v>
      </c>
      <c r="T3402" t="s">
        <v>65611</v>
      </c>
      <c r="U3402" t="s">
        <v>65612</v>
      </c>
      <c r="V3402">
        <f>-599.455281589538 -60.7411216472858 -93.2266097434023</f>
        <v>-753.42301298022608</v>
      </c>
      <c r="W3402" t="s">
        <v>65613</v>
      </c>
      <c r="X3402" t="s">
        <v>65614</v>
      </c>
      <c r="Y3402" t="s">
        <v>65615</v>
      </c>
    </row>
    <row r="3403" spans="1:25" x14ac:dyDescent="0.3">
      <c r="A3403">
        <v>170100</v>
      </c>
      <c r="B3403" t="s">
        <v>65616</v>
      </c>
      <c r="C3403" t="s">
        <v>65617</v>
      </c>
      <c r="D3403" t="s">
        <v>65618</v>
      </c>
      <c r="E3403" t="s">
        <v>65619</v>
      </c>
      <c r="F3403" t="s">
        <v>65620</v>
      </c>
      <c r="G3403" t="s">
        <v>65621</v>
      </c>
      <c r="H3403" t="s">
        <v>65622</v>
      </c>
      <c r="I3403" t="s">
        <v>65623</v>
      </c>
      <c r="J3403" t="s">
        <v>65624</v>
      </c>
      <c r="K3403" t="s">
        <v>65625</v>
      </c>
      <c r="L3403" t="s">
        <v>65626</v>
      </c>
      <c r="M3403" t="s">
        <v>65627</v>
      </c>
      <c r="N3403">
        <f>-665.767655199888 -9.82840571620727 -529.946107864038</f>
        <v>-1205.5421687801334</v>
      </c>
      <c r="O3403">
        <f>-662.104640278543 -163.294282574679 -502.150698823508</f>
        <v>-1327.5496216767299</v>
      </c>
      <c r="P3403">
        <f>-667.001670306224 -186.151990539513 -221.024125970455</f>
        <v>-1074.1777868161921</v>
      </c>
      <c r="Q3403">
        <f>-467.863612125556 -100.887952504884 -304.825415662055</f>
        <v>-873.57698029249502</v>
      </c>
      <c r="R3403" t="s">
        <v>65628</v>
      </c>
      <c r="S3403" t="s">
        <v>65629</v>
      </c>
      <c r="T3403" t="s">
        <v>65630</v>
      </c>
      <c r="U3403" t="s">
        <v>65631</v>
      </c>
      <c r="V3403">
        <f>-599.195757448854 -60.8385376174963 -93.2034267278723</f>
        <v>-753.23772179422258</v>
      </c>
      <c r="W3403" t="s">
        <v>65632</v>
      </c>
      <c r="X3403" t="s">
        <v>65633</v>
      </c>
      <c r="Y3403" t="s">
        <v>65634</v>
      </c>
    </row>
    <row r="3404" spans="1:25" x14ac:dyDescent="0.3">
      <c r="A3404">
        <v>170150</v>
      </c>
      <c r="B3404" t="s">
        <v>65635</v>
      </c>
      <c r="C3404" t="s">
        <v>65636</v>
      </c>
      <c r="D3404" t="s">
        <v>65637</v>
      </c>
      <c r="E3404" t="s">
        <v>65638</v>
      </c>
      <c r="F3404" t="s">
        <v>65639</v>
      </c>
      <c r="G3404" t="s">
        <v>65640</v>
      </c>
      <c r="H3404" t="s">
        <v>65641</v>
      </c>
      <c r="I3404" t="s">
        <v>65642</v>
      </c>
      <c r="J3404" t="s">
        <v>65643</v>
      </c>
      <c r="K3404" t="s">
        <v>65644</v>
      </c>
      <c r="L3404" t="s">
        <v>65645</v>
      </c>
      <c r="M3404" t="s">
        <v>65646</v>
      </c>
      <c r="N3404">
        <f>-665.527200300954 -9.85792188533924 -529.966862783202</f>
        <v>-1205.3519849694953</v>
      </c>
      <c r="O3404">
        <f>-662.057968104462 -163.320046108865 -502.122010698603</f>
        <v>-1327.50002491193</v>
      </c>
      <c r="P3404">
        <f>-667.09947345598 -186.014805355022 -220.984959508106</f>
        <v>-1074.0992383191081</v>
      </c>
      <c r="Q3404">
        <f>-467.713518327332 -101.093891940619 -304.544616209922</f>
        <v>-873.3520264778731</v>
      </c>
      <c r="R3404" t="s">
        <v>65647</v>
      </c>
      <c r="S3404" t="s">
        <v>65648</v>
      </c>
      <c r="T3404" t="s">
        <v>65649</v>
      </c>
      <c r="U3404" t="s">
        <v>65650</v>
      </c>
      <c r="V3404">
        <f>-599.085202969645 -60.8882449050684 -93.2004559774746</f>
        <v>-753.173903852188</v>
      </c>
      <c r="W3404" t="s">
        <v>65651</v>
      </c>
      <c r="X3404" t="s">
        <v>65652</v>
      </c>
      <c r="Y3404" t="s">
        <v>65653</v>
      </c>
    </row>
    <row r="3405" spans="1:25" x14ac:dyDescent="0.3">
      <c r="A3405">
        <v>170200</v>
      </c>
      <c r="B3405" t="s">
        <v>65654</v>
      </c>
      <c r="C3405" t="s">
        <v>65655</v>
      </c>
      <c r="D3405" t="s">
        <v>65656</v>
      </c>
      <c r="E3405" t="s">
        <v>65657</v>
      </c>
      <c r="F3405" t="s">
        <v>65658</v>
      </c>
      <c r="G3405" t="s">
        <v>65659</v>
      </c>
      <c r="H3405" t="s">
        <v>65660</v>
      </c>
      <c r="I3405" t="s">
        <v>65661</v>
      </c>
      <c r="J3405" t="s">
        <v>65662</v>
      </c>
      <c r="K3405" t="s">
        <v>65663</v>
      </c>
      <c r="L3405" t="s">
        <v>65664</v>
      </c>
      <c r="M3405" t="s">
        <v>65665</v>
      </c>
      <c r="N3405">
        <f>-664.894859727255 -10.134311039101 -530.004692394064</f>
        <v>-1205.03386316042</v>
      </c>
      <c r="O3405">
        <f>-661.644582692229 -163.587453843036 -502.100359556178</f>
        <v>-1327.3323960914431</v>
      </c>
      <c r="P3405">
        <f>-667.259846778486 -186.583919893338 -220.998573419994</f>
        <v>-1074.842340091818</v>
      </c>
      <c r="Q3405">
        <f>-467.666948423712 -102.036247969751 -304.442721105167</f>
        <v>-874.14591749863007</v>
      </c>
      <c r="R3405" t="s">
        <v>65666</v>
      </c>
      <c r="S3405" t="s">
        <v>65667</v>
      </c>
      <c r="T3405" t="s">
        <v>65668</v>
      </c>
      <c r="U3405" t="s">
        <v>65669</v>
      </c>
      <c r="V3405">
        <f>-598.944573188815 -61.1777552672661 -93.2064273911261</f>
        <v>-753.32875584720716</v>
      </c>
      <c r="W3405" t="s">
        <v>65670</v>
      </c>
      <c r="X3405" t="s">
        <v>65671</v>
      </c>
      <c r="Y3405" t="s">
        <v>65672</v>
      </c>
    </row>
    <row r="3406" spans="1:25" x14ac:dyDescent="0.3">
      <c r="A3406">
        <v>170250</v>
      </c>
      <c r="B3406" t="s">
        <v>65673</v>
      </c>
      <c r="C3406" t="s">
        <v>65674</v>
      </c>
      <c r="D3406" t="s">
        <v>65675</v>
      </c>
      <c r="E3406" t="s">
        <v>65676</v>
      </c>
      <c r="F3406" t="s">
        <v>65677</v>
      </c>
      <c r="G3406" t="s">
        <v>65678</v>
      </c>
      <c r="H3406" t="s">
        <v>65679</v>
      </c>
      <c r="I3406" t="s">
        <v>65680</v>
      </c>
      <c r="J3406" t="s">
        <v>65681</v>
      </c>
      <c r="K3406" t="s">
        <v>65682</v>
      </c>
      <c r="L3406" t="s">
        <v>65683</v>
      </c>
      <c r="M3406" t="s">
        <v>65684</v>
      </c>
      <c r="N3406">
        <f>-664.681640914678 -10.2423868898234 -530.025510149628</f>
        <v>-1204.9495379541295</v>
      </c>
      <c r="O3406">
        <f>-661.523290631411 -163.706004900349 -502.144100570707</f>
        <v>-1327.373396102467</v>
      </c>
      <c r="P3406">
        <f>-667.39034392734 -186.765178358031 -221.052634085443</f>
        <v>-1075.2081563708141</v>
      </c>
      <c r="Q3406">
        <f>-467.717633398165 -102.512052251418 -304.603442766257</f>
        <v>-874.83312841583995</v>
      </c>
      <c r="R3406" t="s">
        <v>65685</v>
      </c>
      <c r="S3406" t="s">
        <v>65686</v>
      </c>
      <c r="T3406" t="s">
        <v>65687</v>
      </c>
      <c r="U3406" t="s">
        <v>65688</v>
      </c>
      <c r="V3406">
        <f>-598.865808574228 -61.3005517878507 -93.2056931634082</f>
        <v>-753.37205352548699</v>
      </c>
      <c r="W3406" t="s">
        <v>65689</v>
      </c>
      <c r="X3406" t="s">
        <v>65690</v>
      </c>
      <c r="Y3406" t="s">
        <v>65691</v>
      </c>
    </row>
    <row r="3407" spans="1:25" x14ac:dyDescent="0.3">
      <c r="A3407">
        <v>170300</v>
      </c>
      <c r="B3407" t="s">
        <v>65692</v>
      </c>
      <c r="C3407" t="s">
        <v>65693</v>
      </c>
      <c r="D3407" t="s">
        <v>65694</v>
      </c>
      <c r="E3407" t="s">
        <v>65695</v>
      </c>
      <c r="F3407" t="s">
        <v>65696</v>
      </c>
      <c r="G3407" t="s">
        <v>65697</v>
      </c>
      <c r="H3407" t="s">
        <v>65698</v>
      </c>
      <c r="I3407" t="s">
        <v>65699</v>
      </c>
      <c r="J3407" t="s">
        <v>65700</v>
      </c>
      <c r="K3407" t="s">
        <v>65701</v>
      </c>
      <c r="L3407" t="s">
        <v>65702</v>
      </c>
      <c r="M3407" t="s">
        <v>65703</v>
      </c>
      <c r="N3407">
        <f>-664.477225274272 -10.3166671605752 -530.050022035314</f>
        <v>-1204.8439144701611</v>
      </c>
      <c r="O3407">
        <f>-661.520204410979 -163.787966485237 -502.193523634611</f>
        <v>-1327.5016945308271</v>
      </c>
      <c r="P3407">
        <f>-667.30823635474 -186.882847641123 -221.103213560569</f>
        <v>-1075.294297556432</v>
      </c>
      <c r="Q3407">
        <f>-467.600188868235 -103.123685396526 -305.065211977975</f>
        <v>-875.78908624273595</v>
      </c>
      <c r="R3407" t="s">
        <v>65704</v>
      </c>
      <c r="S3407" t="s">
        <v>65705</v>
      </c>
      <c r="T3407" t="s">
        <v>65706</v>
      </c>
      <c r="U3407" t="s">
        <v>65707</v>
      </c>
      <c r="V3407">
        <f>-598.755088303522 -61.5359573709793 -93.2058923142764</f>
        <v>-753.49693798877774</v>
      </c>
      <c r="W3407" t="s">
        <v>65708</v>
      </c>
      <c r="X3407" t="s">
        <v>65709</v>
      </c>
      <c r="Y3407" t="s">
        <v>65710</v>
      </c>
    </row>
    <row r="3408" spans="1:25" x14ac:dyDescent="0.3">
      <c r="A3408">
        <v>170350</v>
      </c>
      <c r="B3408" t="s">
        <v>65711</v>
      </c>
      <c r="C3408" t="s">
        <v>65712</v>
      </c>
      <c r="D3408" t="s">
        <v>65713</v>
      </c>
      <c r="E3408" t="s">
        <v>65714</v>
      </c>
      <c r="F3408" t="s">
        <v>65715</v>
      </c>
      <c r="G3408" t="s">
        <v>65716</v>
      </c>
      <c r="H3408" t="s">
        <v>65717</v>
      </c>
      <c r="I3408" t="s">
        <v>65718</v>
      </c>
      <c r="J3408" t="s">
        <v>65719</v>
      </c>
      <c r="K3408" t="s">
        <v>65720</v>
      </c>
      <c r="L3408" t="s">
        <v>65721</v>
      </c>
      <c r="M3408" t="s">
        <v>65722</v>
      </c>
      <c r="N3408">
        <f>-664.455896665345 -10.3660370932967 -530.054693689498</f>
        <v>-1204.8766274481395</v>
      </c>
      <c r="O3408">
        <f>-661.5079824797 -163.829483921508 -502.174121268519</f>
        <v>-1327.5115876697269</v>
      </c>
      <c r="P3408">
        <f>-667.106775700538 -186.908714746496 -221.078831969843</f>
        <v>-1075.094322416877</v>
      </c>
      <c r="Q3408">
        <f>-467.432875821307 -103.275255700621 -305.247086629792</f>
        <v>-875.95521815171992</v>
      </c>
      <c r="R3408" t="s">
        <v>65723</v>
      </c>
      <c r="S3408" t="s">
        <v>65724</v>
      </c>
      <c r="T3408" t="s">
        <v>65725</v>
      </c>
      <c r="U3408" t="s">
        <v>65726</v>
      </c>
      <c r="V3408">
        <f>-598.740207440084 -61.635135590813 -93.2144987091204</f>
        <v>-753.58984174001739</v>
      </c>
      <c r="W3408" t="s">
        <v>65727</v>
      </c>
      <c r="X3408" t="s">
        <v>65728</v>
      </c>
      <c r="Y3408" t="s">
        <v>65729</v>
      </c>
    </row>
    <row r="3409" spans="1:25" x14ac:dyDescent="0.3">
      <c r="A3409">
        <v>170400</v>
      </c>
      <c r="B3409" t="s">
        <v>65730</v>
      </c>
      <c r="C3409" t="s">
        <v>65731</v>
      </c>
      <c r="D3409" t="s">
        <v>65732</v>
      </c>
      <c r="E3409" t="s">
        <v>65733</v>
      </c>
      <c r="F3409" t="s">
        <v>65734</v>
      </c>
      <c r="G3409" t="s">
        <v>65735</v>
      </c>
      <c r="H3409" t="s">
        <v>65736</v>
      </c>
      <c r="I3409" t="s">
        <v>65737</v>
      </c>
      <c r="J3409" t="s">
        <v>65738</v>
      </c>
      <c r="K3409" t="s">
        <v>65739</v>
      </c>
      <c r="L3409" t="s">
        <v>65740</v>
      </c>
      <c r="M3409" t="s">
        <v>65741</v>
      </c>
      <c r="N3409">
        <f>-664.918791573573 -10.2171907780241 -530.009408110712</f>
        <v>-1205.145390462309</v>
      </c>
      <c r="O3409">
        <f>-661.822040208127 -163.698894568248 -502.211420135101</f>
        <v>-1327.7323549114758</v>
      </c>
      <c r="P3409">
        <f>-667.220855964416 -186.935750456657 -221.125135264738</f>
        <v>-1075.2817416858111</v>
      </c>
      <c r="Q3409">
        <f>-467.618122212088 -103.106976843954 -305.268180502428</f>
        <v>-875.99327955847002</v>
      </c>
      <c r="R3409" t="s">
        <v>65742</v>
      </c>
      <c r="S3409" t="s">
        <v>65743</v>
      </c>
      <c r="T3409" t="s">
        <v>65744</v>
      </c>
      <c r="U3409" t="s">
        <v>65745</v>
      </c>
      <c r="V3409">
        <f>-598.773635237714 -61.5875618090774 -93.2176687501063</f>
        <v>-753.57886579689773</v>
      </c>
      <c r="W3409" t="s">
        <v>65746</v>
      </c>
      <c r="X3409" t="s">
        <v>65747</v>
      </c>
      <c r="Y3409" t="s">
        <v>65748</v>
      </c>
    </row>
    <row r="3410" spans="1:25" x14ac:dyDescent="0.3">
      <c r="A3410">
        <v>170450</v>
      </c>
      <c r="B3410" t="s">
        <v>65749</v>
      </c>
      <c r="C3410" t="s">
        <v>65750</v>
      </c>
      <c r="D3410" t="s">
        <v>65751</v>
      </c>
      <c r="E3410" t="s">
        <v>65752</v>
      </c>
      <c r="F3410" t="s">
        <v>65753</v>
      </c>
      <c r="G3410" t="s">
        <v>65754</v>
      </c>
      <c r="H3410" t="s">
        <v>65755</v>
      </c>
      <c r="I3410" t="s">
        <v>65756</v>
      </c>
      <c r="J3410" t="s">
        <v>65757</v>
      </c>
      <c r="K3410" t="s">
        <v>65758</v>
      </c>
      <c r="L3410" t="s">
        <v>65759</v>
      </c>
      <c r="M3410" t="s">
        <v>65760</v>
      </c>
      <c r="N3410">
        <f>-665.16639546777 -10.1011415548276 -530.007132488236</f>
        <v>-1205.2746695108335</v>
      </c>
      <c r="O3410">
        <f>-661.991467999504 -163.595351939354 -502.30479509007</f>
        <v>-1327.8916150289281</v>
      </c>
      <c r="P3410">
        <f>-667.401311859766 -186.948616621199 -221.228356459073</f>
        <v>-1075.578284940038</v>
      </c>
      <c r="Q3410">
        <f>-467.794979672183 -102.903492637981 -305.146619721237</f>
        <v>-875.84509203140101</v>
      </c>
      <c r="R3410" t="s">
        <v>65761</v>
      </c>
      <c r="S3410" t="s">
        <v>65762</v>
      </c>
      <c r="T3410" t="s">
        <v>65763</v>
      </c>
      <c r="U3410" t="s">
        <v>65764</v>
      </c>
      <c r="V3410">
        <f>-598.847048744043 -61.5928212603849 -93.222794699667</f>
        <v>-753.66266470409494</v>
      </c>
      <c r="W3410" t="s">
        <v>65765</v>
      </c>
      <c r="X3410" t="s">
        <v>65766</v>
      </c>
      <c r="Y3410" t="s">
        <v>65767</v>
      </c>
    </row>
    <row r="3411" spans="1:25" x14ac:dyDescent="0.3">
      <c r="A3411">
        <v>170500</v>
      </c>
      <c r="B3411" t="s">
        <v>65768</v>
      </c>
      <c r="C3411" t="s">
        <v>65769</v>
      </c>
      <c r="D3411" t="s">
        <v>65770</v>
      </c>
      <c r="E3411" t="s">
        <v>65771</v>
      </c>
      <c r="F3411" t="s">
        <v>65772</v>
      </c>
      <c r="G3411" t="s">
        <v>65773</v>
      </c>
      <c r="H3411" t="s">
        <v>65774</v>
      </c>
      <c r="I3411" t="s">
        <v>65775</v>
      </c>
      <c r="J3411" t="s">
        <v>65776</v>
      </c>
      <c r="K3411" t="s">
        <v>65777</v>
      </c>
      <c r="L3411" t="s">
        <v>65778</v>
      </c>
      <c r="M3411" t="s">
        <v>65779</v>
      </c>
      <c r="N3411">
        <f>-665.880771402409 -9.88728537985526 -529.995455080423</f>
        <v>-1205.7635118626872</v>
      </c>
      <c r="O3411">
        <f>-662.537946724097 -163.398548575316 -502.421115832459</f>
        <v>-1328.3576111318721</v>
      </c>
      <c r="P3411">
        <f>-667.829774704512 -187.002241574144 -221.363458258244</f>
        <v>-1076.1954745369001</v>
      </c>
      <c r="Q3411">
        <f>-468.279243213041 -102.462409495399 -304.916630282332</f>
        <v>-875.65828299077202</v>
      </c>
      <c r="R3411" t="s">
        <v>65780</v>
      </c>
      <c r="S3411" t="s">
        <v>65781</v>
      </c>
      <c r="T3411" t="s">
        <v>65782</v>
      </c>
      <c r="U3411" t="s">
        <v>65783</v>
      </c>
      <c r="V3411">
        <f>-599.214712614434 -61.4150219388087 -93.236158514071</f>
        <v>-753.86589306731366</v>
      </c>
      <c r="W3411" t="s">
        <v>65784</v>
      </c>
      <c r="X3411" t="s">
        <v>65785</v>
      </c>
      <c r="Y3411" t="s">
        <v>65786</v>
      </c>
    </row>
    <row r="3412" spans="1:25" x14ac:dyDescent="0.3">
      <c r="A3412">
        <v>170550</v>
      </c>
      <c r="B3412" t="s">
        <v>65787</v>
      </c>
      <c r="C3412" t="s">
        <v>65788</v>
      </c>
      <c r="D3412" t="s">
        <v>65789</v>
      </c>
      <c r="E3412" t="s">
        <v>65790</v>
      </c>
      <c r="F3412" t="s">
        <v>65791</v>
      </c>
      <c r="G3412" t="s">
        <v>65792</v>
      </c>
      <c r="H3412" t="s">
        <v>65793</v>
      </c>
      <c r="I3412" t="s">
        <v>65794</v>
      </c>
      <c r="J3412" t="s">
        <v>65795</v>
      </c>
      <c r="K3412" t="s">
        <v>65796</v>
      </c>
      <c r="L3412" t="s">
        <v>65797</v>
      </c>
      <c r="M3412" t="s">
        <v>65798</v>
      </c>
      <c r="N3412">
        <f>-666.3737151317 -9.82281177300615 -529.965509152497</f>
        <v>-1206.1620360572033</v>
      </c>
      <c r="O3412">
        <f>-662.973519814057 -163.348163643128 -502.456120481527</f>
        <v>-1328.7778039387122</v>
      </c>
      <c r="P3412">
        <f>-668.067908385646 -187.072858538471 -221.404851629488</f>
        <v>-1076.545618553605</v>
      </c>
      <c r="Q3412">
        <f>-468.685016950668 -102.206443807435 -305.027093772491</f>
        <v>-875.91855453059406</v>
      </c>
      <c r="R3412" t="s">
        <v>65799</v>
      </c>
      <c r="S3412" t="s">
        <v>65800</v>
      </c>
      <c r="T3412" t="s">
        <v>65801</v>
      </c>
      <c r="U3412" t="s">
        <v>65802</v>
      </c>
      <c r="V3412">
        <f>-599.45831564442 -61.3514094836405 -93.2394014677193</f>
        <v>-754.04912659577985</v>
      </c>
      <c r="W3412" t="s">
        <v>65803</v>
      </c>
      <c r="X3412" t="s">
        <v>65804</v>
      </c>
      <c r="Y3412" t="s">
        <v>65805</v>
      </c>
    </row>
    <row r="3413" spans="1:25" x14ac:dyDescent="0.3">
      <c r="A3413">
        <v>170600</v>
      </c>
      <c r="B3413" t="s">
        <v>65806</v>
      </c>
      <c r="C3413" t="s">
        <v>65807</v>
      </c>
      <c r="D3413" t="s">
        <v>65808</v>
      </c>
      <c r="E3413" t="s">
        <v>65809</v>
      </c>
      <c r="F3413" t="s">
        <v>65810</v>
      </c>
      <c r="G3413" t="s">
        <v>65811</v>
      </c>
      <c r="H3413" t="s">
        <v>65812</v>
      </c>
      <c r="I3413" t="s">
        <v>65813</v>
      </c>
      <c r="J3413" t="s">
        <v>65814</v>
      </c>
      <c r="K3413" t="s">
        <v>65815</v>
      </c>
      <c r="L3413" t="s">
        <v>65816</v>
      </c>
      <c r="M3413" t="s">
        <v>65817</v>
      </c>
      <c r="N3413">
        <f>-667.838977781979 -9.64104570381551 -529.879648584788</f>
        <v>-1207.3596720705825</v>
      </c>
      <c r="O3413">
        <f>-664.320864476367 -163.178338759295 -502.486006691395</f>
        <v>-1329.985209927057</v>
      </c>
      <c r="P3413">
        <f>-668.853314262218 -187.416141583913 -221.46897149401</f>
        <v>-1077.738427340141</v>
      </c>
      <c r="Q3413">
        <f>-469.839340472078 -101.962238864995 -305.371237660174</f>
        <v>-877.17281699724708</v>
      </c>
      <c r="R3413" t="s">
        <v>65818</v>
      </c>
      <c r="S3413" t="s">
        <v>65819</v>
      </c>
      <c r="T3413" t="s">
        <v>65820</v>
      </c>
      <c r="U3413" t="s">
        <v>65821</v>
      </c>
      <c r="V3413">
        <f>-600.140124041139 -61.2170156853156 -93.259055843321</f>
        <v>-754.61619556977553</v>
      </c>
      <c r="W3413" t="s">
        <v>65822</v>
      </c>
      <c r="X3413" t="s">
        <v>65823</v>
      </c>
      <c r="Y3413" t="s">
        <v>65824</v>
      </c>
    </row>
    <row r="3414" spans="1:25" x14ac:dyDescent="0.3">
      <c r="A3414">
        <v>170650</v>
      </c>
      <c r="B3414" t="s">
        <v>65825</v>
      </c>
      <c r="C3414" t="s">
        <v>65826</v>
      </c>
      <c r="D3414" t="s">
        <v>65827</v>
      </c>
      <c r="E3414" t="s">
        <v>65828</v>
      </c>
      <c r="F3414" t="s">
        <v>65829</v>
      </c>
      <c r="G3414" t="s">
        <v>65830</v>
      </c>
      <c r="H3414" t="s">
        <v>65831</v>
      </c>
      <c r="I3414" t="s">
        <v>65832</v>
      </c>
      <c r="J3414" t="s">
        <v>65833</v>
      </c>
      <c r="K3414" t="s">
        <v>65834</v>
      </c>
      <c r="L3414" t="s">
        <v>65835</v>
      </c>
      <c r="M3414" t="s">
        <v>65836</v>
      </c>
      <c r="N3414">
        <f>-668.438639458072 -9.53418385697682 -529.865824356282</f>
        <v>-1207.8386476713308</v>
      </c>
      <c r="O3414">
        <f>-664.894607977651 -163.0846700633 -502.521882860116</f>
        <v>-1330.5011609010671</v>
      </c>
      <c r="P3414">
        <f>-669.208594259268 -187.486634555366 -221.515682458902</f>
        <v>-1078.2109112735361</v>
      </c>
      <c r="Q3414">
        <f>-470.346732283483 -101.83574856808 -305.577743937894</f>
        <v>-877.76022478945697</v>
      </c>
      <c r="R3414" t="s">
        <v>65837</v>
      </c>
      <c r="S3414" t="s">
        <v>65838</v>
      </c>
      <c r="T3414" t="s">
        <v>65839</v>
      </c>
      <c r="U3414" t="s">
        <v>65840</v>
      </c>
      <c r="V3414">
        <f>-600.546239499477 -61.1707154209735 -93.2714091356004</f>
        <v>-754.98836405605084</v>
      </c>
      <c r="W3414" t="s">
        <v>65841</v>
      </c>
      <c r="X3414" t="s">
        <v>65842</v>
      </c>
      <c r="Y3414" t="s">
        <v>65843</v>
      </c>
    </row>
    <row r="3415" spans="1:25" x14ac:dyDescent="0.3">
      <c r="A3415">
        <v>170700</v>
      </c>
      <c r="B3415" t="s">
        <v>65844</v>
      </c>
      <c r="C3415" t="s">
        <v>65845</v>
      </c>
      <c r="D3415" t="s">
        <v>65846</v>
      </c>
      <c r="E3415" t="s">
        <v>65847</v>
      </c>
      <c r="F3415" t="s">
        <v>65848</v>
      </c>
      <c r="G3415" t="s">
        <v>65849</v>
      </c>
      <c r="H3415" t="s">
        <v>65850</v>
      </c>
      <c r="I3415" t="s">
        <v>65851</v>
      </c>
      <c r="J3415" t="s">
        <v>65852</v>
      </c>
      <c r="K3415" t="s">
        <v>65853</v>
      </c>
      <c r="L3415" t="s">
        <v>65854</v>
      </c>
      <c r="M3415" t="s">
        <v>65855</v>
      </c>
      <c r="N3415">
        <f>-669.630704721437 -9.53426104656091 -529.816593526207</f>
        <v>-1208.981559294205</v>
      </c>
      <c r="O3415">
        <f>-666.089458996006 -163.097852652938 -502.587695952335</f>
        <v>-1331.775007601279</v>
      </c>
      <c r="P3415">
        <f>-670.051130604993 -187.73853074791 -221.597142360145</f>
        <v>-1079.386803713048</v>
      </c>
      <c r="Q3415">
        <f>-471.379939418489 -101.837216728937 -305.854389046468</f>
        <v>-879.07154519389405</v>
      </c>
      <c r="R3415" t="s">
        <v>65856</v>
      </c>
      <c r="S3415" t="s">
        <v>65857</v>
      </c>
      <c r="T3415" t="s">
        <v>65858</v>
      </c>
      <c r="U3415" t="s">
        <v>65859</v>
      </c>
      <c r="V3415">
        <f>-601.330622195409 -61.0763023147249 -93.3043417433834</f>
        <v>-755.71126625351724</v>
      </c>
      <c r="W3415" t="s">
        <v>65860</v>
      </c>
      <c r="X3415" t="s">
        <v>65861</v>
      </c>
      <c r="Y3415" t="s">
        <v>65862</v>
      </c>
    </row>
    <row r="3416" spans="1:25" x14ac:dyDescent="0.3">
      <c r="A3416">
        <v>170750</v>
      </c>
      <c r="B3416" t="s">
        <v>65863</v>
      </c>
      <c r="C3416" t="s">
        <v>65864</v>
      </c>
      <c r="D3416" t="s">
        <v>65865</v>
      </c>
      <c r="E3416" t="s">
        <v>65866</v>
      </c>
      <c r="F3416" t="s">
        <v>65867</v>
      </c>
      <c r="G3416" t="s">
        <v>65868</v>
      </c>
      <c r="H3416" t="s">
        <v>65869</v>
      </c>
      <c r="I3416" t="s">
        <v>65870</v>
      </c>
      <c r="J3416" t="s">
        <v>65871</v>
      </c>
      <c r="K3416" t="s">
        <v>65872</v>
      </c>
      <c r="L3416" t="s">
        <v>65873</v>
      </c>
      <c r="M3416" t="s">
        <v>65874</v>
      </c>
      <c r="N3416">
        <f>-670.253570528941 -9.57095365178839 -529.744327753696</f>
        <v>-1209.5688519344253</v>
      </c>
      <c r="O3416">
        <f>-666.744643521833 -163.142257051499 -502.517044969663</f>
        <v>-1332.403945542995</v>
      </c>
      <c r="P3416">
        <f>-670.509332288759 -187.854549097002 -221.530037836506</f>
        <v>-1079.893919222267</v>
      </c>
      <c r="Q3416">
        <f>-471.864112665529 -101.933760106295 -305.828516214263</f>
        <v>-879.62638898608702</v>
      </c>
      <c r="R3416" t="s">
        <v>65875</v>
      </c>
      <c r="S3416" t="s">
        <v>65876</v>
      </c>
      <c r="T3416" t="s">
        <v>65877</v>
      </c>
      <c r="U3416" t="s">
        <v>65878</v>
      </c>
      <c r="V3416">
        <f>-601.665133614695 -61.044157737748 -93.2993025012236</f>
        <v>-756.00859385366664</v>
      </c>
      <c r="W3416" t="s">
        <v>65879</v>
      </c>
      <c r="X3416" t="s">
        <v>65880</v>
      </c>
      <c r="Y3416" t="s">
        <v>65881</v>
      </c>
    </row>
    <row r="3417" spans="1:25" x14ac:dyDescent="0.3">
      <c r="A3417">
        <v>170800</v>
      </c>
      <c r="B3417" t="s">
        <v>65882</v>
      </c>
      <c r="C3417" t="s">
        <v>65883</v>
      </c>
      <c r="D3417" t="s">
        <v>65884</v>
      </c>
      <c r="E3417" t="s">
        <v>65885</v>
      </c>
      <c r="F3417" t="s">
        <v>65886</v>
      </c>
      <c r="G3417" t="s">
        <v>65887</v>
      </c>
      <c r="H3417" t="s">
        <v>65888</v>
      </c>
      <c r="I3417" t="s">
        <v>65889</v>
      </c>
      <c r="J3417" t="s">
        <v>65890</v>
      </c>
      <c r="K3417" t="s">
        <v>65891</v>
      </c>
      <c r="L3417" t="s">
        <v>65892</v>
      </c>
      <c r="M3417" t="s">
        <v>65893</v>
      </c>
      <c r="N3417">
        <f>-671.242331494616 -9.59141419578282 -529.596138755555</f>
        <v>-1210.4298844459538</v>
      </c>
      <c r="O3417">
        <f>-667.869382187159 -163.15505292326 -502.295014968224</f>
        <v>-1333.3194500786431</v>
      </c>
      <c r="P3417">
        <f>-671.442812661588 -187.810050329259 -221.300450373842</f>
        <v>-1080.5533133646891</v>
      </c>
      <c r="Q3417">
        <f>-472.667231968093 -102.170335665218 -305.577561985429</f>
        <v>-880.41512961873991</v>
      </c>
      <c r="R3417" t="s">
        <v>65894</v>
      </c>
      <c r="S3417" t="s">
        <v>65895</v>
      </c>
      <c r="T3417" t="s">
        <v>65896</v>
      </c>
      <c r="U3417" t="s">
        <v>65897</v>
      </c>
      <c r="V3417">
        <f>-602.0578070504 -60.8986583051872 -93.2451482632639</f>
        <v>-756.20161361885107</v>
      </c>
      <c r="W3417" t="s">
        <v>65898</v>
      </c>
      <c r="X3417" t="s">
        <v>65899</v>
      </c>
      <c r="Y3417" t="s">
        <v>65900</v>
      </c>
    </row>
    <row r="3418" spans="1:25" x14ac:dyDescent="0.3">
      <c r="A3418">
        <v>170850</v>
      </c>
      <c r="B3418" t="s">
        <v>65901</v>
      </c>
      <c r="C3418" t="s">
        <v>65902</v>
      </c>
      <c r="D3418" t="s">
        <v>65903</v>
      </c>
      <c r="E3418" t="s">
        <v>65904</v>
      </c>
      <c r="F3418" t="s">
        <v>65905</v>
      </c>
      <c r="G3418" t="s">
        <v>65906</v>
      </c>
      <c r="H3418" t="s">
        <v>65907</v>
      </c>
      <c r="I3418" t="s">
        <v>65908</v>
      </c>
      <c r="J3418" t="s">
        <v>65909</v>
      </c>
      <c r="K3418" t="s">
        <v>65910</v>
      </c>
      <c r="L3418" t="s">
        <v>65911</v>
      </c>
      <c r="M3418" t="s">
        <v>65912</v>
      </c>
      <c r="N3418">
        <f>-671.527326781478 -9.5310292327747 -529.501272364854</f>
        <v>-1210.5596283791067</v>
      </c>
      <c r="O3418">
        <f>-668.251668200373 -163.095913332675 -502.193541886071</f>
        <v>-1333.541123419119</v>
      </c>
      <c r="P3418">
        <f>-671.938218416519 -187.635609371512 -221.190386317588</f>
        <v>-1080.764214105619</v>
      </c>
      <c r="Q3418">
        <f>-473.013411938421 -102.237670479158 -305.360634540939</f>
        <v>-880.61171695851795</v>
      </c>
      <c r="R3418" t="s">
        <v>65913</v>
      </c>
      <c r="S3418" t="s">
        <v>65914</v>
      </c>
      <c r="T3418" t="s">
        <v>65915</v>
      </c>
      <c r="U3418" t="s">
        <v>65916</v>
      </c>
      <c r="V3418">
        <f>-602.130765058192 -60.825348221081 -93.180426753827</f>
        <v>-756.13654003309989</v>
      </c>
      <c r="W3418" t="s">
        <v>65917</v>
      </c>
      <c r="X3418" t="s">
        <v>65918</v>
      </c>
      <c r="Y3418" t="s">
        <v>65919</v>
      </c>
    </row>
    <row r="3419" spans="1:25" x14ac:dyDescent="0.3">
      <c r="A3419">
        <v>170900</v>
      </c>
      <c r="B3419" t="s">
        <v>65920</v>
      </c>
      <c r="C3419" t="s">
        <v>65921</v>
      </c>
      <c r="D3419" t="s">
        <v>65922</v>
      </c>
      <c r="E3419" t="s">
        <v>65923</v>
      </c>
      <c r="F3419" t="s">
        <v>65924</v>
      </c>
      <c r="G3419" t="s">
        <v>65925</v>
      </c>
      <c r="H3419" t="s">
        <v>65926</v>
      </c>
      <c r="I3419" t="s">
        <v>65927</v>
      </c>
      <c r="J3419" t="s">
        <v>65928</v>
      </c>
      <c r="K3419" t="s">
        <v>65929</v>
      </c>
      <c r="L3419" t="s">
        <v>65930</v>
      </c>
      <c r="M3419" t="s">
        <v>65931</v>
      </c>
      <c r="N3419">
        <f>-671.79606749363 -9.10086693658081 -529.364440580366</f>
        <v>-1210.2613750105768</v>
      </c>
      <c r="O3419">
        <f>-668.857962077939 -162.666597561287 -502.041106876171</f>
        <v>-1333.565666515397</v>
      </c>
      <c r="P3419">
        <f>-672.529004697482 -187.218412128353 -221.038808247333</f>
        <v>-1080.786225073168</v>
      </c>
      <c r="Q3419">
        <f>-473.397286782576 -102.003521687263 -304.904776600177</f>
        <v>-880.30558507001592</v>
      </c>
      <c r="R3419" t="s">
        <v>65932</v>
      </c>
      <c r="S3419" t="s">
        <v>65933</v>
      </c>
      <c r="T3419" t="s">
        <v>65934</v>
      </c>
      <c r="U3419" t="s">
        <v>65935</v>
      </c>
      <c r="V3419">
        <f>-602.371424163567 -60.6005371616079 -93.0564852242219</f>
        <v>-756.02844654939679</v>
      </c>
      <c r="W3419" t="s">
        <v>65936</v>
      </c>
      <c r="X3419" t="s">
        <v>65937</v>
      </c>
      <c r="Y3419" t="s">
        <v>65938</v>
      </c>
    </row>
    <row r="3420" spans="1:25" x14ac:dyDescent="0.3">
      <c r="A3420">
        <v>170950</v>
      </c>
      <c r="B3420" t="s">
        <v>65939</v>
      </c>
      <c r="C3420" t="s">
        <v>65940</v>
      </c>
      <c r="D3420" t="s">
        <v>65941</v>
      </c>
      <c r="E3420" t="s">
        <v>65942</v>
      </c>
      <c r="F3420" t="s">
        <v>65943</v>
      </c>
      <c r="G3420" t="s">
        <v>65944</v>
      </c>
      <c r="H3420" t="s">
        <v>65945</v>
      </c>
      <c r="I3420" t="s">
        <v>65946</v>
      </c>
      <c r="J3420" t="s">
        <v>65947</v>
      </c>
      <c r="K3420" t="s">
        <v>65948</v>
      </c>
      <c r="L3420" t="s">
        <v>65949</v>
      </c>
      <c r="M3420" t="s">
        <v>65950</v>
      </c>
      <c r="N3420">
        <f>-671.835371632177 -8.87146540342133 -529.326392712712</f>
        <v>-1210.0332297483105</v>
      </c>
      <c r="O3420">
        <f>-669.018699381759 -162.43530318843 -501.979190874654</f>
        <v>-1333.433193444843</v>
      </c>
      <c r="P3420">
        <f>-672.744682981572 -186.988128844649 -220.977757955578</f>
        <v>-1080.710569781799</v>
      </c>
      <c r="Q3420">
        <f>-473.552634563599 -101.82032910797 -304.748406064498</f>
        <v>-880.12136973606698</v>
      </c>
      <c r="R3420" t="s">
        <v>65951</v>
      </c>
      <c r="S3420" t="s">
        <v>65952</v>
      </c>
      <c r="T3420" t="s">
        <v>65953</v>
      </c>
      <c r="U3420" t="s">
        <v>65954</v>
      </c>
      <c r="V3420">
        <f>-602.482879711483 -60.4835022634018 -93.0241693945011</f>
        <v>-755.9905513693858</v>
      </c>
      <c r="W3420" t="s">
        <v>65955</v>
      </c>
      <c r="X3420" t="s">
        <v>65956</v>
      </c>
      <c r="Y3420" t="s">
        <v>65957</v>
      </c>
    </row>
    <row r="3421" spans="1:25" x14ac:dyDescent="0.3">
      <c r="A3421">
        <v>171000</v>
      </c>
      <c r="B3421" t="s">
        <v>65958</v>
      </c>
      <c r="C3421" t="s">
        <v>65959</v>
      </c>
      <c r="D3421" t="s">
        <v>65960</v>
      </c>
      <c r="E3421" t="s">
        <v>65961</v>
      </c>
      <c r="F3421" t="s">
        <v>65962</v>
      </c>
      <c r="G3421" t="s">
        <v>65963</v>
      </c>
      <c r="H3421" t="s">
        <v>65964</v>
      </c>
      <c r="I3421" t="s">
        <v>65965</v>
      </c>
      <c r="J3421" t="s">
        <v>65966</v>
      </c>
      <c r="K3421" t="s">
        <v>65967</v>
      </c>
      <c r="L3421" t="s">
        <v>65968</v>
      </c>
      <c r="M3421" t="s">
        <v>65969</v>
      </c>
      <c r="N3421">
        <f>-671.622189246634 -8.31844976264642 -529.302012954845</f>
        <v>-1209.2426519641253</v>
      </c>
      <c r="O3421">
        <f>-668.917251471634 -161.876306193848 -501.914154145413</f>
        <v>-1332.707711810895</v>
      </c>
      <c r="P3421">
        <f>-673.004936766445 -186.476175210254 -220.921781917489</f>
        <v>-1080.4028938941881</v>
      </c>
      <c r="Q3421">
        <f>-473.67319716863 -101.403542612296 -304.456490320379</f>
        <v>-879.53323010130498</v>
      </c>
      <c r="R3421" t="s">
        <v>65970</v>
      </c>
      <c r="S3421" t="s">
        <v>65971</v>
      </c>
      <c r="T3421" t="s">
        <v>65972</v>
      </c>
      <c r="U3421" t="s">
        <v>65973</v>
      </c>
      <c r="V3421">
        <f>-602.538786200914 -60.135058003184 -92.9921740204105</f>
        <v>-755.66601822450855</v>
      </c>
      <c r="W3421" t="s">
        <v>65974</v>
      </c>
      <c r="X3421" t="s">
        <v>65975</v>
      </c>
      <c r="Y3421" t="s">
        <v>65976</v>
      </c>
    </row>
    <row r="3422" spans="1:25" x14ac:dyDescent="0.3">
      <c r="A3422">
        <v>171050</v>
      </c>
      <c r="B3422" t="s">
        <v>65977</v>
      </c>
      <c r="C3422" t="s">
        <v>65978</v>
      </c>
      <c r="D3422" t="s">
        <v>65979</v>
      </c>
      <c r="E3422" t="s">
        <v>65980</v>
      </c>
      <c r="F3422" t="s">
        <v>65981</v>
      </c>
      <c r="G3422" t="s">
        <v>65982</v>
      </c>
      <c r="H3422" t="s">
        <v>65983</v>
      </c>
      <c r="I3422" t="s">
        <v>65984</v>
      </c>
      <c r="J3422" t="s">
        <v>65985</v>
      </c>
      <c r="K3422" t="s">
        <v>65986</v>
      </c>
      <c r="L3422" t="s">
        <v>65987</v>
      </c>
      <c r="M3422" t="s">
        <v>65988</v>
      </c>
      <c r="N3422">
        <f>-671.469663375333 -8.04774981439891 -529.312484795498</f>
        <v>-1208.8298979852298</v>
      </c>
      <c r="O3422">
        <f>-668.817442651027 -161.610087326615 -501.936847543067</f>
        <v>-1332.364377520709</v>
      </c>
      <c r="P3422">
        <f>-673.079110058098 -186.171967843495 -220.94372185384</f>
        <v>-1080.194799755433</v>
      </c>
      <c r="Q3422">
        <f>-473.646106195012 -101.244630363193 -304.38434221444</f>
        <v>-879.27507877264497</v>
      </c>
      <c r="R3422" t="s">
        <v>65989</v>
      </c>
      <c r="S3422" t="s">
        <v>65990</v>
      </c>
      <c r="T3422" t="s">
        <v>65991</v>
      </c>
      <c r="U3422" t="s">
        <v>65992</v>
      </c>
      <c r="V3422">
        <f>-602.497778199013 -59.9466187070495 -92.9892879357806</f>
        <v>-755.43368484184316</v>
      </c>
      <c r="W3422" t="s">
        <v>65993</v>
      </c>
      <c r="X3422" t="s">
        <v>65994</v>
      </c>
      <c r="Y3422" t="s">
        <v>65995</v>
      </c>
    </row>
    <row r="3423" spans="1:25" x14ac:dyDescent="0.3">
      <c r="A3423">
        <v>171100</v>
      </c>
      <c r="B3423" t="s">
        <v>65996</v>
      </c>
      <c r="C3423" t="s">
        <v>65997</v>
      </c>
      <c r="D3423" t="s">
        <v>65998</v>
      </c>
      <c r="E3423" t="s">
        <v>65999</v>
      </c>
      <c r="F3423" t="s">
        <v>66000</v>
      </c>
      <c r="G3423" t="s">
        <v>66001</v>
      </c>
      <c r="H3423" t="s">
        <v>66002</v>
      </c>
      <c r="I3423" t="s">
        <v>66003</v>
      </c>
      <c r="J3423" t="s">
        <v>66004</v>
      </c>
      <c r="K3423" t="s">
        <v>66005</v>
      </c>
      <c r="L3423" t="s">
        <v>66006</v>
      </c>
      <c r="M3423" t="s">
        <v>66007</v>
      </c>
      <c r="N3423">
        <f>-671.112158787275 -7.6479454613434 -529.349520917757</f>
        <v>-1208.1096251663753</v>
      </c>
      <c r="O3423">
        <f>-668.542875951003 -161.204741812818 -501.94692901251</f>
        <v>-1331.694546776331</v>
      </c>
      <c r="P3423">
        <f>-672.856382414067 -185.806361702217 -220.958108319724</f>
        <v>-1079.6208524360079</v>
      </c>
      <c r="Q3423">
        <f>-473.367509913993 -100.93104112844 -304.318160550834</f>
        <v>-878.61671159326704</v>
      </c>
      <c r="R3423" t="s">
        <v>66008</v>
      </c>
      <c r="S3423" t="s">
        <v>66009</v>
      </c>
      <c r="T3423" t="s">
        <v>66010</v>
      </c>
      <c r="U3423" t="s">
        <v>66011</v>
      </c>
      <c r="V3423">
        <f>-602.433177052384 -59.6239804258978 -92.999238300119</f>
        <v>-755.05639577840088</v>
      </c>
      <c r="W3423" t="s">
        <v>66012</v>
      </c>
      <c r="X3423" t="s">
        <v>66013</v>
      </c>
      <c r="Y3423" t="s">
        <v>66014</v>
      </c>
    </row>
    <row r="3424" spans="1:25" x14ac:dyDescent="0.3">
      <c r="A3424">
        <v>171150</v>
      </c>
      <c r="B3424" t="s">
        <v>66015</v>
      </c>
      <c r="C3424" t="s">
        <v>66016</v>
      </c>
      <c r="D3424" t="s">
        <v>66017</v>
      </c>
      <c r="E3424" t="s">
        <v>66018</v>
      </c>
      <c r="F3424" t="s">
        <v>66019</v>
      </c>
      <c r="G3424" t="s">
        <v>66020</v>
      </c>
      <c r="H3424" t="s">
        <v>66021</v>
      </c>
      <c r="I3424" t="s">
        <v>66022</v>
      </c>
      <c r="J3424" t="s">
        <v>66023</v>
      </c>
      <c r="K3424" t="s">
        <v>66024</v>
      </c>
      <c r="L3424" t="s">
        <v>66025</v>
      </c>
      <c r="M3424" t="s">
        <v>66026</v>
      </c>
      <c r="N3424">
        <f>-670.868495165002 -7.47266699003399 -529.39359243915</f>
        <v>-1207.7347545941859</v>
      </c>
      <c r="O3424">
        <f>-668.293374505088 -161.03094541498 -501.99141270356</f>
        <v>-1331.315732623628</v>
      </c>
      <c r="P3424">
        <f>-672.67091465668 -185.681091868091 -221.007844736892</f>
        <v>-1079.3598512616629</v>
      </c>
      <c r="Q3424">
        <f>-473.205446238609 -100.727235731714 -304.344071441243</f>
        <v>-878.27675341156601</v>
      </c>
      <c r="R3424" t="s">
        <v>66027</v>
      </c>
      <c r="S3424" t="s">
        <v>66028</v>
      </c>
      <c r="T3424" t="s">
        <v>66029</v>
      </c>
      <c r="U3424" t="s">
        <v>66030</v>
      </c>
      <c r="V3424">
        <f>-602.461977586632 -59.4712266645911 -93.0329339180627</f>
        <v>-754.96613816928573</v>
      </c>
      <c r="W3424" t="s">
        <v>66031</v>
      </c>
      <c r="X3424" t="s">
        <v>66032</v>
      </c>
      <c r="Y3424" t="s">
        <v>66033</v>
      </c>
    </row>
    <row r="3425" spans="1:25" x14ac:dyDescent="0.3">
      <c r="A3425">
        <v>171200</v>
      </c>
      <c r="B3425" t="s">
        <v>66034</v>
      </c>
      <c r="C3425" t="s">
        <v>66035</v>
      </c>
      <c r="D3425" t="s">
        <v>66036</v>
      </c>
      <c r="E3425" t="s">
        <v>66037</v>
      </c>
      <c r="F3425" t="s">
        <v>66038</v>
      </c>
      <c r="G3425" t="s">
        <v>66039</v>
      </c>
      <c r="H3425" t="s">
        <v>66040</v>
      </c>
      <c r="I3425" t="s">
        <v>66041</v>
      </c>
      <c r="J3425" t="s">
        <v>66042</v>
      </c>
      <c r="K3425" t="s">
        <v>66043</v>
      </c>
      <c r="L3425" t="s">
        <v>66044</v>
      </c>
      <c r="M3425" t="s">
        <v>66045</v>
      </c>
      <c r="N3425">
        <f>-670.41847154302 -7.14157773353008 -529.534205186352</f>
        <v>-1207.094254462902</v>
      </c>
      <c r="O3425">
        <f>-667.770863168415 -160.699356473612 -502.150820643662</f>
        <v>-1330.6210402856889</v>
      </c>
      <c r="P3425">
        <f>-672.36925984658 -185.480331870696 -221.1822439854</f>
        <v>-1079.0318357026761</v>
      </c>
      <c r="Q3425">
        <f>-472.989398809138 -100.23766589724 -304.428205986101</f>
        <v>-877.65527069247901</v>
      </c>
      <c r="R3425" t="s">
        <v>66046</v>
      </c>
      <c r="S3425" t="s">
        <v>66047</v>
      </c>
      <c r="T3425" t="s">
        <v>66048</v>
      </c>
      <c r="U3425" t="s">
        <v>66049</v>
      </c>
      <c r="V3425">
        <f>-602.516674639548 -59.2860883144563 -93.1315156032638</f>
        <v>-754.93427855726804</v>
      </c>
      <c r="W3425" t="s">
        <v>66050</v>
      </c>
      <c r="X3425" t="s">
        <v>66051</v>
      </c>
      <c r="Y3425" t="s">
        <v>66052</v>
      </c>
    </row>
    <row r="3426" spans="1:25" x14ac:dyDescent="0.3">
      <c r="A3426">
        <v>171250</v>
      </c>
      <c r="B3426" t="s">
        <v>66053</v>
      </c>
      <c r="C3426" t="s">
        <v>66054</v>
      </c>
      <c r="D3426" t="s">
        <v>66055</v>
      </c>
      <c r="E3426" t="s">
        <v>66056</v>
      </c>
      <c r="F3426" t="s">
        <v>66057</v>
      </c>
      <c r="G3426" t="s">
        <v>66058</v>
      </c>
      <c r="H3426" t="s">
        <v>66059</v>
      </c>
      <c r="I3426" t="s">
        <v>66060</v>
      </c>
      <c r="J3426" t="s">
        <v>66061</v>
      </c>
      <c r="K3426" t="s">
        <v>66062</v>
      </c>
      <c r="L3426" t="s">
        <v>66063</v>
      </c>
      <c r="M3426" t="s">
        <v>66064</v>
      </c>
      <c r="N3426">
        <f>-669.993040116751 -7.05067863246131 -529.623987651547</f>
        <v>-1206.6677064007595</v>
      </c>
      <c r="O3426">
        <f>-667.320043375473 -160.612074747075 -502.253742230256</f>
        <v>-1330.185860352804</v>
      </c>
      <c r="P3426">
        <f>-672.085193556321 -185.446240627324 -221.292702033526</f>
        <v>-1078.8241362171709</v>
      </c>
      <c r="Q3426">
        <f>-472.749944882124 -100.056314398894 -304.494515637219</f>
        <v>-877.30077491823704</v>
      </c>
      <c r="R3426" t="s">
        <v>66065</v>
      </c>
      <c r="S3426" t="s">
        <v>66066</v>
      </c>
      <c r="T3426" t="s">
        <v>66067</v>
      </c>
      <c r="U3426" t="s">
        <v>66068</v>
      </c>
      <c r="V3426">
        <f>-602.436883538685 -59.22604099719 -93.1666814226703</f>
        <v>-754.82960595854536</v>
      </c>
      <c r="W3426" t="s">
        <v>66069</v>
      </c>
      <c r="X3426" t="s">
        <v>66070</v>
      </c>
      <c r="Y3426" t="s">
        <v>66071</v>
      </c>
    </row>
    <row r="3427" spans="1:25" x14ac:dyDescent="0.3">
      <c r="A3427">
        <v>171300</v>
      </c>
      <c r="B3427" t="s">
        <v>66072</v>
      </c>
      <c r="C3427" t="s">
        <v>66073</v>
      </c>
      <c r="D3427" t="s">
        <v>66074</v>
      </c>
      <c r="E3427" t="s">
        <v>66075</v>
      </c>
      <c r="F3427" t="s">
        <v>66076</v>
      </c>
      <c r="G3427" t="s">
        <v>66077</v>
      </c>
      <c r="H3427" t="s">
        <v>66078</v>
      </c>
      <c r="I3427" t="s">
        <v>66079</v>
      </c>
      <c r="J3427" t="s">
        <v>66080</v>
      </c>
      <c r="K3427" t="s">
        <v>66081</v>
      </c>
      <c r="L3427" t="s">
        <v>66082</v>
      </c>
      <c r="M3427" t="s">
        <v>66083</v>
      </c>
      <c r="N3427">
        <f>-668.847806099997 -6.9633897899871 -529.774632747884</f>
        <v>-1205.585828637868</v>
      </c>
      <c r="O3427">
        <f>-666.100281001215 -160.522575035659 -502.400569902824</f>
        <v>-1329.023425939698</v>
      </c>
      <c r="P3427">
        <f>-671.291719918699 -185.565636611302 -221.46559681375</f>
        <v>-1078.3229533437509</v>
      </c>
      <c r="Q3427">
        <f>-472.052510866802 -99.7984430404917 -304.509419548766</f>
        <v>-876.36037345605973</v>
      </c>
      <c r="R3427" t="s">
        <v>66084</v>
      </c>
      <c r="S3427" t="s">
        <v>66085</v>
      </c>
      <c r="T3427" t="s">
        <v>66086</v>
      </c>
      <c r="U3427" t="s">
        <v>66087</v>
      </c>
      <c r="V3427">
        <f>-602.008528900954 -59.0641394260074 -93.1965367831527</f>
        <v>-754.26920511011417</v>
      </c>
      <c r="W3427" t="s">
        <v>66088</v>
      </c>
      <c r="X3427" t="s">
        <v>66089</v>
      </c>
      <c r="Y3427" t="s">
        <v>66090</v>
      </c>
    </row>
    <row r="3428" spans="1:25" x14ac:dyDescent="0.3">
      <c r="A3428">
        <v>171350</v>
      </c>
      <c r="B3428" t="s">
        <v>66091</v>
      </c>
      <c r="C3428" t="s">
        <v>66092</v>
      </c>
      <c r="D3428" t="s">
        <v>66093</v>
      </c>
      <c r="E3428" t="s">
        <v>66094</v>
      </c>
      <c r="F3428" t="s">
        <v>66095</v>
      </c>
      <c r="G3428" t="s">
        <v>66096</v>
      </c>
      <c r="H3428" t="s">
        <v>66097</v>
      </c>
      <c r="I3428" t="s">
        <v>66098</v>
      </c>
      <c r="J3428" t="s">
        <v>66099</v>
      </c>
      <c r="K3428" t="s">
        <v>66100</v>
      </c>
      <c r="L3428" t="s">
        <v>66101</v>
      </c>
      <c r="M3428" t="s">
        <v>66102</v>
      </c>
      <c r="N3428">
        <f>-668.265936076118 -6.9002187327942 -529.821431829442</f>
        <v>-1204.9875866383541</v>
      </c>
      <c r="O3428">
        <f>-665.484597700843 -160.459336008433 -502.451484511154</f>
        <v>-1328.39541822043</v>
      </c>
      <c r="P3428">
        <f>-670.89923909679 -185.580955151149 -221.527687389182</f>
        <v>-1078.007881637121</v>
      </c>
      <c r="Q3428">
        <f>-471.678630416882 -99.6943559938493 -304.492402482956</f>
        <v>-875.86538889368728</v>
      </c>
      <c r="R3428" t="s">
        <v>66103</v>
      </c>
      <c r="S3428" t="s">
        <v>66104</v>
      </c>
      <c r="T3428" t="s">
        <v>66105</v>
      </c>
      <c r="U3428" t="s">
        <v>66106</v>
      </c>
      <c r="V3428">
        <f>-601.684463855218 -59.0231785104456 -93.191021915854</f>
        <v>-753.89866428151765</v>
      </c>
      <c r="W3428" t="s">
        <v>66107</v>
      </c>
      <c r="X3428" t="s">
        <v>66108</v>
      </c>
      <c r="Y3428" t="s">
        <v>66109</v>
      </c>
    </row>
    <row r="3429" spans="1:25" x14ac:dyDescent="0.3">
      <c r="A3429">
        <v>171400</v>
      </c>
      <c r="B3429" t="s">
        <v>66110</v>
      </c>
      <c r="C3429" t="s">
        <v>66111</v>
      </c>
      <c r="D3429" t="s">
        <v>66112</v>
      </c>
      <c r="E3429" t="s">
        <v>66113</v>
      </c>
      <c r="F3429" t="s">
        <v>66114</v>
      </c>
      <c r="G3429" t="s">
        <v>66115</v>
      </c>
      <c r="H3429" t="s">
        <v>66116</v>
      </c>
      <c r="I3429" t="s">
        <v>66117</v>
      </c>
      <c r="J3429" t="s">
        <v>66118</v>
      </c>
      <c r="K3429" t="s">
        <v>66119</v>
      </c>
      <c r="L3429" t="s">
        <v>66120</v>
      </c>
      <c r="M3429" t="s">
        <v>66121</v>
      </c>
      <c r="N3429">
        <f>-666.904054615702 -6.9038528522774 -529.920857617645</f>
        <v>-1203.7287650856242</v>
      </c>
      <c r="O3429">
        <f>-663.959346531076 -160.458349138789 -502.533272867798</f>
        <v>-1326.9509685376629</v>
      </c>
      <c r="P3429">
        <f>-669.940428356579 -185.81178376415 -221.641815474787</f>
        <v>-1077.394027595516</v>
      </c>
      <c r="Q3429">
        <f>-470.705862329647 -99.6975959825425 -304.336811337354</f>
        <v>-874.74026964954351</v>
      </c>
      <c r="R3429" t="s">
        <v>66122</v>
      </c>
      <c r="S3429" t="s">
        <v>66123</v>
      </c>
      <c r="T3429" t="s">
        <v>66124</v>
      </c>
      <c r="U3429" t="s">
        <v>66125</v>
      </c>
      <c r="V3429">
        <f>-600.974074003013 -59.1002646400832 -93.1777972319398</f>
        <v>-753.25213587503606</v>
      </c>
      <c r="W3429" t="s">
        <v>66126</v>
      </c>
      <c r="X3429" t="s">
        <v>66127</v>
      </c>
      <c r="Y3429" t="s">
        <v>66128</v>
      </c>
    </row>
    <row r="3430" spans="1:25" x14ac:dyDescent="0.3">
      <c r="A3430">
        <v>171450</v>
      </c>
      <c r="B3430" t="s">
        <v>66129</v>
      </c>
      <c r="C3430" t="s">
        <v>66130</v>
      </c>
      <c r="D3430" t="s">
        <v>66131</v>
      </c>
      <c r="E3430" t="s">
        <v>66132</v>
      </c>
      <c r="F3430" t="s">
        <v>66133</v>
      </c>
      <c r="G3430" t="s">
        <v>66134</v>
      </c>
      <c r="H3430" t="s">
        <v>66135</v>
      </c>
      <c r="I3430" t="s">
        <v>66136</v>
      </c>
      <c r="J3430" t="s">
        <v>66137</v>
      </c>
      <c r="K3430" t="s">
        <v>66138</v>
      </c>
      <c r="L3430" t="s">
        <v>66139</v>
      </c>
      <c r="M3430" t="s">
        <v>66140</v>
      </c>
      <c r="N3430">
        <f>-666.070237677207 -6.94837572635424 -530.004132229699</f>
        <v>-1203.0227456332605</v>
      </c>
      <c r="O3430">
        <f>-663.049868053197 -160.509156175921 -502.635043603045</f>
        <v>-1326.194067832163</v>
      </c>
      <c r="P3430">
        <f>-669.274027129871 -185.890983060085 -221.751504733211</f>
        <v>-1076.9165149231669</v>
      </c>
      <c r="Q3430">
        <f>-469.989931831508 -99.7587131303326 -304.308042182421</f>
        <v>-874.05668714426156</v>
      </c>
      <c r="R3430" t="s">
        <v>66141</v>
      </c>
      <c r="S3430" t="s">
        <v>66142</v>
      </c>
      <c r="T3430" t="s">
        <v>66143</v>
      </c>
      <c r="U3430" t="s">
        <v>66144</v>
      </c>
      <c r="V3430">
        <f>-600.608253040678 -59.21991231481 -93.177701294699</f>
        <v>-753.00586665018704</v>
      </c>
      <c r="W3430" t="s">
        <v>66145</v>
      </c>
      <c r="X3430" t="s">
        <v>66146</v>
      </c>
      <c r="Y3430" t="s">
        <v>66147</v>
      </c>
    </row>
    <row r="3431" spans="1:25" x14ac:dyDescent="0.3">
      <c r="A3431">
        <v>171500</v>
      </c>
      <c r="B3431" t="s">
        <v>66148</v>
      </c>
      <c r="C3431" t="s">
        <v>66149</v>
      </c>
      <c r="D3431" t="s">
        <v>66150</v>
      </c>
      <c r="E3431" t="s">
        <v>66151</v>
      </c>
      <c r="F3431" t="s">
        <v>66152</v>
      </c>
      <c r="G3431" t="s">
        <v>66153</v>
      </c>
      <c r="H3431" t="s">
        <v>66154</v>
      </c>
      <c r="I3431" t="s">
        <v>66155</v>
      </c>
      <c r="J3431" t="s">
        <v>66156</v>
      </c>
      <c r="K3431" t="s">
        <v>66157</v>
      </c>
      <c r="L3431" t="s">
        <v>66158</v>
      </c>
      <c r="M3431" t="s">
        <v>66159</v>
      </c>
      <c r="N3431">
        <f>-664.405091945386 -7.12533551094475 -530.10149306125</f>
        <v>-1201.6319205175807</v>
      </c>
      <c r="O3431">
        <f>-661.286719382832 -160.676153730158 -502.738637904439</f>
        <v>-1324.7015110174289</v>
      </c>
      <c r="P3431">
        <f>-667.855641006224 -186.174911120755 -221.873553101874</f>
        <v>-1075.904105228853</v>
      </c>
      <c r="Q3431">
        <f>-468.642046371415 -99.7631853529647 -304.308480441649</f>
        <v>-872.7137121660287</v>
      </c>
      <c r="R3431" t="s">
        <v>66160</v>
      </c>
      <c r="S3431" t="s">
        <v>66161</v>
      </c>
      <c r="T3431" t="s">
        <v>66162</v>
      </c>
      <c r="U3431" t="s">
        <v>66163</v>
      </c>
      <c r="V3431">
        <f>-599.775141724062 -59.3490859623521 -93.1560082026957</f>
        <v>-752.2802358891098</v>
      </c>
      <c r="W3431" t="s">
        <v>66164</v>
      </c>
      <c r="X3431" t="s">
        <v>66165</v>
      </c>
      <c r="Y3431" t="s">
        <v>66166</v>
      </c>
    </row>
    <row r="3432" spans="1:25" x14ac:dyDescent="0.3">
      <c r="A3432">
        <v>171550</v>
      </c>
      <c r="B3432" t="s">
        <v>66167</v>
      </c>
      <c r="C3432" t="s">
        <v>66168</v>
      </c>
      <c r="D3432" t="s">
        <v>66169</v>
      </c>
      <c r="E3432" t="s">
        <v>66170</v>
      </c>
      <c r="F3432" t="s">
        <v>66171</v>
      </c>
      <c r="G3432" t="s">
        <v>66172</v>
      </c>
      <c r="H3432" t="s">
        <v>66173</v>
      </c>
      <c r="I3432" t="s">
        <v>66174</v>
      </c>
      <c r="J3432" t="s">
        <v>66175</v>
      </c>
      <c r="K3432" t="s">
        <v>66176</v>
      </c>
      <c r="L3432" t="s">
        <v>66177</v>
      </c>
      <c r="M3432" t="s">
        <v>66178</v>
      </c>
      <c r="N3432">
        <f>-663.655487199596 -7.21625997440924 -530.12057919532</f>
        <v>-1200.9923263693254</v>
      </c>
      <c r="O3432">
        <f>-660.448378769604 -160.759234479523 -502.698337237402</f>
        <v>-1323.905950486529</v>
      </c>
      <c r="P3432">
        <f>-667.113932176743 -186.242755820431 -221.83415762355</f>
        <v>-1075.1908456207241</v>
      </c>
      <c r="Q3432">
        <f>-467.956041744808 -99.7475801886944 -304.315848918381</f>
        <v>-872.0194708518834</v>
      </c>
      <c r="R3432" t="s">
        <v>66179</v>
      </c>
      <c r="S3432" t="s">
        <v>66180</v>
      </c>
      <c r="T3432" t="s">
        <v>66181</v>
      </c>
      <c r="U3432" t="s">
        <v>66182</v>
      </c>
      <c r="V3432">
        <f>-599.286031576949 -59.3297397214478 -93.1333736062076</f>
        <v>-751.74914490460435</v>
      </c>
      <c r="W3432" t="s">
        <v>66183</v>
      </c>
      <c r="X3432" t="s">
        <v>66184</v>
      </c>
      <c r="Y3432" t="s">
        <v>66185</v>
      </c>
    </row>
    <row r="3433" spans="1:25" x14ac:dyDescent="0.3">
      <c r="A3433">
        <v>171600</v>
      </c>
      <c r="B3433" t="s">
        <v>66186</v>
      </c>
      <c r="C3433" t="s">
        <v>66187</v>
      </c>
      <c r="D3433" t="s">
        <v>66188</v>
      </c>
      <c r="E3433" t="s">
        <v>66189</v>
      </c>
      <c r="F3433" t="s">
        <v>66190</v>
      </c>
      <c r="G3433" t="s">
        <v>66191</v>
      </c>
      <c r="H3433" t="s">
        <v>66192</v>
      </c>
      <c r="I3433" t="s">
        <v>66193</v>
      </c>
      <c r="J3433" t="s">
        <v>66194</v>
      </c>
      <c r="K3433" t="s">
        <v>66195</v>
      </c>
      <c r="L3433" t="s">
        <v>66196</v>
      </c>
      <c r="M3433" t="s">
        <v>66197</v>
      </c>
      <c r="N3433">
        <f>-662.184559375482 -7.46232954768902 -530.143488623795</f>
        <v>-1199.7903775469658</v>
      </c>
      <c r="O3433">
        <f>-658.862099068178 -160.977827754193 -502.596436074848</f>
        <v>-1322.4363628972189</v>
      </c>
      <c r="P3433">
        <f>-665.37847683152 -186.409694595991 -221.723946107604</f>
        <v>-1073.5121175351151</v>
      </c>
      <c r="Q3433">
        <f>-466.412999788193 -99.8845869418451 -304.63754198219</f>
        <v>-870.93512871222811</v>
      </c>
      <c r="R3433" t="s">
        <v>66198</v>
      </c>
      <c r="S3433" t="s">
        <v>66199</v>
      </c>
      <c r="T3433" t="s">
        <v>66200</v>
      </c>
      <c r="U3433" t="s">
        <v>66201</v>
      </c>
      <c r="V3433">
        <f>-598.241471661757 -59.2876718273069 -93.0946590446184</f>
        <v>-750.62380253368235</v>
      </c>
      <c r="W3433" t="s">
        <v>66202</v>
      </c>
      <c r="X3433" t="s">
        <v>66203</v>
      </c>
      <c r="Y3433" t="s">
        <v>66204</v>
      </c>
    </row>
    <row r="3434" spans="1:25" x14ac:dyDescent="0.3">
      <c r="A3434">
        <v>171650</v>
      </c>
      <c r="B3434" t="s">
        <v>66205</v>
      </c>
      <c r="C3434" t="s">
        <v>66206</v>
      </c>
      <c r="D3434" t="s">
        <v>66207</v>
      </c>
      <c r="E3434" t="s">
        <v>66208</v>
      </c>
      <c r="F3434" t="s">
        <v>66209</v>
      </c>
      <c r="G3434" t="s">
        <v>66210</v>
      </c>
      <c r="H3434" t="s">
        <v>66211</v>
      </c>
      <c r="I3434" t="s">
        <v>66212</v>
      </c>
      <c r="J3434" t="s">
        <v>66213</v>
      </c>
      <c r="K3434" t="s">
        <v>66214</v>
      </c>
      <c r="L3434" t="s">
        <v>66215</v>
      </c>
      <c r="M3434" t="s">
        <v>66216</v>
      </c>
      <c r="N3434">
        <f>-661.508793678149 -7.55553400487952 -530.125850435546</f>
        <v>-1199.1901781185745</v>
      </c>
      <c r="O3434">
        <f>-658.157459807404 -161.065627205054 -502.500520995263</f>
        <v>-1321.7236080077212</v>
      </c>
      <c r="P3434">
        <f>-664.540054964614 -186.322118716333 -221.609129718081</f>
        <v>-1072.4713033990279</v>
      </c>
      <c r="Q3434">
        <f>-465.683950419655 -99.8571207298587 -304.847081203837</f>
        <v>-870.38815235335073</v>
      </c>
      <c r="R3434" t="s">
        <v>66217</v>
      </c>
      <c r="S3434" t="s">
        <v>66218</v>
      </c>
      <c r="T3434" t="s">
        <v>66219</v>
      </c>
      <c r="U3434" t="s">
        <v>66220</v>
      </c>
      <c r="V3434">
        <f>-597.684714994597 -59.1872975743736 -93.0572449062377</f>
        <v>-749.92925747520826</v>
      </c>
      <c r="W3434" t="s">
        <v>66221</v>
      </c>
      <c r="X3434" t="s">
        <v>66222</v>
      </c>
      <c r="Y3434" t="s">
        <v>66223</v>
      </c>
    </row>
    <row r="3435" spans="1:25" x14ac:dyDescent="0.3">
      <c r="A3435">
        <v>171700</v>
      </c>
      <c r="B3435" t="s">
        <v>66224</v>
      </c>
      <c r="C3435" t="s">
        <v>66225</v>
      </c>
      <c r="D3435" t="s">
        <v>66226</v>
      </c>
      <c r="E3435" t="s">
        <v>66227</v>
      </c>
      <c r="F3435" t="s">
        <v>66228</v>
      </c>
      <c r="G3435" t="s">
        <v>66229</v>
      </c>
      <c r="H3435" t="s">
        <v>66230</v>
      </c>
      <c r="I3435" t="s">
        <v>66231</v>
      </c>
      <c r="J3435" t="s">
        <v>66232</v>
      </c>
      <c r="K3435" t="s">
        <v>66233</v>
      </c>
      <c r="L3435" t="s">
        <v>66234</v>
      </c>
      <c r="M3435" t="s">
        <v>66235</v>
      </c>
      <c r="N3435">
        <f>-660.167970836445 -7.60062443089419 -530.120163083111</f>
        <v>-1197.8887583504502</v>
      </c>
      <c r="O3435">
        <f>-656.877976463072 -161.069882093057 -502.313103421445</f>
        <v>-1320.260961977574</v>
      </c>
      <c r="P3435">
        <f>-663.106182280716 -185.978892430453 -221.387205933128</f>
        <v>-1070.4722806442969</v>
      </c>
      <c r="Q3435">
        <f>-464.563018245122 -99.5809500268492 -305.438041437215</f>
        <v>-869.5820097091862</v>
      </c>
      <c r="R3435" t="s">
        <v>66236</v>
      </c>
      <c r="S3435" t="s">
        <v>66237</v>
      </c>
      <c r="T3435" t="s">
        <v>66238</v>
      </c>
      <c r="U3435" t="s">
        <v>66239</v>
      </c>
      <c r="V3435">
        <f>-596.6440717154 -59.1574111093742 -93.0102154273826</f>
        <v>-748.8116982521567</v>
      </c>
      <c r="W3435" t="s">
        <v>66240</v>
      </c>
      <c r="X3435" t="s">
        <v>66241</v>
      </c>
      <c r="Y3435" t="s">
        <v>66242</v>
      </c>
    </row>
    <row r="3436" spans="1:25" x14ac:dyDescent="0.3">
      <c r="A3436">
        <v>171750</v>
      </c>
      <c r="B3436" t="s">
        <v>66243</v>
      </c>
      <c r="C3436" t="s">
        <v>66244</v>
      </c>
      <c r="D3436" t="s">
        <v>66245</v>
      </c>
      <c r="E3436" t="s">
        <v>66246</v>
      </c>
      <c r="F3436" t="s">
        <v>66247</v>
      </c>
      <c r="G3436" t="s">
        <v>66248</v>
      </c>
      <c r="H3436" t="s">
        <v>66249</v>
      </c>
      <c r="I3436" t="s">
        <v>66250</v>
      </c>
      <c r="J3436" t="s">
        <v>66251</v>
      </c>
      <c r="K3436" t="s">
        <v>66252</v>
      </c>
      <c r="L3436" t="s">
        <v>66253</v>
      </c>
      <c r="M3436" t="s">
        <v>66254</v>
      </c>
      <c r="N3436">
        <f>-659.442740837487 -7.67218716976754 -530.126163325001</f>
        <v>-1197.2410913322556</v>
      </c>
      <c r="O3436">
        <f>-656.250624200832 -161.128823363134 -502.226188538777</f>
        <v>-1319.6056361027431</v>
      </c>
      <c r="P3436">
        <f>-662.486220321692 -186.104760265107 -221.30646294641</f>
        <v>-1069.8974435332091</v>
      </c>
      <c r="Q3436">
        <f>-464.065819369732 -99.604808557471 -305.54206970595</f>
        <v>-869.21269763315297</v>
      </c>
      <c r="R3436" t="s">
        <v>66255</v>
      </c>
      <c r="S3436" t="s">
        <v>66256</v>
      </c>
      <c r="T3436" t="s">
        <v>66257</v>
      </c>
      <c r="U3436" t="s">
        <v>66258</v>
      </c>
      <c r="V3436">
        <f>-596.092990052752 -59.0888874636471 -92.9884420843366</f>
        <v>-748.17031960073575</v>
      </c>
      <c r="W3436" t="s">
        <v>66259</v>
      </c>
      <c r="X3436" t="s">
        <v>66260</v>
      </c>
      <c r="Y3436" t="s">
        <v>66261</v>
      </c>
    </row>
    <row r="3437" spans="1:25" x14ac:dyDescent="0.3">
      <c r="A3437">
        <v>171800</v>
      </c>
      <c r="B3437" t="s">
        <v>66262</v>
      </c>
      <c r="C3437" t="s">
        <v>66263</v>
      </c>
      <c r="D3437" t="s">
        <v>66264</v>
      </c>
      <c r="E3437" t="s">
        <v>66265</v>
      </c>
      <c r="F3437" t="s">
        <v>66266</v>
      </c>
      <c r="G3437" t="s">
        <v>66267</v>
      </c>
      <c r="H3437" t="s">
        <v>66268</v>
      </c>
      <c r="I3437" t="s">
        <v>66269</v>
      </c>
      <c r="J3437" t="s">
        <v>66270</v>
      </c>
      <c r="K3437" t="s">
        <v>66271</v>
      </c>
      <c r="L3437" t="s">
        <v>66272</v>
      </c>
      <c r="M3437" t="s">
        <v>66273</v>
      </c>
      <c r="N3437">
        <f>-658.273649163603 -7.75299305634644 -530.10712776549</f>
        <v>-1196.1337699854394</v>
      </c>
      <c r="O3437">
        <f>-655.373593449094 -161.172360434796 -501.994548012511</f>
        <v>-1318.5405018964011</v>
      </c>
      <c r="P3437">
        <f>-661.839279287888 -185.734862901336 -221.043642086393</f>
        <v>-1068.6177842756169</v>
      </c>
      <c r="Q3437">
        <f>-463.22187868054 -99.5933887168846 -305.182446514616</f>
        <v>-867.99771391204058</v>
      </c>
      <c r="R3437" t="s">
        <v>66274</v>
      </c>
      <c r="S3437" t="s">
        <v>66275</v>
      </c>
      <c r="T3437" t="s">
        <v>66276</v>
      </c>
      <c r="U3437" t="s">
        <v>66277</v>
      </c>
      <c r="V3437">
        <f>-595.13888758338 -59.1396466580363 -92.9406962573365</f>
        <v>-747.21923049875284</v>
      </c>
      <c r="W3437" t="s">
        <v>66278</v>
      </c>
      <c r="X3437" t="s">
        <v>66279</v>
      </c>
      <c r="Y3437" t="s">
        <v>66280</v>
      </c>
    </row>
    <row r="3438" spans="1:25" x14ac:dyDescent="0.3">
      <c r="A3438">
        <v>171850</v>
      </c>
      <c r="B3438" t="s">
        <v>66281</v>
      </c>
      <c r="C3438" t="s">
        <v>66282</v>
      </c>
      <c r="D3438" t="s">
        <v>66283</v>
      </c>
      <c r="E3438" t="s">
        <v>66284</v>
      </c>
      <c r="F3438" t="s">
        <v>66285</v>
      </c>
      <c r="G3438" t="s">
        <v>66286</v>
      </c>
      <c r="H3438" t="s">
        <v>66287</v>
      </c>
      <c r="I3438" t="s">
        <v>66288</v>
      </c>
      <c r="J3438" t="s">
        <v>66289</v>
      </c>
      <c r="K3438" t="s">
        <v>66290</v>
      </c>
      <c r="L3438" t="s">
        <v>66291</v>
      </c>
      <c r="M3438" t="s">
        <v>66292</v>
      </c>
      <c r="N3438">
        <f>-657.67619068202 -7.79647238316875 -530.070984048102</f>
        <v>-1195.5436471132907</v>
      </c>
      <c r="O3438">
        <f>-654.92648235016 -161.18256927724 -501.775334136596</f>
        <v>-1317.8843857639959</v>
      </c>
      <c r="P3438">
        <f>-661.620685616343 -185.610438324917 -220.817897226648</f>
        <v>-1068.049021167908</v>
      </c>
      <c r="Q3438">
        <f>-462.806669336752 -99.7541266946787 -304.783479744588</f>
        <v>-867.34427577601878</v>
      </c>
      <c r="R3438" t="s">
        <v>66293</v>
      </c>
      <c r="S3438" t="s">
        <v>66294</v>
      </c>
      <c r="T3438" t="s">
        <v>66295</v>
      </c>
      <c r="U3438" t="s">
        <v>66296</v>
      </c>
      <c r="V3438">
        <f>-594.633642391895 -59.093098224022 -92.9107368436732</f>
        <v>-746.63747745959029</v>
      </c>
      <c r="W3438" t="s">
        <v>66297</v>
      </c>
      <c r="X3438" t="s">
        <v>66298</v>
      </c>
      <c r="Y3438" t="s">
        <v>66299</v>
      </c>
    </row>
    <row r="3439" spans="1:25" x14ac:dyDescent="0.3">
      <c r="A3439">
        <v>171900</v>
      </c>
      <c r="B3439" t="s">
        <v>66300</v>
      </c>
      <c r="C3439" t="s">
        <v>66301</v>
      </c>
      <c r="D3439" t="s">
        <v>66302</v>
      </c>
      <c r="E3439" t="s">
        <v>66303</v>
      </c>
      <c r="F3439" t="s">
        <v>66304</v>
      </c>
      <c r="G3439" t="s">
        <v>66305</v>
      </c>
      <c r="H3439" t="s">
        <v>66306</v>
      </c>
      <c r="I3439" t="s">
        <v>66307</v>
      </c>
      <c r="J3439" t="s">
        <v>66308</v>
      </c>
      <c r="K3439" t="s">
        <v>66309</v>
      </c>
      <c r="L3439" t="s">
        <v>66310</v>
      </c>
      <c r="M3439" t="s">
        <v>66311</v>
      </c>
      <c r="N3439">
        <f>-656.559000988952 -7.81565544201158 -530.082551087116</f>
        <v>-1194.4572075180795</v>
      </c>
      <c r="O3439">
        <f>-654.215091661881 -161.168232180913 -501.53015498526</f>
        <v>-1316.9134788280542</v>
      </c>
      <c r="P3439">
        <f>-661.232172625326 -184.985841732295 -220.528194332067</f>
        <v>-1066.746208689688</v>
      </c>
      <c r="Q3439">
        <f>-461.791319604962 -99.9085387037201 -303.797053444875</f>
        <v>-865.49691175355713</v>
      </c>
      <c r="R3439" t="s">
        <v>66312</v>
      </c>
      <c r="S3439" t="s">
        <v>66313</v>
      </c>
      <c r="T3439" t="s">
        <v>66314</v>
      </c>
      <c r="U3439" t="s">
        <v>66315</v>
      </c>
      <c r="V3439">
        <f>-593.804085298678 -59.141027768804 -92.8752637176699</f>
        <v>-745.82037678515189</v>
      </c>
      <c r="W3439" t="s">
        <v>66316</v>
      </c>
      <c r="X3439" t="s">
        <v>66317</v>
      </c>
      <c r="Y3439" t="s">
        <v>66318</v>
      </c>
    </row>
    <row r="3440" spans="1:25" x14ac:dyDescent="0.3">
      <c r="A3440">
        <v>171950</v>
      </c>
      <c r="B3440" t="s">
        <v>66319</v>
      </c>
      <c r="C3440" t="s">
        <v>66320</v>
      </c>
      <c r="D3440" t="s">
        <v>66321</v>
      </c>
      <c r="E3440" t="s">
        <v>66322</v>
      </c>
      <c r="F3440" t="s">
        <v>66323</v>
      </c>
      <c r="G3440" t="s">
        <v>66324</v>
      </c>
      <c r="H3440" t="s">
        <v>66325</v>
      </c>
      <c r="I3440" t="s">
        <v>66326</v>
      </c>
      <c r="J3440" t="s">
        <v>66327</v>
      </c>
      <c r="K3440" t="s">
        <v>66328</v>
      </c>
      <c r="L3440" t="s">
        <v>66329</v>
      </c>
      <c r="M3440" t="s">
        <v>66330</v>
      </c>
      <c r="N3440">
        <f>-656.271782967768 -7.9157236153394 -530.069129152283</f>
        <v>-1194.2566357353903</v>
      </c>
      <c r="O3440">
        <f>-654.11709756843 -161.252266959707 -501.41960972583</f>
        <v>-1316.7889742539669</v>
      </c>
      <c r="P3440">
        <f>-660.991665946322 -184.821113173867 -220.393146959882</f>
        <v>-1066.2059260800709</v>
      </c>
      <c r="Q3440">
        <f>-461.2437004233 -100.076576380508 -303.264348310149</f>
        <v>-864.58462511395703</v>
      </c>
      <c r="R3440" t="s">
        <v>66331</v>
      </c>
      <c r="S3440" t="s">
        <v>66332</v>
      </c>
      <c r="T3440" t="s">
        <v>66333</v>
      </c>
      <c r="U3440" t="s">
        <v>66334</v>
      </c>
      <c r="V3440">
        <f>-593.461151397062 -59.2525840206511 -92.8586209380563</f>
        <v>-745.57235635576944</v>
      </c>
      <c r="W3440" t="s">
        <v>66335</v>
      </c>
      <c r="X3440" t="s">
        <v>66336</v>
      </c>
      <c r="Y3440" t="s">
        <v>66337</v>
      </c>
    </row>
    <row r="3441" spans="1:25" x14ac:dyDescent="0.3">
      <c r="A3441">
        <v>172000</v>
      </c>
      <c r="B3441" t="s">
        <v>66338</v>
      </c>
      <c r="C3441" t="s">
        <v>66339</v>
      </c>
      <c r="D3441" t="s">
        <v>66340</v>
      </c>
      <c r="E3441" t="s">
        <v>66341</v>
      </c>
      <c r="F3441" t="s">
        <v>66342</v>
      </c>
      <c r="G3441" t="s">
        <v>66343</v>
      </c>
      <c r="H3441" t="s">
        <v>66344</v>
      </c>
      <c r="I3441" t="s">
        <v>66345</v>
      </c>
      <c r="J3441" t="s">
        <v>66346</v>
      </c>
      <c r="K3441" t="s">
        <v>66347</v>
      </c>
      <c r="L3441" t="s">
        <v>66348</v>
      </c>
      <c r="M3441" t="s">
        <v>66349</v>
      </c>
      <c r="N3441">
        <f>-655.722095749596 -8.29465409280488 -530.039988086168</f>
        <v>-1194.056737928569</v>
      </c>
      <c r="O3441">
        <f>-653.764512617731 -161.589830573694 -501.151469623254</f>
        <v>-1316.5058128146791</v>
      </c>
      <c r="P3441">
        <f>-660.103969733448 -184.941749452979 -220.094507848386</f>
        <v>-1065.1402270348131</v>
      </c>
      <c r="Q3441">
        <f>-460.162766763945 -100.209928106391 -302.511405831381</f>
        <v>-862.88410070171699</v>
      </c>
      <c r="R3441" t="s">
        <v>66350</v>
      </c>
      <c r="S3441" t="s">
        <v>66351</v>
      </c>
      <c r="T3441" t="s">
        <v>66352</v>
      </c>
      <c r="U3441" t="s">
        <v>66353</v>
      </c>
      <c r="V3441">
        <f>-593.129499865978 -59.556323639875 -92.8247963699109</f>
        <v>-745.51061987576395</v>
      </c>
      <c r="W3441" t="s">
        <v>66354</v>
      </c>
      <c r="X3441" t="s">
        <v>66355</v>
      </c>
      <c r="Y3441" t="s">
        <v>66356</v>
      </c>
    </row>
    <row r="3442" spans="1:25" x14ac:dyDescent="0.3">
      <c r="A3442">
        <v>172050</v>
      </c>
      <c r="B3442" t="s">
        <v>66357</v>
      </c>
      <c r="C3442" t="s">
        <v>66358</v>
      </c>
      <c r="D3442" t="s">
        <v>66359</v>
      </c>
      <c r="E3442" t="s">
        <v>66360</v>
      </c>
      <c r="F3442" t="s">
        <v>66361</v>
      </c>
      <c r="G3442" t="s">
        <v>66362</v>
      </c>
      <c r="H3442" t="s">
        <v>66363</v>
      </c>
      <c r="I3442" t="s">
        <v>66364</v>
      </c>
      <c r="J3442" t="s">
        <v>66365</v>
      </c>
      <c r="K3442" t="s">
        <v>66366</v>
      </c>
      <c r="L3442" t="s">
        <v>66367</v>
      </c>
      <c r="M3442" t="s">
        <v>66368</v>
      </c>
      <c r="N3442">
        <f>-655.141814850495 -8.36324470069894 -530.062499887616</f>
        <v>-1193.5675594388099</v>
      </c>
      <c r="O3442">
        <f>-653.292264401849 -161.636856547646 -501.056493551749</f>
        <v>-1315.9856145012441</v>
      </c>
      <c r="P3442">
        <f>-659.494536161855 -184.7808596302 -219.979100128807</f>
        <v>-1064.2544959208619</v>
      </c>
      <c r="Q3442">
        <f>-459.439840363542 -100.283153160788 -302.361137477926</f>
        <v>-862.08413100225584</v>
      </c>
      <c r="R3442" t="s">
        <v>66369</v>
      </c>
      <c r="S3442" t="s">
        <v>66370</v>
      </c>
      <c r="T3442" t="s">
        <v>66371</v>
      </c>
      <c r="U3442" t="s">
        <v>66372</v>
      </c>
      <c r="V3442">
        <f>-592.978206921966 -59.5468721641466 -92.8183398980199</f>
        <v>-745.34341898413254</v>
      </c>
      <c r="W3442" t="s">
        <v>66373</v>
      </c>
      <c r="X3442" t="s">
        <v>66374</v>
      </c>
      <c r="Y3442" t="s">
        <v>66375</v>
      </c>
    </row>
    <row r="3443" spans="1:25" x14ac:dyDescent="0.3">
      <c r="A3443">
        <v>172100</v>
      </c>
      <c r="B3443" t="s">
        <v>66376</v>
      </c>
      <c r="C3443" t="s">
        <v>66377</v>
      </c>
      <c r="D3443" t="s">
        <v>66378</v>
      </c>
      <c r="E3443" t="s">
        <v>66379</v>
      </c>
      <c r="F3443" t="s">
        <v>66380</v>
      </c>
      <c r="G3443" t="s">
        <v>66381</v>
      </c>
      <c r="H3443" t="s">
        <v>66382</v>
      </c>
      <c r="I3443" t="s">
        <v>66383</v>
      </c>
      <c r="J3443" t="s">
        <v>66384</v>
      </c>
      <c r="K3443" t="s">
        <v>66385</v>
      </c>
      <c r="L3443" t="s">
        <v>66386</v>
      </c>
      <c r="M3443" t="s">
        <v>66387</v>
      </c>
      <c r="N3443">
        <f>-654.313218409247 -8.29062980594381 -530.095302869686</f>
        <v>-1192.6991510848768</v>
      </c>
      <c r="O3443">
        <f>-652.567193312194 -161.530517387671 -500.891379074402</f>
        <v>-1314.9890897742671</v>
      </c>
      <c r="P3443">
        <f>-658.927397565819 -184.207635340977 -219.779422830842</f>
        <v>-1062.914455737638</v>
      </c>
      <c r="Q3443">
        <f>-458.474722888239 -100.478205219782 -301.978104554935</f>
        <v>-860.93103266295589</v>
      </c>
      <c r="R3443" t="s">
        <v>66388</v>
      </c>
      <c r="S3443" t="s">
        <v>66389</v>
      </c>
      <c r="T3443" t="s">
        <v>66390</v>
      </c>
      <c r="U3443" t="s">
        <v>66391</v>
      </c>
      <c r="V3443">
        <f>-592.51319636626 -59.2934867543124 -92.7956282773973</f>
        <v>-744.60231139796974</v>
      </c>
      <c r="W3443" t="s">
        <v>66392</v>
      </c>
      <c r="X3443" t="s">
        <v>66393</v>
      </c>
      <c r="Y3443" t="s">
        <v>66394</v>
      </c>
    </row>
    <row r="3444" spans="1:25" x14ac:dyDescent="0.3">
      <c r="A3444">
        <v>172150</v>
      </c>
      <c r="B3444" t="s">
        <v>66395</v>
      </c>
      <c r="C3444" t="s">
        <v>66396</v>
      </c>
      <c r="D3444" t="s">
        <v>66397</v>
      </c>
      <c r="E3444" t="s">
        <v>66398</v>
      </c>
      <c r="F3444" t="s">
        <v>66399</v>
      </c>
      <c r="G3444" t="s">
        <v>66400</v>
      </c>
      <c r="H3444" t="s">
        <v>66401</v>
      </c>
      <c r="I3444" t="s">
        <v>66402</v>
      </c>
      <c r="J3444" t="s">
        <v>66403</v>
      </c>
      <c r="K3444" t="s">
        <v>66404</v>
      </c>
      <c r="L3444" t="s">
        <v>66405</v>
      </c>
      <c r="M3444" t="s">
        <v>66406</v>
      </c>
      <c r="N3444">
        <f>-654.202418940416 -8.21298297131921 -530.108278696496</f>
        <v>-1192.5236806082312</v>
      </c>
      <c r="O3444">
        <f>-652.498109741922 -161.443950536095 -500.825896509197</f>
        <v>-1314.767956787214</v>
      </c>
      <c r="P3444">
        <f>-659.011959554401 -184.062448287718 -219.712690543021</f>
        <v>-1062.7870983851399</v>
      </c>
      <c r="Q3444">
        <f>-458.359485493324 -100.617618010818 -301.713228202999</f>
        <v>-860.69033170714101</v>
      </c>
      <c r="R3444" t="s">
        <v>66407</v>
      </c>
      <c r="S3444" t="s">
        <v>66408</v>
      </c>
      <c r="T3444" t="s">
        <v>66409</v>
      </c>
      <c r="U3444" t="s">
        <v>66410</v>
      </c>
      <c r="V3444">
        <f>-592.35534461193 -59.2063827136194 -92.7782232729406</f>
        <v>-744.33995059849008</v>
      </c>
      <c r="W3444" t="s">
        <v>66411</v>
      </c>
      <c r="X3444" t="s">
        <v>66412</v>
      </c>
      <c r="Y3444" t="s">
        <v>66413</v>
      </c>
    </row>
    <row r="3445" spans="1:25" x14ac:dyDescent="0.3">
      <c r="A3445">
        <v>172200</v>
      </c>
      <c r="B3445" t="s">
        <v>66414</v>
      </c>
      <c r="C3445" t="s">
        <v>66415</v>
      </c>
      <c r="D3445" t="s">
        <v>66416</v>
      </c>
      <c r="E3445" t="s">
        <v>66417</v>
      </c>
      <c r="F3445" t="s">
        <v>66418</v>
      </c>
      <c r="G3445" t="s">
        <v>66419</v>
      </c>
      <c r="H3445" t="s">
        <v>66420</v>
      </c>
      <c r="I3445" t="s">
        <v>66421</v>
      </c>
      <c r="J3445" t="s">
        <v>66422</v>
      </c>
      <c r="K3445" t="s">
        <v>66423</v>
      </c>
      <c r="L3445" t="s">
        <v>66424</v>
      </c>
      <c r="M3445" t="s">
        <v>66425</v>
      </c>
      <c r="N3445">
        <f>-653.596801278291 -8.11452409133312 -530.099588250566</f>
        <v>-1191.8109136201901</v>
      </c>
      <c r="O3445">
        <f>-652.089341247055 -161.295995996904 -500.642681602184</f>
        <v>-1314.0280188461429</v>
      </c>
      <c r="P3445">
        <f>-658.948567361564 -183.803915565815 -219.529026014184</f>
        <v>-1062.2815089415631</v>
      </c>
      <c r="Q3445">
        <f>-457.965400411368 -100.826888671281 -301.19345624147</f>
        <v>-859.98574532411908</v>
      </c>
      <c r="R3445" t="s">
        <v>66426</v>
      </c>
      <c r="S3445" t="s">
        <v>66427</v>
      </c>
      <c r="T3445" t="s">
        <v>66428</v>
      </c>
      <c r="U3445" t="s">
        <v>66429</v>
      </c>
      <c r="V3445">
        <f>-592.151953535303 -58.8466025576524 -92.7359550564687</f>
        <v>-743.73451114942418</v>
      </c>
      <c r="W3445" t="s">
        <v>66430</v>
      </c>
      <c r="X3445" t="s">
        <v>66431</v>
      </c>
      <c r="Y3445" t="s">
        <v>66432</v>
      </c>
    </row>
    <row r="3446" spans="1:25" x14ac:dyDescent="0.3">
      <c r="A3446">
        <v>172250</v>
      </c>
      <c r="B3446" t="s">
        <v>66433</v>
      </c>
      <c r="C3446" t="s">
        <v>66434</v>
      </c>
      <c r="D3446" t="s">
        <v>66435</v>
      </c>
      <c r="E3446" t="s">
        <v>66436</v>
      </c>
      <c r="F3446" t="s">
        <v>66437</v>
      </c>
      <c r="G3446" t="s">
        <v>66438</v>
      </c>
      <c r="H3446" t="s">
        <v>66439</v>
      </c>
      <c r="I3446" t="s">
        <v>66440</v>
      </c>
      <c r="J3446" t="s">
        <v>66441</v>
      </c>
      <c r="K3446" t="s">
        <v>66442</v>
      </c>
      <c r="L3446" t="s">
        <v>66443</v>
      </c>
      <c r="M3446" t="s">
        <v>66444</v>
      </c>
      <c r="N3446">
        <f>-653.414402072004 -8.22991693450217 -530.06123659947</f>
        <v>-1191.7055556059763</v>
      </c>
      <c r="O3446">
        <f>-652.040963975677 -161.384770117275 -500.43376379472</f>
        <v>-1313.859497887672</v>
      </c>
      <c r="P3446">
        <f>-659.055575646127 -183.722978482197 -219.310268994025</f>
        <v>-1062.0888231223489</v>
      </c>
      <c r="Q3446">
        <f>-457.914038633268 -101.069946971361 -300.913554484426</f>
        <v>-859.89754008905493</v>
      </c>
      <c r="R3446" t="s">
        <v>66445</v>
      </c>
      <c r="S3446" t="s">
        <v>66446</v>
      </c>
      <c r="T3446" t="s">
        <v>66447</v>
      </c>
      <c r="U3446" t="s">
        <v>66448</v>
      </c>
      <c r="V3446">
        <f>-592.112510844443 -58.6896380771495 -92.7359724316797</f>
        <v>-743.53812135327223</v>
      </c>
      <c r="W3446" t="s">
        <v>66449</v>
      </c>
      <c r="X3446" t="s">
        <v>66450</v>
      </c>
      <c r="Y3446" t="s">
        <v>66451</v>
      </c>
    </row>
    <row r="3447" spans="1:25" x14ac:dyDescent="0.3">
      <c r="A3447">
        <v>172300</v>
      </c>
      <c r="B3447" t="s">
        <v>66452</v>
      </c>
      <c r="C3447" t="s">
        <v>66453</v>
      </c>
      <c r="D3447" t="s">
        <v>66454</v>
      </c>
      <c r="E3447" t="s">
        <v>66455</v>
      </c>
      <c r="F3447" t="s">
        <v>66456</v>
      </c>
      <c r="G3447" t="s">
        <v>66457</v>
      </c>
      <c r="H3447" t="s">
        <v>66458</v>
      </c>
      <c r="I3447" t="s">
        <v>66459</v>
      </c>
      <c r="J3447" t="s">
        <v>66460</v>
      </c>
      <c r="K3447" t="s">
        <v>66461</v>
      </c>
      <c r="L3447" t="s">
        <v>66462</v>
      </c>
      <c r="M3447" t="s">
        <v>66463</v>
      </c>
      <c r="N3447">
        <f>-653.486470290957 -8.64258177031911 -529.960551683061</f>
        <v>-1192.0896037443372</v>
      </c>
      <c r="O3447">
        <f>-652.780585729013 -161.736742394416 -500.007003457299</f>
        <v>-1314.5243315807279</v>
      </c>
      <c r="P3447">
        <f>-659.855943386674 -182.890747546701 -218.793489865291</f>
        <v>-1061.5401807986659</v>
      </c>
      <c r="Q3447">
        <f>-457.819449946844 -102.193637168313 -300.143145372963</f>
        <v>-860.15623248811994</v>
      </c>
      <c r="R3447" t="s">
        <v>66464</v>
      </c>
      <c r="S3447" t="s">
        <v>66465</v>
      </c>
      <c r="T3447" t="s">
        <v>66466</v>
      </c>
      <c r="U3447" t="s">
        <v>66467</v>
      </c>
      <c r="V3447">
        <f>-592.158321673147 -58.5360249537518 -92.7464300417309</f>
        <v>-743.44077666862984</v>
      </c>
      <c r="W3447" t="s">
        <v>66468</v>
      </c>
      <c r="X3447" t="s">
        <v>66469</v>
      </c>
      <c r="Y3447" t="s">
        <v>66470</v>
      </c>
    </row>
    <row r="3448" spans="1:25" x14ac:dyDescent="0.3">
      <c r="A3448">
        <v>172350</v>
      </c>
      <c r="B3448" t="s">
        <v>66471</v>
      </c>
      <c r="C3448" t="s">
        <v>66472</v>
      </c>
      <c r="D3448" t="s">
        <v>66473</v>
      </c>
      <c r="E3448" t="s">
        <v>66474</v>
      </c>
      <c r="F3448" t="s">
        <v>66475</v>
      </c>
      <c r="G3448" t="s">
        <v>66476</v>
      </c>
      <c r="H3448" t="s">
        <v>66477</v>
      </c>
      <c r="I3448" t="s">
        <v>66478</v>
      </c>
      <c r="J3448" t="s">
        <v>66479</v>
      </c>
      <c r="K3448" t="s">
        <v>66480</v>
      </c>
      <c r="L3448" t="s">
        <v>66481</v>
      </c>
      <c r="M3448" t="s">
        <v>66482</v>
      </c>
      <c r="N3448">
        <f>-653.600778721039 -8.97694906691936 -529.88192826975</f>
        <v>-1192.4596560577083</v>
      </c>
      <c r="O3448">
        <f>-653.159574372783 -162.033357825821 -499.700249162893</f>
        <v>-1314.893181361497</v>
      </c>
      <c r="P3448">
        <f>-660.463576984455 -182.186927705547 -218.419108343588</f>
        <v>-1061.06961303359</v>
      </c>
      <c r="Q3448">
        <f>-457.545356781368 -103.617128805526 -299.656494059918</f>
        <v>-860.81897964681207</v>
      </c>
      <c r="R3448" t="s">
        <v>66483</v>
      </c>
      <c r="S3448" t="s">
        <v>66484</v>
      </c>
      <c r="T3448" t="s">
        <v>66485</v>
      </c>
      <c r="U3448" t="s">
        <v>66486</v>
      </c>
      <c r="V3448">
        <f>-592.144834822347 -58.3691760027705 -92.7483475616401</f>
        <v>-743.26235838675757</v>
      </c>
      <c r="W3448" t="s">
        <v>66487</v>
      </c>
      <c r="X3448" t="s">
        <v>66488</v>
      </c>
      <c r="Y3448" t="s">
        <v>66489</v>
      </c>
    </row>
    <row r="3449" spans="1:25" x14ac:dyDescent="0.3">
      <c r="A3449">
        <v>172400</v>
      </c>
      <c r="B3449" t="s">
        <v>66490</v>
      </c>
      <c r="C3449" t="s">
        <v>66491</v>
      </c>
      <c r="D3449" t="s">
        <v>66492</v>
      </c>
      <c r="E3449" t="s">
        <v>66493</v>
      </c>
      <c r="F3449" t="s">
        <v>66494</v>
      </c>
      <c r="G3449" t="s">
        <v>66495</v>
      </c>
      <c r="H3449" t="s">
        <v>66496</v>
      </c>
      <c r="I3449" t="s">
        <v>66497</v>
      </c>
      <c r="J3449" t="s">
        <v>66498</v>
      </c>
      <c r="K3449" t="s">
        <v>66499</v>
      </c>
      <c r="L3449" t="s">
        <v>66500</v>
      </c>
      <c r="M3449" t="s">
        <v>66501</v>
      </c>
      <c r="N3449">
        <f>-654.252972376984 -9.83845471172845 -529.578717154416</f>
        <v>-1193.6701442431286</v>
      </c>
      <c r="O3449">
        <f>-654.537988640062 -162.714331330705 -498.53497418963</f>
        <v>-1315.7872941603971</v>
      </c>
      <c r="P3449">
        <f>-662.918819323137 -180.699904046935 -217.13705408849</f>
        <v>-1060.7557774585621</v>
      </c>
      <c r="Q3449">
        <f>-457.501998951083 -108.324546835069 -297.847949235597</f>
        <v>-863.67449502174895</v>
      </c>
      <c r="R3449" t="s">
        <v>66502</v>
      </c>
      <c r="S3449" t="s">
        <v>66503</v>
      </c>
      <c r="T3449" t="s">
        <v>66504</v>
      </c>
      <c r="U3449" t="s">
        <v>66505</v>
      </c>
      <c r="V3449">
        <f>-592.148006656996 -57.8373305569573 -92.7259098951513</f>
        <v>-742.71124710910465</v>
      </c>
      <c r="W3449" t="s">
        <v>66506</v>
      </c>
      <c r="X3449" t="s">
        <v>66507</v>
      </c>
      <c r="Y3449" t="s">
        <v>66508</v>
      </c>
    </row>
    <row r="3450" spans="1:25" x14ac:dyDescent="0.3">
      <c r="A3450">
        <v>172450</v>
      </c>
      <c r="B3450" t="s">
        <v>66509</v>
      </c>
      <c r="C3450" t="s">
        <v>66510</v>
      </c>
      <c r="D3450" t="s">
        <v>66511</v>
      </c>
      <c r="E3450" t="s">
        <v>66512</v>
      </c>
      <c r="F3450" t="s">
        <v>66513</v>
      </c>
      <c r="G3450" t="s">
        <v>66514</v>
      </c>
      <c r="H3450" t="s">
        <v>66515</v>
      </c>
      <c r="I3450" t="s">
        <v>66516</v>
      </c>
      <c r="J3450" t="s">
        <v>66517</v>
      </c>
      <c r="K3450" t="s">
        <v>66518</v>
      </c>
      <c r="L3450" t="s">
        <v>66519</v>
      </c>
      <c r="M3450" t="s">
        <v>66520</v>
      </c>
      <c r="N3450">
        <f>-654.668008887892 -10.4258901973253 -529.386640126399</f>
        <v>-1194.4805392116164</v>
      </c>
      <c r="O3450">
        <f>-655.6458001932 -163.173091564631 -497.769572293449</f>
        <v>-1316.58846405128</v>
      </c>
      <c r="P3450">
        <f>-664.821965795459 -180.255240908887 -216.340013370775</f>
        <v>-1061.4172200751211</v>
      </c>
      <c r="Q3450">
        <f>-457.980580680774 -111.390051477469 -296.482163369046</f>
        <v>-865.852795527289</v>
      </c>
      <c r="R3450" t="s">
        <v>66521</v>
      </c>
      <c r="S3450" t="s">
        <v>66522</v>
      </c>
      <c r="T3450" t="s">
        <v>66523</v>
      </c>
      <c r="U3450" t="s">
        <v>66524</v>
      </c>
      <c r="V3450">
        <f>-592.051239448139 -57.5276407765741 -92.7327583228561</f>
        <v>-742.31163854756915</v>
      </c>
      <c r="W3450" t="s">
        <v>66525</v>
      </c>
      <c r="X3450" t="s">
        <v>66526</v>
      </c>
      <c r="Y3450" t="s">
        <v>66527</v>
      </c>
    </row>
    <row r="3451" spans="1:25" x14ac:dyDescent="0.3">
      <c r="A3451">
        <v>172500</v>
      </c>
      <c r="B3451" t="s">
        <v>66528</v>
      </c>
      <c r="C3451" t="s">
        <v>66529</v>
      </c>
      <c r="D3451" t="s">
        <v>66530</v>
      </c>
      <c r="E3451" t="s">
        <v>66531</v>
      </c>
      <c r="F3451" t="s">
        <v>66532</v>
      </c>
      <c r="G3451" t="s">
        <v>66533</v>
      </c>
      <c r="H3451" t="s">
        <v>66534</v>
      </c>
      <c r="I3451" t="s">
        <v>66535</v>
      </c>
      <c r="J3451" t="s">
        <v>66536</v>
      </c>
      <c r="K3451" t="s">
        <v>66537</v>
      </c>
      <c r="L3451" t="s">
        <v>66538</v>
      </c>
      <c r="M3451" t="s">
        <v>66539</v>
      </c>
      <c r="N3451">
        <f>-654.900365443502 -11.7352940759915 -528.98624333866</f>
        <v>-1195.6219028581536</v>
      </c>
      <c r="O3451">
        <f>-657.984465473791 -164.202926172535 -496.128972912152</f>
        <v>-1318.316364558478</v>
      </c>
      <c r="P3451">
        <f>-669.006235033879 -179.153578425424 -214.644439515638</f>
        <v>-1062.8042529749409</v>
      </c>
      <c r="Q3451">
        <f>-459.613219945751 -117.063100223807 -293.687463483408</f>
        <v>-870.36378365296605</v>
      </c>
      <c r="R3451" t="s">
        <v>66540</v>
      </c>
      <c r="S3451" t="s">
        <v>66541</v>
      </c>
      <c r="T3451" t="s">
        <v>66542</v>
      </c>
      <c r="U3451" t="s">
        <v>66543</v>
      </c>
      <c r="V3451">
        <f>-592.100483561415 -57.3619826410934 -92.7188926883795</f>
        <v>-742.18135889088785</v>
      </c>
      <c r="W3451" t="s">
        <v>66544</v>
      </c>
      <c r="X3451" t="s">
        <v>66545</v>
      </c>
      <c r="Y3451" t="s">
        <v>66546</v>
      </c>
    </row>
    <row r="3452" spans="1:25" x14ac:dyDescent="0.3">
      <c r="A3452">
        <v>172550</v>
      </c>
      <c r="B3452" t="s">
        <v>66547</v>
      </c>
      <c r="C3452" t="s">
        <v>66548</v>
      </c>
      <c r="D3452" t="s">
        <v>66549</v>
      </c>
      <c r="E3452" t="s">
        <v>66550</v>
      </c>
      <c r="F3452" t="s">
        <v>66551</v>
      </c>
      <c r="G3452" t="s">
        <v>66552</v>
      </c>
      <c r="H3452" t="s">
        <v>66553</v>
      </c>
      <c r="I3452" t="s">
        <v>66554</v>
      </c>
      <c r="J3452" t="s">
        <v>66555</v>
      </c>
      <c r="K3452" t="s">
        <v>66556</v>
      </c>
      <c r="L3452" t="s">
        <v>66557</v>
      </c>
      <c r="M3452" t="s">
        <v>66558</v>
      </c>
      <c r="N3452">
        <f>-655.21188831644 -12.6814484486501 -528.750539149451</f>
        <v>-1196.6438759145412</v>
      </c>
      <c r="O3452">
        <f>-659.453001168049 -164.968671385548 -495.229599400268</f>
        <v>-1319.651271953865</v>
      </c>
      <c r="P3452">
        <f>-671.429908409502 -178.609147832898 -213.717528639362</f>
        <v>-1063.7565848817619</v>
      </c>
      <c r="Q3452">
        <f>-461.193013195116 -119.223086141026 -292.599027772999</f>
        <v>-873.01512710914108</v>
      </c>
      <c r="R3452" t="s">
        <v>66559</v>
      </c>
      <c r="S3452" t="s">
        <v>66560</v>
      </c>
      <c r="T3452" t="s">
        <v>66561</v>
      </c>
      <c r="U3452" t="s">
        <v>66562</v>
      </c>
      <c r="V3452">
        <f>-592.273538771647 -57.3279418965749 -92.6919284739126</f>
        <v>-742.29340914213458</v>
      </c>
      <c r="W3452" t="s">
        <v>66563</v>
      </c>
      <c r="X3452" t="s">
        <v>66564</v>
      </c>
      <c r="Y3452" t="s">
        <v>66565</v>
      </c>
    </row>
    <row r="3453" spans="1:25" x14ac:dyDescent="0.3">
      <c r="A3453">
        <v>172600</v>
      </c>
      <c r="B3453" t="s">
        <v>66566</v>
      </c>
      <c r="C3453" t="s">
        <v>66567</v>
      </c>
      <c r="D3453" t="s">
        <v>66568</v>
      </c>
      <c r="E3453" t="s">
        <v>66569</v>
      </c>
      <c r="F3453" t="s">
        <v>66570</v>
      </c>
      <c r="G3453" t="s">
        <v>66571</v>
      </c>
      <c r="H3453" t="s">
        <v>66572</v>
      </c>
      <c r="I3453" t="s">
        <v>66573</v>
      </c>
      <c r="J3453" t="s">
        <v>66574</v>
      </c>
      <c r="K3453" t="s">
        <v>66575</v>
      </c>
      <c r="L3453" t="s">
        <v>66576</v>
      </c>
      <c r="M3453" t="s">
        <v>66577</v>
      </c>
      <c r="N3453">
        <f>-657.257410367968 -14.8573862358282 -528.165809856339</f>
        <v>-1200.2806064601352</v>
      </c>
      <c r="O3453">
        <f>-664.060925647581 -166.710725402236 -492.927720498229</f>
        <v>-1323.699371548046</v>
      </c>
      <c r="P3453">
        <f>-675.827857082165 -177.544662265972 -211.284892292972</f>
        <v>-1064.6574116411089</v>
      </c>
      <c r="Q3453">
        <f>-465.06732512905 -121.328438669046 -291.08622129873</f>
        <v>-877.48198509682607</v>
      </c>
      <c r="R3453" t="s">
        <v>66578</v>
      </c>
      <c r="S3453" t="s">
        <v>66579</v>
      </c>
      <c r="T3453" t="s">
        <v>66580</v>
      </c>
      <c r="U3453" t="s">
        <v>66581</v>
      </c>
      <c r="V3453">
        <f>-592.916459371141 -57.1893492986508 -92.6416293000624</f>
        <v>-742.7474379698541</v>
      </c>
      <c r="W3453" t="s">
        <v>66582</v>
      </c>
      <c r="X3453" t="s">
        <v>66583</v>
      </c>
      <c r="Y3453" t="s">
        <v>66584</v>
      </c>
    </row>
    <row r="3454" spans="1:25" x14ac:dyDescent="0.3">
      <c r="A3454">
        <v>172650</v>
      </c>
      <c r="B3454" t="s">
        <v>66585</v>
      </c>
      <c r="C3454" t="s">
        <v>66586</v>
      </c>
      <c r="D3454" t="s">
        <v>66587</v>
      </c>
      <c r="E3454" t="s">
        <v>66588</v>
      </c>
      <c r="F3454" t="s">
        <v>66589</v>
      </c>
      <c r="G3454" t="s">
        <v>66590</v>
      </c>
      <c r="H3454" t="s">
        <v>66591</v>
      </c>
      <c r="I3454" t="s">
        <v>66592</v>
      </c>
      <c r="J3454" t="s">
        <v>66593</v>
      </c>
      <c r="K3454" t="s">
        <v>66594</v>
      </c>
      <c r="L3454" t="s">
        <v>66595</v>
      </c>
      <c r="M3454" t="s">
        <v>66596</v>
      </c>
      <c r="N3454">
        <f>-658.441312612197 -15.6733784173503 -527.816906761826</f>
        <v>-1201.9315977913732</v>
      </c>
      <c r="O3454">
        <f>-666.359271766551 -167.239674378981 -491.618062160938</f>
        <v>-1325.21700830647</v>
      </c>
      <c r="P3454">
        <f>-677.223778528541 -176.499479533394 -209.882816175872</f>
        <v>-1063.606074237807</v>
      </c>
      <c r="Q3454">
        <f>-466.765387279211 -120.870322796114 -290.883999977278</f>
        <v>-878.51971005260293</v>
      </c>
      <c r="R3454" t="s">
        <v>66597</v>
      </c>
      <c r="S3454" t="s">
        <v>66598</v>
      </c>
      <c r="T3454" t="s">
        <v>66599</v>
      </c>
      <c r="U3454" t="s">
        <v>66600</v>
      </c>
      <c r="V3454">
        <f>-593.318441534587 -57.1385874258115 -92.6444003543147</f>
        <v>-743.10142931471319</v>
      </c>
      <c r="W3454" t="s">
        <v>66601</v>
      </c>
      <c r="X3454" t="s">
        <v>66602</v>
      </c>
      <c r="Y3454" t="s">
        <v>66603</v>
      </c>
    </row>
    <row r="3455" spans="1:25" x14ac:dyDescent="0.3">
      <c r="A3455">
        <v>172700</v>
      </c>
      <c r="B3455" t="s">
        <v>66604</v>
      </c>
      <c r="C3455" t="s">
        <v>66605</v>
      </c>
      <c r="D3455" t="s">
        <v>66606</v>
      </c>
      <c r="E3455" t="s">
        <v>66607</v>
      </c>
      <c r="F3455" t="s">
        <v>66608</v>
      </c>
      <c r="G3455" t="s">
        <v>66609</v>
      </c>
      <c r="H3455" t="s">
        <v>66610</v>
      </c>
      <c r="I3455" t="s">
        <v>66611</v>
      </c>
      <c r="J3455" t="s">
        <v>66612</v>
      </c>
      <c r="K3455" t="s">
        <v>66613</v>
      </c>
      <c r="L3455" t="s">
        <v>66614</v>
      </c>
      <c r="M3455" t="s">
        <v>66615</v>
      </c>
      <c r="N3455">
        <f>-660.381139528764 -16.4857376028615 -527.240323925848</f>
        <v>-1204.1072010574735</v>
      </c>
      <c r="O3455">
        <f>-669.928894744831 -167.603999862398 -489.636324491204</f>
        <v>-1327.1692190984331</v>
      </c>
      <c r="P3455">
        <f>-678.995565737077 -174.601215985839 -207.772206008087</f>
        <v>-1061.368987731003</v>
      </c>
      <c r="Q3455">
        <f>-469.438638500747 -118.948418129591 -291.061954676369</f>
        <v>-879.44901130670701</v>
      </c>
      <c r="R3455" t="s">
        <v>66616</v>
      </c>
      <c r="S3455" t="s">
        <v>66617</v>
      </c>
      <c r="T3455" t="s">
        <v>66618</v>
      </c>
      <c r="U3455" t="s">
        <v>66619</v>
      </c>
      <c r="V3455">
        <f>-593.991992138788 -57.0146728758718 -92.6683027060674</f>
        <v>-743.67496772072718</v>
      </c>
      <c r="W3455" t="s">
        <v>66620</v>
      </c>
      <c r="X3455" t="s">
        <v>66621</v>
      </c>
      <c r="Y3455" t="s">
        <v>66622</v>
      </c>
    </row>
    <row r="3456" spans="1:25" x14ac:dyDescent="0.3">
      <c r="A3456">
        <v>172750</v>
      </c>
      <c r="B3456" t="s">
        <v>66623</v>
      </c>
      <c r="C3456" t="s">
        <v>66624</v>
      </c>
      <c r="D3456" t="s">
        <v>66625</v>
      </c>
      <c r="E3456" t="s">
        <v>66626</v>
      </c>
      <c r="F3456" t="s">
        <v>66627</v>
      </c>
      <c r="G3456" t="s">
        <v>66628</v>
      </c>
      <c r="H3456" t="s">
        <v>66629</v>
      </c>
      <c r="I3456">
        <f>-656.758575175731 -0.282373667168031 -659.256760737649</f>
        <v>-1316.2977095805481</v>
      </c>
      <c r="J3456" t="s">
        <v>66630</v>
      </c>
      <c r="K3456" t="s">
        <v>66631</v>
      </c>
      <c r="L3456" t="s">
        <v>66632</v>
      </c>
      <c r="M3456" t="s">
        <v>66633</v>
      </c>
      <c r="N3456">
        <f>-661.10701679118 -16.4178361191377 -527.139887832962</f>
        <v>-1204.6647407432797</v>
      </c>
      <c r="O3456">
        <f>-671.15291554342 -167.44940459764 -489.339281575449</f>
        <v>-1327.941601716509</v>
      </c>
      <c r="P3456">
        <f>-679.701151503976 -174.122103301422 -207.451106407558</f>
        <v>-1061.2743612129559</v>
      </c>
      <c r="Q3456">
        <f>-470.478876160844 -118.10769055091 -291.337532273449</f>
        <v>-879.92409898520305</v>
      </c>
      <c r="R3456" t="s">
        <v>66634</v>
      </c>
      <c r="S3456" t="s">
        <v>66635</v>
      </c>
      <c r="T3456" t="s">
        <v>66636</v>
      </c>
      <c r="U3456" t="s">
        <v>66637</v>
      </c>
      <c r="V3456">
        <f>-594.16104657925 -56.9540552425563 -92.6671131358758</f>
        <v>-743.78221495768196</v>
      </c>
      <c r="W3456" t="s">
        <v>66638</v>
      </c>
      <c r="X3456" t="s">
        <v>66639</v>
      </c>
      <c r="Y3456" t="s">
        <v>66640</v>
      </c>
    </row>
    <row r="3457" spans="1:25" x14ac:dyDescent="0.3">
      <c r="A3457">
        <v>172800</v>
      </c>
      <c r="B3457" t="s">
        <v>66641</v>
      </c>
      <c r="C3457" t="s">
        <v>66642</v>
      </c>
      <c r="D3457" t="s">
        <v>66643</v>
      </c>
      <c r="E3457" t="s">
        <v>66644</v>
      </c>
      <c r="F3457" t="s">
        <v>66645</v>
      </c>
      <c r="G3457" t="s">
        <v>66646</v>
      </c>
      <c r="H3457" t="s">
        <v>66647</v>
      </c>
      <c r="I3457" t="s">
        <v>66648</v>
      </c>
      <c r="J3457" t="s">
        <v>66649</v>
      </c>
      <c r="K3457" t="s">
        <v>66650</v>
      </c>
      <c r="L3457" t="s">
        <v>66651</v>
      </c>
      <c r="M3457" t="s">
        <v>66652</v>
      </c>
      <c r="N3457">
        <f>-661.965583309987 -15.9424292391075 -527.026191817928</f>
        <v>-1204.9342043670224</v>
      </c>
      <c r="O3457">
        <f>-672.274625586541 -166.918915839606 -489.079426271893</f>
        <v>-1328.27296769804</v>
      </c>
      <c r="P3457">
        <f>-679.906337141291 -174.037870766872 -207.175850472533</f>
        <v>-1061.120058380696</v>
      </c>
      <c r="Q3457">
        <f>-471.171910225639 -117.218874180252 -291.733813216571</f>
        <v>-880.12459762246203</v>
      </c>
      <c r="R3457" t="s">
        <v>66653</v>
      </c>
      <c r="S3457" t="s">
        <v>66654</v>
      </c>
      <c r="T3457" t="s">
        <v>66655</v>
      </c>
      <c r="U3457" t="s">
        <v>66656</v>
      </c>
      <c r="V3457">
        <f>-593.865102610157 -56.4489965824162 -92.6164750517427</f>
        <v>-742.93057424431584</v>
      </c>
      <c r="W3457" t="s">
        <v>66657</v>
      </c>
      <c r="X3457" t="s">
        <v>66658</v>
      </c>
      <c r="Y3457" t="s">
        <v>66659</v>
      </c>
    </row>
    <row r="3458" spans="1:25" x14ac:dyDescent="0.3">
      <c r="A3458">
        <v>172850</v>
      </c>
      <c r="B3458" t="s">
        <v>66660</v>
      </c>
      <c r="C3458" t="s">
        <v>66661</v>
      </c>
      <c r="D3458" t="s">
        <v>66662</v>
      </c>
      <c r="E3458" t="s">
        <v>66663</v>
      </c>
      <c r="F3458" t="s">
        <v>66664</v>
      </c>
      <c r="G3458" t="s">
        <v>66665</v>
      </c>
      <c r="H3458" t="s">
        <v>66666</v>
      </c>
      <c r="I3458" t="s">
        <v>66667</v>
      </c>
      <c r="J3458" t="s">
        <v>66668</v>
      </c>
      <c r="K3458" t="s">
        <v>66669</v>
      </c>
      <c r="L3458" t="s">
        <v>66670</v>
      </c>
      <c r="M3458" t="s">
        <v>66671</v>
      </c>
      <c r="N3458">
        <f>-662.198072644577 -15.5383477288553 -527.050047375092</f>
        <v>-1204.7864677485245</v>
      </c>
      <c r="O3458">
        <f>-672.28348907191 -166.56132344493 -489.22774360568</f>
        <v>-1328.0725561225199</v>
      </c>
      <c r="P3458">
        <f>-679.600943011911 -173.897573572568 -207.321413591001</f>
        <v>-1060.8199301754801</v>
      </c>
      <c r="Q3458">
        <f>-471.062977471485 -116.744103773665 -292.13847896189</f>
        <v>-879.94556020703999</v>
      </c>
      <c r="R3458" t="s">
        <v>66672</v>
      </c>
      <c r="S3458" t="s">
        <v>66673</v>
      </c>
      <c r="T3458" t="s">
        <v>66674</v>
      </c>
      <c r="U3458" t="s">
        <v>66675</v>
      </c>
      <c r="V3458">
        <f>-593.613837309452 -56.3013507173266 -92.6069277270431</f>
        <v>-742.52211575382171</v>
      </c>
      <c r="W3458" t="s">
        <v>66676</v>
      </c>
      <c r="X3458" t="s">
        <v>66677</v>
      </c>
      <c r="Y3458" t="s">
        <v>66678</v>
      </c>
    </row>
    <row r="3459" spans="1:25" x14ac:dyDescent="0.3">
      <c r="A3459">
        <v>172900</v>
      </c>
      <c r="B3459" t="s">
        <v>66679</v>
      </c>
      <c r="C3459" t="s">
        <v>66680</v>
      </c>
      <c r="D3459" t="s">
        <v>66681</v>
      </c>
      <c r="E3459" t="s">
        <v>66682</v>
      </c>
      <c r="F3459" t="s">
        <v>66683</v>
      </c>
      <c r="G3459" t="s">
        <v>66684</v>
      </c>
      <c r="H3459" t="s">
        <v>66685</v>
      </c>
      <c r="I3459" t="s">
        <v>66686</v>
      </c>
      <c r="J3459" t="s">
        <v>66687</v>
      </c>
      <c r="K3459" t="s">
        <v>66688</v>
      </c>
      <c r="L3459" t="s">
        <v>66689</v>
      </c>
      <c r="M3459" t="s">
        <v>66690</v>
      </c>
      <c r="N3459">
        <f>-662.299537197408 -14.9944105822817 -527.17719675124</f>
        <v>-1204.4711445309297</v>
      </c>
      <c r="O3459">
        <f>-671.54871509686 -166.181791700767 -489.807855966907</f>
        <v>-1327.538362764534</v>
      </c>
      <c r="P3459">
        <f>-677.992360757122 -173.949855160688 -207.891827441202</f>
        <v>-1059.834043359012</v>
      </c>
      <c r="Q3459">
        <f>-469.99520614613 -115.403858510992 -293.086012963529</f>
        <v>-878.48507762065094</v>
      </c>
      <c r="R3459" t="s">
        <v>66691</v>
      </c>
      <c r="S3459" t="s">
        <v>66692</v>
      </c>
      <c r="T3459" t="s">
        <v>66693</v>
      </c>
      <c r="U3459" t="s">
        <v>66694</v>
      </c>
      <c r="V3459">
        <f>-593.253741618541 -56.4113000863642 -92.6292276437473</f>
        <v>-742.29426934865251</v>
      </c>
      <c r="W3459" t="s">
        <v>66695</v>
      </c>
      <c r="X3459" t="s">
        <v>66696</v>
      </c>
      <c r="Y3459" t="s">
        <v>66697</v>
      </c>
    </row>
    <row r="3460" spans="1:25" x14ac:dyDescent="0.3">
      <c r="A3460">
        <v>172950</v>
      </c>
      <c r="B3460" t="s">
        <v>66698</v>
      </c>
      <c r="C3460" t="s">
        <v>66699</v>
      </c>
      <c r="D3460" t="s">
        <v>66700</v>
      </c>
      <c r="E3460" t="s">
        <v>66701</v>
      </c>
      <c r="F3460" t="s">
        <v>66702</v>
      </c>
      <c r="G3460" t="s">
        <v>66703</v>
      </c>
      <c r="H3460" t="s">
        <v>66704</v>
      </c>
      <c r="I3460" t="s">
        <v>66705</v>
      </c>
      <c r="J3460" t="s">
        <v>66706</v>
      </c>
      <c r="K3460" t="s">
        <v>66707</v>
      </c>
      <c r="L3460" t="s">
        <v>66708</v>
      </c>
      <c r="M3460" t="s">
        <v>66709</v>
      </c>
      <c r="N3460">
        <f>-662.145166292962 -14.6984305511107 -527.272777385319</f>
        <v>-1204.1163742293918</v>
      </c>
      <c r="O3460">
        <f>-670.822280618601 -165.983244121767 -490.151603225525</f>
        <v>-1326.9571279658931</v>
      </c>
      <c r="P3460">
        <f>-676.863175679674 -174.071338401055 -208.235481725316</f>
        <v>-1059.1699958060449</v>
      </c>
      <c r="Q3460">
        <f>-469.299154897756 -114.189296700888 -293.557600052209</f>
        <v>-877.04605165085309</v>
      </c>
      <c r="R3460" t="s">
        <v>66710</v>
      </c>
      <c r="S3460" t="s">
        <v>66711</v>
      </c>
      <c r="T3460" t="s">
        <v>66712</v>
      </c>
      <c r="U3460" t="s">
        <v>66713</v>
      </c>
      <c r="V3460">
        <f>-593.15993140972 -56.520652607863 -92.6232382860888</f>
        <v>-742.30382230367184</v>
      </c>
      <c r="W3460" t="s">
        <v>66714</v>
      </c>
      <c r="X3460" t="s">
        <v>66715</v>
      </c>
      <c r="Y3460" t="s">
        <v>66716</v>
      </c>
    </row>
    <row r="3461" spans="1:25" x14ac:dyDescent="0.3">
      <c r="A3461">
        <v>173000</v>
      </c>
      <c r="B3461" t="s">
        <v>66717</v>
      </c>
      <c r="C3461" t="s">
        <v>66718</v>
      </c>
      <c r="D3461" t="s">
        <v>66719</v>
      </c>
      <c r="E3461" t="s">
        <v>66720</v>
      </c>
      <c r="F3461" t="s">
        <v>66721</v>
      </c>
      <c r="G3461" t="s">
        <v>66722</v>
      </c>
      <c r="H3461" t="s">
        <v>66723</v>
      </c>
      <c r="I3461" t="s">
        <v>66724</v>
      </c>
      <c r="J3461" t="s">
        <v>66725</v>
      </c>
      <c r="K3461" t="s">
        <v>66726</v>
      </c>
      <c r="L3461" t="s">
        <v>66727</v>
      </c>
      <c r="M3461" t="s">
        <v>66728</v>
      </c>
      <c r="N3461">
        <f>-661.32670997231 -14.2013030334631 -527.576568291228</f>
        <v>-1203.104581297001</v>
      </c>
      <c r="O3461">
        <f>-668.576103734587 -165.744666382922 -491.281907321509</f>
        <v>-1325.602677439018</v>
      </c>
      <c r="P3461">
        <f>-674.213169088859 -175.238038622905 -209.401305306226</f>
        <v>-1058.8525130179901</v>
      </c>
      <c r="Q3461">
        <f>-467.695733531354 -111.641469281013 -294.574956802103</f>
        <v>-873.91215961446994</v>
      </c>
      <c r="R3461" t="s">
        <v>66729</v>
      </c>
      <c r="S3461" t="s">
        <v>66730</v>
      </c>
      <c r="T3461" t="s">
        <v>66731</v>
      </c>
      <c r="U3461" t="s">
        <v>66732</v>
      </c>
      <c r="V3461">
        <f>-592.799948426617 -56.6251464484556 -92.6360762250072</f>
        <v>-742.06117110007972</v>
      </c>
      <c r="W3461" t="s">
        <v>66733</v>
      </c>
      <c r="X3461" t="s">
        <v>66734</v>
      </c>
      <c r="Y3461" t="s">
        <v>66735</v>
      </c>
    </row>
    <row r="3462" spans="1:25" x14ac:dyDescent="0.3">
      <c r="A3462">
        <v>173050</v>
      </c>
      <c r="B3462" t="s">
        <v>66736</v>
      </c>
      <c r="C3462" t="s">
        <v>66737</v>
      </c>
      <c r="D3462" t="s">
        <v>66738</v>
      </c>
      <c r="E3462" t="s">
        <v>66739</v>
      </c>
      <c r="F3462" t="s">
        <v>66740</v>
      </c>
      <c r="G3462" t="s">
        <v>66741</v>
      </c>
      <c r="H3462" t="s">
        <v>66742</v>
      </c>
      <c r="I3462" t="s">
        <v>66743</v>
      </c>
      <c r="J3462" t="s">
        <v>66744</v>
      </c>
      <c r="K3462" t="s">
        <v>66745</v>
      </c>
      <c r="L3462" t="s">
        <v>66746</v>
      </c>
      <c r="M3462" t="s">
        <v>66747</v>
      </c>
      <c r="N3462">
        <f>-660.790713223382 -14.0377554377519 -527.707908953433</f>
        <v>-1202.5363776145668</v>
      </c>
      <c r="O3462">
        <f>-667.294931224112 -165.700223099336 -491.764435083942</f>
        <v>-1324.75958940739</v>
      </c>
      <c r="P3462">
        <f>-672.766209386084 -176.081143209583 -209.911699938011</f>
        <v>-1058.759052533678</v>
      </c>
      <c r="Q3462">
        <f>-466.796058560479 -110.521767735367 -294.922319956079</f>
        <v>-872.24014625192513</v>
      </c>
      <c r="R3462" t="s">
        <v>66748</v>
      </c>
      <c r="S3462" t="s">
        <v>66749</v>
      </c>
      <c r="T3462" t="s">
        <v>66750</v>
      </c>
      <c r="U3462" t="s">
        <v>66751</v>
      </c>
      <c r="V3462">
        <f>-592.470635204966 -56.7389239956246 -92.6414457021936</f>
        <v>-741.85100490278421</v>
      </c>
      <c r="W3462" t="s">
        <v>66752</v>
      </c>
      <c r="X3462" t="s">
        <v>66753</v>
      </c>
      <c r="Y3462" t="s">
        <v>66754</v>
      </c>
    </row>
    <row r="3463" spans="1:25" x14ac:dyDescent="0.3">
      <c r="A3463">
        <v>173100</v>
      </c>
      <c r="B3463" t="s">
        <v>66755</v>
      </c>
      <c r="C3463" t="s">
        <v>66756</v>
      </c>
      <c r="D3463" t="s">
        <v>66757</v>
      </c>
      <c r="E3463" t="s">
        <v>66758</v>
      </c>
      <c r="F3463" t="s">
        <v>66759</v>
      </c>
      <c r="G3463" t="s">
        <v>66760</v>
      </c>
      <c r="H3463" t="s">
        <v>66761</v>
      </c>
      <c r="I3463" t="s">
        <v>66762</v>
      </c>
      <c r="J3463" t="s">
        <v>66763</v>
      </c>
      <c r="K3463" t="s">
        <v>66764</v>
      </c>
      <c r="L3463" t="s">
        <v>66765</v>
      </c>
      <c r="M3463" t="s">
        <v>66766</v>
      </c>
      <c r="N3463">
        <f>-659.321302790079 -13.6510101773747 -528.002794199899</f>
        <v>-1200.9751071673527</v>
      </c>
      <c r="O3463">
        <f>-664.315497742326 -165.581424774904 -493.014570923921</f>
        <v>-1322.9114934411509</v>
      </c>
      <c r="P3463">
        <f>-669.94632576586 -177.494505752887 -211.225643617786</f>
        <v>-1058.6664751365331</v>
      </c>
      <c r="Q3463">
        <f>-464.68752150549 -109.02284320022 -295.659012320359</f>
        <v>-869.36937702606895</v>
      </c>
      <c r="R3463" t="s">
        <v>66767</v>
      </c>
      <c r="S3463" t="s">
        <v>66768</v>
      </c>
      <c r="T3463" t="s">
        <v>66769</v>
      </c>
      <c r="U3463" t="s">
        <v>66770</v>
      </c>
      <c r="V3463">
        <f>-591.483046076026 -56.8692520367906 -92.6349578496988</f>
        <v>-740.98725596251541</v>
      </c>
      <c r="W3463" t="s">
        <v>66771</v>
      </c>
      <c r="X3463" t="s">
        <v>66772</v>
      </c>
      <c r="Y3463" t="s">
        <v>66773</v>
      </c>
    </row>
    <row r="3464" spans="1:25" x14ac:dyDescent="0.3">
      <c r="A3464">
        <v>173150</v>
      </c>
      <c r="B3464" t="s">
        <v>66774</v>
      </c>
      <c r="C3464" t="s">
        <v>66775</v>
      </c>
      <c r="D3464" t="s">
        <v>66776</v>
      </c>
      <c r="E3464" t="s">
        <v>66777</v>
      </c>
      <c r="F3464" t="s">
        <v>66778</v>
      </c>
      <c r="G3464" t="s">
        <v>66779</v>
      </c>
      <c r="H3464" t="s">
        <v>66780</v>
      </c>
      <c r="I3464" t="s">
        <v>66781</v>
      </c>
      <c r="J3464" t="s">
        <v>66782</v>
      </c>
      <c r="K3464" t="s">
        <v>66783</v>
      </c>
      <c r="L3464" t="s">
        <v>66784</v>
      </c>
      <c r="M3464" t="s">
        <v>66785</v>
      </c>
      <c r="N3464">
        <f>-657.893077531825 -13.2936561395031 -528.195823004059</f>
        <v>-1199.3825566753871</v>
      </c>
      <c r="O3464">
        <f>-661.463333882027 -165.449897535383 -493.941677564067</f>
        <v>-1320.8549089814769</v>
      </c>
      <c r="P3464">
        <f>-667.095079540522 -178.290553811492 -212.1937304187</f>
        <v>-1057.5793637707141</v>
      </c>
      <c r="Q3464">
        <f>-462.390675730802 -107.802247820709 -296.312651203632</f>
        <v>-866.50557475514302</v>
      </c>
      <c r="R3464" t="s">
        <v>66786</v>
      </c>
      <c r="S3464" t="s">
        <v>66787</v>
      </c>
      <c r="T3464" t="s">
        <v>66788</v>
      </c>
      <c r="U3464" t="s">
        <v>66789</v>
      </c>
      <c r="V3464">
        <f>-590.487800632173 -57.0169541365624 -92.5980124613162</f>
        <v>-740.10276723005165</v>
      </c>
      <c r="W3464" t="s">
        <v>66790</v>
      </c>
      <c r="X3464" t="s">
        <v>66791</v>
      </c>
      <c r="Y3464" t="s">
        <v>66792</v>
      </c>
    </row>
    <row r="3465" spans="1:25" x14ac:dyDescent="0.3">
      <c r="A3465">
        <v>173200</v>
      </c>
      <c r="B3465" t="s">
        <v>66793</v>
      </c>
      <c r="C3465" t="s">
        <v>66794</v>
      </c>
      <c r="D3465" t="s">
        <v>66795</v>
      </c>
      <c r="E3465" t="s">
        <v>66796</v>
      </c>
      <c r="F3465" t="s">
        <v>66797</v>
      </c>
      <c r="G3465" t="s">
        <v>66798</v>
      </c>
      <c r="H3465" t="s">
        <v>66799</v>
      </c>
      <c r="I3465" t="s">
        <v>66800</v>
      </c>
      <c r="J3465" t="s">
        <v>66801</v>
      </c>
      <c r="K3465" t="s">
        <v>66802</v>
      </c>
      <c r="L3465" t="s">
        <v>66803</v>
      </c>
      <c r="M3465" t="s">
        <v>66804</v>
      </c>
      <c r="N3465">
        <f>-657.169065092901 -13.0807483308704 -528.293274616769</f>
        <v>-1198.5430880405404</v>
      </c>
      <c r="O3465">
        <f>-660.236074723454 -165.331934564128 -494.389661151293</f>
        <v>-1319.9576704388751</v>
      </c>
      <c r="P3465">
        <f>-665.738641120458 -178.66219700013 -212.661766244062</f>
        <v>-1057.06260436465</v>
      </c>
      <c r="Q3465">
        <f>-461.270769297361 -107.251638339209 -296.578186860896</f>
        <v>-865.10059449746609</v>
      </c>
      <c r="R3465" t="s">
        <v>66805</v>
      </c>
      <c r="S3465" t="s">
        <v>66806</v>
      </c>
      <c r="T3465" t="s">
        <v>66807</v>
      </c>
      <c r="U3465" t="s">
        <v>66808</v>
      </c>
      <c r="V3465">
        <f>-590.029546239462 -57.1654842073926 -92.5745999790555</f>
        <v>-739.76963042591012</v>
      </c>
      <c r="W3465" t="s">
        <v>66809</v>
      </c>
      <c r="X3465" t="s">
        <v>66810</v>
      </c>
      <c r="Y3465" t="s">
        <v>66811</v>
      </c>
    </row>
    <row r="3466" spans="1:25" x14ac:dyDescent="0.3">
      <c r="A3466">
        <v>173250</v>
      </c>
      <c r="B3466" t="s">
        <v>66812</v>
      </c>
      <c r="C3466" t="s">
        <v>66813</v>
      </c>
      <c r="D3466" t="s">
        <v>66814</v>
      </c>
      <c r="E3466" t="s">
        <v>66815</v>
      </c>
      <c r="F3466" t="s">
        <v>66816</v>
      </c>
      <c r="G3466" t="s">
        <v>66817</v>
      </c>
      <c r="H3466" t="s">
        <v>66818</v>
      </c>
      <c r="I3466" t="s">
        <v>66819</v>
      </c>
      <c r="J3466" t="s">
        <v>66820</v>
      </c>
      <c r="K3466" t="s">
        <v>66821</v>
      </c>
      <c r="L3466" t="s">
        <v>66822</v>
      </c>
      <c r="M3466" t="s">
        <v>66823</v>
      </c>
      <c r="N3466">
        <f>-656.589588506143 -12.5054356643595 -528.423724187465</f>
        <v>-1197.5187483579675</v>
      </c>
      <c r="O3466">
        <f>-659.171220210798 -164.888787730184 -495.034542959197</f>
        <v>-1319.094550900179</v>
      </c>
      <c r="P3466">
        <f>-664.729828579938 -178.788010846664 -213.335151982367</f>
        <v>-1056.852991408969</v>
      </c>
      <c r="Q3466">
        <f>-460.45526943806 -106.478457891351 -296.951903361849</f>
        <v>-863.88563069126008</v>
      </c>
      <c r="R3466" t="s">
        <v>66824</v>
      </c>
      <c r="S3466" t="s">
        <v>66825</v>
      </c>
      <c r="T3466" t="s">
        <v>66826</v>
      </c>
      <c r="U3466" t="s">
        <v>66827</v>
      </c>
      <c r="V3466">
        <f>-589.591130411823 -57.2262742671608 -92.5510478602735</f>
        <v>-739.36845253925719</v>
      </c>
      <c r="W3466" t="s">
        <v>66828</v>
      </c>
      <c r="X3466" t="s">
        <v>66829</v>
      </c>
      <c r="Y3466" t="s">
        <v>66830</v>
      </c>
    </row>
    <row r="3467" spans="1:25" x14ac:dyDescent="0.3">
      <c r="A3467">
        <v>173300</v>
      </c>
      <c r="B3467" t="s">
        <v>66831</v>
      </c>
      <c r="C3467" t="s">
        <v>66832</v>
      </c>
      <c r="D3467" t="s">
        <v>66833</v>
      </c>
      <c r="E3467" t="s">
        <v>66834</v>
      </c>
      <c r="F3467" t="s">
        <v>66835</v>
      </c>
      <c r="G3467" t="s">
        <v>66836</v>
      </c>
      <c r="H3467" t="s">
        <v>66837</v>
      </c>
      <c r="I3467" t="s">
        <v>66838</v>
      </c>
      <c r="J3467" t="s">
        <v>66839</v>
      </c>
      <c r="K3467" t="s">
        <v>66840</v>
      </c>
      <c r="L3467" t="s">
        <v>66841</v>
      </c>
      <c r="M3467" t="s">
        <v>66842</v>
      </c>
      <c r="N3467">
        <f>-656.069887922673 -10.8148537284637 -528.72849441391</f>
        <v>-1195.6132360650467</v>
      </c>
      <c r="O3467">
        <f>-658.010899518967 -163.474088861188 -496.711540533041</f>
        <v>-1318.1965289131958</v>
      </c>
      <c r="P3467">
        <f>-663.546690758171 -179.748831926933 -215.138959987952</f>
        <v>-1058.434482673056</v>
      </c>
      <c r="Q3467">
        <f>-459.546260688105 -105.678353865656 -297.879115411915</f>
        <v>-863.10372996567605</v>
      </c>
      <c r="R3467" t="s">
        <v>66843</v>
      </c>
      <c r="S3467" t="s">
        <v>66844</v>
      </c>
      <c r="T3467" t="s">
        <v>66845</v>
      </c>
      <c r="U3467" t="s">
        <v>66846</v>
      </c>
      <c r="V3467">
        <f>-589.054174804495 -57.3883164372883 -92.5304220767824</f>
        <v>-738.9729133185657</v>
      </c>
      <c r="W3467" t="s">
        <v>66847</v>
      </c>
      <c r="X3467" t="s">
        <v>66848</v>
      </c>
      <c r="Y3467" t="s">
        <v>66849</v>
      </c>
    </row>
    <row r="3468" spans="1:25" x14ac:dyDescent="0.3">
      <c r="A3468">
        <v>173350</v>
      </c>
      <c r="B3468" t="s">
        <v>66850</v>
      </c>
      <c r="C3468" t="s">
        <v>66851</v>
      </c>
      <c r="D3468" t="s">
        <v>66852</v>
      </c>
      <c r="E3468" t="s">
        <v>66853</v>
      </c>
      <c r="F3468" t="s">
        <v>66854</v>
      </c>
      <c r="G3468" t="s">
        <v>66855</v>
      </c>
      <c r="H3468" t="s">
        <v>66856</v>
      </c>
      <c r="I3468" t="s">
        <v>66857</v>
      </c>
      <c r="J3468" t="s">
        <v>66858</v>
      </c>
      <c r="K3468" t="s">
        <v>66859</v>
      </c>
      <c r="L3468" t="s">
        <v>66860</v>
      </c>
      <c r="M3468" t="s">
        <v>66861</v>
      </c>
      <c r="N3468">
        <f>-656.036337456034 -9.9323619145639 -528.83209424888</f>
        <v>-1194.8007936194779</v>
      </c>
      <c r="O3468">
        <f>-657.885650564469 -162.723206049591 -497.435078874818</f>
        <v>-1318.0439354888779</v>
      </c>
      <c r="P3468">
        <f>-663.171377138189 -180.287840690251 -215.93529277708</f>
        <v>-1059.3945106055198</v>
      </c>
      <c r="Q3468">
        <f>-459.341847805817 -105.522627053401 -298.471397693601</f>
        <v>-863.33587255281896</v>
      </c>
      <c r="R3468" t="s">
        <v>66862</v>
      </c>
      <c r="S3468" t="s">
        <v>66863</v>
      </c>
      <c r="T3468" t="s">
        <v>66864</v>
      </c>
      <c r="U3468" t="s">
        <v>66865</v>
      </c>
      <c r="V3468">
        <f>-588.903583620324 -57.5147014029833 -92.5361420237548</f>
        <v>-738.95442704706204</v>
      </c>
      <c r="W3468" t="s">
        <v>66866</v>
      </c>
      <c r="X3468" t="s">
        <v>66867</v>
      </c>
      <c r="Y3468" t="s">
        <v>66868</v>
      </c>
    </row>
    <row r="3469" spans="1:25" x14ac:dyDescent="0.3">
      <c r="A3469">
        <v>173400</v>
      </c>
      <c r="B3469" t="s">
        <v>66869</v>
      </c>
      <c r="C3469" t="s">
        <v>66870</v>
      </c>
      <c r="D3469" t="s">
        <v>66871</v>
      </c>
      <c r="E3469" t="s">
        <v>66872</v>
      </c>
      <c r="F3469" t="s">
        <v>66873</v>
      </c>
      <c r="G3469" t="s">
        <v>66874</v>
      </c>
      <c r="H3469" t="s">
        <v>66875</v>
      </c>
      <c r="I3469" t="s">
        <v>66876</v>
      </c>
      <c r="J3469" t="s">
        <v>66877</v>
      </c>
      <c r="K3469" t="s">
        <v>66878</v>
      </c>
      <c r="L3469" t="s">
        <v>66879</v>
      </c>
      <c r="M3469" t="s">
        <v>66880</v>
      </c>
      <c r="N3469">
        <f>-656.04617688799 -8.24340337923149 -528.933950035541</f>
        <v>-1193.2235303027624</v>
      </c>
      <c r="O3469">
        <f>-658.222260242246 -161.225855004461 -498.456624434339</f>
        <v>-1317.9047396810461</v>
      </c>
      <c r="P3469">
        <f>-662.577040273927 -180.318578776053 -217.040400867711</f>
        <v>-1059.9360199176908</v>
      </c>
      <c r="Q3469">
        <f>-458.843597357308 -105.260022890512 -299.547442686236</f>
        <v>-863.65106293405597</v>
      </c>
      <c r="R3469" t="s">
        <v>66881</v>
      </c>
      <c r="S3469" t="s">
        <v>66882</v>
      </c>
      <c r="T3469" t="s">
        <v>66883</v>
      </c>
      <c r="U3469" t="s">
        <v>66884</v>
      </c>
      <c r="V3469">
        <f>-588.606692116551 -57.6296697722591 -92.5102318795175</f>
        <v>-738.74659376832767</v>
      </c>
      <c r="W3469" t="s">
        <v>66885</v>
      </c>
      <c r="X3469" t="s">
        <v>66886</v>
      </c>
      <c r="Y3469" t="s">
        <v>66887</v>
      </c>
    </row>
    <row r="3470" spans="1:25" x14ac:dyDescent="0.3">
      <c r="A3470">
        <v>173450</v>
      </c>
      <c r="B3470" t="s">
        <v>66888</v>
      </c>
      <c r="C3470" t="s">
        <v>66889</v>
      </c>
      <c r="D3470" t="s">
        <v>66890</v>
      </c>
      <c r="E3470" t="s">
        <v>66891</v>
      </c>
      <c r="F3470" t="s">
        <v>66892</v>
      </c>
      <c r="G3470" t="s">
        <v>66893</v>
      </c>
      <c r="H3470" t="s">
        <v>66894</v>
      </c>
      <c r="I3470" t="s">
        <v>66895</v>
      </c>
      <c r="J3470" t="s">
        <v>66896</v>
      </c>
      <c r="K3470" t="s">
        <v>66897</v>
      </c>
      <c r="L3470" t="s">
        <v>66898</v>
      </c>
      <c r="M3470" t="s">
        <v>66899</v>
      </c>
      <c r="N3470">
        <f>-656.233285846294 -7.47365720289781 -528.944492650393</f>
        <v>-1192.6514356995849</v>
      </c>
      <c r="O3470">
        <f>-658.732673565863 -160.509494985061 -498.780057327197</f>
        <v>-1318.0222258781209</v>
      </c>
      <c r="P3470">
        <f>-662.655547544465 -180.006474376419 -217.385184769988</f>
        <v>-1060.0472066908719</v>
      </c>
      <c r="Q3470">
        <f>-458.898026468274 -105.12472516639 -299.993583132571</f>
        <v>-864.01633476723509</v>
      </c>
      <c r="R3470" t="s">
        <v>66900</v>
      </c>
      <c r="S3470" t="s">
        <v>66901</v>
      </c>
      <c r="T3470" t="s">
        <v>66902</v>
      </c>
      <c r="U3470" t="s">
        <v>66903</v>
      </c>
      <c r="V3470">
        <f>-588.528933554812 -57.6660046704533 -92.5071746949741</f>
        <v>-738.70211292023941</v>
      </c>
      <c r="W3470" t="s">
        <v>66904</v>
      </c>
      <c r="X3470" t="s">
        <v>66905</v>
      </c>
      <c r="Y3470" t="s">
        <v>66906</v>
      </c>
    </row>
    <row r="3471" spans="1:25" x14ac:dyDescent="0.3">
      <c r="A3471">
        <v>173500</v>
      </c>
      <c r="B3471" t="s">
        <v>66907</v>
      </c>
      <c r="C3471" t="s">
        <v>66908</v>
      </c>
      <c r="D3471" t="s">
        <v>66909</v>
      </c>
      <c r="E3471" t="s">
        <v>66910</v>
      </c>
      <c r="F3471" t="s">
        <v>66911</v>
      </c>
      <c r="G3471" t="s">
        <v>66912</v>
      </c>
      <c r="H3471" t="s">
        <v>66913</v>
      </c>
      <c r="I3471" t="s">
        <v>66914</v>
      </c>
      <c r="J3471" t="s">
        <v>66915</v>
      </c>
      <c r="K3471" t="s">
        <v>66916</v>
      </c>
      <c r="L3471" t="s">
        <v>66917</v>
      </c>
      <c r="M3471" t="s">
        <v>66918</v>
      </c>
      <c r="N3471">
        <f>-656.484057788096 -6.17552992815718 -528.974262351835</f>
        <v>-1191.6338500680881</v>
      </c>
      <c r="O3471">
        <f>-659.889587997204 -159.277980853253 -499.164096627341</f>
        <v>-1318.331665477798</v>
      </c>
      <c r="P3471">
        <f>-663.576602056811 -179.213658331411 -217.79681257743</f>
        <v>-1060.5870729656519</v>
      </c>
      <c r="Q3471">
        <f>-459.66565037274 -104.822182903126 -300.469468593578</f>
        <v>-864.957301869444</v>
      </c>
      <c r="R3471" t="s">
        <v>66919</v>
      </c>
      <c r="S3471" t="s">
        <v>66920</v>
      </c>
      <c r="T3471" t="s">
        <v>66921</v>
      </c>
      <c r="U3471" t="s">
        <v>66922</v>
      </c>
      <c r="V3471">
        <f>-588.719389455848 -57.6586592039585 -92.527701049064</f>
        <v>-738.90574970887053</v>
      </c>
      <c r="W3471" t="s">
        <v>66923</v>
      </c>
      <c r="X3471" t="s">
        <v>66924</v>
      </c>
      <c r="Y3471" t="s">
        <v>66925</v>
      </c>
    </row>
    <row r="3472" spans="1:25" x14ac:dyDescent="0.3">
      <c r="A3472">
        <v>173550</v>
      </c>
      <c r="B3472" t="s">
        <v>66926</v>
      </c>
      <c r="C3472" t="s">
        <v>66927</v>
      </c>
      <c r="D3472" t="s">
        <v>66928</v>
      </c>
      <c r="E3472" t="s">
        <v>66929</v>
      </c>
      <c r="F3472" t="s">
        <v>66930</v>
      </c>
      <c r="G3472" t="s">
        <v>66931</v>
      </c>
      <c r="H3472" t="s">
        <v>66932</v>
      </c>
      <c r="I3472" t="s">
        <v>66933</v>
      </c>
      <c r="J3472" t="s">
        <v>66934</v>
      </c>
      <c r="K3472" t="s">
        <v>66935</v>
      </c>
      <c r="L3472" t="s">
        <v>66936</v>
      </c>
      <c r="M3472" t="s">
        <v>66937</v>
      </c>
      <c r="N3472">
        <f>-656.496724681001 -5.69392192070927 -528.98301104842</f>
        <v>-1191.1736576501303</v>
      </c>
      <c r="O3472">
        <f>-660.448573049401 -158.789305156497 -499.225281948541</f>
        <v>-1318.463160154439</v>
      </c>
      <c r="P3472">
        <f>-664.118739621626 -178.79646711086 -217.862828374661</f>
        <v>-1060.7780351071469</v>
      </c>
      <c r="Q3472">
        <f>-460.15701531172 -104.650722509828 -300.630959506443</f>
        <v>-865.43869732799101</v>
      </c>
      <c r="R3472" t="s">
        <v>66938</v>
      </c>
      <c r="S3472" t="s">
        <v>66939</v>
      </c>
      <c r="T3472" t="s">
        <v>66940</v>
      </c>
      <c r="U3472" t="s">
        <v>66941</v>
      </c>
      <c r="V3472">
        <f>-588.98982032971 -57.625091509477 -92.5312891016334</f>
        <v>-739.14620094082045</v>
      </c>
      <c r="W3472" t="s">
        <v>66942</v>
      </c>
      <c r="X3472" t="s">
        <v>66943</v>
      </c>
      <c r="Y3472" t="s">
        <v>66944</v>
      </c>
    </row>
    <row r="3473" spans="1:25" x14ac:dyDescent="0.3">
      <c r="A3473">
        <v>173600</v>
      </c>
      <c r="B3473" t="s">
        <v>66945</v>
      </c>
      <c r="C3473" t="s">
        <v>66946</v>
      </c>
      <c r="D3473" t="s">
        <v>66947</v>
      </c>
      <c r="E3473" t="s">
        <v>66948</v>
      </c>
      <c r="F3473" t="s">
        <v>66949</v>
      </c>
      <c r="G3473" t="s">
        <v>66950</v>
      </c>
      <c r="H3473" t="s">
        <v>66951</v>
      </c>
      <c r="I3473" t="s">
        <v>66952</v>
      </c>
      <c r="J3473" t="s">
        <v>66953</v>
      </c>
      <c r="K3473" t="s">
        <v>66954</v>
      </c>
      <c r="L3473" t="s">
        <v>66955</v>
      </c>
      <c r="M3473" t="s">
        <v>66956</v>
      </c>
      <c r="N3473">
        <f>-656.518595621458 -4.70315870837794 -528.969901371981</f>
        <v>-1190.1916557018169</v>
      </c>
      <c r="O3473">
        <f>-661.446643900285 -157.757815419743 -499.190174138263</f>
        <v>-1318.3946334582911</v>
      </c>
      <c r="P3473">
        <f>-665.259507623827 -177.842961853823 -217.835125794825</f>
        <v>-1060.9375952724749</v>
      </c>
      <c r="Q3473">
        <f>-461.053687042521 -104.387976950342 -300.617282439665</f>
        <v>-866.05894643252805</v>
      </c>
      <c r="R3473" t="s">
        <v>66957</v>
      </c>
      <c r="S3473" t="s">
        <v>66958</v>
      </c>
      <c r="T3473" t="s">
        <v>66959</v>
      </c>
      <c r="U3473" t="s">
        <v>66960</v>
      </c>
      <c r="V3473">
        <f>-589.599288817727 -57.4171600913296 -92.528630935704</f>
        <v>-739.54507984476061</v>
      </c>
      <c r="W3473" t="s">
        <v>66961</v>
      </c>
      <c r="X3473" t="s">
        <v>66962</v>
      </c>
      <c r="Y3473" t="s">
        <v>66963</v>
      </c>
    </row>
    <row r="3474" spans="1:25" x14ac:dyDescent="0.3">
      <c r="A3474">
        <v>173650</v>
      </c>
      <c r="B3474" t="s">
        <v>66964</v>
      </c>
      <c r="C3474" t="s">
        <v>66965</v>
      </c>
      <c r="D3474" t="s">
        <v>66966</v>
      </c>
      <c r="E3474" t="s">
        <v>66967</v>
      </c>
      <c r="F3474" t="s">
        <v>66968</v>
      </c>
      <c r="G3474" t="s">
        <v>66969</v>
      </c>
      <c r="H3474" t="s">
        <v>66970</v>
      </c>
      <c r="I3474" t="s">
        <v>66971</v>
      </c>
      <c r="J3474" t="s">
        <v>66972</v>
      </c>
      <c r="K3474" t="s">
        <v>66973</v>
      </c>
      <c r="L3474" t="s">
        <v>66974</v>
      </c>
      <c r="M3474" t="s">
        <v>66975</v>
      </c>
      <c r="N3474">
        <f>-656.730681073165 -4.26208660200723 -528.961650913527</f>
        <v>-1189.9544185886994</v>
      </c>
      <c r="O3474">
        <f>-661.975774143215 -157.300080471226 -499.122257481261</f>
        <v>-1318.3981120957019</v>
      </c>
      <c r="P3474">
        <f>-665.945696598086 -177.278341185867 -217.761886809557</f>
        <v>-1060.9859245935099</v>
      </c>
      <c r="Q3474">
        <f>-461.564964672205 -104.301638479104 -300.535180475688</f>
        <v>-866.40178362699703</v>
      </c>
      <c r="R3474" t="s">
        <v>66976</v>
      </c>
      <c r="S3474" t="s">
        <v>66977</v>
      </c>
      <c r="T3474" t="s">
        <v>66978</v>
      </c>
      <c r="U3474" t="s">
        <v>66979</v>
      </c>
      <c r="V3474">
        <f>-589.881688728878 -57.3204840382407 -92.5364569942134</f>
        <v>-739.73862976133205</v>
      </c>
      <c r="W3474" t="s">
        <v>66980</v>
      </c>
      <c r="X3474" t="s">
        <v>66981</v>
      </c>
      <c r="Y3474" t="s">
        <v>66982</v>
      </c>
    </row>
    <row r="3475" spans="1:25" x14ac:dyDescent="0.3">
      <c r="A3475">
        <v>173700</v>
      </c>
      <c r="B3475" t="s">
        <v>66983</v>
      </c>
      <c r="C3475" t="s">
        <v>66984</v>
      </c>
      <c r="D3475" t="s">
        <v>66985</v>
      </c>
      <c r="E3475" t="s">
        <v>66986</v>
      </c>
      <c r="F3475" t="s">
        <v>66987</v>
      </c>
      <c r="G3475" t="s">
        <v>66988</v>
      </c>
      <c r="H3475" t="s">
        <v>66989</v>
      </c>
      <c r="I3475" t="s">
        <v>66990</v>
      </c>
      <c r="J3475" t="s">
        <v>66991</v>
      </c>
      <c r="K3475" t="s">
        <v>66992</v>
      </c>
      <c r="L3475" t="s">
        <v>66993</v>
      </c>
      <c r="M3475" t="s">
        <v>66994</v>
      </c>
      <c r="N3475">
        <f>-657.259149978926 -3.61125508310943 -528.916187546447</f>
        <v>-1189.7865926084824</v>
      </c>
      <c r="O3475">
        <f>-662.869119765654 -156.617456019235 -499.01716990128</f>
        <v>-1318.5037456861689</v>
      </c>
      <c r="P3475">
        <f>-667.148127868162 -176.543768215573 -217.657530406477</f>
        <v>-1061.349426490212</v>
      </c>
      <c r="Q3475">
        <f>-462.685185254565 -103.995285317611 -300.604071043067</f>
        <v>-867.28454161524292</v>
      </c>
      <c r="R3475" t="s">
        <v>66995</v>
      </c>
      <c r="S3475" t="s">
        <v>66996</v>
      </c>
      <c r="T3475" t="s">
        <v>66997</v>
      </c>
      <c r="U3475" t="s">
        <v>66998</v>
      </c>
      <c r="V3475">
        <f>-590.368604067973 -57.0273813718877 -92.5419319837546</f>
        <v>-739.93791742361532</v>
      </c>
      <c r="W3475" t="s">
        <v>66999</v>
      </c>
      <c r="X3475" t="s">
        <v>67000</v>
      </c>
      <c r="Y3475" t="s">
        <v>67001</v>
      </c>
    </row>
    <row r="3476" spans="1:25" x14ac:dyDescent="0.3">
      <c r="A3476">
        <v>173750</v>
      </c>
      <c r="B3476" t="s">
        <v>67002</v>
      </c>
      <c r="C3476" t="s">
        <v>67003</v>
      </c>
      <c r="D3476" t="s">
        <v>67004</v>
      </c>
      <c r="E3476" t="s">
        <v>67005</v>
      </c>
      <c r="F3476" t="s">
        <v>67006</v>
      </c>
      <c r="G3476" t="s">
        <v>67007</v>
      </c>
      <c r="H3476" t="s">
        <v>67008</v>
      </c>
      <c r="I3476" t="s">
        <v>67009</v>
      </c>
      <c r="J3476" t="s">
        <v>67010</v>
      </c>
      <c r="K3476" t="s">
        <v>67011</v>
      </c>
      <c r="L3476" t="s">
        <v>67012</v>
      </c>
      <c r="M3476" t="s">
        <v>67013</v>
      </c>
      <c r="N3476">
        <f>-657.40660106857 -3.38143214070783 -528.934117630616</f>
        <v>-1189.7221508398939</v>
      </c>
      <c r="O3476">
        <f>-662.96235255635 -156.398155111772 -499.086465372758</f>
        <v>-1318.44697304088</v>
      </c>
      <c r="P3476">
        <f>-667.159858058928 -176.468660813391 -217.735928191996</f>
        <v>-1061.3644470643151</v>
      </c>
      <c r="Q3476">
        <f>-462.806973456152 -103.728684435148 -300.786052261814</f>
        <v>-867.32171015311394</v>
      </c>
      <c r="R3476" t="s">
        <v>67014</v>
      </c>
      <c r="S3476" t="s">
        <v>67015</v>
      </c>
      <c r="T3476" t="s">
        <v>67016</v>
      </c>
      <c r="U3476" t="s">
        <v>67017</v>
      </c>
      <c r="V3476">
        <f>-590.494917756272 -56.8158225580949 -92.5395061775814</f>
        <v>-739.85024649194827</v>
      </c>
      <c r="W3476" t="s">
        <v>67018</v>
      </c>
      <c r="X3476" t="s">
        <v>67019</v>
      </c>
      <c r="Y3476" t="s">
        <v>67020</v>
      </c>
    </row>
    <row r="3477" spans="1:25" x14ac:dyDescent="0.3">
      <c r="A3477">
        <v>173800</v>
      </c>
      <c r="B3477" t="s">
        <v>67021</v>
      </c>
      <c r="C3477" t="s">
        <v>67022</v>
      </c>
      <c r="D3477" t="s">
        <v>67023</v>
      </c>
      <c r="E3477" t="s">
        <v>67024</v>
      </c>
      <c r="F3477" t="s">
        <v>67025</v>
      </c>
      <c r="G3477" t="s">
        <v>67026</v>
      </c>
      <c r="H3477" t="s">
        <v>67027</v>
      </c>
      <c r="I3477" t="s">
        <v>67028</v>
      </c>
      <c r="J3477" t="s">
        <v>67029</v>
      </c>
      <c r="K3477" t="s">
        <v>67030</v>
      </c>
      <c r="L3477" t="s">
        <v>67031</v>
      </c>
      <c r="M3477" t="s">
        <v>67032</v>
      </c>
      <c r="N3477">
        <f>-657.371969245188 -3.42238966256741 -528.939215135257</f>
        <v>-1189.7335740430124</v>
      </c>
      <c r="O3477">
        <f>-662.314468889853 -156.504456120957 -499.290513816605</f>
        <v>-1318.109438827415</v>
      </c>
      <c r="P3477">
        <f>-665.932892637416 -177.004228122638 -217.962805234105</f>
        <v>-1060.899925994159</v>
      </c>
      <c r="Q3477">
        <f>-462.014566910506 -103.136235830494 -301.085517407516</f>
        <v>-866.23632014851603</v>
      </c>
      <c r="R3477" t="s">
        <v>67033</v>
      </c>
      <c r="S3477" t="s">
        <v>67034</v>
      </c>
      <c r="T3477" t="s">
        <v>67035</v>
      </c>
      <c r="U3477" t="s">
        <v>67036</v>
      </c>
      <c r="V3477">
        <f>-590.629958494326 -56.4419025578927 -92.5269325503208</f>
        <v>-739.59879360253956</v>
      </c>
      <c r="W3477" t="s">
        <v>67037</v>
      </c>
      <c r="X3477" t="s">
        <v>67038</v>
      </c>
      <c r="Y3477" t="s">
        <v>67039</v>
      </c>
    </row>
    <row r="3478" spans="1:25" x14ac:dyDescent="0.3">
      <c r="A3478">
        <v>173850</v>
      </c>
      <c r="B3478" t="s">
        <v>67040</v>
      </c>
      <c r="C3478" t="s">
        <v>67041</v>
      </c>
      <c r="D3478" t="s">
        <v>67042</v>
      </c>
      <c r="E3478" t="s">
        <v>67043</v>
      </c>
      <c r="F3478" t="s">
        <v>67044</v>
      </c>
      <c r="G3478" t="s">
        <v>67045</v>
      </c>
      <c r="H3478" t="s">
        <v>67046</v>
      </c>
      <c r="I3478" t="s">
        <v>67047</v>
      </c>
      <c r="J3478" t="s">
        <v>67048</v>
      </c>
      <c r="K3478" t="s">
        <v>67049</v>
      </c>
      <c r="L3478" t="s">
        <v>67050</v>
      </c>
      <c r="M3478" t="s">
        <v>67051</v>
      </c>
      <c r="N3478">
        <f>-657.494200134092 -3.3359834858054 -528.94902720405</f>
        <v>-1189.7792108239473</v>
      </c>
      <c r="O3478">
        <f>-662.114696839045 -156.461201594885 -499.453598176085</f>
        <v>-1318.029496610015</v>
      </c>
      <c r="P3478">
        <f>-665.074102108474 -177.257016775303 -218.139979728968</f>
        <v>-1060.471098612745</v>
      </c>
      <c r="Q3478">
        <f>-461.476851332848 -102.531718307254 -301.283519967884</f>
        <v>-865.29208960798599</v>
      </c>
      <c r="R3478" t="s">
        <v>67052</v>
      </c>
      <c r="S3478" t="s">
        <v>67053</v>
      </c>
      <c r="T3478" t="s">
        <v>67054</v>
      </c>
      <c r="U3478" t="s">
        <v>67055</v>
      </c>
      <c r="V3478">
        <f>-590.735598846265 -56.2535766638316 -92.515498368016</f>
        <v>-739.50467387811261</v>
      </c>
      <c r="W3478" t="s">
        <v>67056</v>
      </c>
      <c r="X3478" t="s">
        <v>67057</v>
      </c>
      <c r="Y3478" t="s">
        <v>67058</v>
      </c>
    </row>
    <row r="3479" spans="1:25" x14ac:dyDescent="0.3">
      <c r="A3479">
        <v>173900</v>
      </c>
      <c r="B3479" t="s">
        <v>67059</v>
      </c>
      <c r="C3479" t="s">
        <v>67060</v>
      </c>
      <c r="D3479" t="s">
        <v>67061</v>
      </c>
      <c r="E3479" t="s">
        <v>67062</v>
      </c>
      <c r="F3479" t="s">
        <v>67063</v>
      </c>
      <c r="G3479" t="s">
        <v>67064</v>
      </c>
      <c r="H3479" t="s">
        <v>67065</v>
      </c>
      <c r="I3479" t="s">
        <v>67066</v>
      </c>
      <c r="J3479" t="s">
        <v>67067</v>
      </c>
      <c r="K3479" t="s">
        <v>67068</v>
      </c>
      <c r="L3479" t="s">
        <v>67069</v>
      </c>
      <c r="M3479" t="s">
        <v>67070</v>
      </c>
      <c r="N3479">
        <f>-657.464461459942 -3.10454273310006 -529.050406724348</f>
        <v>-1189.61941091739</v>
      </c>
      <c r="O3479">
        <f>-661.505819976188 -156.299658325273 -499.815548743752</f>
        <v>-1317.6210270452129</v>
      </c>
      <c r="P3479">
        <f>-663.722315443359 -177.650148606698 -218.536585534307</f>
        <v>-1059.9090495843641</v>
      </c>
      <c r="Q3479">
        <f>-460.820337992466 -101.148397371676 -301.7638321633</f>
        <v>-863.73256752744203</v>
      </c>
      <c r="R3479" t="s">
        <v>67071</v>
      </c>
      <c r="S3479" t="s">
        <v>67072</v>
      </c>
      <c r="T3479" t="s">
        <v>67073</v>
      </c>
      <c r="U3479" t="s">
        <v>67074</v>
      </c>
      <c r="V3479">
        <f>-591.287766095364 -56.0153771502085 -92.522179142891</f>
        <v>-739.82532238846341</v>
      </c>
      <c r="W3479" t="s">
        <v>67075</v>
      </c>
      <c r="X3479" t="s">
        <v>67076</v>
      </c>
      <c r="Y3479" t="s">
        <v>67077</v>
      </c>
    </row>
    <row r="3480" spans="1:25" x14ac:dyDescent="0.3">
      <c r="A3480">
        <v>173950</v>
      </c>
      <c r="B3480" t="s">
        <v>67078</v>
      </c>
      <c r="C3480" t="s">
        <v>67079</v>
      </c>
      <c r="D3480" t="s">
        <v>67080</v>
      </c>
      <c r="E3480" t="s">
        <v>67081</v>
      </c>
      <c r="F3480" t="s">
        <v>67082</v>
      </c>
      <c r="G3480" t="s">
        <v>67083</v>
      </c>
      <c r="H3480" t="s">
        <v>67084</v>
      </c>
      <c r="I3480" t="s">
        <v>67085</v>
      </c>
      <c r="J3480" t="s">
        <v>67086</v>
      </c>
      <c r="K3480" t="s">
        <v>67087</v>
      </c>
      <c r="L3480" t="s">
        <v>67088</v>
      </c>
      <c r="M3480" t="s">
        <v>67089</v>
      </c>
      <c r="N3480">
        <f>-657.226884291335 -3.09725766240535 -529.12865154565</f>
        <v>-1189.4527934993903</v>
      </c>
      <c r="O3480">
        <f>-661.120857587446 -156.305988352345 -500.005397528163</f>
        <v>-1317.4322434679541</v>
      </c>
      <c r="P3480">
        <f>-663.256195498633 -178.004655368771 -218.752537504198</f>
        <v>-1060.0133883716021</v>
      </c>
      <c r="Q3480">
        <f>-460.600965304305 -100.678944388763 -301.819612318829</f>
        <v>-863.09952201189708</v>
      </c>
      <c r="R3480" t="s">
        <v>67090</v>
      </c>
      <c r="S3480" t="s">
        <v>67091</v>
      </c>
      <c r="T3480" t="s">
        <v>67092</v>
      </c>
      <c r="U3480" t="s">
        <v>67093</v>
      </c>
      <c r="V3480">
        <f>-591.689978431452 -56.0441198580052 -92.5427946199443</f>
        <v>-740.27689290940145</v>
      </c>
      <c r="W3480" t="s">
        <v>67094</v>
      </c>
      <c r="X3480" t="s">
        <v>67095</v>
      </c>
      <c r="Y3480" t="s">
        <v>67096</v>
      </c>
    </row>
    <row r="3481" spans="1:25" x14ac:dyDescent="0.3">
      <c r="A3481">
        <v>174000</v>
      </c>
      <c r="B3481" t="s">
        <v>67097</v>
      </c>
      <c r="C3481" t="s">
        <v>67098</v>
      </c>
      <c r="D3481" t="s">
        <v>67099</v>
      </c>
      <c r="E3481" t="s">
        <v>67100</v>
      </c>
      <c r="F3481" t="s">
        <v>67101</v>
      </c>
      <c r="G3481" t="s">
        <v>67102</v>
      </c>
      <c r="H3481" t="s">
        <v>67103</v>
      </c>
      <c r="I3481" t="s">
        <v>67104</v>
      </c>
      <c r="J3481" t="s">
        <v>67105</v>
      </c>
      <c r="K3481" t="s">
        <v>67106</v>
      </c>
      <c r="L3481" t="s">
        <v>67107</v>
      </c>
      <c r="M3481" t="s">
        <v>67108</v>
      </c>
      <c r="N3481">
        <f>-656.426853685091 -3.45008215064922 -529.323078974161</f>
        <v>-1189.2000148099014</v>
      </c>
      <c r="O3481">
        <f>-660.268940511951 -156.695586794465 -500.355910337001</f>
        <v>-1317.3204376434169</v>
      </c>
      <c r="P3481">
        <f>-662.434778992531 -178.94273208602 -219.14614230918</f>
        <v>-1060.523653387731</v>
      </c>
      <c r="Q3481">
        <f>-460.064523985903 -100.305107566055 -301.674474567833</f>
        <v>-862.04410611979097</v>
      </c>
      <c r="R3481" t="s">
        <v>67109</v>
      </c>
      <c r="S3481" t="s">
        <v>67110</v>
      </c>
      <c r="T3481" t="s">
        <v>67111</v>
      </c>
      <c r="U3481" t="s">
        <v>67112</v>
      </c>
      <c r="V3481">
        <f>-592.714340901335 -56.3162125917388 -92.6164916651014</f>
        <v>-741.64704515817527</v>
      </c>
      <c r="W3481" t="s">
        <v>67113</v>
      </c>
      <c r="X3481" t="s">
        <v>67114</v>
      </c>
      <c r="Y3481" t="s">
        <v>67115</v>
      </c>
    </row>
    <row r="3482" spans="1:25" x14ac:dyDescent="0.3">
      <c r="A3482">
        <v>174050</v>
      </c>
      <c r="B3482" t="s">
        <v>67116</v>
      </c>
      <c r="C3482" t="s">
        <v>67117</v>
      </c>
      <c r="D3482" t="s">
        <v>67118</v>
      </c>
      <c r="E3482" t="s">
        <v>67119</v>
      </c>
      <c r="F3482" t="s">
        <v>67120</v>
      </c>
      <c r="G3482" t="s">
        <v>67121</v>
      </c>
      <c r="H3482" t="s">
        <v>67122</v>
      </c>
      <c r="I3482" t="s">
        <v>67123</v>
      </c>
      <c r="J3482" t="s">
        <v>67124</v>
      </c>
      <c r="K3482" t="s">
        <v>67125</v>
      </c>
      <c r="L3482" t="s">
        <v>67126</v>
      </c>
      <c r="M3482" t="s">
        <v>67127</v>
      </c>
      <c r="N3482">
        <f>-656.145851577539 -3.75380247387056 -529.392683038564</f>
        <v>-1189.2923370899734</v>
      </c>
      <c r="O3482">
        <f>-660.103729418025 -156.989218961669 -500.425746628875</f>
        <v>-1317.518695008569</v>
      </c>
      <c r="P3482">
        <f>-662.430818482256 -179.334397051083 -219.224934090441</f>
        <v>-1060.9901496237799</v>
      </c>
      <c r="Q3482">
        <f>-460.109123425705 -100.386727610618 -301.576477591765</f>
        <v>-862.07232862808792</v>
      </c>
      <c r="R3482" t="s">
        <v>67128</v>
      </c>
      <c r="S3482" t="s">
        <v>67129</v>
      </c>
      <c r="T3482" t="s">
        <v>67130</v>
      </c>
      <c r="U3482" t="s">
        <v>67131</v>
      </c>
      <c r="V3482">
        <f>-593.154551495048 -56.4587813537266 -92.6660506473753</f>
        <v>-742.27938349614999</v>
      </c>
      <c r="W3482" t="s">
        <v>67132</v>
      </c>
      <c r="X3482" t="s">
        <v>67133</v>
      </c>
      <c r="Y3482" t="s">
        <v>67134</v>
      </c>
    </row>
    <row r="3483" spans="1:25" x14ac:dyDescent="0.3">
      <c r="A3483">
        <v>174100</v>
      </c>
      <c r="B3483" t="s">
        <v>67135</v>
      </c>
      <c r="C3483" t="s">
        <v>67136</v>
      </c>
      <c r="D3483" t="s">
        <v>67137</v>
      </c>
      <c r="E3483" t="s">
        <v>67138</v>
      </c>
      <c r="F3483" t="s">
        <v>67139</v>
      </c>
      <c r="G3483" t="s">
        <v>67140</v>
      </c>
      <c r="H3483" t="s">
        <v>67141</v>
      </c>
      <c r="I3483" t="s">
        <v>67142</v>
      </c>
      <c r="J3483" t="s">
        <v>67143</v>
      </c>
      <c r="K3483" t="s">
        <v>67144</v>
      </c>
      <c r="L3483" t="s">
        <v>67145</v>
      </c>
      <c r="M3483" t="s">
        <v>67146</v>
      </c>
      <c r="N3483">
        <f>-656.597275647044 -4.45742183346101 -529.441471458169</f>
        <v>-1190.4961689386739</v>
      </c>
      <c r="O3483">
        <f>-660.857642229963 -157.655265692871 -500.224430052289</f>
        <v>-1318.737337975123</v>
      </c>
      <c r="P3483">
        <f>-663.516606394865 -179.509450520979 -218.987963761962</f>
        <v>-1062.014020677806</v>
      </c>
      <c r="Q3483">
        <f>-461.190622971061 -100.719051158132 -301.479136299472</f>
        <v>-863.38881042866501</v>
      </c>
      <c r="R3483" t="s">
        <v>67147</v>
      </c>
      <c r="S3483" t="s">
        <v>67148</v>
      </c>
      <c r="T3483" t="s">
        <v>67149</v>
      </c>
      <c r="U3483" t="s">
        <v>67150</v>
      </c>
      <c r="V3483">
        <f>-594.014685205216 -56.6523200151203 -92.7530242637534</f>
        <v>-743.4200294840897</v>
      </c>
      <c r="W3483" t="s">
        <v>67151</v>
      </c>
      <c r="X3483" t="s">
        <v>67152</v>
      </c>
      <c r="Y3483" t="s">
        <v>67153</v>
      </c>
    </row>
    <row r="3484" spans="1:25" x14ac:dyDescent="0.3">
      <c r="A3484">
        <v>174150</v>
      </c>
      <c r="B3484" t="s">
        <v>67154</v>
      </c>
      <c r="C3484" t="s">
        <v>67155</v>
      </c>
      <c r="D3484" t="s">
        <v>67156</v>
      </c>
      <c r="E3484" t="s">
        <v>67157</v>
      </c>
      <c r="F3484" t="s">
        <v>67158</v>
      </c>
      <c r="G3484" t="s">
        <v>67159</v>
      </c>
      <c r="H3484" t="s">
        <v>67160</v>
      </c>
      <c r="I3484" t="s">
        <v>67161</v>
      </c>
      <c r="J3484" t="s">
        <v>67162</v>
      </c>
      <c r="K3484" t="s">
        <v>67163</v>
      </c>
      <c r="L3484" t="s">
        <v>67164</v>
      </c>
      <c r="M3484" t="s">
        <v>67165</v>
      </c>
      <c r="N3484">
        <f>-656.948572294931 -4.71255959571545 -529.457911618919</f>
        <v>-1191.1190435095655</v>
      </c>
      <c r="O3484">
        <f>-661.418201083139 -157.880023985577 -500.142908196068</f>
        <v>-1319.441133264784</v>
      </c>
      <c r="P3484">
        <f>-664.172508237331 -179.523568877236 -218.891025027427</f>
        <v>-1062.5871021419941</v>
      </c>
      <c r="Q3484">
        <f>-461.809464950633 -100.969449883515 -301.51640001888</f>
        <v>-864.295314853028</v>
      </c>
      <c r="R3484" t="s">
        <v>67166</v>
      </c>
      <c r="S3484" t="s">
        <v>67167</v>
      </c>
      <c r="T3484" t="s">
        <v>67168</v>
      </c>
      <c r="U3484" t="s">
        <v>67169</v>
      </c>
      <c r="V3484">
        <f>-594.475471343526 -56.7311608280188 -92.7850928514554</f>
        <v>-743.99172502300019</v>
      </c>
      <c r="W3484" t="s">
        <v>67170</v>
      </c>
      <c r="X3484" t="s">
        <v>67171</v>
      </c>
      <c r="Y3484" t="s">
        <v>67172</v>
      </c>
    </row>
    <row r="3485" spans="1:25" x14ac:dyDescent="0.3">
      <c r="A3485">
        <v>174200</v>
      </c>
      <c r="B3485" t="s">
        <v>67173</v>
      </c>
      <c r="C3485" t="s">
        <v>67174</v>
      </c>
      <c r="D3485" t="s">
        <v>67175</v>
      </c>
      <c r="E3485" t="s">
        <v>67176</v>
      </c>
      <c r="F3485" t="s">
        <v>67177</v>
      </c>
      <c r="G3485" t="s">
        <v>67178</v>
      </c>
      <c r="H3485" t="s">
        <v>67179</v>
      </c>
      <c r="I3485" t="s">
        <v>67180</v>
      </c>
      <c r="J3485" t="s">
        <v>67181</v>
      </c>
      <c r="K3485" t="s">
        <v>67182</v>
      </c>
      <c r="L3485" t="s">
        <v>67183</v>
      </c>
      <c r="M3485" t="s">
        <v>67184</v>
      </c>
      <c r="N3485">
        <f>-657.862730912172 -5.06290879637163 -529.444295710201</f>
        <v>-1192.3699354187447</v>
      </c>
      <c r="O3485">
        <f>-662.447243651329 -158.177416610566 -499.906766839335</f>
        <v>-1320.5314271012301</v>
      </c>
      <c r="P3485">
        <f>-665.138416401305 -179.774883073436 -218.650761568573</f>
        <v>-1063.564061043314</v>
      </c>
      <c r="Q3485">
        <f>-462.818345279844 -101.533631447551 -301.677525917704</f>
        <v>-866.029502645099</v>
      </c>
      <c r="R3485" t="s">
        <v>67185</v>
      </c>
      <c r="S3485" t="s">
        <v>67186</v>
      </c>
      <c r="T3485" t="s">
        <v>67187</v>
      </c>
      <c r="U3485" t="s">
        <v>67188</v>
      </c>
      <c r="V3485">
        <f>-595.243178166944 -56.6878533113616 -92.8278681350653</f>
        <v>-744.75889961337077</v>
      </c>
      <c r="W3485" t="s">
        <v>67189</v>
      </c>
      <c r="X3485" t="s">
        <v>67190</v>
      </c>
      <c r="Y3485" t="s">
        <v>67191</v>
      </c>
    </row>
    <row r="3486" spans="1:25" x14ac:dyDescent="0.3">
      <c r="A3486">
        <v>174250</v>
      </c>
      <c r="B3486" t="s">
        <v>67192</v>
      </c>
      <c r="C3486" t="s">
        <v>67193</v>
      </c>
      <c r="D3486" t="s">
        <v>67194</v>
      </c>
      <c r="E3486" t="s">
        <v>67195</v>
      </c>
      <c r="F3486" t="s">
        <v>67196</v>
      </c>
      <c r="G3486" t="s">
        <v>67197</v>
      </c>
      <c r="H3486" t="s">
        <v>67198</v>
      </c>
      <c r="I3486" t="s">
        <v>67199</v>
      </c>
      <c r="J3486" t="s">
        <v>67200</v>
      </c>
      <c r="K3486" t="s">
        <v>67201</v>
      </c>
      <c r="L3486" t="s">
        <v>67202</v>
      </c>
      <c r="M3486" t="s">
        <v>67203</v>
      </c>
      <c r="N3486">
        <f>-658.352820191673 -5.25727522673606 -529.429023645876</f>
        <v>-1193.0391190642849</v>
      </c>
      <c r="O3486">
        <f>-663.000703886055 -158.34583829223 -499.756125436323</f>
        <v>-1321.102667614608</v>
      </c>
      <c r="P3486">
        <f>-665.521329725752 -179.822101716316 -218.489367164042</f>
        <v>-1063.8327986061101</v>
      </c>
      <c r="Q3486">
        <f>-463.205648870965 -101.783933373468 -301.717628735336</f>
        <v>-866.707210979769</v>
      </c>
      <c r="R3486" t="s">
        <v>67204</v>
      </c>
      <c r="S3486" t="s">
        <v>67205</v>
      </c>
      <c r="T3486" t="s">
        <v>67206</v>
      </c>
      <c r="U3486" t="s">
        <v>67207</v>
      </c>
      <c r="V3486">
        <f>-595.547207505308 -56.7089478010819 -92.8464807458834</f>
        <v>-745.10263605227328</v>
      </c>
      <c r="W3486" t="s">
        <v>67208</v>
      </c>
      <c r="X3486" t="s">
        <v>67209</v>
      </c>
      <c r="Y3486" t="s">
        <v>67210</v>
      </c>
    </row>
    <row r="3487" spans="1:25" x14ac:dyDescent="0.3">
      <c r="A3487">
        <v>174300</v>
      </c>
      <c r="B3487" t="s">
        <v>67211</v>
      </c>
      <c r="C3487" t="s">
        <v>67212</v>
      </c>
      <c r="D3487" t="s">
        <v>67213</v>
      </c>
      <c r="E3487" t="s">
        <v>67214</v>
      </c>
      <c r="F3487" t="s">
        <v>67215</v>
      </c>
      <c r="G3487" t="s">
        <v>67216</v>
      </c>
      <c r="H3487" t="s">
        <v>67217</v>
      </c>
      <c r="I3487" t="s">
        <v>67218</v>
      </c>
      <c r="J3487" t="s">
        <v>67219</v>
      </c>
      <c r="K3487" t="s">
        <v>67220</v>
      </c>
      <c r="L3487" t="s">
        <v>67221</v>
      </c>
      <c r="M3487" t="s">
        <v>67222</v>
      </c>
      <c r="N3487">
        <f>-659.091866321271 -5.71310282315085 -529.395492858583</f>
        <v>-1194.2004620030048</v>
      </c>
      <c r="O3487">
        <f>-663.789641286721 -158.738159023095 -499.4434620812</f>
        <v>-1321.9712623910159</v>
      </c>
      <c r="P3487">
        <f>-665.948470787263 -179.764792200393 -218.139598299321</f>
        <v>-1063.852861286977</v>
      </c>
      <c r="Q3487">
        <f>-463.59651073488 -102.104877411174 -301.63296844248</f>
        <v>-867.33435658853398</v>
      </c>
      <c r="R3487" t="s">
        <v>67223</v>
      </c>
      <c r="S3487" t="s">
        <v>67224</v>
      </c>
      <c r="T3487" t="s">
        <v>67225</v>
      </c>
      <c r="U3487" t="s">
        <v>67226</v>
      </c>
      <c r="V3487">
        <f>-595.910739225495 -56.7367665163026 -92.8822157565706</f>
        <v>-745.5297214983683</v>
      </c>
      <c r="W3487" t="s">
        <v>67227</v>
      </c>
      <c r="X3487" t="s">
        <v>67228</v>
      </c>
      <c r="Y3487" t="s">
        <v>67229</v>
      </c>
    </row>
    <row r="3488" spans="1:25" x14ac:dyDescent="0.3">
      <c r="A3488">
        <v>174350</v>
      </c>
      <c r="B3488" t="s">
        <v>67230</v>
      </c>
      <c r="C3488" t="s">
        <v>67231</v>
      </c>
      <c r="D3488" t="s">
        <v>67232</v>
      </c>
      <c r="E3488" t="s">
        <v>67233</v>
      </c>
      <c r="F3488" t="s">
        <v>67234</v>
      </c>
      <c r="G3488" t="s">
        <v>67235</v>
      </c>
      <c r="H3488" t="s">
        <v>67236</v>
      </c>
      <c r="I3488" t="s">
        <v>67237</v>
      </c>
      <c r="J3488" t="s">
        <v>67238</v>
      </c>
      <c r="K3488" t="s">
        <v>67239</v>
      </c>
      <c r="L3488" t="s">
        <v>67240</v>
      </c>
      <c r="M3488" t="s">
        <v>67241</v>
      </c>
      <c r="N3488">
        <f>-659.976084292009 -6.10000361162633 -529.263270758889</f>
        <v>-1195.3393586625243</v>
      </c>
      <c r="O3488">
        <f>-664.518052450659 -159.08236741906 -499.024247329069</f>
        <v>-1322.6246671987878</v>
      </c>
      <c r="P3488">
        <f>-666.319483996192 -179.713402971763 -217.688769617746</f>
        <v>-1063.7216565857011</v>
      </c>
      <c r="Q3488">
        <f>-464.059600813447 -101.973672592874 -301.330909304673</f>
        <v>-867.36418271099399</v>
      </c>
      <c r="R3488" t="s">
        <v>67242</v>
      </c>
      <c r="S3488" t="s">
        <v>67243</v>
      </c>
      <c r="T3488" t="s">
        <v>67244</v>
      </c>
      <c r="U3488" t="s">
        <v>67245</v>
      </c>
      <c r="V3488">
        <f>-595.93608524631 -56.6418608718152 -92.9132148003418</f>
        <v>-745.49116091846702</v>
      </c>
      <c r="W3488" t="s">
        <v>67246</v>
      </c>
      <c r="X3488" t="s">
        <v>67247</v>
      </c>
      <c r="Y3488" t="s">
        <v>67248</v>
      </c>
    </row>
    <row r="3489" spans="1:25" x14ac:dyDescent="0.3">
      <c r="A3489">
        <v>174400</v>
      </c>
      <c r="B3489" t="s">
        <v>67249</v>
      </c>
      <c r="C3489" t="s">
        <v>67250</v>
      </c>
      <c r="D3489" t="s">
        <v>67251</v>
      </c>
      <c r="E3489" t="s">
        <v>67252</v>
      </c>
      <c r="F3489" t="s">
        <v>67253</v>
      </c>
      <c r="G3489" t="s">
        <v>67254</v>
      </c>
      <c r="H3489" t="s">
        <v>67255</v>
      </c>
      <c r="I3489" t="s">
        <v>67256</v>
      </c>
      <c r="J3489" t="s">
        <v>67257</v>
      </c>
      <c r="K3489" t="s">
        <v>67258</v>
      </c>
      <c r="L3489" t="s">
        <v>67259</v>
      </c>
      <c r="M3489" t="s">
        <v>67260</v>
      </c>
      <c r="N3489">
        <f>-660.546766185089 -6.20015771557973 -529.192623179256</f>
        <v>-1195.9395470799248</v>
      </c>
      <c r="O3489">
        <f>-665.066285407636 -159.160727574449 -498.83933283288</f>
        <v>-1323.066345814965</v>
      </c>
      <c r="P3489">
        <f>-666.518650916125 -179.545003110915 -217.483589244873</f>
        <v>-1063.547243271913</v>
      </c>
      <c r="Q3489">
        <f>-464.327696369773 -101.656928903344 -301.154310374062</f>
        <v>-867.13893564717898</v>
      </c>
      <c r="R3489" t="s">
        <v>67261</v>
      </c>
      <c r="S3489" t="s">
        <v>67262</v>
      </c>
      <c r="T3489" t="s">
        <v>67263</v>
      </c>
      <c r="U3489" t="s">
        <v>67264</v>
      </c>
      <c r="V3489">
        <f>-595.927213101563 -56.6613902422966 -92.9198291143811</f>
        <v>-745.50843245824069</v>
      </c>
      <c r="W3489" t="s">
        <v>67265</v>
      </c>
      <c r="X3489" t="s">
        <v>67266</v>
      </c>
      <c r="Y3489" t="s">
        <v>67267</v>
      </c>
    </row>
    <row r="3490" spans="1:25" x14ac:dyDescent="0.3">
      <c r="A3490">
        <v>174450</v>
      </c>
      <c r="B3490" t="s">
        <v>67268</v>
      </c>
      <c r="C3490" t="s">
        <v>67269</v>
      </c>
      <c r="D3490" t="s">
        <v>67270</v>
      </c>
      <c r="E3490" t="s">
        <v>67271</v>
      </c>
      <c r="F3490" t="s">
        <v>67272</v>
      </c>
      <c r="G3490" t="s">
        <v>67273</v>
      </c>
      <c r="H3490" t="s">
        <v>67274</v>
      </c>
      <c r="I3490" t="s">
        <v>67275</v>
      </c>
      <c r="J3490" t="s">
        <v>67276</v>
      </c>
      <c r="K3490" t="s">
        <v>67277</v>
      </c>
      <c r="L3490" t="s">
        <v>67278</v>
      </c>
      <c r="M3490" t="s">
        <v>67279</v>
      </c>
      <c r="N3490">
        <f>-661.054275751637 -6.24528704679324 -529.127603352982</f>
        <v>-1196.4271661514122</v>
      </c>
      <c r="O3490">
        <f>-665.531545584778 -159.193299283135 -498.702787168852</f>
        <v>-1323.4276320367649</v>
      </c>
      <c r="P3490">
        <f>-666.614948908081 -179.440138102645 -217.335556044035</f>
        <v>-1063.3906430547611</v>
      </c>
      <c r="Q3490">
        <f>-464.510174267282 -101.367839291349 -301.042951336415</f>
        <v>-866.92096489504593</v>
      </c>
      <c r="R3490" t="s">
        <v>67280</v>
      </c>
      <c r="S3490" t="s">
        <v>67281</v>
      </c>
      <c r="T3490" t="s">
        <v>67282</v>
      </c>
      <c r="U3490" t="s">
        <v>67283</v>
      </c>
      <c r="V3490">
        <f>-595.951545054681 -56.6977826332586 -92.9277427886891</f>
        <v>-745.57707047662871</v>
      </c>
      <c r="W3490" t="s">
        <v>67284</v>
      </c>
      <c r="X3490" t="s">
        <v>67285</v>
      </c>
      <c r="Y3490" t="s">
        <v>67286</v>
      </c>
    </row>
    <row r="3491" spans="1:25" x14ac:dyDescent="0.3">
      <c r="A3491">
        <v>174500</v>
      </c>
      <c r="B3491" t="s">
        <v>67287</v>
      </c>
      <c r="C3491" t="s">
        <v>67288</v>
      </c>
      <c r="D3491" t="s">
        <v>67289</v>
      </c>
      <c r="E3491" t="s">
        <v>67290</v>
      </c>
      <c r="F3491" t="s">
        <v>67291</v>
      </c>
      <c r="G3491" t="s">
        <v>67292</v>
      </c>
      <c r="H3491" t="s">
        <v>67293</v>
      </c>
      <c r="I3491" t="s">
        <v>67294</v>
      </c>
      <c r="J3491" t="s">
        <v>67295</v>
      </c>
      <c r="K3491" t="s">
        <v>67296</v>
      </c>
      <c r="L3491" t="s">
        <v>67297</v>
      </c>
      <c r="M3491" t="s">
        <v>67298</v>
      </c>
      <c r="N3491">
        <f>-661.956218894475 -6.40661542954467 -529.012608908786</f>
        <v>-1197.3754432328055</v>
      </c>
      <c r="O3491">
        <f>-666.256535674594 -159.346762803318 -498.548349966801</f>
        <v>-1324.1516484447131</v>
      </c>
      <c r="P3491">
        <f>-666.821979723278 -179.659309754001 -217.184417976821</f>
        <v>-1063.6657074540999</v>
      </c>
      <c r="Q3491">
        <f>-464.946385260154 -101.063390776012 -300.954623919454</f>
        <v>-866.96439995561991</v>
      </c>
      <c r="R3491" t="s">
        <v>67299</v>
      </c>
      <c r="S3491" t="s">
        <v>67300</v>
      </c>
      <c r="T3491" t="s">
        <v>67301</v>
      </c>
      <c r="U3491" t="s">
        <v>67302</v>
      </c>
      <c r="V3491">
        <f>-596.070153376822 -56.6503116967579 -92.9498654184482</f>
        <v>-745.67033049202803</v>
      </c>
      <c r="W3491" t="s">
        <v>67303</v>
      </c>
      <c r="X3491" t="s">
        <v>67304</v>
      </c>
      <c r="Y3491" t="s">
        <v>67305</v>
      </c>
    </row>
    <row r="3492" spans="1:25" x14ac:dyDescent="0.3">
      <c r="A3492">
        <v>174550</v>
      </c>
      <c r="B3492" t="s">
        <v>67306</v>
      </c>
      <c r="C3492" t="s">
        <v>67307</v>
      </c>
      <c r="D3492" t="s">
        <v>67308</v>
      </c>
      <c r="E3492" t="s">
        <v>67309</v>
      </c>
      <c r="F3492" t="s">
        <v>67310</v>
      </c>
      <c r="G3492" t="s">
        <v>67311</v>
      </c>
      <c r="H3492" t="s">
        <v>67312</v>
      </c>
      <c r="I3492" t="s">
        <v>67313</v>
      </c>
      <c r="J3492" t="s">
        <v>67314</v>
      </c>
      <c r="K3492" t="s">
        <v>67315</v>
      </c>
      <c r="L3492" t="s">
        <v>67316</v>
      </c>
      <c r="M3492" t="s">
        <v>67317</v>
      </c>
      <c r="N3492">
        <f>-662.61120727549 -6.51638938423184 -528.864494465179</f>
        <v>-1197.9920911249008</v>
      </c>
      <c r="O3492">
        <f>-666.789244560467 -159.450724997228 -498.356388591841</f>
        <v>-1324.5963581495359</v>
      </c>
      <c r="P3492">
        <f>-667.06702522138 -179.922775926103 -217.003623857023</f>
        <v>-1063.993425004506</v>
      </c>
      <c r="Q3492">
        <f>-465.336296867212 -101.112746804585 -300.921589559646</f>
        <v>-867.37063323144298</v>
      </c>
      <c r="R3492" t="s">
        <v>67318</v>
      </c>
      <c r="S3492" t="s">
        <v>67319</v>
      </c>
      <c r="T3492" t="s">
        <v>67320</v>
      </c>
      <c r="U3492" t="s">
        <v>67321</v>
      </c>
      <c r="V3492">
        <f>-596.033194533514 -56.410146456717 -92.9476729564897</f>
        <v>-745.3910139467207</v>
      </c>
      <c r="W3492" t="s">
        <v>67322</v>
      </c>
      <c r="X3492" t="s">
        <v>67323</v>
      </c>
      <c r="Y3492" t="s">
        <v>67324</v>
      </c>
    </row>
    <row r="3493" spans="1:25" x14ac:dyDescent="0.3">
      <c r="A3493">
        <v>174600</v>
      </c>
      <c r="B3493" t="s">
        <v>67325</v>
      </c>
      <c r="C3493" t="s">
        <v>67326</v>
      </c>
      <c r="D3493" t="s">
        <v>67327</v>
      </c>
      <c r="E3493" t="s">
        <v>67328</v>
      </c>
      <c r="F3493" t="s">
        <v>67329</v>
      </c>
      <c r="G3493" t="s">
        <v>67330</v>
      </c>
      <c r="H3493" t="s">
        <v>67331</v>
      </c>
      <c r="I3493" t="s">
        <v>67332</v>
      </c>
      <c r="J3493" t="s">
        <v>67333</v>
      </c>
      <c r="K3493" t="s">
        <v>67334</v>
      </c>
      <c r="L3493" t="s">
        <v>67335</v>
      </c>
      <c r="M3493" t="s">
        <v>67336</v>
      </c>
      <c r="N3493">
        <f>-662.851555465924 -6.50777207968122 -528.81024417439</f>
        <v>-1198.1695717199952</v>
      </c>
      <c r="O3493">
        <f>-667.01772413676 -159.433971536887 -498.245693040122</f>
        <v>-1324.697388713769</v>
      </c>
      <c r="P3493">
        <f>-667.07706118028 -179.807093811931 -216.885626608565</f>
        <v>-1063.769781600776</v>
      </c>
      <c r="Q3493">
        <f>-465.392926976629 -101.042543954617 -300.957978917377</f>
        <v>-867.39344984862294</v>
      </c>
      <c r="R3493" t="s">
        <v>67337</v>
      </c>
      <c r="S3493" t="s">
        <v>67338</v>
      </c>
      <c r="T3493" t="s">
        <v>67339</v>
      </c>
      <c r="U3493" t="s">
        <v>67340</v>
      </c>
      <c r="V3493">
        <f>-595.975842716121 -56.2386111669534 -92.9516652649354</f>
        <v>-745.16611914800978</v>
      </c>
      <c r="W3493" t="s">
        <v>67341</v>
      </c>
      <c r="X3493" t="s">
        <v>67342</v>
      </c>
      <c r="Y3493" t="s">
        <v>67343</v>
      </c>
    </row>
    <row r="3494" spans="1:25" x14ac:dyDescent="0.3">
      <c r="A3494">
        <v>174650</v>
      </c>
      <c r="B3494" t="s">
        <v>67325</v>
      </c>
      <c r="C3494" t="s">
        <v>67326</v>
      </c>
      <c r="D3494" t="s">
        <v>67327</v>
      </c>
      <c r="E3494" t="s">
        <v>67328</v>
      </c>
      <c r="F3494" t="s">
        <v>67329</v>
      </c>
      <c r="G3494" t="s">
        <v>67330</v>
      </c>
      <c r="H3494" t="s">
        <v>67331</v>
      </c>
      <c r="I3494" t="s">
        <v>67332</v>
      </c>
      <c r="J3494" t="s">
        <v>67333</v>
      </c>
      <c r="K3494" t="s">
        <v>67334</v>
      </c>
      <c r="L3494" t="s">
        <v>67335</v>
      </c>
      <c r="M3494" t="s">
        <v>67336</v>
      </c>
      <c r="N3494">
        <f>-662.851555465924 -6.50777207968122 -528.81024417439</f>
        <v>-1198.1695717199952</v>
      </c>
      <c r="O3494">
        <f>-667.01772413676 -159.433971536887 -498.245693040122</f>
        <v>-1324.697388713769</v>
      </c>
      <c r="P3494">
        <f>-667.07706118028 -179.807093811931 -216.885626608565</f>
        <v>-1063.769781600776</v>
      </c>
      <c r="Q3494">
        <f>-465.392926976629 -101.042543954617 -300.957978917377</f>
        <v>-867.39344984862294</v>
      </c>
      <c r="R3494" t="s">
        <v>67337</v>
      </c>
      <c r="S3494" t="s">
        <v>67338</v>
      </c>
      <c r="T3494" t="s">
        <v>67339</v>
      </c>
      <c r="U3494" t="s">
        <v>67340</v>
      </c>
      <c r="V3494">
        <f>-595.975842716121 -56.2386111669534 -92.9516652649354</f>
        <v>-745.16611914800978</v>
      </c>
      <c r="W3494" t="s">
        <v>67341</v>
      </c>
      <c r="X3494" t="s">
        <v>67342</v>
      </c>
      <c r="Y3494" t="s">
        <v>67343</v>
      </c>
    </row>
    <row r="3495" spans="1:25" x14ac:dyDescent="0.3">
      <c r="A3495">
        <v>174700</v>
      </c>
      <c r="B3495" t="s">
        <v>67344</v>
      </c>
      <c r="C3495" t="s">
        <v>67345</v>
      </c>
      <c r="D3495" t="s">
        <v>67346</v>
      </c>
      <c r="E3495" t="s">
        <v>67347</v>
      </c>
      <c r="F3495" t="s">
        <v>67348</v>
      </c>
      <c r="G3495" t="s">
        <v>67349</v>
      </c>
      <c r="H3495" t="s">
        <v>67350</v>
      </c>
      <c r="I3495" t="s">
        <v>67351</v>
      </c>
      <c r="J3495" t="s">
        <v>67352</v>
      </c>
      <c r="K3495" t="s">
        <v>67353</v>
      </c>
      <c r="L3495" t="s">
        <v>67354</v>
      </c>
      <c r="M3495" t="s">
        <v>67355</v>
      </c>
      <c r="N3495">
        <f>-663.318300639853 -6.86350642312232 -528.67431018944</f>
        <v>-1198.8561172524153</v>
      </c>
      <c r="O3495">
        <f>-667.381586275702 -159.783292961966 -498.059384343396</f>
        <v>-1325.224263581064</v>
      </c>
      <c r="P3495">
        <f>-667.254496493373 -180.232110204835 -216.704717332901</f>
        <v>-1064.1913240311092</v>
      </c>
      <c r="Q3495">
        <f>-465.573690740646 -101.404451244115 -300.726200433755</f>
        <v>-867.70434241851603</v>
      </c>
      <c r="R3495" t="s">
        <v>67356</v>
      </c>
      <c r="S3495" t="s">
        <v>67357</v>
      </c>
      <c r="T3495" t="s">
        <v>67358</v>
      </c>
      <c r="U3495" t="s">
        <v>67359</v>
      </c>
      <c r="V3495">
        <f>-595.982191985294 -56.3696630975235 -92.9510543057622</f>
        <v>-745.30290938857968</v>
      </c>
      <c r="W3495" t="s">
        <v>67360</v>
      </c>
      <c r="X3495" t="s">
        <v>67361</v>
      </c>
      <c r="Y3495" t="s">
        <v>67362</v>
      </c>
    </row>
    <row r="3496" spans="1:25" x14ac:dyDescent="0.3">
      <c r="A3496">
        <v>174750</v>
      </c>
      <c r="B3496" t="s">
        <v>67363</v>
      </c>
      <c r="C3496" t="s">
        <v>67364</v>
      </c>
      <c r="D3496" t="s">
        <v>67365</v>
      </c>
      <c r="E3496" t="s">
        <v>67366</v>
      </c>
      <c r="F3496" t="s">
        <v>67367</v>
      </c>
      <c r="G3496" t="s">
        <v>67368</v>
      </c>
      <c r="H3496" t="s">
        <v>67369</v>
      </c>
      <c r="I3496" t="s">
        <v>67370</v>
      </c>
      <c r="J3496" t="s">
        <v>67371</v>
      </c>
      <c r="K3496" t="s">
        <v>67372</v>
      </c>
      <c r="L3496" t="s">
        <v>67373</v>
      </c>
      <c r="M3496" t="s">
        <v>67374</v>
      </c>
      <c r="N3496">
        <f>-663.233056438582 -6.96416074770877 -528.673976370892</f>
        <v>-1198.8711935571828</v>
      </c>
      <c r="O3496">
        <f>-667.294649044021 -159.882209214253 -498.053287418075</f>
        <v>-1325.2301456763489</v>
      </c>
      <c r="P3496">
        <f>-667.15517281648 -180.476403423074 -216.709310719287</f>
        <v>-1064.3408869588409</v>
      </c>
      <c r="Q3496">
        <f>-465.478521568728 -101.488808153116 -300.590257100759</f>
        <v>-867.55758682260296</v>
      </c>
      <c r="R3496" t="s">
        <v>67375</v>
      </c>
      <c r="S3496" t="s">
        <v>67376</v>
      </c>
      <c r="T3496" t="s">
        <v>67377</v>
      </c>
      <c r="U3496" t="s">
        <v>67378</v>
      </c>
      <c r="V3496">
        <f>-596.03556276536 -56.3970930594369 -92.9439379791501</f>
        <v>-745.376593803947</v>
      </c>
      <c r="W3496" t="s">
        <v>67379</v>
      </c>
      <c r="X3496" t="s">
        <v>67380</v>
      </c>
      <c r="Y3496" t="s">
        <v>67381</v>
      </c>
    </row>
    <row r="3497" spans="1:25" x14ac:dyDescent="0.3">
      <c r="A3497">
        <v>174800</v>
      </c>
      <c r="B3497" t="s">
        <v>67382</v>
      </c>
      <c r="C3497" t="s">
        <v>67383</v>
      </c>
      <c r="D3497" t="s">
        <v>67384</v>
      </c>
      <c r="E3497" t="s">
        <v>67385</v>
      </c>
      <c r="F3497" t="s">
        <v>67386</v>
      </c>
      <c r="G3497" t="s">
        <v>67387</v>
      </c>
      <c r="H3497" t="s">
        <v>67388</v>
      </c>
      <c r="I3497" t="s">
        <v>67389</v>
      </c>
      <c r="J3497" t="s">
        <v>67390</v>
      </c>
      <c r="K3497" t="s">
        <v>67391</v>
      </c>
      <c r="L3497" t="s">
        <v>67392</v>
      </c>
      <c r="M3497" t="s">
        <v>67393</v>
      </c>
      <c r="N3497">
        <f>-662.969103790953 -7.24706628794843 -528.703417399547</f>
        <v>-1198.9195874784484</v>
      </c>
      <c r="O3497">
        <f>-667.112553557865 -160.156661820427 -498.050751031311</f>
        <v>-1325.319966409603</v>
      </c>
      <c r="P3497">
        <f>-666.823906707652 -180.815921368334 -216.71162014685</f>
        <v>-1064.3514482228361</v>
      </c>
      <c r="Q3497">
        <f>-465.057371668089 -101.670482542101 -300.226663702947</f>
        <v>-866.95451791313701</v>
      </c>
      <c r="R3497" t="s">
        <v>67394</v>
      </c>
      <c r="S3497" t="s">
        <v>67395</v>
      </c>
      <c r="T3497" t="s">
        <v>67396</v>
      </c>
      <c r="U3497" t="s">
        <v>67397</v>
      </c>
      <c r="V3497">
        <f>-596.060152419762 -56.7301435597456 -92.948876910634</f>
        <v>-745.7391728901415</v>
      </c>
      <c r="W3497" t="s">
        <v>67398</v>
      </c>
      <c r="X3497" t="s">
        <v>67399</v>
      </c>
      <c r="Y3497" t="s">
        <v>67400</v>
      </c>
    </row>
    <row r="3498" spans="1:25" x14ac:dyDescent="0.3">
      <c r="A3498">
        <v>174850</v>
      </c>
      <c r="B3498" t="s">
        <v>67382</v>
      </c>
      <c r="C3498" t="s">
        <v>67383</v>
      </c>
      <c r="D3498" t="s">
        <v>67384</v>
      </c>
      <c r="E3498" t="s">
        <v>67385</v>
      </c>
      <c r="F3498" t="s">
        <v>67386</v>
      </c>
      <c r="G3498" t="s">
        <v>67387</v>
      </c>
      <c r="H3498" t="s">
        <v>67388</v>
      </c>
      <c r="I3498" t="s">
        <v>67389</v>
      </c>
      <c r="J3498" t="s">
        <v>67390</v>
      </c>
      <c r="K3498" t="s">
        <v>67391</v>
      </c>
      <c r="L3498" t="s">
        <v>67392</v>
      </c>
      <c r="M3498" t="s">
        <v>67393</v>
      </c>
      <c r="N3498">
        <f>-662.969103790953 -7.24706628794843 -528.703417399547</f>
        <v>-1198.9195874784484</v>
      </c>
      <c r="O3498">
        <f>-667.112553557865 -160.156661820427 -498.050751031311</f>
        <v>-1325.319966409603</v>
      </c>
      <c r="P3498">
        <f>-666.823906707652 -180.815921368334 -216.71162014685</f>
        <v>-1064.3514482228361</v>
      </c>
      <c r="Q3498">
        <f>-465.057371668089 -101.670482542101 -300.226663702947</f>
        <v>-866.95451791313701</v>
      </c>
      <c r="R3498" t="s">
        <v>67394</v>
      </c>
      <c r="S3498" t="s">
        <v>67395</v>
      </c>
      <c r="T3498" t="s">
        <v>67396</v>
      </c>
      <c r="U3498" t="s">
        <v>67397</v>
      </c>
      <c r="V3498">
        <f>-596.060152419762 -56.7301435597456 -92.948876910634</f>
        <v>-745.7391728901415</v>
      </c>
      <c r="W3498" t="s">
        <v>67398</v>
      </c>
      <c r="X3498" t="s">
        <v>67399</v>
      </c>
      <c r="Y3498" t="s">
        <v>67400</v>
      </c>
    </row>
    <row r="3499" spans="1:25" x14ac:dyDescent="0.3">
      <c r="A3499">
        <v>174900</v>
      </c>
      <c r="B3499" t="s">
        <v>67401</v>
      </c>
      <c r="C3499" t="s">
        <v>67402</v>
      </c>
      <c r="D3499" t="s">
        <v>67403</v>
      </c>
      <c r="E3499" t="s">
        <v>67404</v>
      </c>
      <c r="F3499" t="s">
        <v>67405</v>
      </c>
      <c r="G3499" t="s">
        <v>67406</v>
      </c>
      <c r="H3499" t="s">
        <v>67407</v>
      </c>
      <c r="I3499" t="s">
        <v>67408</v>
      </c>
      <c r="J3499" t="s">
        <v>67409</v>
      </c>
      <c r="K3499" t="s">
        <v>67410</v>
      </c>
      <c r="L3499" t="s">
        <v>67411</v>
      </c>
      <c r="M3499" t="s">
        <v>67412</v>
      </c>
      <c r="N3499">
        <f>-662.906811115383 -7.22601977027625 -528.730544083669</f>
        <v>-1198.8633749693281</v>
      </c>
      <c r="O3499">
        <f>-667.155429637159 -160.137280876996 -498.087968669183</f>
        <v>-1325.3806791833381</v>
      </c>
      <c r="P3499">
        <f>-666.780370174664 -180.683331363324 -216.740692286231</f>
        <v>-1064.2043938242189</v>
      </c>
      <c r="Q3499">
        <f>-464.908550014351 -101.373602990381 -299.844710603788</f>
        <v>-866.1268636085199</v>
      </c>
      <c r="R3499" t="s">
        <v>67413</v>
      </c>
      <c r="S3499" t="s">
        <v>67414</v>
      </c>
      <c r="T3499" t="s">
        <v>67415</v>
      </c>
      <c r="U3499" t="s">
        <v>67416</v>
      </c>
      <c r="V3499">
        <f>-596.052648173839 -56.7662624732216 -92.9534500845037</f>
        <v>-745.77236073156428</v>
      </c>
      <c r="W3499" t="s">
        <v>67417</v>
      </c>
      <c r="X3499" t="s">
        <v>67418</v>
      </c>
      <c r="Y3499" t="s">
        <v>67419</v>
      </c>
    </row>
    <row r="3500" spans="1:25" x14ac:dyDescent="0.3">
      <c r="A3500">
        <v>174950</v>
      </c>
      <c r="B3500" t="s">
        <v>67420</v>
      </c>
      <c r="C3500" t="s">
        <v>67421</v>
      </c>
      <c r="D3500" t="s">
        <v>67422</v>
      </c>
      <c r="E3500" t="s">
        <v>67423</v>
      </c>
      <c r="F3500" t="s">
        <v>67424</v>
      </c>
      <c r="G3500" t="s">
        <v>67425</v>
      </c>
      <c r="H3500" t="s">
        <v>67426</v>
      </c>
      <c r="I3500" t="s">
        <v>67427</v>
      </c>
      <c r="J3500" t="s">
        <v>67428</v>
      </c>
      <c r="K3500" t="s">
        <v>67429</v>
      </c>
      <c r="L3500" t="s">
        <v>67430</v>
      </c>
      <c r="M3500" t="s">
        <v>67431</v>
      </c>
      <c r="N3500">
        <f>-662.99290500228 -7.09066262516671 -528.739881522123</f>
        <v>-1198.8234491495698</v>
      </c>
      <c r="O3500">
        <f>-667.411216100733 -160.000838620894 -498.136365785004</f>
        <v>-1325.5484205066309</v>
      </c>
      <c r="P3500">
        <f>-667.141999853288 -180.419826380683 -216.779695815794</f>
        <v>-1064.341522049765</v>
      </c>
      <c r="Q3500">
        <f>-465.037438547252 -100.996851133867 -299.206853547942</f>
        <v>-865.24114322906098</v>
      </c>
      <c r="R3500" t="s">
        <v>67432</v>
      </c>
      <c r="S3500" t="s">
        <v>67433</v>
      </c>
      <c r="T3500" t="s">
        <v>67434</v>
      </c>
      <c r="U3500" t="s">
        <v>67435</v>
      </c>
      <c r="V3500">
        <f>-595.970361494568 -56.6089008690994 -92.9373801426004</f>
        <v>-745.51664250626789</v>
      </c>
      <c r="W3500" t="s">
        <v>67436</v>
      </c>
      <c r="X3500" t="s">
        <v>67437</v>
      </c>
      <c r="Y3500" t="s">
        <v>67438</v>
      </c>
    </row>
    <row r="3501" spans="1:25" x14ac:dyDescent="0.3">
      <c r="A3501">
        <v>175000</v>
      </c>
      <c r="B3501" t="s">
        <v>67439</v>
      </c>
      <c r="C3501" t="s">
        <v>67440</v>
      </c>
      <c r="D3501" t="s">
        <v>67441</v>
      </c>
      <c r="E3501" t="s">
        <v>67442</v>
      </c>
      <c r="F3501" t="s">
        <v>67443</v>
      </c>
      <c r="G3501" t="s">
        <v>67444</v>
      </c>
      <c r="H3501" t="s">
        <v>67445</v>
      </c>
      <c r="I3501" t="s">
        <v>67446</v>
      </c>
      <c r="J3501" t="s">
        <v>67447</v>
      </c>
      <c r="K3501" t="s">
        <v>67448</v>
      </c>
      <c r="L3501" t="s">
        <v>67449</v>
      </c>
      <c r="M3501" t="s">
        <v>67450</v>
      </c>
      <c r="N3501">
        <f>-663.743717789173 -6.95126484550678 -528.695667567479</f>
        <v>-1199.3906502021587</v>
      </c>
      <c r="O3501">
        <f>-668.328433308793 -159.862462261854 -498.090588653021</f>
        <v>-1326.281484223668</v>
      </c>
      <c r="P3501">
        <f>-668.023138208671 -180.318929801386 -216.736585846258</f>
        <v>-1065.078653856315</v>
      </c>
      <c r="Q3501">
        <f>-465.983902508146 -100.489372274697 -298.931056170355</f>
        <v>-865.40433095319804</v>
      </c>
      <c r="R3501" t="s">
        <v>67451</v>
      </c>
      <c r="S3501" t="s">
        <v>67452</v>
      </c>
      <c r="T3501" t="s">
        <v>67453</v>
      </c>
      <c r="U3501" t="s">
        <v>67454</v>
      </c>
      <c r="V3501">
        <f>-596.037311265004 -56.5291248785579 -92.9581256000949</f>
        <v>-745.52456174365682</v>
      </c>
      <c r="W3501" t="s">
        <v>67455</v>
      </c>
      <c r="X3501" t="s">
        <v>67456</v>
      </c>
      <c r="Y3501" t="s">
        <v>67457</v>
      </c>
    </row>
    <row r="3502" spans="1:25" x14ac:dyDescent="0.3">
      <c r="A3502">
        <v>175050</v>
      </c>
      <c r="B3502" t="s">
        <v>67458</v>
      </c>
      <c r="C3502" t="s">
        <v>67459</v>
      </c>
      <c r="D3502" t="s">
        <v>67460</v>
      </c>
      <c r="E3502" t="s">
        <v>67461</v>
      </c>
      <c r="F3502" t="s">
        <v>67462</v>
      </c>
      <c r="G3502" t="s">
        <v>67463</v>
      </c>
      <c r="H3502" t="s">
        <v>67464</v>
      </c>
      <c r="I3502" t="s">
        <v>67465</v>
      </c>
      <c r="J3502" t="s">
        <v>67466</v>
      </c>
      <c r="K3502" t="s">
        <v>67467</v>
      </c>
      <c r="L3502" t="s">
        <v>67468</v>
      </c>
      <c r="M3502" t="s">
        <v>67469</v>
      </c>
      <c r="N3502">
        <f>-664.355764778895 -6.8476033471577 -528.677544821936</f>
        <v>-1199.8809129479887</v>
      </c>
      <c r="O3502">
        <f>-669.375477376553 -159.721507690367 -497.969839460039</f>
        <v>-1327.066824526959</v>
      </c>
      <c r="P3502">
        <f>-668.50705557389 -179.92942678111 -216.599184449114</f>
        <v>-1065.035666804114</v>
      </c>
      <c r="Q3502">
        <f>-466.771364804529 -99.9009220393884 -299.343829174628</f>
        <v>-866.0161160185454</v>
      </c>
      <c r="R3502" t="s">
        <v>67470</v>
      </c>
      <c r="S3502" t="s">
        <v>67471</v>
      </c>
      <c r="T3502" t="s">
        <v>67472</v>
      </c>
      <c r="U3502" t="s">
        <v>67473</v>
      </c>
      <c r="V3502">
        <f>-596.34314587966 -56.507752433846 -92.975634761906</f>
        <v>-745.82653307541204</v>
      </c>
      <c r="W3502" t="s">
        <v>67474</v>
      </c>
      <c r="X3502" t="s">
        <v>67475</v>
      </c>
      <c r="Y3502" t="s">
        <v>67476</v>
      </c>
    </row>
    <row r="3503" spans="1:25" x14ac:dyDescent="0.3">
      <c r="A3503">
        <v>175100</v>
      </c>
      <c r="B3503" t="s">
        <v>67477</v>
      </c>
      <c r="C3503" t="s">
        <v>67478</v>
      </c>
      <c r="D3503" t="s">
        <v>67479</v>
      </c>
      <c r="E3503" t="s">
        <v>67480</v>
      </c>
      <c r="F3503" t="s">
        <v>67481</v>
      </c>
      <c r="G3503" t="s">
        <v>67482</v>
      </c>
      <c r="H3503" t="s">
        <v>67483</v>
      </c>
      <c r="I3503" t="s">
        <v>67484</v>
      </c>
      <c r="J3503" t="s">
        <v>67485</v>
      </c>
      <c r="K3503" t="s">
        <v>67486</v>
      </c>
      <c r="L3503" t="s">
        <v>67487</v>
      </c>
      <c r="M3503" t="s">
        <v>67488</v>
      </c>
      <c r="N3503">
        <f>-664.859971503514 -6.70149611897455 -528.592750498344</f>
        <v>-1200.1542181208324</v>
      </c>
      <c r="O3503">
        <f>-670.028400803147 -159.536615726037 -497.698012413585</f>
        <v>-1327.2630289427689</v>
      </c>
      <c r="P3503">
        <f>-668.765419670208 -179.455202630069 -216.308132099858</f>
        <v>-1064.5287544001351</v>
      </c>
      <c r="Q3503">
        <f>-467.199011899811 -99.5386799741009 -299.572072716042</f>
        <v>-866.30976458995383</v>
      </c>
      <c r="R3503" t="s">
        <v>67489</v>
      </c>
      <c r="S3503" t="s">
        <v>67490</v>
      </c>
      <c r="T3503" t="s">
        <v>67491</v>
      </c>
      <c r="U3503" t="s">
        <v>67492</v>
      </c>
      <c r="V3503">
        <f>-596.494423782849 -56.3814141345154 -92.9844292379537</f>
        <v>-745.86026715531807</v>
      </c>
      <c r="W3503" t="s">
        <v>67493</v>
      </c>
      <c r="X3503" t="s">
        <v>67494</v>
      </c>
      <c r="Y3503" t="s">
        <v>67495</v>
      </c>
    </row>
    <row r="3504" spans="1:25" x14ac:dyDescent="0.3">
      <c r="A3504">
        <v>175150</v>
      </c>
      <c r="B3504" t="s">
        <v>67496</v>
      </c>
      <c r="C3504" t="s">
        <v>67497</v>
      </c>
      <c r="D3504" t="s">
        <v>67498</v>
      </c>
      <c r="E3504" t="s">
        <v>67499</v>
      </c>
      <c r="F3504" t="s">
        <v>67500</v>
      </c>
      <c r="G3504" t="s">
        <v>67501</v>
      </c>
      <c r="H3504" t="s">
        <v>67502</v>
      </c>
      <c r="I3504" t="s">
        <v>67503</v>
      </c>
      <c r="J3504" t="s">
        <v>67504</v>
      </c>
      <c r="K3504" t="s">
        <v>67505</v>
      </c>
      <c r="L3504" t="s">
        <v>67506</v>
      </c>
      <c r="M3504" t="s">
        <v>67507</v>
      </c>
      <c r="N3504">
        <f>-665.463342261684 -6.52019450400985 -528.53137489717</f>
        <v>-1200.5149116628641</v>
      </c>
      <c r="O3504">
        <f>-670.825469671121 -159.305279841893 -497.445496786967</f>
        <v>-1327.576246299981</v>
      </c>
      <c r="P3504">
        <f>-669.252480775485 -178.892566982724 -216.033972525632</f>
        <v>-1064.1790202838411</v>
      </c>
      <c r="Q3504">
        <f>-467.769347406751 -99.1949358698425 -299.708130171954</f>
        <v>-866.67241344854756</v>
      </c>
      <c r="R3504" t="s">
        <v>67508</v>
      </c>
      <c r="S3504" t="s">
        <v>67509</v>
      </c>
      <c r="T3504" t="s">
        <v>67510</v>
      </c>
      <c r="U3504" t="s">
        <v>67511</v>
      </c>
      <c r="V3504">
        <f>-596.713226689398 -56.3738146135845 -92.9891262686552</f>
        <v>-746.07616757163771</v>
      </c>
      <c r="W3504" t="s">
        <v>67512</v>
      </c>
      <c r="X3504" t="s">
        <v>67513</v>
      </c>
      <c r="Y3504" t="s">
        <v>67514</v>
      </c>
    </row>
    <row r="3505" spans="1:25" x14ac:dyDescent="0.3">
      <c r="A3505">
        <v>175200</v>
      </c>
      <c r="B3505" t="s">
        <v>67515</v>
      </c>
      <c r="C3505" t="s">
        <v>67516</v>
      </c>
      <c r="D3505" t="s">
        <v>67517</v>
      </c>
      <c r="E3505" t="s">
        <v>67518</v>
      </c>
      <c r="F3505" t="s">
        <v>67519</v>
      </c>
      <c r="G3505" t="s">
        <v>67520</v>
      </c>
      <c r="H3505" t="s">
        <v>67521</v>
      </c>
      <c r="I3505" t="s">
        <v>67522</v>
      </c>
      <c r="J3505" t="s">
        <v>67523</v>
      </c>
      <c r="K3505" t="s">
        <v>67524</v>
      </c>
      <c r="L3505" t="s">
        <v>67525</v>
      </c>
      <c r="M3505" t="s">
        <v>67526</v>
      </c>
      <c r="N3505">
        <f>-666.438809653249 -6.16179584588872 -528.489911038255</f>
        <v>-1201.0905165373927</v>
      </c>
      <c r="O3505">
        <f>-672.116293512092 -158.850247589714 -497.043979618404</f>
        <v>-1328.01052072021</v>
      </c>
      <c r="P3505">
        <f>-670.412547906366 -177.770097101073 -215.587706662572</f>
        <v>-1063.770351670011</v>
      </c>
      <c r="Q3505">
        <f>-469.055718556478 -98.4452132749589 -299.917415376565</f>
        <v>-867.41834720800193</v>
      </c>
      <c r="R3505" t="s">
        <v>67527</v>
      </c>
      <c r="S3505" t="s">
        <v>67528</v>
      </c>
      <c r="T3505" t="s">
        <v>67529</v>
      </c>
      <c r="U3505" t="s">
        <v>67530</v>
      </c>
      <c r="V3505">
        <f>-597.166607536569 -56.2465927982398 -93.0163430225687</f>
        <v>-746.4295433573775</v>
      </c>
      <c r="W3505" t="s">
        <v>67531</v>
      </c>
      <c r="X3505" t="s">
        <v>67532</v>
      </c>
      <c r="Y3505" t="s">
        <v>67533</v>
      </c>
    </row>
    <row r="3506" spans="1:25" x14ac:dyDescent="0.3">
      <c r="A3506">
        <v>175250</v>
      </c>
      <c r="B3506" t="s">
        <v>67534</v>
      </c>
      <c r="C3506" t="s">
        <v>67535</v>
      </c>
      <c r="D3506" t="s">
        <v>67536</v>
      </c>
      <c r="E3506" t="s">
        <v>67537</v>
      </c>
      <c r="F3506" t="s">
        <v>67538</v>
      </c>
      <c r="G3506" t="s">
        <v>67539</v>
      </c>
      <c r="H3506" t="s">
        <v>67540</v>
      </c>
      <c r="I3506" t="s">
        <v>67541</v>
      </c>
      <c r="J3506" t="s">
        <v>67542</v>
      </c>
      <c r="K3506" t="s">
        <v>67543</v>
      </c>
      <c r="L3506" t="s">
        <v>67544</v>
      </c>
      <c r="M3506" t="s">
        <v>67545</v>
      </c>
      <c r="N3506">
        <f>-666.419979713509 -6.30243438982802 -528.492756039309</f>
        <v>-1201.215170142646</v>
      </c>
      <c r="O3506">
        <f>-672.067440656167 -158.940198194488 -496.791553215883</f>
        <v>-1327.7991920665381</v>
      </c>
      <c r="P3506">
        <f>-670.745987448205 -177.468663269695 -215.307040341892</f>
        <v>-1063.5216910597919</v>
      </c>
      <c r="Q3506">
        <f>-469.406352871181 -98.2873141056155 -299.812739258549</f>
        <v>-867.50640623534559</v>
      </c>
      <c r="R3506" t="s">
        <v>67546</v>
      </c>
      <c r="S3506" t="s">
        <v>67547</v>
      </c>
      <c r="T3506" t="s">
        <v>67548</v>
      </c>
      <c r="U3506" t="s">
        <v>67549</v>
      </c>
      <c r="V3506">
        <f>-597.323553377023 -56.1841645559609 -93.021485453449</f>
        <v>-746.52920338643298</v>
      </c>
      <c r="W3506" t="s">
        <v>67550</v>
      </c>
      <c r="X3506" t="s">
        <v>67551</v>
      </c>
      <c r="Y3506" t="s">
        <v>67552</v>
      </c>
    </row>
    <row r="3507" spans="1:25" x14ac:dyDescent="0.3">
      <c r="A3507">
        <v>175300</v>
      </c>
      <c r="B3507" t="s">
        <v>67553</v>
      </c>
      <c r="C3507" t="s">
        <v>67554</v>
      </c>
      <c r="D3507" t="s">
        <v>67555</v>
      </c>
      <c r="E3507" t="s">
        <v>67556</v>
      </c>
      <c r="F3507" t="s">
        <v>67557</v>
      </c>
      <c r="G3507" t="s">
        <v>67558</v>
      </c>
      <c r="H3507" t="s">
        <v>67559</v>
      </c>
      <c r="I3507" t="s">
        <v>67560</v>
      </c>
      <c r="J3507" t="s">
        <v>67561</v>
      </c>
      <c r="K3507" t="s">
        <v>67562</v>
      </c>
      <c r="L3507" t="s">
        <v>67563</v>
      </c>
      <c r="M3507" t="s">
        <v>67564</v>
      </c>
      <c r="N3507">
        <f>-665.604211977738 -6.39968768915173 -528.641678882424</f>
        <v>-1200.6455785493138</v>
      </c>
      <c r="O3507">
        <f>-670.797728705964 -159.023217308432 -496.758752004961</f>
        <v>-1326.579698019357</v>
      </c>
      <c r="P3507">
        <f>-670.662021483944 -177.110180258244 -215.242362457258</f>
        <v>-1063.0145641994461</v>
      </c>
      <c r="Q3507">
        <f>-469.116037966657 -97.9698442095923 -299.293158802749</f>
        <v>-866.37904097899832</v>
      </c>
      <c r="R3507" t="s">
        <v>67565</v>
      </c>
      <c r="S3507" t="s">
        <v>67566</v>
      </c>
      <c r="T3507" t="s">
        <v>67567</v>
      </c>
      <c r="U3507" t="s">
        <v>67568</v>
      </c>
      <c r="V3507">
        <f>-597.306951227822 -55.7888766067483 -93.0303714314922</f>
        <v>-746.12619926606249</v>
      </c>
      <c r="W3507" t="s">
        <v>67569</v>
      </c>
      <c r="X3507" t="s">
        <v>67570</v>
      </c>
      <c r="Y3507" t="s">
        <v>67571</v>
      </c>
    </row>
    <row r="3508" spans="1:25" x14ac:dyDescent="0.3">
      <c r="A3508">
        <v>175350</v>
      </c>
      <c r="B3508" t="s">
        <v>67572</v>
      </c>
      <c r="C3508" t="s">
        <v>67573</v>
      </c>
      <c r="D3508" t="s">
        <v>67574</v>
      </c>
      <c r="E3508" t="s">
        <v>67575</v>
      </c>
      <c r="F3508" t="s">
        <v>67576</v>
      </c>
      <c r="G3508" t="s">
        <v>67577</v>
      </c>
      <c r="H3508" t="s">
        <v>67578</v>
      </c>
      <c r="I3508" t="s">
        <v>67579</v>
      </c>
      <c r="J3508" t="s">
        <v>67580</v>
      </c>
      <c r="K3508" t="s">
        <v>67581</v>
      </c>
      <c r="L3508" t="s">
        <v>67582</v>
      </c>
      <c r="M3508" t="s">
        <v>67583</v>
      </c>
      <c r="N3508">
        <f>-665.273364801648 -6.39527273555041 -528.728855237462</f>
        <v>-1200.3974927746603</v>
      </c>
      <c r="O3508">
        <f>-670.070632626309 -159.032306214137 -496.878749242592</f>
        <v>-1325.9816880830381</v>
      </c>
      <c r="P3508">
        <f>-670.229498640988 -177.288696987357 -215.373344150394</f>
        <v>-1062.8915397787389</v>
      </c>
      <c r="Q3508">
        <f>-468.552232572535 -97.8851593892382 -298.859191180547</f>
        <v>-865.29658314232017</v>
      </c>
      <c r="R3508" t="s">
        <v>67584</v>
      </c>
      <c r="S3508" t="s">
        <v>67585</v>
      </c>
      <c r="T3508" t="s">
        <v>67586</v>
      </c>
      <c r="U3508" t="s">
        <v>67587</v>
      </c>
      <c r="V3508">
        <f>-597.186178901331 -55.7005021005298 -93.03473294328</f>
        <v>-745.92141394514078</v>
      </c>
      <c r="W3508" t="s">
        <v>67588</v>
      </c>
      <c r="X3508" t="s">
        <v>67589</v>
      </c>
      <c r="Y3508" t="s">
        <v>67590</v>
      </c>
    </row>
    <row r="3509" spans="1:25" x14ac:dyDescent="0.3">
      <c r="A3509">
        <v>175400</v>
      </c>
      <c r="B3509" t="s">
        <v>67591</v>
      </c>
      <c r="C3509" t="s">
        <v>67592</v>
      </c>
      <c r="D3509" t="s">
        <v>67593</v>
      </c>
      <c r="E3509" t="s">
        <v>67594</v>
      </c>
      <c r="F3509" t="s">
        <v>67595</v>
      </c>
      <c r="G3509" t="s">
        <v>67596</v>
      </c>
      <c r="H3509" t="s">
        <v>67597</v>
      </c>
      <c r="I3509" t="s">
        <v>67598</v>
      </c>
      <c r="J3509" t="s">
        <v>67599</v>
      </c>
      <c r="K3509" t="s">
        <v>67600</v>
      </c>
      <c r="L3509" t="s">
        <v>67601</v>
      </c>
      <c r="M3509" t="s">
        <v>67602</v>
      </c>
      <c r="N3509">
        <f>-664.477143847879 -6.49664765447096 -528.861843986052</f>
        <v>-1199.835635488402</v>
      </c>
      <c r="O3509">
        <f>-668.354720662058 -159.153971114091 -496.940013690145</f>
        <v>-1324.4487054662939</v>
      </c>
      <c r="P3509">
        <f>-668.828342990187 -177.503513509635 -215.44112954371</f>
        <v>-1061.772986043532</v>
      </c>
      <c r="Q3509">
        <f>-467.144266112097 -97.4588927166226 -298.295915578439</f>
        <v>-862.89907440715865</v>
      </c>
      <c r="R3509" t="s">
        <v>67603</v>
      </c>
      <c r="S3509" t="s">
        <v>67604</v>
      </c>
      <c r="T3509" t="s">
        <v>67605</v>
      </c>
      <c r="U3509" t="s">
        <v>67606</v>
      </c>
      <c r="V3509">
        <f>-596.945577692171 -55.5384579390363 -93.0422087546383</f>
        <v>-745.52624438584564</v>
      </c>
      <c r="W3509" t="s">
        <v>67607</v>
      </c>
      <c r="X3509" t="s">
        <v>67608</v>
      </c>
      <c r="Y3509" t="s">
        <v>67609</v>
      </c>
    </row>
    <row r="3510" spans="1:25" x14ac:dyDescent="0.3">
      <c r="A3510">
        <v>175450</v>
      </c>
      <c r="B3510" t="s">
        <v>67610</v>
      </c>
      <c r="C3510" t="s">
        <v>67611</v>
      </c>
      <c r="D3510" t="s">
        <v>67612</v>
      </c>
      <c r="E3510" t="s">
        <v>67613</v>
      </c>
      <c r="F3510" t="s">
        <v>67614</v>
      </c>
      <c r="G3510" t="s">
        <v>67615</v>
      </c>
      <c r="H3510" t="s">
        <v>67616</v>
      </c>
      <c r="I3510" t="s">
        <v>67617</v>
      </c>
      <c r="J3510" t="s">
        <v>67618</v>
      </c>
      <c r="K3510" t="s">
        <v>67619</v>
      </c>
      <c r="L3510" t="s">
        <v>67620</v>
      </c>
      <c r="M3510" t="s">
        <v>67621</v>
      </c>
      <c r="N3510">
        <f>-663.872469841666 -6.60515291428737 -528.950089383088</f>
        <v>-1199.4277121390414</v>
      </c>
      <c r="O3510">
        <f>-667.304437354832 -159.260862373091 -496.983756051358</f>
        <v>-1323.5490557792809</v>
      </c>
      <c r="P3510">
        <f>-668.022631860958 -177.528139153817 -215.479922587197</f>
        <v>-1061.030693601972</v>
      </c>
      <c r="Q3510">
        <f>-466.470443472943 -97.0779009791845 -298.262661452489</f>
        <v>-861.81100590461642</v>
      </c>
      <c r="R3510" t="s">
        <v>67622</v>
      </c>
      <c r="S3510" t="s">
        <v>67623</v>
      </c>
      <c r="T3510" t="s">
        <v>67624</v>
      </c>
      <c r="U3510" t="s">
        <v>67625</v>
      </c>
      <c r="V3510">
        <f>-596.858223781225 -55.5298963938963 -93.0472417497234</f>
        <v>-745.43536192484464</v>
      </c>
      <c r="W3510" t="s">
        <v>67626</v>
      </c>
      <c r="X3510" t="s">
        <v>67627</v>
      </c>
      <c r="Y3510" t="s">
        <v>67628</v>
      </c>
    </row>
    <row r="3511" spans="1:25" x14ac:dyDescent="0.3">
      <c r="A3511">
        <v>175500</v>
      </c>
      <c r="B3511" t="s">
        <v>67629</v>
      </c>
      <c r="C3511" t="s">
        <v>67630</v>
      </c>
      <c r="D3511" t="s">
        <v>67631</v>
      </c>
      <c r="E3511" t="s">
        <v>67632</v>
      </c>
      <c r="F3511" t="s">
        <v>67633</v>
      </c>
      <c r="G3511" t="s">
        <v>67634</v>
      </c>
      <c r="H3511" t="s">
        <v>67635</v>
      </c>
      <c r="I3511" t="s">
        <v>67636</v>
      </c>
      <c r="J3511" t="s">
        <v>67637</v>
      </c>
      <c r="K3511" t="s">
        <v>67638</v>
      </c>
      <c r="L3511" t="s">
        <v>67639</v>
      </c>
      <c r="M3511" t="s">
        <v>67640</v>
      </c>
      <c r="N3511">
        <f>-662.667007417632 -6.51522444861234 -529.103392172861</f>
        <v>-1198.2856240391054</v>
      </c>
      <c r="O3511">
        <f>-665.412162993958 -159.201358566425 -497.205277685367</f>
        <v>-1321.8187992457499</v>
      </c>
      <c r="P3511">
        <f>-666.549741943236 -177.61052441138 -215.712160818208</f>
        <v>-1059.872427172824</v>
      </c>
      <c r="Q3511">
        <f>-465.351983162919 -95.8414169008859 -298.06361870504</f>
        <v>-859.257018768845</v>
      </c>
      <c r="R3511" t="s">
        <v>67641</v>
      </c>
      <c r="S3511" t="s">
        <v>67642</v>
      </c>
      <c r="T3511" t="s">
        <v>67643</v>
      </c>
      <c r="U3511" t="s">
        <v>67644</v>
      </c>
      <c r="V3511">
        <f>-596.550496178636 -55.2251351001519 -93.0317735005873</f>
        <v>-744.80740477937513</v>
      </c>
      <c r="W3511" t="s">
        <v>67645</v>
      </c>
      <c r="X3511" t="s">
        <v>67646</v>
      </c>
      <c r="Y3511" t="s">
        <v>67647</v>
      </c>
    </row>
    <row r="3512" spans="1:25" x14ac:dyDescent="0.3">
      <c r="A3512">
        <v>175550</v>
      </c>
      <c r="B3512" t="s">
        <v>67648</v>
      </c>
      <c r="C3512" t="s">
        <v>67649</v>
      </c>
      <c r="D3512" t="s">
        <v>67650</v>
      </c>
      <c r="E3512" t="s">
        <v>67651</v>
      </c>
      <c r="F3512" t="s">
        <v>67652</v>
      </c>
      <c r="G3512" t="s">
        <v>67653</v>
      </c>
      <c r="H3512" t="s">
        <v>67654</v>
      </c>
      <c r="I3512" t="s">
        <v>67655</v>
      </c>
      <c r="J3512" t="s">
        <v>67656</v>
      </c>
      <c r="K3512" t="s">
        <v>67657</v>
      </c>
      <c r="L3512" t="s">
        <v>67658</v>
      </c>
      <c r="M3512" t="s">
        <v>67659</v>
      </c>
      <c r="N3512">
        <f>-662.204656470705 -6.47551644778036 -529.147152713017</f>
        <v>-1197.8273256315024</v>
      </c>
      <c r="O3512">
        <f>-664.638353478041 -159.170196887795 -497.276451543818</f>
        <v>-1321.085001909654</v>
      </c>
      <c r="P3512">
        <f>-665.928655488837 -177.741883415084 -215.794679282091</f>
        <v>-1059.465218186012</v>
      </c>
      <c r="Q3512">
        <f>-464.932828440652 -95.2601309171062 -297.928366185886</f>
        <v>-858.12132554364416</v>
      </c>
      <c r="R3512" t="s">
        <v>67660</v>
      </c>
      <c r="S3512" t="s">
        <v>67661</v>
      </c>
      <c r="T3512" t="s">
        <v>67662</v>
      </c>
      <c r="U3512" t="s">
        <v>67663</v>
      </c>
      <c r="V3512">
        <f>-596.398941283821 -55.159930269527 -93.0237548964371</f>
        <v>-744.58262644978515</v>
      </c>
      <c r="W3512" t="s">
        <v>67664</v>
      </c>
      <c r="X3512" t="s">
        <v>67665</v>
      </c>
      <c r="Y3512" t="s">
        <v>67666</v>
      </c>
    </row>
    <row r="3513" spans="1:25" x14ac:dyDescent="0.3">
      <c r="A3513">
        <v>175600</v>
      </c>
      <c r="B3513" t="s">
        <v>67667</v>
      </c>
      <c r="C3513" t="s">
        <v>67668</v>
      </c>
      <c r="D3513" t="s">
        <v>67669</v>
      </c>
      <c r="E3513" t="s">
        <v>67670</v>
      </c>
      <c r="F3513" t="s">
        <v>67671</v>
      </c>
      <c r="G3513" t="s">
        <v>67672</v>
      </c>
      <c r="H3513" t="s">
        <v>67673</v>
      </c>
      <c r="I3513" t="s">
        <v>67674</v>
      </c>
      <c r="J3513" t="s">
        <v>67675</v>
      </c>
      <c r="K3513" t="s">
        <v>67676</v>
      </c>
      <c r="L3513" t="s">
        <v>67677</v>
      </c>
      <c r="M3513" t="s">
        <v>67678</v>
      </c>
      <c r="N3513">
        <f>-661.627924802228 -6.39175147191327 -529.209303273225</f>
        <v>-1197.2289795473662</v>
      </c>
      <c r="O3513">
        <f>-663.633726300957 -159.106741381134 -497.397531976203</f>
        <v>-1320.1379996582941</v>
      </c>
      <c r="P3513">
        <f>-665.18810718864 -178.028476185028 -215.940383555977</f>
        <v>-1059.156966929645</v>
      </c>
      <c r="Q3513">
        <f>-464.362867053444 -94.6053821822288 -297.538953295217</f>
        <v>-856.5072025308898</v>
      </c>
      <c r="R3513" t="s">
        <v>67679</v>
      </c>
      <c r="S3513" t="s">
        <v>67680</v>
      </c>
      <c r="T3513" t="s">
        <v>67681</v>
      </c>
      <c r="U3513" t="s">
        <v>67682</v>
      </c>
      <c r="V3513">
        <f>-596.156613882304 -55.1436644678024 -93.0047011055295</f>
        <v>-744.30497945563593</v>
      </c>
      <c r="W3513" t="s">
        <v>67683</v>
      </c>
      <c r="X3513" t="s">
        <v>67684</v>
      </c>
      <c r="Y3513" t="s">
        <v>67685</v>
      </c>
    </row>
    <row r="3514" spans="1:25" x14ac:dyDescent="0.3">
      <c r="A3514">
        <v>175650</v>
      </c>
      <c r="B3514" t="s">
        <v>67686</v>
      </c>
      <c r="C3514" t="s">
        <v>67687</v>
      </c>
      <c r="D3514" t="s">
        <v>67688</v>
      </c>
      <c r="E3514" t="s">
        <v>67689</v>
      </c>
      <c r="F3514" t="s">
        <v>67690</v>
      </c>
      <c r="G3514" t="s">
        <v>67691</v>
      </c>
      <c r="H3514" t="s">
        <v>67692</v>
      </c>
      <c r="I3514" t="s">
        <v>67693</v>
      </c>
      <c r="J3514" t="s">
        <v>67694</v>
      </c>
      <c r="K3514" t="s">
        <v>67695</v>
      </c>
      <c r="L3514" t="s">
        <v>67696</v>
      </c>
      <c r="M3514" t="s">
        <v>67697</v>
      </c>
      <c r="N3514">
        <f>-661.44590781924 -6.24994641389685 -529.233909092008</f>
        <v>-1196.9297633251449</v>
      </c>
      <c r="O3514">
        <f>-663.322953728415 -158.978208152736 -497.465777354005</f>
        <v>-1319.7669392351559</v>
      </c>
      <c r="P3514">
        <f>-664.929674763614 -177.929147384727 -216.010852160047</f>
        <v>-1058.8696743083881</v>
      </c>
      <c r="Q3514">
        <f>-464.076930914918 -94.3226807879946 -297.35375833995</f>
        <v>-855.75337004286257</v>
      </c>
      <c r="R3514" t="s">
        <v>67698</v>
      </c>
      <c r="S3514" t="s">
        <v>67699</v>
      </c>
      <c r="T3514" t="s">
        <v>67700</v>
      </c>
      <c r="U3514" t="s">
        <v>67701</v>
      </c>
      <c r="V3514">
        <f>-596.060755436547 -55.0738565792735 -92.9963148741532</f>
        <v>-744.13092688997369</v>
      </c>
      <c r="W3514" t="s">
        <v>67702</v>
      </c>
      <c r="X3514" t="s">
        <v>67703</v>
      </c>
      <c r="Y3514" t="s">
        <v>67704</v>
      </c>
    </row>
    <row r="3515" spans="1:25" x14ac:dyDescent="0.3">
      <c r="A3515">
        <v>175700</v>
      </c>
      <c r="B3515" t="s">
        <v>67705</v>
      </c>
      <c r="C3515" t="s">
        <v>67706</v>
      </c>
      <c r="D3515" t="s">
        <v>67707</v>
      </c>
      <c r="E3515" t="s">
        <v>67708</v>
      </c>
      <c r="F3515" t="s">
        <v>67709</v>
      </c>
      <c r="G3515" t="s">
        <v>67710</v>
      </c>
      <c r="H3515" t="s">
        <v>67711</v>
      </c>
      <c r="I3515" t="s">
        <v>67712</v>
      </c>
      <c r="J3515" t="s">
        <v>67713</v>
      </c>
      <c r="K3515" t="s">
        <v>67714</v>
      </c>
      <c r="L3515" t="s">
        <v>67715</v>
      </c>
      <c r="M3515" t="s">
        <v>67716</v>
      </c>
      <c r="N3515">
        <f>-661.32581567418 -5.90933223733214 -529.222839588633</f>
        <v>-1196.457987500145</v>
      </c>
      <c r="O3515">
        <f>-663.124124484823 -158.663006491145 -497.583540606219</f>
        <v>-1319.370671582187</v>
      </c>
      <c r="P3515">
        <f>-664.827506534827 -177.836580174913 -216.144239070755</f>
        <v>-1058.8083257804949</v>
      </c>
      <c r="Q3515">
        <f>-463.886762150368 -94.1291457811321 -297.165239548064</f>
        <v>-855.18114747956406</v>
      </c>
      <c r="R3515" t="s">
        <v>67717</v>
      </c>
      <c r="S3515" t="s">
        <v>67718</v>
      </c>
      <c r="T3515" t="s">
        <v>67719</v>
      </c>
      <c r="U3515" t="s">
        <v>67720</v>
      </c>
      <c r="V3515">
        <f>-595.784032000801 -55.0034445874555 -92.9629848844586</f>
        <v>-743.75046147271507</v>
      </c>
      <c r="W3515" t="s">
        <v>67721</v>
      </c>
      <c r="X3515" t="s">
        <v>67722</v>
      </c>
      <c r="Y3515" t="s">
        <v>67723</v>
      </c>
    </row>
    <row r="3516" spans="1:25" x14ac:dyDescent="0.3">
      <c r="A3516">
        <v>175750</v>
      </c>
      <c r="B3516" t="s">
        <v>67724</v>
      </c>
      <c r="C3516" t="s">
        <v>67725</v>
      </c>
      <c r="D3516" t="s">
        <v>67726</v>
      </c>
      <c r="E3516" t="s">
        <v>67727</v>
      </c>
      <c r="F3516" t="s">
        <v>67728</v>
      </c>
      <c r="G3516" t="s">
        <v>67729</v>
      </c>
      <c r="H3516" t="s">
        <v>67730</v>
      </c>
      <c r="I3516" t="s">
        <v>67731</v>
      </c>
      <c r="J3516" t="s">
        <v>67732</v>
      </c>
      <c r="K3516" t="s">
        <v>67733</v>
      </c>
      <c r="L3516" t="s">
        <v>67734</v>
      </c>
      <c r="M3516" t="s">
        <v>67735</v>
      </c>
      <c r="N3516">
        <f>-661.331741064344 -5.75244479821254 -529.196161581775</f>
        <v>-1196.2803474443315</v>
      </c>
      <c r="O3516">
        <f>-663.175299776458 -158.50457007841 -497.559351247796</f>
        <v>-1319.239221102664</v>
      </c>
      <c r="P3516">
        <f>-664.862299770786 -177.683875221624 -216.120237862064</f>
        <v>-1058.6664128544739</v>
      </c>
      <c r="Q3516">
        <f>-463.904420601365 -94.1261011299584 -297.25327818491</f>
        <v>-855.28379991623342</v>
      </c>
      <c r="R3516" t="s">
        <v>67736</v>
      </c>
      <c r="S3516" t="s">
        <v>67737</v>
      </c>
      <c r="T3516" t="s">
        <v>67738</v>
      </c>
      <c r="U3516" t="s">
        <v>67739</v>
      </c>
      <c r="V3516">
        <f>-595.662009823394 -54.9868513398883 -92.9482269151642</f>
        <v>-743.59708807844652</v>
      </c>
      <c r="W3516" t="s">
        <v>67740</v>
      </c>
      <c r="X3516" t="s">
        <v>67741</v>
      </c>
      <c r="Y3516" t="s">
        <v>67742</v>
      </c>
    </row>
    <row r="3517" spans="1:25" x14ac:dyDescent="0.3">
      <c r="A3517">
        <v>175800</v>
      </c>
      <c r="B3517" t="s">
        <v>67743</v>
      </c>
      <c r="C3517" t="s">
        <v>67744</v>
      </c>
      <c r="D3517" t="s">
        <v>67745</v>
      </c>
      <c r="E3517" t="s">
        <v>67746</v>
      </c>
      <c r="F3517" t="s">
        <v>67747</v>
      </c>
      <c r="G3517" t="s">
        <v>67748</v>
      </c>
      <c r="H3517" t="s">
        <v>67749</v>
      </c>
      <c r="I3517" t="s">
        <v>67750</v>
      </c>
      <c r="J3517" t="s">
        <v>67751</v>
      </c>
      <c r="K3517" t="s">
        <v>67752</v>
      </c>
      <c r="L3517" t="s">
        <v>67753</v>
      </c>
      <c r="M3517" t="s">
        <v>67754</v>
      </c>
      <c r="N3517">
        <f>-661.53228716977 -5.5301440038545 -529.13740007421</f>
        <v>-1196.1998312478345</v>
      </c>
      <c r="O3517">
        <f>-663.59249781585 -158.267916868822 -497.472232418477</f>
        <v>-1319.3326471031492</v>
      </c>
      <c r="P3517">
        <f>-665.237064194503 -177.52423604809 -216.038464200425</f>
        <v>-1058.7997644430179</v>
      </c>
      <c r="Q3517">
        <f>-464.248057038056 -94.2296556464812 -297.364711457136</f>
        <v>-855.84242414167329</v>
      </c>
      <c r="R3517" t="s">
        <v>67755</v>
      </c>
      <c r="S3517" t="s">
        <v>67756</v>
      </c>
      <c r="T3517" t="s">
        <v>67757</v>
      </c>
      <c r="U3517" t="s">
        <v>67758</v>
      </c>
      <c r="V3517">
        <f>-595.489197080716 -54.996417459136 -92.9288625717602</f>
        <v>-743.4144771116122</v>
      </c>
      <c r="W3517" t="s">
        <v>67759</v>
      </c>
      <c r="X3517" t="s">
        <v>67760</v>
      </c>
      <c r="Y3517" t="s">
        <v>67761</v>
      </c>
    </row>
    <row r="3518" spans="1:25" x14ac:dyDescent="0.3">
      <c r="A3518">
        <v>175850</v>
      </c>
      <c r="B3518" t="s">
        <v>67762</v>
      </c>
      <c r="C3518" t="s">
        <v>67763</v>
      </c>
      <c r="D3518" t="s">
        <v>67764</v>
      </c>
      <c r="E3518" t="s">
        <v>67765</v>
      </c>
      <c r="F3518" t="s">
        <v>67766</v>
      </c>
      <c r="G3518" t="s">
        <v>67767</v>
      </c>
      <c r="H3518" t="s">
        <v>67768</v>
      </c>
      <c r="I3518" t="s">
        <v>67769</v>
      </c>
      <c r="J3518" t="s">
        <v>67770</v>
      </c>
      <c r="K3518" t="s">
        <v>67771</v>
      </c>
      <c r="L3518" t="s">
        <v>67772</v>
      </c>
      <c r="M3518" t="s">
        <v>67773</v>
      </c>
      <c r="N3518">
        <f>-661.661362079945 -5.50190359349881 -529.105477621184</f>
        <v>-1196.2687432946277</v>
      </c>
      <c r="O3518">
        <f>-663.845366679352 -158.240278112731 -497.431326726253</f>
        <v>-1319.516971518336</v>
      </c>
      <c r="P3518">
        <f>-665.456116350969 -177.379961681145 -215.989247183155</f>
        <v>-1058.825325215269</v>
      </c>
      <c r="Q3518">
        <f>-464.360246617098 -94.4019227154495 -297.374668667745</f>
        <v>-856.13683800029253</v>
      </c>
      <c r="R3518" t="s">
        <v>67774</v>
      </c>
      <c r="S3518" t="s">
        <v>67775</v>
      </c>
      <c r="T3518" t="s">
        <v>67776</v>
      </c>
      <c r="U3518" t="s">
        <v>67777</v>
      </c>
      <c r="V3518">
        <f>-595.433291860518 -54.9953906991248 -92.9266869447414</f>
        <v>-743.35536950438416</v>
      </c>
      <c r="W3518" t="s">
        <v>67778</v>
      </c>
      <c r="X3518" t="s">
        <v>67779</v>
      </c>
      <c r="Y3518" t="s">
        <v>67780</v>
      </c>
    </row>
    <row r="3519" spans="1:25" x14ac:dyDescent="0.3">
      <c r="A3519">
        <v>175900</v>
      </c>
      <c r="B3519" t="s">
        <v>67781</v>
      </c>
      <c r="C3519" t="s">
        <v>67782</v>
      </c>
      <c r="D3519" t="s">
        <v>67783</v>
      </c>
      <c r="E3519" t="s">
        <v>67784</v>
      </c>
      <c r="F3519" t="s">
        <v>67785</v>
      </c>
      <c r="G3519" t="s">
        <v>67786</v>
      </c>
      <c r="H3519" t="s">
        <v>67787</v>
      </c>
      <c r="I3519" t="s">
        <v>67788</v>
      </c>
      <c r="J3519" t="s">
        <v>67789</v>
      </c>
      <c r="K3519" t="s">
        <v>67790</v>
      </c>
      <c r="L3519" t="s">
        <v>67791</v>
      </c>
      <c r="M3519" t="s">
        <v>67792</v>
      </c>
      <c r="N3519">
        <f>-662.079894555428 -5.35702052930856 -529.017415844481</f>
        <v>-1196.4543309292176</v>
      </c>
      <c r="O3519">
        <f>-664.445226913021 -158.076418344734 -497.266649280574</f>
        <v>-1319.788294538329</v>
      </c>
      <c r="P3519">
        <f>-665.631930880538 -177.188899942289 -215.820502019693</f>
        <v>-1058.6413328425201</v>
      </c>
      <c r="Q3519">
        <f>-464.195527725292 -95.1175669369457 -297.283536146991</f>
        <v>-856.59663080922883</v>
      </c>
      <c r="R3519" t="s">
        <v>67793</v>
      </c>
      <c r="S3519" t="s">
        <v>67794</v>
      </c>
      <c r="T3519" t="s">
        <v>67795</v>
      </c>
      <c r="U3519" t="s">
        <v>67796</v>
      </c>
      <c r="V3519">
        <f>-595.388295872809 -54.8991245226512 -92.914909006777</f>
        <v>-743.20232940223707</v>
      </c>
      <c r="W3519" t="s">
        <v>67797</v>
      </c>
      <c r="X3519" t="s">
        <v>67798</v>
      </c>
      <c r="Y3519" t="s">
        <v>67799</v>
      </c>
    </row>
    <row r="3520" spans="1:25" x14ac:dyDescent="0.3">
      <c r="A3520">
        <v>175950</v>
      </c>
      <c r="B3520" t="s">
        <v>67800</v>
      </c>
      <c r="C3520" t="s">
        <v>67801</v>
      </c>
      <c r="D3520" t="s">
        <v>67802</v>
      </c>
      <c r="E3520" t="s">
        <v>67803</v>
      </c>
      <c r="F3520" t="s">
        <v>67804</v>
      </c>
      <c r="G3520" t="s">
        <v>67805</v>
      </c>
      <c r="H3520" t="s">
        <v>67806</v>
      </c>
      <c r="I3520" t="s">
        <v>67807</v>
      </c>
      <c r="J3520" t="s">
        <v>67808</v>
      </c>
      <c r="K3520" t="s">
        <v>67809</v>
      </c>
      <c r="L3520" t="s">
        <v>67810</v>
      </c>
      <c r="M3520" t="s">
        <v>67811</v>
      </c>
      <c r="N3520">
        <f>-662.597768873029 -4.9613958343391 -528.959250372284</f>
        <v>-1196.5184150796522</v>
      </c>
      <c r="O3520">
        <f>-665.060232571477 -157.708179677144 -497.329901295569</f>
        <v>-1320.09831354419</v>
      </c>
      <c r="P3520">
        <f>-665.744975064101 -176.879835609449 -215.88616494651</f>
        <v>-1058.51097562006</v>
      </c>
      <c r="Q3520">
        <f>-464.138426360415 -95.5848452464891 -297.705790150649</f>
        <v>-857.42906175755309</v>
      </c>
      <c r="R3520" t="s">
        <v>67812</v>
      </c>
      <c r="S3520" t="s">
        <v>67813</v>
      </c>
      <c r="T3520" t="s">
        <v>67814</v>
      </c>
      <c r="U3520" t="s">
        <v>67815</v>
      </c>
      <c r="V3520">
        <f>-595.202148374157 -54.5888640820162 -92.8866518315917</f>
        <v>-742.67766428776497</v>
      </c>
      <c r="W3520" t="s">
        <v>67816</v>
      </c>
      <c r="X3520" t="s">
        <v>67817</v>
      </c>
      <c r="Y3520" t="s">
        <v>67818</v>
      </c>
    </row>
    <row r="3521" spans="1:25" x14ac:dyDescent="0.3">
      <c r="A3521">
        <v>176000</v>
      </c>
      <c r="B3521" t="s">
        <v>67819</v>
      </c>
      <c r="C3521" t="s">
        <v>67820</v>
      </c>
      <c r="D3521" t="s">
        <v>67821</v>
      </c>
      <c r="E3521" t="s">
        <v>67822</v>
      </c>
      <c r="F3521" t="s">
        <v>67823</v>
      </c>
      <c r="G3521" t="s">
        <v>67824</v>
      </c>
      <c r="H3521" t="s">
        <v>67825</v>
      </c>
      <c r="I3521" t="s">
        <v>67826</v>
      </c>
      <c r="J3521" t="s">
        <v>67827</v>
      </c>
      <c r="K3521" t="s">
        <v>67828</v>
      </c>
      <c r="L3521" t="s">
        <v>67829</v>
      </c>
      <c r="M3521" t="s">
        <v>67830</v>
      </c>
      <c r="N3521">
        <f>-662.763011285703 -4.68898929279658 -528.925182625927</f>
        <v>-1196.3771832044267</v>
      </c>
      <c r="O3521">
        <f>-665.205967958346 -157.461363854606 -497.430656265443</f>
        <v>-1320.097988078395</v>
      </c>
      <c r="P3521">
        <f>-665.792880099989 -177.107060591669 -216.019452295724</f>
        <v>-1058.919392987382</v>
      </c>
      <c r="Q3521">
        <f>-464.334608690784 -95.665660317354 -298.058496229131</f>
        <v>-858.05876523726897</v>
      </c>
      <c r="R3521" t="s">
        <v>67831</v>
      </c>
      <c r="S3521" t="s">
        <v>67832</v>
      </c>
      <c r="T3521" t="s">
        <v>67833</v>
      </c>
      <c r="U3521" t="s">
        <v>67834</v>
      </c>
      <c r="V3521">
        <f>-595.09895698753 -54.4379092563736 -92.8554556694442</f>
        <v>-742.3923219133477</v>
      </c>
      <c r="W3521" t="s">
        <v>67835</v>
      </c>
      <c r="X3521" t="s">
        <v>67836</v>
      </c>
      <c r="Y3521" t="s">
        <v>67837</v>
      </c>
    </row>
    <row r="3522" spans="1:25" x14ac:dyDescent="0.3">
      <c r="A3522">
        <v>176050</v>
      </c>
      <c r="B3522" t="s">
        <v>67838</v>
      </c>
      <c r="C3522" t="s">
        <v>67839</v>
      </c>
      <c r="D3522" t="s">
        <v>67840</v>
      </c>
      <c r="E3522" t="s">
        <v>67841</v>
      </c>
      <c r="F3522" t="s">
        <v>67842</v>
      </c>
      <c r="G3522" t="s">
        <v>67843</v>
      </c>
      <c r="H3522" t="s">
        <v>67844</v>
      </c>
      <c r="I3522" t="s">
        <v>67845</v>
      </c>
      <c r="J3522" t="s">
        <v>67846</v>
      </c>
      <c r="K3522" t="s">
        <v>67847</v>
      </c>
      <c r="L3522" t="s">
        <v>67848</v>
      </c>
      <c r="M3522" t="s">
        <v>67849</v>
      </c>
      <c r="N3522">
        <f>-662.687369837225 -4.45969598233455 -528.907398694065</f>
        <v>-1196.0544645136247</v>
      </c>
      <c r="O3522">
        <f>-665.084660920739 -157.264292657653 -497.582413570046</f>
        <v>-1319.9313671484379</v>
      </c>
      <c r="P3522">
        <f>-665.680407380414 -177.27145389111 -216.196776211013</f>
        <v>-1059.148637482537</v>
      </c>
      <c r="Q3522">
        <f>-464.298723234537 -95.9928767855117 -298.584471933237</f>
        <v>-858.87607195328565</v>
      </c>
      <c r="R3522" t="s">
        <v>67850</v>
      </c>
      <c r="S3522" t="s">
        <v>67851</v>
      </c>
      <c r="T3522" t="s">
        <v>67852</v>
      </c>
      <c r="U3522" t="s">
        <v>67853</v>
      </c>
      <c r="V3522">
        <f>-594.924259334152 -54.2396047853504 -92.8297467400735</f>
        <v>-741.99361085957582</v>
      </c>
      <c r="W3522" t="s">
        <v>67854</v>
      </c>
      <c r="X3522" t="s">
        <v>67855</v>
      </c>
      <c r="Y3522" t="s">
        <v>67856</v>
      </c>
    </row>
    <row r="3523" spans="1:25" x14ac:dyDescent="0.3">
      <c r="A3523">
        <v>176100</v>
      </c>
      <c r="B3523" t="s">
        <v>67857</v>
      </c>
      <c r="C3523" t="s">
        <v>67858</v>
      </c>
      <c r="D3523" t="s">
        <v>67859</v>
      </c>
      <c r="E3523" t="s">
        <v>67860</v>
      </c>
      <c r="F3523" t="s">
        <v>67861</v>
      </c>
      <c r="G3523" t="s">
        <v>67862</v>
      </c>
      <c r="H3523" t="s">
        <v>67863</v>
      </c>
      <c r="I3523" t="s">
        <v>67864</v>
      </c>
      <c r="J3523" t="s">
        <v>67865</v>
      </c>
      <c r="K3523" t="s">
        <v>67866</v>
      </c>
      <c r="L3523" t="s">
        <v>67867</v>
      </c>
      <c r="M3523" t="s">
        <v>67868</v>
      </c>
      <c r="N3523">
        <f>-662.723215333431 -4.15286974959827 -528.836295794991</f>
        <v>-1195.7123808780202</v>
      </c>
      <c r="O3523">
        <f>-665.131284355867 -156.987914183206 -497.658274330782</f>
        <v>-1319.777472869855</v>
      </c>
      <c r="P3523">
        <f>-664.973601323891 -177.315693556713 -216.294924285014</f>
        <v>-1058.5842191656179</v>
      </c>
      <c r="Q3523">
        <f>-464.113887805507 -96.2908372228503 -300.192904714026</f>
        <v>-860.59762974238322</v>
      </c>
      <c r="R3523" t="s">
        <v>67869</v>
      </c>
      <c r="S3523" t="s">
        <v>67870</v>
      </c>
      <c r="T3523" t="s">
        <v>67871</v>
      </c>
      <c r="U3523" t="s">
        <v>67872</v>
      </c>
      <c r="V3523">
        <f>-594.49824499637 -54.101095446423 -92.7866791131926</f>
        <v>-741.38601955598551</v>
      </c>
      <c r="W3523" t="s">
        <v>67873</v>
      </c>
      <c r="X3523" t="s">
        <v>67874</v>
      </c>
      <c r="Y3523" t="s">
        <v>67875</v>
      </c>
    </row>
    <row r="3524" spans="1:25" x14ac:dyDescent="0.3">
      <c r="A3524">
        <v>176150</v>
      </c>
      <c r="B3524" t="s">
        <v>67876</v>
      </c>
      <c r="C3524" t="s">
        <v>67877</v>
      </c>
      <c r="D3524" t="s">
        <v>67878</v>
      </c>
      <c r="E3524" t="s">
        <v>67879</v>
      </c>
      <c r="F3524" t="s">
        <v>67880</v>
      </c>
      <c r="G3524" t="s">
        <v>67881</v>
      </c>
      <c r="H3524" t="s">
        <v>67882</v>
      </c>
      <c r="I3524" t="s">
        <v>67883</v>
      </c>
      <c r="J3524" t="s">
        <v>67884</v>
      </c>
      <c r="K3524" t="s">
        <v>67885</v>
      </c>
      <c r="L3524" t="s">
        <v>67886</v>
      </c>
      <c r="M3524" t="s">
        <v>67887</v>
      </c>
      <c r="N3524">
        <f>-662.832247696476 -4.15756650453181 -528.768470529812</f>
        <v>-1195.7582847308199</v>
      </c>
      <c r="O3524">
        <f>-665.21289593388 -156.999213209524 -497.61727062662</f>
        <v>-1319.8293797700239</v>
      </c>
      <c r="P3524">
        <f>-664.535105922457 -177.565248264601 -216.271898394072</f>
        <v>-1058.3722525811299</v>
      </c>
      <c r="Q3524">
        <f>-464.144769370632 -96.346585080601 -301.099981254573</f>
        <v>-861.59133570580593</v>
      </c>
      <c r="R3524" t="s">
        <v>67888</v>
      </c>
      <c r="S3524" t="s">
        <v>67889</v>
      </c>
      <c r="T3524" t="s">
        <v>67890</v>
      </c>
      <c r="U3524" t="s">
        <v>67891</v>
      </c>
      <c r="V3524">
        <f>-594.219183016446 -54.1665566220379 -92.7737559286228</f>
        <v>-741.15949556710666</v>
      </c>
      <c r="W3524" t="s">
        <v>67892</v>
      </c>
      <c r="X3524" t="s">
        <v>67893</v>
      </c>
      <c r="Y3524" t="s">
        <v>67894</v>
      </c>
    </row>
    <row r="3525" spans="1:25" x14ac:dyDescent="0.3">
      <c r="A3525">
        <v>176200</v>
      </c>
      <c r="B3525" t="s">
        <v>67895</v>
      </c>
      <c r="C3525" t="s">
        <v>67896</v>
      </c>
      <c r="D3525" t="s">
        <v>67897</v>
      </c>
      <c r="E3525" t="s">
        <v>67898</v>
      </c>
      <c r="F3525" t="s">
        <v>67899</v>
      </c>
      <c r="G3525" t="s">
        <v>67900</v>
      </c>
      <c r="H3525" t="s">
        <v>67901</v>
      </c>
      <c r="I3525" t="s">
        <v>67902</v>
      </c>
      <c r="J3525" t="s">
        <v>67903</v>
      </c>
      <c r="K3525" t="s">
        <v>67904</v>
      </c>
      <c r="L3525" t="s">
        <v>67905</v>
      </c>
      <c r="M3525" t="s">
        <v>67906</v>
      </c>
      <c r="N3525">
        <f>-662.943181779642 -4.01375615271695 -528.650077946389</f>
        <v>-1195.6070158787479</v>
      </c>
      <c r="O3525">
        <f>-665.145831889605 -156.890879095708 -497.638875322731</f>
        <v>-1319.6755863080439</v>
      </c>
      <c r="P3525">
        <f>-663.851383011149 -177.822739399081 -216.322736715432</f>
        <v>-1057.996859125662</v>
      </c>
      <c r="Q3525">
        <f>-464.00943689086 -96.4939398640968 -302.330744034998</f>
        <v>-862.8341207899548</v>
      </c>
      <c r="R3525" t="s">
        <v>67907</v>
      </c>
      <c r="S3525" t="s">
        <v>67908</v>
      </c>
      <c r="T3525" t="s">
        <v>67909</v>
      </c>
      <c r="U3525" t="s">
        <v>67910</v>
      </c>
      <c r="V3525">
        <f>-593.551354242087 -54.2196379678103 -92.7352549237007</f>
        <v>-740.50624713359798</v>
      </c>
      <c r="W3525" t="s">
        <v>67911</v>
      </c>
      <c r="X3525" t="s">
        <v>67912</v>
      </c>
      <c r="Y3525" t="s">
        <v>67913</v>
      </c>
    </row>
    <row r="3526" spans="1:25" x14ac:dyDescent="0.3">
      <c r="A3526">
        <v>176250</v>
      </c>
      <c r="B3526" t="s">
        <v>67914</v>
      </c>
      <c r="C3526" t="s">
        <v>67915</v>
      </c>
      <c r="D3526" t="s">
        <v>67916</v>
      </c>
      <c r="E3526" t="s">
        <v>67917</v>
      </c>
      <c r="F3526" t="s">
        <v>67918</v>
      </c>
      <c r="G3526" t="s">
        <v>67919</v>
      </c>
      <c r="H3526" t="s">
        <v>67920</v>
      </c>
      <c r="I3526" t="s">
        <v>67921</v>
      </c>
      <c r="J3526" t="s">
        <v>67922</v>
      </c>
      <c r="K3526" t="s">
        <v>67923</v>
      </c>
      <c r="L3526" t="s">
        <v>67924</v>
      </c>
      <c r="M3526" t="s">
        <v>67925</v>
      </c>
      <c r="N3526">
        <f>-662.786888023339 -3.70725500442541 -528.510661701244</f>
        <v>-1195.0048047290084</v>
      </c>
      <c r="O3526">
        <f>-664.783902283849 -156.645892291261 -497.773086084413</f>
        <v>-1319.2028806595231</v>
      </c>
      <c r="P3526">
        <f>-663.162101316614 -178.102752891287 -216.498210779618</f>
        <v>-1057.7630649875189</v>
      </c>
      <c r="Q3526">
        <f>-463.793088951484 -96.1406996671658 -303.001207246327</f>
        <v>-862.93499586497683</v>
      </c>
      <c r="R3526" t="s">
        <v>67926</v>
      </c>
      <c r="S3526" t="s">
        <v>67927</v>
      </c>
      <c r="T3526" t="s">
        <v>67928</v>
      </c>
      <c r="U3526" t="s">
        <v>67929</v>
      </c>
      <c r="V3526">
        <f>-592.647015676258 -54.3609665263348 -92.6857584855628</f>
        <v>-739.69374068815557</v>
      </c>
      <c r="W3526" t="s">
        <v>67930</v>
      </c>
      <c r="X3526" t="s">
        <v>67931</v>
      </c>
      <c r="Y3526" t="s">
        <v>67932</v>
      </c>
    </row>
    <row r="3527" spans="1:25" x14ac:dyDescent="0.3">
      <c r="A3527">
        <v>176300</v>
      </c>
      <c r="B3527" t="s">
        <v>67933</v>
      </c>
      <c r="C3527" t="s">
        <v>67934</v>
      </c>
      <c r="D3527" t="s">
        <v>67935</v>
      </c>
      <c r="E3527" t="s">
        <v>67936</v>
      </c>
      <c r="F3527" t="s">
        <v>67937</v>
      </c>
      <c r="G3527" t="s">
        <v>67938</v>
      </c>
      <c r="H3527" t="s">
        <v>67939</v>
      </c>
      <c r="I3527" t="s">
        <v>67940</v>
      </c>
      <c r="J3527" t="s">
        <v>67941</v>
      </c>
      <c r="K3527" t="s">
        <v>67942</v>
      </c>
      <c r="L3527" t="s">
        <v>67943</v>
      </c>
      <c r="M3527" t="s">
        <v>67944</v>
      </c>
      <c r="N3527">
        <f>-662.632875871107 -3.51686610266597 -528.46326593569</f>
        <v>-1194.6130079094628</v>
      </c>
      <c r="O3527">
        <f>-664.562100696504 -156.489562477593 -497.895837591559</f>
        <v>-1318.9475007656561</v>
      </c>
      <c r="P3527">
        <f>-662.746382970498 -178.288437403565 -216.648345829509</f>
        <v>-1057.683166203572</v>
      </c>
      <c r="Q3527">
        <f>-463.611119984395 -95.9050093555209 -303.289326651198</f>
        <v>-862.80545599111383</v>
      </c>
      <c r="R3527" t="s">
        <v>67945</v>
      </c>
      <c r="S3527" t="s">
        <v>67946</v>
      </c>
      <c r="T3527" t="s">
        <v>67947</v>
      </c>
      <c r="U3527" t="s">
        <v>67948</v>
      </c>
      <c r="V3527">
        <f>-592.198834241745 -54.4303328720998 -92.6501812099128</f>
        <v>-739.27934832375763</v>
      </c>
      <c r="W3527" t="s">
        <v>67949</v>
      </c>
      <c r="X3527" t="s">
        <v>67950</v>
      </c>
      <c r="Y3527" t="s">
        <v>67951</v>
      </c>
    </row>
    <row r="3528" spans="1:25" x14ac:dyDescent="0.3">
      <c r="A3528">
        <v>176350</v>
      </c>
      <c r="B3528" t="s">
        <v>67952</v>
      </c>
      <c r="C3528" t="s">
        <v>67953</v>
      </c>
      <c r="D3528" t="s">
        <v>67954</v>
      </c>
      <c r="E3528" t="s">
        <v>67955</v>
      </c>
      <c r="F3528" t="s">
        <v>67956</v>
      </c>
      <c r="G3528" t="s">
        <v>67957</v>
      </c>
      <c r="H3528" t="s">
        <v>67958</v>
      </c>
      <c r="I3528" t="s">
        <v>67959</v>
      </c>
      <c r="J3528" t="s">
        <v>67960</v>
      </c>
      <c r="K3528" t="s">
        <v>67961</v>
      </c>
      <c r="L3528" t="s">
        <v>67962</v>
      </c>
      <c r="M3528" t="s">
        <v>67963</v>
      </c>
      <c r="N3528">
        <f>-662.385275697557 -3.38987833365513 -528.423335120485</f>
        <v>-1194.1984891516972</v>
      </c>
      <c r="O3528">
        <f>-664.254372493599 -156.388029943912 -498.008402292687</f>
        <v>-1318.6508047301979</v>
      </c>
      <c r="P3528">
        <f>-662.152637428453 -178.576904455837 -216.79351757997</f>
        <v>-1057.5230594642601</v>
      </c>
      <c r="Q3528">
        <f>-463.265966783033 -95.6972965633668 -303.532004305943</f>
        <v>-862.49526765234282</v>
      </c>
      <c r="R3528" t="s">
        <v>67964</v>
      </c>
      <c r="S3528" t="s">
        <v>67965</v>
      </c>
      <c r="T3528" t="s">
        <v>67966</v>
      </c>
      <c r="U3528" t="s">
        <v>67967</v>
      </c>
      <c r="V3528">
        <f>-591.76027016216 -54.5580780169171 -92.6172412465478</f>
        <v>-738.93558942562493</v>
      </c>
      <c r="W3528" t="s">
        <v>67968</v>
      </c>
      <c r="X3528" t="s">
        <v>67969</v>
      </c>
      <c r="Y3528" t="s">
        <v>67970</v>
      </c>
    </row>
    <row r="3529" spans="1:25" x14ac:dyDescent="0.3">
      <c r="A3529">
        <v>176400</v>
      </c>
      <c r="B3529" t="s">
        <v>67971</v>
      </c>
      <c r="C3529" t="s">
        <v>67972</v>
      </c>
      <c r="D3529" t="s">
        <v>67973</v>
      </c>
      <c r="E3529" t="s">
        <v>67974</v>
      </c>
      <c r="F3529" t="s">
        <v>67975</v>
      </c>
      <c r="G3529" t="s">
        <v>67976</v>
      </c>
      <c r="H3529" t="s">
        <v>67977</v>
      </c>
      <c r="I3529" t="s">
        <v>67978</v>
      </c>
      <c r="J3529" t="s">
        <v>67979</v>
      </c>
      <c r="K3529" t="s">
        <v>67980</v>
      </c>
      <c r="L3529" t="s">
        <v>67981</v>
      </c>
      <c r="M3529" t="s">
        <v>67982</v>
      </c>
      <c r="N3529">
        <f>-661.705865643552 -3.19560042382614 -528.383763237821</f>
        <v>-1193.2852293051992</v>
      </c>
      <c r="O3529">
        <f>-663.353198788682 -156.253975918965 -498.222281668124</f>
        <v>-1317.8294563757711</v>
      </c>
      <c r="P3529">
        <f>-661.021570620258 -178.890189932228 -217.044829228744</f>
        <v>-1056.9565897812299</v>
      </c>
      <c r="Q3529">
        <f>-462.387526027381 -95.4357952287605 -303.811368264863</f>
        <v>-861.63468952100447</v>
      </c>
      <c r="R3529" t="s">
        <v>67983</v>
      </c>
      <c r="S3529" t="s">
        <v>67984</v>
      </c>
      <c r="T3529" t="s">
        <v>67985</v>
      </c>
      <c r="U3529" t="s">
        <v>67986</v>
      </c>
      <c r="V3529">
        <f>-590.955781770334 -54.7841813964239 -92.5643244258822</f>
        <v>-738.30428759264021</v>
      </c>
      <c r="W3529" t="s">
        <v>67987</v>
      </c>
      <c r="X3529" t="s">
        <v>67988</v>
      </c>
      <c r="Y3529" t="s">
        <v>67989</v>
      </c>
    </row>
    <row r="3530" spans="1:25" x14ac:dyDescent="0.3">
      <c r="A3530">
        <v>176450</v>
      </c>
      <c r="B3530" t="s">
        <v>67990</v>
      </c>
      <c r="C3530" t="s">
        <v>67991</v>
      </c>
      <c r="D3530" t="s">
        <v>67992</v>
      </c>
      <c r="E3530" t="s">
        <v>67993</v>
      </c>
      <c r="F3530" t="s">
        <v>67994</v>
      </c>
      <c r="G3530" t="s">
        <v>67995</v>
      </c>
      <c r="H3530" t="s">
        <v>67996</v>
      </c>
      <c r="I3530" t="s">
        <v>67997</v>
      </c>
      <c r="J3530" t="s">
        <v>67998</v>
      </c>
      <c r="K3530" t="s">
        <v>67999</v>
      </c>
      <c r="L3530" t="s">
        <v>68000</v>
      </c>
      <c r="M3530" t="s">
        <v>68001</v>
      </c>
      <c r="N3530">
        <f>-661.013308476201 -2.99483097725147 -528.386595176955</f>
        <v>-1192.3947346304076</v>
      </c>
      <c r="O3530">
        <f>-662.627543100308 -156.087828025113 -498.423847165244</f>
        <v>-1317.139218290665</v>
      </c>
      <c r="P3530">
        <f>-660.246248000989 -178.88369471401 -217.25974974478</f>
        <v>-1056.3896924597791</v>
      </c>
      <c r="Q3530">
        <f>-461.636984307825 -95.1309985377018 -303.794940536373</f>
        <v>-860.56292338189985</v>
      </c>
      <c r="R3530" t="s">
        <v>68002</v>
      </c>
      <c r="S3530" t="s">
        <v>68003</v>
      </c>
      <c r="T3530" t="s">
        <v>68004</v>
      </c>
      <c r="U3530" t="s">
        <v>68005</v>
      </c>
      <c r="V3530">
        <f>-590.45183471468 -55.1308472659339 -92.5410926991344</f>
        <v>-738.12377467974829</v>
      </c>
      <c r="W3530" t="s">
        <v>68006</v>
      </c>
      <c r="X3530" t="s">
        <v>68007</v>
      </c>
      <c r="Y3530" t="s">
        <v>68008</v>
      </c>
    </row>
    <row r="3531" spans="1:25" x14ac:dyDescent="0.3">
      <c r="A3531">
        <v>176500</v>
      </c>
      <c r="B3531" t="s">
        <v>68009</v>
      </c>
      <c r="C3531" t="s">
        <v>68010</v>
      </c>
      <c r="D3531" t="s">
        <v>68011</v>
      </c>
      <c r="E3531" t="s">
        <v>68012</v>
      </c>
      <c r="F3531" t="s">
        <v>68013</v>
      </c>
      <c r="G3531" t="s">
        <v>68014</v>
      </c>
      <c r="H3531" t="s">
        <v>68015</v>
      </c>
      <c r="I3531" t="s">
        <v>68016</v>
      </c>
      <c r="J3531" t="s">
        <v>68017</v>
      </c>
      <c r="K3531" t="s">
        <v>68018</v>
      </c>
      <c r="L3531" t="s">
        <v>68019</v>
      </c>
      <c r="M3531" t="s">
        <v>68020</v>
      </c>
      <c r="N3531">
        <f>-660.688403669737 -2.9930351104299 -528.412653736043</f>
        <v>-1192.0940925162099</v>
      </c>
      <c r="O3531">
        <f>-662.325284931197 -156.098959527604 -498.51954170014</f>
        <v>-1316.9437861589411</v>
      </c>
      <c r="P3531">
        <f>-660.130403945025 -179.060284068761 -217.367250469719</f>
        <v>-1056.557938483505</v>
      </c>
      <c r="Q3531">
        <f>-461.619040541908 -94.8842157864513 -303.716065235945</f>
        <v>-860.21932156430444</v>
      </c>
      <c r="R3531" t="s">
        <v>68021</v>
      </c>
      <c r="S3531" t="s">
        <v>68022</v>
      </c>
      <c r="T3531" t="s">
        <v>68023</v>
      </c>
      <c r="U3531" t="s">
        <v>68024</v>
      </c>
      <c r="V3531">
        <f>-590.350817135999 -55.327791029936 -92.5319339872744</f>
        <v>-738.21054215320942</v>
      </c>
      <c r="W3531" t="s">
        <v>68025</v>
      </c>
      <c r="X3531" t="s">
        <v>68026</v>
      </c>
      <c r="Y3531" t="s">
        <v>68027</v>
      </c>
    </row>
    <row r="3532" spans="1:25" x14ac:dyDescent="0.3">
      <c r="A3532">
        <v>176550</v>
      </c>
      <c r="B3532" t="s">
        <v>68028</v>
      </c>
      <c r="C3532" t="s">
        <v>68029</v>
      </c>
      <c r="D3532" t="s">
        <v>68030</v>
      </c>
      <c r="E3532" t="s">
        <v>68031</v>
      </c>
      <c r="F3532" t="s">
        <v>68032</v>
      </c>
      <c r="G3532" t="s">
        <v>68033</v>
      </c>
      <c r="H3532" t="s">
        <v>68034</v>
      </c>
      <c r="I3532" t="s">
        <v>68035</v>
      </c>
      <c r="J3532" t="s">
        <v>68036</v>
      </c>
      <c r="K3532" t="s">
        <v>68037</v>
      </c>
      <c r="L3532" t="s">
        <v>68038</v>
      </c>
      <c r="M3532" t="s">
        <v>68039</v>
      </c>
      <c r="N3532">
        <f>-660.367603833878 -3.03904342518126 -528.453041040136</f>
        <v>-1191.8596882991951</v>
      </c>
      <c r="O3532">
        <f>-662.045853385651 -156.154932283768 -498.615298840905</f>
        <v>-1316.8160845103239</v>
      </c>
      <c r="P3532">
        <f>-660.090780188691 -179.424529462879 -217.486567031576</f>
        <v>-1057.0018766831461</v>
      </c>
      <c r="Q3532">
        <f>-461.783905751895 -94.4965756841143 -303.569118217818</f>
        <v>-859.84959965382723</v>
      </c>
      <c r="R3532" t="s">
        <v>68040</v>
      </c>
      <c r="S3532" t="s">
        <v>68041</v>
      </c>
      <c r="T3532" t="s">
        <v>68042</v>
      </c>
      <c r="U3532" t="s">
        <v>68043</v>
      </c>
      <c r="V3532">
        <f>-590.317632386949 -55.535219457742 -92.5246086868152</f>
        <v>-738.37746053150613</v>
      </c>
      <c r="W3532" t="s">
        <v>68044</v>
      </c>
      <c r="X3532" t="s">
        <v>68045</v>
      </c>
      <c r="Y3532" t="s">
        <v>68046</v>
      </c>
    </row>
    <row r="3533" spans="1:25" x14ac:dyDescent="0.3">
      <c r="A3533">
        <v>176600</v>
      </c>
      <c r="B3533" t="s">
        <v>68047</v>
      </c>
      <c r="C3533" t="s">
        <v>68048</v>
      </c>
      <c r="D3533" t="s">
        <v>68049</v>
      </c>
      <c r="E3533" t="s">
        <v>68050</v>
      </c>
      <c r="F3533" t="s">
        <v>68051</v>
      </c>
      <c r="G3533" t="s">
        <v>68052</v>
      </c>
      <c r="H3533" t="s">
        <v>68053</v>
      </c>
      <c r="I3533" t="s">
        <v>68054</v>
      </c>
      <c r="J3533" t="s">
        <v>68055</v>
      </c>
      <c r="K3533" t="s">
        <v>68056</v>
      </c>
      <c r="L3533" t="s">
        <v>68057</v>
      </c>
      <c r="M3533" t="s">
        <v>68058</v>
      </c>
      <c r="N3533">
        <f>-659.713024263962 -3.20817239910571 -528.561221469252</f>
        <v>-1191.4824181323197</v>
      </c>
      <c r="O3533">
        <f>-661.507534130931 -156.332036403562 -498.7711491482</f>
        <v>-1316.6107196826931</v>
      </c>
      <c r="P3533">
        <f>-660.400688325501 -179.796838388291 -217.654197270468</f>
        <v>-1057.8517239842599</v>
      </c>
      <c r="Q3533">
        <f>-462.305501806016 -93.6865467342961 -303.046631961691</f>
        <v>-859.0386805020031</v>
      </c>
      <c r="R3533" t="s">
        <v>68059</v>
      </c>
      <c r="S3533" t="s">
        <v>68060</v>
      </c>
      <c r="T3533" t="s">
        <v>68061</v>
      </c>
      <c r="U3533" t="s">
        <v>68062</v>
      </c>
      <c r="V3533">
        <f>-590.41170287977 -55.909589974156 -92.5349081163813</f>
        <v>-738.85620097030733</v>
      </c>
      <c r="W3533" t="s">
        <v>68063</v>
      </c>
      <c r="X3533" t="s">
        <v>68064</v>
      </c>
      <c r="Y3533" t="s">
        <v>68065</v>
      </c>
    </row>
    <row r="3534" spans="1:25" x14ac:dyDescent="0.3">
      <c r="A3534">
        <v>176650</v>
      </c>
      <c r="B3534" t="s">
        <v>68066</v>
      </c>
      <c r="C3534" t="s">
        <v>68067</v>
      </c>
      <c r="D3534" t="s">
        <v>68068</v>
      </c>
      <c r="E3534" t="s">
        <v>68069</v>
      </c>
      <c r="F3534" t="s">
        <v>68070</v>
      </c>
      <c r="G3534" t="s">
        <v>68071</v>
      </c>
      <c r="H3534" t="s">
        <v>68072</v>
      </c>
      <c r="I3534" t="s">
        <v>68073</v>
      </c>
      <c r="J3534" t="s">
        <v>68074</v>
      </c>
      <c r="K3534" t="s">
        <v>68075</v>
      </c>
      <c r="L3534" t="s">
        <v>68076</v>
      </c>
      <c r="M3534" t="s">
        <v>68077</v>
      </c>
      <c r="N3534">
        <f>-658.978563788509 -3.37342980386461 -528.696968242771</f>
        <v>-1191.0489618351446</v>
      </c>
      <c r="O3534">
        <f>-660.938007954457 -156.464403789935 -498.76704762708</f>
        <v>-1316.1694593714719</v>
      </c>
      <c r="P3534">
        <f>-660.71923392815 -179.250919494154 -217.592126292374</f>
        <v>-1057.562279714678</v>
      </c>
      <c r="Q3534">
        <f>-462.409225618451 -92.851172003989 -302.189561285412</f>
        <v>-857.44995890785208</v>
      </c>
      <c r="R3534" t="s">
        <v>68078</v>
      </c>
      <c r="S3534" t="s">
        <v>68079</v>
      </c>
      <c r="T3534" t="s">
        <v>68080</v>
      </c>
      <c r="U3534" t="s">
        <v>68081</v>
      </c>
      <c r="V3534">
        <f>-590.743905972936 -55.9862467438618 -92.5447042671926</f>
        <v>-739.27485698399039</v>
      </c>
      <c r="W3534" t="s">
        <v>68082</v>
      </c>
      <c r="X3534" t="s">
        <v>68083</v>
      </c>
      <c r="Y3534" t="s">
        <v>68084</v>
      </c>
    </row>
    <row r="3535" spans="1:25" x14ac:dyDescent="0.3">
      <c r="A3535">
        <v>176700</v>
      </c>
      <c r="B3535" t="s">
        <v>68085</v>
      </c>
      <c r="C3535" t="s">
        <v>68086</v>
      </c>
      <c r="D3535" t="s">
        <v>68087</v>
      </c>
      <c r="E3535" t="s">
        <v>68088</v>
      </c>
      <c r="F3535" t="s">
        <v>68089</v>
      </c>
      <c r="G3535" t="s">
        <v>68090</v>
      </c>
      <c r="H3535" t="s">
        <v>68091</v>
      </c>
      <c r="I3535" t="s">
        <v>68092</v>
      </c>
      <c r="J3535" t="s">
        <v>68093</v>
      </c>
      <c r="K3535" t="s">
        <v>68094</v>
      </c>
      <c r="L3535" t="s">
        <v>68095</v>
      </c>
      <c r="M3535" t="s">
        <v>68096</v>
      </c>
      <c r="N3535">
        <f>-658.542238116165 -3.49339128336533 -528.777951829893</f>
        <v>-1190.8135812294233</v>
      </c>
      <c r="O3535">
        <f>-660.562989843314 -156.576579676794 -498.796351307912</f>
        <v>-1315.93592082802</v>
      </c>
      <c r="P3535">
        <f>-660.85499904774 -179.431747100887 -217.62719750159</f>
        <v>-1057.9139436502169</v>
      </c>
      <c r="Q3535">
        <f>-462.41768126984 -92.8767624721761 -301.766138656651</f>
        <v>-857.06058239866707</v>
      </c>
      <c r="R3535" t="s">
        <v>68097</v>
      </c>
      <c r="S3535" t="s">
        <v>68098</v>
      </c>
      <c r="T3535" t="s">
        <v>68099</v>
      </c>
      <c r="U3535" t="s">
        <v>68100</v>
      </c>
      <c r="V3535">
        <f>-590.924194105737 -55.9755750775239 -92.5480730212844</f>
        <v>-739.44784220454528</v>
      </c>
      <c r="W3535" t="s">
        <v>68101</v>
      </c>
      <c r="X3535" t="s">
        <v>68102</v>
      </c>
      <c r="Y3535" t="s">
        <v>68103</v>
      </c>
    </row>
    <row r="3536" spans="1:25" x14ac:dyDescent="0.3">
      <c r="A3536">
        <v>176750</v>
      </c>
      <c r="B3536" t="s">
        <v>68104</v>
      </c>
      <c r="C3536" t="s">
        <v>68105</v>
      </c>
      <c r="D3536" t="s">
        <v>68106</v>
      </c>
      <c r="E3536" t="s">
        <v>68107</v>
      </c>
      <c r="F3536" t="s">
        <v>68108</v>
      </c>
      <c r="G3536" t="s">
        <v>68109</v>
      </c>
      <c r="H3536" t="s">
        <v>68110</v>
      </c>
      <c r="I3536" t="s">
        <v>68111</v>
      </c>
      <c r="J3536" t="s">
        <v>68112</v>
      </c>
      <c r="K3536" t="s">
        <v>68113</v>
      </c>
      <c r="L3536" t="s">
        <v>68114</v>
      </c>
      <c r="M3536" t="s">
        <v>68115</v>
      </c>
      <c r="N3536">
        <f>-658.149550925051 -3.57492024040175 -528.86005933921</f>
        <v>-1190.5845305046628</v>
      </c>
      <c r="O3536">
        <f>-660.240708515881 -156.646285490291 -498.820817044762</f>
        <v>-1315.707811050934</v>
      </c>
      <c r="P3536">
        <f>-660.999744752677 -179.584096080739 -217.659229060539</f>
        <v>-1058.243069893955</v>
      </c>
      <c r="Q3536">
        <f>-462.46028758438 -92.9301748348962 -301.454960727747</f>
        <v>-856.84542314702321</v>
      </c>
      <c r="R3536" t="s">
        <v>68116</v>
      </c>
      <c r="S3536" t="s">
        <v>68117</v>
      </c>
      <c r="T3536" t="s">
        <v>68118</v>
      </c>
      <c r="U3536" t="s">
        <v>68119</v>
      </c>
      <c r="V3536">
        <f>-591.12761226661 -55.9128795479189 -92.5516592097986</f>
        <v>-739.59215102432745</v>
      </c>
      <c r="W3536" t="s">
        <v>68120</v>
      </c>
      <c r="X3536" t="s">
        <v>68121</v>
      </c>
      <c r="Y3536" t="s">
        <v>68122</v>
      </c>
    </row>
    <row r="3537" spans="1:25" x14ac:dyDescent="0.3">
      <c r="A3537">
        <v>176800</v>
      </c>
      <c r="B3537" t="s">
        <v>68123</v>
      </c>
      <c r="C3537" t="s">
        <v>68124</v>
      </c>
      <c r="D3537" t="s">
        <v>68125</v>
      </c>
      <c r="E3537" t="s">
        <v>68126</v>
      </c>
      <c r="F3537" t="s">
        <v>68127</v>
      </c>
      <c r="G3537" t="s">
        <v>68128</v>
      </c>
      <c r="H3537" t="s">
        <v>68129</v>
      </c>
      <c r="I3537" t="s">
        <v>68130</v>
      </c>
      <c r="J3537" t="s">
        <v>68131</v>
      </c>
      <c r="K3537" t="s">
        <v>68132</v>
      </c>
      <c r="L3537" t="s">
        <v>68133</v>
      </c>
      <c r="M3537" t="s">
        <v>68134</v>
      </c>
      <c r="N3537">
        <f>-657.550184792025 -3.50479602698806 -529.031042490571</f>
        <v>-1190.0860233095841</v>
      </c>
      <c r="O3537">
        <f>-659.910923543451 -156.549603978344 -498.859992257615</f>
        <v>-1315.32051977941</v>
      </c>
      <c r="P3537">
        <f>-661.434103173478 -179.391812970616 -217.69383040352</f>
        <v>-1058.519746547614</v>
      </c>
      <c r="Q3537">
        <f>-462.7108209709 -92.6255623699012 -300.935716799795</f>
        <v>-856.27210014059619</v>
      </c>
      <c r="R3537" t="s">
        <v>68135</v>
      </c>
      <c r="S3537" t="s">
        <v>68136</v>
      </c>
      <c r="T3537" t="s">
        <v>68137</v>
      </c>
      <c r="U3537" t="s">
        <v>68138</v>
      </c>
      <c r="V3537">
        <f>-591.699441598696 -55.7763352639361 -92.5760642926207</f>
        <v>-740.05184115525276</v>
      </c>
      <c r="W3537" t="s">
        <v>68139</v>
      </c>
      <c r="X3537" t="s">
        <v>68140</v>
      </c>
      <c r="Y3537" t="s">
        <v>68141</v>
      </c>
    </row>
    <row r="3538" spans="1:25" x14ac:dyDescent="0.3">
      <c r="A3538">
        <v>176850</v>
      </c>
      <c r="B3538" t="s">
        <v>68142</v>
      </c>
      <c r="C3538" t="s">
        <v>68143</v>
      </c>
      <c r="D3538" t="s">
        <v>68144</v>
      </c>
      <c r="E3538" t="s">
        <v>68145</v>
      </c>
      <c r="F3538" t="s">
        <v>68146</v>
      </c>
      <c r="G3538" t="s">
        <v>68147</v>
      </c>
      <c r="H3538" t="s">
        <v>68148</v>
      </c>
      <c r="I3538" t="s">
        <v>68149</v>
      </c>
      <c r="J3538" t="s">
        <v>68150</v>
      </c>
      <c r="K3538" t="s">
        <v>68151</v>
      </c>
      <c r="L3538" t="s">
        <v>68152</v>
      </c>
      <c r="M3538" t="s">
        <v>68153</v>
      </c>
      <c r="N3538">
        <f>-657.147068290652 -3.48205894383159 -529.135364412919</f>
        <v>-1189.7644916474026</v>
      </c>
      <c r="O3538">
        <f>-659.669548935811 -156.501244484949 -498.874616473851</f>
        <v>-1315.0454098946111</v>
      </c>
      <c r="P3538">
        <f>-661.393375281906 -179.099979813995 -217.68991534968</f>
        <v>-1058.183270445581</v>
      </c>
      <c r="Q3538">
        <f>-462.537205198984 -92.4065588611888 -300.68981620293</f>
        <v>-855.63358026310289</v>
      </c>
      <c r="R3538" t="s">
        <v>68154</v>
      </c>
      <c r="S3538" t="s">
        <v>68155</v>
      </c>
      <c r="T3538" t="s">
        <v>68156</v>
      </c>
      <c r="U3538" t="s">
        <v>68157</v>
      </c>
      <c r="V3538">
        <f>-592.042634479976 -55.667724357342 -92.5843788922423</f>
        <v>-740.29473772956021</v>
      </c>
      <c r="W3538" t="s">
        <v>68158</v>
      </c>
      <c r="X3538" t="s">
        <v>68159</v>
      </c>
      <c r="Y3538" t="s">
        <v>68160</v>
      </c>
    </row>
    <row r="3539" spans="1:25" x14ac:dyDescent="0.3">
      <c r="A3539">
        <v>176900</v>
      </c>
      <c r="B3539" t="s">
        <v>68161</v>
      </c>
      <c r="C3539" t="s">
        <v>68162</v>
      </c>
      <c r="D3539" t="s">
        <v>68163</v>
      </c>
      <c r="E3539" t="s">
        <v>68164</v>
      </c>
      <c r="F3539" t="s">
        <v>68165</v>
      </c>
      <c r="G3539" t="s">
        <v>68166</v>
      </c>
      <c r="H3539" t="s">
        <v>68167</v>
      </c>
      <c r="I3539" t="s">
        <v>68168</v>
      </c>
      <c r="J3539" t="s">
        <v>68169</v>
      </c>
      <c r="K3539" t="s">
        <v>68170</v>
      </c>
      <c r="L3539" t="s">
        <v>68171</v>
      </c>
      <c r="M3539" t="s">
        <v>68172</v>
      </c>
      <c r="N3539">
        <f>-656.234581775059 -3.27255253630369 -529.346593798686</f>
        <v>-1188.8537281100487</v>
      </c>
      <c r="O3539">
        <f>-658.922462049839 -156.258142535715 -498.918629948951</f>
        <v>-1314.0992345345051</v>
      </c>
      <c r="P3539">
        <f>-660.999681506951 -178.424477120494 -217.701835322208</f>
        <v>-1057.1259939496531</v>
      </c>
      <c r="Q3539">
        <f>-461.991773131579 -91.586228063542 -300.185072696195</f>
        <v>-853.76307389131603</v>
      </c>
      <c r="R3539" t="s">
        <v>68173</v>
      </c>
      <c r="S3539" t="s">
        <v>68174</v>
      </c>
      <c r="T3539" t="s">
        <v>68175</v>
      </c>
      <c r="U3539" t="s">
        <v>68176</v>
      </c>
      <c r="V3539">
        <f>-592.566341485792 -55.0714221364399 -92.594564976231</f>
        <v>-740.23232859846291</v>
      </c>
      <c r="W3539" t="s">
        <v>68177</v>
      </c>
      <c r="X3539" t="s">
        <v>68178</v>
      </c>
      <c r="Y3539" t="s">
        <v>68179</v>
      </c>
    </row>
    <row r="3540" spans="1:25" x14ac:dyDescent="0.3">
      <c r="A3540">
        <v>176950</v>
      </c>
      <c r="B3540" t="s">
        <v>68180</v>
      </c>
      <c r="C3540" t="s">
        <v>68181</v>
      </c>
      <c r="D3540" t="s">
        <v>68182</v>
      </c>
      <c r="E3540" t="s">
        <v>68183</v>
      </c>
      <c r="F3540" t="s">
        <v>68184</v>
      </c>
      <c r="G3540" t="s">
        <v>68185</v>
      </c>
      <c r="H3540" t="s">
        <v>68186</v>
      </c>
      <c r="I3540" t="s">
        <v>68187</v>
      </c>
      <c r="J3540" t="s">
        <v>68188</v>
      </c>
      <c r="K3540" t="s">
        <v>68189</v>
      </c>
      <c r="L3540" t="s">
        <v>68190</v>
      </c>
      <c r="M3540" t="s">
        <v>68191</v>
      </c>
      <c r="N3540">
        <f>-656.031262344054 -3.17165227350529 -529.40002451735</f>
        <v>-1188.6029391349093</v>
      </c>
      <c r="O3540">
        <f>-658.737787699569 -156.134739070376 -498.874824493747</f>
        <v>-1313.7473512636921</v>
      </c>
      <c r="P3540">
        <f>-660.980191015508 -178.290682815147 -217.658498473812</f>
        <v>-1056.9293723044671</v>
      </c>
      <c r="Q3540">
        <f>-461.954469472549 -91.2260673293104 -299.859781214979</f>
        <v>-853.04031801683846</v>
      </c>
      <c r="R3540" t="s">
        <v>68192</v>
      </c>
      <c r="S3540" t="s">
        <v>68193</v>
      </c>
      <c r="T3540" t="s">
        <v>68194</v>
      </c>
      <c r="U3540" t="s">
        <v>68195</v>
      </c>
      <c r="V3540">
        <f>-592.728475371549 -54.7780927661599 -92.6063236507018</f>
        <v>-740.11289178841082</v>
      </c>
      <c r="W3540" t="s">
        <v>68196</v>
      </c>
      <c r="X3540" t="s">
        <v>68197</v>
      </c>
      <c r="Y3540" t="s">
        <v>68198</v>
      </c>
    </row>
    <row r="3541" spans="1:25" x14ac:dyDescent="0.3">
      <c r="A3541">
        <v>177000</v>
      </c>
      <c r="B3541" t="s">
        <v>68199</v>
      </c>
      <c r="C3541" t="s">
        <v>68200</v>
      </c>
      <c r="D3541" t="s">
        <v>68201</v>
      </c>
      <c r="E3541" t="s">
        <v>68202</v>
      </c>
      <c r="F3541" t="s">
        <v>68203</v>
      </c>
      <c r="G3541" t="s">
        <v>68204</v>
      </c>
      <c r="H3541" t="s">
        <v>68205</v>
      </c>
      <c r="I3541" t="s">
        <v>68206</v>
      </c>
      <c r="J3541" t="s">
        <v>68207</v>
      </c>
      <c r="K3541" t="s">
        <v>68208</v>
      </c>
      <c r="L3541" t="s">
        <v>68209</v>
      </c>
      <c r="M3541" t="s">
        <v>68210</v>
      </c>
      <c r="N3541">
        <f>-655.989855670962 -2.93551032193318 -529.464905621915</f>
        <v>-1188.3902716148102</v>
      </c>
      <c r="O3541">
        <f>-658.743224319543 -155.874932445013 -498.791906912586</f>
        <v>-1313.4100636771418</v>
      </c>
      <c r="P3541">
        <f>-661.157038655059 -177.698781023503 -217.550940868494</f>
        <v>-1056.4067605470559</v>
      </c>
      <c r="Q3541">
        <f>-462.02484078264 -90.4007980984088 -299.245059230293</f>
        <v>-851.67069811134184</v>
      </c>
      <c r="R3541" t="s">
        <v>68211</v>
      </c>
      <c r="S3541" t="s">
        <v>68212</v>
      </c>
      <c r="T3541" t="s">
        <v>68213</v>
      </c>
      <c r="U3541" t="s">
        <v>68214</v>
      </c>
      <c r="V3541">
        <f>-592.90574758634 -54.2386809850091 -92.6277760187631</f>
        <v>-739.77220459011221</v>
      </c>
      <c r="W3541" t="s">
        <v>68215</v>
      </c>
      <c r="X3541" t="s">
        <v>68216</v>
      </c>
      <c r="Y3541" t="s">
        <v>68217</v>
      </c>
    </row>
    <row r="3542" spans="1:25" x14ac:dyDescent="0.3">
      <c r="A3542">
        <v>177050</v>
      </c>
      <c r="B3542" t="s">
        <v>68218</v>
      </c>
      <c r="C3542" t="s">
        <v>68219</v>
      </c>
      <c r="D3542" t="s">
        <v>68220</v>
      </c>
      <c r="E3542" t="s">
        <v>68221</v>
      </c>
      <c r="F3542" t="s">
        <v>68222</v>
      </c>
      <c r="G3542" t="s">
        <v>68223</v>
      </c>
      <c r="H3542" t="s">
        <v>68224</v>
      </c>
      <c r="I3542" t="s">
        <v>68225</v>
      </c>
      <c r="J3542" t="s">
        <v>68226</v>
      </c>
      <c r="K3542" t="s">
        <v>68227</v>
      </c>
      <c r="L3542" t="s">
        <v>68228</v>
      </c>
      <c r="M3542" t="s">
        <v>68229</v>
      </c>
      <c r="N3542">
        <f>-656.074788102474 -2.72188251990247 -529.469352258942</f>
        <v>-1188.2660228813183</v>
      </c>
      <c r="O3542">
        <f>-658.841208037617 -155.643005643783 -498.7286558622</f>
        <v>-1313.2128695435999</v>
      </c>
      <c r="P3542">
        <f>-661.267772365651 -177.319694386021 -217.476419421158</f>
        <v>-1056.0638861728301</v>
      </c>
      <c r="Q3542">
        <f>-462.146960517938 -89.8778501205036 -299.044628595785</f>
        <v>-851.06943923422659</v>
      </c>
      <c r="R3542" t="s">
        <v>68230</v>
      </c>
      <c r="S3542" t="s">
        <v>68231</v>
      </c>
      <c r="T3542" t="s">
        <v>68232</v>
      </c>
      <c r="U3542" t="s">
        <v>68233</v>
      </c>
      <c r="V3542">
        <f>-592.938434693473 -53.9336576130077 -92.633102694155</f>
        <v>-739.50519500063569</v>
      </c>
      <c r="W3542" t="s">
        <v>68234</v>
      </c>
      <c r="X3542" t="s">
        <v>68235</v>
      </c>
      <c r="Y3542" t="s">
        <v>68236</v>
      </c>
    </row>
    <row r="3543" spans="1:25" x14ac:dyDescent="0.3">
      <c r="A3543">
        <v>177100</v>
      </c>
      <c r="B3543" t="s">
        <v>68237</v>
      </c>
      <c r="C3543" t="s">
        <v>68238</v>
      </c>
      <c r="D3543" t="s">
        <v>68239</v>
      </c>
      <c r="E3543" t="s">
        <v>68240</v>
      </c>
      <c r="F3543" t="s">
        <v>68241</v>
      </c>
      <c r="G3543" t="s">
        <v>68242</v>
      </c>
      <c r="H3543" t="s">
        <v>68243</v>
      </c>
      <c r="I3543" t="s">
        <v>68244</v>
      </c>
      <c r="J3543" t="s">
        <v>68245</v>
      </c>
      <c r="K3543" t="s">
        <v>68246</v>
      </c>
      <c r="L3543" t="s">
        <v>68247</v>
      </c>
      <c r="M3543" t="s">
        <v>68248</v>
      </c>
      <c r="N3543">
        <f>-656.13224536024 -2.34866670117208 -529.43393653787</f>
        <v>-1187.9148485992819</v>
      </c>
      <c r="O3543">
        <f>-658.914274453771 -155.252710812092 -498.587058408877</f>
        <v>-1312.7540436747399</v>
      </c>
      <c r="P3543">
        <f>-661.017713058644 -176.84985004729 -217.326184332649</f>
        <v>-1055.1937474385829</v>
      </c>
      <c r="Q3543">
        <f>-461.933235381933 -89.3361771501725 -298.905873700922</f>
        <v>-850.17528623302746</v>
      </c>
      <c r="R3543" t="s">
        <v>68249</v>
      </c>
      <c r="S3543" t="s">
        <v>68250</v>
      </c>
      <c r="T3543" t="s">
        <v>68251</v>
      </c>
      <c r="U3543" t="s">
        <v>68252</v>
      </c>
      <c r="V3543">
        <f>-592.839995824828 -53.3725750291385 -92.6179227388076</f>
        <v>-738.83049359277402</v>
      </c>
      <c r="W3543" t="s">
        <v>68253</v>
      </c>
      <c r="X3543" t="s">
        <v>68254</v>
      </c>
      <c r="Y3543" t="s">
        <v>68255</v>
      </c>
    </row>
    <row r="3544" spans="1:25" x14ac:dyDescent="0.3">
      <c r="A3544">
        <v>177150</v>
      </c>
      <c r="B3544" t="s">
        <v>68256</v>
      </c>
      <c r="C3544" t="s">
        <v>68257</v>
      </c>
      <c r="D3544" t="s">
        <v>68258</v>
      </c>
      <c r="E3544" t="s">
        <v>68259</v>
      </c>
      <c r="F3544" t="s">
        <v>68260</v>
      </c>
      <c r="G3544" t="s">
        <v>68261</v>
      </c>
      <c r="H3544" t="s">
        <v>68262</v>
      </c>
      <c r="I3544" t="s">
        <v>68263</v>
      </c>
      <c r="J3544" t="s">
        <v>68264</v>
      </c>
      <c r="K3544" t="s">
        <v>68265</v>
      </c>
      <c r="L3544" t="s">
        <v>68266</v>
      </c>
      <c r="M3544" t="s">
        <v>68267</v>
      </c>
      <c r="N3544">
        <f>-656.103800014401 -2.16674689144111 -529.432162864096</f>
        <v>-1187.7027097699381</v>
      </c>
      <c r="O3544">
        <f>-658.875959757426 -155.063402566341 -498.563695172912</f>
        <v>-1312.503057496679</v>
      </c>
      <c r="P3544">
        <f>-660.777985898592 -176.632357327164 -217.299184144595</f>
        <v>-1054.709527370351</v>
      </c>
      <c r="Q3544">
        <f>-461.794389347943 -88.9764079497083 -298.972290345601</f>
        <v>-849.74308764325235</v>
      </c>
      <c r="R3544" t="s">
        <v>68268</v>
      </c>
      <c r="S3544" t="s">
        <v>68269</v>
      </c>
      <c r="T3544" t="s">
        <v>68270</v>
      </c>
      <c r="U3544" t="s">
        <v>68271</v>
      </c>
      <c r="V3544">
        <f>-592.823183019737 -53.1911986792625 -92.6096202702378</f>
        <v>-738.62400196923727</v>
      </c>
      <c r="W3544" t="s">
        <v>68272</v>
      </c>
      <c r="X3544" t="s">
        <v>68273</v>
      </c>
      <c r="Y3544" t="s">
        <v>68274</v>
      </c>
    </row>
    <row r="3545" spans="1:25" x14ac:dyDescent="0.3">
      <c r="A3545">
        <v>177200</v>
      </c>
      <c r="B3545" t="s">
        <v>68275</v>
      </c>
      <c r="C3545" t="s">
        <v>68276</v>
      </c>
      <c r="D3545" t="s">
        <v>68277</v>
      </c>
      <c r="E3545" t="s">
        <v>68278</v>
      </c>
      <c r="F3545" t="s">
        <v>68279</v>
      </c>
      <c r="G3545" t="s">
        <v>68280</v>
      </c>
      <c r="H3545" t="s">
        <v>68281</v>
      </c>
      <c r="I3545" t="s">
        <v>68282</v>
      </c>
      <c r="J3545" t="s">
        <v>68283</v>
      </c>
      <c r="K3545" t="s">
        <v>68284</v>
      </c>
      <c r="L3545" t="s">
        <v>68285</v>
      </c>
      <c r="M3545" t="s">
        <v>68286</v>
      </c>
      <c r="N3545">
        <f>-656.202690348599 -1.99575114750633 -529.411377890033</f>
        <v>-1187.6098193861385</v>
      </c>
      <c r="O3545">
        <f>-658.852613306676 -154.890016984374 -498.539298020864</f>
        <v>-1312.281928311914</v>
      </c>
      <c r="P3545">
        <f>-660.559657676528 -176.739804320448 -217.295148649802</f>
        <v>-1054.5946106467779</v>
      </c>
      <c r="Q3545">
        <f>-461.648438723395 -88.9299312552557 -298.979135726442</f>
        <v>-849.55750570509269</v>
      </c>
      <c r="R3545" t="s">
        <v>68287</v>
      </c>
      <c r="S3545" t="s">
        <v>68288</v>
      </c>
      <c r="T3545" t="s">
        <v>68289</v>
      </c>
      <c r="U3545" t="s">
        <v>68290</v>
      </c>
      <c r="V3545">
        <f>-592.720856967078 -52.9449889521668 -92.6040558547423</f>
        <v>-738.26990177398716</v>
      </c>
      <c r="W3545" t="s">
        <v>68291</v>
      </c>
      <c r="X3545" t="s">
        <v>68292</v>
      </c>
      <c r="Y3545" t="s">
        <v>68293</v>
      </c>
    </row>
    <row r="3546" spans="1:25" x14ac:dyDescent="0.3">
      <c r="A3546">
        <v>177250</v>
      </c>
      <c r="B3546" t="s">
        <v>68294</v>
      </c>
      <c r="C3546" t="s">
        <v>68295</v>
      </c>
      <c r="D3546" t="s">
        <v>68296</v>
      </c>
      <c r="E3546" t="s">
        <v>68297</v>
      </c>
      <c r="F3546" t="s">
        <v>68298</v>
      </c>
      <c r="G3546" t="s">
        <v>68299</v>
      </c>
      <c r="H3546" t="s">
        <v>68300</v>
      </c>
      <c r="I3546" t="s">
        <v>68301</v>
      </c>
      <c r="J3546" t="s">
        <v>68302</v>
      </c>
      <c r="K3546" t="s">
        <v>68303</v>
      </c>
      <c r="L3546" t="s">
        <v>68304</v>
      </c>
      <c r="M3546" t="s">
        <v>68305</v>
      </c>
      <c r="N3546">
        <f>-656.17273929485 -1.91549697303003 -529.416460715144</f>
        <v>-1187.5046969830241</v>
      </c>
      <c r="O3546">
        <f>-658.727068257957 -154.822273464453 -498.580160274937</f>
        <v>-1312.129501997347</v>
      </c>
      <c r="P3546">
        <f>-660.409629023385 -176.776342116995 -217.343972996327</f>
        <v>-1054.5299441367069</v>
      </c>
      <c r="Q3546">
        <f>-461.496117092081 -88.9526900098306 -299.007727956247</f>
        <v>-849.45653505815858</v>
      </c>
      <c r="R3546" t="s">
        <v>68306</v>
      </c>
      <c r="S3546" t="s">
        <v>68307</v>
      </c>
      <c r="T3546" t="s">
        <v>68308</v>
      </c>
      <c r="U3546" t="s">
        <v>68309</v>
      </c>
      <c r="V3546">
        <f>-592.638523544489 -52.9412247128391 -92.6028705225025</f>
        <v>-738.18261877983059</v>
      </c>
      <c r="W3546" t="s">
        <v>68310</v>
      </c>
      <c r="X3546" t="s">
        <v>68311</v>
      </c>
      <c r="Y3546" t="s">
        <v>68312</v>
      </c>
    </row>
    <row r="3547" spans="1:25" x14ac:dyDescent="0.3">
      <c r="A3547">
        <v>177300</v>
      </c>
      <c r="B3547" t="s">
        <v>68313</v>
      </c>
      <c r="C3547" t="s">
        <v>68314</v>
      </c>
      <c r="D3547" t="s">
        <v>68315</v>
      </c>
      <c r="E3547" t="s">
        <v>68316</v>
      </c>
      <c r="F3547" t="s">
        <v>68317</v>
      </c>
      <c r="G3547" t="s">
        <v>68318</v>
      </c>
      <c r="H3547" t="s">
        <v>68319</v>
      </c>
      <c r="I3547" t="s">
        <v>68320</v>
      </c>
      <c r="J3547" t="s">
        <v>68321</v>
      </c>
      <c r="K3547" t="s">
        <v>68322</v>
      </c>
      <c r="L3547" t="s">
        <v>68323</v>
      </c>
      <c r="M3547" t="s">
        <v>68324</v>
      </c>
      <c r="N3547">
        <f>-655.861430255833 -1.70588312458153 -529.462878869164</f>
        <v>-1187.0301922495787</v>
      </c>
      <c r="O3547">
        <f>-658.25168508505 -154.642838957754 -498.78735581907</f>
        <v>-1311.681879861874</v>
      </c>
      <c r="P3547">
        <f>-659.990074145295 -177.092584313587 -217.590754728849</f>
        <v>-1054.6734131877311</v>
      </c>
      <c r="Q3547">
        <f>-461.185666161003 -89.2523362743866 -299.501940389124</f>
        <v>-849.93994282451354</v>
      </c>
      <c r="R3547" t="s">
        <v>68325</v>
      </c>
      <c r="S3547" t="s">
        <v>68326</v>
      </c>
      <c r="T3547" t="s">
        <v>68327</v>
      </c>
      <c r="U3547" t="s">
        <v>68328</v>
      </c>
      <c r="V3547">
        <f>-592.476427626302 -52.9049794922832 -92.5984841675454</f>
        <v>-737.97989128613062</v>
      </c>
      <c r="W3547" t="s">
        <v>68329</v>
      </c>
      <c r="X3547" t="s">
        <v>68330</v>
      </c>
      <c r="Y3547" t="s">
        <v>68331</v>
      </c>
    </row>
    <row r="3548" spans="1:25" x14ac:dyDescent="0.3">
      <c r="A3548">
        <v>177350</v>
      </c>
      <c r="B3548" t="s">
        <v>68332</v>
      </c>
      <c r="C3548" t="s">
        <v>68333</v>
      </c>
      <c r="D3548" t="s">
        <v>68334</v>
      </c>
      <c r="E3548" t="s">
        <v>68335</v>
      </c>
      <c r="F3548" t="s">
        <v>68336</v>
      </c>
      <c r="G3548" t="s">
        <v>68337</v>
      </c>
      <c r="H3548" t="s">
        <v>68338</v>
      </c>
      <c r="I3548" t="s">
        <v>68339</v>
      </c>
      <c r="J3548" t="s">
        <v>68340</v>
      </c>
      <c r="K3548" t="s">
        <v>68341</v>
      </c>
      <c r="L3548" t="s">
        <v>68342</v>
      </c>
      <c r="M3548" t="s">
        <v>68343</v>
      </c>
      <c r="N3548">
        <f>-655.688757093583 -1.56031038633364 -529.531724110933</f>
        <v>-1186.7807915908497</v>
      </c>
      <c r="O3548">
        <f>-658.027136075543 -154.529304675627 -498.971348804549</f>
        <v>-1311.527789555719</v>
      </c>
      <c r="P3548">
        <f>-659.712030554266 -177.141591603192 -217.787432869563</f>
        <v>-1054.6410550270209</v>
      </c>
      <c r="Q3548">
        <f>-460.935463467708 -89.4210210001659 -299.894123761129</f>
        <v>-850.25060822900286</v>
      </c>
      <c r="R3548" t="s">
        <v>68344</v>
      </c>
      <c r="S3548" t="s">
        <v>68345</v>
      </c>
      <c r="T3548" t="s">
        <v>68346</v>
      </c>
      <c r="U3548" t="s">
        <v>68347</v>
      </c>
      <c r="V3548">
        <f>-592.428798765785 -52.9177187489406 -92.6083290351378</f>
        <v>-737.95484654986342</v>
      </c>
      <c r="W3548" t="s">
        <v>68348</v>
      </c>
      <c r="X3548" t="s">
        <v>68349</v>
      </c>
      <c r="Y3548" t="s">
        <v>68350</v>
      </c>
    </row>
    <row r="3549" spans="1:25" x14ac:dyDescent="0.3">
      <c r="A3549">
        <v>177400</v>
      </c>
      <c r="B3549" t="s">
        <v>68351</v>
      </c>
      <c r="C3549" t="s">
        <v>68352</v>
      </c>
      <c r="D3549" t="s">
        <v>68353</v>
      </c>
      <c r="E3549" t="s">
        <v>68354</v>
      </c>
      <c r="F3549" t="s">
        <v>68355</v>
      </c>
      <c r="G3549" t="s">
        <v>68356</v>
      </c>
      <c r="H3549" t="s">
        <v>68357</v>
      </c>
      <c r="I3549" t="s">
        <v>68358</v>
      </c>
      <c r="J3549" t="s">
        <v>68359</v>
      </c>
      <c r="K3549" t="s">
        <v>68360</v>
      </c>
      <c r="L3549" t="s">
        <v>68361</v>
      </c>
      <c r="M3549" t="s">
        <v>68362</v>
      </c>
      <c r="N3549">
        <f>-655.23506912103 -1.40889350536736 -529.673943396336</f>
        <v>-1186.3179060227335</v>
      </c>
      <c r="O3549">
        <f>-657.437688283687 -154.422972652288 -499.346423107765</f>
        <v>-1311.20708404374</v>
      </c>
      <c r="P3549">
        <f>-659.144565671221 -177.764978055056 -218.222120939977</f>
        <v>-1055.131664666254</v>
      </c>
      <c r="Q3549">
        <f>-460.407692549653 -90.0600363896754 -300.441404853984</f>
        <v>-850.90913379331232</v>
      </c>
      <c r="R3549" t="s">
        <v>68363</v>
      </c>
      <c r="S3549" t="s">
        <v>68364</v>
      </c>
      <c r="T3549" t="s">
        <v>68365</v>
      </c>
      <c r="U3549" t="s">
        <v>68366</v>
      </c>
      <c r="V3549">
        <f>-592.344048134463 -53.0675239137247 -92.6304201438859</f>
        <v>-738.04199219207362</v>
      </c>
      <c r="W3549" t="s">
        <v>68367</v>
      </c>
      <c r="X3549" t="s">
        <v>68368</v>
      </c>
      <c r="Y3549" t="s">
        <v>68369</v>
      </c>
    </row>
    <row r="3550" spans="1:25" x14ac:dyDescent="0.3">
      <c r="A3550">
        <v>177450</v>
      </c>
      <c r="B3550" t="s">
        <v>68370</v>
      </c>
      <c r="C3550" t="s">
        <v>68371</v>
      </c>
      <c r="D3550" t="s">
        <v>68372</v>
      </c>
      <c r="E3550" t="s">
        <v>68373</v>
      </c>
      <c r="F3550" t="s">
        <v>68374</v>
      </c>
      <c r="G3550" t="s">
        <v>68375</v>
      </c>
      <c r="H3550" t="s">
        <v>68376</v>
      </c>
      <c r="I3550" t="s">
        <v>68377</v>
      </c>
      <c r="J3550" t="s">
        <v>68378</v>
      </c>
      <c r="K3550" t="s">
        <v>68379</v>
      </c>
      <c r="L3550" t="s">
        <v>68380</v>
      </c>
      <c r="M3550" t="s">
        <v>68381</v>
      </c>
      <c r="N3550">
        <f>-654.998601124198 -1.24635837730875 -529.742743891534</f>
        <v>-1185.9877033930406</v>
      </c>
      <c r="O3550">
        <f>-657.17821192054 -154.29382878258 -499.579912620277</f>
        <v>-1311.0519533233969</v>
      </c>
      <c r="P3550">
        <f>-659.010650622046 -178.068194294652 -218.492839520197</f>
        <v>-1055.5716844368951</v>
      </c>
      <c r="Q3550">
        <f>-460.203466787564 -90.4562857483454 -300.64119968662</f>
        <v>-851.30095222252942</v>
      </c>
      <c r="R3550" t="s">
        <v>68382</v>
      </c>
      <c r="S3550" t="s">
        <v>68383</v>
      </c>
      <c r="T3550" t="s">
        <v>68384</v>
      </c>
      <c r="U3550" t="s">
        <v>68385</v>
      </c>
      <c r="V3550">
        <f>-592.284290697445 -53.1915837270608 -92.6368716032794</f>
        <v>-738.11274602778519</v>
      </c>
      <c r="W3550" t="s">
        <v>68386</v>
      </c>
      <c r="X3550" t="s">
        <v>68387</v>
      </c>
      <c r="Y3550" t="s">
        <v>68388</v>
      </c>
    </row>
    <row r="3551" spans="1:25" x14ac:dyDescent="0.3">
      <c r="A3551">
        <v>177500</v>
      </c>
      <c r="B3551" t="s">
        <v>68389</v>
      </c>
      <c r="C3551" t="s">
        <v>68390</v>
      </c>
      <c r="D3551" t="s">
        <v>68391</v>
      </c>
      <c r="E3551" t="s">
        <v>68392</v>
      </c>
      <c r="F3551" t="s">
        <v>68393</v>
      </c>
      <c r="G3551" t="s">
        <v>68394</v>
      </c>
      <c r="H3551" t="s">
        <v>68395</v>
      </c>
      <c r="I3551" t="s">
        <v>68396</v>
      </c>
      <c r="J3551" t="s">
        <v>68397</v>
      </c>
      <c r="K3551" t="s">
        <v>68398</v>
      </c>
      <c r="L3551" t="s">
        <v>68399</v>
      </c>
      <c r="M3551" t="s">
        <v>68400</v>
      </c>
      <c r="N3551">
        <f>-654.687803039142 -1.30557069961969 -529.921990254232</f>
        <v>-1185.9153639929937</v>
      </c>
      <c r="O3551">
        <f>-656.843621345454 -154.416680189886 -500.095168055137</f>
        <v>-1311.355469590477</v>
      </c>
      <c r="P3551">
        <f>-659.004943213255 -178.966411584236 -219.077007853482</f>
        <v>-1057.0483626509731</v>
      </c>
      <c r="Q3551">
        <f>-459.834496719112 -91.7528306141023 -300.768080837021</f>
        <v>-852.35540817023525</v>
      </c>
      <c r="R3551" t="s">
        <v>68401</v>
      </c>
      <c r="S3551" t="s">
        <v>68402</v>
      </c>
      <c r="T3551" t="s">
        <v>68403</v>
      </c>
      <c r="U3551" t="s">
        <v>68404</v>
      </c>
      <c r="V3551">
        <f>-592.359367619081 -53.7743002806628 -92.6768370723942</f>
        <v>-738.81050497213801</v>
      </c>
      <c r="W3551" t="s">
        <v>68405</v>
      </c>
      <c r="X3551" t="s">
        <v>68406</v>
      </c>
      <c r="Y3551" t="s">
        <v>68407</v>
      </c>
    </row>
    <row r="3552" spans="1:25" x14ac:dyDescent="0.3">
      <c r="A3552">
        <v>177550</v>
      </c>
      <c r="B3552" t="s">
        <v>68408</v>
      </c>
      <c r="C3552" t="s">
        <v>68409</v>
      </c>
      <c r="D3552" t="s">
        <v>68410</v>
      </c>
      <c r="E3552" t="s">
        <v>68411</v>
      </c>
      <c r="F3552" t="s">
        <v>68412</v>
      </c>
      <c r="G3552" t="s">
        <v>68413</v>
      </c>
      <c r="H3552" t="s">
        <v>68414</v>
      </c>
      <c r="I3552" t="s">
        <v>68415</v>
      </c>
      <c r="J3552" t="s">
        <v>68416</v>
      </c>
      <c r="K3552" t="s">
        <v>68417</v>
      </c>
      <c r="L3552" t="s">
        <v>68418</v>
      </c>
      <c r="M3552" t="s">
        <v>68419</v>
      </c>
      <c r="N3552">
        <f>-654.651936585762 -1.3562785068857 -529.973688257806</f>
        <v>-1185.9819033504536</v>
      </c>
      <c r="O3552">
        <f>-656.762889756319 -154.49457248746 -500.299152580275</f>
        <v>-1311.5566148240541</v>
      </c>
      <c r="P3552">
        <f>-659.12591633333 -179.419215454119 -219.31561926017</f>
        <v>-1057.860751047619</v>
      </c>
      <c r="Q3552">
        <f>-459.696672458948 -92.4369550113001 -300.621185592309</f>
        <v>-852.7548130625571</v>
      </c>
      <c r="R3552" t="s">
        <v>68420</v>
      </c>
      <c r="S3552" t="s">
        <v>68421</v>
      </c>
      <c r="T3552" t="s">
        <v>68422</v>
      </c>
      <c r="U3552" t="s">
        <v>68423</v>
      </c>
      <c r="V3552">
        <f>-592.384051058342 -53.9984367360607 -92.6962220406626</f>
        <v>-739.07870983506541</v>
      </c>
      <c r="W3552" t="s">
        <v>68424</v>
      </c>
      <c r="X3552" t="s">
        <v>68425</v>
      </c>
      <c r="Y3552" t="s">
        <v>68426</v>
      </c>
    </row>
    <row r="3553" spans="1:25" x14ac:dyDescent="0.3">
      <c r="A3553">
        <v>177600</v>
      </c>
      <c r="B3553" t="s">
        <v>68427</v>
      </c>
      <c r="C3553" t="s">
        <v>68428</v>
      </c>
      <c r="D3553" t="s">
        <v>68429</v>
      </c>
      <c r="E3553" t="s">
        <v>68430</v>
      </c>
      <c r="F3553" t="s">
        <v>68431</v>
      </c>
      <c r="G3553" t="s">
        <v>68432</v>
      </c>
      <c r="H3553" t="s">
        <v>68433</v>
      </c>
      <c r="I3553" t="s">
        <v>68434</v>
      </c>
      <c r="J3553" t="s">
        <v>68435</v>
      </c>
      <c r="K3553" t="s">
        <v>68436</v>
      </c>
      <c r="L3553" t="s">
        <v>68437</v>
      </c>
      <c r="M3553" t="s">
        <v>68438</v>
      </c>
      <c r="N3553">
        <f>-654.908072171586 -1.29947546074982 -530.03014786072</f>
        <v>-1186.237695493056</v>
      </c>
      <c r="O3553">
        <f>-656.999368939438 -154.481597687941 -500.559638161343</f>
        <v>-1312.040604788722</v>
      </c>
      <c r="P3553">
        <f>-659.375500109985 -179.753267872328 -219.607250654721</f>
        <v>-1058.736018637034</v>
      </c>
      <c r="Q3553">
        <f>-459.636028053775 -93.0267448245745 -300.423069045348</f>
        <v>-853.08584192369744</v>
      </c>
      <c r="R3553" t="s">
        <v>68439</v>
      </c>
      <c r="S3553" t="s">
        <v>68440</v>
      </c>
      <c r="T3553" t="s">
        <v>68441</v>
      </c>
      <c r="U3553" t="s">
        <v>68442</v>
      </c>
      <c r="V3553">
        <f>-592.506781741147 -54.306292980034 -92.732496362732</f>
        <v>-739.54557108391305</v>
      </c>
      <c r="W3553" t="s">
        <v>68443</v>
      </c>
      <c r="X3553" t="s">
        <v>68444</v>
      </c>
      <c r="Y3553" t="s">
        <v>68445</v>
      </c>
    </row>
    <row r="3554" spans="1:25" x14ac:dyDescent="0.3">
      <c r="A3554">
        <v>177650</v>
      </c>
      <c r="B3554" t="s">
        <v>68446</v>
      </c>
      <c r="C3554" t="s">
        <v>68447</v>
      </c>
      <c r="D3554" t="s">
        <v>68448</v>
      </c>
      <c r="E3554" t="s">
        <v>68449</v>
      </c>
      <c r="F3554" t="s">
        <v>68450</v>
      </c>
      <c r="G3554" t="s">
        <v>68451</v>
      </c>
      <c r="H3554" t="s">
        <v>68452</v>
      </c>
      <c r="I3554" t="s">
        <v>68453</v>
      </c>
      <c r="J3554" t="s">
        <v>68454</v>
      </c>
      <c r="K3554" t="s">
        <v>68455</v>
      </c>
      <c r="L3554" t="s">
        <v>68456</v>
      </c>
      <c r="M3554" t="s">
        <v>68457</v>
      </c>
      <c r="N3554">
        <f>-655.167760230227 -1.26921478956933 -530.045026866443</f>
        <v>-1186.4820018862392</v>
      </c>
      <c r="O3554">
        <f>-657.279284872561 -154.46769448688 -500.65637204001</f>
        <v>-1312.4033513994509</v>
      </c>
      <c r="P3554">
        <f>-659.616428793157 -179.775287896882 -219.70679132136</f>
        <v>-1059.098508011399</v>
      </c>
      <c r="Q3554">
        <f>-459.682560090258 -93.1593603474882 -300.15979251219</f>
        <v>-853.00171294993629</v>
      </c>
      <c r="R3554" t="s">
        <v>68458</v>
      </c>
      <c r="S3554" t="s">
        <v>68459</v>
      </c>
      <c r="T3554" t="s">
        <v>68460</v>
      </c>
      <c r="U3554" t="s">
        <v>68461</v>
      </c>
      <c r="V3554">
        <f>-592.624254288177 -54.5184579113709 -92.7481371234438</f>
        <v>-739.8908493229917</v>
      </c>
      <c r="W3554" t="s">
        <v>68462</v>
      </c>
      <c r="X3554" t="s">
        <v>68463</v>
      </c>
      <c r="Y3554" t="s">
        <v>68464</v>
      </c>
    </row>
    <row r="3555" spans="1:25" x14ac:dyDescent="0.3">
      <c r="A3555">
        <v>177700</v>
      </c>
      <c r="B3555" t="s">
        <v>68465</v>
      </c>
      <c r="C3555" t="s">
        <v>68466</v>
      </c>
      <c r="D3555" t="s">
        <v>68467</v>
      </c>
      <c r="E3555" t="s">
        <v>68468</v>
      </c>
      <c r="F3555" t="s">
        <v>68469</v>
      </c>
      <c r="G3555" t="s">
        <v>68470</v>
      </c>
      <c r="H3555" t="s">
        <v>68471</v>
      </c>
      <c r="I3555" t="s">
        <v>68472</v>
      </c>
      <c r="J3555" t="s">
        <v>68473</v>
      </c>
      <c r="K3555" t="s">
        <v>68474</v>
      </c>
      <c r="L3555" t="s">
        <v>68475</v>
      </c>
      <c r="M3555" t="s">
        <v>68476</v>
      </c>
      <c r="N3555">
        <f>-655.549945010369 -1.36821373381804 -530.081426955609</f>
        <v>-1186.9995856997962</v>
      </c>
      <c r="O3555">
        <f>-657.547014780556 -154.601104162573 -500.883601684271</f>
        <v>-1313.0317206274001</v>
      </c>
      <c r="P3555">
        <f>-659.984015791434 -180.027100507475 -219.945601865083</f>
        <v>-1059.956718163992</v>
      </c>
      <c r="Q3555">
        <f>-459.864122703336 -93.4010524404514 -299.923712144482</f>
        <v>-853.18888728826948</v>
      </c>
      <c r="R3555" t="s">
        <v>68477</v>
      </c>
      <c r="S3555" t="s">
        <v>68478</v>
      </c>
      <c r="T3555" t="s">
        <v>68479</v>
      </c>
      <c r="U3555" t="s">
        <v>68480</v>
      </c>
      <c r="V3555">
        <f>-592.931827770824 -54.9134276176312 -92.7893880570231</f>
        <v>-740.63464344547833</v>
      </c>
      <c r="W3555" t="s">
        <v>68481</v>
      </c>
      <c r="X3555" t="s">
        <v>68482</v>
      </c>
      <c r="Y3555" t="s">
        <v>68483</v>
      </c>
    </row>
    <row r="3556" spans="1:25" x14ac:dyDescent="0.3">
      <c r="A3556">
        <v>177750</v>
      </c>
      <c r="B3556" t="s">
        <v>68484</v>
      </c>
      <c r="C3556" t="s">
        <v>68485</v>
      </c>
      <c r="D3556" t="s">
        <v>68486</v>
      </c>
      <c r="E3556" t="s">
        <v>68487</v>
      </c>
      <c r="F3556" t="s">
        <v>68488</v>
      </c>
      <c r="G3556" t="s">
        <v>68489</v>
      </c>
      <c r="H3556" t="s">
        <v>68490</v>
      </c>
      <c r="I3556" t="s">
        <v>68491</v>
      </c>
      <c r="J3556" t="s">
        <v>68492</v>
      </c>
      <c r="K3556" t="s">
        <v>68493</v>
      </c>
      <c r="L3556" t="s">
        <v>68494</v>
      </c>
      <c r="M3556" t="s">
        <v>68495</v>
      </c>
      <c r="N3556">
        <f>-655.79564168646 -1.38307343578276 -530.073945120802</f>
        <v>-1187.2526602430448</v>
      </c>
      <c r="O3556">
        <f>-657.746165772761 -154.633952144335 -500.943651506705</f>
        <v>-1313.323769423801</v>
      </c>
      <c r="P3556">
        <f>-660.095631696234 -180.281157579936 -220.025058424912</f>
        <v>-1060.401847701082</v>
      </c>
      <c r="Q3556">
        <f>-459.993146965406 -93.4273068304585 -299.799436159567</f>
        <v>-853.21988995543154</v>
      </c>
      <c r="R3556" t="s">
        <v>68496</v>
      </c>
      <c r="S3556" t="s">
        <v>68497</v>
      </c>
      <c r="T3556" t="s">
        <v>68498</v>
      </c>
      <c r="U3556" t="s">
        <v>68499</v>
      </c>
      <c r="V3556">
        <f>-593.06779580525 -55.0032157534727 -92.8081642045664</f>
        <v>-740.87917576328903</v>
      </c>
      <c r="W3556" t="s">
        <v>68500</v>
      </c>
      <c r="X3556" t="s">
        <v>68501</v>
      </c>
      <c r="Y3556" t="s">
        <v>68502</v>
      </c>
    </row>
    <row r="3557" spans="1:25" x14ac:dyDescent="0.3">
      <c r="A3557">
        <v>177800</v>
      </c>
      <c r="B3557" t="s">
        <v>68503</v>
      </c>
      <c r="C3557" t="s">
        <v>68504</v>
      </c>
      <c r="D3557" t="s">
        <v>68505</v>
      </c>
      <c r="E3557" t="s">
        <v>68506</v>
      </c>
      <c r="F3557" t="s">
        <v>68507</v>
      </c>
      <c r="G3557" t="s">
        <v>68508</v>
      </c>
      <c r="H3557" t="s">
        <v>68509</v>
      </c>
      <c r="I3557" t="s">
        <v>68510</v>
      </c>
      <c r="J3557" t="s">
        <v>68511</v>
      </c>
      <c r="K3557" t="s">
        <v>68512</v>
      </c>
      <c r="L3557" t="s">
        <v>68513</v>
      </c>
      <c r="M3557" t="s">
        <v>68514</v>
      </c>
      <c r="N3557">
        <f>-656.616231427058 -1.51659501922109 -530.051175712726</f>
        <v>-1188.1840021590051</v>
      </c>
      <c r="O3557">
        <f>-658.51471279572 -154.7666858226 -500.940069559199</f>
        <v>-1314.221468177519</v>
      </c>
      <c r="P3557">
        <f>-660.331669950646 -180.265154925357 -220.003883577241</f>
        <v>-1060.6007084532439</v>
      </c>
      <c r="Q3557">
        <f>-460.305893610244 -93.1678623725529 -299.705038476464</f>
        <v>-853.17879445926087</v>
      </c>
      <c r="R3557" t="s">
        <v>68515</v>
      </c>
      <c r="S3557" t="s">
        <v>68516</v>
      </c>
      <c r="T3557" t="s">
        <v>68517</v>
      </c>
      <c r="U3557" t="s">
        <v>68518</v>
      </c>
      <c r="V3557">
        <f>-593.543408835783 -55.2741614645606 -92.8472431155999</f>
        <v>-741.66481341594351</v>
      </c>
      <c r="W3557" t="s">
        <v>68519</v>
      </c>
      <c r="X3557" t="s">
        <v>68520</v>
      </c>
      <c r="Y3557" t="s">
        <v>68521</v>
      </c>
    </row>
    <row r="3558" spans="1:25" x14ac:dyDescent="0.3">
      <c r="A3558">
        <v>177850</v>
      </c>
      <c r="B3558" t="s">
        <v>68522</v>
      </c>
      <c r="C3558" t="s">
        <v>68523</v>
      </c>
      <c r="D3558" t="s">
        <v>68524</v>
      </c>
      <c r="E3558" t="s">
        <v>68525</v>
      </c>
      <c r="F3558" t="s">
        <v>68526</v>
      </c>
      <c r="G3558" t="s">
        <v>68527</v>
      </c>
      <c r="H3558" t="s">
        <v>68528</v>
      </c>
      <c r="I3558" t="s">
        <v>68529</v>
      </c>
      <c r="J3558" t="s">
        <v>68530</v>
      </c>
      <c r="K3558" t="s">
        <v>68531</v>
      </c>
      <c r="L3558" t="s">
        <v>68532</v>
      </c>
      <c r="M3558" t="s">
        <v>68533</v>
      </c>
      <c r="N3558">
        <f>-657.020315717633 -1.61620358730124 -530.041833029988</f>
        <v>-1188.6783523349222</v>
      </c>
      <c r="O3558">
        <f>-658.864241875332 -154.864414750899 -500.900789774373</f>
        <v>-1314.6294464006039</v>
      </c>
      <c r="P3558">
        <f>-660.409352480072 -180.02237475666 -219.932321087242</f>
        <v>-1060.364048323974</v>
      </c>
      <c r="Q3558">
        <f>-460.443559733396 -92.9336821025497 -299.793060104173</f>
        <v>-853.17030194011863</v>
      </c>
      <c r="R3558" t="s">
        <v>68534</v>
      </c>
      <c r="S3558" t="s">
        <v>68535</v>
      </c>
      <c r="T3558" t="s">
        <v>68536</v>
      </c>
      <c r="U3558" t="s">
        <v>68537</v>
      </c>
      <c r="V3558">
        <f>-593.802118065685 -55.3604983656862 -92.8743992932809</f>
        <v>-742.03701572465218</v>
      </c>
      <c r="W3558" t="s">
        <v>68538</v>
      </c>
      <c r="X3558" t="s">
        <v>68539</v>
      </c>
      <c r="Y3558" t="s">
        <v>68540</v>
      </c>
    </row>
    <row r="3559" spans="1:25" x14ac:dyDescent="0.3">
      <c r="A3559">
        <v>177900</v>
      </c>
      <c r="B3559" t="s">
        <v>68541</v>
      </c>
      <c r="C3559" t="s">
        <v>68542</v>
      </c>
      <c r="D3559" t="s">
        <v>68543</v>
      </c>
      <c r="E3559" t="s">
        <v>68544</v>
      </c>
      <c r="F3559" t="s">
        <v>68545</v>
      </c>
      <c r="G3559" t="s">
        <v>68546</v>
      </c>
      <c r="H3559" t="s">
        <v>68547</v>
      </c>
      <c r="I3559" t="s">
        <v>68548</v>
      </c>
      <c r="J3559" t="s">
        <v>68549</v>
      </c>
      <c r="K3559" t="s">
        <v>68550</v>
      </c>
      <c r="L3559" t="s">
        <v>68551</v>
      </c>
      <c r="M3559" t="s">
        <v>68552</v>
      </c>
      <c r="N3559">
        <f>-657.945848636575 -1.79150015125674 -529.946444103478</f>
        <v>-1189.6837928913096</v>
      </c>
      <c r="O3559">
        <f>-659.573939770244 -155.017647449792 -500.690444858931</f>
        <v>-1315.2820320789669</v>
      </c>
      <c r="P3559">
        <f>-660.724074140233 -179.815087723219 -219.688131006353</f>
        <v>-1060.2272928698051</v>
      </c>
      <c r="Q3559">
        <f>-460.84112700272 -92.6949763809923 -299.722072154968</f>
        <v>-853.25817553868023</v>
      </c>
      <c r="R3559" t="s">
        <v>68553</v>
      </c>
      <c r="S3559" t="s">
        <v>68554</v>
      </c>
      <c r="T3559" t="s">
        <v>68555</v>
      </c>
      <c r="U3559" t="s">
        <v>68556</v>
      </c>
      <c r="V3559">
        <f>-594.351242668692 -55.3722095483799 -92.9010490108003</f>
        <v>-742.6245012278722</v>
      </c>
      <c r="W3559" t="s">
        <v>68557</v>
      </c>
      <c r="X3559" t="s">
        <v>68558</v>
      </c>
      <c r="Y3559" t="s">
        <v>68559</v>
      </c>
    </row>
    <row r="3560" spans="1:25" x14ac:dyDescent="0.3">
      <c r="A3560">
        <v>177950</v>
      </c>
      <c r="B3560" t="s">
        <v>68560</v>
      </c>
      <c r="C3560" t="s">
        <v>68561</v>
      </c>
      <c r="D3560" t="s">
        <v>68562</v>
      </c>
      <c r="E3560" t="s">
        <v>68563</v>
      </c>
      <c r="F3560" t="s">
        <v>68564</v>
      </c>
      <c r="G3560" t="s">
        <v>68565</v>
      </c>
      <c r="H3560" t="s">
        <v>68566</v>
      </c>
      <c r="I3560" t="s">
        <v>68567</v>
      </c>
      <c r="J3560" t="s">
        <v>68568</v>
      </c>
      <c r="K3560" t="s">
        <v>68569</v>
      </c>
      <c r="L3560" t="s">
        <v>68570</v>
      </c>
      <c r="M3560" t="s">
        <v>68571</v>
      </c>
      <c r="N3560">
        <f>-658.377409847947 -1.77410448980322 -529.914561408533</f>
        <v>-1190.0660757462833</v>
      </c>
      <c r="O3560">
        <f>-659.857869633062 -155.003335165577 -500.63713218556</f>
        <v>-1315.4983369841991</v>
      </c>
      <c r="P3560">
        <f>-660.91383297412 -179.730531636196 -219.628216498095</f>
        <v>-1060.272581108411</v>
      </c>
      <c r="Q3560">
        <f>-461.02482784725 -92.5438262004395 -299.574191884734</f>
        <v>-853.14284593242348</v>
      </c>
      <c r="R3560" t="s">
        <v>68572</v>
      </c>
      <c r="S3560" t="s">
        <v>68573</v>
      </c>
      <c r="T3560" t="s">
        <v>68574</v>
      </c>
      <c r="U3560" t="s">
        <v>68575</v>
      </c>
      <c r="V3560">
        <f>-594.556376191164 -55.2597319715526 -92.9158094049189</f>
        <v>-742.73191756763549</v>
      </c>
      <c r="W3560" t="s">
        <v>68576</v>
      </c>
      <c r="X3560" t="s">
        <v>68577</v>
      </c>
      <c r="Y3560" t="s">
        <v>68578</v>
      </c>
    </row>
    <row r="3561" spans="1:25" x14ac:dyDescent="0.3">
      <c r="A3561">
        <v>178000</v>
      </c>
      <c r="B3561" t="s">
        <v>68579</v>
      </c>
      <c r="C3561" t="s">
        <v>68580</v>
      </c>
      <c r="D3561" t="s">
        <v>68581</v>
      </c>
      <c r="E3561" t="s">
        <v>68582</v>
      </c>
      <c r="F3561" t="s">
        <v>68583</v>
      </c>
      <c r="G3561" t="s">
        <v>68584</v>
      </c>
      <c r="H3561" t="s">
        <v>68585</v>
      </c>
      <c r="I3561" t="s">
        <v>68586</v>
      </c>
      <c r="J3561" t="s">
        <v>68587</v>
      </c>
      <c r="K3561" t="s">
        <v>68588</v>
      </c>
      <c r="L3561" t="s">
        <v>68589</v>
      </c>
      <c r="M3561" t="s">
        <v>68590</v>
      </c>
      <c r="N3561">
        <f>-659.138104719977 -1.76526026398324 -529.856063107207</f>
        <v>-1190.7594280911671</v>
      </c>
      <c r="O3561">
        <f>-660.238472045468 -154.987186227302 -500.541877124338</f>
        <v>-1315.7675353971081</v>
      </c>
      <c r="P3561">
        <f>-661.013909006266 -179.623143586107 -219.523975912243</f>
        <v>-1060.1610285046161</v>
      </c>
      <c r="Q3561">
        <f>-461.130435646718 -92.2535022717009 -299.283865627833</f>
        <v>-852.66780354625189</v>
      </c>
      <c r="R3561" t="s">
        <v>68591</v>
      </c>
      <c r="S3561" t="s">
        <v>68592</v>
      </c>
      <c r="T3561" t="s">
        <v>68593</v>
      </c>
      <c r="U3561" t="s">
        <v>68594</v>
      </c>
      <c r="V3561">
        <f>-594.868905093389 -55.0836678849801 -92.9287359687844</f>
        <v>-742.88130894715346</v>
      </c>
      <c r="W3561" t="s">
        <v>68595</v>
      </c>
      <c r="X3561" t="s">
        <v>68596</v>
      </c>
      <c r="Y3561" t="s">
        <v>68597</v>
      </c>
    </row>
    <row r="3562" spans="1:25" x14ac:dyDescent="0.3">
      <c r="A3562">
        <v>178050</v>
      </c>
      <c r="B3562" t="s">
        <v>68598</v>
      </c>
      <c r="C3562" t="s">
        <v>68599</v>
      </c>
      <c r="D3562" t="s">
        <v>68600</v>
      </c>
      <c r="E3562" t="s">
        <v>68601</v>
      </c>
      <c r="F3562" t="s">
        <v>68602</v>
      </c>
      <c r="G3562" t="s">
        <v>68603</v>
      </c>
      <c r="H3562" t="s">
        <v>68604</v>
      </c>
      <c r="I3562" t="s">
        <v>68605</v>
      </c>
      <c r="J3562" t="s">
        <v>68606</v>
      </c>
      <c r="K3562" t="s">
        <v>68607</v>
      </c>
      <c r="L3562" t="s">
        <v>68608</v>
      </c>
      <c r="M3562" t="s">
        <v>68609</v>
      </c>
      <c r="N3562">
        <f>-659.510963385391 -1.80269529054112 -529.818906209864</f>
        <v>-1191.1325648857962</v>
      </c>
      <c r="O3562">
        <f>-660.429551123299 -155.020576785989 -500.482946942842</f>
        <v>-1315.9330748521299</v>
      </c>
      <c r="P3562">
        <f>-661.027540563189 -179.616043336906 -219.460993990078</f>
        <v>-1060.104577890173</v>
      </c>
      <c r="Q3562">
        <f>-461.116984763923 -92.2308224979897 -299.136194827875</f>
        <v>-852.48400208978774</v>
      </c>
      <c r="R3562" t="s">
        <v>68610</v>
      </c>
      <c r="S3562" t="s">
        <v>68611</v>
      </c>
      <c r="T3562" t="s">
        <v>68612</v>
      </c>
      <c r="U3562" t="s">
        <v>68613</v>
      </c>
      <c r="V3562">
        <f>-594.963348825479 -55.0296915409888 -92.9359171392944</f>
        <v>-742.92895750576213</v>
      </c>
      <c r="W3562" t="s">
        <v>68614</v>
      </c>
      <c r="X3562" t="s">
        <v>68615</v>
      </c>
      <c r="Y3562" t="s">
        <v>68616</v>
      </c>
    </row>
    <row r="3563" spans="1:25" x14ac:dyDescent="0.3">
      <c r="A3563">
        <v>178100</v>
      </c>
      <c r="B3563" t="s">
        <v>68617</v>
      </c>
      <c r="C3563" t="s">
        <v>68618</v>
      </c>
      <c r="D3563" t="s">
        <v>68619</v>
      </c>
      <c r="E3563" t="s">
        <v>68620</v>
      </c>
      <c r="F3563" t="s">
        <v>68621</v>
      </c>
      <c r="G3563" t="s">
        <v>68622</v>
      </c>
      <c r="H3563" t="s">
        <v>68623</v>
      </c>
      <c r="I3563" t="s">
        <v>68624</v>
      </c>
      <c r="J3563" t="s">
        <v>68625</v>
      </c>
      <c r="K3563" t="s">
        <v>68626</v>
      </c>
      <c r="L3563" t="s">
        <v>68627</v>
      </c>
      <c r="M3563" t="s">
        <v>68628</v>
      </c>
      <c r="N3563">
        <f>-660.374912117645 -2.0191617093551 -529.744090944745</f>
        <v>-1192.1381647717451</v>
      </c>
      <c r="O3563">
        <f>-660.883607286121 -155.240565063565 -500.407950986586</f>
        <v>-1316.532123336272</v>
      </c>
      <c r="P3563">
        <f>-661.038046360166 -179.76406115422 -219.37918405192</f>
        <v>-1060.1812915663061</v>
      </c>
      <c r="Q3563">
        <f>-461.209985860998 -92.0778089324101 -298.930438741413</f>
        <v>-852.21823353482114</v>
      </c>
      <c r="R3563" t="s">
        <v>68629</v>
      </c>
      <c r="S3563" t="s">
        <v>68630</v>
      </c>
      <c r="T3563" t="s">
        <v>68631</v>
      </c>
      <c r="U3563" t="s">
        <v>68632</v>
      </c>
      <c r="V3563">
        <f>-595.118995686393 -55.0781241431478 -92.9467680114325</f>
        <v>-743.14388784097321</v>
      </c>
      <c r="W3563" t="s">
        <v>68633</v>
      </c>
      <c r="X3563" t="s">
        <v>68634</v>
      </c>
      <c r="Y3563" t="s">
        <v>68635</v>
      </c>
    </row>
    <row r="3564" spans="1:25" x14ac:dyDescent="0.3">
      <c r="A3564">
        <v>178150</v>
      </c>
      <c r="B3564" t="s">
        <v>68636</v>
      </c>
      <c r="C3564" t="s">
        <v>68637</v>
      </c>
      <c r="D3564" t="s">
        <v>68638</v>
      </c>
      <c r="E3564" t="s">
        <v>68639</v>
      </c>
      <c r="F3564" t="s">
        <v>68640</v>
      </c>
      <c r="G3564" t="s">
        <v>68641</v>
      </c>
      <c r="H3564" t="s">
        <v>68642</v>
      </c>
      <c r="I3564" t="s">
        <v>68643</v>
      </c>
      <c r="J3564" t="s">
        <v>68644</v>
      </c>
      <c r="K3564" t="s">
        <v>68645</v>
      </c>
      <c r="L3564" t="s">
        <v>68646</v>
      </c>
      <c r="M3564" t="s">
        <v>68647</v>
      </c>
      <c r="N3564">
        <f>-660.800499231451 -2.08320969285433 -529.692834693704</f>
        <v>-1192.5765436180093</v>
      </c>
      <c r="O3564">
        <f>-661.084992060402 -155.312408217356 -500.399771159583</f>
        <v>-1316.7971714373409</v>
      </c>
      <c r="P3564">
        <f>-661.054050908 -179.895745540343 -219.376143194051</f>
        <v>-1060.3259396423941</v>
      </c>
      <c r="Q3564">
        <f>-461.22615725993 -92.0333368891831 -298.733270218163</f>
        <v>-851.9927643672761</v>
      </c>
      <c r="R3564" t="s">
        <v>68648</v>
      </c>
      <c r="S3564" t="s">
        <v>68649</v>
      </c>
      <c r="T3564" t="s">
        <v>68650</v>
      </c>
      <c r="U3564" t="s">
        <v>68651</v>
      </c>
      <c r="V3564">
        <f>-595.1405683575 -55.0946067835348 -92.9482998167497</f>
        <v>-743.18347495778448</v>
      </c>
      <c r="W3564" t="s">
        <v>68652</v>
      </c>
      <c r="X3564" t="s">
        <v>68653</v>
      </c>
      <c r="Y3564" t="s">
        <v>68654</v>
      </c>
    </row>
    <row r="3565" spans="1:25" x14ac:dyDescent="0.3">
      <c r="A3565">
        <v>178200</v>
      </c>
      <c r="B3565" t="s">
        <v>68655</v>
      </c>
      <c r="C3565" t="s">
        <v>68656</v>
      </c>
      <c r="D3565" t="s">
        <v>68657</v>
      </c>
      <c r="E3565" t="s">
        <v>68658</v>
      </c>
      <c r="F3565" t="s">
        <v>68659</v>
      </c>
      <c r="G3565" t="s">
        <v>68660</v>
      </c>
      <c r="H3565" t="s">
        <v>68661</v>
      </c>
      <c r="I3565" t="s">
        <v>68662</v>
      </c>
      <c r="J3565" t="s">
        <v>68663</v>
      </c>
      <c r="K3565" t="s">
        <v>68664</v>
      </c>
      <c r="L3565" t="s">
        <v>68665</v>
      </c>
      <c r="M3565" t="s">
        <v>68666</v>
      </c>
      <c r="N3565">
        <f>-661.621225598429 -2.27732837911503 -529.60101502176</f>
        <v>-1193.4995689993038</v>
      </c>
      <c r="O3565">
        <f>-661.516455346474 -155.519255557308 -500.385143315767</f>
        <v>-1317.420854219549</v>
      </c>
      <c r="P3565">
        <f>-661.191767634374 -180.024122652817 -219.354879315666</f>
        <v>-1060.5707696028569</v>
      </c>
      <c r="Q3565">
        <f>-461.201727838315 -92.3158897827796 -298.473700198655</f>
        <v>-851.99131781974961</v>
      </c>
      <c r="R3565" t="s">
        <v>68667</v>
      </c>
      <c r="S3565" t="s">
        <v>68668</v>
      </c>
      <c r="T3565" t="s">
        <v>68669</v>
      </c>
      <c r="U3565" t="s">
        <v>68670</v>
      </c>
      <c r="V3565">
        <f>-595.194678181324 -55.2732363841815 -92.9560380856552</f>
        <v>-743.42395265116068</v>
      </c>
      <c r="W3565" t="s">
        <v>68671</v>
      </c>
      <c r="X3565" t="s">
        <v>68672</v>
      </c>
      <c r="Y3565" t="s">
        <v>68673</v>
      </c>
    </row>
    <row r="3566" spans="1:25" x14ac:dyDescent="0.3">
      <c r="A3566">
        <v>178250</v>
      </c>
      <c r="B3566" t="s">
        <v>68674</v>
      </c>
      <c r="C3566" t="s">
        <v>68675</v>
      </c>
      <c r="D3566" t="s">
        <v>68676</v>
      </c>
      <c r="E3566" t="s">
        <v>68677</v>
      </c>
      <c r="F3566" t="s">
        <v>68678</v>
      </c>
      <c r="G3566" t="s">
        <v>68679</v>
      </c>
      <c r="H3566" t="s">
        <v>68680</v>
      </c>
      <c r="I3566" t="s">
        <v>68681</v>
      </c>
      <c r="J3566" t="s">
        <v>68682</v>
      </c>
      <c r="K3566" t="s">
        <v>68683</v>
      </c>
      <c r="L3566" t="s">
        <v>68684</v>
      </c>
      <c r="M3566" t="s">
        <v>68685</v>
      </c>
      <c r="N3566">
        <f>-661.953233296018 -2.46496145117453 -529.563207247994</f>
        <v>-1193.9814019951864</v>
      </c>
      <c r="O3566">
        <f>-661.685273963519 -155.712489784898 -500.368906768067</f>
        <v>-1317.7666705164841</v>
      </c>
      <c r="P3566">
        <f>-661.334354011012 -180.183863791689 -219.335734143559</f>
        <v>-1060.8539519462599</v>
      </c>
      <c r="Q3566">
        <f>-461.241182334818 -92.667639004686 -298.406309441878</f>
        <v>-852.31513078138209</v>
      </c>
      <c r="R3566" t="s">
        <v>68686</v>
      </c>
      <c r="S3566" t="s">
        <v>68687</v>
      </c>
      <c r="T3566" t="s">
        <v>68688</v>
      </c>
      <c r="U3566" t="s">
        <v>68689</v>
      </c>
      <c r="V3566">
        <f>-595.208779166555 -55.3952203408596 -92.9655186677483</f>
        <v>-743.5695181751629</v>
      </c>
      <c r="W3566" t="s">
        <v>68690</v>
      </c>
      <c r="X3566" t="s">
        <v>68691</v>
      </c>
      <c r="Y3566" t="s">
        <v>68692</v>
      </c>
    </row>
    <row r="3567" spans="1:25" x14ac:dyDescent="0.3">
      <c r="A3567">
        <v>178300</v>
      </c>
      <c r="B3567" t="s">
        <v>68693</v>
      </c>
      <c r="C3567" t="s">
        <v>68694</v>
      </c>
      <c r="D3567" t="s">
        <v>68695</v>
      </c>
      <c r="E3567" t="s">
        <v>68696</v>
      </c>
      <c r="F3567" t="s">
        <v>68697</v>
      </c>
      <c r="G3567" t="s">
        <v>68698</v>
      </c>
      <c r="H3567" t="s">
        <v>68699</v>
      </c>
      <c r="I3567" t="s">
        <v>68700</v>
      </c>
      <c r="J3567" t="s">
        <v>68701</v>
      </c>
      <c r="K3567" t="s">
        <v>68702</v>
      </c>
      <c r="L3567" t="s">
        <v>68703</v>
      </c>
      <c r="M3567" t="s">
        <v>68704</v>
      </c>
      <c r="N3567">
        <f>-662.325996495779 -2.91882792017122 -529.544111524311</f>
        <v>-1194.7889359402611</v>
      </c>
      <c r="O3567">
        <f>-661.839406439265 -156.170030228376 -500.35821612187</f>
        <v>-1318.3676527895109</v>
      </c>
      <c r="P3567">
        <f>-661.452543104304 -180.517543525338 -219.314294878727</f>
        <v>-1061.2843815083691</v>
      </c>
      <c r="Q3567">
        <f>-461.317249343822 -93.1897054156493 -298.48669670832</f>
        <v>-852.99365146779132</v>
      </c>
      <c r="R3567" t="s">
        <v>68705</v>
      </c>
      <c r="S3567" t="s">
        <v>68706</v>
      </c>
      <c r="T3567" t="s">
        <v>68707</v>
      </c>
      <c r="U3567" t="s">
        <v>68708</v>
      </c>
      <c r="V3567">
        <f>-595.329040447752 -55.6982287018202 -92.9805548309507</f>
        <v>-744.00782398052297</v>
      </c>
      <c r="W3567" t="s">
        <v>68709</v>
      </c>
      <c r="X3567" t="s">
        <v>68710</v>
      </c>
      <c r="Y3567" t="s">
        <v>68711</v>
      </c>
    </row>
    <row r="3568" spans="1:25" x14ac:dyDescent="0.3">
      <c r="A3568">
        <v>178350</v>
      </c>
      <c r="B3568" t="s">
        <v>68712</v>
      </c>
      <c r="C3568" t="s">
        <v>68713</v>
      </c>
      <c r="D3568" t="s">
        <v>68714</v>
      </c>
      <c r="E3568" t="s">
        <v>68715</v>
      </c>
      <c r="F3568" t="s">
        <v>68716</v>
      </c>
      <c r="G3568" t="s">
        <v>68717</v>
      </c>
      <c r="H3568" t="s">
        <v>68718</v>
      </c>
      <c r="I3568" t="s">
        <v>68719</v>
      </c>
      <c r="J3568" t="s">
        <v>68720</v>
      </c>
      <c r="K3568" t="s">
        <v>68721</v>
      </c>
      <c r="L3568" t="s">
        <v>68722</v>
      </c>
      <c r="M3568" t="s">
        <v>68723</v>
      </c>
      <c r="N3568">
        <f>-662.253485636795 -3.15709670043702 -529.562698994454</f>
        <v>-1194.9732813316859</v>
      </c>
      <c r="O3568">
        <f>-661.722650223669 -156.402790763648 -500.344639921782</f>
        <v>-1318.4700809090991</v>
      </c>
      <c r="P3568">
        <f>-661.42058429042 -180.573343469257 -219.285459007991</f>
        <v>-1061.279386767668</v>
      </c>
      <c r="Q3568">
        <f>-461.294692503559 -93.3777284884222 -298.626946428737</f>
        <v>-853.29936742071823</v>
      </c>
      <c r="R3568" t="s">
        <v>68724</v>
      </c>
      <c r="S3568" t="s">
        <v>68725</v>
      </c>
      <c r="T3568" t="s">
        <v>68726</v>
      </c>
      <c r="U3568" t="s">
        <v>68727</v>
      </c>
      <c r="V3568">
        <f>-595.432938267675 -55.8098648643031 -92.9856230371419</f>
        <v>-744.22842616911998</v>
      </c>
      <c r="W3568" t="s">
        <v>68728</v>
      </c>
      <c r="X3568" t="s">
        <v>68729</v>
      </c>
      <c r="Y3568" t="s">
        <v>68730</v>
      </c>
    </row>
    <row r="3569" spans="1:25" x14ac:dyDescent="0.3">
      <c r="A3569">
        <v>178400</v>
      </c>
      <c r="B3569" t="s">
        <v>68731</v>
      </c>
      <c r="C3569" t="s">
        <v>68732</v>
      </c>
      <c r="D3569" t="s">
        <v>68733</v>
      </c>
      <c r="E3569" t="s">
        <v>68734</v>
      </c>
      <c r="F3569" t="s">
        <v>68735</v>
      </c>
      <c r="G3569" t="s">
        <v>68736</v>
      </c>
      <c r="H3569" t="s">
        <v>68737</v>
      </c>
      <c r="I3569" t="s">
        <v>68738</v>
      </c>
      <c r="J3569" t="s">
        <v>68739</v>
      </c>
      <c r="K3569" t="s">
        <v>68740</v>
      </c>
      <c r="L3569" t="s">
        <v>68741</v>
      </c>
      <c r="M3569" t="s">
        <v>68742</v>
      </c>
      <c r="N3569">
        <f>-661.93932059775 -3.64641001818723 -529.605105793575</f>
        <v>-1195.1908364095123</v>
      </c>
      <c r="O3569">
        <f>-661.401313670451 -156.875737128866 -500.298504618761</f>
        <v>-1318.575555418078</v>
      </c>
      <c r="P3569">
        <f>-661.41737100792 -180.904242828569 -219.226910305156</f>
        <v>-1061.548524141645</v>
      </c>
      <c r="Q3569">
        <f>-461.173556211187 -94.084349489531 -298.682961408787</f>
        <v>-853.94086710950501</v>
      </c>
      <c r="R3569" t="s">
        <v>68743</v>
      </c>
      <c r="S3569" t="s">
        <v>68744</v>
      </c>
      <c r="T3569" t="s">
        <v>68745</v>
      </c>
      <c r="U3569" t="s">
        <v>68746</v>
      </c>
      <c r="V3569">
        <f>-595.569707419566 -56.1140029384135 -92.9937624659667</f>
        <v>-744.67747282394623</v>
      </c>
      <c r="W3569" t="s">
        <v>68747</v>
      </c>
      <c r="X3569" t="s">
        <v>68748</v>
      </c>
      <c r="Y3569" t="s">
        <v>68749</v>
      </c>
    </row>
    <row r="3570" spans="1:25" x14ac:dyDescent="0.3">
      <c r="A3570">
        <v>178450</v>
      </c>
      <c r="B3570" t="s">
        <v>68750</v>
      </c>
      <c r="C3570" t="s">
        <v>68751</v>
      </c>
      <c r="D3570" t="s">
        <v>68752</v>
      </c>
      <c r="E3570" t="s">
        <v>68753</v>
      </c>
      <c r="F3570" t="s">
        <v>68754</v>
      </c>
      <c r="G3570" t="s">
        <v>68755</v>
      </c>
      <c r="H3570" t="s">
        <v>68756</v>
      </c>
      <c r="I3570" t="s">
        <v>68757</v>
      </c>
      <c r="J3570" t="s">
        <v>68758</v>
      </c>
      <c r="K3570" t="s">
        <v>68759</v>
      </c>
      <c r="L3570" t="s">
        <v>68760</v>
      </c>
      <c r="M3570" t="s">
        <v>68761</v>
      </c>
      <c r="N3570">
        <f>-661.802115044646 -3.9487134009255 -529.638197101722</f>
        <v>-1195.3890255472934</v>
      </c>
      <c r="O3570">
        <f>-661.318603224082 -157.164137324889 -500.25855516233</f>
        <v>-1318.7412957113011</v>
      </c>
      <c r="P3570">
        <f>-661.559276926178 -181.043412738426 -219.174324736833</f>
        <v>-1061.7770144014371</v>
      </c>
      <c r="Q3570">
        <f>-461.134749346946 -94.5894108209598 -298.573754104088</f>
        <v>-854.2979142719937</v>
      </c>
      <c r="R3570" t="s">
        <v>68762</v>
      </c>
      <c r="S3570" t="s">
        <v>68763</v>
      </c>
      <c r="T3570" t="s">
        <v>68764</v>
      </c>
      <c r="U3570" t="s">
        <v>68765</v>
      </c>
      <c r="V3570">
        <f>-595.639031282583 -56.3094409863315 -92.9987260699982</f>
        <v>-744.9471983389127</v>
      </c>
      <c r="W3570" t="s">
        <v>68766</v>
      </c>
      <c r="X3570" t="s">
        <v>68767</v>
      </c>
      <c r="Y3570" t="s">
        <v>68768</v>
      </c>
    </row>
    <row r="3571" spans="1:25" x14ac:dyDescent="0.3">
      <c r="A3571">
        <v>178500</v>
      </c>
      <c r="B3571" t="s">
        <v>68769</v>
      </c>
      <c r="C3571" t="s">
        <v>68770</v>
      </c>
      <c r="D3571" t="s">
        <v>68771</v>
      </c>
      <c r="E3571" t="s">
        <v>68772</v>
      </c>
      <c r="F3571" t="s">
        <v>68773</v>
      </c>
      <c r="G3571" t="s">
        <v>68774</v>
      </c>
      <c r="H3571" t="s">
        <v>68775</v>
      </c>
      <c r="I3571" t="s">
        <v>68776</v>
      </c>
      <c r="J3571" t="s">
        <v>68777</v>
      </c>
      <c r="K3571" t="s">
        <v>68778</v>
      </c>
      <c r="L3571" t="s">
        <v>68779</v>
      </c>
      <c r="M3571" t="s">
        <v>68780</v>
      </c>
      <c r="N3571">
        <f>-661.526780872139 -4.14130845774389 -529.683924796917</f>
        <v>-1195.3520141268</v>
      </c>
      <c r="O3571">
        <f>-661.085552052261 -157.337427648073 -500.217627663427</f>
        <v>-1318.6406073637611</v>
      </c>
      <c r="P3571">
        <f>-661.576651572716 -181.022425686953 -219.117293543781</f>
        <v>-1061.71637080345</v>
      </c>
      <c r="Q3571">
        <f>-460.921055851446 -95.0104434166876 -298.412962511624</f>
        <v>-854.34446177975769</v>
      </c>
      <c r="R3571" t="s">
        <v>68781</v>
      </c>
      <c r="S3571" t="s">
        <v>68782</v>
      </c>
      <c r="T3571" t="s">
        <v>68783</v>
      </c>
      <c r="U3571" t="s">
        <v>68784</v>
      </c>
      <c r="V3571">
        <f>-595.677822261477 -56.4335108561322 -92.9956857907008</f>
        <v>-745.10701890831001</v>
      </c>
      <c r="W3571" t="s">
        <v>68785</v>
      </c>
      <c r="X3571" t="s">
        <v>68786</v>
      </c>
      <c r="Y3571" t="s">
        <v>68787</v>
      </c>
    </row>
    <row r="3572" spans="1:25" x14ac:dyDescent="0.3">
      <c r="A3572">
        <v>178550</v>
      </c>
      <c r="B3572" t="s">
        <v>68788</v>
      </c>
      <c r="C3572" t="s">
        <v>68789</v>
      </c>
      <c r="D3572" t="s">
        <v>68790</v>
      </c>
      <c r="E3572" t="s">
        <v>68791</v>
      </c>
      <c r="F3572" t="s">
        <v>68792</v>
      </c>
      <c r="G3572" t="s">
        <v>68793</v>
      </c>
      <c r="H3572" t="s">
        <v>68794</v>
      </c>
      <c r="I3572" t="s">
        <v>68795</v>
      </c>
      <c r="J3572" t="s">
        <v>68796</v>
      </c>
      <c r="K3572" t="s">
        <v>68797</v>
      </c>
      <c r="L3572" t="s">
        <v>68798</v>
      </c>
      <c r="M3572" t="s">
        <v>68799</v>
      </c>
      <c r="N3572">
        <f>-661.211650143489 -4.26094096333327 -529.718040338935</f>
        <v>-1195.1906314457574</v>
      </c>
      <c r="O3572">
        <f>-660.771672082737 -157.449128562585 -500.217315860473</f>
        <v>-1318.4381165057951</v>
      </c>
      <c r="P3572">
        <f>-661.460972188339 -180.858630935642 -219.094300244812</f>
        <v>-1061.4139033687932</v>
      </c>
      <c r="Q3572">
        <f>-460.602099695177 -95.2128545144587 -298.271693669891</f>
        <v>-854.08664787952671</v>
      </c>
      <c r="R3572" t="s">
        <v>68800</v>
      </c>
      <c r="S3572" t="s">
        <v>68801</v>
      </c>
      <c r="T3572" t="s">
        <v>68802</v>
      </c>
      <c r="U3572" t="s">
        <v>68803</v>
      </c>
      <c r="V3572">
        <f>-595.687847664955 -56.4455209059181 -92.9976691813798</f>
        <v>-745.13103775225295</v>
      </c>
      <c r="W3572" t="s">
        <v>68804</v>
      </c>
      <c r="X3572" t="s">
        <v>68805</v>
      </c>
      <c r="Y3572" t="s">
        <v>68806</v>
      </c>
    </row>
    <row r="3573" spans="1:25" x14ac:dyDescent="0.3">
      <c r="A3573">
        <v>178600</v>
      </c>
      <c r="B3573" t="s">
        <v>68807</v>
      </c>
      <c r="C3573" t="s">
        <v>68808</v>
      </c>
      <c r="D3573" t="s">
        <v>68809</v>
      </c>
      <c r="E3573" t="s">
        <v>68810</v>
      </c>
      <c r="F3573" t="s">
        <v>68811</v>
      </c>
      <c r="G3573" t="s">
        <v>68812</v>
      </c>
      <c r="H3573" t="s">
        <v>68813</v>
      </c>
      <c r="I3573" t="s">
        <v>68814</v>
      </c>
      <c r="J3573" t="s">
        <v>68815</v>
      </c>
      <c r="K3573" t="s">
        <v>68816</v>
      </c>
      <c r="L3573" t="s">
        <v>68817</v>
      </c>
      <c r="M3573" t="s">
        <v>68818</v>
      </c>
      <c r="N3573">
        <f>-660.724012713589 -4.61522234588188 -529.707981454104</f>
        <v>-1195.0472165135748</v>
      </c>
      <c r="O3573">
        <f>-660.246179288691 -157.757402227513 -499.983545560522</f>
        <v>-1317.987127076726</v>
      </c>
      <c r="P3573">
        <f>-661.045934909081 -180.953517365671 -218.843063710009</f>
        <v>-1060.8425159847611</v>
      </c>
      <c r="Q3573">
        <f>-460.008925744098 -95.6724202788193 -297.961820074202</f>
        <v>-853.64316609711932</v>
      </c>
      <c r="R3573" t="s">
        <v>68819</v>
      </c>
      <c r="S3573" t="s">
        <v>68820</v>
      </c>
      <c r="T3573" t="s">
        <v>68821</v>
      </c>
      <c r="U3573" t="s">
        <v>68822</v>
      </c>
      <c r="V3573">
        <f>-595.527522309497 -56.4059779724407 -92.9867036804366</f>
        <v>-744.92020396237433</v>
      </c>
      <c r="W3573" t="s">
        <v>68823</v>
      </c>
      <c r="X3573" t="s">
        <v>68824</v>
      </c>
      <c r="Y3573" t="s">
        <v>68825</v>
      </c>
    </row>
    <row r="3574" spans="1:25" x14ac:dyDescent="0.3">
      <c r="A3574">
        <v>178650</v>
      </c>
      <c r="B3574" t="s">
        <v>68826</v>
      </c>
      <c r="C3574" t="s">
        <v>68827</v>
      </c>
      <c r="D3574" t="s">
        <v>68828</v>
      </c>
      <c r="E3574" t="s">
        <v>68829</v>
      </c>
      <c r="F3574" t="s">
        <v>68830</v>
      </c>
      <c r="G3574" t="s">
        <v>68831</v>
      </c>
      <c r="H3574" t="s">
        <v>68832</v>
      </c>
      <c r="I3574" t="s">
        <v>68833</v>
      </c>
      <c r="J3574" t="s">
        <v>68834</v>
      </c>
      <c r="K3574" t="s">
        <v>68835</v>
      </c>
      <c r="L3574" t="s">
        <v>68836</v>
      </c>
      <c r="M3574" t="s">
        <v>68837</v>
      </c>
      <c r="N3574">
        <f>-660.522864315452 -4.7887173327872 -529.687315899763</f>
        <v>-1194.9988975480023</v>
      </c>
      <c r="O3574">
        <f>-660.009329270066 -157.907640519187 -499.818566590393</f>
        <v>-1317.735536379646</v>
      </c>
      <c r="P3574">
        <f>-660.78665714713 -180.832376996217 -218.655925531925</f>
        <v>-1060.2749596752719</v>
      </c>
      <c r="Q3574">
        <f>-459.721666057353 -95.7372023041958 -297.903687435673</f>
        <v>-853.36255579722183</v>
      </c>
      <c r="R3574" t="s">
        <v>68838</v>
      </c>
      <c r="S3574" t="s">
        <v>68839</v>
      </c>
      <c r="T3574" t="s">
        <v>68840</v>
      </c>
      <c r="U3574" t="s">
        <v>68841</v>
      </c>
      <c r="V3574">
        <f>-595.348796701113 -56.2974235890595 -92.973667329881</f>
        <v>-744.61988762005342</v>
      </c>
      <c r="W3574" t="s">
        <v>68842</v>
      </c>
      <c r="X3574" t="s">
        <v>68843</v>
      </c>
      <c r="Y3574" t="s">
        <v>68844</v>
      </c>
    </row>
    <row r="3575" spans="1:25" x14ac:dyDescent="0.3">
      <c r="A3575">
        <v>178700</v>
      </c>
      <c r="B3575" t="s">
        <v>68845</v>
      </c>
      <c r="C3575" t="s">
        <v>68846</v>
      </c>
      <c r="D3575" t="s">
        <v>68847</v>
      </c>
      <c r="E3575" t="s">
        <v>68848</v>
      </c>
      <c r="F3575" t="s">
        <v>68849</v>
      </c>
      <c r="G3575" t="s">
        <v>68850</v>
      </c>
      <c r="H3575" t="s">
        <v>68851</v>
      </c>
      <c r="I3575" t="s">
        <v>68852</v>
      </c>
      <c r="J3575" t="s">
        <v>68853</v>
      </c>
      <c r="K3575" t="s">
        <v>68854</v>
      </c>
      <c r="L3575" t="s">
        <v>68855</v>
      </c>
      <c r="M3575" t="s">
        <v>68856</v>
      </c>
      <c r="N3575">
        <f>-660.264376042704 -4.9768242612779 -529.618569501308</f>
        <v>-1194.8597698052899</v>
      </c>
      <c r="O3575">
        <f>-659.63360406148 -158.040047350549 -499.467295511553</f>
        <v>-1317.1409469235821</v>
      </c>
      <c r="P3575">
        <f>-660.236658253836 -180.314240091881 -218.251972526539</f>
        <v>-1058.8028708722561</v>
      </c>
      <c r="Q3575">
        <f>-459.234852614327 -95.4514655904707 -297.908246562581</f>
        <v>-852.59456476737864</v>
      </c>
      <c r="R3575" t="s">
        <v>68857</v>
      </c>
      <c r="S3575" t="s">
        <v>68858</v>
      </c>
      <c r="T3575" t="s">
        <v>68859</v>
      </c>
      <c r="U3575" t="s">
        <v>68860</v>
      </c>
      <c r="V3575">
        <f>-594.94116536872 -55.9924115420727 -92.9345718687499</f>
        <v>-743.86814877954259</v>
      </c>
      <c r="W3575" t="s">
        <v>68861</v>
      </c>
      <c r="X3575" t="s">
        <v>68862</v>
      </c>
      <c r="Y3575" t="s">
        <v>68863</v>
      </c>
    </row>
    <row r="3576" spans="1:25" x14ac:dyDescent="0.3">
      <c r="A3576">
        <v>178750</v>
      </c>
      <c r="B3576" t="s">
        <v>68864</v>
      </c>
      <c r="C3576" t="s">
        <v>68865</v>
      </c>
      <c r="D3576" t="s">
        <v>68866</v>
      </c>
      <c r="E3576" t="s">
        <v>68867</v>
      </c>
      <c r="F3576" t="s">
        <v>68868</v>
      </c>
      <c r="G3576" t="s">
        <v>68869</v>
      </c>
      <c r="H3576" t="s">
        <v>68870</v>
      </c>
      <c r="I3576" t="s">
        <v>68871</v>
      </c>
      <c r="J3576" t="s">
        <v>68872</v>
      </c>
      <c r="K3576" t="s">
        <v>68873</v>
      </c>
      <c r="L3576" t="s">
        <v>68874</v>
      </c>
      <c r="M3576" t="s">
        <v>68875</v>
      </c>
      <c r="N3576">
        <f>-660.029174436924 -5.14602675791048 -529.562666473049</f>
        <v>-1194.7378676678836</v>
      </c>
      <c r="O3576">
        <f>-659.170050028575 -158.159729727978 -499.162167427054</f>
        <v>-1316.491947183607</v>
      </c>
      <c r="P3576">
        <f>-659.427813361291 -180.041128206327 -217.915472111401</f>
        <v>-1057.384413679019</v>
      </c>
      <c r="Q3576">
        <f>-458.621561431047 -95.069934691252 -297.948398435934</f>
        <v>-851.63989455823298</v>
      </c>
      <c r="R3576" t="s">
        <v>68876</v>
      </c>
      <c r="S3576" t="s">
        <v>68877</v>
      </c>
      <c r="T3576" t="s">
        <v>68878</v>
      </c>
      <c r="U3576" t="s">
        <v>68879</v>
      </c>
      <c r="V3576">
        <f>-594.552307148138 -55.7544600059891 -92.8922058843483</f>
        <v>-743.1989730384754</v>
      </c>
      <c r="W3576" t="s">
        <v>68880</v>
      </c>
      <c r="X3576" t="s">
        <v>68881</v>
      </c>
      <c r="Y3576" t="s">
        <v>68882</v>
      </c>
    </row>
    <row r="3577" spans="1:25" x14ac:dyDescent="0.3">
      <c r="A3577">
        <v>178800</v>
      </c>
      <c r="B3577" t="s">
        <v>68883</v>
      </c>
      <c r="C3577" t="s">
        <v>68884</v>
      </c>
      <c r="D3577" t="s">
        <v>68885</v>
      </c>
      <c r="E3577" t="s">
        <v>68886</v>
      </c>
      <c r="F3577" t="s">
        <v>68887</v>
      </c>
      <c r="G3577" t="s">
        <v>68888</v>
      </c>
      <c r="H3577" t="s">
        <v>68889</v>
      </c>
      <c r="I3577" t="s">
        <v>68890</v>
      </c>
      <c r="J3577" t="s">
        <v>68891</v>
      </c>
      <c r="K3577" t="s">
        <v>68892</v>
      </c>
      <c r="L3577" t="s">
        <v>68893</v>
      </c>
      <c r="M3577" t="s">
        <v>68894</v>
      </c>
      <c r="N3577">
        <f>-659.923009804056 -5.28852107374678 -529.555322296019</f>
        <v>-1194.7668531738218</v>
      </c>
      <c r="O3577">
        <f>-658.954737260144 -158.277376816829 -499.055756290304</f>
        <v>-1316.287870367277</v>
      </c>
      <c r="P3577">
        <f>-658.993218433529 -180.057138771204 -217.800999415615</f>
        <v>-1056.851356620348</v>
      </c>
      <c r="Q3577">
        <f>-458.307969449864 -94.9599941296806 -298.00370378349</f>
        <v>-851.27166736303457</v>
      </c>
      <c r="R3577" t="s">
        <v>68895</v>
      </c>
      <c r="S3577" t="s">
        <v>68896</v>
      </c>
      <c r="T3577" t="s">
        <v>68897</v>
      </c>
      <c r="U3577" t="s">
        <v>68898</v>
      </c>
      <c r="V3577">
        <f>-594.427058716734 -55.7647501219042 -92.8834410581769</f>
        <v>-743.07524989681508</v>
      </c>
      <c r="W3577" t="s">
        <v>68899</v>
      </c>
      <c r="X3577" t="s">
        <v>68900</v>
      </c>
      <c r="Y3577" t="s">
        <v>68901</v>
      </c>
    </row>
    <row r="3578" spans="1:25" x14ac:dyDescent="0.3">
      <c r="A3578">
        <v>178850</v>
      </c>
      <c r="B3578" t="s">
        <v>68902</v>
      </c>
      <c r="C3578" t="s">
        <v>68903</v>
      </c>
      <c r="D3578" t="s">
        <v>68904</v>
      </c>
      <c r="E3578" t="s">
        <v>68905</v>
      </c>
      <c r="F3578" t="s">
        <v>68906</v>
      </c>
      <c r="G3578" t="s">
        <v>68907</v>
      </c>
      <c r="H3578" t="s">
        <v>68908</v>
      </c>
      <c r="I3578" t="s">
        <v>68909</v>
      </c>
      <c r="J3578" t="s">
        <v>68910</v>
      </c>
      <c r="K3578" t="s">
        <v>68911</v>
      </c>
      <c r="L3578" t="s">
        <v>68912</v>
      </c>
      <c r="M3578" t="s">
        <v>68913</v>
      </c>
      <c r="N3578">
        <f>-659.593106529807 -5.60639186849608 -529.539907564765</f>
        <v>-1194.7394059630681</v>
      </c>
      <c r="O3578">
        <f>-658.435658723241 -158.550174534754 -498.81199814559</f>
        <v>-1315.797831403585</v>
      </c>
      <c r="P3578">
        <f>-658.237731194508 -179.953621651857 -217.528381992521</f>
        <v>-1055.7197348388861</v>
      </c>
      <c r="Q3578">
        <f>-457.729846033182 -94.7303123615463 -298.039897285054</f>
        <v>-850.50005567978224</v>
      </c>
      <c r="R3578" t="s">
        <v>68914</v>
      </c>
      <c r="S3578" t="s">
        <v>68915</v>
      </c>
      <c r="T3578" t="s">
        <v>68916</v>
      </c>
      <c r="U3578" t="s">
        <v>68917</v>
      </c>
      <c r="V3578">
        <f>-594.147379076675 -55.7947383665107 -92.8778810300801</f>
        <v>-742.81999847326574</v>
      </c>
      <c r="W3578" t="s">
        <v>68918</v>
      </c>
      <c r="X3578" t="s">
        <v>68919</v>
      </c>
      <c r="Y3578" t="s">
        <v>68920</v>
      </c>
    </row>
    <row r="3579" spans="1:25" x14ac:dyDescent="0.3">
      <c r="A3579">
        <v>178900</v>
      </c>
      <c r="B3579" t="s">
        <v>68921</v>
      </c>
      <c r="C3579" t="s">
        <v>68922</v>
      </c>
      <c r="D3579" t="s">
        <v>68923</v>
      </c>
      <c r="E3579" t="s">
        <v>68924</v>
      </c>
      <c r="F3579" t="s">
        <v>68925</v>
      </c>
      <c r="G3579" t="s">
        <v>68926</v>
      </c>
      <c r="H3579" t="s">
        <v>68927</v>
      </c>
      <c r="I3579" t="s">
        <v>68928</v>
      </c>
      <c r="J3579" t="s">
        <v>68929</v>
      </c>
      <c r="K3579" t="s">
        <v>68930</v>
      </c>
      <c r="L3579" t="s">
        <v>68931</v>
      </c>
      <c r="M3579" t="s">
        <v>68932</v>
      </c>
      <c r="N3579">
        <f>-659.441698622833 -5.77221999994072 -529.537728829338</f>
        <v>-1194.7516474521117</v>
      </c>
      <c r="O3579">
        <f>-658.194096027243 -158.698413421082 -498.721763164928</f>
        <v>-1315.614272613253</v>
      </c>
      <c r="P3579">
        <f>-657.988055264438 -179.910062938106 -217.423685906475</f>
        <v>-1055.321804109019</v>
      </c>
      <c r="Q3579">
        <f>-457.536807388358 -94.6606045636327 -298.048466435823</f>
        <v>-850.24587838781372</v>
      </c>
      <c r="R3579" t="s">
        <v>68933</v>
      </c>
      <c r="S3579" t="s">
        <v>68934</v>
      </c>
      <c r="T3579" t="s">
        <v>68935</v>
      </c>
      <c r="U3579" t="s">
        <v>68936</v>
      </c>
      <c r="V3579">
        <f>-594.091081104991 -55.8904505030266 -92.8748236908771</f>
        <v>-742.85635529889464</v>
      </c>
      <c r="W3579" t="s">
        <v>68937</v>
      </c>
      <c r="X3579" t="s">
        <v>68938</v>
      </c>
      <c r="Y3579" t="s">
        <v>68939</v>
      </c>
    </row>
    <row r="3580" spans="1:25" x14ac:dyDescent="0.3">
      <c r="A3580">
        <v>178950</v>
      </c>
      <c r="B3580" t="s">
        <v>68940</v>
      </c>
      <c r="C3580" t="s">
        <v>68941</v>
      </c>
      <c r="D3580" t="s">
        <v>68942</v>
      </c>
      <c r="E3580" t="s">
        <v>68943</v>
      </c>
      <c r="F3580" t="s">
        <v>68944</v>
      </c>
      <c r="G3580" t="s">
        <v>68945</v>
      </c>
      <c r="H3580" t="s">
        <v>68946</v>
      </c>
      <c r="I3580" t="s">
        <v>68947</v>
      </c>
      <c r="J3580" t="s">
        <v>68948</v>
      </c>
      <c r="K3580" t="s">
        <v>68949</v>
      </c>
      <c r="L3580" t="s">
        <v>68950</v>
      </c>
      <c r="M3580" t="s">
        <v>68951</v>
      </c>
      <c r="N3580">
        <f>-659.485111281204 -5.88800394547116 -529.55904338542</f>
        <v>-1194.932158612095</v>
      </c>
      <c r="O3580">
        <f>-658.155751172761 -158.806692516767 -498.694068567308</f>
        <v>-1315.6565122568361</v>
      </c>
      <c r="P3580">
        <f>-657.937464188776 -179.882415402809 -217.385808838867</f>
        <v>-1055.205688430452</v>
      </c>
      <c r="Q3580">
        <f>-457.520419405437 -94.5802037749488 -298.039883347647</f>
        <v>-850.1405065280328</v>
      </c>
      <c r="R3580" t="s">
        <v>68952</v>
      </c>
      <c r="S3580" t="s">
        <v>68953</v>
      </c>
      <c r="T3580" t="s">
        <v>68954</v>
      </c>
      <c r="U3580" t="s">
        <v>68955</v>
      </c>
      <c r="V3580">
        <f>-594.162830708693 -56.1135248078222 -92.8858089258632</f>
        <v>-743.16216444237841</v>
      </c>
      <c r="W3580" t="s">
        <v>68956</v>
      </c>
      <c r="X3580" t="s">
        <v>68957</v>
      </c>
      <c r="Y3580" t="s">
        <v>68958</v>
      </c>
    </row>
    <row r="3581" spans="1:25" x14ac:dyDescent="0.3">
      <c r="A3581">
        <v>179000</v>
      </c>
      <c r="B3581" t="s">
        <v>68959</v>
      </c>
      <c r="C3581" t="s">
        <v>68960</v>
      </c>
      <c r="D3581" t="s">
        <v>68961</v>
      </c>
      <c r="E3581" t="s">
        <v>68962</v>
      </c>
      <c r="F3581" t="s">
        <v>68963</v>
      </c>
      <c r="G3581" t="s">
        <v>68964</v>
      </c>
      <c r="H3581" t="s">
        <v>68965</v>
      </c>
      <c r="I3581" t="s">
        <v>68966</v>
      </c>
      <c r="J3581" t="s">
        <v>68967</v>
      </c>
      <c r="K3581" t="s">
        <v>68968</v>
      </c>
      <c r="L3581" t="s">
        <v>68969</v>
      </c>
      <c r="M3581" t="s">
        <v>68970</v>
      </c>
      <c r="N3581">
        <f>-660.003751237873 -6.62346366455768 -529.662008785536</f>
        <v>-1196.2892236879666</v>
      </c>
      <c r="O3581">
        <f>-658.560473549682 -159.544415730108 -498.833092917823</f>
        <v>-1316.9379821976131</v>
      </c>
      <c r="P3581">
        <f>-658.247553956191 -180.665115736655 -217.528263708117</f>
        <v>-1056.4409334009631</v>
      </c>
      <c r="Q3581">
        <f>-457.900566235704 -95.0781467472889 -298.054641790744</f>
        <v>-851.03335477373685</v>
      </c>
      <c r="R3581" t="s">
        <v>68971</v>
      </c>
      <c r="S3581" t="s">
        <v>68972</v>
      </c>
      <c r="T3581" t="s">
        <v>68973</v>
      </c>
      <c r="U3581" t="s">
        <v>68974</v>
      </c>
      <c r="V3581">
        <f>-594.864427478509 -57.2820587180915 -92.9658221887723</f>
        <v>-745.1123083853729</v>
      </c>
      <c r="W3581" t="s">
        <v>68975</v>
      </c>
      <c r="X3581" t="s">
        <v>68976</v>
      </c>
      <c r="Y3581" t="s">
        <v>68977</v>
      </c>
    </row>
    <row r="3582" spans="1:25" x14ac:dyDescent="0.3">
      <c r="A3582">
        <v>179050</v>
      </c>
      <c r="B3582" t="s">
        <v>68978</v>
      </c>
      <c r="C3582" t="s">
        <v>68979</v>
      </c>
      <c r="D3582" t="s">
        <v>68980</v>
      </c>
      <c r="E3582" t="s">
        <v>68981</v>
      </c>
      <c r="F3582" t="s">
        <v>68982</v>
      </c>
      <c r="G3582" t="s">
        <v>68983</v>
      </c>
      <c r="H3582" t="s">
        <v>68984</v>
      </c>
      <c r="I3582" t="s">
        <v>68985</v>
      </c>
      <c r="J3582" t="s">
        <v>68986</v>
      </c>
      <c r="K3582" t="s">
        <v>68987</v>
      </c>
      <c r="L3582" t="s">
        <v>68988</v>
      </c>
      <c r="M3582" t="s">
        <v>68989</v>
      </c>
      <c r="N3582">
        <f>-660.25630388558 -6.83868584419656 -529.73260146539</f>
        <v>-1196.8275911951664</v>
      </c>
      <c r="O3582">
        <f>-658.759072763768 -159.775187629155 -498.970069456778</f>
        <v>-1317.504329849701</v>
      </c>
      <c r="P3582">
        <f>-658.4367161688 -181.033508095054 -217.675650307863</f>
        <v>-1057.1458745717171</v>
      </c>
      <c r="Q3582">
        <f>-458.115208157515 -95.298734251558 -298.107978830886</f>
        <v>-851.52192123995906</v>
      </c>
      <c r="R3582" t="s">
        <v>68990</v>
      </c>
      <c r="S3582" t="s">
        <v>68991</v>
      </c>
      <c r="T3582" t="s">
        <v>68992</v>
      </c>
      <c r="U3582" t="s">
        <v>68993</v>
      </c>
      <c r="V3582">
        <f>-595.196749941828 -57.6707483658906 -92.9814977758806</f>
        <v>-745.84899608359922</v>
      </c>
      <c r="W3582" t="s">
        <v>68994</v>
      </c>
      <c r="X3582" t="s">
        <v>68995</v>
      </c>
      <c r="Y3582" t="s">
        <v>68996</v>
      </c>
    </row>
    <row r="3583" spans="1:25" x14ac:dyDescent="0.3">
      <c r="A3583">
        <v>179100</v>
      </c>
      <c r="B3583" t="s">
        <v>68978</v>
      </c>
      <c r="C3583" t="s">
        <v>68979</v>
      </c>
      <c r="D3583" t="s">
        <v>68980</v>
      </c>
      <c r="E3583" t="s">
        <v>68981</v>
      </c>
      <c r="F3583" t="s">
        <v>68982</v>
      </c>
      <c r="G3583" t="s">
        <v>68983</v>
      </c>
      <c r="H3583" t="s">
        <v>68984</v>
      </c>
      <c r="I3583" t="s">
        <v>68985</v>
      </c>
      <c r="J3583" t="s">
        <v>68986</v>
      </c>
      <c r="K3583" t="s">
        <v>68987</v>
      </c>
      <c r="L3583" t="s">
        <v>68988</v>
      </c>
      <c r="M3583" t="s">
        <v>68989</v>
      </c>
      <c r="N3583">
        <f>-660.25630388558 -6.83868584419656 -529.73260146539</f>
        <v>-1196.8275911951664</v>
      </c>
      <c r="O3583">
        <f>-658.759072763768 -159.775187629155 -498.970069456778</f>
        <v>-1317.504329849701</v>
      </c>
      <c r="P3583">
        <f>-658.4367161688 -181.033508095054 -217.675650307863</f>
        <v>-1057.1458745717171</v>
      </c>
      <c r="Q3583">
        <f>-458.115208157515 -95.298734251558 -298.107978830886</f>
        <v>-851.52192123995906</v>
      </c>
      <c r="R3583" t="s">
        <v>68990</v>
      </c>
      <c r="S3583" t="s">
        <v>68991</v>
      </c>
      <c r="T3583" t="s">
        <v>68992</v>
      </c>
      <c r="U3583" t="s">
        <v>68993</v>
      </c>
      <c r="V3583">
        <f>-595.196749941828 -57.6707483658906 -92.9814977758806</f>
        <v>-745.84899608359922</v>
      </c>
      <c r="W3583" t="s">
        <v>68994</v>
      </c>
      <c r="X3583" t="s">
        <v>68995</v>
      </c>
      <c r="Y3583" t="s">
        <v>68996</v>
      </c>
    </row>
    <row r="3584" spans="1:25" x14ac:dyDescent="0.3">
      <c r="A3584">
        <v>179150</v>
      </c>
      <c r="B3584" t="s">
        <v>68997</v>
      </c>
      <c r="C3584" t="s">
        <v>68998</v>
      </c>
      <c r="D3584" t="s">
        <v>68999</v>
      </c>
      <c r="E3584" t="s">
        <v>69000</v>
      </c>
      <c r="F3584" t="s">
        <v>69001</v>
      </c>
      <c r="G3584" t="s">
        <v>69002</v>
      </c>
      <c r="H3584" t="s">
        <v>69003</v>
      </c>
      <c r="I3584" t="s">
        <v>69004</v>
      </c>
      <c r="J3584" t="s">
        <v>69005</v>
      </c>
      <c r="K3584" t="s">
        <v>69006</v>
      </c>
      <c r="L3584" t="s">
        <v>69007</v>
      </c>
      <c r="M3584" t="s">
        <v>69008</v>
      </c>
      <c r="N3584">
        <f>-660.507577502014 -6.89277767763338 -529.827821000715</f>
        <v>-1197.2281761803624</v>
      </c>
      <c r="O3584">
        <f>-658.961456671135 -159.847159751478 -499.14646730033</f>
        <v>-1317.9550837229431</v>
      </c>
      <c r="P3584">
        <f>-658.695434720147 -181.24929906352 -217.862696657158</f>
        <v>-1057.8074304408249</v>
      </c>
      <c r="Q3584">
        <f>-458.395905006914 -95.4075469170757 -298.235778200818</f>
        <v>-852.03923012480777</v>
      </c>
      <c r="R3584" t="s">
        <v>69009</v>
      </c>
      <c r="S3584" t="s">
        <v>69010</v>
      </c>
      <c r="T3584" t="s">
        <v>69011</v>
      </c>
      <c r="U3584" t="s">
        <v>69012</v>
      </c>
      <c r="V3584">
        <f>-595.579997913632 -57.8844176318889 -93.006691949674</f>
        <v>-746.47110749519493</v>
      </c>
      <c r="W3584" t="s">
        <v>69013</v>
      </c>
      <c r="X3584" t="s">
        <v>69014</v>
      </c>
      <c r="Y3584" t="s">
        <v>69015</v>
      </c>
    </row>
    <row r="3585" spans="1:25" x14ac:dyDescent="0.3">
      <c r="A3585">
        <v>179200</v>
      </c>
      <c r="B3585" t="s">
        <v>69016</v>
      </c>
      <c r="C3585" t="s">
        <v>69017</v>
      </c>
      <c r="D3585" t="s">
        <v>69018</v>
      </c>
      <c r="E3585" t="s">
        <v>69019</v>
      </c>
      <c r="F3585" t="s">
        <v>69020</v>
      </c>
      <c r="G3585" t="s">
        <v>69021</v>
      </c>
      <c r="H3585" t="s">
        <v>69022</v>
      </c>
      <c r="I3585" t="s">
        <v>69023</v>
      </c>
      <c r="J3585" t="s">
        <v>69024</v>
      </c>
      <c r="K3585" t="s">
        <v>69025</v>
      </c>
      <c r="L3585" t="s">
        <v>69026</v>
      </c>
      <c r="M3585" t="s">
        <v>69027</v>
      </c>
      <c r="N3585">
        <f>-661.727030038385 -6.00121338560712 -530.140163378619</f>
        <v>-1197.8684068026112</v>
      </c>
      <c r="O3585">
        <f>-660.264569064715 -159.030872556448 -499.865799221199</f>
        <v>-1319.1612408423621</v>
      </c>
      <c r="P3585">
        <f>-660.304414530358 -181.140058434037 -218.636919072501</f>
        <v>-1060.081392036896</v>
      </c>
      <c r="Q3585">
        <f>-459.943361472913 -95.0105597048362 -298.547311287094</f>
        <v>-853.50123246484316</v>
      </c>
      <c r="R3585" t="s">
        <v>69028</v>
      </c>
      <c r="S3585" t="s">
        <v>69029</v>
      </c>
      <c r="T3585" t="s">
        <v>69030</v>
      </c>
      <c r="U3585" t="s">
        <v>69031</v>
      </c>
      <c r="V3585">
        <f>-597.422123358001 -57.914388872573 -93.1992108319881</f>
        <v>-748.53572306256217</v>
      </c>
      <c r="W3585" t="s">
        <v>69032</v>
      </c>
      <c r="X3585" t="s">
        <v>69033</v>
      </c>
      <c r="Y3585" t="s">
        <v>69034</v>
      </c>
    </row>
    <row r="3586" spans="1:25" x14ac:dyDescent="0.3">
      <c r="A3586">
        <v>179250</v>
      </c>
      <c r="B3586" t="s">
        <v>69035</v>
      </c>
      <c r="C3586" t="s">
        <v>69036</v>
      </c>
      <c r="D3586" t="s">
        <v>69037</v>
      </c>
      <c r="E3586" t="s">
        <v>69038</v>
      </c>
      <c r="F3586" t="s">
        <v>69039</v>
      </c>
      <c r="G3586" t="s">
        <v>69040</v>
      </c>
      <c r="H3586" t="s">
        <v>69041</v>
      </c>
      <c r="I3586" t="s">
        <v>69042</v>
      </c>
      <c r="J3586" t="s">
        <v>69043</v>
      </c>
      <c r="K3586" t="s">
        <v>69044</v>
      </c>
      <c r="L3586" t="s">
        <v>69045</v>
      </c>
      <c r="M3586" t="s">
        <v>69046</v>
      </c>
      <c r="N3586">
        <f>-662.216981209752 -5.72156572855602 -530.177520738747</f>
        <v>-1198.1160676770551</v>
      </c>
      <c r="O3586">
        <f>-660.803882743345 -158.774433477787 -500.022801957053</f>
        <v>-1319.6011181781848</v>
      </c>
      <c r="P3586">
        <f>-660.973950054854 -181.064340884539 -218.808174143541</f>
        <v>-1060.8464650829339</v>
      </c>
      <c r="Q3586">
        <f>-460.515950746031 -94.9893804005981 -298.53392969067</f>
        <v>-854.03926083729914</v>
      </c>
      <c r="R3586" t="s">
        <v>69047</v>
      </c>
      <c r="S3586" t="s">
        <v>69048</v>
      </c>
      <c r="T3586" t="s">
        <v>69049</v>
      </c>
      <c r="U3586" t="s">
        <v>69050</v>
      </c>
      <c r="V3586">
        <f>-597.90344979555 -57.8652577184009 -93.2410166382094</f>
        <v>-749.0097241521604</v>
      </c>
      <c r="W3586" t="s">
        <v>69051</v>
      </c>
      <c r="X3586" t="s">
        <v>69052</v>
      </c>
      <c r="Y3586" t="s">
        <v>69053</v>
      </c>
    </row>
    <row r="3587" spans="1:25" x14ac:dyDescent="0.3">
      <c r="A3587">
        <v>179300</v>
      </c>
      <c r="B3587" t="s">
        <v>69054</v>
      </c>
      <c r="C3587" t="s">
        <v>69055</v>
      </c>
      <c r="D3587" t="s">
        <v>69056</v>
      </c>
      <c r="E3587" t="s">
        <v>69057</v>
      </c>
      <c r="F3587" t="s">
        <v>69058</v>
      </c>
      <c r="G3587" t="s">
        <v>69059</v>
      </c>
      <c r="H3587" t="s">
        <v>69060</v>
      </c>
      <c r="I3587" t="s">
        <v>69061</v>
      </c>
      <c r="J3587" t="s">
        <v>69062</v>
      </c>
      <c r="K3587" t="s">
        <v>69063</v>
      </c>
      <c r="L3587" t="s">
        <v>69064</v>
      </c>
      <c r="M3587" t="s">
        <v>69065</v>
      </c>
      <c r="N3587">
        <f>-663.435428874889 -5.00350190135123 -530.193283187052</f>
        <v>-1198.6322139632921</v>
      </c>
      <c r="O3587">
        <f>-662.130708015899 -158.111121721839 -500.291853955569</f>
        <v>-1320.533683693307</v>
      </c>
      <c r="P3587">
        <f>-662.475858523512 -180.892590277367 -219.116777716727</f>
        <v>-1062.485226517606</v>
      </c>
      <c r="Q3587">
        <f>-461.902869377947 -94.8994576147934 -298.641366428781</f>
        <v>-855.4436934215214</v>
      </c>
      <c r="R3587" t="s">
        <v>69066</v>
      </c>
      <c r="S3587" t="s">
        <v>69067</v>
      </c>
      <c r="T3587" t="s">
        <v>69068</v>
      </c>
      <c r="U3587" t="s">
        <v>69069</v>
      </c>
      <c r="V3587">
        <f>-598.773432055763 -57.384475155118 -93.2858884677823</f>
        <v>-749.44379567866338</v>
      </c>
      <c r="W3587" t="s">
        <v>69070</v>
      </c>
      <c r="X3587" t="s">
        <v>69071</v>
      </c>
      <c r="Y3587" t="s">
        <v>69072</v>
      </c>
    </row>
    <row r="3588" spans="1:25" x14ac:dyDescent="0.3">
      <c r="A3588">
        <v>179350</v>
      </c>
      <c r="B3588" t="s">
        <v>69073</v>
      </c>
      <c r="C3588" t="s">
        <v>69074</v>
      </c>
      <c r="D3588" t="s">
        <v>69075</v>
      </c>
      <c r="E3588" t="s">
        <v>69076</v>
      </c>
      <c r="F3588" t="s">
        <v>69077</v>
      </c>
      <c r="G3588" t="s">
        <v>69078</v>
      </c>
      <c r="H3588" t="s">
        <v>69079</v>
      </c>
      <c r="I3588" t="s">
        <v>69080</v>
      </c>
      <c r="J3588" t="s">
        <v>69081</v>
      </c>
      <c r="K3588" t="s">
        <v>69082</v>
      </c>
      <c r="L3588" t="s">
        <v>69083</v>
      </c>
      <c r="M3588" t="s">
        <v>69084</v>
      </c>
      <c r="N3588">
        <f>-664.072015065769 -4.46453065167452 -530.187862199847</f>
        <v>-1198.7244079172906</v>
      </c>
      <c r="O3588">
        <f>-662.847992313358 -157.605303724923 -500.43797390441</f>
        <v>-1320.891269942691</v>
      </c>
      <c r="P3588">
        <f>-663.239988104724 -180.55182797961 -219.276413843626</f>
        <v>-1063.0682299279601</v>
      </c>
      <c r="Q3588">
        <f>-462.632267864701 -94.6296931444924 -298.790219715284</f>
        <v>-856.05218072447747</v>
      </c>
      <c r="R3588" t="s">
        <v>69085</v>
      </c>
      <c r="S3588" t="s">
        <v>69086</v>
      </c>
      <c r="T3588" t="s">
        <v>69087</v>
      </c>
      <c r="U3588" t="s">
        <v>69088</v>
      </c>
      <c r="V3588">
        <f>-599.226165495073 -57.0504332683088 -93.2925187343965</f>
        <v>-749.56911749777828</v>
      </c>
      <c r="W3588" t="s">
        <v>69089</v>
      </c>
      <c r="X3588" t="s">
        <v>69090</v>
      </c>
      <c r="Y3588" t="s">
        <v>69091</v>
      </c>
    </row>
    <row r="3589" spans="1:25" x14ac:dyDescent="0.3">
      <c r="A3589">
        <v>179400</v>
      </c>
      <c r="B3589" t="s">
        <v>69092</v>
      </c>
      <c r="C3589" t="s">
        <v>69093</v>
      </c>
      <c r="D3589" t="s">
        <v>69094</v>
      </c>
      <c r="E3589" t="s">
        <v>69095</v>
      </c>
      <c r="F3589" t="s">
        <v>69096</v>
      </c>
      <c r="G3589" t="s">
        <v>69097</v>
      </c>
      <c r="H3589" t="s">
        <v>69098</v>
      </c>
      <c r="I3589" t="s">
        <v>69099</v>
      </c>
      <c r="J3589" t="s">
        <v>69100</v>
      </c>
      <c r="K3589" t="s">
        <v>69101</v>
      </c>
      <c r="L3589" t="s">
        <v>69102</v>
      </c>
      <c r="M3589" t="s">
        <v>69103</v>
      </c>
      <c r="N3589">
        <f>-664.931934492965 -3.40226308769388 -530.186556944957</f>
        <v>-1198.5207545256158</v>
      </c>
      <c r="O3589">
        <f>-663.864981608391 -156.595418995677 -500.723747145886</f>
        <v>-1321.1841477499538</v>
      </c>
      <c r="P3589">
        <f>-664.202941036508 -179.892652258907 -219.590946205298</f>
        <v>-1063.686539500713</v>
      </c>
      <c r="Q3589">
        <f>-463.570220261803 -94.135594316672 -299.21986712843</f>
        <v>-856.92568170690504</v>
      </c>
      <c r="R3589" t="s">
        <v>69104</v>
      </c>
      <c r="S3589" t="s">
        <v>69105</v>
      </c>
      <c r="T3589" t="s">
        <v>69106</v>
      </c>
      <c r="U3589" t="s">
        <v>69107</v>
      </c>
      <c r="V3589">
        <f>-600.040730455143 -56.3431930172649 -93.2907290598977</f>
        <v>-749.67465253230557</v>
      </c>
      <c r="W3589" t="s">
        <v>69108</v>
      </c>
      <c r="X3589" t="s">
        <v>69109</v>
      </c>
      <c r="Y3589" t="s">
        <v>69110</v>
      </c>
    </row>
    <row r="3590" spans="1:25" x14ac:dyDescent="0.3">
      <c r="A3590">
        <v>179450</v>
      </c>
      <c r="B3590" t="s">
        <v>69111</v>
      </c>
      <c r="C3590" t="s">
        <v>69112</v>
      </c>
      <c r="D3590" t="s">
        <v>69113</v>
      </c>
      <c r="E3590" t="s">
        <v>69114</v>
      </c>
      <c r="F3590" t="s">
        <v>69115</v>
      </c>
      <c r="G3590" t="s">
        <v>69116</v>
      </c>
      <c r="H3590" t="s">
        <v>69117</v>
      </c>
      <c r="I3590" t="s">
        <v>69118</v>
      </c>
      <c r="J3590" t="s">
        <v>69119</v>
      </c>
      <c r="K3590" t="s">
        <v>69120</v>
      </c>
      <c r="L3590" t="s">
        <v>69121</v>
      </c>
      <c r="M3590" t="s">
        <v>69122</v>
      </c>
      <c r="N3590">
        <f>-665.2858820007 -2.96371370971474 -530.165468295243</f>
        <v>-1198.4150640056578</v>
      </c>
      <c r="O3590">
        <f>-664.286569297305 -156.185533378914 -500.837659944622</f>
        <v>-1321.309762620841</v>
      </c>
      <c r="P3590">
        <f>-664.541484682155 -179.835043129325 -219.733982553034</f>
        <v>-1064.1105103645139</v>
      </c>
      <c r="Q3590">
        <f>-463.945248847259 -93.9702407042525 -299.338845201348</f>
        <v>-857.25433475285956</v>
      </c>
      <c r="R3590" t="s">
        <v>69123</v>
      </c>
      <c r="S3590" t="s">
        <v>69124</v>
      </c>
      <c r="T3590" t="s">
        <v>69125</v>
      </c>
      <c r="U3590" t="s">
        <v>69126</v>
      </c>
      <c r="V3590">
        <f>-600.388146290451 -56.0638293310144 -93.2803388553911</f>
        <v>-749.73231447685646</v>
      </c>
      <c r="W3590" t="s">
        <v>69127</v>
      </c>
      <c r="X3590" t="s">
        <v>69128</v>
      </c>
      <c r="Y3590" t="s">
        <v>69129</v>
      </c>
    </row>
    <row r="3591" spans="1:25" x14ac:dyDescent="0.3">
      <c r="A3591">
        <v>179500</v>
      </c>
      <c r="B3591" t="s">
        <v>69130</v>
      </c>
      <c r="C3591" t="s">
        <v>69131</v>
      </c>
      <c r="D3591" t="s">
        <v>69132</v>
      </c>
      <c r="E3591" t="s">
        <v>69133</v>
      </c>
      <c r="F3591" t="s">
        <v>69134</v>
      </c>
      <c r="G3591" t="s">
        <v>69135</v>
      </c>
      <c r="H3591" t="s">
        <v>69136</v>
      </c>
      <c r="I3591" t="s">
        <v>69137</v>
      </c>
      <c r="J3591" t="s">
        <v>69138</v>
      </c>
      <c r="K3591" t="s">
        <v>69139</v>
      </c>
      <c r="L3591" t="s">
        <v>69140</v>
      </c>
      <c r="M3591" t="s">
        <v>69141</v>
      </c>
      <c r="N3591">
        <f>-666.27776569982 -2.23921360945292 -530.087772030419</f>
        <v>-1198.604751339692</v>
      </c>
      <c r="O3591">
        <f>-665.375606809816 -155.493556168919 -500.93415942141</f>
        <v>-1321.8033224001449</v>
      </c>
      <c r="P3591">
        <f>-665.339970761775 -179.375796164964 -219.850225803113</f>
        <v>-1064.565992729852</v>
      </c>
      <c r="Q3591">
        <f>-464.767140131336 -93.4559280934989 -299.454393077867</f>
        <v>-857.67746130270189</v>
      </c>
      <c r="R3591" t="s">
        <v>69142</v>
      </c>
      <c r="S3591" t="s">
        <v>69143</v>
      </c>
      <c r="T3591" t="s">
        <v>69144</v>
      </c>
      <c r="U3591" t="s">
        <v>69145</v>
      </c>
      <c r="V3591">
        <f>-601.018935172827 -55.6471788244623 -93.2607103830574</f>
        <v>-749.92682438034672</v>
      </c>
      <c r="W3591" t="s">
        <v>69146</v>
      </c>
      <c r="X3591" t="s">
        <v>69147</v>
      </c>
      <c r="Y3591" t="s">
        <v>69148</v>
      </c>
    </row>
    <row r="3592" spans="1:25" x14ac:dyDescent="0.3">
      <c r="A3592">
        <v>179550</v>
      </c>
      <c r="B3592" t="s">
        <v>69149</v>
      </c>
      <c r="C3592" t="s">
        <v>69150</v>
      </c>
      <c r="D3592" t="s">
        <v>69151</v>
      </c>
      <c r="E3592" t="s">
        <v>69152</v>
      </c>
      <c r="F3592" t="s">
        <v>69153</v>
      </c>
      <c r="G3592" t="s">
        <v>69154</v>
      </c>
      <c r="H3592" t="s">
        <v>69155</v>
      </c>
      <c r="I3592" t="s">
        <v>69156</v>
      </c>
      <c r="J3592" t="s">
        <v>69157</v>
      </c>
      <c r="K3592" t="s">
        <v>69158</v>
      </c>
      <c r="L3592" t="s">
        <v>69159</v>
      </c>
      <c r="M3592" t="s">
        <v>69160</v>
      </c>
      <c r="N3592">
        <f>-667.570606435587 -1.77650553189801 -529.915094899901</f>
        <v>-1199.2622068673859</v>
      </c>
      <c r="O3592">
        <f>-666.683466678507 -155.046122237168 -500.83755873972</f>
        <v>-1322.567147655395</v>
      </c>
      <c r="P3592">
        <f>-666.17499399455 -178.882339394091 -219.750133383519</f>
        <v>-1064.8074667721601</v>
      </c>
      <c r="Q3592">
        <f>-465.76966084088 -92.9898033995664 -299.804371636088</f>
        <v>-858.56383587653431</v>
      </c>
      <c r="R3592" t="s">
        <v>69161</v>
      </c>
      <c r="S3592" t="s">
        <v>69162</v>
      </c>
      <c r="T3592" t="s">
        <v>69163</v>
      </c>
      <c r="U3592" t="s">
        <v>69164</v>
      </c>
      <c r="V3592">
        <f>-601.38128144445 -55.418509872412 -93.2418409381137</f>
        <v>-750.04163225497564</v>
      </c>
      <c r="W3592" t="s">
        <v>69165</v>
      </c>
      <c r="X3592" t="s">
        <v>69166</v>
      </c>
      <c r="Y3592" t="s">
        <v>69167</v>
      </c>
    </row>
    <row r="3593" spans="1:25" x14ac:dyDescent="0.3">
      <c r="A3593">
        <v>179600</v>
      </c>
      <c r="B3593" t="s">
        <v>69168</v>
      </c>
      <c r="C3593" t="s">
        <v>69169</v>
      </c>
      <c r="D3593" t="s">
        <v>69170</v>
      </c>
      <c r="E3593" t="s">
        <v>69171</v>
      </c>
      <c r="F3593" t="s">
        <v>69172</v>
      </c>
      <c r="G3593" t="s">
        <v>69173</v>
      </c>
      <c r="H3593" t="s">
        <v>69174</v>
      </c>
      <c r="I3593" t="s">
        <v>69175</v>
      </c>
      <c r="J3593" t="s">
        <v>69176</v>
      </c>
      <c r="K3593" t="s">
        <v>69177</v>
      </c>
      <c r="L3593" t="s">
        <v>69178</v>
      </c>
      <c r="M3593" t="s">
        <v>69179</v>
      </c>
      <c r="N3593">
        <f>-668.263327521199 -1.64397806424245 -529.784161753539</f>
        <v>-1199.6914673389806</v>
      </c>
      <c r="O3593">
        <f>-667.364192117576 -154.9157119095 -500.717011921947</f>
        <v>-1322.9969159490229</v>
      </c>
      <c r="P3593">
        <f>-666.427993633085 -178.745202804866 -219.630157009946</f>
        <v>-1064.8033534478971</v>
      </c>
      <c r="Q3593">
        <f>-466.16641879098 -92.8212985891535 -300.009904706337</f>
        <v>-858.99762208647053</v>
      </c>
      <c r="R3593" t="s">
        <v>69180</v>
      </c>
      <c r="S3593" t="s">
        <v>69181</v>
      </c>
      <c r="T3593" t="s">
        <v>69182</v>
      </c>
      <c r="U3593" t="s">
        <v>69183</v>
      </c>
      <c r="V3593">
        <f>-601.467857778155 -55.3968588917926 -93.2109371752377</f>
        <v>-750.07565384518534</v>
      </c>
      <c r="W3593" t="s">
        <v>69184</v>
      </c>
      <c r="X3593" t="s">
        <v>69185</v>
      </c>
      <c r="Y3593" t="s">
        <v>69186</v>
      </c>
    </row>
    <row r="3594" spans="1:25" x14ac:dyDescent="0.3">
      <c r="A3594">
        <v>179650</v>
      </c>
      <c r="B3594" t="s">
        <v>69187</v>
      </c>
      <c r="C3594" t="s">
        <v>69188</v>
      </c>
      <c r="D3594" t="s">
        <v>69189</v>
      </c>
      <c r="E3594" t="s">
        <v>69190</v>
      </c>
      <c r="F3594" t="s">
        <v>69191</v>
      </c>
      <c r="G3594" t="s">
        <v>69192</v>
      </c>
      <c r="H3594" t="s">
        <v>69193</v>
      </c>
      <c r="I3594" t="s">
        <v>69194</v>
      </c>
      <c r="J3594" t="s">
        <v>69195</v>
      </c>
      <c r="K3594" t="s">
        <v>69196</v>
      </c>
      <c r="L3594" t="s">
        <v>69197</v>
      </c>
      <c r="M3594" t="s">
        <v>69198</v>
      </c>
      <c r="N3594">
        <f>-668.96011090638 -1.58611877930571 -529.645032606255</f>
        <v>-1200.1912622919408</v>
      </c>
      <c r="O3594">
        <f>-668.057166019012 -154.85001466432 -500.565500388828</f>
        <v>-1323.47268107216</v>
      </c>
      <c r="P3594">
        <f>-666.579713072713 -178.696066371523 -219.482247861449</f>
        <v>-1064.7580273056851</v>
      </c>
      <c r="Q3594">
        <f>-466.509124693549 -92.706021980166 -300.265876984114</f>
        <v>-859.48102365782904</v>
      </c>
      <c r="R3594" t="s">
        <v>69199</v>
      </c>
      <c r="S3594" t="s">
        <v>69200</v>
      </c>
      <c r="T3594" t="s">
        <v>69201</v>
      </c>
      <c r="U3594" t="s">
        <v>69202</v>
      </c>
      <c r="V3594">
        <f>-601.483358429093 -55.3710951731423 -93.1654509209951</f>
        <v>-750.01990452323037</v>
      </c>
      <c r="W3594" t="s">
        <v>69203</v>
      </c>
      <c r="X3594" t="s">
        <v>69204</v>
      </c>
      <c r="Y3594" t="s">
        <v>69205</v>
      </c>
    </row>
    <row r="3595" spans="1:25" x14ac:dyDescent="0.3">
      <c r="A3595">
        <v>179700</v>
      </c>
      <c r="B3595" t="s">
        <v>69206</v>
      </c>
      <c r="C3595" t="s">
        <v>69207</v>
      </c>
      <c r="D3595" t="s">
        <v>69208</v>
      </c>
      <c r="E3595" t="s">
        <v>69209</v>
      </c>
      <c r="F3595" t="s">
        <v>69210</v>
      </c>
      <c r="G3595" t="s">
        <v>69211</v>
      </c>
      <c r="H3595" t="s">
        <v>69212</v>
      </c>
      <c r="I3595" t="s">
        <v>69213</v>
      </c>
      <c r="J3595" t="s">
        <v>69214</v>
      </c>
      <c r="K3595" t="s">
        <v>69215</v>
      </c>
      <c r="L3595" t="s">
        <v>69216</v>
      </c>
      <c r="M3595" t="s">
        <v>69217</v>
      </c>
      <c r="N3595">
        <f>-670.381860523642 -1.65578301017877 -529.326686662221</f>
        <v>-1201.3643301960419</v>
      </c>
      <c r="O3595">
        <f>-669.538651332032 -154.90206229228 -500.130035996514</f>
        <v>-1324.5707496208261</v>
      </c>
      <c r="P3595">
        <f>-666.828332160702 -178.484761108147 -219.033735141152</f>
        <v>-1064.3468284100011</v>
      </c>
      <c r="Q3595">
        <f>-467.231039411672 -92.4321223970746 -300.914202753497</f>
        <v>-860.5773645622437</v>
      </c>
      <c r="R3595" t="s">
        <v>69218</v>
      </c>
      <c r="S3595" t="s">
        <v>69219</v>
      </c>
      <c r="T3595" t="s">
        <v>69220</v>
      </c>
      <c r="U3595" t="s">
        <v>69221</v>
      </c>
      <c r="V3595">
        <f>-601.471182241244 -55.2447810789899 -93.0769575800881</f>
        <v>-749.79292090032209</v>
      </c>
      <c r="W3595" t="s">
        <v>69222</v>
      </c>
      <c r="X3595" t="s">
        <v>69223</v>
      </c>
      <c r="Y3595" t="s">
        <v>69224</v>
      </c>
    </row>
    <row r="3596" spans="1:25" x14ac:dyDescent="0.3">
      <c r="A3596">
        <v>179750</v>
      </c>
      <c r="B3596" t="s">
        <v>69225</v>
      </c>
      <c r="C3596" t="s">
        <v>69226</v>
      </c>
      <c r="D3596" t="s">
        <v>69227</v>
      </c>
      <c r="E3596" t="s">
        <v>69228</v>
      </c>
      <c r="F3596" t="s">
        <v>69229</v>
      </c>
      <c r="G3596" t="s">
        <v>69230</v>
      </c>
      <c r="H3596" t="s">
        <v>69231</v>
      </c>
      <c r="I3596" t="s">
        <v>69232</v>
      </c>
      <c r="J3596" t="s">
        <v>69233</v>
      </c>
      <c r="K3596" t="s">
        <v>69234</v>
      </c>
      <c r="L3596" t="s">
        <v>69235</v>
      </c>
      <c r="M3596" t="s">
        <v>69236</v>
      </c>
      <c r="N3596">
        <f>-670.972521731313 -1.67089664983564 -529.184474829223</f>
        <v>-1201.8278932103717</v>
      </c>
      <c r="O3596">
        <f>-670.168717078897 -154.896233723584 -499.899232444661</f>
        <v>-1324.964183247142</v>
      </c>
      <c r="P3596">
        <f>-666.8758765202 -178.30439531614 -218.794558255486</f>
        <v>-1063.9748300918261</v>
      </c>
      <c r="Q3596">
        <f>-467.481814587874 -92.2879299279409 -301.206593406818</f>
        <v>-860.97633792263287</v>
      </c>
      <c r="R3596" t="s">
        <v>69237</v>
      </c>
      <c r="S3596" t="s">
        <v>69238</v>
      </c>
      <c r="T3596" t="s">
        <v>69239</v>
      </c>
      <c r="U3596" t="s">
        <v>69240</v>
      </c>
      <c r="V3596">
        <f>-601.478718859464 -55.1826249073929 -93.0489492136307</f>
        <v>-749.71029298048768</v>
      </c>
      <c r="W3596" t="s">
        <v>69241</v>
      </c>
      <c r="X3596" t="s">
        <v>69242</v>
      </c>
      <c r="Y3596" t="s">
        <v>69243</v>
      </c>
    </row>
    <row r="3597" spans="1:25" x14ac:dyDescent="0.3">
      <c r="A3597">
        <v>179800</v>
      </c>
      <c r="B3597" t="s">
        <v>69244</v>
      </c>
      <c r="C3597" t="s">
        <v>69245</v>
      </c>
      <c r="D3597" t="s">
        <v>69246</v>
      </c>
      <c r="E3597" t="s">
        <v>69247</v>
      </c>
      <c r="F3597" t="s">
        <v>69248</v>
      </c>
      <c r="G3597" t="s">
        <v>69249</v>
      </c>
      <c r="H3597" t="s">
        <v>69250</v>
      </c>
      <c r="I3597" t="s">
        <v>69251</v>
      </c>
      <c r="J3597" t="s">
        <v>69252</v>
      </c>
      <c r="K3597" t="s">
        <v>69253</v>
      </c>
      <c r="L3597" t="s">
        <v>69254</v>
      </c>
      <c r="M3597" t="s">
        <v>69255</v>
      </c>
      <c r="N3597">
        <f>-672.028212112852 -1.71260643736196 -528.918700302329</f>
        <v>-1202.659518852543</v>
      </c>
      <c r="O3597">
        <f>-671.298831507279 -154.896034979231 -499.399980597202</f>
        <v>-1325.594847083712</v>
      </c>
      <c r="P3597">
        <f>-667.000892944741 -177.862514654068 -218.272543640914</f>
        <v>-1063.135951239723</v>
      </c>
      <c r="Q3597">
        <f>-467.920397871052 -91.9523953576208 -301.548775292437</f>
        <v>-861.42156852110975</v>
      </c>
      <c r="R3597" t="s">
        <v>69256</v>
      </c>
      <c r="S3597" t="s">
        <v>69257</v>
      </c>
      <c r="T3597" t="s">
        <v>69258</v>
      </c>
      <c r="U3597" t="s">
        <v>69259</v>
      </c>
      <c r="V3597">
        <f>-601.542886402197 -55.0228068760118 -93.0183527253337</f>
        <v>-749.58404600354254</v>
      </c>
      <c r="W3597" t="s">
        <v>69260</v>
      </c>
      <c r="X3597" t="s">
        <v>69261</v>
      </c>
      <c r="Y3597" t="s">
        <v>69262</v>
      </c>
    </row>
    <row r="3598" spans="1:25" x14ac:dyDescent="0.3">
      <c r="A3598">
        <v>179850</v>
      </c>
      <c r="B3598" t="s">
        <v>69263</v>
      </c>
      <c r="C3598" t="s">
        <v>69264</v>
      </c>
      <c r="D3598" t="s">
        <v>69265</v>
      </c>
      <c r="E3598" t="s">
        <v>69266</v>
      </c>
      <c r="F3598" t="s">
        <v>69267</v>
      </c>
      <c r="G3598" t="s">
        <v>69268</v>
      </c>
      <c r="H3598" t="s">
        <v>69269</v>
      </c>
      <c r="I3598" t="s">
        <v>69270</v>
      </c>
      <c r="J3598" t="s">
        <v>69271</v>
      </c>
      <c r="K3598" t="s">
        <v>69272</v>
      </c>
      <c r="L3598" t="s">
        <v>69273</v>
      </c>
      <c r="M3598" t="s">
        <v>69274</v>
      </c>
      <c r="N3598">
        <f>-672.428628240427 -1.73292849854738 -528.791561635865</f>
        <v>-1202.9531183748395</v>
      </c>
      <c r="O3598">
        <f>-671.718862747714 -154.893770663174 -499.155780544274</f>
        <v>-1325.768413955162</v>
      </c>
      <c r="P3598">
        <f>-667.045440603204 -177.604027326013 -218.013508158934</f>
        <v>-1062.662976088151</v>
      </c>
      <c r="Q3598">
        <f>-468.011252781645 -91.8870877700303 -301.598877529215</f>
        <v>-861.49721808089032</v>
      </c>
      <c r="R3598" t="s">
        <v>69275</v>
      </c>
      <c r="S3598" t="s">
        <v>69276</v>
      </c>
      <c r="T3598" t="s">
        <v>69277</v>
      </c>
      <c r="U3598" t="s">
        <v>69278</v>
      </c>
      <c r="V3598">
        <f>-601.511688214723 -54.9564007185102 -93.0045695315964</f>
        <v>-749.47265846482958</v>
      </c>
      <c r="W3598" t="s">
        <v>69279</v>
      </c>
      <c r="X3598" t="s">
        <v>69280</v>
      </c>
      <c r="Y3598" t="s">
        <v>69281</v>
      </c>
    </row>
    <row r="3599" spans="1:25" x14ac:dyDescent="0.3">
      <c r="A3599">
        <v>179900</v>
      </c>
      <c r="B3599" t="s">
        <v>69282</v>
      </c>
      <c r="C3599" t="s">
        <v>69283</v>
      </c>
      <c r="D3599" t="s">
        <v>69284</v>
      </c>
      <c r="E3599" t="s">
        <v>69285</v>
      </c>
      <c r="F3599" t="s">
        <v>69286</v>
      </c>
      <c r="G3599" t="s">
        <v>69287</v>
      </c>
      <c r="H3599" t="s">
        <v>69288</v>
      </c>
      <c r="I3599" t="s">
        <v>69289</v>
      </c>
      <c r="J3599" t="s">
        <v>69290</v>
      </c>
      <c r="K3599" t="s">
        <v>69291</v>
      </c>
      <c r="L3599" t="s">
        <v>69292</v>
      </c>
      <c r="M3599" t="s">
        <v>69293</v>
      </c>
      <c r="N3599">
        <f>-672.995064199384 -1.82110136470897 -528.574493155091</f>
        <v>-1203.3906587191841</v>
      </c>
      <c r="O3599">
        <f>-672.23481150007 -154.953906683707 -498.802485037431</f>
        <v>-1325.991203221208</v>
      </c>
      <c r="P3599">
        <f>-667.179596232048 -177.350838711819 -217.641615699596</f>
        <v>-1062.1720506434631</v>
      </c>
      <c r="Q3599">
        <f>-468.19745259194 -92.0303569797625 -301.754673561813</f>
        <v>-861.98248313351553</v>
      </c>
      <c r="R3599" t="s">
        <v>69294</v>
      </c>
      <c r="S3599" t="s">
        <v>69295</v>
      </c>
      <c r="T3599" t="s">
        <v>69296</v>
      </c>
      <c r="U3599" t="s">
        <v>69297</v>
      </c>
      <c r="V3599">
        <f>-601.469764871733 -54.8374806579238 -92.9826074982547</f>
        <v>-749.28985302791148</v>
      </c>
      <c r="W3599" t="s">
        <v>69298</v>
      </c>
      <c r="X3599" t="s">
        <v>69299</v>
      </c>
      <c r="Y3599" t="s">
        <v>69300</v>
      </c>
    </row>
    <row r="3600" spans="1:25" x14ac:dyDescent="0.3">
      <c r="A3600">
        <v>179950</v>
      </c>
      <c r="B3600" t="s">
        <v>69301</v>
      </c>
      <c r="C3600" t="s">
        <v>69302</v>
      </c>
      <c r="D3600" t="s">
        <v>69303</v>
      </c>
      <c r="E3600" t="s">
        <v>69304</v>
      </c>
      <c r="F3600" t="s">
        <v>69305</v>
      </c>
      <c r="G3600" t="s">
        <v>69306</v>
      </c>
      <c r="H3600" t="s">
        <v>69307</v>
      </c>
      <c r="I3600" t="s">
        <v>69308</v>
      </c>
      <c r="J3600" t="s">
        <v>69309</v>
      </c>
      <c r="K3600" t="s">
        <v>69310</v>
      </c>
      <c r="L3600" t="s">
        <v>69311</v>
      </c>
      <c r="M3600" t="s">
        <v>69312</v>
      </c>
      <c r="N3600">
        <f>-673.293154403821 -1.92697920222372 -528.490505179932</f>
        <v>-1203.7106387859767</v>
      </c>
      <c r="O3600">
        <f>-672.473545770125 -155.054092775105 -498.666339438035</f>
        <v>-1326.1939779832651</v>
      </c>
      <c r="P3600">
        <f>-667.229598328724 -177.515289301233 -217.514161466604</f>
        <v>-1062.2590490965611</v>
      </c>
      <c r="Q3600">
        <f>-468.315498546611 -92.2550275145118 -301.84928456903</f>
        <v>-862.41981063015282</v>
      </c>
      <c r="R3600" t="s">
        <v>69313</v>
      </c>
      <c r="S3600" t="s">
        <v>69314</v>
      </c>
      <c r="T3600" t="s">
        <v>69315</v>
      </c>
      <c r="U3600" t="s">
        <v>69316</v>
      </c>
      <c r="V3600">
        <f>-601.507350272273 -54.8361116445569 -92.9874977403969</f>
        <v>-749.3309596572268</v>
      </c>
      <c r="W3600" t="s">
        <v>69317</v>
      </c>
      <c r="X3600" t="s">
        <v>69318</v>
      </c>
      <c r="Y3600" t="s">
        <v>69319</v>
      </c>
    </row>
    <row r="3601" spans="1:25" x14ac:dyDescent="0.3">
      <c r="A3601">
        <v>180000</v>
      </c>
      <c r="B3601" t="s">
        <v>69320</v>
      </c>
      <c r="C3601" t="s">
        <v>69321</v>
      </c>
      <c r="D3601" t="s">
        <v>69322</v>
      </c>
      <c r="E3601" t="s">
        <v>69323</v>
      </c>
      <c r="F3601" t="s">
        <v>69324</v>
      </c>
      <c r="G3601" t="s">
        <v>69325</v>
      </c>
      <c r="H3601" t="s">
        <v>69326</v>
      </c>
      <c r="I3601" t="s">
        <v>69327</v>
      </c>
      <c r="J3601" t="s">
        <v>69328</v>
      </c>
      <c r="K3601" t="s">
        <v>69329</v>
      </c>
      <c r="L3601" t="s">
        <v>69330</v>
      </c>
      <c r="M3601" t="s">
        <v>69331</v>
      </c>
      <c r="N3601">
        <f>-673.988942018414 -2.17004573411327 -528.398312999089</f>
        <v>-1204.5573007516164</v>
      </c>
      <c r="O3601">
        <f>-673.043949748915 -155.295158194998 -498.565992664273</f>
        <v>-1326.9051006081859</v>
      </c>
      <c r="P3601">
        <f>-667.265288607777 -177.942636575774 -217.439192030103</f>
        <v>-1062.6471172136542</v>
      </c>
      <c r="Q3601">
        <f>-468.490344623504 -92.7619298208638 -302.181949061501</f>
        <v>-863.43422350586877</v>
      </c>
      <c r="R3601" t="s">
        <v>69332</v>
      </c>
      <c r="S3601" t="s">
        <v>69333</v>
      </c>
      <c r="T3601" t="s">
        <v>69334</v>
      </c>
      <c r="U3601" t="s">
        <v>69335</v>
      </c>
      <c r="V3601">
        <f>-601.640332504259 -54.913495797904 -93.01608897708</f>
        <v>-749.5699172792431</v>
      </c>
      <c r="W3601" t="s">
        <v>69336</v>
      </c>
      <c r="X3601" t="s">
        <v>69337</v>
      </c>
      <c r="Y3601" t="s">
        <v>69338</v>
      </c>
    </row>
    <row r="3602" spans="1:25" x14ac:dyDescent="0.3">
      <c r="A3602">
        <v>180050</v>
      </c>
      <c r="B3602" t="s">
        <v>69339</v>
      </c>
      <c r="C3602" t="s">
        <v>69340</v>
      </c>
      <c r="D3602" t="s">
        <v>69341</v>
      </c>
      <c r="E3602" t="s">
        <v>69342</v>
      </c>
      <c r="F3602" t="s">
        <v>69343</v>
      </c>
      <c r="G3602" t="s">
        <v>69344</v>
      </c>
      <c r="H3602" t="s">
        <v>69345</v>
      </c>
      <c r="I3602" t="s">
        <v>69346</v>
      </c>
      <c r="J3602" t="s">
        <v>69347</v>
      </c>
      <c r="K3602" t="s">
        <v>69348</v>
      </c>
      <c r="L3602" t="s">
        <v>69349</v>
      </c>
      <c r="M3602" t="s">
        <v>69350</v>
      </c>
      <c r="N3602">
        <f>-674.321307405456 -2.33664644963278 -528.384953680124</f>
        <v>-1205.0429075352126</v>
      </c>
      <c r="O3602">
        <f>-673.311948622785 -155.467312067075 -498.57637297109</f>
        <v>-1327.3556336609499</v>
      </c>
      <c r="P3602">
        <f>-667.191574356313 -178.152552970276 -217.459857686771</f>
        <v>-1062.80398501336</v>
      </c>
      <c r="Q3602">
        <f>-468.618701083069 -92.7936874478753 -302.496558969154</f>
        <v>-863.90894750009829</v>
      </c>
      <c r="R3602" t="s">
        <v>69351</v>
      </c>
      <c r="S3602" t="s">
        <v>69352</v>
      </c>
      <c r="T3602" t="s">
        <v>69353</v>
      </c>
      <c r="U3602" t="s">
        <v>69354</v>
      </c>
      <c r="V3602">
        <f>-601.732646315834 -55.002439245472 -93.0356780450808</f>
        <v>-749.77076360638682</v>
      </c>
      <c r="W3602" t="s">
        <v>69355</v>
      </c>
      <c r="X3602" t="s">
        <v>69356</v>
      </c>
      <c r="Y3602" t="s">
        <v>69357</v>
      </c>
    </row>
    <row r="3603" spans="1:25" x14ac:dyDescent="0.3">
      <c r="A3603">
        <v>180100</v>
      </c>
      <c r="B3603" t="s">
        <v>69358</v>
      </c>
      <c r="C3603" t="s">
        <v>69359</v>
      </c>
      <c r="D3603" t="s">
        <v>69360</v>
      </c>
      <c r="E3603" t="s">
        <v>69361</v>
      </c>
      <c r="F3603" t="s">
        <v>69362</v>
      </c>
      <c r="G3603" t="s">
        <v>69363</v>
      </c>
      <c r="H3603" t="s">
        <v>69364</v>
      </c>
      <c r="I3603" t="s">
        <v>69365</v>
      </c>
      <c r="J3603" t="s">
        <v>69366</v>
      </c>
      <c r="K3603" t="s">
        <v>69367</v>
      </c>
      <c r="L3603" t="s">
        <v>69368</v>
      </c>
      <c r="M3603" t="s">
        <v>69369</v>
      </c>
      <c r="N3603">
        <f>-674.869408718948 -2.63612200524176 -528.387325556979</f>
        <v>-1205.8928562811689</v>
      </c>
      <c r="O3603">
        <f>-673.656844763533 -155.778295192166 -498.661438914707</f>
        <v>-1328.0965788704061</v>
      </c>
      <c r="P3603">
        <f>-666.896122158636 -178.824896796424 -217.589022666024</f>
        <v>-1063.3100416210841</v>
      </c>
      <c r="Q3603">
        <f>-468.720609552512 -92.902546084541 -302.984196799755</f>
        <v>-864.60735243680801</v>
      </c>
      <c r="R3603" t="s">
        <v>69370</v>
      </c>
      <c r="S3603" t="s">
        <v>69371</v>
      </c>
      <c r="T3603" t="s">
        <v>69372</v>
      </c>
      <c r="U3603" t="s">
        <v>69373</v>
      </c>
      <c r="V3603">
        <f>-602.053451802572 -55.2414881114025 -93.0778293680364</f>
        <v>-750.37276928201095</v>
      </c>
      <c r="W3603" t="s">
        <v>69374</v>
      </c>
      <c r="X3603" t="s">
        <v>69375</v>
      </c>
      <c r="Y3603" t="s">
        <v>69376</v>
      </c>
    </row>
    <row r="3604" spans="1:25" x14ac:dyDescent="0.3">
      <c r="A3604">
        <v>180150</v>
      </c>
      <c r="B3604" t="s">
        <v>69377</v>
      </c>
      <c r="C3604" t="s">
        <v>69378</v>
      </c>
      <c r="D3604" t="s">
        <v>69379</v>
      </c>
      <c r="E3604" t="s">
        <v>69380</v>
      </c>
      <c r="F3604" t="s">
        <v>69381</v>
      </c>
      <c r="G3604" t="s">
        <v>69382</v>
      </c>
      <c r="H3604" t="s">
        <v>69383</v>
      </c>
      <c r="I3604" t="s">
        <v>69384</v>
      </c>
      <c r="J3604" t="s">
        <v>69385</v>
      </c>
      <c r="K3604" t="s">
        <v>69386</v>
      </c>
      <c r="L3604" t="s">
        <v>69387</v>
      </c>
      <c r="M3604" t="s">
        <v>69388</v>
      </c>
      <c r="N3604">
        <f>-675.52500678612 -3.03250077486564 -528.415464892247</f>
        <v>-1206.9729724532326</v>
      </c>
      <c r="O3604">
        <f>-674.008035168108 -156.191671041702 -498.789236680064</f>
        <v>-1328.9889428898739</v>
      </c>
      <c r="P3604">
        <f>-666.968945141338 -179.809760804754 -217.771120767682</f>
        <v>-1064.5498267137741</v>
      </c>
      <c r="Q3604">
        <f>-469.121497462089 -93.2717986769856 -303.30511447523</f>
        <v>-865.69841061430452</v>
      </c>
      <c r="R3604" t="s">
        <v>69389</v>
      </c>
      <c r="S3604" t="s">
        <v>69390</v>
      </c>
      <c r="T3604" t="s">
        <v>69391</v>
      </c>
      <c r="U3604" t="s">
        <v>69392</v>
      </c>
      <c r="V3604">
        <f>-602.410723635211 -55.5595261312608 -93.1228261344407</f>
        <v>-751.09307590091248</v>
      </c>
      <c r="W3604" t="s">
        <v>69393</v>
      </c>
      <c r="X3604" t="s">
        <v>69394</v>
      </c>
      <c r="Y3604" t="s">
        <v>69395</v>
      </c>
    </row>
    <row r="3605" spans="1:25" x14ac:dyDescent="0.3">
      <c r="A3605">
        <v>180200</v>
      </c>
      <c r="B3605" t="s">
        <v>69396</v>
      </c>
      <c r="C3605" t="s">
        <v>69397</v>
      </c>
      <c r="D3605" t="s">
        <v>69398</v>
      </c>
      <c r="E3605" t="s">
        <v>69399</v>
      </c>
      <c r="F3605" t="s">
        <v>69400</v>
      </c>
      <c r="G3605" t="s">
        <v>69401</v>
      </c>
      <c r="H3605" t="s">
        <v>69402</v>
      </c>
      <c r="I3605" t="s">
        <v>69403</v>
      </c>
      <c r="J3605" t="s">
        <v>69404</v>
      </c>
      <c r="K3605" t="s">
        <v>69405</v>
      </c>
      <c r="L3605" t="s">
        <v>69406</v>
      </c>
      <c r="M3605" t="s">
        <v>69407</v>
      </c>
      <c r="N3605">
        <f>-675.760611985303 -3.29413426478686 -528.450084219419</f>
        <v>-1207.5048304695088</v>
      </c>
      <c r="O3605">
        <f>-674.122137746181 -156.461108337316 -498.878005376917</f>
        <v>-1329.4612514604139</v>
      </c>
      <c r="P3605">
        <f>-667.056154556319 -180.129447556983 -217.864611905752</f>
        <v>-1065.050214019054</v>
      </c>
      <c r="Q3605">
        <f>-469.284764590158 -93.4490470734931 -303.430459217107</f>
        <v>-866.16427088075807</v>
      </c>
      <c r="R3605" t="s">
        <v>69408</v>
      </c>
      <c r="S3605" t="s">
        <v>69409</v>
      </c>
      <c r="T3605" t="s">
        <v>69410</v>
      </c>
      <c r="U3605" t="s">
        <v>69411</v>
      </c>
      <c r="V3605">
        <f>-602.588245851796 -55.7834467723192 -93.1474444758962</f>
        <v>-751.51913710001145</v>
      </c>
      <c r="W3605" t="s">
        <v>69412</v>
      </c>
      <c r="X3605" t="s">
        <v>69413</v>
      </c>
      <c r="Y3605" t="s">
        <v>69414</v>
      </c>
    </row>
    <row r="3606" spans="1:25" x14ac:dyDescent="0.3">
      <c r="A3606">
        <v>180250</v>
      </c>
      <c r="B3606" t="s">
        <v>69415</v>
      </c>
      <c r="C3606" t="s">
        <v>69416</v>
      </c>
      <c r="D3606" t="s">
        <v>69417</v>
      </c>
      <c r="E3606" t="s">
        <v>69418</v>
      </c>
      <c r="F3606" t="s">
        <v>69419</v>
      </c>
      <c r="G3606" t="s">
        <v>69420</v>
      </c>
      <c r="H3606" t="s">
        <v>69421</v>
      </c>
      <c r="I3606" t="s">
        <v>69422</v>
      </c>
      <c r="J3606" t="s">
        <v>69423</v>
      </c>
      <c r="K3606" t="s">
        <v>69424</v>
      </c>
      <c r="L3606" t="s">
        <v>69425</v>
      </c>
      <c r="M3606" t="s">
        <v>69426</v>
      </c>
      <c r="N3606">
        <f>-675.889079384478 -3.58271903104082 -528.486200911618</f>
        <v>-1207.9579993271368</v>
      </c>
      <c r="O3606">
        <f>-674.134204336048 -156.74893451832 -498.922728623416</f>
        <v>-1329.805867477784</v>
      </c>
      <c r="P3606">
        <f>-667.079364698481 -180.415251704758 -217.909117312373</f>
        <v>-1065.4037337156119</v>
      </c>
      <c r="Q3606">
        <f>-469.379760363304 -93.662637887471 -303.567565548075</f>
        <v>-866.60996379885</v>
      </c>
      <c r="R3606" t="s">
        <v>69427</v>
      </c>
      <c r="S3606" t="s">
        <v>69428</v>
      </c>
      <c r="T3606" t="s">
        <v>69429</v>
      </c>
      <c r="U3606" t="s">
        <v>69430</v>
      </c>
      <c r="V3606">
        <f>-602.767822340861 -55.9973715904187 -93.1656983640607</f>
        <v>-751.93089229534041</v>
      </c>
      <c r="W3606" t="s">
        <v>69431</v>
      </c>
      <c r="X3606" t="s">
        <v>69432</v>
      </c>
      <c r="Y3606" t="s">
        <v>69433</v>
      </c>
    </row>
    <row r="3607" spans="1:25" x14ac:dyDescent="0.3">
      <c r="A3607">
        <v>180300</v>
      </c>
      <c r="B3607" t="s">
        <v>69434</v>
      </c>
      <c r="C3607" t="s">
        <v>69435</v>
      </c>
      <c r="D3607" t="s">
        <v>69436</v>
      </c>
      <c r="E3607" t="s">
        <v>69437</v>
      </c>
      <c r="F3607" t="s">
        <v>69438</v>
      </c>
      <c r="G3607" t="s">
        <v>69439</v>
      </c>
      <c r="H3607" t="s">
        <v>69440</v>
      </c>
      <c r="I3607" t="s">
        <v>69441</v>
      </c>
      <c r="J3607" t="s">
        <v>69442</v>
      </c>
      <c r="K3607" t="s">
        <v>69443</v>
      </c>
      <c r="L3607" t="s">
        <v>69444</v>
      </c>
      <c r="M3607" t="s">
        <v>69445</v>
      </c>
      <c r="N3607">
        <f>-675.842837698518 -4.4095003259481 -528.53165608328</f>
        <v>-1208.7839941077461</v>
      </c>
      <c r="O3607">
        <f>-673.913933856093 -157.555068736612 -498.871525753702</f>
        <v>-1330.3405283464069</v>
      </c>
      <c r="P3607">
        <f>-666.874843433614 -181.199466629155 -217.855577782345</f>
        <v>-1065.9298878451141</v>
      </c>
      <c r="Q3607">
        <f>-469.400799903146 -94.2921698057921 -303.876830538236</f>
        <v>-867.56980024717404</v>
      </c>
      <c r="R3607" t="s">
        <v>69446</v>
      </c>
      <c r="S3607" t="s">
        <v>69447</v>
      </c>
      <c r="T3607" t="s">
        <v>69448</v>
      </c>
      <c r="U3607" t="s">
        <v>69449</v>
      </c>
      <c r="V3607">
        <f>-603.022080012961 -56.3019391941077 -93.2016723401879</f>
        <v>-752.52569154725666</v>
      </c>
      <c r="W3607" t="s">
        <v>69450</v>
      </c>
      <c r="X3607" t="s">
        <v>69451</v>
      </c>
      <c r="Y3607" t="s">
        <v>69452</v>
      </c>
    </row>
    <row r="3608" spans="1:25" x14ac:dyDescent="0.3">
      <c r="A3608">
        <v>180350</v>
      </c>
      <c r="B3608" t="s">
        <v>69453</v>
      </c>
      <c r="C3608" t="s">
        <v>69454</v>
      </c>
      <c r="D3608" t="s">
        <v>69455</v>
      </c>
      <c r="E3608" t="s">
        <v>69456</v>
      </c>
      <c r="F3608" t="s">
        <v>69457</v>
      </c>
      <c r="G3608" t="s">
        <v>69458</v>
      </c>
      <c r="H3608" t="s">
        <v>69459</v>
      </c>
      <c r="I3608" t="s">
        <v>69460</v>
      </c>
      <c r="J3608" t="s">
        <v>69461</v>
      </c>
      <c r="K3608" t="s">
        <v>69462</v>
      </c>
      <c r="L3608" t="s">
        <v>69463</v>
      </c>
      <c r="M3608" t="s">
        <v>69464</v>
      </c>
      <c r="N3608">
        <f>-675.796392192289 -4.8472735058092 -528.543118430309</f>
        <v>-1209.1867841284072</v>
      </c>
      <c r="O3608">
        <f>-673.755045981693 -157.973927769643 -498.783769228931</f>
        <v>-1330.5127429802671</v>
      </c>
      <c r="P3608">
        <f>-666.646689023638 -181.589971027677 -217.767268366337</f>
        <v>-1066.0039284176521</v>
      </c>
      <c r="Q3608">
        <f>-469.304808598909 -94.6530259111155 -304.061367121059</f>
        <v>-868.01920163108355</v>
      </c>
      <c r="R3608" t="s">
        <v>69465</v>
      </c>
      <c r="S3608" t="s">
        <v>69466</v>
      </c>
      <c r="T3608" t="s">
        <v>69467</v>
      </c>
      <c r="U3608" t="s">
        <v>69468</v>
      </c>
      <c r="V3608">
        <f>-603.087374803325 -56.4956878421433 -93.2154317436818</f>
        <v>-752.79849438915016</v>
      </c>
      <c r="W3608" t="s">
        <v>69469</v>
      </c>
      <c r="X3608" t="s">
        <v>69470</v>
      </c>
      <c r="Y3608" t="s">
        <v>69471</v>
      </c>
    </row>
    <row r="3609" spans="1:25" x14ac:dyDescent="0.3">
      <c r="A3609">
        <v>180400</v>
      </c>
      <c r="B3609" t="s">
        <v>69472</v>
      </c>
      <c r="C3609" t="s">
        <v>69473</v>
      </c>
      <c r="D3609" t="s">
        <v>69474</v>
      </c>
      <c r="E3609" t="s">
        <v>69475</v>
      </c>
      <c r="F3609" t="s">
        <v>69476</v>
      </c>
      <c r="G3609" t="s">
        <v>69477</v>
      </c>
      <c r="H3609" t="s">
        <v>69478</v>
      </c>
      <c r="I3609" t="s">
        <v>69479</v>
      </c>
      <c r="J3609" t="s">
        <v>69480</v>
      </c>
      <c r="K3609" t="s">
        <v>69481</v>
      </c>
      <c r="L3609" t="s">
        <v>69482</v>
      </c>
      <c r="M3609" t="s">
        <v>69483</v>
      </c>
      <c r="N3609">
        <f>-675.712214805432 -5.60758987256759 -528.596531152339</f>
        <v>-1209.9163358303385</v>
      </c>
      <c r="O3609">
        <f>-673.456308756014 -158.689953931323 -498.635731012712</f>
        <v>-1330.781993700049</v>
      </c>
      <c r="P3609">
        <f>-665.824500683541 -182.080010962139 -217.613958535343</f>
        <v>-1065.5184701810231</v>
      </c>
      <c r="Q3609">
        <f>-468.913884200986 -95.0286810469984 -304.77352969035</f>
        <v>-868.71609493833444</v>
      </c>
      <c r="R3609" t="s">
        <v>69484</v>
      </c>
      <c r="S3609" t="s">
        <v>69485</v>
      </c>
      <c r="T3609" t="s">
        <v>69486</v>
      </c>
      <c r="U3609" t="s">
        <v>69487</v>
      </c>
      <c r="V3609">
        <f>-603.158833347157 -56.7978017961877 -93.2447796892606</f>
        <v>-753.20141483260534</v>
      </c>
      <c r="W3609" t="s">
        <v>69488</v>
      </c>
      <c r="X3609" t="s">
        <v>69489</v>
      </c>
      <c r="Y3609" t="s">
        <v>69490</v>
      </c>
    </row>
    <row r="3610" spans="1:25" x14ac:dyDescent="0.3">
      <c r="A3610">
        <v>180450</v>
      </c>
      <c r="B3610" t="s">
        <v>69491</v>
      </c>
      <c r="C3610" t="s">
        <v>69492</v>
      </c>
      <c r="D3610" t="s">
        <v>69493</v>
      </c>
      <c r="E3610" t="s">
        <v>69494</v>
      </c>
      <c r="F3610" t="s">
        <v>69495</v>
      </c>
      <c r="G3610" t="s">
        <v>69496</v>
      </c>
      <c r="H3610" t="s">
        <v>69497</v>
      </c>
      <c r="I3610" t="s">
        <v>69498</v>
      </c>
      <c r="J3610" t="s">
        <v>69499</v>
      </c>
      <c r="K3610" t="s">
        <v>69500</v>
      </c>
      <c r="L3610" t="s">
        <v>69501</v>
      </c>
      <c r="M3610" t="s">
        <v>69502</v>
      </c>
      <c r="N3610">
        <f>-675.731988140833 -5.97989316528333 -528.601779761146</f>
        <v>-1210.3136610672623</v>
      </c>
      <c r="O3610">
        <f>-673.320090220196 -159.037170485547 -498.525716895787</f>
        <v>-1330.88297760153</v>
      </c>
      <c r="P3610">
        <f>-665.286693475256 -182.317587926333 -217.505991726748</f>
        <v>-1065.110273128337</v>
      </c>
      <c r="Q3610">
        <f>-468.677701142901 -95.1715840884747 -305.250157568997</f>
        <v>-869.09944280037269</v>
      </c>
      <c r="R3610" t="s">
        <v>69503</v>
      </c>
      <c r="S3610" t="s">
        <v>69504</v>
      </c>
      <c r="T3610" t="s">
        <v>69505</v>
      </c>
      <c r="U3610" t="s">
        <v>69506</v>
      </c>
      <c r="V3610">
        <f>-603.179122131743 -56.930936352268 -93.2538940247501</f>
        <v>-753.36395250876114</v>
      </c>
      <c r="W3610" t="s">
        <v>69507</v>
      </c>
      <c r="X3610" t="s">
        <v>69508</v>
      </c>
      <c r="Y3610" t="s">
        <v>69509</v>
      </c>
    </row>
    <row r="3611" spans="1:25" x14ac:dyDescent="0.3">
      <c r="A3611">
        <v>180500</v>
      </c>
      <c r="B3611" t="s">
        <v>69510</v>
      </c>
      <c r="C3611" t="s">
        <v>69511</v>
      </c>
      <c r="D3611" t="s">
        <v>69512</v>
      </c>
      <c r="E3611" t="s">
        <v>69513</v>
      </c>
      <c r="F3611" t="s">
        <v>69514</v>
      </c>
      <c r="G3611" t="s">
        <v>69515</v>
      </c>
      <c r="H3611" t="s">
        <v>69516</v>
      </c>
      <c r="I3611" t="s">
        <v>69517</v>
      </c>
      <c r="J3611" t="s">
        <v>69518</v>
      </c>
      <c r="K3611" t="s">
        <v>69519</v>
      </c>
      <c r="L3611" t="s">
        <v>69520</v>
      </c>
      <c r="M3611" t="s">
        <v>69521</v>
      </c>
      <c r="N3611">
        <f>-675.670588053546 -6.61259888010613 -528.595321635429</f>
        <v>-1210.8785085690811</v>
      </c>
      <c r="O3611">
        <f>-672.951083274359 -159.627219697156 -498.318697800946</f>
        <v>-1330.8970007724611</v>
      </c>
      <c r="P3611">
        <f>-663.896554334975 -182.796839115076 -217.320986069597</f>
        <v>-1064.0143795196479</v>
      </c>
      <c r="Q3611">
        <f>-468.01841157178 -95.281748980927 -306.323096096351</f>
        <v>-869.62325664905802</v>
      </c>
      <c r="R3611" t="s">
        <v>69522</v>
      </c>
      <c r="S3611" t="s">
        <v>69523</v>
      </c>
      <c r="T3611" t="s">
        <v>69524</v>
      </c>
      <c r="U3611" t="s">
        <v>69525</v>
      </c>
      <c r="V3611">
        <f>-603.066539069674 -57.111117408585 -93.261493295437</f>
        <v>-753.43914977369604</v>
      </c>
      <c r="W3611" t="s">
        <v>69526</v>
      </c>
      <c r="X3611" t="s">
        <v>69527</v>
      </c>
      <c r="Y3611" t="s">
        <v>69528</v>
      </c>
    </row>
    <row r="3612" spans="1:25" x14ac:dyDescent="0.3">
      <c r="A3612">
        <v>180550</v>
      </c>
      <c r="B3612" t="s">
        <v>69529</v>
      </c>
      <c r="C3612" t="s">
        <v>69530</v>
      </c>
      <c r="D3612" t="s">
        <v>69531</v>
      </c>
      <c r="E3612" t="s">
        <v>69532</v>
      </c>
      <c r="F3612" t="s">
        <v>69533</v>
      </c>
      <c r="G3612" t="s">
        <v>69534</v>
      </c>
      <c r="H3612" t="s">
        <v>69535</v>
      </c>
      <c r="I3612" t="s">
        <v>69536</v>
      </c>
      <c r="J3612" t="s">
        <v>69537</v>
      </c>
      <c r="K3612" t="s">
        <v>69538</v>
      </c>
      <c r="L3612" t="s">
        <v>69539</v>
      </c>
      <c r="M3612" t="s">
        <v>69540</v>
      </c>
      <c r="N3612">
        <f>-675.573869165292 -6.84539511509888 -528.599005040332</f>
        <v>-1211.018269320723</v>
      </c>
      <c r="O3612">
        <f>-672.686068371355 -159.845551214661 -498.265447342072</f>
        <v>-1330.797066928088</v>
      </c>
      <c r="P3612">
        <f>-663.081941818524 -183.029391312614 -217.287081479537</f>
        <v>-1063.398414610675</v>
      </c>
      <c r="Q3612">
        <f>-467.619232642193 -95.1916452277699 -306.882583642279</f>
        <v>-869.69346151224192</v>
      </c>
      <c r="R3612" t="s">
        <v>69541</v>
      </c>
      <c r="S3612" t="s">
        <v>69542</v>
      </c>
      <c r="T3612" t="s">
        <v>69543</v>
      </c>
      <c r="U3612" t="s">
        <v>69544</v>
      </c>
      <c r="V3612">
        <f>-602.950470668027 -57.1571174472415 -93.2479315941276</f>
        <v>-753.35551970939616</v>
      </c>
      <c r="W3612" t="s">
        <v>69545</v>
      </c>
      <c r="X3612" t="s">
        <v>69546</v>
      </c>
      <c r="Y3612" t="s">
        <v>69547</v>
      </c>
    </row>
    <row r="3613" spans="1:25" x14ac:dyDescent="0.3">
      <c r="A3613">
        <v>180600</v>
      </c>
      <c r="B3613" t="s">
        <v>69548</v>
      </c>
      <c r="C3613" t="s">
        <v>69549</v>
      </c>
      <c r="D3613" t="s">
        <v>69550</v>
      </c>
      <c r="E3613" t="s">
        <v>69551</v>
      </c>
      <c r="F3613" t="s">
        <v>69552</v>
      </c>
      <c r="G3613" t="s">
        <v>69553</v>
      </c>
      <c r="H3613" t="s">
        <v>69554</v>
      </c>
      <c r="I3613" t="s">
        <v>69555</v>
      </c>
      <c r="J3613" t="s">
        <v>69556</v>
      </c>
      <c r="K3613" t="s">
        <v>69557</v>
      </c>
      <c r="L3613" t="s">
        <v>69558</v>
      </c>
      <c r="M3613" t="s">
        <v>69559</v>
      </c>
      <c r="N3613">
        <f>-675.288926925565 -7.24977313739168 -528.58174014432</f>
        <v>-1211.1204402072767</v>
      </c>
      <c r="O3613">
        <f>-671.916273031535 -160.218814978589 -498.135516685767</f>
        <v>-1330.2706046958911</v>
      </c>
      <c r="P3613">
        <f>-661.531970128285 -183.346103965617 -217.180172321958</f>
        <v>-1062.0582464158599</v>
      </c>
      <c r="Q3613">
        <f>-467.088882843219 -94.8397458379179 -308.323219846126</f>
        <v>-870.25184852726284</v>
      </c>
      <c r="R3613" t="s">
        <v>69560</v>
      </c>
      <c r="S3613" t="s">
        <v>69561</v>
      </c>
      <c r="T3613" t="s">
        <v>69562</v>
      </c>
      <c r="U3613" t="s">
        <v>69563</v>
      </c>
      <c r="V3613">
        <f>-602.658132263335 -57.1212220303876 -93.1957941588447</f>
        <v>-752.97514845256728</v>
      </c>
      <c r="W3613" t="s">
        <v>69564</v>
      </c>
      <c r="X3613" t="s">
        <v>69565</v>
      </c>
      <c r="Y3613" t="s">
        <v>69566</v>
      </c>
    </row>
    <row r="3614" spans="1:25" x14ac:dyDescent="0.3">
      <c r="A3614">
        <v>180650</v>
      </c>
      <c r="B3614" t="s">
        <v>69567</v>
      </c>
      <c r="C3614" t="s">
        <v>69568</v>
      </c>
      <c r="D3614" t="s">
        <v>69569</v>
      </c>
      <c r="E3614" t="s">
        <v>69570</v>
      </c>
      <c r="F3614" t="s">
        <v>69571</v>
      </c>
      <c r="G3614" t="s">
        <v>69572</v>
      </c>
      <c r="H3614" t="s">
        <v>69573</v>
      </c>
      <c r="I3614" t="s">
        <v>69574</v>
      </c>
      <c r="J3614" t="s">
        <v>69575</v>
      </c>
      <c r="K3614" t="s">
        <v>69576</v>
      </c>
      <c r="L3614" t="s">
        <v>69577</v>
      </c>
      <c r="M3614" t="s">
        <v>69578</v>
      </c>
      <c r="N3614">
        <f>-674.813166506719 -7.4225449588273 -528.564945353977</f>
        <v>-1210.8006568195233</v>
      </c>
      <c r="O3614">
        <f>-670.916311183599 -160.372088795258 -498.090597216423</f>
        <v>-1329.3789971952801</v>
      </c>
      <c r="P3614">
        <f>-660.040132119499 -183.494875101612 -217.153527594019</f>
        <v>-1060.68853481513</v>
      </c>
      <c r="Q3614">
        <f>-466.490235597386 -94.5207281855378 -309.730740367123</f>
        <v>-870.74170415004687</v>
      </c>
      <c r="R3614" t="s">
        <v>69579</v>
      </c>
      <c r="S3614" t="s">
        <v>69580</v>
      </c>
      <c r="T3614" t="s">
        <v>69581</v>
      </c>
      <c r="U3614" t="s">
        <v>69582</v>
      </c>
      <c r="V3614">
        <f>-602.193835077257 -56.9508552442098 -93.1311998858245</f>
        <v>-752.27589020729124</v>
      </c>
      <c r="W3614" t="s">
        <v>69583</v>
      </c>
      <c r="X3614" t="s">
        <v>69584</v>
      </c>
      <c r="Y3614" t="s">
        <v>69585</v>
      </c>
    </row>
    <row r="3615" spans="1:25" x14ac:dyDescent="0.3">
      <c r="A3615">
        <v>180700</v>
      </c>
      <c r="B3615" t="s">
        <v>69586</v>
      </c>
      <c r="C3615" t="s">
        <v>69587</v>
      </c>
      <c r="D3615" t="s">
        <v>69588</v>
      </c>
      <c r="E3615" t="s">
        <v>69589</v>
      </c>
      <c r="F3615" t="s">
        <v>69590</v>
      </c>
      <c r="G3615" t="s">
        <v>69591</v>
      </c>
      <c r="H3615" t="s">
        <v>69592</v>
      </c>
      <c r="I3615" t="s">
        <v>69593</v>
      </c>
      <c r="J3615" t="s">
        <v>69594</v>
      </c>
      <c r="K3615" t="s">
        <v>69595</v>
      </c>
      <c r="L3615" t="s">
        <v>69596</v>
      </c>
      <c r="M3615" t="s">
        <v>69597</v>
      </c>
      <c r="N3615">
        <f>-674.485163151038 -7.45519340550027 -528.56278056164</f>
        <v>-1210.5031371181783</v>
      </c>
      <c r="O3615">
        <f>-670.330670317193 -160.397810167914 -498.101880362768</f>
        <v>-1328.830360847875</v>
      </c>
      <c r="P3615">
        <f>-659.21113619869 -183.486556321978 -217.171579359768</f>
        <v>-1059.8692718804361</v>
      </c>
      <c r="Q3615">
        <f>-466.028978272535 -94.3147790426146 -310.324915149049</f>
        <v>-870.66867246419861</v>
      </c>
      <c r="R3615" t="s">
        <v>69598</v>
      </c>
      <c r="S3615" t="s">
        <v>69599</v>
      </c>
      <c r="T3615" t="s">
        <v>69600</v>
      </c>
      <c r="U3615" t="s">
        <v>69601</v>
      </c>
      <c r="V3615">
        <f>-601.927294897519 -56.8605787617198 -93.0927452141242</f>
        <v>-751.88061887336301</v>
      </c>
      <c r="W3615" t="s">
        <v>69602</v>
      </c>
      <c r="X3615" t="s">
        <v>69603</v>
      </c>
      <c r="Y3615" t="s">
        <v>69604</v>
      </c>
    </row>
    <row r="3616" spans="1:25" x14ac:dyDescent="0.3">
      <c r="A3616">
        <v>180750</v>
      </c>
      <c r="B3616" t="s">
        <v>69605</v>
      </c>
      <c r="C3616" t="s">
        <v>69606</v>
      </c>
      <c r="D3616" t="s">
        <v>69607</v>
      </c>
      <c r="E3616" t="s">
        <v>69608</v>
      </c>
      <c r="F3616" t="s">
        <v>69609</v>
      </c>
      <c r="G3616" t="s">
        <v>69610</v>
      </c>
      <c r="H3616" t="s">
        <v>69611</v>
      </c>
      <c r="I3616" t="s">
        <v>69612</v>
      </c>
      <c r="J3616" t="s">
        <v>69613</v>
      </c>
      <c r="K3616" t="s">
        <v>69614</v>
      </c>
      <c r="L3616" t="s">
        <v>69615</v>
      </c>
      <c r="M3616" t="s">
        <v>69616</v>
      </c>
      <c r="N3616">
        <f>-673.715093726715 -7.30257366816522 -528.578508378276</f>
        <v>-1209.5961757731561</v>
      </c>
      <c r="O3616">
        <f>-668.98658648027 -160.251343640275 -498.210579784825</f>
        <v>-1327.44850990537</v>
      </c>
      <c r="P3616">
        <f>-657.506450538109 -183.567340834094 -217.313478171976</f>
        <v>-1058.3872695441789</v>
      </c>
      <c r="Q3616">
        <f>-464.794276166597 -94.0870363070271 -311.14213789192</f>
        <v>-870.02345036554414</v>
      </c>
      <c r="R3616" t="s">
        <v>69617</v>
      </c>
      <c r="S3616" t="s">
        <v>69618</v>
      </c>
      <c r="T3616" t="s">
        <v>69619</v>
      </c>
      <c r="U3616" t="s">
        <v>69620</v>
      </c>
      <c r="V3616">
        <f>-601.385999949487 -56.580409554522 -93.0550869274767</f>
        <v>-751.02149643148573</v>
      </c>
      <c r="W3616" t="s">
        <v>69621</v>
      </c>
      <c r="X3616" t="s">
        <v>69622</v>
      </c>
      <c r="Y3616" t="s">
        <v>69623</v>
      </c>
    </row>
    <row r="3617" spans="1:25" x14ac:dyDescent="0.3">
      <c r="A3617">
        <v>180800</v>
      </c>
      <c r="B3617" t="s">
        <v>69624</v>
      </c>
      <c r="C3617" t="s">
        <v>69625</v>
      </c>
      <c r="D3617" t="s">
        <v>69626</v>
      </c>
      <c r="E3617" t="s">
        <v>69627</v>
      </c>
      <c r="F3617" t="s">
        <v>69628</v>
      </c>
      <c r="G3617" t="s">
        <v>69629</v>
      </c>
      <c r="H3617" t="s">
        <v>69630</v>
      </c>
      <c r="I3617" t="s">
        <v>69631</v>
      </c>
      <c r="J3617" t="s">
        <v>69632</v>
      </c>
      <c r="K3617" t="s">
        <v>69633</v>
      </c>
      <c r="L3617" t="s">
        <v>69634</v>
      </c>
      <c r="M3617" t="s">
        <v>69635</v>
      </c>
      <c r="N3617">
        <f>-673.384629828303 -7.10962322967748 -528.615658929561</f>
        <v>-1209.1099119875416</v>
      </c>
      <c r="O3617">
        <f>-668.369954244218 -160.062005484852 -498.325940850907</f>
        <v>-1326.7579005799769</v>
      </c>
      <c r="P3617">
        <f>-656.80925016795 -183.459811673906 -217.438943118377</f>
        <v>-1057.708004960233</v>
      </c>
      <c r="Q3617">
        <f>-464.206480059042 -93.9512830434771 -311.465090457891</f>
        <v>-869.62285356041002</v>
      </c>
      <c r="R3617" t="s">
        <v>69636</v>
      </c>
      <c r="S3617" t="s">
        <v>69637</v>
      </c>
      <c r="T3617" t="s">
        <v>69638</v>
      </c>
      <c r="U3617" t="s">
        <v>69639</v>
      </c>
      <c r="V3617">
        <f>-601.185198871356 -56.4614396122888 -93.0569437768298</f>
        <v>-750.7035822604746</v>
      </c>
      <c r="W3617" t="s">
        <v>69640</v>
      </c>
      <c r="X3617" t="s">
        <v>69641</v>
      </c>
      <c r="Y3617" t="s">
        <v>69642</v>
      </c>
    </row>
    <row r="3618" spans="1:25" x14ac:dyDescent="0.3">
      <c r="A3618">
        <v>180850</v>
      </c>
      <c r="B3618" t="s">
        <v>69643</v>
      </c>
      <c r="C3618" t="s">
        <v>69644</v>
      </c>
      <c r="D3618" t="s">
        <v>69645</v>
      </c>
      <c r="E3618" t="s">
        <v>69646</v>
      </c>
      <c r="F3618" t="s">
        <v>69647</v>
      </c>
      <c r="G3618" t="s">
        <v>69648</v>
      </c>
      <c r="H3618" t="s">
        <v>69649</v>
      </c>
      <c r="I3618" t="s">
        <v>69650</v>
      </c>
      <c r="J3618" t="s">
        <v>69651</v>
      </c>
      <c r="K3618" t="s">
        <v>69652</v>
      </c>
      <c r="L3618" t="s">
        <v>69653</v>
      </c>
      <c r="M3618" t="s">
        <v>69654</v>
      </c>
      <c r="N3618">
        <f>-673.058316928891 -7.00892803718307 -528.660431135684</f>
        <v>-1208.7276761017581</v>
      </c>
      <c r="O3618">
        <f>-667.737010613335 -159.965181818618 -498.458551474471</f>
        <v>-1326.1607439064239</v>
      </c>
      <c r="P3618">
        <f>-656.192534232753 -183.433770653543 -217.576833977419</f>
        <v>-1057.2031388637149</v>
      </c>
      <c r="Q3618">
        <f>-463.630515034137 -93.9736177766674 -311.732454253139</f>
        <v>-869.3365870639434</v>
      </c>
      <c r="R3618" t="s">
        <v>69655</v>
      </c>
      <c r="S3618" t="s">
        <v>69656</v>
      </c>
      <c r="T3618" t="s">
        <v>69657</v>
      </c>
      <c r="U3618" t="s">
        <v>69658</v>
      </c>
      <c r="V3618">
        <f>-601.037707138101 -56.3983418465361 -93.0707854568345</f>
        <v>-750.50683444147171</v>
      </c>
      <c r="W3618" t="s">
        <v>69659</v>
      </c>
      <c r="X3618" t="s">
        <v>69660</v>
      </c>
      <c r="Y3618" t="s">
        <v>69661</v>
      </c>
    </row>
    <row r="3619" spans="1:25" x14ac:dyDescent="0.3">
      <c r="A3619">
        <v>180900</v>
      </c>
      <c r="B3619" t="s">
        <v>69662</v>
      </c>
      <c r="C3619" t="s">
        <v>69663</v>
      </c>
      <c r="D3619" t="s">
        <v>69664</v>
      </c>
      <c r="E3619" t="s">
        <v>69665</v>
      </c>
      <c r="F3619" t="s">
        <v>69666</v>
      </c>
      <c r="G3619" t="s">
        <v>69667</v>
      </c>
      <c r="H3619" t="s">
        <v>69668</v>
      </c>
      <c r="I3619" t="s">
        <v>69669</v>
      </c>
      <c r="J3619" t="s">
        <v>69670</v>
      </c>
      <c r="K3619" t="s">
        <v>69671</v>
      </c>
      <c r="L3619" t="s">
        <v>69672</v>
      </c>
      <c r="M3619" t="s">
        <v>69673</v>
      </c>
      <c r="N3619">
        <f>-672.207724049967 -6.65317842887521 -528.838612836654</f>
        <v>-1207.6995153154962</v>
      </c>
      <c r="O3619">
        <f>-666.402733574626 -159.645700861586 -498.879272769297</f>
        <v>-1324.927707205509</v>
      </c>
      <c r="P3619">
        <f>-654.924699237416 -183.364780728482 -218.015876257939</f>
        <v>-1056.305356223837</v>
      </c>
      <c r="Q3619">
        <f>-462.336367740101 -94.1359024757483 -312.337212743678</f>
        <v>-868.80948295952726</v>
      </c>
      <c r="R3619" t="s">
        <v>69674</v>
      </c>
      <c r="S3619" t="s">
        <v>69675</v>
      </c>
      <c r="T3619" t="s">
        <v>69676</v>
      </c>
      <c r="U3619" t="s">
        <v>69677</v>
      </c>
      <c r="V3619">
        <f>-600.719013880214 -56.3268583765193 -93.126735316552</f>
        <v>-750.17260757328529</v>
      </c>
      <c r="W3619" t="s">
        <v>69678</v>
      </c>
      <c r="X3619" t="s">
        <v>69679</v>
      </c>
      <c r="Y3619" t="s">
        <v>69680</v>
      </c>
    </row>
    <row r="3620" spans="1:25" x14ac:dyDescent="0.3">
      <c r="A3620">
        <v>180950</v>
      </c>
      <c r="B3620" t="s">
        <v>69681</v>
      </c>
      <c r="C3620" t="s">
        <v>69682</v>
      </c>
      <c r="D3620" t="s">
        <v>69683</v>
      </c>
      <c r="E3620" t="s">
        <v>69684</v>
      </c>
      <c r="F3620" t="s">
        <v>69685</v>
      </c>
      <c r="G3620" t="s">
        <v>69686</v>
      </c>
      <c r="H3620" t="s">
        <v>69687</v>
      </c>
      <c r="I3620" t="s">
        <v>69688</v>
      </c>
      <c r="J3620" t="s">
        <v>69689</v>
      </c>
      <c r="K3620" t="s">
        <v>69690</v>
      </c>
      <c r="L3620" t="s">
        <v>69691</v>
      </c>
      <c r="M3620" t="s">
        <v>69692</v>
      </c>
      <c r="N3620">
        <f>-671.735852048246 -6.49529524848413 -528.937151431868</f>
        <v>-1207.1682987285981</v>
      </c>
      <c r="O3620">
        <f>-665.724417723991 -159.50612742925 -499.104193397359</f>
        <v>-1324.3347385505999</v>
      </c>
      <c r="P3620">
        <f>-654.42851444975 -183.289449322694 -218.238851362647</f>
        <v>-1055.9568151350909</v>
      </c>
      <c r="Q3620">
        <f>-461.74132879471 -94.2888673449781 -312.573830211556</f>
        <v>-868.6040263512441</v>
      </c>
      <c r="R3620" t="s">
        <v>69693</v>
      </c>
      <c r="S3620" t="s">
        <v>69694</v>
      </c>
      <c r="T3620" t="s">
        <v>69695</v>
      </c>
      <c r="U3620" t="s">
        <v>69696</v>
      </c>
      <c r="V3620">
        <f>-600.586032693012 -56.345758413411 -93.1461932620031</f>
        <v>-750.07798436842609</v>
      </c>
      <c r="W3620" t="s">
        <v>69697</v>
      </c>
      <c r="X3620" t="s">
        <v>69698</v>
      </c>
      <c r="Y3620" t="s">
        <v>69699</v>
      </c>
    </row>
    <row r="3621" spans="1:25" x14ac:dyDescent="0.3">
      <c r="A3621">
        <v>181000</v>
      </c>
      <c r="B3621" t="s">
        <v>69700</v>
      </c>
      <c r="C3621" t="s">
        <v>69701</v>
      </c>
      <c r="D3621" t="s">
        <v>69702</v>
      </c>
      <c r="E3621" t="s">
        <v>69703</v>
      </c>
      <c r="F3621" t="s">
        <v>69704</v>
      </c>
      <c r="G3621" t="s">
        <v>69705</v>
      </c>
      <c r="H3621" t="s">
        <v>69706</v>
      </c>
      <c r="I3621" t="s">
        <v>69707</v>
      </c>
      <c r="J3621" t="s">
        <v>69708</v>
      </c>
      <c r="K3621" t="s">
        <v>69709</v>
      </c>
      <c r="L3621" t="s">
        <v>69710</v>
      </c>
      <c r="M3621" t="s">
        <v>69711</v>
      </c>
      <c r="N3621">
        <f>-670.648106502837 -5.97956283741519 -529.182140345659</f>
        <v>-1205.8098096859112</v>
      </c>
      <c r="O3621">
        <f>-664.366412821943 -159.050916878204 -499.708907927181</f>
        <v>-1323.126237627328</v>
      </c>
      <c r="P3621">
        <f>-653.564187871959 -183.341919678635 -218.867559466895</f>
        <v>-1055.7736670174891</v>
      </c>
      <c r="Q3621">
        <f>-460.666391708347 -94.4285497762194 -312.853687531125</f>
        <v>-867.94862901569149</v>
      </c>
      <c r="R3621" t="s">
        <v>69712</v>
      </c>
      <c r="S3621" t="s">
        <v>69713</v>
      </c>
      <c r="T3621" t="s">
        <v>69714</v>
      </c>
      <c r="U3621" t="s">
        <v>69715</v>
      </c>
      <c r="V3621">
        <f>-600.388564504419 -56.371706639726 -93.1690764739617</f>
        <v>-749.9293476181067</v>
      </c>
      <c r="W3621" t="s">
        <v>69716</v>
      </c>
      <c r="X3621" t="s">
        <v>69717</v>
      </c>
      <c r="Y3621" t="s">
        <v>69718</v>
      </c>
    </row>
    <row r="3622" spans="1:25" x14ac:dyDescent="0.3">
      <c r="A3622">
        <v>181050</v>
      </c>
      <c r="B3622" t="s">
        <v>69719</v>
      </c>
      <c r="C3622" t="s">
        <v>69720</v>
      </c>
      <c r="D3622" t="s">
        <v>69721</v>
      </c>
      <c r="E3622" t="s">
        <v>69722</v>
      </c>
      <c r="F3622" t="s">
        <v>69723</v>
      </c>
      <c r="G3622" t="s">
        <v>69724</v>
      </c>
      <c r="H3622" t="s">
        <v>69725</v>
      </c>
      <c r="I3622" t="s">
        <v>69726</v>
      </c>
      <c r="J3622" t="s">
        <v>69727</v>
      </c>
      <c r="K3622" t="s">
        <v>69728</v>
      </c>
      <c r="L3622" t="s">
        <v>69729</v>
      </c>
      <c r="M3622" t="s">
        <v>69730</v>
      </c>
      <c r="N3622">
        <f>-670.077711813955 -5.61976616323773 -529.325216344374</f>
        <v>-1205.0226943215666</v>
      </c>
      <c r="O3622">
        <f>-663.69597473877 -158.729029991321 -500.071670147881</f>
        <v>-1322.4966748779721</v>
      </c>
      <c r="P3622">
        <f>-653.155743970053 -183.294556425472 -219.244277437242</f>
        <v>-1055.694577832767</v>
      </c>
      <c r="Q3622">
        <f>-460.203600719962 -94.231130631907 -312.976332755816</f>
        <v>-867.41106410768498</v>
      </c>
      <c r="R3622" t="s">
        <v>69731</v>
      </c>
      <c r="S3622" t="s">
        <v>69732</v>
      </c>
      <c r="T3622" t="s">
        <v>69733</v>
      </c>
      <c r="U3622" t="s">
        <v>69734</v>
      </c>
      <c r="V3622">
        <f>-600.322543448838 -56.4219048195685 -93.1772444721692</f>
        <v>-749.92169274057574</v>
      </c>
      <c r="W3622" t="s">
        <v>69735</v>
      </c>
      <c r="X3622" t="s">
        <v>69736</v>
      </c>
      <c r="Y3622" t="s">
        <v>69737</v>
      </c>
    </row>
    <row r="3623" spans="1:25" x14ac:dyDescent="0.3">
      <c r="A3623">
        <v>181100</v>
      </c>
      <c r="B3623" t="s">
        <v>69738</v>
      </c>
      <c r="C3623" t="s">
        <v>69739</v>
      </c>
      <c r="D3623" t="s">
        <v>69740</v>
      </c>
      <c r="E3623" t="s">
        <v>69741</v>
      </c>
      <c r="F3623" t="s">
        <v>69742</v>
      </c>
      <c r="G3623" t="s">
        <v>69743</v>
      </c>
      <c r="H3623" t="s">
        <v>69744</v>
      </c>
      <c r="I3623" t="s">
        <v>69745</v>
      </c>
      <c r="J3623" t="s">
        <v>69746</v>
      </c>
      <c r="K3623" t="s">
        <v>69747</v>
      </c>
      <c r="L3623" t="s">
        <v>69748</v>
      </c>
      <c r="M3623" t="s">
        <v>69749</v>
      </c>
      <c r="N3623">
        <f>-668.548096208515 -4.92859656518999 -529.660182267882</f>
        <v>-1203.1368750415868</v>
      </c>
      <c r="O3623">
        <f>-661.859231878487 -158.109674420108 -500.913991667155</f>
        <v>-1320.8828979657501</v>
      </c>
      <c r="P3623">
        <f>-652.023290050575 -183.674151829791 -220.150253788175</f>
        <v>-1055.8476956685411</v>
      </c>
      <c r="Q3623">
        <f>-459.046261909846 -93.8665613121482 -313.11791975742</f>
        <v>-866.0307429794143</v>
      </c>
      <c r="R3623" t="s">
        <v>69750</v>
      </c>
      <c r="S3623" t="s">
        <v>69751</v>
      </c>
      <c r="T3623" t="s">
        <v>69752</v>
      </c>
      <c r="U3623" t="s">
        <v>69753</v>
      </c>
      <c r="V3623">
        <f>-600.32486208767 -56.4497952435911 -93.1933435863594</f>
        <v>-749.96800091762054</v>
      </c>
      <c r="W3623" t="s">
        <v>69754</v>
      </c>
      <c r="X3623" t="s">
        <v>69755</v>
      </c>
      <c r="Y3623" t="s">
        <v>69756</v>
      </c>
    </row>
    <row r="3624" spans="1:25" x14ac:dyDescent="0.3">
      <c r="A3624">
        <v>181150</v>
      </c>
      <c r="B3624" t="s">
        <v>69757</v>
      </c>
      <c r="C3624" t="s">
        <v>69758</v>
      </c>
      <c r="D3624" t="s">
        <v>69759</v>
      </c>
      <c r="E3624" t="s">
        <v>69760</v>
      </c>
      <c r="F3624" t="s">
        <v>69761</v>
      </c>
      <c r="G3624" t="s">
        <v>69762</v>
      </c>
      <c r="H3624" t="s">
        <v>69763</v>
      </c>
      <c r="I3624" t="s">
        <v>69764</v>
      </c>
      <c r="J3624" t="s">
        <v>69765</v>
      </c>
      <c r="K3624" t="s">
        <v>69766</v>
      </c>
      <c r="L3624" t="s">
        <v>69767</v>
      </c>
      <c r="M3624" t="s">
        <v>69768</v>
      </c>
      <c r="N3624">
        <f>-666.963790752401 -4.29215167528969 -529.973241906223</f>
        <v>-1201.2291843339137</v>
      </c>
      <c r="O3624">
        <f>-659.859130201041 -157.550127476187 -501.698248896708</f>
        <v>-1319.107506573936</v>
      </c>
      <c r="P3624">
        <f>-650.681172359975 -184.03116602458 -220.997152292777</f>
        <v>-1055.709490677332</v>
      </c>
      <c r="Q3624">
        <f>-457.687393774914 -93.4789494974261 -313.204921001178</f>
        <v>-864.37126427351814</v>
      </c>
      <c r="R3624" t="s">
        <v>69769</v>
      </c>
      <c r="S3624" t="s">
        <v>69770</v>
      </c>
      <c r="T3624" t="s">
        <v>69771</v>
      </c>
      <c r="U3624" t="s">
        <v>69772</v>
      </c>
      <c r="V3624">
        <f>-600.22937426303 -56.2777053917548 -93.1873802422689</f>
        <v>-749.69445989705366</v>
      </c>
      <c r="W3624" t="s">
        <v>69773</v>
      </c>
      <c r="X3624" t="s">
        <v>69774</v>
      </c>
      <c r="Y3624" t="s">
        <v>69775</v>
      </c>
    </row>
    <row r="3625" spans="1:25" x14ac:dyDescent="0.3">
      <c r="A3625">
        <v>181200</v>
      </c>
      <c r="B3625" t="s">
        <v>69776</v>
      </c>
      <c r="C3625" t="s">
        <v>69777</v>
      </c>
      <c r="D3625" t="s">
        <v>69778</v>
      </c>
      <c r="E3625" t="s">
        <v>69779</v>
      </c>
      <c r="F3625" t="s">
        <v>69780</v>
      </c>
      <c r="G3625" t="s">
        <v>69781</v>
      </c>
      <c r="H3625" t="s">
        <v>69782</v>
      </c>
      <c r="I3625" t="s">
        <v>69783</v>
      </c>
      <c r="J3625" t="s">
        <v>69784</v>
      </c>
      <c r="K3625" t="s">
        <v>69785</v>
      </c>
      <c r="L3625" t="s">
        <v>69786</v>
      </c>
      <c r="M3625" t="s">
        <v>69787</v>
      </c>
      <c r="N3625">
        <f>-666.147739064173 -3.98161026457933 -530.122233165643</f>
        <v>-1200.2515824943953</v>
      </c>
      <c r="O3625">
        <f>-658.829858109469 -157.26497672904 -502.06129000877</f>
        <v>-1318.156124847279</v>
      </c>
      <c r="P3625">
        <f>-649.751125355556 -184.018818712863 -221.382811051572</f>
        <v>-1055.1527551199911</v>
      </c>
      <c r="Q3625">
        <f>-456.840645577831 -93.0596362277988 -313.363871472728</f>
        <v>-863.26415327835775</v>
      </c>
      <c r="R3625" t="s">
        <v>69788</v>
      </c>
      <c r="S3625" t="s">
        <v>69789</v>
      </c>
      <c r="T3625" t="s">
        <v>69790</v>
      </c>
      <c r="U3625" t="s">
        <v>69791</v>
      </c>
      <c r="V3625">
        <f>-600.128775005997 -56.1923848008507 -93.183387072366</f>
        <v>-749.50454687921376</v>
      </c>
      <c r="W3625" t="s">
        <v>69792</v>
      </c>
      <c r="X3625" t="s">
        <v>69793</v>
      </c>
      <c r="Y3625" t="s">
        <v>69794</v>
      </c>
    </row>
    <row r="3626" spans="1:25" x14ac:dyDescent="0.3">
      <c r="A3626">
        <v>181250</v>
      </c>
      <c r="B3626" t="s">
        <v>69795</v>
      </c>
      <c r="C3626" t="s">
        <v>69796</v>
      </c>
      <c r="D3626" t="s">
        <v>69797</v>
      </c>
      <c r="E3626" t="s">
        <v>69798</v>
      </c>
      <c r="F3626" t="s">
        <v>69799</v>
      </c>
      <c r="G3626" t="s">
        <v>69800</v>
      </c>
      <c r="H3626" t="s">
        <v>69801</v>
      </c>
      <c r="I3626" t="s">
        <v>69802</v>
      </c>
      <c r="J3626" t="s">
        <v>69803</v>
      </c>
      <c r="K3626" t="s">
        <v>69804</v>
      </c>
      <c r="L3626" t="s">
        <v>69805</v>
      </c>
      <c r="M3626" t="s">
        <v>69806</v>
      </c>
      <c r="N3626">
        <f>-665.498129438234 -3.69997403576053 -530.236845583546</f>
        <v>-1199.4349490575405</v>
      </c>
      <c r="O3626">
        <f>-657.905222411015 -157.002721035534 -502.348151244641</f>
        <v>-1317.2560946911899</v>
      </c>
      <c r="P3626">
        <f>-648.854867517763 -183.996258828302 -221.691786126052</f>
        <v>-1054.542912472117</v>
      </c>
      <c r="Q3626">
        <f>-456.052221306072 -92.645350233091 -313.510398017602</f>
        <v>-862.20796955676497</v>
      </c>
      <c r="R3626" t="s">
        <v>69807</v>
      </c>
      <c r="S3626" t="s">
        <v>69808</v>
      </c>
      <c r="T3626" t="s">
        <v>69809</v>
      </c>
      <c r="U3626" t="s">
        <v>69810</v>
      </c>
      <c r="V3626">
        <f>-599.994891169586 -56.0867493851031 -93.1770208995647</f>
        <v>-749.2586614542538</v>
      </c>
      <c r="W3626" t="s">
        <v>69811</v>
      </c>
      <c r="X3626" t="s">
        <v>69812</v>
      </c>
      <c r="Y3626" t="s">
        <v>69813</v>
      </c>
    </row>
    <row r="3627" spans="1:25" x14ac:dyDescent="0.3">
      <c r="A3627">
        <v>181300</v>
      </c>
      <c r="B3627" t="s">
        <v>69814</v>
      </c>
      <c r="C3627" t="s">
        <v>69815</v>
      </c>
      <c r="D3627" t="s">
        <v>69816</v>
      </c>
      <c r="E3627" t="s">
        <v>69817</v>
      </c>
      <c r="F3627" t="s">
        <v>69818</v>
      </c>
      <c r="G3627" t="s">
        <v>69819</v>
      </c>
      <c r="H3627" t="s">
        <v>69820</v>
      </c>
      <c r="I3627" t="s">
        <v>69821</v>
      </c>
      <c r="J3627" t="s">
        <v>69822</v>
      </c>
      <c r="K3627" t="s">
        <v>69823</v>
      </c>
      <c r="L3627" t="s">
        <v>69824</v>
      </c>
      <c r="M3627" t="s">
        <v>69825</v>
      </c>
      <c r="N3627">
        <f>-664.251815498251 -3.26333339969005 -530.425697878558</f>
        <v>-1197.940846776499</v>
      </c>
      <c r="O3627">
        <f>-656.033364132224 -156.577831479357 -502.767748883065</f>
        <v>-1315.378944494646</v>
      </c>
      <c r="P3627">
        <f>-646.811212026462 -183.941469152426 -222.152703591177</f>
        <v>-1052.905384770065</v>
      </c>
      <c r="Q3627">
        <f>-454.388769676554 -91.8038664586063 -313.982977670077</f>
        <v>-860.17561380523716</v>
      </c>
      <c r="R3627" t="s">
        <v>69826</v>
      </c>
      <c r="S3627" t="s">
        <v>69827</v>
      </c>
      <c r="T3627" t="s">
        <v>69828</v>
      </c>
      <c r="U3627" t="s">
        <v>69829</v>
      </c>
      <c r="V3627">
        <f>-599.75758765806 -55.8892698615734 -93.1638648337165</f>
        <v>-748.81072235334989</v>
      </c>
      <c r="W3627" t="s">
        <v>69830</v>
      </c>
      <c r="X3627" t="s">
        <v>69831</v>
      </c>
      <c r="Y3627" t="s">
        <v>69832</v>
      </c>
    </row>
    <row r="3628" spans="1:25" x14ac:dyDescent="0.3">
      <c r="A3628">
        <v>181350</v>
      </c>
      <c r="B3628" t="s">
        <v>69833</v>
      </c>
      <c r="C3628" t="s">
        <v>69834</v>
      </c>
      <c r="D3628" t="s">
        <v>69835</v>
      </c>
      <c r="E3628" t="s">
        <v>69836</v>
      </c>
      <c r="F3628" t="s">
        <v>69837</v>
      </c>
      <c r="G3628" t="s">
        <v>69838</v>
      </c>
      <c r="H3628" t="s">
        <v>69839</v>
      </c>
      <c r="I3628" t="s">
        <v>69840</v>
      </c>
      <c r="J3628" t="s">
        <v>69841</v>
      </c>
      <c r="K3628" t="s">
        <v>69842</v>
      </c>
      <c r="L3628" t="s">
        <v>69843</v>
      </c>
      <c r="M3628" t="s">
        <v>69844</v>
      </c>
      <c r="N3628">
        <f>-663.653545726842 -3.17749131542837 -530.487063385178</f>
        <v>-1197.3181004274484</v>
      </c>
      <c r="O3628">
        <f>-655.096288846796 -156.473802552912 -502.837120734156</f>
        <v>-1314.407212133864</v>
      </c>
      <c r="P3628">
        <f>-645.729575474517 -183.870184682958 -222.230115022617</f>
        <v>-1051.8298751800919</v>
      </c>
      <c r="Q3628">
        <f>-453.665729670283 -91.1999904390748 -314.275044155589</f>
        <v>-859.14076426494671</v>
      </c>
      <c r="R3628" t="s">
        <v>69845</v>
      </c>
      <c r="S3628" t="s">
        <v>69846</v>
      </c>
      <c r="T3628" t="s">
        <v>69847</v>
      </c>
      <c r="U3628" t="s">
        <v>69848</v>
      </c>
      <c r="V3628">
        <f>-599.621091309993 -55.7837653174668 -93.1537380471735</f>
        <v>-748.55859467463324</v>
      </c>
      <c r="W3628" t="s">
        <v>69849</v>
      </c>
      <c r="X3628" t="s">
        <v>69850</v>
      </c>
      <c r="Y3628" t="s">
        <v>69851</v>
      </c>
    </row>
    <row r="3629" spans="1:25" x14ac:dyDescent="0.3">
      <c r="A3629">
        <v>181400</v>
      </c>
      <c r="B3629" t="s">
        <v>69852</v>
      </c>
      <c r="C3629" t="s">
        <v>69853</v>
      </c>
      <c r="D3629" t="s">
        <v>69854</v>
      </c>
      <c r="E3629" t="s">
        <v>69855</v>
      </c>
      <c r="F3629" t="s">
        <v>69856</v>
      </c>
      <c r="G3629" t="s">
        <v>69857</v>
      </c>
      <c r="H3629" t="s">
        <v>69858</v>
      </c>
      <c r="I3629" t="s">
        <v>69859</v>
      </c>
      <c r="J3629" t="s">
        <v>69860</v>
      </c>
      <c r="K3629" t="s">
        <v>69861</v>
      </c>
      <c r="L3629" t="s">
        <v>69862</v>
      </c>
      <c r="M3629" t="s">
        <v>69863</v>
      </c>
      <c r="N3629">
        <f>-662.360065175084 -3.1250601539557 -530.634951122672</f>
        <v>-1196.1200764517116</v>
      </c>
      <c r="O3629">
        <f>-653.215780172564 -156.393644194912 -503.01853786778</f>
        <v>-1312.6279622352561</v>
      </c>
      <c r="P3629">
        <f>-643.450096422591 -183.79847482248 -222.426000010256</f>
        <v>-1049.674571255327</v>
      </c>
      <c r="Q3629">
        <f>-452.121098191823 -90.147553468925 -315.007034921449</f>
        <v>-857.27568658219707</v>
      </c>
      <c r="R3629" t="s">
        <v>69864</v>
      </c>
      <c r="S3629" t="s">
        <v>69865</v>
      </c>
      <c r="T3629" t="s">
        <v>69866</v>
      </c>
      <c r="U3629" t="s">
        <v>69867</v>
      </c>
      <c r="V3629">
        <f>-599.248120099236 -55.772560228786 -93.1421802604613</f>
        <v>-748.16286058848323</v>
      </c>
      <c r="W3629" t="s">
        <v>69868</v>
      </c>
      <c r="X3629" t="s">
        <v>69869</v>
      </c>
      <c r="Y3629" t="s">
        <v>69870</v>
      </c>
    </row>
    <row r="3630" spans="1:25" x14ac:dyDescent="0.3">
      <c r="A3630">
        <v>181450</v>
      </c>
      <c r="B3630" t="s">
        <v>69871</v>
      </c>
      <c r="C3630" t="s">
        <v>69872</v>
      </c>
      <c r="D3630" t="s">
        <v>69873</v>
      </c>
      <c r="E3630" t="s">
        <v>69874</v>
      </c>
      <c r="F3630" t="s">
        <v>69875</v>
      </c>
      <c r="G3630" t="s">
        <v>69876</v>
      </c>
      <c r="H3630" t="s">
        <v>69877</v>
      </c>
      <c r="I3630" t="s">
        <v>69878</v>
      </c>
      <c r="J3630" t="s">
        <v>69879</v>
      </c>
      <c r="K3630" t="s">
        <v>69880</v>
      </c>
      <c r="L3630" t="s">
        <v>69881</v>
      </c>
      <c r="M3630" t="s">
        <v>69882</v>
      </c>
      <c r="N3630">
        <f>-661.749157921868 -3.00000000593445 -530.695394171621</f>
        <v>-1195.4445520994236</v>
      </c>
      <c r="O3630">
        <f>-652.261822904034 -156.257492592278 -503.145242773346</f>
        <v>-1311.6645582696581</v>
      </c>
      <c r="P3630">
        <f>-642.335075890071 -183.867881750078 -222.578484047029</f>
        <v>-1048.7814416871781</v>
      </c>
      <c r="Q3630">
        <f>-451.355494804329 -89.694673999684 -315.350906590424</f>
        <v>-856.40107539443693</v>
      </c>
      <c r="R3630" t="s">
        <v>69883</v>
      </c>
      <c r="S3630" t="s">
        <v>69884</v>
      </c>
      <c r="T3630" t="s">
        <v>69885</v>
      </c>
      <c r="U3630" t="s">
        <v>69886</v>
      </c>
      <c r="V3630">
        <f>-598.984642864411 -55.6544725059773 -93.135636962851</f>
        <v>-747.77475233323923</v>
      </c>
      <c r="W3630" t="s">
        <v>69887</v>
      </c>
      <c r="X3630" t="s">
        <v>69888</v>
      </c>
      <c r="Y3630" t="s">
        <v>69889</v>
      </c>
    </row>
    <row r="3631" spans="1:25" x14ac:dyDescent="0.3">
      <c r="A3631">
        <v>181500</v>
      </c>
      <c r="B3631" t="s">
        <v>69890</v>
      </c>
      <c r="C3631" t="s">
        <v>69891</v>
      </c>
      <c r="D3631" t="s">
        <v>69892</v>
      </c>
      <c r="E3631" t="s">
        <v>69893</v>
      </c>
      <c r="F3631" t="s">
        <v>69894</v>
      </c>
      <c r="G3631" t="s">
        <v>69895</v>
      </c>
      <c r="H3631" t="s">
        <v>69896</v>
      </c>
      <c r="I3631" t="s">
        <v>69897</v>
      </c>
      <c r="J3631" t="s">
        <v>69898</v>
      </c>
      <c r="K3631" t="s">
        <v>69899</v>
      </c>
      <c r="L3631" t="s">
        <v>69900</v>
      </c>
      <c r="M3631" t="s">
        <v>69901</v>
      </c>
      <c r="N3631">
        <f>-660.924263139651 -2.54479448882512 -530.754513051617</f>
        <v>-1194.223570680093</v>
      </c>
      <c r="O3631">
        <f>-650.86242668405 -155.79318793984 -503.349038706759</f>
        <v>-1310.004653330649</v>
      </c>
      <c r="P3631">
        <f>-640.369591219262 -183.642304179736 -222.826533586376</f>
        <v>-1046.8384289853741</v>
      </c>
      <c r="Q3631">
        <f>-450.126544147912 -88.5573143443144 -316.180237444504</f>
        <v>-854.86409593673034</v>
      </c>
      <c r="R3631" t="s">
        <v>69902</v>
      </c>
      <c r="S3631" t="s">
        <v>69903</v>
      </c>
      <c r="T3631" t="s">
        <v>69904</v>
      </c>
      <c r="U3631" t="s">
        <v>69905</v>
      </c>
      <c r="V3631">
        <f>-598.348018216406 -55.1858508200344 -93.0915539865399</f>
        <v>-746.62542302298027</v>
      </c>
      <c r="W3631" t="s">
        <v>69906</v>
      </c>
      <c r="X3631" t="s">
        <v>69907</v>
      </c>
      <c r="Y3631" t="s">
        <v>69908</v>
      </c>
    </row>
    <row r="3632" spans="1:25" x14ac:dyDescent="0.3">
      <c r="A3632">
        <v>181550</v>
      </c>
      <c r="B3632" t="s">
        <v>69909</v>
      </c>
      <c r="C3632" t="s">
        <v>69910</v>
      </c>
      <c r="D3632" t="s">
        <v>69911</v>
      </c>
      <c r="E3632" t="s">
        <v>69912</v>
      </c>
      <c r="F3632" t="s">
        <v>69913</v>
      </c>
      <c r="G3632" t="s">
        <v>69914</v>
      </c>
      <c r="H3632" t="s">
        <v>69915</v>
      </c>
      <c r="I3632" t="s">
        <v>69916</v>
      </c>
      <c r="J3632" t="s">
        <v>69917</v>
      </c>
      <c r="K3632" t="s">
        <v>69918</v>
      </c>
      <c r="L3632" t="s">
        <v>69919</v>
      </c>
      <c r="M3632" t="s">
        <v>69920</v>
      </c>
      <c r="N3632">
        <f>-660.235007050116 -2.08349593890534 -530.760168660417</f>
        <v>-1193.0786716494383</v>
      </c>
      <c r="O3632">
        <f>-649.743967427358 -155.314839231183 -503.423134592597</f>
        <v>-1308.4819412511381</v>
      </c>
      <c r="P3632">
        <f>-638.526590779196 -183.148921022171 -222.927046847346</f>
        <v>-1044.6025586487131</v>
      </c>
      <c r="Q3632">
        <f>-448.835168528376 -87.7955385473613 -317.125983721732</f>
        <v>-853.75669079746922</v>
      </c>
      <c r="R3632" t="s">
        <v>69921</v>
      </c>
      <c r="S3632" t="s">
        <v>69922</v>
      </c>
      <c r="T3632" t="s">
        <v>69923</v>
      </c>
      <c r="U3632" t="s">
        <v>69924</v>
      </c>
      <c r="V3632">
        <f>-597.68718072408 -54.6761702130098 -93.0345354855805</f>
        <v>-745.39788642267024</v>
      </c>
      <c r="W3632" t="s">
        <v>69925</v>
      </c>
      <c r="X3632" t="s">
        <v>69926</v>
      </c>
      <c r="Y3632" t="s">
        <v>69927</v>
      </c>
    </row>
    <row r="3633" spans="1:25" x14ac:dyDescent="0.3">
      <c r="A3633">
        <v>181600</v>
      </c>
      <c r="B3633" t="s">
        <v>69928</v>
      </c>
      <c r="C3633" t="s">
        <v>69929</v>
      </c>
      <c r="D3633" t="s">
        <v>69930</v>
      </c>
      <c r="E3633" t="s">
        <v>69931</v>
      </c>
      <c r="F3633" t="s">
        <v>69932</v>
      </c>
      <c r="G3633" t="s">
        <v>69933</v>
      </c>
      <c r="H3633" t="s">
        <v>69934</v>
      </c>
      <c r="I3633" t="s">
        <v>69935</v>
      </c>
      <c r="J3633" t="s">
        <v>69936</v>
      </c>
      <c r="K3633" t="s">
        <v>69937</v>
      </c>
      <c r="L3633" t="s">
        <v>69938</v>
      </c>
      <c r="M3633" t="s">
        <v>69939</v>
      </c>
      <c r="N3633">
        <f>-659.91179698657 -1.87051001430109 -530.744039507526</f>
        <v>-1192.5263465083972</v>
      </c>
      <c r="O3633">
        <f>-649.291228770461 -155.092554227275 -503.406504710887</f>
        <v>-1307.7902877086231</v>
      </c>
      <c r="P3633">
        <f>-637.702626283714 -182.91580654101 -222.924508155747</f>
        <v>-1043.542940980471</v>
      </c>
      <c r="Q3633">
        <f>-448.313096578685 -87.4847807547608 -317.650678164128</f>
        <v>-853.44855549757381</v>
      </c>
      <c r="R3633" t="s">
        <v>69940</v>
      </c>
      <c r="S3633" t="s">
        <v>69941</v>
      </c>
      <c r="T3633" t="s">
        <v>69942</v>
      </c>
      <c r="U3633" t="s">
        <v>69943</v>
      </c>
      <c r="V3633">
        <f>-597.381728747431 -54.3849965719596 -93.0042997296943</f>
        <v>-744.77102504908487</v>
      </c>
      <c r="W3633" t="s">
        <v>69944</v>
      </c>
      <c r="X3633" t="s">
        <v>69945</v>
      </c>
      <c r="Y3633" t="s">
        <v>69946</v>
      </c>
    </row>
    <row r="3634" spans="1:25" x14ac:dyDescent="0.3">
      <c r="A3634">
        <v>181650</v>
      </c>
      <c r="B3634" t="s">
        <v>69947</v>
      </c>
      <c r="C3634" t="s">
        <v>69948</v>
      </c>
      <c r="D3634" t="s">
        <v>69949</v>
      </c>
      <c r="E3634" t="s">
        <v>69950</v>
      </c>
      <c r="F3634" t="s">
        <v>69951</v>
      </c>
      <c r="G3634" t="s">
        <v>69952</v>
      </c>
      <c r="H3634" t="s">
        <v>69953</v>
      </c>
      <c r="I3634" t="s">
        <v>69954</v>
      </c>
      <c r="J3634" t="s">
        <v>69955</v>
      </c>
      <c r="K3634" t="s">
        <v>69956</v>
      </c>
      <c r="L3634" t="s">
        <v>69957</v>
      </c>
      <c r="M3634" t="s">
        <v>69958</v>
      </c>
      <c r="N3634">
        <f>-659.639060421658 -1.69728641032566 -530.710269898213</f>
        <v>-1192.0466167301965</v>
      </c>
      <c r="O3634">
        <f>-648.913949612014 -154.908823514613 -503.359050493622</f>
        <v>-1307.1818236202489</v>
      </c>
      <c r="P3634">
        <f>-636.93236835091 -182.74625756267 -222.894837904845</f>
        <v>-1042.5734638184249</v>
      </c>
      <c r="Q3634">
        <f>-447.824223266036 -87.3487288098181 -318.215154637678</f>
        <v>-853.38810671353201</v>
      </c>
      <c r="R3634" t="s">
        <v>69959</v>
      </c>
      <c r="S3634" t="s">
        <v>69960</v>
      </c>
      <c r="T3634" t="s">
        <v>69961</v>
      </c>
      <c r="U3634" t="s">
        <v>69962</v>
      </c>
      <c r="V3634">
        <f>-597.06990327378 -54.123603961978 -92.9670840575172</f>
        <v>-744.16059129327527</v>
      </c>
      <c r="W3634" t="s">
        <v>69963</v>
      </c>
      <c r="X3634" t="s">
        <v>69964</v>
      </c>
      <c r="Y3634" t="s">
        <v>69965</v>
      </c>
    </row>
    <row r="3635" spans="1:25" x14ac:dyDescent="0.3">
      <c r="A3635">
        <v>181700</v>
      </c>
      <c r="B3635" t="s">
        <v>69966</v>
      </c>
      <c r="C3635" t="s">
        <v>69967</v>
      </c>
      <c r="D3635" t="s">
        <v>69968</v>
      </c>
      <c r="E3635" t="s">
        <v>69969</v>
      </c>
      <c r="F3635" t="s">
        <v>69970</v>
      </c>
      <c r="G3635" t="s">
        <v>69971</v>
      </c>
      <c r="H3635" t="s">
        <v>69972</v>
      </c>
      <c r="I3635" t="s">
        <v>69973</v>
      </c>
      <c r="J3635" t="s">
        <v>69974</v>
      </c>
      <c r="K3635" t="s">
        <v>69975</v>
      </c>
      <c r="L3635" t="s">
        <v>69976</v>
      </c>
      <c r="M3635" t="s">
        <v>69977</v>
      </c>
      <c r="N3635">
        <f>-659.224710872766 -1.47965802279919 -530.625840558378</f>
        <v>-1191.3302094539431</v>
      </c>
      <c r="O3635">
        <f>-648.398961831777 -154.669295826137 -503.171397255627</f>
        <v>-1306.239654913541</v>
      </c>
      <c r="P3635">
        <f>-635.644409129276 -182.408242493407 -222.731589070826</f>
        <v>-1040.784240693509</v>
      </c>
      <c r="Q3635">
        <f>-447.076565909031 -87.4108138919062 -319.510692419631</f>
        <v>-853.99807222056825</v>
      </c>
      <c r="R3635" t="s">
        <v>69978</v>
      </c>
      <c r="S3635" t="s">
        <v>69979</v>
      </c>
      <c r="T3635" t="s">
        <v>69980</v>
      </c>
      <c r="U3635" t="s">
        <v>69981</v>
      </c>
      <c r="V3635">
        <f>-596.480934189328 -53.8331692447309 -92.8961540532836</f>
        <v>-743.21025748734246</v>
      </c>
      <c r="W3635" t="s">
        <v>69982</v>
      </c>
      <c r="X3635" t="s">
        <v>69983</v>
      </c>
      <c r="Y3635" t="s">
        <v>69984</v>
      </c>
    </row>
    <row r="3636" spans="1:25" x14ac:dyDescent="0.3">
      <c r="A3636">
        <v>181750</v>
      </c>
      <c r="B3636" t="s">
        <v>69985</v>
      </c>
      <c r="C3636" t="s">
        <v>69986</v>
      </c>
      <c r="D3636" t="s">
        <v>69987</v>
      </c>
      <c r="E3636" t="s">
        <v>69988</v>
      </c>
      <c r="F3636" t="s">
        <v>69989</v>
      </c>
      <c r="G3636" t="s">
        <v>69990</v>
      </c>
      <c r="H3636" t="s">
        <v>69991</v>
      </c>
      <c r="I3636" t="s">
        <v>69992</v>
      </c>
      <c r="J3636" t="s">
        <v>69993</v>
      </c>
      <c r="K3636" t="s">
        <v>69994</v>
      </c>
      <c r="L3636" t="s">
        <v>69995</v>
      </c>
      <c r="M3636" t="s">
        <v>69996</v>
      </c>
      <c r="N3636">
        <f>-658.934379101701 -1.41406727666708 -530.597389083277</f>
        <v>-1190.9458354616449</v>
      </c>
      <c r="O3636">
        <f>-648.074080915304 -154.5835957528 -503.09907035401</f>
        <v>-1305.7567470221138</v>
      </c>
      <c r="P3636">
        <f>-635.043028168663 -182.353737200814 -222.675126558497</f>
        <v>-1040.0718919279739</v>
      </c>
      <c r="Q3636">
        <f>-446.657486446286 -87.6380137558083 -320.083411330839</f>
        <v>-854.37891153293333</v>
      </c>
      <c r="R3636" t="s">
        <v>69997</v>
      </c>
      <c r="S3636" t="s">
        <v>69998</v>
      </c>
      <c r="T3636" t="s">
        <v>69999</v>
      </c>
      <c r="U3636" t="s">
        <v>70000</v>
      </c>
      <c r="V3636">
        <f>-596.228849311234 -53.7262102186571 -92.8704916474743</f>
        <v>-742.82555117736536</v>
      </c>
      <c r="W3636" t="s">
        <v>70001</v>
      </c>
      <c r="X3636" t="s">
        <v>70002</v>
      </c>
      <c r="Y3636" t="s">
        <v>70003</v>
      </c>
    </row>
    <row r="3637" spans="1:25" x14ac:dyDescent="0.3">
      <c r="A3637">
        <v>181800</v>
      </c>
      <c r="B3637" t="s">
        <v>70004</v>
      </c>
      <c r="C3637" t="s">
        <v>70005</v>
      </c>
      <c r="D3637" t="s">
        <v>70006</v>
      </c>
      <c r="E3637" t="s">
        <v>70007</v>
      </c>
      <c r="F3637" t="s">
        <v>70008</v>
      </c>
      <c r="G3637" t="s">
        <v>70009</v>
      </c>
      <c r="H3637" t="s">
        <v>70010</v>
      </c>
      <c r="I3637" t="s">
        <v>70011</v>
      </c>
      <c r="J3637" t="s">
        <v>70012</v>
      </c>
      <c r="K3637" t="s">
        <v>70013</v>
      </c>
      <c r="L3637" t="s">
        <v>70014</v>
      </c>
      <c r="M3637" t="s">
        <v>70015</v>
      </c>
      <c r="N3637">
        <f>-658.558823190031 -1.41274051416531 -530.532959290613</f>
        <v>-1190.5045229948093</v>
      </c>
      <c r="O3637">
        <f>-647.627274356582 -154.570678988813 -502.960927767494</f>
        <v>-1305.158881112889</v>
      </c>
      <c r="P3637">
        <f>-634.106088852153 -182.207408531796 -222.546981905231</f>
        <v>-1038.8604792891799</v>
      </c>
      <c r="Q3637">
        <f>-445.929627094112 -88.3120687379451 -321.146201867198</f>
        <v>-855.38789769925506</v>
      </c>
      <c r="R3637" t="s">
        <v>70016</v>
      </c>
      <c r="S3637" t="s">
        <v>70017</v>
      </c>
      <c r="T3637" t="s">
        <v>70018</v>
      </c>
      <c r="U3637" t="s">
        <v>70019</v>
      </c>
      <c r="V3637">
        <f>-595.820183061567 -53.5667566367724 -92.8264127718785</f>
        <v>-742.21335247021796</v>
      </c>
      <c r="W3637" t="s">
        <v>70020</v>
      </c>
      <c r="X3637" t="s">
        <v>70021</v>
      </c>
      <c r="Y3637" t="s">
        <v>70022</v>
      </c>
    </row>
    <row r="3638" spans="1:25" x14ac:dyDescent="0.3">
      <c r="A3638">
        <v>181850</v>
      </c>
      <c r="B3638" t="s">
        <v>70023</v>
      </c>
      <c r="C3638" t="s">
        <v>70024</v>
      </c>
      <c r="D3638" t="s">
        <v>70025</v>
      </c>
      <c r="E3638" t="s">
        <v>70026</v>
      </c>
      <c r="F3638" t="s">
        <v>70027</v>
      </c>
      <c r="G3638" t="s">
        <v>70028</v>
      </c>
      <c r="H3638" t="s">
        <v>70029</v>
      </c>
      <c r="I3638" t="s">
        <v>70030</v>
      </c>
      <c r="J3638" t="s">
        <v>70031</v>
      </c>
      <c r="K3638" t="s">
        <v>70032</v>
      </c>
      <c r="L3638" t="s">
        <v>70033</v>
      </c>
      <c r="M3638" t="s">
        <v>70034</v>
      </c>
      <c r="N3638">
        <f>-658.435148289666 -1.42912839757923 -530.507801617858</f>
        <v>-1190.3720783051033</v>
      </c>
      <c r="O3638">
        <f>-647.460747275332 -154.577452160901 -502.903535810236</f>
        <v>-1304.9417352464689</v>
      </c>
      <c r="P3638">
        <f>-633.779408512488 -182.142136191148 -222.490224925736</f>
        <v>-1038.411769629372</v>
      </c>
      <c r="Q3638">
        <f>-445.637086125698 -88.746847701221 -321.628181275616</f>
        <v>-856.01211510253506</v>
      </c>
      <c r="R3638" t="s">
        <v>70035</v>
      </c>
      <c r="S3638" t="s">
        <v>70036</v>
      </c>
      <c r="T3638" t="s">
        <v>70037</v>
      </c>
      <c r="U3638" t="s">
        <v>70038</v>
      </c>
      <c r="V3638">
        <f>-595.70399556026 -53.5815112073478 -92.8068369486666</f>
        <v>-742.0923437162744</v>
      </c>
      <c r="W3638" t="s">
        <v>70039</v>
      </c>
      <c r="X3638" t="s">
        <v>70040</v>
      </c>
      <c r="Y3638" t="s">
        <v>70041</v>
      </c>
    </row>
    <row r="3639" spans="1:25" x14ac:dyDescent="0.3">
      <c r="A3639">
        <v>181900</v>
      </c>
      <c r="B3639" t="s">
        <v>70042</v>
      </c>
      <c r="C3639" t="s">
        <v>70043</v>
      </c>
      <c r="D3639" t="s">
        <v>70044</v>
      </c>
      <c r="E3639" t="s">
        <v>70045</v>
      </c>
      <c r="F3639" t="s">
        <v>70046</v>
      </c>
      <c r="G3639" t="s">
        <v>70047</v>
      </c>
      <c r="H3639" t="s">
        <v>70048</v>
      </c>
      <c r="I3639" t="s">
        <v>70049</v>
      </c>
      <c r="J3639" t="s">
        <v>70050</v>
      </c>
      <c r="K3639" t="s">
        <v>70051</v>
      </c>
      <c r="L3639" t="s">
        <v>70052</v>
      </c>
      <c r="M3639" t="s">
        <v>70053</v>
      </c>
      <c r="N3639">
        <f>-658.081596057431 -1.3906444080535 -530.510098783588</f>
        <v>-1189.9823392490725</v>
      </c>
      <c r="O3639">
        <f>-647.003569416379 -154.540611219135 -502.934460939277</f>
        <v>-1304.478641574791</v>
      </c>
      <c r="P3639">
        <f>-633.169334335124 -181.932324646598 -222.511777145198</f>
        <v>-1037.6134361269199</v>
      </c>
      <c r="Q3639">
        <f>-444.969302267645 -89.6331638358929 -322.562731515189</f>
        <v>-857.16519761872678</v>
      </c>
      <c r="R3639" t="s">
        <v>70054</v>
      </c>
      <c r="S3639" t="s">
        <v>70055</v>
      </c>
      <c r="T3639" t="s">
        <v>70056</v>
      </c>
      <c r="U3639" t="s">
        <v>70057</v>
      </c>
      <c r="V3639">
        <f>-595.604648049773 -53.5997506120884 -92.7849992668984</f>
        <v>-741.98939792875979</v>
      </c>
      <c r="W3639" t="s">
        <v>70058</v>
      </c>
      <c r="X3639" t="s">
        <v>70059</v>
      </c>
      <c r="Y3639" t="s">
        <v>70060</v>
      </c>
    </row>
    <row r="3640" spans="1:25" x14ac:dyDescent="0.3">
      <c r="A3640">
        <v>181950</v>
      </c>
      <c r="B3640" t="s">
        <v>70061</v>
      </c>
      <c r="C3640" t="s">
        <v>70062</v>
      </c>
      <c r="D3640" t="s">
        <v>70063</v>
      </c>
      <c r="E3640" t="s">
        <v>70064</v>
      </c>
      <c r="F3640" t="s">
        <v>70065</v>
      </c>
      <c r="G3640" t="s">
        <v>70066</v>
      </c>
      <c r="H3640" t="s">
        <v>70067</v>
      </c>
      <c r="I3640" t="s">
        <v>70068</v>
      </c>
      <c r="J3640" t="s">
        <v>70069</v>
      </c>
      <c r="K3640" t="s">
        <v>70070</v>
      </c>
      <c r="L3640" t="s">
        <v>70071</v>
      </c>
      <c r="M3640" t="s">
        <v>70072</v>
      </c>
      <c r="N3640">
        <f>-657.68431779335 -1.32693233014243 -530.558524935699</f>
        <v>-1189.5697750591914</v>
      </c>
      <c r="O3640">
        <f>-646.56500605065 -154.492375127924 -503.092448761298</f>
        <v>-1304.149829939872</v>
      </c>
      <c r="P3640">
        <f>-632.758854037309 -181.890933608744 -222.669105297034</f>
        <v>-1037.3188929430871</v>
      </c>
      <c r="Q3640">
        <f>-444.460564526168 -90.1675441479128 -323.063884719228</f>
        <v>-857.69199339330885</v>
      </c>
      <c r="R3640" t="s">
        <v>70073</v>
      </c>
      <c r="S3640" t="s">
        <v>70074</v>
      </c>
      <c r="T3640" t="s">
        <v>70075</v>
      </c>
      <c r="U3640" t="s">
        <v>70076</v>
      </c>
      <c r="V3640">
        <f>-595.604219172523 -53.6288852200239 -92.7805764875546</f>
        <v>-742.01368088010156</v>
      </c>
      <c r="W3640" t="s">
        <v>70077</v>
      </c>
      <c r="X3640" t="s">
        <v>70078</v>
      </c>
      <c r="Y3640" t="s">
        <v>70079</v>
      </c>
    </row>
    <row r="3641" spans="1:25" x14ac:dyDescent="0.3">
      <c r="A3641">
        <v>182000</v>
      </c>
      <c r="B3641" t="s">
        <v>70080</v>
      </c>
      <c r="C3641" t="s">
        <v>70081</v>
      </c>
      <c r="D3641" t="s">
        <v>70082</v>
      </c>
      <c r="E3641" t="s">
        <v>70083</v>
      </c>
      <c r="F3641" t="s">
        <v>70084</v>
      </c>
      <c r="G3641" t="s">
        <v>70085</v>
      </c>
      <c r="H3641" t="s">
        <v>70086</v>
      </c>
      <c r="I3641" t="s">
        <v>70087</v>
      </c>
      <c r="J3641" t="s">
        <v>70088</v>
      </c>
      <c r="K3641" t="s">
        <v>70089</v>
      </c>
      <c r="L3641" t="s">
        <v>70090</v>
      </c>
      <c r="M3641" t="s">
        <v>70091</v>
      </c>
      <c r="N3641">
        <f>-656.778930817403 -1.16424856530989 -530.66023287634</f>
        <v>-1188.6034122590529</v>
      </c>
      <c r="O3641">
        <f>-645.520608593195 -154.362297971737 -503.436104789803</f>
        <v>-1303.319011354735</v>
      </c>
      <c r="P3641">
        <f>-631.696635420934 -182.304116190826 -223.067077147827</f>
        <v>-1037.067828759587</v>
      </c>
      <c r="Q3641">
        <f>-443.16832282 -91.6569602994171 -324.006387329912</f>
        <v>-858.83167044932907</v>
      </c>
      <c r="R3641" t="s">
        <v>70092</v>
      </c>
      <c r="S3641" t="s">
        <v>70093</v>
      </c>
      <c r="T3641" t="s">
        <v>70094</v>
      </c>
      <c r="U3641" t="s">
        <v>70095</v>
      </c>
      <c r="V3641">
        <f>-595.611668605161 -53.6863132951912 -92.777753518951</f>
        <v>-742.07573541930321</v>
      </c>
      <c r="W3641" t="s">
        <v>70096</v>
      </c>
      <c r="X3641" t="s">
        <v>70097</v>
      </c>
      <c r="Y3641" t="s">
        <v>70098</v>
      </c>
    </row>
    <row r="3642" spans="1:25" x14ac:dyDescent="0.3">
      <c r="A3642">
        <v>182050</v>
      </c>
      <c r="B3642" t="s">
        <v>70099</v>
      </c>
      <c r="C3642" t="s">
        <v>70100</v>
      </c>
      <c r="D3642" t="s">
        <v>70101</v>
      </c>
      <c r="E3642" t="s">
        <v>70102</v>
      </c>
      <c r="F3642" t="s">
        <v>70103</v>
      </c>
      <c r="G3642" t="s">
        <v>70104</v>
      </c>
      <c r="H3642" t="s">
        <v>70105</v>
      </c>
      <c r="I3642" t="s">
        <v>70106</v>
      </c>
      <c r="J3642" t="s">
        <v>70107</v>
      </c>
      <c r="K3642" t="s">
        <v>70108</v>
      </c>
      <c r="L3642" t="s">
        <v>70109</v>
      </c>
      <c r="M3642" t="s">
        <v>70110</v>
      </c>
      <c r="N3642">
        <f>-656.408215013378 -1.04080820311174 -530.710532962169</f>
        <v>-1188.1595561786589</v>
      </c>
      <c r="O3642">
        <f>-645.041303100136 -154.255255153817 -503.644724677726</f>
        <v>-1302.9412829316789</v>
      </c>
      <c r="P3642">
        <f>-631.163046340599 -182.502682636475 -223.309109032406</f>
        <v>-1036.97483800948</v>
      </c>
      <c r="Q3642">
        <f>-442.396928196597 -92.4906736444946 -324.371957232932</f>
        <v>-859.25955907402363</v>
      </c>
      <c r="R3642" t="s">
        <v>70111</v>
      </c>
      <c r="S3642" t="s">
        <v>70112</v>
      </c>
      <c r="T3642" t="s">
        <v>70113</v>
      </c>
      <c r="U3642" t="s">
        <v>70114</v>
      </c>
      <c r="V3642">
        <f>-595.534110974036 -53.7269888301457 -92.7803869539276</f>
        <v>-742.04148675810939</v>
      </c>
      <c r="W3642" t="s">
        <v>70115</v>
      </c>
      <c r="X3642" t="s">
        <v>70116</v>
      </c>
      <c r="Y3642" t="s">
        <v>70117</v>
      </c>
    </row>
    <row r="3643" spans="1:25" x14ac:dyDescent="0.3">
      <c r="A3643">
        <v>182100</v>
      </c>
      <c r="B3643" t="s">
        <v>70118</v>
      </c>
      <c r="C3643" t="s">
        <v>70119</v>
      </c>
      <c r="D3643" t="s">
        <v>70120</v>
      </c>
      <c r="E3643" t="s">
        <v>70121</v>
      </c>
      <c r="F3643" t="s">
        <v>70122</v>
      </c>
      <c r="G3643" t="s">
        <v>70123</v>
      </c>
      <c r="H3643" t="s">
        <v>70124</v>
      </c>
      <c r="I3643" t="s">
        <v>70125</v>
      </c>
      <c r="J3643" t="s">
        <v>70126</v>
      </c>
      <c r="K3643" t="s">
        <v>70127</v>
      </c>
      <c r="L3643" t="s">
        <v>70128</v>
      </c>
      <c r="M3643" t="s">
        <v>70129</v>
      </c>
      <c r="N3643">
        <f>-655.957148302526 -0.814565253020191 -530.80683667157</f>
        <v>-1187.578550227116</v>
      </c>
      <c r="O3643">
        <f>-644.372780144378 -154.076872503887 -504.100439839793</f>
        <v>-1302.550092488058</v>
      </c>
      <c r="P3643">
        <f>-630.253331094586 -182.461565271318 -223.790794080558</f>
        <v>-1036.505690446462</v>
      </c>
      <c r="Q3643">
        <f>-440.763533057967 -94.0057184252887 -324.873684650403</f>
        <v>-859.64293613365862</v>
      </c>
      <c r="R3643" t="s">
        <v>70130</v>
      </c>
      <c r="S3643" t="s">
        <v>70131</v>
      </c>
      <c r="T3643" t="s">
        <v>70132</v>
      </c>
      <c r="U3643" t="s">
        <v>70133</v>
      </c>
      <c r="V3643">
        <f>-595.327623932214 -53.9273538878458 -92.7803893278362</f>
        <v>-742.03536714789607</v>
      </c>
      <c r="W3643" t="s">
        <v>70134</v>
      </c>
      <c r="X3643" t="s">
        <v>70135</v>
      </c>
      <c r="Y3643" t="s">
        <v>70136</v>
      </c>
    </row>
    <row r="3644" spans="1:25" x14ac:dyDescent="0.3">
      <c r="A3644">
        <v>182150</v>
      </c>
      <c r="B3644" t="s">
        <v>70137</v>
      </c>
      <c r="C3644" t="s">
        <v>70138</v>
      </c>
      <c r="D3644" t="s">
        <v>70139</v>
      </c>
      <c r="E3644" t="s">
        <v>70140</v>
      </c>
      <c r="F3644" t="s">
        <v>70141</v>
      </c>
      <c r="G3644" t="s">
        <v>70142</v>
      </c>
      <c r="H3644" t="s">
        <v>70143</v>
      </c>
      <c r="I3644" t="s">
        <v>70144</v>
      </c>
      <c r="J3644" t="s">
        <v>70145</v>
      </c>
      <c r="K3644" t="s">
        <v>70146</v>
      </c>
      <c r="L3644" t="s">
        <v>70147</v>
      </c>
      <c r="M3644" t="s">
        <v>70148</v>
      </c>
      <c r="N3644">
        <f>-655.772768630783 -0.840074261672953 -530.840269564896</f>
        <v>-1187.4531124573518</v>
      </c>
      <c r="O3644">
        <f>-644.048858932457 -154.119768075527 -504.310721831181</f>
        <v>-1302.4793488391651</v>
      </c>
      <c r="P3644">
        <f>-629.886807842459 -182.640850188268 -224.016951396134</f>
        <v>-1036.5446094268609</v>
      </c>
      <c r="Q3644">
        <f>-440.193710902344 -94.6839019869603 -325.153780017008</f>
        <v>-860.03139290631225</v>
      </c>
      <c r="R3644" t="s">
        <v>70149</v>
      </c>
      <c r="S3644" t="s">
        <v>70150</v>
      </c>
      <c r="T3644" t="s">
        <v>70151</v>
      </c>
      <c r="U3644" t="s">
        <v>70152</v>
      </c>
      <c r="V3644">
        <f>-595.173736234195 -54.1135294869341 -92.7746848963415</f>
        <v>-742.06195061747053</v>
      </c>
      <c r="W3644" t="s">
        <v>70153</v>
      </c>
      <c r="X3644" t="s">
        <v>70154</v>
      </c>
      <c r="Y3644" t="s">
        <v>70155</v>
      </c>
    </row>
    <row r="3645" spans="1:25" x14ac:dyDescent="0.3">
      <c r="A3645">
        <v>182200</v>
      </c>
      <c r="B3645" t="s">
        <v>70156</v>
      </c>
      <c r="C3645" t="s">
        <v>70157</v>
      </c>
      <c r="D3645" t="s">
        <v>70158</v>
      </c>
      <c r="E3645" t="s">
        <v>70159</v>
      </c>
      <c r="F3645" t="s">
        <v>70160</v>
      </c>
      <c r="G3645" t="s">
        <v>70161</v>
      </c>
      <c r="H3645" t="s">
        <v>70162</v>
      </c>
      <c r="I3645" t="s">
        <v>70163</v>
      </c>
      <c r="J3645" t="s">
        <v>70164</v>
      </c>
      <c r="K3645" t="s">
        <v>70165</v>
      </c>
      <c r="L3645" t="s">
        <v>70166</v>
      </c>
      <c r="M3645" t="s">
        <v>70167</v>
      </c>
      <c r="N3645">
        <f>-655.393423980427 -1.00971708800898 -530.918171443849</f>
        <v>-1187.321312512285</v>
      </c>
      <c r="O3645">
        <f>-643.397112004178 -154.317683146924 -504.637537910102</f>
        <v>-1302.352333061204</v>
      </c>
      <c r="P3645">
        <f>-629.283498673717 -183.185491006206 -224.376740548723</f>
        <v>-1036.8457302286461</v>
      </c>
      <c r="Q3645">
        <f>-439.219754200678 -96.1677685823304 -325.630049439748</f>
        <v>-861.01757222275637</v>
      </c>
      <c r="R3645" t="s">
        <v>70168</v>
      </c>
      <c r="S3645" t="s">
        <v>70169</v>
      </c>
      <c r="T3645" t="s">
        <v>70170</v>
      </c>
      <c r="U3645" t="s">
        <v>70171</v>
      </c>
      <c r="V3645">
        <f>-594.844137352665 -54.6628867536708 -92.783176274039</f>
        <v>-742.29020038037481</v>
      </c>
      <c r="W3645" t="s">
        <v>70172</v>
      </c>
      <c r="X3645" t="s">
        <v>70173</v>
      </c>
      <c r="Y3645" t="s">
        <v>70174</v>
      </c>
    </row>
    <row r="3646" spans="1:25" x14ac:dyDescent="0.3">
      <c r="A3646">
        <v>182250</v>
      </c>
      <c r="B3646" t="s">
        <v>70175</v>
      </c>
      <c r="C3646" t="s">
        <v>70176</v>
      </c>
      <c r="D3646" t="s">
        <v>70177</v>
      </c>
      <c r="E3646" t="s">
        <v>70178</v>
      </c>
      <c r="F3646" t="s">
        <v>70179</v>
      </c>
      <c r="G3646" t="s">
        <v>70180</v>
      </c>
      <c r="H3646" t="s">
        <v>70181</v>
      </c>
      <c r="I3646" t="s">
        <v>70182</v>
      </c>
      <c r="J3646" t="s">
        <v>70183</v>
      </c>
      <c r="K3646" t="s">
        <v>70184</v>
      </c>
      <c r="L3646" t="s">
        <v>70185</v>
      </c>
      <c r="M3646" t="s">
        <v>70186</v>
      </c>
      <c r="N3646">
        <f>-655.23613691111 -1.09138371499353 -530.961749201424</f>
        <v>-1187.2892698275275</v>
      </c>
      <c r="O3646">
        <f>-643.200207883273 -154.414544225099 -504.782073243563</f>
        <v>-1302.3968253519351</v>
      </c>
      <c r="P3646">
        <f>-629.146286438255 -183.314673335578 -224.521699958082</f>
        <v>-1036.982659731915</v>
      </c>
      <c r="Q3646">
        <f>-438.900730294437 -96.669465090924 -325.753085464786</f>
        <v>-861.32328085014706</v>
      </c>
      <c r="R3646" t="s">
        <v>70187</v>
      </c>
      <c r="S3646" t="s">
        <v>70188</v>
      </c>
      <c r="T3646" t="s">
        <v>70189</v>
      </c>
      <c r="U3646" t="s">
        <v>70190</v>
      </c>
      <c r="V3646">
        <f>-594.652365247388 -54.9218349246084 -92.7946742561016</f>
        <v>-742.36887442809814</v>
      </c>
      <c r="W3646" t="s">
        <v>70191</v>
      </c>
      <c r="X3646" t="s">
        <v>70192</v>
      </c>
      <c r="Y3646" t="s">
        <v>70193</v>
      </c>
    </row>
    <row r="3647" spans="1:25" x14ac:dyDescent="0.3">
      <c r="A3647">
        <v>182300</v>
      </c>
      <c r="B3647" t="s">
        <v>70194</v>
      </c>
      <c r="C3647" t="s">
        <v>70195</v>
      </c>
      <c r="D3647" t="s">
        <v>70196</v>
      </c>
      <c r="E3647" t="s">
        <v>70197</v>
      </c>
      <c r="F3647" t="s">
        <v>70198</v>
      </c>
      <c r="G3647" t="s">
        <v>70199</v>
      </c>
      <c r="H3647" t="s">
        <v>70200</v>
      </c>
      <c r="I3647" t="s">
        <v>70201</v>
      </c>
      <c r="J3647" t="s">
        <v>70202</v>
      </c>
      <c r="K3647" t="s">
        <v>70203</v>
      </c>
      <c r="L3647" t="s">
        <v>70204</v>
      </c>
      <c r="M3647" t="s">
        <v>70205</v>
      </c>
      <c r="N3647">
        <f>-654.798728407278 -1.15324773178281 -531.040034753143</f>
        <v>-1186.9920108922038</v>
      </c>
      <c r="O3647">
        <f>-642.735457747376 -154.499338092684 -505.039016722307</f>
        <v>-1302.2738125623671</v>
      </c>
      <c r="P3647">
        <f>-629.105366545692 -183.637095609935 -224.782468956349</f>
        <v>-1037.524931111976</v>
      </c>
      <c r="Q3647">
        <f>-438.505851503228 -97.6331374724971 -325.894618414882</f>
        <v>-862.03360739060713</v>
      </c>
      <c r="R3647" t="s">
        <v>70206</v>
      </c>
      <c r="S3647" t="s">
        <v>70207</v>
      </c>
      <c r="T3647" t="s">
        <v>70208</v>
      </c>
      <c r="U3647" t="s">
        <v>70209</v>
      </c>
      <c r="V3647">
        <f>-594.30943911127 -55.2917610699647 -92.8108217971206</f>
        <v>-742.41202197835526</v>
      </c>
      <c r="W3647" t="s">
        <v>70210</v>
      </c>
      <c r="X3647" t="s">
        <v>70211</v>
      </c>
      <c r="Y3647" t="s">
        <v>70212</v>
      </c>
    </row>
    <row r="3648" spans="1:25" x14ac:dyDescent="0.3">
      <c r="A3648">
        <v>182350</v>
      </c>
      <c r="B3648" t="s">
        <v>70213</v>
      </c>
      <c r="C3648" t="s">
        <v>70214</v>
      </c>
      <c r="D3648" t="s">
        <v>70215</v>
      </c>
      <c r="E3648" t="s">
        <v>70216</v>
      </c>
      <c r="F3648" t="s">
        <v>70217</v>
      </c>
      <c r="G3648" t="s">
        <v>70218</v>
      </c>
      <c r="H3648" t="s">
        <v>70219</v>
      </c>
      <c r="I3648" t="s">
        <v>70220</v>
      </c>
      <c r="J3648" t="s">
        <v>70221</v>
      </c>
      <c r="K3648" t="s">
        <v>70222</v>
      </c>
      <c r="L3648" t="s">
        <v>70223</v>
      </c>
      <c r="M3648" t="s">
        <v>70224</v>
      </c>
      <c r="N3648">
        <f>-654.755511097831 -1.38143712352985 -531.061265766637</f>
        <v>-1187.1982139879979</v>
      </c>
      <c r="O3648">
        <f>-642.618149455821 -154.730640453805 -505.099781554999</f>
        <v>-1302.448571464625</v>
      </c>
      <c r="P3648">
        <f>-629.267928247832 -183.89394076176 -224.832342157548</f>
        <v>-1037.9942111671401</v>
      </c>
      <c r="Q3648">
        <f>-438.556517612346 -98.2771482620328 -326.062108566518</f>
        <v>-862.89577444089673</v>
      </c>
      <c r="R3648" t="s">
        <v>70225</v>
      </c>
      <c r="S3648" t="s">
        <v>70226</v>
      </c>
      <c r="T3648" t="s">
        <v>70227</v>
      </c>
      <c r="U3648" t="s">
        <v>70228</v>
      </c>
      <c r="V3648">
        <f>-594.32510776698 -55.6568560589583 -92.8339838910828</f>
        <v>-742.815947717021</v>
      </c>
      <c r="W3648" t="s">
        <v>70229</v>
      </c>
      <c r="X3648" t="s">
        <v>70230</v>
      </c>
      <c r="Y3648" t="s">
        <v>70231</v>
      </c>
    </row>
    <row r="3649" spans="1:25" x14ac:dyDescent="0.3">
      <c r="A3649">
        <v>182400</v>
      </c>
      <c r="B3649" t="s">
        <v>70232</v>
      </c>
      <c r="C3649" t="s">
        <v>70233</v>
      </c>
      <c r="D3649" t="s">
        <v>70234</v>
      </c>
      <c r="E3649" t="s">
        <v>70235</v>
      </c>
      <c r="F3649" t="s">
        <v>70236</v>
      </c>
      <c r="G3649" t="s">
        <v>70237</v>
      </c>
      <c r="H3649" t="s">
        <v>70238</v>
      </c>
      <c r="I3649" t="s">
        <v>70239</v>
      </c>
      <c r="J3649" t="s">
        <v>70240</v>
      </c>
      <c r="K3649" t="s">
        <v>70241</v>
      </c>
      <c r="L3649" t="s">
        <v>70242</v>
      </c>
      <c r="M3649" t="s">
        <v>70243</v>
      </c>
      <c r="N3649">
        <f>-655.311389644123 -2.39163184735071 -531.166852831658</f>
        <v>-1188.8698743231316</v>
      </c>
      <c r="O3649">
        <f>-643.061319318117 -155.73464093146 -505.202493829844</f>
        <v>-1303.998454079421</v>
      </c>
      <c r="P3649">
        <f>-630.267567597149 -185.059306920778 -224.925843732062</f>
        <v>-1040.2527182499889</v>
      </c>
      <c r="Q3649">
        <f>-439.005637322974 -100.485243891202 -325.993488176536</f>
        <v>-865.48436939071189</v>
      </c>
      <c r="R3649" t="s">
        <v>70244</v>
      </c>
      <c r="S3649" t="s">
        <v>70245</v>
      </c>
      <c r="T3649" t="s">
        <v>70246</v>
      </c>
      <c r="U3649" t="s">
        <v>70247</v>
      </c>
      <c r="V3649">
        <f>-595.078945180138 -57.2089053393929 -92.98992444685</f>
        <v>-745.27777496638089</v>
      </c>
      <c r="W3649" t="s">
        <v>70248</v>
      </c>
      <c r="X3649" t="s">
        <v>70249</v>
      </c>
      <c r="Y3649" t="s">
        <v>70250</v>
      </c>
    </row>
    <row r="3650" spans="1:25" x14ac:dyDescent="0.3">
      <c r="A3650">
        <v>182450</v>
      </c>
      <c r="B3650" t="s">
        <v>70251</v>
      </c>
      <c r="C3650" t="s">
        <v>70252</v>
      </c>
      <c r="D3650" t="s">
        <v>70253</v>
      </c>
      <c r="E3650" t="s">
        <v>70254</v>
      </c>
      <c r="F3650" t="s">
        <v>70255</v>
      </c>
      <c r="G3650" t="s">
        <v>70256</v>
      </c>
      <c r="H3650" t="s">
        <v>70257</v>
      </c>
      <c r="I3650" t="s">
        <v>70258</v>
      </c>
      <c r="J3650" t="s">
        <v>70259</v>
      </c>
      <c r="K3650" t="s">
        <v>70260</v>
      </c>
      <c r="L3650" t="s">
        <v>70261</v>
      </c>
      <c r="M3650" t="s">
        <v>70262</v>
      </c>
      <c r="N3650">
        <f>-655.775389130737 -2.9125295968031 -531.216607943515</f>
        <v>-1189.904526671055</v>
      </c>
      <c r="O3650">
        <f>-643.524062368081 -156.253273070719 -505.227667559147</f>
        <v>-1305.005002997947</v>
      </c>
      <c r="P3650">
        <f>-631.181312439055 -185.691121085318 -224.942758535833</f>
        <v>-1041.8151920602061</v>
      </c>
      <c r="Q3650">
        <f>-439.379013716233 -101.839695769045 -325.5875528099</f>
        <v>-866.80626229517793</v>
      </c>
      <c r="R3650" t="s">
        <v>70263</v>
      </c>
      <c r="S3650" t="s">
        <v>70264</v>
      </c>
      <c r="T3650" t="s">
        <v>70265</v>
      </c>
      <c r="U3650" t="s">
        <v>70266</v>
      </c>
      <c r="V3650">
        <f>-595.727660374818 -57.8555588744098 -93.0782334441885</f>
        <v>-746.66145269341632</v>
      </c>
      <c r="W3650" t="s">
        <v>70267</v>
      </c>
      <c r="X3650" t="s">
        <v>70268</v>
      </c>
      <c r="Y3650" t="s">
        <v>70269</v>
      </c>
    </row>
    <row r="3651" spans="1:25" x14ac:dyDescent="0.3">
      <c r="A3651">
        <v>182500</v>
      </c>
      <c r="B3651" t="s">
        <v>70270</v>
      </c>
      <c r="C3651" t="s">
        <v>70271</v>
      </c>
      <c r="D3651" t="s">
        <v>70272</v>
      </c>
      <c r="E3651" t="s">
        <v>70273</v>
      </c>
      <c r="F3651" t="s">
        <v>70274</v>
      </c>
      <c r="G3651" t="s">
        <v>70275</v>
      </c>
      <c r="H3651" t="s">
        <v>70276</v>
      </c>
      <c r="I3651" t="s">
        <v>70277</v>
      </c>
      <c r="J3651" t="s">
        <v>70278</v>
      </c>
      <c r="K3651" t="s">
        <v>70279</v>
      </c>
      <c r="L3651" t="s">
        <v>70280</v>
      </c>
      <c r="M3651" t="s">
        <v>70281</v>
      </c>
      <c r="N3651">
        <f>-656.915315911895 -3.87638878553571 -531.231808634224</f>
        <v>-1192.0235133316546</v>
      </c>
      <c r="O3651">
        <f>-644.914755219608 -157.194976070007 -505.000914186448</f>
        <v>-1307.1106454760629</v>
      </c>
      <c r="P3651">
        <f>-633.863920684837 -186.384491467682 -224.636116278052</f>
        <v>-1044.884528430571</v>
      </c>
      <c r="Q3651">
        <f>-440.51196338758 -104.992343899858 -324.329829623505</f>
        <v>-869.83413691094302</v>
      </c>
      <c r="R3651" t="s">
        <v>70282</v>
      </c>
      <c r="S3651" t="s">
        <v>70283</v>
      </c>
      <c r="T3651" t="s">
        <v>70284</v>
      </c>
      <c r="U3651" t="s">
        <v>70285</v>
      </c>
      <c r="V3651">
        <f>-597.366260107143 -58.7105396661543 -93.1792834125934</f>
        <v>-749.2560831858907</v>
      </c>
      <c r="W3651" t="s">
        <v>70286</v>
      </c>
      <c r="X3651" t="s">
        <v>70287</v>
      </c>
      <c r="Y3651" t="s">
        <v>70288</v>
      </c>
    </row>
    <row r="3652" spans="1:25" x14ac:dyDescent="0.3">
      <c r="A3652">
        <v>182550</v>
      </c>
      <c r="B3652" t="s">
        <v>70289</v>
      </c>
      <c r="C3652" t="s">
        <v>70290</v>
      </c>
      <c r="D3652" t="s">
        <v>70291</v>
      </c>
      <c r="E3652" t="s">
        <v>70292</v>
      </c>
      <c r="F3652" t="s">
        <v>70293</v>
      </c>
      <c r="G3652" t="s">
        <v>70294</v>
      </c>
      <c r="H3652" t="s">
        <v>70295</v>
      </c>
      <c r="I3652" t="s">
        <v>70296</v>
      </c>
      <c r="J3652" t="s">
        <v>70297</v>
      </c>
      <c r="K3652" t="s">
        <v>70298</v>
      </c>
      <c r="L3652" t="s">
        <v>70299</v>
      </c>
      <c r="M3652" t="s">
        <v>70300</v>
      </c>
      <c r="N3652">
        <f>-657.616143402379 -4.2198690516343 -531.217384229514</f>
        <v>-1193.0533966835274</v>
      </c>
      <c r="O3652">
        <f>-645.935158475429 -157.525271459552 -504.77710050134</f>
        <v>-1308.2375304363209</v>
      </c>
      <c r="P3652">
        <f>-635.567288475887 -186.194312996568 -224.332478223331</f>
        <v>-1046.0940796957861</v>
      </c>
      <c r="Q3652">
        <f>-441.482565431122 -106.159139381039 -323.700631936165</f>
        <v>-871.34233674832603</v>
      </c>
      <c r="R3652" t="s">
        <v>70301</v>
      </c>
      <c r="S3652" t="s">
        <v>70302</v>
      </c>
      <c r="T3652" t="s">
        <v>70303</v>
      </c>
      <c r="U3652" t="s">
        <v>70304</v>
      </c>
      <c r="V3652">
        <f>-598.395373670313 -58.858118061798 -93.2097918154443</f>
        <v>-750.46328354755531</v>
      </c>
      <c r="W3652" t="s">
        <v>70305</v>
      </c>
      <c r="X3652" t="s">
        <v>70306</v>
      </c>
      <c r="Y3652" t="s">
        <v>70307</v>
      </c>
    </row>
    <row r="3653" spans="1:25" x14ac:dyDescent="0.3">
      <c r="A3653">
        <v>182600</v>
      </c>
      <c r="B3653" t="s">
        <v>70308</v>
      </c>
      <c r="C3653" t="s">
        <v>70309</v>
      </c>
      <c r="D3653" t="s">
        <v>70310</v>
      </c>
      <c r="E3653" t="s">
        <v>70311</v>
      </c>
      <c r="F3653" t="s">
        <v>70312</v>
      </c>
      <c r="G3653" t="s">
        <v>70313</v>
      </c>
      <c r="H3653" t="s">
        <v>70314</v>
      </c>
      <c r="I3653" t="s">
        <v>70315</v>
      </c>
      <c r="J3653" t="s">
        <v>70316</v>
      </c>
      <c r="K3653" t="s">
        <v>70317</v>
      </c>
      <c r="L3653" t="s">
        <v>70318</v>
      </c>
      <c r="M3653" t="s">
        <v>70319</v>
      </c>
      <c r="N3653">
        <f>-658.980163623391 -4.86207675377045 -531.120200096108</f>
        <v>-1194.9624404732695</v>
      </c>
      <c r="O3653">
        <f>-647.996606314629 -158.140188017717 -504.234687757646</f>
        <v>-1310.371482089992</v>
      </c>
      <c r="P3653">
        <f>-639.446057947096 -185.674679742919 -223.615096281972</f>
        <v>-1048.7358339719872</v>
      </c>
      <c r="Q3653">
        <f>-444.534428256161 -106.35616293828 -321.93374998563</f>
        <v>-872.82434118007097</v>
      </c>
      <c r="R3653" t="s">
        <v>70320</v>
      </c>
      <c r="S3653" t="s">
        <v>70321</v>
      </c>
      <c r="T3653" t="s">
        <v>70322</v>
      </c>
      <c r="U3653" t="s">
        <v>70323</v>
      </c>
      <c r="V3653">
        <f>-600.608109740883 -58.8226555216972 -93.1817227924435</f>
        <v>-752.61248805502373</v>
      </c>
      <c r="W3653" t="s">
        <v>70324</v>
      </c>
      <c r="X3653" t="s">
        <v>70325</v>
      </c>
      <c r="Y3653" t="s">
        <v>70326</v>
      </c>
    </row>
    <row r="3654" spans="1:25" x14ac:dyDescent="0.3">
      <c r="A3654">
        <v>182650</v>
      </c>
      <c r="B3654" t="s">
        <v>70327</v>
      </c>
      <c r="C3654" t="s">
        <v>70328</v>
      </c>
      <c r="D3654" t="s">
        <v>70329</v>
      </c>
      <c r="E3654" t="s">
        <v>70330</v>
      </c>
      <c r="F3654" t="s">
        <v>70331</v>
      </c>
      <c r="G3654" t="s">
        <v>70332</v>
      </c>
      <c r="H3654" t="s">
        <v>70333</v>
      </c>
      <c r="I3654" t="s">
        <v>70334</v>
      </c>
      <c r="J3654" t="s">
        <v>70335</v>
      </c>
      <c r="K3654" t="s">
        <v>70336</v>
      </c>
      <c r="L3654" t="s">
        <v>70337</v>
      </c>
      <c r="M3654" t="s">
        <v>70338</v>
      </c>
      <c r="N3654">
        <f>-659.725083084806 -5.18487278679299 -531.020434956768</f>
        <v>-1195.9303908283669</v>
      </c>
      <c r="O3654">
        <f>-649.038339687292 -158.445696290776 -503.93669207127</f>
        <v>-1311.4207280493381</v>
      </c>
      <c r="P3654">
        <f>-641.473361980592 -185.411562588328 -223.233620418603</f>
        <v>-1050.1185449875231</v>
      </c>
      <c r="Q3654">
        <f>-446.143121439824 -106.184436543191 -320.792241085782</f>
        <v>-873.11979906879697</v>
      </c>
      <c r="R3654" t="s">
        <v>70339</v>
      </c>
      <c r="S3654" t="s">
        <v>70340</v>
      </c>
      <c r="T3654" t="s">
        <v>70341</v>
      </c>
      <c r="U3654" t="s">
        <v>70342</v>
      </c>
      <c r="V3654">
        <f>-601.760624810275 -58.6454428724919 -93.1073512374483</f>
        <v>-753.51341892021514</v>
      </c>
      <c r="W3654" t="s">
        <v>70343</v>
      </c>
      <c r="X3654" t="s">
        <v>70344</v>
      </c>
      <c r="Y3654" t="s">
        <v>70345</v>
      </c>
    </row>
    <row r="3655" spans="1:25" x14ac:dyDescent="0.3">
      <c r="A3655">
        <v>182700</v>
      </c>
      <c r="B3655" t="s">
        <v>70346</v>
      </c>
      <c r="C3655" t="s">
        <v>70347</v>
      </c>
      <c r="D3655" t="s">
        <v>70348</v>
      </c>
      <c r="E3655" t="s">
        <v>70349</v>
      </c>
      <c r="F3655" t="s">
        <v>70350</v>
      </c>
      <c r="G3655" t="s">
        <v>70351</v>
      </c>
      <c r="H3655" t="s">
        <v>70352</v>
      </c>
      <c r="I3655" t="s">
        <v>70353</v>
      </c>
      <c r="J3655" t="s">
        <v>70354</v>
      </c>
      <c r="K3655" t="s">
        <v>70355</v>
      </c>
      <c r="L3655" t="s">
        <v>70356</v>
      </c>
      <c r="M3655" t="s">
        <v>70357</v>
      </c>
      <c r="N3655">
        <f>-661.304374309286 -5.72617363070094 -530.78159354438</f>
        <v>-1197.812141484367</v>
      </c>
      <c r="O3655">
        <f>-651.104526714329 -158.942754069832 -503.256604769708</f>
        <v>-1313.3038855538691</v>
      </c>
      <c r="P3655">
        <f>-645.661752840634 -185.554390295387 -222.470553688493</f>
        <v>-1053.686696824514</v>
      </c>
      <c r="Q3655">
        <f>-449.883940603894 -106.141297293445 -318.975258915017</f>
        <v>-875.000496812356</v>
      </c>
      <c r="R3655" t="s">
        <v>70358</v>
      </c>
      <c r="S3655" t="s">
        <v>70359</v>
      </c>
      <c r="T3655" t="s">
        <v>70360</v>
      </c>
      <c r="U3655" t="s">
        <v>70361</v>
      </c>
      <c r="V3655">
        <f>-604.221856174608 -57.919816163997 -92.9694206030242</f>
        <v>-755.11109294162918</v>
      </c>
      <c r="W3655" t="s">
        <v>70362</v>
      </c>
      <c r="X3655" t="s">
        <v>70363</v>
      </c>
      <c r="Y3655" t="s">
        <v>70364</v>
      </c>
    </row>
    <row r="3656" spans="1:25" x14ac:dyDescent="0.3">
      <c r="A3656">
        <v>182750</v>
      </c>
      <c r="B3656" t="s">
        <v>70365</v>
      </c>
      <c r="C3656" t="s">
        <v>70366</v>
      </c>
      <c r="D3656" t="s">
        <v>70367</v>
      </c>
      <c r="E3656" t="s">
        <v>70368</v>
      </c>
      <c r="F3656" t="s">
        <v>70369</v>
      </c>
      <c r="G3656" t="s">
        <v>70370</v>
      </c>
      <c r="H3656" t="s">
        <v>70371</v>
      </c>
      <c r="I3656" t="s">
        <v>70372</v>
      </c>
      <c r="J3656" t="s">
        <v>70373</v>
      </c>
      <c r="K3656" t="s">
        <v>70374</v>
      </c>
      <c r="L3656" t="s">
        <v>70375</v>
      </c>
      <c r="M3656" t="s">
        <v>70376</v>
      </c>
      <c r="N3656">
        <f>-662.015414619918 -5.76862899065532 -530.733352453152</f>
        <v>-1198.5173960637253</v>
      </c>
      <c r="O3656">
        <f>-652.103943175492 -158.973773811668 -503.02629083584</f>
        <v>-1314.1040078229998</v>
      </c>
      <c r="P3656">
        <f>-647.601201881607 -185.354603763153 -222.201908691872</f>
        <v>-1055.1577143366321</v>
      </c>
      <c r="Q3656">
        <f>-451.343910246797 -106.269301077171 -317.999262259571</f>
        <v>-875.61247358353899</v>
      </c>
      <c r="R3656" t="s">
        <v>70377</v>
      </c>
      <c r="S3656" t="s">
        <v>70378</v>
      </c>
      <c r="T3656" t="s">
        <v>70379</v>
      </c>
      <c r="U3656" t="s">
        <v>70380</v>
      </c>
      <c r="V3656">
        <f>-605.300865227155 -57.3847137993084 -92.951011621176</f>
        <v>-755.63659064763942</v>
      </c>
      <c r="W3656" t="s">
        <v>70381</v>
      </c>
      <c r="X3656" t="s">
        <v>70382</v>
      </c>
      <c r="Y3656" t="s">
        <v>70383</v>
      </c>
    </row>
    <row r="3657" spans="1:25" x14ac:dyDescent="0.3">
      <c r="A3657">
        <v>182800</v>
      </c>
      <c r="B3657" t="s">
        <v>70384</v>
      </c>
      <c r="C3657" t="s">
        <v>70385</v>
      </c>
      <c r="D3657" t="s">
        <v>70386</v>
      </c>
      <c r="E3657" t="s">
        <v>70387</v>
      </c>
      <c r="F3657" t="s">
        <v>70388</v>
      </c>
      <c r="G3657" t="s">
        <v>70389</v>
      </c>
      <c r="H3657" t="s">
        <v>70390</v>
      </c>
      <c r="I3657" t="s">
        <v>70391</v>
      </c>
      <c r="J3657" t="s">
        <v>70392</v>
      </c>
      <c r="K3657" t="s">
        <v>70393</v>
      </c>
      <c r="L3657" t="s">
        <v>70394</v>
      </c>
      <c r="M3657" t="s">
        <v>70395</v>
      </c>
      <c r="N3657">
        <f>-663.39721348794 -5.838313928258 -530.732606821102</f>
        <v>-1199.9681342373001</v>
      </c>
      <c r="O3657">
        <f>-653.585145812536 -159.011857166029 -502.864740834489</f>
        <v>-1315.461743813054</v>
      </c>
      <c r="P3657">
        <f>-650.808206312474 -185.141291526638 -221.99437815829</f>
        <v>-1057.9438759974021</v>
      </c>
      <c r="Q3657">
        <f>-453.75874110852 -106.285548636035 -316.343968830434</f>
        <v>-876.38825857498909</v>
      </c>
      <c r="R3657" t="s">
        <v>70396</v>
      </c>
      <c r="S3657" t="s">
        <v>70397</v>
      </c>
      <c r="T3657" t="s">
        <v>70398</v>
      </c>
      <c r="U3657" t="s">
        <v>70399</v>
      </c>
      <c r="V3657">
        <f>-607.30738131854 -56.4269952787754 -92.9556561759091</f>
        <v>-756.69003277322452</v>
      </c>
      <c r="W3657" t="s">
        <v>70400</v>
      </c>
      <c r="X3657" t="s">
        <v>70401</v>
      </c>
      <c r="Y3657" t="s">
        <v>70402</v>
      </c>
    </row>
    <row r="3658" spans="1:25" x14ac:dyDescent="0.3">
      <c r="A3658">
        <v>182850</v>
      </c>
      <c r="B3658" t="s">
        <v>70403</v>
      </c>
      <c r="C3658" t="s">
        <v>70404</v>
      </c>
      <c r="D3658" t="s">
        <v>70405</v>
      </c>
      <c r="E3658" t="s">
        <v>70406</v>
      </c>
      <c r="F3658" t="s">
        <v>70407</v>
      </c>
      <c r="G3658" t="s">
        <v>70408</v>
      </c>
      <c r="H3658" t="s">
        <v>70409</v>
      </c>
      <c r="I3658" t="s">
        <v>70410</v>
      </c>
      <c r="J3658" t="s">
        <v>70411</v>
      </c>
      <c r="K3658" t="s">
        <v>70412</v>
      </c>
      <c r="L3658" t="s">
        <v>70413</v>
      </c>
      <c r="M3658" t="s">
        <v>70414</v>
      </c>
      <c r="N3658">
        <f>-664.025299667804 -5.90380054685897 -530.767463854977</f>
        <v>-1200.6965640696399</v>
      </c>
      <c r="O3658">
        <f>-654.007299363916 -159.070410164739 -502.871774755817</f>
        <v>-1315.949484284472</v>
      </c>
      <c r="P3658">
        <f>-651.933230053255 -185.223074717157 -221.997544475159</f>
        <v>-1059.1538492455711</v>
      </c>
      <c r="Q3658">
        <f>-454.60497987436 -106.538178563327 -315.905889341239</f>
        <v>-877.04904777892602</v>
      </c>
      <c r="R3658" t="s">
        <v>70415</v>
      </c>
      <c r="S3658" t="s">
        <v>70416</v>
      </c>
      <c r="T3658" t="s">
        <v>70417</v>
      </c>
      <c r="U3658" t="s">
        <v>70418</v>
      </c>
      <c r="V3658">
        <f>-608.126932669069 -55.9994623059508 -92.990665938554</f>
        <v>-757.11706091357382</v>
      </c>
      <c r="W3658" t="s">
        <v>70419</v>
      </c>
      <c r="X3658" t="s">
        <v>70420</v>
      </c>
      <c r="Y3658" t="s">
        <v>70421</v>
      </c>
    </row>
    <row r="3659" spans="1:25" x14ac:dyDescent="0.3">
      <c r="A3659">
        <v>182900</v>
      </c>
      <c r="B3659" t="s">
        <v>70422</v>
      </c>
      <c r="C3659" t="s">
        <v>70423</v>
      </c>
      <c r="D3659" t="s">
        <v>70424</v>
      </c>
      <c r="E3659" t="s">
        <v>70425</v>
      </c>
      <c r="F3659" t="s">
        <v>70426</v>
      </c>
      <c r="G3659" t="s">
        <v>70427</v>
      </c>
      <c r="H3659" t="s">
        <v>70428</v>
      </c>
      <c r="I3659" t="s">
        <v>70429</v>
      </c>
      <c r="J3659" t="s">
        <v>70430</v>
      </c>
      <c r="K3659" t="s">
        <v>70431</v>
      </c>
      <c r="L3659" t="s">
        <v>70432</v>
      </c>
      <c r="M3659" t="s">
        <v>70433</v>
      </c>
      <c r="N3659">
        <f>-665.207124893164 -5.90091668356376 -530.905355933882</f>
        <v>-1202.0133975106096</v>
      </c>
      <c r="O3659">
        <f>-654.582682782684 -159.037533037255 -503.102699050231</f>
        <v>-1316.7229148701699</v>
      </c>
      <c r="P3659">
        <f>-653.285814638886 -185.771248588963 -222.278396024597</f>
        <v>-1061.3354592524461</v>
      </c>
      <c r="Q3659">
        <f>-455.771857496935 -107.061241694307 -315.774272860873</f>
        <v>-878.60737205211501</v>
      </c>
      <c r="R3659" t="s">
        <v>70434</v>
      </c>
      <c r="S3659" t="s">
        <v>70435</v>
      </c>
      <c r="T3659" t="s">
        <v>70436</v>
      </c>
      <c r="U3659" t="s">
        <v>70437</v>
      </c>
      <c r="V3659">
        <f>-609.342066707733 -55.4204512015456 -93.1064537594406</f>
        <v>-757.86897166871915</v>
      </c>
      <c r="W3659" t="s">
        <v>70438</v>
      </c>
      <c r="X3659" t="s">
        <v>70439</v>
      </c>
      <c r="Y3659" t="s">
        <v>70440</v>
      </c>
    </row>
    <row r="3660" spans="1:25" x14ac:dyDescent="0.3">
      <c r="A3660">
        <v>182950</v>
      </c>
      <c r="B3660" t="s">
        <v>70441</v>
      </c>
      <c r="C3660" t="s">
        <v>70442</v>
      </c>
      <c r="D3660" t="s">
        <v>70443</v>
      </c>
      <c r="E3660" t="s">
        <v>70444</v>
      </c>
      <c r="F3660" t="s">
        <v>70445</v>
      </c>
      <c r="G3660" t="s">
        <v>70446</v>
      </c>
      <c r="H3660" t="s">
        <v>70447</v>
      </c>
      <c r="I3660" t="s">
        <v>70448</v>
      </c>
      <c r="J3660" t="s">
        <v>70449</v>
      </c>
      <c r="K3660" t="s">
        <v>70450</v>
      </c>
      <c r="L3660" t="s">
        <v>70451</v>
      </c>
      <c r="M3660" t="s">
        <v>70452</v>
      </c>
      <c r="N3660">
        <f>-665.841581843009 -5.9286831044742 -530.971578661371</f>
        <v>-1202.7418436088542</v>
      </c>
      <c r="O3660">
        <f>-654.783514633789 -159.045533334506 -503.238926863445</f>
        <v>-1317.06797483174</v>
      </c>
      <c r="P3660">
        <f>-653.672321799528 -185.855474757005 -222.421181142236</f>
        <v>-1061.9489776987691</v>
      </c>
      <c r="Q3660">
        <f>-456.14165675846 -107.179330125534 -315.91046172112</f>
        <v>-879.231448605114</v>
      </c>
      <c r="R3660" t="s">
        <v>70453</v>
      </c>
      <c r="S3660" t="s">
        <v>70454</v>
      </c>
      <c r="T3660" t="s">
        <v>70455</v>
      </c>
      <c r="U3660" t="s">
        <v>70456</v>
      </c>
      <c r="V3660">
        <f>-609.746673558766 -55.1822865185188 -93.1658793713434</f>
        <v>-758.09483944862825</v>
      </c>
      <c r="W3660" t="s">
        <v>70457</v>
      </c>
      <c r="X3660" t="s">
        <v>70458</v>
      </c>
      <c r="Y3660" t="s">
        <v>70459</v>
      </c>
    </row>
    <row r="3661" spans="1:25" x14ac:dyDescent="0.3">
      <c r="A3661">
        <v>183000</v>
      </c>
      <c r="B3661" t="s">
        <v>70460</v>
      </c>
      <c r="C3661" t="s">
        <v>70461</v>
      </c>
      <c r="D3661" t="s">
        <v>70462</v>
      </c>
      <c r="E3661" t="s">
        <v>70463</v>
      </c>
      <c r="F3661" t="s">
        <v>70464</v>
      </c>
      <c r="G3661" t="s">
        <v>70465</v>
      </c>
      <c r="H3661" t="s">
        <v>70466</v>
      </c>
      <c r="I3661" t="s">
        <v>70467</v>
      </c>
      <c r="J3661" t="s">
        <v>70468</v>
      </c>
      <c r="K3661" t="s">
        <v>70469</v>
      </c>
      <c r="L3661" t="s">
        <v>70470</v>
      </c>
      <c r="M3661" t="s">
        <v>70471</v>
      </c>
      <c r="N3661">
        <f>-666.940136762465 -5.98913757479954 -531.04876615394</f>
        <v>-1203.9780404912046</v>
      </c>
      <c r="O3661">
        <f>-655.013210133886 -159.079137102371 -503.503277462855</f>
        <v>-1317.595624699112</v>
      </c>
      <c r="P3661">
        <f>-653.794147847828 -185.853311559574 -222.682598886203</f>
        <v>-1062.3300582936049</v>
      </c>
      <c r="Q3661">
        <f>-456.658626140563 -107.128496641627 -316.961623997701</f>
        <v>-880.74874677989101</v>
      </c>
      <c r="R3661" t="s">
        <v>70472</v>
      </c>
      <c r="S3661" t="s">
        <v>70473</v>
      </c>
      <c r="T3661" t="s">
        <v>70474</v>
      </c>
      <c r="U3661" t="s">
        <v>70475</v>
      </c>
      <c r="V3661">
        <f>-610.058296598497 -55.072169934667 -93.2659922762786</f>
        <v>-758.39645880944261</v>
      </c>
      <c r="W3661" t="s">
        <v>70476</v>
      </c>
      <c r="X3661" t="s">
        <v>70477</v>
      </c>
      <c r="Y3661" t="s">
        <v>70478</v>
      </c>
    </row>
    <row r="3662" spans="1:25" x14ac:dyDescent="0.3">
      <c r="A3662">
        <v>183050</v>
      </c>
      <c r="B3662" t="s">
        <v>70479</v>
      </c>
      <c r="C3662" t="s">
        <v>70480</v>
      </c>
      <c r="D3662" t="s">
        <v>70481</v>
      </c>
      <c r="E3662" t="s">
        <v>70482</v>
      </c>
      <c r="F3662" t="s">
        <v>70483</v>
      </c>
      <c r="G3662" t="s">
        <v>70484</v>
      </c>
      <c r="H3662" t="s">
        <v>70485</v>
      </c>
      <c r="I3662" t="s">
        <v>70486</v>
      </c>
      <c r="J3662" t="s">
        <v>70487</v>
      </c>
      <c r="K3662" t="s">
        <v>70488</v>
      </c>
      <c r="L3662" t="s">
        <v>70489</v>
      </c>
      <c r="M3662" t="s">
        <v>70490</v>
      </c>
      <c r="N3662">
        <f>-667.324080943071 -5.91564895171928 -531.06158044412</f>
        <v>-1204.3013103389103</v>
      </c>
      <c r="O3662">
        <f>-655.009236077092 -159.001912372399 -503.647642602363</f>
        <v>-1317.6587910518542</v>
      </c>
      <c r="P3662">
        <f>-653.533467782281 -185.761916025327 -222.826749779877</f>
        <v>-1062.122133587485</v>
      </c>
      <c r="Q3662">
        <f>-456.602446239638 -107.023911077385 -317.521087050771</f>
        <v>-881.14744436779392</v>
      </c>
      <c r="R3662" t="s">
        <v>70491</v>
      </c>
      <c r="S3662" t="s">
        <v>70492</v>
      </c>
      <c r="T3662" t="s">
        <v>70493</v>
      </c>
      <c r="U3662" t="s">
        <v>70494</v>
      </c>
      <c r="V3662">
        <f>-609.997792811637 -55.0088923469143 -93.298669199209</f>
        <v>-758.30535435776039</v>
      </c>
      <c r="W3662" t="s">
        <v>70495</v>
      </c>
      <c r="X3662" t="s">
        <v>70496</v>
      </c>
      <c r="Y3662" t="s">
        <v>70497</v>
      </c>
    </row>
    <row r="3663" spans="1:25" x14ac:dyDescent="0.3">
      <c r="A3663">
        <v>183100</v>
      </c>
      <c r="B3663" t="s">
        <v>70498</v>
      </c>
      <c r="C3663" t="s">
        <v>70499</v>
      </c>
      <c r="D3663" t="s">
        <v>70500</v>
      </c>
      <c r="E3663" t="s">
        <v>70501</v>
      </c>
      <c r="F3663" t="s">
        <v>70502</v>
      </c>
      <c r="G3663" t="s">
        <v>70503</v>
      </c>
      <c r="H3663" t="s">
        <v>70504</v>
      </c>
      <c r="I3663" t="s">
        <v>70505</v>
      </c>
      <c r="J3663" t="s">
        <v>70506</v>
      </c>
      <c r="K3663" t="s">
        <v>70507</v>
      </c>
      <c r="L3663" t="s">
        <v>70508</v>
      </c>
      <c r="M3663" t="s">
        <v>70509</v>
      </c>
      <c r="N3663">
        <f>-668.004527465618 -5.80355551331354 -531.081104549492</f>
        <v>-1204.8891875284235</v>
      </c>
      <c r="O3663">
        <f>-655.002947908887 -158.895654688546 -504.007103113856</f>
        <v>-1317.9057057112889</v>
      </c>
      <c r="P3663">
        <f>-653.079376297581 -185.92566998983 -223.214815054399</f>
        <v>-1062.21986134181</v>
      </c>
      <c r="Q3663">
        <f>-456.169501196653 -107.337935664473 -318.077997862305</f>
        <v>-881.58543472343104</v>
      </c>
      <c r="R3663" t="s">
        <v>70510</v>
      </c>
      <c r="S3663" t="s">
        <v>70511</v>
      </c>
      <c r="T3663" t="s">
        <v>70512</v>
      </c>
      <c r="U3663" t="s">
        <v>70513</v>
      </c>
      <c r="V3663">
        <f>-609.705464501838 -55.1577423024394 -93.3374448543556</f>
        <v>-758.20065165863298</v>
      </c>
      <c r="W3663" t="s">
        <v>70514</v>
      </c>
      <c r="X3663" t="s">
        <v>70515</v>
      </c>
      <c r="Y3663" t="s">
        <v>70516</v>
      </c>
    </row>
    <row r="3664" spans="1:25" x14ac:dyDescent="0.3">
      <c r="A3664">
        <v>183150</v>
      </c>
      <c r="B3664" t="s">
        <v>70517</v>
      </c>
      <c r="C3664" t="s">
        <v>70518</v>
      </c>
      <c r="D3664" t="s">
        <v>70519</v>
      </c>
      <c r="E3664" t="s">
        <v>70520</v>
      </c>
      <c r="F3664" t="s">
        <v>70521</v>
      </c>
      <c r="G3664" t="s">
        <v>70522</v>
      </c>
      <c r="H3664" t="s">
        <v>70523</v>
      </c>
      <c r="I3664" t="s">
        <v>70524</v>
      </c>
      <c r="J3664" t="s">
        <v>70525</v>
      </c>
      <c r="K3664" t="s">
        <v>70526</v>
      </c>
      <c r="L3664" t="s">
        <v>70527</v>
      </c>
      <c r="M3664" t="s">
        <v>70528</v>
      </c>
      <c r="N3664">
        <f>-668.283883220219 -5.7070747388841 -531.072354482996</f>
        <v>-1205.0633124420992</v>
      </c>
      <c r="O3664">
        <f>-654.984579329779 -158.806641630409 -504.184759201002</f>
        <v>-1317.9759801611899</v>
      </c>
      <c r="P3664">
        <f>-652.87036641337 -186.048265138478 -223.41449323281</f>
        <v>-1062.3331247846579</v>
      </c>
      <c r="Q3664">
        <f>-455.920793719692 -107.485765739804 -318.216012560538</f>
        <v>-881.62257202003411</v>
      </c>
      <c r="R3664" t="s">
        <v>70529</v>
      </c>
      <c r="S3664" t="s">
        <v>70530</v>
      </c>
      <c r="T3664" t="s">
        <v>70531</v>
      </c>
      <c r="U3664" t="s">
        <v>70532</v>
      </c>
      <c r="V3664">
        <f>-609.434086834184 -55.2615122199084 -93.3488538222223</f>
        <v>-758.04445287631461</v>
      </c>
      <c r="W3664" t="s">
        <v>70533</v>
      </c>
      <c r="X3664" t="s">
        <v>70534</v>
      </c>
      <c r="Y3664" t="s">
        <v>70535</v>
      </c>
    </row>
    <row r="3665" spans="1:25" x14ac:dyDescent="0.3">
      <c r="A3665">
        <v>183200</v>
      </c>
      <c r="B3665" t="s">
        <v>70536</v>
      </c>
      <c r="C3665" t="s">
        <v>70537</v>
      </c>
      <c r="D3665" t="s">
        <v>70538</v>
      </c>
      <c r="E3665" t="s">
        <v>70539</v>
      </c>
      <c r="F3665" t="s">
        <v>70540</v>
      </c>
      <c r="G3665" t="s">
        <v>70541</v>
      </c>
      <c r="H3665" t="s">
        <v>70542</v>
      </c>
      <c r="I3665" t="s">
        <v>70543</v>
      </c>
      <c r="J3665" t="s">
        <v>70544</v>
      </c>
      <c r="K3665" t="s">
        <v>70545</v>
      </c>
      <c r="L3665" t="s">
        <v>70546</v>
      </c>
      <c r="M3665" t="s">
        <v>70547</v>
      </c>
      <c r="N3665">
        <f>-668.627178066041 -5.61272976384953 -531.019287767987</f>
        <v>-1205.2591955978774</v>
      </c>
      <c r="O3665">
        <f>-654.909574206681 -158.753423381069 -504.603972999881</f>
        <v>-1318.266970587631</v>
      </c>
      <c r="P3665">
        <f>-652.556889378967 -186.951491508115 -223.92987576337</f>
        <v>-1063.4382566504521</v>
      </c>
      <c r="Q3665">
        <f>-455.969674246291 -107.611035482328 -318.835714346462</f>
        <v>-882.41642407508107</v>
      </c>
      <c r="R3665" t="s">
        <v>70548</v>
      </c>
      <c r="S3665" t="s">
        <v>70549</v>
      </c>
      <c r="T3665" t="s">
        <v>70550</v>
      </c>
      <c r="U3665" t="s">
        <v>70551</v>
      </c>
      <c r="V3665">
        <f>-608.692829402325 -55.6052284639152 -93.3292823402415</f>
        <v>-757.62734020648168</v>
      </c>
      <c r="W3665" t="s">
        <v>70552</v>
      </c>
      <c r="X3665" t="s">
        <v>70553</v>
      </c>
      <c r="Y3665" t="s">
        <v>70554</v>
      </c>
    </row>
    <row r="3666" spans="1:25" x14ac:dyDescent="0.3">
      <c r="A3666">
        <v>183250</v>
      </c>
      <c r="B3666" t="s">
        <v>70555</v>
      </c>
      <c r="C3666" t="s">
        <v>70556</v>
      </c>
      <c r="D3666" t="s">
        <v>70557</v>
      </c>
      <c r="E3666" t="s">
        <v>70558</v>
      </c>
      <c r="F3666" t="s">
        <v>70559</v>
      </c>
      <c r="G3666" t="s">
        <v>70560</v>
      </c>
      <c r="H3666" t="s">
        <v>70561</v>
      </c>
      <c r="I3666" t="s">
        <v>70562</v>
      </c>
      <c r="J3666" t="s">
        <v>70563</v>
      </c>
      <c r="K3666" t="s">
        <v>70564</v>
      </c>
      <c r="L3666" t="s">
        <v>70565</v>
      </c>
      <c r="M3666" t="s">
        <v>70566</v>
      </c>
      <c r="N3666">
        <f>-668.794284411167 -5.52995454756069 -530.986878992636</f>
        <v>-1205.3111179513637</v>
      </c>
      <c r="O3666">
        <f>-654.973629345304 -158.701233095437 -504.793122717896</f>
        <v>-1318.467985158637</v>
      </c>
      <c r="P3666">
        <f>-652.428547689908 -187.131146282506 -224.144158142351</f>
        <v>-1063.7038521147649</v>
      </c>
      <c r="Q3666">
        <f>-456.003308214392 -107.76904521958 -319.366568289218</f>
        <v>-883.13892172319004</v>
      </c>
      <c r="R3666" t="s">
        <v>70567</v>
      </c>
      <c r="S3666" t="s">
        <v>70568</v>
      </c>
      <c r="T3666" t="s">
        <v>70569</v>
      </c>
      <c r="U3666" t="s">
        <v>70570</v>
      </c>
      <c r="V3666">
        <f>-608.243352141402 -55.765380960943 -93.3117550356184</f>
        <v>-757.32048813796348</v>
      </c>
      <c r="W3666" t="s">
        <v>70571</v>
      </c>
      <c r="X3666" t="s">
        <v>70572</v>
      </c>
      <c r="Y3666" t="s">
        <v>70573</v>
      </c>
    </row>
    <row r="3667" spans="1:25" x14ac:dyDescent="0.3">
      <c r="A3667">
        <v>183300</v>
      </c>
      <c r="B3667" t="s">
        <v>70574</v>
      </c>
      <c r="C3667" t="s">
        <v>70575</v>
      </c>
      <c r="D3667" t="s">
        <v>70576</v>
      </c>
      <c r="E3667" t="s">
        <v>70577</v>
      </c>
      <c r="F3667" t="s">
        <v>70578</v>
      </c>
      <c r="G3667" t="s">
        <v>70579</v>
      </c>
      <c r="H3667" t="s">
        <v>70580</v>
      </c>
      <c r="I3667" t="s">
        <v>70581</v>
      </c>
      <c r="J3667" t="s">
        <v>70582</v>
      </c>
      <c r="K3667" t="s">
        <v>70583</v>
      </c>
      <c r="L3667" t="s">
        <v>70584</v>
      </c>
      <c r="M3667" t="s">
        <v>70585</v>
      </c>
      <c r="N3667">
        <f>-669.029126918757 -5.30546291204428 -530.896060733858</f>
        <v>-1205.2306505646593</v>
      </c>
      <c r="O3667">
        <f>-655.046681656253 -158.527433267031 -505.099166193142</f>
        <v>-1318.6732811164261</v>
      </c>
      <c r="P3667">
        <f>-651.933042321075 -187.402573774978 -224.501351950705</f>
        <v>-1063.8369680467581</v>
      </c>
      <c r="Q3667">
        <f>-455.767883358636 -108.305204006844 -320.477341960816</f>
        <v>-884.5504293262959</v>
      </c>
      <c r="R3667" t="s">
        <v>70586</v>
      </c>
      <c r="S3667" t="s">
        <v>70587</v>
      </c>
      <c r="T3667" t="s">
        <v>70588</v>
      </c>
      <c r="U3667" t="s">
        <v>70589</v>
      </c>
      <c r="V3667">
        <f>-607.221607996495 -56.0941184548294 -93.2426646225308</f>
        <v>-756.5583910738552</v>
      </c>
      <c r="W3667" t="s">
        <v>70590</v>
      </c>
      <c r="X3667" t="s">
        <v>70591</v>
      </c>
      <c r="Y3667" t="s">
        <v>70592</v>
      </c>
    </row>
    <row r="3668" spans="1:25" x14ac:dyDescent="0.3">
      <c r="A3668">
        <v>183350</v>
      </c>
      <c r="B3668" t="s">
        <v>70593</v>
      </c>
      <c r="C3668" t="s">
        <v>70594</v>
      </c>
      <c r="D3668" t="s">
        <v>70595</v>
      </c>
      <c r="E3668" t="s">
        <v>70596</v>
      </c>
      <c r="F3668" t="s">
        <v>70597</v>
      </c>
      <c r="G3668" t="s">
        <v>70598</v>
      </c>
      <c r="H3668" t="s">
        <v>70599</v>
      </c>
      <c r="I3668" t="s">
        <v>70600</v>
      </c>
      <c r="J3668" t="s">
        <v>70601</v>
      </c>
      <c r="K3668" t="s">
        <v>70602</v>
      </c>
      <c r="L3668" t="s">
        <v>70603</v>
      </c>
      <c r="M3668" t="s">
        <v>70604</v>
      </c>
      <c r="N3668">
        <f>-669.14123262316 -5.136413341354 -530.823572566043</f>
        <v>-1205.1012185305572</v>
      </c>
      <c r="O3668">
        <f>-655.141745217933 -158.389520770596 -505.210151677246</f>
        <v>-1318.7414176657749</v>
      </c>
      <c r="P3668">
        <f>-651.518450849468 -187.208496571808 -224.612701250307</f>
        <v>-1063.3396486715831</v>
      </c>
      <c r="Q3668">
        <f>-455.393489689465 -108.657191533824 -321.11778434372</f>
        <v>-885.16846556700909</v>
      </c>
      <c r="R3668" t="s">
        <v>70605</v>
      </c>
      <c r="S3668" t="s">
        <v>70606</v>
      </c>
      <c r="T3668" t="s">
        <v>70607</v>
      </c>
      <c r="U3668" t="s">
        <v>70608</v>
      </c>
      <c r="V3668">
        <f>-606.618225251906 -56.1904388033608 -93.19633545136</f>
        <v>-756.00499950662686</v>
      </c>
      <c r="W3668" t="s">
        <v>70609</v>
      </c>
      <c r="X3668" t="s">
        <v>70610</v>
      </c>
      <c r="Y3668" t="s">
        <v>70611</v>
      </c>
    </row>
    <row r="3669" spans="1:25" x14ac:dyDescent="0.3">
      <c r="A3669">
        <v>183400</v>
      </c>
      <c r="B3669" t="s">
        <v>70612</v>
      </c>
      <c r="C3669" t="s">
        <v>70613</v>
      </c>
      <c r="D3669" t="s">
        <v>70614</v>
      </c>
      <c r="E3669" t="s">
        <v>70615</v>
      </c>
      <c r="F3669" t="s">
        <v>70616</v>
      </c>
      <c r="G3669" t="s">
        <v>70617</v>
      </c>
      <c r="H3669" t="s">
        <v>70618</v>
      </c>
      <c r="I3669" t="s">
        <v>70619</v>
      </c>
      <c r="J3669" t="s">
        <v>70620</v>
      </c>
      <c r="K3669" t="s">
        <v>70621</v>
      </c>
      <c r="L3669" t="s">
        <v>70622</v>
      </c>
      <c r="M3669" t="s">
        <v>70623</v>
      </c>
      <c r="N3669">
        <f>-669.093840841589 -4.92591730648019 -530.640986428383</f>
        <v>-1204.6607445764521</v>
      </c>
      <c r="O3669">
        <f>-654.955074884957 -158.196001743384 -505.249866837439</f>
        <v>-1318.4009434657798</v>
      </c>
      <c r="P3669">
        <f>-650.436553171559 -187.310295601235 -224.695915311261</f>
        <v>-1062.4427640840549</v>
      </c>
      <c r="Q3669">
        <f>-454.12533056168 -109.739964076562 -321.614736424314</f>
        <v>-885.48003106255601</v>
      </c>
      <c r="R3669" t="s">
        <v>70624</v>
      </c>
      <c r="S3669" t="s">
        <v>70625</v>
      </c>
      <c r="T3669" t="s">
        <v>70626</v>
      </c>
      <c r="U3669" t="s">
        <v>70627</v>
      </c>
      <c r="V3669">
        <f>-605.467145204811 -56.2620558125163 -93.062044552348</f>
        <v>-754.79124556967531</v>
      </c>
      <c r="W3669" t="s">
        <v>70628</v>
      </c>
      <c r="X3669" t="s">
        <v>70629</v>
      </c>
      <c r="Y3669" t="s">
        <v>70630</v>
      </c>
    </row>
    <row r="3670" spans="1:25" x14ac:dyDescent="0.3">
      <c r="A3670">
        <v>183450</v>
      </c>
      <c r="B3670" t="s">
        <v>70631</v>
      </c>
      <c r="C3670" t="s">
        <v>70632</v>
      </c>
      <c r="D3670" t="s">
        <v>70633</v>
      </c>
      <c r="E3670" t="s">
        <v>70634</v>
      </c>
      <c r="F3670" t="s">
        <v>70635</v>
      </c>
      <c r="G3670" t="s">
        <v>70636</v>
      </c>
      <c r="H3670" t="s">
        <v>70637</v>
      </c>
      <c r="I3670" t="s">
        <v>70638</v>
      </c>
      <c r="J3670" t="s">
        <v>70639</v>
      </c>
      <c r="K3670" t="s">
        <v>70640</v>
      </c>
      <c r="L3670" t="s">
        <v>70641</v>
      </c>
      <c r="M3670" t="s">
        <v>70642</v>
      </c>
      <c r="N3670">
        <f>-668.988485895165 -4.94180968954856 -530.441825642777</f>
        <v>-1204.3721212274904</v>
      </c>
      <c r="O3670">
        <f>-654.717527189783 -158.220842444104 -505.160671267156</f>
        <v>-1318.0990409010431</v>
      </c>
      <c r="P3670">
        <f>-649.510876086425 -187.351960355671 -224.620457300697</f>
        <v>-1061.4832937427932</v>
      </c>
      <c r="Q3670">
        <f>-453.223264179252 -110.207436336043 -321.926124712875</f>
        <v>-885.35682522817001</v>
      </c>
      <c r="R3670" t="s">
        <v>70643</v>
      </c>
      <c r="S3670" t="s">
        <v>70644</v>
      </c>
      <c r="T3670" t="s">
        <v>70645</v>
      </c>
      <c r="U3670" t="s">
        <v>70646</v>
      </c>
      <c r="V3670">
        <f>-604.341730051196 -56.3225676318896 -92.9580397937511</f>
        <v>-753.62233747683672</v>
      </c>
      <c r="W3670" t="s">
        <v>70647</v>
      </c>
      <c r="X3670" t="s">
        <v>70648</v>
      </c>
      <c r="Y3670" t="s">
        <v>70649</v>
      </c>
    </row>
    <row r="3671" spans="1:25" x14ac:dyDescent="0.3">
      <c r="A3671">
        <v>183500</v>
      </c>
      <c r="B3671" t="s">
        <v>70650</v>
      </c>
      <c r="C3671" t="s">
        <v>70651</v>
      </c>
      <c r="D3671" t="s">
        <v>70652</v>
      </c>
      <c r="E3671" t="s">
        <v>70653</v>
      </c>
      <c r="F3671" t="s">
        <v>70654</v>
      </c>
      <c r="G3671" t="s">
        <v>70655</v>
      </c>
      <c r="H3671" t="s">
        <v>70656</v>
      </c>
      <c r="I3671" t="s">
        <v>70657</v>
      </c>
      <c r="J3671" t="s">
        <v>70658</v>
      </c>
      <c r="K3671" t="s">
        <v>70659</v>
      </c>
      <c r="L3671" t="s">
        <v>70660</v>
      </c>
      <c r="M3671" t="s">
        <v>70661</v>
      </c>
      <c r="N3671">
        <f>-668.98480435701 -5.03068071698635 -530.36610950824</f>
        <v>-1204.3815945822364</v>
      </c>
      <c r="O3671">
        <f>-654.637028093566 -158.303234930903 -505.08547604187</f>
        <v>-1318.0257390663389</v>
      </c>
      <c r="P3671">
        <f>-649.145184860905 -187.33099085514 -224.539912239873</f>
        <v>-1061.016087955918</v>
      </c>
      <c r="Q3671">
        <f>-453.057856883943 -110.181998137448 -322.245187041833</f>
        <v>-885.485042063224</v>
      </c>
      <c r="R3671" t="s">
        <v>70662</v>
      </c>
      <c r="S3671" t="s">
        <v>70663</v>
      </c>
      <c r="T3671" t="s">
        <v>70664</v>
      </c>
      <c r="U3671" t="s">
        <v>70665</v>
      </c>
      <c r="V3671">
        <f>-603.854949869897 -56.3590476562154 -92.9309675018435</f>
        <v>-753.14496502795589</v>
      </c>
      <c r="W3671" t="s">
        <v>70666</v>
      </c>
      <c r="X3671" t="s">
        <v>70667</v>
      </c>
      <c r="Y3671" t="s">
        <v>70668</v>
      </c>
    </row>
    <row r="3672" spans="1:25" x14ac:dyDescent="0.3">
      <c r="A3672">
        <v>183550</v>
      </c>
      <c r="B3672" t="s">
        <v>70669</v>
      </c>
      <c r="C3672" t="s">
        <v>70670</v>
      </c>
      <c r="D3672" t="s">
        <v>70671</v>
      </c>
      <c r="E3672" t="s">
        <v>70672</v>
      </c>
      <c r="F3672" t="s">
        <v>70673</v>
      </c>
      <c r="G3672" t="s">
        <v>70674</v>
      </c>
      <c r="H3672" t="s">
        <v>70675</v>
      </c>
      <c r="I3672" t="s">
        <v>70676</v>
      </c>
      <c r="J3672" t="s">
        <v>70677</v>
      </c>
      <c r="K3672" t="s">
        <v>70678</v>
      </c>
      <c r="L3672" t="s">
        <v>70679</v>
      </c>
      <c r="M3672" t="s">
        <v>70680</v>
      </c>
      <c r="N3672">
        <f>-668.820567096972 -5.14503619933726 -530.323849666716</f>
        <v>-1204.2894529630253</v>
      </c>
      <c r="O3672">
        <f>-654.392292045772 -158.401102831485 -505.021262206931</f>
        <v>-1317.814657084188</v>
      </c>
      <c r="P3672">
        <f>-648.562633293141 -187.451293529574 -224.484755573033</f>
        <v>-1060.4986823957479</v>
      </c>
      <c r="Q3672">
        <f>-452.696914014073 -110.046662384017 -322.432034565547</f>
        <v>-885.17561096363693</v>
      </c>
      <c r="R3672" t="s">
        <v>70681</v>
      </c>
      <c r="S3672" t="s">
        <v>70682</v>
      </c>
      <c r="T3672" t="s">
        <v>70683</v>
      </c>
      <c r="U3672" t="s">
        <v>70684</v>
      </c>
      <c r="V3672">
        <f>-603.414187844542 -56.3739808958112 -92.9127709905342</f>
        <v>-752.7009397308874</v>
      </c>
      <c r="W3672" t="s">
        <v>70685</v>
      </c>
      <c r="X3672" t="s">
        <v>70686</v>
      </c>
      <c r="Y3672" t="s">
        <v>70687</v>
      </c>
    </row>
    <row r="3673" spans="1:25" x14ac:dyDescent="0.3">
      <c r="A3673">
        <v>183600</v>
      </c>
      <c r="B3673" t="s">
        <v>70688</v>
      </c>
      <c r="C3673" t="s">
        <v>70689</v>
      </c>
      <c r="D3673" t="s">
        <v>70690</v>
      </c>
      <c r="E3673" t="s">
        <v>70691</v>
      </c>
      <c r="F3673" t="s">
        <v>70692</v>
      </c>
      <c r="G3673" t="s">
        <v>70693</v>
      </c>
      <c r="H3673" t="s">
        <v>70694</v>
      </c>
      <c r="I3673" t="s">
        <v>70695</v>
      </c>
      <c r="J3673" t="s">
        <v>70696</v>
      </c>
      <c r="K3673" t="s">
        <v>70697</v>
      </c>
      <c r="L3673" t="s">
        <v>70698</v>
      </c>
      <c r="M3673" t="s">
        <v>70699</v>
      </c>
      <c r="N3673">
        <f>-668.347390471052 -5.42608505159774 -530.25300522439</f>
        <v>-1204.0264807470398</v>
      </c>
      <c r="O3673">
        <f>-653.635928903866 -158.641447242393 -504.819210000458</f>
        <v>-1317.0965861467171</v>
      </c>
      <c r="P3673">
        <f>-646.998542037785 -186.994809611796 -224.229460490242</f>
        <v>-1058.222812139823</v>
      </c>
      <c r="Q3673">
        <f>-451.271107969533 -110.190347944529 -322.922720955066</f>
        <v>-884.38417686912794</v>
      </c>
      <c r="R3673" t="s">
        <v>70700</v>
      </c>
      <c r="S3673" t="s">
        <v>70701</v>
      </c>
      <c r="T3673" t="s">
        <v>70702</v>
      </c>
      <c r="U3673" t="s">
        <v>70703</v>
      </c>
      <c r="V3673">
        <f>-602.772883450753 -56.3748751504791 -92.891294888212</f>
        <v>-752.03905348944409</v>
      </c>
      <c r="W3673" t="s">
        <v>70704</v>
      </c>
      <c r="X3673" t="s">
        <v>70705</v>
      </c>
      <c r="Y3673" t="s">
        <v>70706</v>
      </c>
    </row>
    <row r="3674" spans="1:25" x14ac:dyDescent="0.3">
      <c r="A3674">
        <v>183650</v>
      </c>
      <c r="B3674" t="s">
        <v>70707</v>
      </c>
      <c r="C3674" t="s">
        <v>70708</v>
      </c>
      <c r="D3674" t="s">
        <v>70709</v>
      </c>
      <c r="E3674" t="s">
        <v>70710</v>
      </c>
      <c r="F3674" t="s">
        <v>70711</v>
      </c>
      <c r="G3674" t="s">
        <v>70712</v>
      </c>
      <c r="H3674" t="s">
        <v>70713</v>
      </c>
      <c r="I3674" t="s">
        <v>70714</v>
      </c>
      <c r="J3674" t="s">
        <v>70715</v>
      </c>
      <c r="K3674" t="s">
        <v>70716</v>
      </c>
      <c r="L3674" t="s">
        <v>70717</v>
      </c>
      <c r="M3674" t="s">
        <v>70718</v>
      </c>
      <c r="N3674">
        <f>-668.06387173071 -5.62924326382586 -530.217999292692</f>
        <v>-1203.911114287228</v>
      </c>
      <c r="O3674">
        <f>-653.158133096482 -158.802791890365 -504.672397997557</f>
        <v>-1316.633322984404</v>
      </c>
      <c r="P3674">
        <f>-646.267741317875 -186.857369539725 -224.058829860799</f>
        <v>-1057.1839407183991</v>
      </c>
      <c r="Q3674">
        <f>-450.534977589501 -110.585181020525 -323.153598905734</f>
        <v>-884.27375751576005</v>
      </c>
      <c r="R3674" t="s">
        <v>70719</v>
      </c>
      <c r="S3674" t="s">
        <v>70720</v>
      </c>
      <c r="T3674" t="s">
        <v>70721</v>
      </c>
      <c r="U3674" t="s">
        <v>70722</v>
      </c>
      <c r="V3674">
        <f>-602.513414761604 -56.3333183764073 -92.8857366712464</f>
        <v>-751.73246980925774</v>
      </c>
      <c r="W3674" t="s">
        <v>70723</v>
      </c>
      <c r="X3674" t="s">
        <v>70724</v>
      </c>
      <c r="Y3674" t="s">
        <v>70725</v>
      </c>
    </row>
    <row r="3675" spans="1:25" x14ac:dyDescent="0.3">
      <c r="A3675">
        <v>183700</v>
      </c>
      <c r="B3675" t="s">
        <v>70726</v>
      </c>
      <c r="C3675" t="s">
        <v>70727</v>
      </c>
      <c r="D3675" t="s">
        <v>70728</v>
      </c>
      <c r="E3675" t="s">
        <v>70729</v>
      </c>
      <c r="F3675" t="s">
        <v>70730</v>
      </c>
      <c r="G3675" t="s">
        <v>70731</v>
      </c>
      <c r="H3675" t="s">
        <v>70732</v>
      </c>
      <c r="I3675" t="s">
        <v>70733</v>
      </c>
      <c r="J3675" t="s">
        <v>70734</v>
      </c>
      <c r="K3675" t="s">
        <v>70735</v>
      </c>
      <c r="L3675" t="s">
        <v>70736</v>
      </c>
      <c r="M3675" t="s">
        <v>70737</v>
      </c>
      <c r="N3675">
        <f>-667.664796434282 -6.23668866870526 -530.20147570206</f>
        <v>-1204.1029608050471</v>
      </c>
      <c r="O3675">
        <f>-652.405755800182 -159.33917973759 -504.407997921102</f>
        <v>-1316.152933458874</v>
      </c>
      <c r="P3675">
        <f>-645.263646978404 -186.520111651154 -223.714589977516</f>
        <v>-1055.4983486070741</v>
      </c>
      <c r="Q3675">
        <f>-449.166278892697 -111.868280198184 -323.321117261304</f>
        <v>-884.3556763521849</v>
      </c>
      <c r="R3675" t="s">
        <v>70738</v>
      </c>
      <c r="S3675" t="s">
        <v>70739</v>
      </c>
      <c r="T3675" t="s">
        <v>70740</v>
      </c>
      <c r="U3675" t="s">
        <v>70741</v>
      </c>
      <c r="V3675">
        <f>-602.092522578448 -56.3588672661524 -92.9093501126154</f>
        <v>-751.36073995721574</v>
      </c>
      <c r="W3675" t="s">
        <v>70742</v>
      </c>
      <c r="X3675" t="s">
        <v>70743</v>
      </c>
      <c r="Y3675" t="s">
        <v>70744</v>
      </c>
    </row>
    <row r="3676" spans="1:25" x14ac:dyDescent="0.3">
      <c r="A3676">
        <v>183750</v>
      </c>
      <c r="B3676" t="s">
        <v>70745</v>
      </c>
      <c r="C3676" t="s">
        <v>70746</v>
      </c>
      <c r="D3676" t="s">
        <v>70747</v>
      </c>
      <c r="E3676" t="s">
        <v>70748</v>
      </c>
      <c r="F3676" t="s">
        <v>70749</v>
      </c>
      <c r="G3676" t="s">
        <v>70750</v>
      </c>
      <c r="H3676" t="s">
        <v>70751</v>
      </c>
      <c r="I3676" t="s">
        <v>70752</v>
      </c>
      <c r="J3676" t="s">
        <v>70753</v>
      </c>
      <c r="K3676" t="s">
        <v>70754</v>
      </c>
      <c r="L3676" t="s">
        <v>70755</v>
      </c>
      <c r="M3676" t="s">
        <v>70756</v>
      </c>
      <c r="N3676">
        <f>-667.569900831359 -7.09532932273805 -530.222928248491</f>
        <v>-1204.888158402588</v>
      </c>
      <c r="O3676">
        <f>-651.984353169698 -160.106605672135 -504.089127367084</f>
        <v>-1316.1800862089171</v>
      </c>
      <c r="P3676">
        <f>-645.000670352268 -186.592335699886 -223.325293661046</f>
        <v>-1054.9182997132</v>
      </c>
      <c r="Q3676">
        <f>-448.479071832469 -113.479589880022 -323.236884182292</f>
        <v>-885.19554589478298</v>
      </c>
      <c r="R3676" t="s">
        <v>70757</v>
      </c>
      <c r="S3676" t="s">
        <v>70758</v>
      </c>
      <c r="T3676" t="s">
        <v>70759</v>
      </c>
      <c r="U3676" t="s">
        <v>70760</v>
      </c>
      <c r="V3676">
        <f>-601.982185446329 -56.5210631875468 -92.9901910230543</f>
        <v>-751.49343965693015</v>
      </c>
      <c r="W3676" t="s">
        <v>70761</v>
      </c>
      <c r="X3676" t="s">
        <v>70762</v>
      </c>
      <c r="Y3676" t="s">
        <v>70763</v>
      </c>
    </row>
    <row r="3677" spans="1:25" x14ac:dyDescent="0.3">
      <c r="A3677">
        <v>183800</v>
      </c>
      <c r="B3677" t="s">
        <v>70764</v>
      </c>
      <c r="C3677" t="s">
        <v>70765</v>
      </c>
      <c r="D3677" t="s">
        <v>70766</v>
      </c>
      <c r="E3677" t="s">
        <v>70767</v>
      </c>
      <c r="F3677" t="s">
        <v>70768</v>
      </c>
      <c r="G3677" t="s">
        <v>70769</v>
      </c>
      <c r="H3677" t="s">
        <v>70770</v>
      </c>
      <c r="I3677" t="s">
        <v>70771</v>
      </c>
      <c r="J3677" t="s">
        <v>70772</v>
      </c>
      <c r="K3677" t="s">
        <v>70773</v>
      </c>
      <c r="L3677" t="s">
        <v>70774</v>
      </c>
      <c r="M3677" t="s">
        <v>70775</v>
      </c>
      <c r="N3677">
        <f>-667.552801837192 -7.63131440489815 -530.242574796656</f>
        <v>-1205.426691038746</v>
      </c>
      <c r="O3677">
        <f>-651.863089409526 -160.592214777239 -503.888952327676</f>
        <v>-1316.344256514441</v>
      </c>
      <c r="P3677">
        <f>-644.987440968318 -186.60625733702 -223.078365767274</f>
        <v>-1054.6720640726119</v>
      </c>
      <c r="Q3677">
        <f>-448.346138449502 -114.196790510095 -323.266295436037</f>
        <v>-885.80922439563403</v>
      </c>
      <c r="R3677" t="s">
        <v>70776</v>
      </c>
      <c r="S3677" t="s">
        <v>70777</v>
      </c>
      <c r="T3677" t="s">
        <v>70778</v>
      </c>
      <c r="U3677" t="s">
        <v>70779</v>
      </c>
      <c r="V3677">
        <f>-601.98301513406 -56.6847488624653 -93.042674889417</f>
        <v>-751.71043888594227</v>
      </c>
      <c r="W3677" t="s">
        <v>70780</v>
      </c>
      <c r="X3677" t="s">
        <v>70781</v>
      </c>
      <c r="Y3677" t="s">
        <v>70782</v>
      </c>
    </row>
    <row r="3678" spans="1:25" x14ac:dyDescent="0.3">
      <c r="A3678">
        <v>183850</v>
      </c>
      <c r="B3678" t="s">
        <v>70783</v>
      </c>
      <c r="C3678" t="s">
        <v>70784</v>
      </c>
      <c r="D3678" t="s">
        <v>70785</v>
      </c>
      <c r="E3678" t="s">
        <v>70786</v>
      </c>
      <c r="F3678" t="s">
        <v>70787</v>
      </c>
      <c r="G3678" t="s">
        <v>70788</v>
      </c>
      <c r="H3678" t="s">
        <v>70789</v>
      </c>
      <c r="I3678" t="s">
        <v>70790</v>
      </c>
      <c r="J3678" t="s">
        <v>70791</v>
      </c>
      <c r="K3678" t="s">
        <v>70792</v>
      </c>
      <c r="L3678" t="s">
        <v>70793</v>
      </c>
      <c r="M3678" t="s">
        <v>70794</v>
      </c>
      <c r="N3678">
        <f>-667.605670307671 -8.19047195231383 -530.251513404258</f>
        <v>-1206.0476556642429</v>
      </c>
      <c r="O3678">
        <f>-651.837433447939 -161.100252287632 -503.650800444724</f>
        <v>-1316.5884861802949</v>
      </c>
      <c r="P3678">
        <f>-645.040938194473 -186.673694136261 -222.797865473356</f>
        <v>-1054.5124978040901</v>
      </c>
      <c r="Q3678">
        <f>-448.368500832711 -114.80198185667 -323.311219657242</f>
        <v>-886.48170234662302</v>
      </c>
      <c r="R3678" t="s">
        <v>70795</v>
      </c>
      <c r="S3678" t="s">
        <v>70796</v>
      </c>
      <c r="T3678" t="s">
        <v>70797</v>
      </c>
      <c r="U3678" t="s">
        <v>70798</v>
      </c>
      <c r="V3678">
        <f>-601.995795238122 -56.8441593766001 -93.0809168926081</f>
        <v>-751.92087150733028</v>
      </c>
      <c r="W3678" t="s">
        <v>70799</v>
      </c>
      <c r="X3678" t="s">
        <v>70800</v>
      </c>
      <c r="Y3678" t="s">
        <v>70801</v>
      </c>
    </row>
    <row r="3679" spans="1:25" x14ac:dyDescent="0.3">
      <c r="A3679">
        <v>183900</v>
      </c>
      <c r="B3679" t="s">
        <v>70802</v>
      </c>
      <c r="C3679" t="s">
        <v>70803</v>
      </c>
      <c r="D3679" t="s">
        <v>70804</v>
      </c>
      <c r="E3679" t="s">
        <v>70805</v>
      </c>
      <c r="F3679" t="s">
        <v>70806</v>
      </c>
      <c r="G3679" t="s">
        <v>70807</v>
      </c>
      <c r="H3679" t="s">
        <v>70808</v>
      </c>
      <c r="I3679" t="s">
        <v>70809</v>
      </c>
      <c r="J3679" t="s">
        <v>70810</v>
      </c>
      <c r="K3679" t="s">
        <v>70811</v>
      </c>
      <c r="L3679" t="s">
        <v>70812</v>
      </c>
      <c r="M3679" t="s">
        <v>70813</v>
      </c>
      <c r="N3679">
        <f>-667.759765520329 -9.32501813706904 -530.230894639571</f>
        <v>-1207.3156782969691</v>
      </c>
      <c r="O3679">
        <f>-651.90398259446 -162.127143861405 -503.075546048097</f>
        <v>-1317.106672503962</v>
      </c>
      <c r="P3679">
        <f>-645.437843066041 -186.855891683867 -222.139075154683</f>
        <v>-1054.4328099045908</v>
      </c>
      <c r="Q3679">
        <f>-448.662312652034 -115.479162151046 -322.803272276065</f>
        <v>-886.94474707914492</v>
      </c>
      <c r="R3679" t="s">
        <v>70814</v>
      </c>
      <c r="S3679" t="s">
        <v>70815</v>
      </c>
      <c r="T3679" t="s">
        <v>70816</v>
      </c>
      <c r="U3679" t="s">
        <v>70817</v>
      </c>
      <c r="V3679">
        <f>-602.027463513562 -57.2787001897836 -93.1349356885694</f>
        <v>-752.44109939191503</v>
      </c>
      <c r="W3679" t="s">
        <v>70818</v>
      </c>
      <c r="X3679" t="s">
        <v>70819</v>
      </c>
      <c r="Y3679" t="s">
        <v>70820</v>
      </c>
    </row>
    <row r="3680" spans="1:25" x14ac:dyDescent="0.3">
      <c r="A3680">
        <v>183950</v>
      </c>
      <c r="B3680" t="s">
        <v>70821</v>
      </c>
      <c r="C3680" t="s">
        <v>70822</v>
      </c>
      <c r="D3680" t="s">
        <v>70823</v>
      </c>
      <c r="E3680" t="s">
        <v>70824</v>
      </c>
      <c r="F3680" t="s">
        <v>70825</v>
      </c>
      <c r="G3680" t="s">
        <v>70826</v>
      </c>
      <c r="H3680" t="s">
        <v>70827</v>
      </c>
      <c r="I3680" t="s">
        <v>70828</v>
      </c>
      <c r="J3680" t="s">
        <v>70829</v>
      </c>
      <c r="K3680" t="s">
        <v>70830</v>
      </c>
      <c r="L3680" t="s">
        <v>70831</v>
      </c>
      <c r="M3680" t="s">
        <v>70832</v>
      </c>
      <c r="N3680">
        <f>-667.875534511809 -9.87720765024915 -530.199562749459</f>
        <v>-1207.9523049115171</v>
      </c>
      <c r="O3680">
        <f>-651.898327220848 -162.612357242833 -502.753436207341</f>
        <v>-1317.2641206710221</v>
      </c>
      <c r="P3680">
        <f>-646.197821177821 -187.23631323421 -221.7914263899</f>
        <v>-1055.2255608019309</v>
      </c>
      <c r="Q3680">
        <f>-449.279944685 -115.891147496806 -322.199092300948</f>
        <v>-887.37018448275398</v>
      </c>
      <c r="R3680" t="s">
        <v>70833</v>
      </c>
      <c r="S3680" t="s">
        <v>70834</v>
      </c>
      <c r="T3680" t="s">
        <v>70835</v>
      </c>
      <c r="U3680" t="s">
        <v>70836</v>
      </c>
      <c r="V3680">
        <f>-602.053230560891 -57.4583332899072 -93.1581182940081</f>
        <v>-752.6696821448063</v>
      </c>
      <c r="W3680" t="s">
        <v>70837</v>
      </c>
      <c r="X3680" t="s">
        <v>70838</v>
      </c>
      <c r="Y3680" t="s">
        <v>70839</v>
      </c>
    </row>
    <row r="3681" spans="1:25" x14ac:dyDescent="0.3">
      <c r="A3681">
        <v>184000</v>
      </c>
      <c r="B3681" t="s">
        <v>70840</v>
      </c>
      <c r="C3681" t="s">
        <v>70841</v>
      </c>
      <c r="D3681" t="s">
        <v>70842</v>
      </c>
      <c r="E3681" t="s">
        <v>70843</v>
      </c>
      <c r="F3681" t="s">
        <v>70844</v>
      </c>
      <c r="G3681" t="s">
        <v>70845</v>
      </c>
      <c r="H3681" t="s">
        <v>70846</v>
      </c>
      <c r="I3681" t="s">
        <v>70847</v>
      </c>
      <c r="J3681" t="s">
        <v>70848</v>
      </c>
      <c r="K3681" t="s">
        <v>70849</v>
      </c>
      <c r="L3681" t="s">
        <v>70850</v>
      </c>
      <c r="M3681" t="s">
        <v>70851</v>
      </c>
      <c r="N3681">
        <f>-667.966469273637 -10.8872893596583 -530.161585905336</f>
        <v>-1209.0153445386313</v>
      </c>
      <c r="O3681">
        <f>-651.583154757733 -163.48967102035 -502.211055184067</f>
        <v>-1317.2838809621501</v>
      </c>
      <c r="P3681">
        <f>-648.854407442744 -188.517186370882 -221.239940051741</f>
        <v>-1058.6115338653669</v>
      </c>
      <c r="Q3681">
        <f>-451.531214018298 -117.405289795787 -321.015722671981</f>
        <v>-889.95222648606591</v>
      </c>
      <c r="R3681" t="s">
        <v>70852</v>
      </c>
      <c r="S3681" t="s">
        <v>70853</v>
      </c>
      <c r="T3681" t="s">
        <v>70854</v>
      </c>
      <c r="U3681" t="s">
        <v>70855</v>
      </c>
      <c r="V3681">
        <f>-602.002190580658 -57.7791264836062 -93.190618643722</f>
        <v>-752.97193570798618</v>
      </c>
      <c r="W3681" t="s">
        <v>70856</v>
      </c>
      <c r="X3681" t="s">
        <v>70857</v>
      </c>
      <c r="Y3681" t="s">
        <v>70858</v>
      </c>
    </row>
    <row r="3682" spans="1:25" x14ac:dyDescent="0.3">
      <c r="A3682">
        <v>184050</v>
      </c>
      <c r="B3682" t="s">
        <v>70859</v>
      </c>
      <c r="C3682" t="s">
        <v>70860</v>
      </c>
      <c r="D3682" t="s">
        <v>70861</v>
      </c>
      <c r="E3682" t="s">
        <v>70862</v>
      </c>
      <c r="F3682" t="s">
        <v>70863</v>
      </c>
      <c r="G3682" t="s">
        <v>70864</v>
      </c>
      <c r="H3682" t="s">
        <v>70865</v>
      </c>
      <c r="I3682" t="s">
        <v>70866</v>
      </c>
      <c r="J3682" t="s">
        <v>70867</v>
      </c>
      <c r="K3682" t="s">
        <v>70868</v>
      </c>
      <c r="L3682" t="s">
        <v>70869</v>
      </c>
      <c r="M3682" t="s">
        <v>70870</v>
      </c>
      <c r="N3682">
        <f>-667.840365362493 -11.3387016492809 -530.145686550874</f>
        <v>-1209.3247535626479</v>
      </c>
      <c r="O3682">
        <f>-651.31362880307 -163.908522481335 -502.070472755051</f>
        <v>-1317.2926240394559</v>
      </c>
      <c r="P3682">
        <f>-650.116538582434 -189.408849349401 -221.131185016105</f>
        <v>-1060.65657294794</v>
      </c>
      <c r="Q3682">
        <f>-452.631609716389 -118.15791516353 -320.486790876769</f>
        <v>-891.27631575668806</v>
      </c>
      <c r="R3682" t="s">
        <v>70871</v>
      </c>
      <c r="S3682" t="s">
        <v>70872</v>
      </c>
      <c r="T3682" t="s">
        <v>70873</v>
      </c>
      <c r="U3682" t="s">
        <v>70874</v>
      </c>
      <c r="V3682">
        <f>-601.903220525954 -57.9376941314395 -93.1902059166782</f>
        <v>-753.03112057407168</v>
      </c>
      <c r="W3682" t="s">
        <v>70875</v>
      </c>
      <c r="X3682" t="s">
        <v>70876</v>
      </c>
      <c r="Y3682" t="s">
        <v>70877</v>
      </c>
    </row>
    <row r="3683" spans="1:25" x14ac:dyDescent="0.3">
      <c r="A3683">
        <v>184100</v>
      </c>
      <c r="B3683" t="s">
        <v>70878</v>
      </c>
      <c r="C3683" t="s">
        <v>70879</v>
      </c>
      <c r="D3683" t="s">
        <v>70880</v>
      </c>
      <c r="E3683" t="s">
        <v>70881</v>
      </c>
      <c r="F3683" t="s">
        <v>70882</v>
      </c>
      <c r="G3683" t="s">
        <v>70883</v>
      </c>
      <c r="H3683" t="s">
        <v>70884</v>
      </c>
      <c r="I3683" t="s">
        <v>70885</v>
      </c>
      <c r="J3683" t="s">
        <v>70886</v>
      </c>
      <c r="K3683" t="s">
        <v>70887</v>
      </c>
      <c r="L3683" t="s">
        <v>70888</v>
      </c>
      <c r="M3683" t="s">
        <v>70889</v>
      </c>
      <c r="N3683">
        <f>-667.929446814176 -12.046041313673 -530.079610349701</f>
        <v>-1210.05509847755</v>
      </c>
      <c r="O3683">
        <f>-651.475347661474 -164.581602494001 -501.818323407738</f>
        <v>-1317.8752735632129</v>
      </c>
      <c r="P3683">
        <f>-651.93001017881 -190.505848184039 -220.915679795519</f>
        <v>-1063.3515381583679</v>
      </c>
      <c r="Q3683">
        <f>-454.072193427343 -119.267052579025 -319.535414992487</f>
        <v>-892.87466099885501</v>
      </c>
      <c r="R3683" t="s">
        <v>70890</v>
      </c>
      <c r="S3683" t="s">
        <v>70891</v>
      </c>
      <c r="T3683" t="s">
        <v>70892</v>
      </c>
      <c r="U3683" t="s">
        <v>70893</v>
      </c>
      <c r="V3683">
        <f>-601.793489343973 -58.5214141652136 -93.1336669152633</f>
        <v>-753.44857042444994</v>
      </c>
      <c r="W3683" t="s">
        <v>70894</v>
      </c>
      <c r="X3683" t="s">
        <v>70895</v>
      </c>
      <c r="Y3683" t="s">
        <v>70896</v>
      </c>
    </row>
    <row r="3684" spans="1:25" x14ac:dyDescent="0.3">
      <c r="A3684">
        <v>184150</v>
      </c>
      <c r="B3684" t="s">
        <v>70897</v>
      </c>
      <c r="C3684" t="s">
        <v>70898</v>
      </c>
      <c r="D3684" t="s">
        <v>70899</v>
      </c>
      <c r="E3684" t="s">
        <v>70900</v>
      </c>
      <c r="F3684" t="s">
        <v>70901</v>
      </c>
      <c r="G3684" t="s">
        <v>70902</v>
      </c>
      <c r="H3684" t="s">
        <v>70903</v>
      </c>
      <c r="I3684" t="s">
        <v>70904</v>
      </c>
      <c r="J3684" t="s">
        <v>70905</v>
      </c>
      <c r="K3684" t="s">
        <v>70906</v>
      </c>
      <c r="L3684" t="s">
        <v>70907</v>
      </c>
      <c r="M3684" t="s">
        <v>70908</v>
      </c>
      <c r="N3684">
        <f>-668.091468843955 -12.4954967647745 -529.994799613119</f>
        <v>-1210.5817652218484</v>
      </c>
      <c r="O3684">
        <f>-651.626725408309 -164.99839468602 -501.597228187162</f>
        <v>-1318.2223482814909</v>
      </c>
      <c r="P3684">
        <f>-652.384484420425 -191.085257279733 -220.710202541461</f>
        <v>-1064.1799442416191</v>
      </c>
      <c r="Q3684">
        <f>-454.644978259693 -119.416375545292 -319.255663459241</f>
        <v>-893.31701726422602</v>
      </c>
      <c r="R3684" t="s">
        <v>70909</v>
      </c>
      <c r="S3684" t="s">
        <v>70910</v>
      </c>
      <c r="T3684" t="s">
        <v>70911</v>
      </c>
      <c r="U3684" t="s">
        <v>70912</v>
      </c>
      <c r="V3684">
        <f>-601.821297507067 -58.8056659662886 -93.0918507442204</f>
        <v>-753.7188142175761</v>
      </c>
      <c r="W3684" t="s">
        <v>70913</v>
      </c>
      <c r="X3684" t="s">
        <v>70914</v>
      </c>
      <c r="Y3684" t="s">
        <v>70915</v>
      </c>
    </row>
    <row r="3685" spans="1:25" x14ac:dyDescent="0.3">
      <c r="A3685">
        <v>184200</v>
      </c>
      <c r="B3685" t="s">
        <v>70916</v>
      </c>
      <c r="C3685" t="s">
        <v>70917</v>
      </c>
      <c r="D3685" t="s">
        <v>70918</v>
      </c>
      <c r="E3685" t="s">
        <v>70919</v>
      </c>
      <c r="F3685" t="s">
        <v>70920</v>
      </c>
      <c r="G3685" t="s">
        <v>70921</v>
      </c>
      <c r="H3685" t="s">
        <v>70922</v>
      </c>
      <c r="I3685" t="s">
        <v>70923</v>
      </c>
      <c r="J3685" t="s">
        <v>70924</v>
      </c>
      <c r="K3685" t="s">
        <v>70925</v>
      </c>
      <c r="L3685" t="s">
        <v>70926</v>
      </c>
      <c r="M3685" t="s">
        <v>70927</v>
      </c>
      <c r="N3685">
        <f>-668.636388156475 -13.2744192161067 -529.893087183618</f>
        <v>-1211.8038945561998</v>
      </c>
      <c r="O3685">
        <f>-652.195331322281 -165.75572361908 -501.320618358405</f>
        <v>-1319.271673299766</v>
      </c>
      <c r="P3685">
        <f>-652.323310924348 -191.077102374418 -220.362612335022</f>
        <v>-1063.7630256337879</v>
      </c>
      <c r="Q3685">
        <f>-454.831888922944 -119.347142960584 -319.359808051401</f>
        <v>-893.538839934929</v>
      </c>
      <c r="R3685" t="s">
        <v>70928</v>
      </c>
      <c r="S3685" t="s">
        <v>70929</v>
      </c>
      <c r="T3685" t="s">
        <v>70930</v>
      </c>
      <c r="U3685" t="s">
        <v>70931</v>
      </c>
      <c r="V3685">
        <f>-602.158909732826 -59.5302048131896 -93.0364026492171</f>
        <v>-754.72551719523267</v>
      </c>
      <c r="W3685" t="s">
        <v>70932</v>
      </c>
      <c r="X3685" t="s">
        <v>70933</v>
      </c>
      <c r="Y3685" t="s">
        <v>70934</v>
      </c>
    </row>
    <row r="3686" spans="1:25" x14ac:dyDescent="0.3">
      <c r="A3686">
        <v>184250</v>
      </c>
      <c r="B3686" t="s">
        <v>70935</v>
      </c>
      <c r="C3686" t="s">
        <v>70936</v>
      </c>
      <c r="D3686" t="s">
        <v>70937</v>
      </c>
      <c r="E3686" t="s">
        <v>70938</v>
      </c>
      <c r="F3686" t="s">
        <v>70939</v>
      </c>
      <c r="G3686" t="s">
        <v>70940</v>
      </c>
      <c r="H3686" t="s">
        <v>70941</v>
      </c>
      <c r="I3686" t="s">
        <v>70942</v>
      </c>
      <c r="J3686" t="s">
        <v>70943</v>
      </c>
      <c r="K3686" t="s">
        <v>70944</v>
      </c>
      <c r="L3686" t="s">
        <v>70945</v>
      </c>
      <c r="M3686" t="s">
        <v>70946</v>
      </c>
      <c r="N3686">
        <f>-669.037001450595 -13.7538452816555 -529.805194705103</f>
        <v>-1212.5960414373535</v>
      </c>
      <c r="O3686">
        <f>-652.49202360742 -166.202702601911 -501.153577329561</f>
        <v>-1319.8483035388922</v>
      </c>
      <c r="P3686">
        <f>-652.362365783187 -191.469916324998 -220.190867801532</f>
        <v>-1064.0231499097169</v>
      </c>
      <c r="Q3686">
        <f>-454.960253853644 -119.783274838342 -319.397457982403</f>
        <v>-894.14098667438907</v>
      </c>
      <c r="R3686" t="s">
        <v>70947</v>
      </c>
      <c r="S3686" t="s">
        <v>70948</v>
      </c>
      <c r="T3686" t="s">
        <v>70949</v>
      </c>
      <c r="U3686" t="s">
        <v>70950</v>
      </c>
      <c r="V3686">
        <f>-602.33205038668 -59.9387528411164 -93.0085275550413</f>
        <v>-755.27933078283763</v>
      </c>
      <c r="W3686" t="s">
        <v>70951</v>
      </c>
      <c r="X3686" t="s">
        <v>70952</v>
      </c>
      <c r="Y3686" t="s">
        <v>70953</v>
      </c>
    </row>
    <row r="3687" spans="1:25" x14ac:dyDescent="0.3">
      <c r="A3687">
        <v>184300</v>
      </c>
      <c r="B3687" t="s">
        <v>70954</v>
      </c>
      <c r="C3687" t="s">
        <v>70955</v>
      </c>
      <c r="D3687" t="s">
        <v>70956</v>
      </c>
      <c r="E3687" t="s">
        <v>70957</v>
      </c>
      <c r="F3687" t="s">
        <v>70958</v>
      </c>
      <c r="G3687" t="s">
        <v>70959</v>
      </c>
      <c r="H3687" t="s">
        <v>70960</v>
      </c>
      <c r="I3687" t="s">
        <v>70961</v>
      </c>
      <c r="J3687" t="s">
        <v>70962</v>
      </c>
      <c r="K3687" t="s">
        <v>70963</v>
      </c>
      <c r="L3687" t="s">
        <v>70964</v>
      </c>
      <c r="M3687" t="s">
        <v>70965</v>
      </c>
      <c r="N3687">
        <f>-669.810587975038 -14.327160222985 -529.707964460092</f>
        <v>-1213.8457126581147</v>
      </c>
      <c r="O3687">
        <f>-653.138927931815 -166.780515594852 -501.099639656837</f>
        <v>-1321.0190831835039</v>
      </c>
      <c r="P3687">
        <f>-652.494910716491 -192.136622817393 -220.145402164456</f>
        <v>-1064.7769356983399</v>
      </c>
      <c r="Q3687">
        <f>-455.197411921849 -120.857233319761 -319.852411119665</f>
        <v>-895.90705636127495</v>
      </c>
      <c r="R3687" t="s">
        <v>70966</v>
      </c>
      <c r="S3687" t="s">
        <v>70967</v>
      </c>
      <c r="T3687" t="s">
        <v>70968</v>
      </c>
      <c r="U3687" t="s">
        <v>70969</v>
      </c>
      <c r="V3687">
        <f>-602.702232826845 -60.6398321940069 -92.9796382913148</f>
        <v>-756.32170331216673</v>
      </c>
      <c r="W3687" t="s">
        <v>70970</v>
      </c>
      <c r="X3687" t="s">
        <v>70971</v>
      </c>
      <c r="Y3687" t="s">
        <v>70972</v>
      </c>
    </row>
    <row r="3688" spans="1:25" x14ac:dyDescent="0.3">
      <c r="A3688">
        <v>184350</v>
      </c>
      <c r="B3688" t="s">
        <v>70973</v>
      </c>
      <c r="C3688" t="s">
        <v>70974</v>
      </c>
      <c r="D3688" t="s">
        <v>70975</v>
      </c>
      <c r="E3688" t="s">
        <v>70976</v>
      </c>
      <c r="F3688" t="s">
        <v>70977</v>
      </c>
      <c r="G3688" t="s">
        <v>70978</v>
      </c>
      <c r="H3688" t="s">
        <v>70979</v>
      </c>
      <c r="I3688" t="s">
        <v>70980</v>
      </c>
      <c r="J3688" t="s">
        <v>70981</v>
      </c>
      <c r="K3688" t="s">
        <v>70982</v>
      </c>
      <c r="L3688" t="s">
        <v>70983</v>
      </c>
      <c r="M3688" t="s">
        <v>70984</v>
      </c>
      <c r="N3688">
        <f>-670.215851197947 -14.657908529213 -529.661293031637</f>
        <v>-1214.5350527587971</v>
      </c>
      <c r="O3688">
        <f>-653.444539087803 -167.099482277165 -501.077142187469</f>
        <v>-1321.6211635524371</v>
      </c>
      <c r="P3688">
        <f>-652.652070626221 -192.284551954582 -220.107953302481</f>
        <v>-1065.0445758832841</v>
      </c>
      <c r="Q3688">
        <f>-455.219162651652 -121.57322742554 -319.951221650437</f>
        <v>-896.74361172762906</v>
      </c>
      <c r="R3688" t="s">
        <v>70985</v>
      </c>
      <c r="S3688" t="s">
        <v>70986</v>
      </c>
      <c r="T3688" t="s">
        <v>70987</v>
      </c>
      <c r="U3688" t="s">
        <v>70988</v>
      </c>
      <c r="V3688">
        <f>-602.933745010327 -61.0431247541628 -92.9773426095862</f>
        <v>-756.95421237407606</v>
      </c>
      <c r="W3688" t="s">
        <v>70989</v>
      </c>
      <c r="X3688" t="s">
        <v>70990</v>
      </c>
      <c r="Y3688" t="s">
        <v>70991</v>
      </c>
    </row>
    <row r="3689" spans="1:25" x14ac:dyDescent="0.3">
      <c r="A3689">
        <v>184400</v>
      </c>
      <c r="B3689" t="s">
        <v>70992</v>
      </c>
      <c r="C3689" t="s">
        <v>70993</v>
      </c>
      <c r="D3689" t="s">
        <v>70994</v>
      </c>
      <c r="E3689" t="s">
        <v>70995</v>
      </c>
      <c r="F3689" t="s">
        <v>70996</v>
      </c>
      <c r="G3689" t="s">
        <v>70997</v>
      </c>
      <c r="H3689" t="s">
        <v>70998</v>
      </c>
      <c r="I3689" t="s">
        <v>70999</v>
      </c>
      <c r="J3689" t="s">
        <v>71000</v>
      </c>
      <c r="K3689" t="s">
        <v>71001</v>
      </c>
      <c r="L3689" t="s">
        <v>71002</v>
      </c>
      <c r="M3689" t="s">
        <v>71003</v>
      </c>
      <c r="N3689">
        <f>-670.696316738443 -15.282049431979 -529.655658849698</f>
        <v>-1215.6340250201201</v>
      </c>
      <c r="O3689">
        <f>-653.735393401226 -167.727335758751 -501.184584829951</f>
        <v>-1322.6473139899281</v>
      </c>
      <c r="P3689">
        <f>-652.812260365923 -193.003339255374 -220.223973032957</f>
        <v>-1066.039572654254</v>
      </c>
      <c r="Q3689">
        <f>-455.309019531753 -122.888183191747 -320.348257798606</f>
        <v>-898.54546052210605</v>
      </c>
      <c r="R3689" t="s">
        <v>71004</v>
      </c>
      <c r="S3689" t="s">
        <v>71005</v>
      </c>
      <c r="T3689" t="s">
        <v>71006</v>
      </c>
      <c r="U3689" t="s">
        <v>71007</v>
      </c>
      <c r="V3689">
        <f>-603.534924955998 -61.8365975344414 -92.9989113199329</f>
        <v>-758.37043381037222</v>
      </c>
      <c r="W3689" t="s">
        <v>71008</v>
      </c>
      <c r="X3689" t="s">
        <v>71009</v>
      </c>
      <c r="Y3689" t="s">
        <v>71010</v>
      </c>
    </row>
    <row r="3690" spans="1:25" x14ac:dyDescent="0.3">
      <c r="A3690">
        <v>184450</v>
      </c>
      <c r="B3690" t="s">
        <v>71011</v>
      </c>
      <c r="C3690" t="s">
        <v>71012</v>
      </c>
      <c r="D3690" t="s">
        <v>71013</v>
      </c>
      <c r="E3690" t="s">
        <v>71014</v>
      </c>
      <c r="F3690" t="s">
        <v>71015</v>
      </c>
      <c r="G3690" t="s">
        <v>71016</v>
      </c>
      <c r="H3690" t="s">
        <v>71017</v>
      </c>
      <c r="I3690" t="s">
        <v>71018</v>
      </c>
      <c r="J3690" t="s">
        <v>71019</v>
      </c>
      <c r="K3690" t="s">
        <v>71020</v>
      </c>
      <c r="L3690" t="s">
        <v>71021</v>
      </c>
      <c r="M3690" t="s">
        <v>71022</v>
      </c>
      <c r="N3690">
        <f>-670.993095033034 -15.5645437179762 -529.648289046136</f>
        <v>-1216.2059277971462</v>
      </c>
      <c r="O3690">
        <f>-653.955854423387 -168.011413081151 -501.241788943147</f>
        <v>-1323.209056447685</v>
      </c>
      <c r="P3690">
        <f>-652.891426102772 -193.469264087993 -220.298169511211</f>
        <v>-1066.6588597019761</v>
      </c>
      <c r="Q3690">
        <f>-455.456287820524 -123.359308355118 -320.56045598619</f>
        <v>-899.37605216183192</v>
      </c>
      <c r="R3690" t="s">
        <v>71023</v>
      </c>
      <c r="S3690" t="s">
        <v>71024</v>
      </c>
      <c r="T3690" t="s">
        <v>71025</v>
      </c>
      <c r="U3690" t="s">
        <v>71026</v>
      </c>
      <c r="V3690">
        <f>-603.830106428546 -62.2173720194864 -93.0174830151877</f>
        <v>-759.06496146322013</v>
      </c>
      <c r="W3690" t="s">
        <v>71027</v>
      </c>
      <c r="X3690" t="s">
        <v>71028</v>
      </c>
      <c r="Y3690" t="s">
        <v>71029</v>
      </c>
    </row>
    <row r="3691" spans="1:25" x14ac:dyDescent="0.3">
      <c r="A3691">
        <v>184500</v>
      </c>
      <c r="B3691" t="s">
        <v>71030</v>
      </c>
      <c r="C3691" t="s">
        <v>71031</v>
      </c>
      <c r="D3691" t="s">
        <v>71032</v>
      </c>
      <c r="E3691" t="s">
        <v>71033</v>
      </c>
      <c r="F3691" t="s">
        <v>71034</v>
      </c>
      <c r="G3691" t="s">
        <v>71035</v>
      </c>
      <c r="H3691" t="s">
        <v>71036</v>
      </c>
      <c r="I3691" t="s">
        <v>71037</v>
      </c>
      <c r="J3691" t="s">
        <v>71038</v>
      </c>
      <c r="K3691" t="s">
        <v>71039</v>
      </c>
      <c r="L3691" t="s">
        <v>71040</v>
      </c>
      <c r="M3691" t="s">
        <v>71041</v>
      </c>
      <c r="N3691">
        <f>-671.725268800194 -16.1722044478836 -529.601517321875</f>
        <v>-1217.4989905699526</v>
      </c>
      <c r="O3691">
        <f>-654.58125858276 -168.619009046434 -501.24676679003</f>
        <v>-1324.4470344192241</v>
      </c>
      <c r="P3691">
        <f>-652.92291926374 -194.220809440631 -220.319041965154</f>
        <v>-1067.4627706695251</v>
      </c>
      <c r="Q3691">
        <f>-455.757664326434 -123.915503582159 -320.974733190548</f>
        <v>-900.647901099141</v>
      </c>
      <c r="R3691" t="s">
        <v>71042</v>
      </c>
      <c r="S3691" t="s">
        <v>71043</v>
      </c>
      <c r="T3691" t="s">
        <v>71044</v>
      </c>
      <c r="U3691" t="s">
        <v>71045</v>
      </c>
      <c r="V3691">
        <f>-604.330390989903 -62.8802884632094 -93.0353790298287</f>
        <v>-760.24605848294107</v>
      </c>
      <c r="W3691" t="s">
        <v>71046</v>
      </c>
      <c r="X3691" t="s">
        <v>71047</v>
      </c>
      <c r="Y3691" t="s">
        <v>71048</v>
      </c>
    </row>
    <row r="3692" spans="1:25" x14ac:dyDescent="0.3">
      <c r="A3692">
        <v>184550</v>
      </c>
      <c r="B3692" t="s">
        <v>71049</v>
      </c>
      <c r="C3692" t="s">
        <v>71050</v>
      </c>
      <c r="D3692" t="s">
        <v>71051</v>
      </c>
      <c r="E3692" t="s">
        <v>71052</v>
      </c>
      <c r="F3692" t="s">
        <v>71053</v>
      </c>
      <c r="G3692" t="s">
        <v>71054</v>
      </c>
      <c r="H3692" t="s">
        <v>71055</v>
      </c>
      <c r="I3692" t="s">
        <v>71056</v>
      </c>
      <c r="J3692" t="s">
        <v>71057</v>
      </c>
      <c r="K3692" t="s">
        <v>71058</v>
      </c>
      <c r="L3692" t="s">
        <v>71059</v>
      </c>
      <c r="M3692" t="s">
        <v>71060</v>
      </c>
      <c r="N3692">
        <f>-672.151601319127 -16.4273214642774 -529.569151571751</f>
        <v>-1218.1480743551556</v>
      </c>
      <c r="O3692">
        <f>-654.974574972187 -168.872880324747 -501.231713029468</f>
        <v>-1325.0791683264019</v>
      </c>
      <c r="P3692">
        <f>-652.966838688559 -194.465253015916 -220.305553028104</f>
        <v>-1067.7376447325792</v>
      </c>
      <c r="Q3692">
        <f>-455.9469141986 -124.018706535187 -321.146795578137</f>
        <v>-901.11241631192399</v>
      </c>
      <c r="R3692" t="s">
        <v>71061</v>
      </c>
      <c r="S3692" t="s">
        <v>71062</v>
      </c>
      <c r="T3692" t="s">
        <v>71063</v>
      </c>
      <c r="U3692" t="s">
        <v>71064</v>
      </c>
      <c r="V3692">
        <f>-604.53508436425 -63.1873031446564 -93.0397308009498</f>
        <v>-760.76211830985619</v>
      </c>
      <c r="W3692" t="s">
        <v>71065</v>
      </c>
      <c r="X3692" t="s">
        <v>71066</v>
      </c>
      <c r="Y3692" t="s">
        <v>71067</v>
      </c>
    </row>
    <row r="3693" spans="1:25" x14ac:dyDescent="0.3">
      <c r="A3693">
        <v>184600</v>
      </c>
      <c r="B3693" t="s">
        <v>71068</v>
      </c>
      <c r="C3693" t="s">
        <v>71069</v>
      </c>
      <c r="D3693" t="s">
        <v>71070</v>
      </c>
      <c r="E3693" t="s">
        <v>71071</v>
      </c>
      <c r="F3693" t="s">
        <v>71072</v>
      </c>
      <c r="G3693" t="s">
        <v>71073</v>
      </c>
      <c r="H3693" t="s">
        <v>71074</v>
      </c>
      <c r="I3693" t="s">
        <v>71075</v>
      </c>
      <c r="J3693" t="s">
        <v>71076</v>
      </c>
      <c r="K3693" t="s">
        <v>71077</v>
      </c>
      <c r="L3693" t="s">
        <v>71078</v>
      </c>
      <c r="M3693" t="s">
        <v>71079</v>
      </c>
      <c r="N3693">
        <f>-673.061315887895 -16.7680879493175 -529.472841696245</f>
        <v>-1219.3022455334576</v>
      </c>
      <c r="O3693">
        <f>-655.82169759766 -169.216464536073 -501.183461600388</f>
        <v>-1326.2216237341208</v>
      </c>
      <c r="P3693">
        <f>-653.498512969182 -194.380833383154 -220.220980975303</f>
        <v>-1068.100327327639</v>
      </c>
      <c r="Q3693">
        <f>-456.54026179792 -124.055523507896 -321.267382628396</f>
        <v>-901.86316793421202</v>
      </c>
      <c r="R3693" t="s">
        <v>71080</v>
      </c>
      <c r="S3693" t="s">
        <v>71081</v>
      </c>
      <c r="T3693" t="s">
        <v>71082</v>
      </c>
      <c r="U3693" t="s">
        <v>71083</v>
      </c>
      <c r="V3693">
        <f>-604.878483354584 -63.567139604708 -93.0229185560592</f>
        <v>-761.46854151535115</v>
      </c>
      <c r="W3693" t="s">
        <v>71084</v>
      </c>
      <c r="X3693" t="s">
        <v>71085</v>
      </c>
      <c r="Y3693" t="s">
        <v>71086</v>
      </c>
    </row>
    <row r="3694" spans="1:25" x14ac:dyDescent="0.3">
      <c r="A3694">
        <v>184650</v>
      </c>
      <c r="B3694" t="s">
        <v>71087</v>
      </c>
      <c r="C3694" t="s">
        <v>71088</v>
      </c>
      <c r="D3694" t="s">
        <v>71089</v>
      </c>
      <c r="E3694" t="s">
        <v>71090</v>
      </c>
      <c r="F3694" t="s">
        <v>71091</v>
      </c>
      <c r="G3694" t="s">
        <v>71092</v>
      </c>
      <c r="H3694" t="s">
        <v>71093</v>
      </c>
      <c r="I3694" t="s">
        <v>71094</v>
      </c>
      <c r="J3694" t="s">
        <v>71095</v>
      </c>
      <c r="K3694" t="s">
        <v>71096</v>
      </c>
      <c r="L3694" t="s">
        <v>71097</v>
      </c>
      <c r="M3694" t="s">
        <v>71098</v>
      </c>
      <c r="N3694">
        <f>-673.900508664559 -16.7751840092847 -529.370525020184</f>
        <v>-1220.0462176940277</v>
      </c>
      <c r="O3694">
        <f>-656.73302107684 -169.240679920813 -501.123535788359</f>
        <v>-1327.097236786012</v>
      </c>
      <c r="P3694">
        <f>-654.280591999205 -194.428263236194 -220.164149300074</f>
        <v>-1068.873004535473</v>
      </c>
      <c r="Q3694">
        <f>-457.399723383651 -124.002834816254 -321.291541600098</f>
        <v>-902.69409980000296</v>
      </c>
      <c r="R3694" t="s">
        <v>71099</v>
      </c>
      <c r="S3694" t="s">
        <v>71100</v>
      </c>
      <c r="T3694" t="s">
        <v>71101</v>
      </c>
      <c r="U3694" t="s">
        <v>71102</v>
      </c>
      <c r="V3694">
        <f>-605.037012852413 -63.7307820439983 -92.9802120851487</f>
        <v>-761.74800698155991</v>
      </c>
      <c r="W3694" t="s">
        <v>71103</v>
      </c>
      <c r="X3694" t="s">
        <v>71104</v>
      </c>
      <c r="Y3694" t="s">
        <v>71105</v>
      </c>
    </row>
    <row r="3695" spans="1:25" x14ac:dyDescent="0.3">
      <c r="A3695">
        <v>184700</v>
      </c>
      <c r="B3695" t="s">
        <v>71106</v>
      </c>
      <c r="C3695" t="s">
        <v>71107</v>
      </c>
      <c r="D3695" t="s">
        <v>71108</v>
      </c>
      <c r="E3695" t="s">
        <v>71109</v>
      </c>
      <c r="F3695" t="s">
        <v>71110</v>
      </c>
      <c r="G3695" t="s">
        <v>71111</v>
      </c>
      <c r="H3695" t="s">
        <v>71112</v>
      </c>
      <c r="I3695" t="s">
        <v>71113</v>
      </c>
      <c r="J3695" t="s">
        <v>71114</v>
      </c>
      <c r="K3695" t="s">
        <v>71115</v>
      </c>
      <c r="L3695" t="s">
        <v>71116</v>
      </c>
      <c r="M3695" t="s">
        <v>71117</v>
      </c>
      <c r="N3695">
        <f>-674.330739578598 -16.7832949532474 -529.299090346937</f>
        <v>-1220.4131248787824</v>
      </c>
      <c r="O3695">
        <f>-657.20594107351 -169.246295358358 -501.034909004108</f>
        <v>-1327.4871454359759</v>
      </c>
      <c r="P3695">
        <f>-654.68276970165 -194.294524034715 -220.06368011287</f>
        <v>-1069.0409738492351</v>
      </c>
      <c r="Q3695">
        <f>-457.736403901781 -124.070447063154 -321.203596077609</f>
        <v>-903.010447042544</v>
      </c>
      <c r="R3695" t="s">
        <v>71118</v>
      </c>
      <c r="S3695" t="s">
        <v>71119</v>
      </c>
      <c r="T3695" t="s">
        <v>71120</v>
      </c>
      <c r="U3695" t="s">
        <v>71121</v>
      </c>
      <c r="V3695">
        <f>-605.116997176617 -63.7789242798474 -92.952233378811</f>
        <v>-761.84815483527541</v>
      </c>
      <c r="W3695" t="s">
        <v>71122</v>
      </c>
      <c r="X3695" t="s">
        <v>71123</v>
      </c>
      <c r="Y3695" t="s">
        <v>71124</v>
      </c>
    </row>
    <row r="3696" spans="1:25" x14ac:dyDescent="0.3">
      <c r="A3696">
        <v>184750</v>
      </c>
      <c r="B3696" t="s">
        <v>71125</v>
      </c>
      <c r="C3696" t="s">
        <v>71126</v>
      </c>
      <c r="D3696" t="s">
        <v>71127</v>
      </c>
      <c r="E3696" t="s">
        <v>71128</v>
      </c>
      <c r="F3696" t="s">
        <v>71129</v>
      </c>
      <c r="G3696" t="s">
        <v>71130</v>
      </c>
      <c r="H3696" t="s">
        <v>71131</v>
      </c>
      <c r="I3696" t="s">
        <v>71132</v>
      </c>
      <c r="J3696" t="s">
        <v>71133</v>
      </c>
      <c r="K3696" t="s">
        <v>71134</v>
      </c>
      <c r="L3696" t="s">
        <v>71135</v>
      </c>
      <c r="M3696" t="s">
        <v>71136</v>
      </c>
      <c r="N3696">
        <f>-674.698582462927 -16.8123927928466 -529.228590242667</f>
        <v>-1220.7395654984407</v>
      </c>
      <c r="O3696">
        <f>-657.642382456626 -169.274614740626 -500.905094482123</f>
        <v>-1327.822091679375</v>
      </c>
      <c r="P3696">
        <f>-654.943253167502 -194.155142902981 -219.92064915334</f>
        <v>-1069.019045223823</v>
      </c>
      <c r="Q3696">
        <f>-457.888987705725 -124.2355694261 -321.061300319506</f>
        <v>-903.185857451331</v>
      </c>
      <c r="R3696" t="s">
        <v>71137</v>
      </c>
      <c r="S3696" t="s">
        <v>71138</v>
      </c>
      <c r="T3696" t="s">
        <v>71139</v>
      </c>
      <c r="U3696" t="s">
        <v>71140</v>
      </c>
      <c r="V3696">
        <f>-605.214266499536 -63.7848160988733 -92.9325628023918</f>
        <v>-761.93164540080113</v>
      </c>
      <c r="W3696" t="s">
        <v>71141</v>
      </c>
      <c r="X3696" t="s">
        <v>71142</v>
      </c>
      <c r="Y3696" t="s">
        <v>71143</v>
      </c>
    </row>
    <row r="3697" spans="1:25" x14ac:dyDescent="0.3">
      <c r="A3697">
        <v>184800</v>
      </c>
      <c r="B3697" t="s">
        <v>71144</v>
      </c>
      <c r="C3697" t="s">
        <v>71145</v>
      </c>
      <c r="D3697" t="s">
        <v>71146</v>
      </c>
      <c r="E3697" t="s">
        <v>71147</v>
      </c>
      <c r="F3697" t="s">
        <v>71148</v>
      </c>
      <c r="G3697" t="s">
        <v>71149</v>
      </c>
      <c r="H3697" t="s">
        <v>71150</v>
      </c>
      <c r="I3697" t="s">
        <v>71151</v>
      </c>
      <c r="J3697" t="s">
        <v>71152</v>
      </c>
      <c r="K3697" t="s">
        <v>71153</v>
      </c>
      <c r="L3697" t="s">
        <v>71154</v>
      </c>
      <c r="M3697" t="s">
        <v>71155</v>
      </c>
      <c r="N3697">
        <f>-675.554971986388 -16.6463801831194 -529.102285692129</f>
        <v>-1221.3036378616364</v>
      </c>
      <c r="O3697">
        <f>-658.676407156569 -169.089185554296 -500.581110319167</f>
        <v>-1328.3467030300321</v>
      </c>
      <c r="P3697">
        <f>-655.469442618015 -193.434143482827 -219.555031035497</f>
        <v>-1068.4586171363389</v>
      </c>
      <c r="Q3697">
        <f>-458.349703006014 -124.168268836289 -321.017154719605</f>
        <v>-903.5351265619081</v>
      </c>
      <c r="R3697" t="s">
        <v>71156</v>
      </c>
      <c r="S3697" t="s">
        <v>71157</v>
      </c>
      <c r="T3697" t="s">
        <v>71158</v>
      </c>
      <c r="U3697" t="s">
        <v>71159</v>
      </c>
      <c r="V3697">
        <f>-605.581766240009 -63.5372818112066 -92.9019389827688</f>
        <v>-762.0209870339844</v>
      </c>
      <c r="W3697" t="s">
        <v>71160</v>
      </c>
      <c r="X3697" t="s">
        <v>71161</v>
      </c>
      <c r="Y3697" t="s">
        <v>71162</v>
      </c>
    </row>
    <row r="3698" spans="1:25" x14ac:dyDescent="0.3">
      <c r="A3698">
        <v>184850</v>
      </c>
      <c r="B3698" t="s">
        <v>71163</v>
      </c>
      <c r="C3698" t="s">
        <v>71164</v>
      </c>
      <c r="D3698" t="s">
        <v>71165</v>
      </c>
      <c r="E3698" t="s">
        <v>71166</v>
      </c>
      <c r="F3698" t="s">
        <v>71167</v>
      </c>
      <c r="G3698" t="s">
        <v>71168</v>
      </c>
      <c r="H3698" t="s">
        <v>71169</v>
      </c>
      <c r="I3698" t="s">
        <v>71170</v>
      </c>
      <c r="J3698" t="s">
        <v>71171</v>
      </c>
      <c r="K3698" t="s">
        <v>71172</v>
      </c>
      <c r="L3698" t="s">
        <v>71173</v>
      </c>
      <c r="M3698" t="s">
        <v>71174</v>
      </c>
      <c r="N3698">
        <f>-675.935362531698 -16.5577900321871 -529.053402606832</f>
        <v>-1221.5465551707171</v>
      </c>
      <c r="O3698">
        <f>-659.134037647065 -168.984689458555 -500.404069984299</f>
        <v>-1328.5227970899191</v>
      </c>
      <c r="P3698">
        <f>-655.749900937772 -193.083912405885 -219.358902091371</f>
        <v>-1068.192715435028</v>
      </c>
      <c r="Q3698">
        <f>-458.685490864717 -124.094944177277 -321.116930157198</f>
        <v>-903.897365199192</v>
      </c>
      <c r="R3698" t="s">
        <v>71175</v>
      </c>
      <c r="S3698" t="s">
        <v>71176</v>
      </c>
      <c r="T3698" t="s">
        <v>71177</v>
      </c>
      <c r="U3698" t="s">
        <v>71178</v>
      </c>
      <c r="V3698">
        <f>-605.795212433999 -63.3557298900648 -92.8940865708917</f>
        <v>-762.04502889495552</v>
      </c>
      <c r="W3698" t="s">
        <v>71179</v>
      </c>
      <c r="X3698" t="s">
        <v>71180</v>
      </c>
      <c r="Y3698" t="s">
        <v>71181</v>
      </c>
    </row>
    <row r="3699" spans="1:25" x14ac:dyDescent="0.3">
      <c r="A3699">
        <v>184900</v>
      </c>
      <c r="B3699" t="s">
        <v>71182</v>
      </c>
      <c r="C3699" t="s">
        <v>71183</v>
      </c>
      <c r="D3699" t="s">
        <v>71184</v>
      </c>
      <c r="E3699" t="s">
        <v>71185</v>
      </c>
      <c r="F3699" t="s">
        <v>71186</v>
      </c>
      <c r="G3699" t="s">
        <v>71187</v>
      </c>
      <c r="H3699" t="s">
        <v>71188</v>
      </c>
      <c r="I3699" t="s">
        <v>71189</v>
      </c>
      <c r="J3699" t="s">
        <v>71190</v>
      </c>
      <c r="K3699" t="s">
        <v>71191</v>
      </c>
      <c r="L3699" t="s">
        <v>71192</v>
      </c>
      <c r="M3699" t="s">
        <v>71193</v>
      </c>
      <c r="N3699">
        <f>-676.495913111693 -16.2128496023101 -528.976502873785</f>
        <v>-1221.6852655877881</v>
      </c>
      <c r="O3699">
        <f>-659.89313855082 -168.61673330035 -500.097202754835</f>
        <v>-1328.607074606005</v>
      </c>
      <c r="P3699">
        <f>-656.20535839499 -192.323162901041 -219.022506136386</f>
        <v>-1067.551027432417</v>
      </c>
      <c r="Q3699">
        <f>-459.26617734467 -123.642166317532 -321.230118360148</f>
        <v>-904.13846202235004</v>
      </c>
      <c r="R3699" t="s">
        <v>71194</v>
      </c>
      <c r="S3699" t="s">
        <v>71195</v>
      </c>
      <c r="T3699" t="s">
        <v>71196</v>
      </c>
      <c r="U3699" t="s">
        <v>71197</v>
      </c>
      <c r="V3699">
        <f>-606.315350152016 -62.8839028363284 -92.8940277917699</f>
        <v>-762.09328078011424</v>
      </c>
      <c r="W3699" t="s">
        <v>71198</v>
      </c>
      <c r="X3699" t="s">
        <v>71199</v>
      </c>
      <c r="Y3699" t="s">
        <v>71200</v>
      </c>
    </row>
    <row r="3700" spans="1:25" x14ac:dyDescent="0.3">
      <c r="A3700">
        <v>184950</v>
      </c>
      <c r="B3700" t="s">
        <v>71201</v>
      </c>
      <c r="C3700" t="s">
        <v>71202</v>
      </c>
      <c r="D3700" t="s">
        <v>71203</v>
      </c>
      <c r="E3700" t="s">
        <v>71204</v>
      </c>
      <c r="F3700" t="s">
        <v>71205</v>
      </c>
      <c r="G3700" t="s">
        <v>71206</v>
      </c>
      <c r="H3700" t="s">
        <v>71207</v>
      </c>
      <c r="I3700" t="s">
        <v>71208</v>
      </c>
      <c r="J3700" t="s">
        <v>71209</v>
      </c>
      <c r="K3700" t="s">
        <v>71210</v>
      </c>
      <c r="L3700" t="s">
        <v>71211</v>
      </c>
      <c r="M3700" t="s">
        <v>71212</v>
      </c>
      <c r="N3700">
        <f>-676.799739116975 -16.1198557246448 -528.957038140547</f>
        <v>-1221.8766329821669</v>
      </c>
      <c r="O3700">
        <f>-660.235531240732 -168.498160568683 -499.929175640007</f>
        <v>-1328.662867449422</v>
      </c>
      <c r="P3700">
        <f>-656.39210271361 -192.038583973505 -218.842588635816</f>
        <v>-1067.2732753229311</v>
      </c>
      <c r="Q3700">
        <f>-459.497300504911 -123.45113471326 -321.198481999307</f>
        <v>-904.14691721747795</v>
      </c>
      <c r="R3700" t="s">
        <v>71213</v>
      </c>
      <c r="S3700" t="s">
        <v>71214</v>
      </c>
      <c r="T3700" t="s">
        <v>71215</v>
      </c>
      <c r="U3700" t="s">
        <v>71216</v>
      </c>
      <c r="V3700">
        <f>-606.680774676334 -62.7058672621868 -92.9072312596022</f>
        <v>-762.29387319812292</v>
      </c>
      <c r="W3700" t="s">
        <v>71217</v>
      </c>
      <c r="X3700" t="s">
        <v>71218</v>
      </c>
      <c r="Y3700" t="s">
        <v>71219</v>
      </c>
    </row>
    <row r="3701" spans="1:25" x14ac:dyDescent="0.3">
      <c r="A3701">
        <v>185000</v>
      </c>
      <c r="B3701" t="s">
        <v>71220</v>
      </c>
      <c r="C3701" t="s">
        <v>71221</v>
      </c>
      <c r="D3701" t="s">
        <v>71222</v>
      </c>
      <c r="E3701" t="s">
        <v>71223</v>
      </c>
      <c r="F3701" t="s">
        <v>71224</v>
      </c>
      <c r="G3701" t="s">
        <v>71225</v>
      </c>
      <c r="H3701" t="s">
        <v>71226</v>
      </c>
      <c r="I3701" t="s">
        <v>71227</v>
      </c>
      <c r="J3701" t="s">
        <v>71228</v>
      </c>
      <c r="K3701" t="s">
        <v>71229</v>
      </c>
      <c r="L3701" t="s">
        <v>71230</v>
      </c>
      <c r="M3701" t="s">
        <v>71231</v>
      </c>
      <c r="N3701">
        <f>-677.427843838409 -15.9652542978993 -528.946928723598</f>
        <v>-1222.3400268599062</v>
      </c>
      <c r="O3701">
        <f>-660.821883953003 -168.297928821388 -499.691449775029</f>
        <v>-1328.81126254942</v>
      </c>
      <c r="P3701">
        <f>-657.0617066904 -191.486353717836 -218.574503383349</f>
        <v>-1067.122563791585</v>
      </c>
      <c r="Q3701">
        <f>-460.196050595568 -122.984013222597 -321.043617080067</f>
        <v>-904.22368089823203</v>
      </c>
      <c r="R3701" t="s">
        <v>71232</v>
      </c>
      <c r="S3701" t="s">
        <v>71233</v>
      </c>
      <c r="T3701" t="s">
        <v>71234</v>
      </c>
      <c r="U3701" t="s">
        <v>71235</v>
      </c>
      <c r="V3701">
        <f>-607.566393569076 -62.2790607096479 -92.9524382938978</f>
        <v>-762.79789257262166</v>
      </c>
      <c r="W3701" t="s">
        <v>71236</v>
      </c>
      <c r="X3701" t="s">
        <v>71237</v>
      </c>
      <c r="Y3701" t="s">
        <v>71238</v>
      </c>
    </row>
    <row r="3702" spans="1:25" x14ac:dyDescent="0.3">
      <c r="A3702">
        <v>185050</v>
      </c>
      <c r="B3702" t="s">
        <v>71239</v>
      </c>
      <c r="C3702" t="s">
        <v>71240</v>
      </c>
      <c r="D3702" t="s">
        <v>71241</v>
      </c>
      <c r="E3702" t="s">
        <v>71242</v>
      </c>
      <c r="F3702" t="s">
        <v>71243</v>
      </c>
      <c r="G3702" t="s">
        <v>71244</v>
      </c>
      <c r="H3702" t="s">
        <v>71245</v>
      </c>
      <c r="I3702" t="s">
        <v>71246</v>
      </c>
      <c r="J3702" t="s">
        <v>71247</v>
      </c>
      <c r="K3702" t="s">
        <v>71248</v>
      </c>
      <c r="L3702" t="s">
        <v>71249</v>
      </c>
      <c r="M3702" t="s">
        <v>71250</v>
      </c>
      <c r="N3702">
        <f>-677.787262440844 -15.9409331682677 -528.935085660675</f>
        <v>-1222.6632812697867</v>
      </c>
      <c r="O3702">
        <f>-661.150659749837 -168.249298164284 -499.569963861044</f>
        <v>-1328.9699217751649</v>
      </c>
      <c r="P3702">
        <f>-657.437297493912 -191.170866403105 -218.430649798104</f>
        <v>-1067.038813695121</v>
      </c>
      <c r="Q3702">
        <f>-460.56119379371 -122.812924753817 -320.975776856758</f>
        <v>-904.34989540428501</v>
      </c>
      <c r="R3702" t="s">
        <v>71251</v>
      </c>
      <c r="S3702" t="s">
        <v>71252</v>
      </c>
      <c r="T3702" t="s">
        <v>71253</v>
      </c>
      <c r="U3702" t="s">
        <v>71254</v>
      </c>
      <c r="V3702">
        <f>-607.981588283304 -62.0598106057332 -92.9644200809063</f>
        <v>-763.00581896994345</v>
      </c>
      <c r="W3702" t="s">
        <v>71255</v>
      </c>
      <c r="X3702" t="s">
        <v>71256</v>
      </c>
      <c r="Y3702" t="s">
        <v>71257</v>
      </c>
    </row>
    <row r="3703" spans="1:25" x14ac:dyDescent="0.3">
      <c r="A3703">
        <v>185100</v>
      </c>
      <c r="B3703" t="s">
        <v>71258</v>
      </c>
      <c r="C3703" t="s">
        <v>71259</v>
      </c>
      <c r="D3703" t="s">
        <v>71260</v>
      </c>
      <c r="E3703" t="s">
        <v>71261</v>
      </c>
      <c r="F3703" t="s">
        <v>71262</v>
      </c>
      <c r="G3703" t="s">
        <v>71263</v>
      </c>
      <c r="H3703" t="s">
        <v>71264</v>
      </c>
      <c r="I3703" t="s">
        <v>71265</v>
      </c>
      <c r="J3703" t="s">
        <v>71266</v>
      </c>
      <c r="K3703" t="s">
        <v>71267</v>
      </c>
      <c r="L3703" t="s">
        <v>71268</v>
      </c>
      <c r="M3703" t="s">
        <v>71269</v>
      </c>
      <c r="N3703">
        <f>-678.608240848745 -15.835748143716 -528.891738895988</f>
        <v>-1223.3357278884491</v>
      </c>
      <c r="O3703">
        <f>-661.860627090158 -168.109168810027 -499.373979833553</f>
        <v>-1329.3437757337379</v>
      </c>
      <c r="P3703">
        <f>-658.282717969152 -190.786521991969 -218.212924472693</f>
        <v>-1067.2821644338142</v>
      </c>
      <c r="Q3703">
        <f>-461.290325303062 -122.564739218012 -320.625247010812</f>
        <v>-904.48031153188595</v>
      </c>
      <c r="R3703" t="s">
        <v>71270</v>
      </c>
      <c r="S3703" t="s">
        <v>71271</v>
      </c>
      <c r="T3703" t="s">
        <v>71272</v>
      </c>
      <c r="U3703" t="s">
        <v>71273</v>
      </c>
      <c r="V3703">
        <f>-608.558816690371 -61.6936901062222 -92.9693771025311</f>
        <v>-763.22188389912435</v>
      </c>
      <c r="W3703" t="s">
        <v>71274</v>
      </c>
      <c r="X3703" t="s">
        <v>71275</v>
      </c>
      <c r="Y3703" t="s">
        <v>71276</v>
      </c>
    </row>
    <row r="3704" spans="1:25" x14ac:dyDescent="0.3">
      <c r="A3704">
        <v>185150</v>
      </c>
      <c r="B3704" t="s">
        <v>71277</v>
      </c>
      <c r="C3704" t="s">
        <v>71278</v>
      </c>
      <c r="D3704" t="s">
        <v>71279</v>
      </c>
      <c r="E3704" t="s">
        <v>71280</v>
      </c>
      <c r="F3704" t="s">
        <v>71281</v>
      </c>
      <c r="G3704" t="s">
        <v>71282</v>
      </c>
      <c r="H3704" t="s">
        <v>71283</v>
      </c>
      <c r="I3704" t="s">
        <v>71284</v>
      </c>
      <c r="J3704" t="s">
        <v>71285</v>
      </c>
      <c r="K3704" t="s">
        <v>71286</v>
      </c>
      <c r="L3704" t="s">
        <v>71287</v>
      </c>
      <c r="M3704" t="s">
        <v>71288</v>
      </c>
      <c r="N3704">
        <f>-679.201005238729 -15.350040247396 -528.870665324505</f>
        <v>-1223.42171081063</v>
      </c>
      <c r="O3704">
        <f>-662.264772934608 -167.604615521112 -499.360201481297</f>
        <v>-1329.229589937017</v>
      </c>
      <c r="P3704">
        <f>-658.81066410186 -190.348980904482 -218.203080989884</f>
        <v>-1067.3627259962259</v>
      </c>
      <c r="Q3704">
        <f>-461.835719801565 -121.889640057088 -320.490470221064</f>
        <v>-904.21583007971708</v>
      </c>
      <c r="R3704" t="s">
        <v>71289</v>
      </c>
      <c r="S3704" t="s">
        <v>71290</v>
      </c>
      <c r="T3704" t="s">
        <v>71291</v>
      </c>
      <c r="U3704" t="s">
        <v>71292</v>
      </c>
      <c r="V3704">
        <f>-608.833532463075 -61.1376084754579 -92.9720090389545</f>
        <v>-762.94314997748745</v>
      </c>
      <c r="W3704" t="s">
        <v>71293</v>
      </c>
      <c r="X3704" t="s">
        <v>71294</v>
      </c>
      <c r="Y3704" t="s">
        <v>71295</v>
      </c>
    </row>
    <row r="3705" spans="1:25" x14ac:dyDescent="0.3">
      <c r="A3705">
        <v>185200</v>
      </c>
      <c r="B3705" t="s">
        <v>71296</v>
      </c>
      <c r="C3705" t="s">
        <v>71297</v>
      </c>
      <c r="D3705" t="s">
        <v>71298</v>
      </c>
      <c r="E3705" t="s">
        <v>71299</v>
      </c>
      <c r="F3705" t="s">
        <v>71300</v>
      </c>
      <c r="G3705" t="s">
        <v>71301</v>
      </c>
      <c r="H3705" t="s">
        <v>71302</v>
      </c>
      <c r="I3705" t="s">
        <v>71303</v>
      </c>
      <c r="J3705" t="s">
        <v>71304</v>
      </c>
      <c r="K3705" t="s">
        <v>71305</v>
      </c>
      <c r="L3705" t="s">
        <v>71306</v>
      </c>
      <c r="M3705" t="s">
        <v>71307</v>
      </c>
      <c r="N3705">
        <f>-679.278482782252 -15.0693355918893 -528.856727875323</f>
        <v>-1223.2045462494643</v>
      </c>
      <c r="O3705">
        <f>-662.263295163876 -167.312495929458 -499.373493459655</f>
        <v>-1328.949284552989</v>
      </c>
      <c r="P3705">
        <f>-658.791245717518 -190.128580281196 -218.222335546772</f>
        <v>-1067.142161545486</v>
      </c>
      <c r="Q3705">
        <f>-461.909042710059 -121.443663689985 -320.537160287503</f>
        <v>-903.88986668754706</v>
      </c>
      <c r="R3705" t="s">
        <v>71308</v>
      </c>
      <c r="S3705" t="s">
        <v>71309</v>
      </c>
      <c r="T3705" t="s">
        <v>71310</v>
      </c>
      <c r="U3705" t="s">
        <v>71311</v>
      </c>
      <c r="V3705">
        <f>-608.998949572149 -60.8683502567396 -92.9347427112167</f>
        <v>-762.80204254010528</v>
      </c>
      <c r="W3705" t="s">
        <v>71312</v>
      </c>
      <c r="X3705" t="s">
        <v>71313</v>
      </c>
      <c r="Y3705" t="s">
        <v>71314</v>
      </c>
    </row>
    <row r="3706" spans="1:25" x14ac:dyDescent="0.3">
      <c r="A3706">
        <v>185250</v>
      </c>
      <c r="B3706" t="s">
        <v>71315</v>
      </c>
      <c r="C3706" t="s">
        <v>71316</v>
      </c>
      <c r="D3706" t="s">
        <v>71317</v>
      </c>
      <c r="E3706" t="s">
        <v>71318</v>
      </c>
      <c r="F3706" t="s">
        <v>71319</v>
      </c>
      <c r="G3706" t="s">
        <v>71320</v>
      </c>
      <c r="H3706" t="s">
        <v>71321</v>
      </c>
      <c r="I3706" t="s">
        <v>71322</v>
      </c>
      <c r="J3706" t="s">
        <v>71323</v>
      </c>
      <c r="K3706" t="s">
        <v>71324</v>
      </c>
      <c r="L3706" t="s">
        <v>71325</v>
      </c>
      <c r="M3706" t="s">
        <v>71326</v>
      </c>
      <c r="N3706">
        <f>-679.325940281995 -14.8569918402034 -528.818100872124</f>
        <v>-1223.0010329943225</v>
      </c>
      <c r="O3706">
        <f>-662.3056414763 -167.100859422726 -499.330140542238</f>
        <v>-1328.7366414412641</v>
      </c>
      <c r="P3706">
        <f>-658.668105513209 -189.954873026127 -218.18420574507</f>
        <v>-1066.8071842844058</v>
      </c>
      <c r="Q3706">
        <f>-461.858286580495 -121.139212336102 -320.550398139623</f>
        <v>-903.54789705621999</v>
      </c>
      <c r="R3706" t="s">
        <v>71327</v>
      </c>
      <c r="S3706" t="s">
        <v>71328</v>
      </c>
      <c r="T3706" t="s">
        <v>71329</v>
      </c>
      <c r="U3706" t="s">
        <v>71330</v>
      </c>
      <c r="V3706">
        <f>-609.133666000962 -60.7041282687303 -92.8890206492276</f>
        <v>-762.7268149189199</v>
      </c>
      <c r="W3706" t="s">
        <v>71331</v>
      </c>
      <c r="X3706" t="s">
        <v>71332</v>
      </c>
      <c r="Y3706" t="s">
        <v>71333</v>
      </c>
    </row>
    <row r="3707" spans="1:25" x14ac:dyDescent="0.3">
      <c r="A3707">
        <v>185300</v>
      </c>
      <c r="B3707" t="s">
        <v>71334</v>
      </c>
      <c r="C3707" t="s">
        <v>71335</v>
      </c>
      <c r="D3707" t="s">
        <v>71336</v>
      </c>
      <c r="E3707" t="s">
        <v>71337</v>
      </c>
      <c r="F3707" t="s">
        <v>71338</v>
      </c>
      <c r="G3707" t="s">
        <v>71339</v>
      </c>
      <c r="H3707" t="s">
        <v>71340</v>
      </c>
      <c r="I3707" t="s">
        <v>71341</v>
      </c>
      <c r="J3707" t="s">
        <v>71342</v>
      </c>
      <c r="K3707" t="s">
        <v>71343</v>
      </c>
      <c r="L3707" t="s">
        <v>71344</v>
      </c>
      <c r="M3707" t="s">
        <v>71345</v>
      </c>
      <c r="N3707">
        <f>-679.385278282943 -14.7581901740016 -528.666323879037</f>
        <v>-1222.8097923359815</v>
      </c>
      <c r="O3707">
        <f>-662.376769019653 -166.986392384095 -499.131782998063</f>
        <v>-1328.4949444018109</v>
      </c>
      <c r="P3707">
        <f>-658.433131983285 -189.809930011819 -217.987513623875</f>
        <v>-1066.2305756189789</v>
      </c>
      <c r="Q3707">
        <f>-461.740916808391 -120.978767213316 -320.569168091525</f>
        <v>-903.288852113232</v>
      </c>
      <c r="R3707" t="s">
        <v>71346</v>
      </c>
      <c r="S3707" t="s">
        <v>71347</v>
      </c>
      <c r="T3707" t="s">
        <v>71348</v>
      </c>
      <c r="U3707" t="s">
        <v>71349</v>
      </c>
      <c r="V3707">
        <f>-609.121569833127 -60.7434116813747 -92.7550014084345</f>
        <v>-762.61998292293617</v>
      </c>
      <c r="W3707" t="s">
        <v>71350</v>
      </c>
      <c r="X3707" t="s">
        <v>71351</v>
      </c>
      <c r="Y3707" t="s">
        <v>71352</v>
      </c>
    </row>
    <row r="3708" spans="1:25" x14ac:dyDescent="0.3">
      <c r="A3708">
        <v>185350</v>
      </c>
      <c r="B3708" t="s">
        <v>71353</v>
      </c>
      <c r="C3708" t="s">
        <v>71354</v>
      </c>
      <c r="D3708" t="s">
        <v>71355</v>
      </c>
      <c r="E3708" t="s">
        <v>71356</v>
      </c>
      <c r="F3708" t="s">
        <v>71357</v>
      </c>
      <c r="G3708" t="s">
        <v>71358</v>
      </c>
      <c r="H3708" t="s">
        <v>71359</v>
      </c>
      <c r="I3708" t="s">
        <v>71360</v>
      </c>
      <c r="J3708" t="s">
        <v>71361</v>
      </c>
      <c r="K3708" t="s">
        <v>71362</v>
      </c>
      <c r="L3708" t="s">
        <v>71363</v>
      </c>
      <c r="M3708" t="s">
        <v>71364</v>
      </c>
      <c r="N3708">
        <f>-679.361430043125 -14.7344938979036 -528.595404427893</f>
        <v>-1222.6913283689214</v>
      </c>
      <c r="O3708">
        <f>-662.344772438641 -166.970939612764 -499.06766699176</f>
        <v>-1328.383379043165</v>
      </c>
      <c r="P3708">
        <f>-658.346392050835 -189.737144183312 -217.919501423891</f>
        <v>-1066.003037658038</v>
      </c>
      <c r="Q3708">
        <f>-461.667052102723 -121.007917969637 -320.594007530985</f>
        <v>-903.26897760334498</v>
      </c>
      <c r="R3708" t="s">
        <v>71365</v>
      </c>
      <c r="S3708" t="s">
        <v>71366</v>
      </c>
      <c r="T3708" t="s">
        <v>71367</v>
      </c>
      <c r="U3708" t="s">
        <v>71368</v>
      </c>
      <c r="V3708">
        <f>-609.030498232086 -60.683547253861 -92.725251102275</f>
        <v>-762.43929658822196</v>
      </c>
      <c r="W3708" t="s">
        <v>71369</v>
      </c>
      <c r="X3708" t="s">
        <v>71370</v>
      </c>
      <c r="Y3708" t="s">
        <v>71371</v>
      </c>
    </row>
    <row r="3709" spans="1:25" x14ac:dyDescent="0.3">
      <c r="A3709">
        <v>185400</v>
      </c>
      <c r="B3709" t="s">
        <v>71372</v>
      </c>
      <c r="C3709" t="s">
        <v>71373</v>
      </c>
      <c r="D3709" t="s">
        <v>71374</v>
      </c>
      <c r="E3709" t="s">
        <v>71375</v>
      </c>
      <c r="F3709" t="s">
        <v>71376</v>
      </c>
      <c r="G3709" t="s">
        <v>71377</v>
      </c>
      <c r="H3709" t="s">
        <v>71378</v>
      </c>
      <c r="I3709" t="s">
        <v>71379</v>
      </c>
      <c r="J3709" t="s">
        <v>71380</v>
      </c>
      <c r="K3709" t="s">
        <v>71381</v>
      </c>
      <c r="L3709" t="s">
        <v>71382</v>
      </c>
      <c r="M3709" t="s">
        <v>71383</v>
      </c>
      <c r="N3709">
        <f>-679.340501233026 -14.3381562310794 -528.493282361482</f>
        <v>-1222.1719398255873</v>
      </c>
      <c r="O3709">
        <f>-662.457758727163 -166.59646663995 -498.983790617121</f>
        <v>-1328.0380159842339</v>
      </c>
      <c r="P3709">
        <f>-658.257305264108 -189.29141372534 -217.83281832543</f>
        <v>-1065.381537314878</v>
      </c>
      <c r="Q3709">
        <f>-461.457386152768 -120.937946587076 -320.52704525366</f>
        <v>-902.92237799350391</v>
      </c>
      <c r="R3709" t="s">
        <v>71384</v>
      </c>
      <c r="S3709" t="s">
        <v>71385</v>
      </c>
      <c r="T3709" t="s">
        <v>71386</v>
      </c>
      <c r="U3709" t="s">
        <v>71387</v>
      </c>
      <c r="V3709">
        <f>-608.98315579965 -60.2694717016373 -92.6946780899785</f>
        <v>-761.94730559126583</v>
      </c>
      <c r="W3709" t="s">
        <v>71388</v>
      </c>
      <c r="X3709" t="s">
        <v>71389</v>
      </c>
      <c r="Y3709" t="s">
        <v>71390</v>
      </c>
    </row>
    <row r="3710" spans="1:25" x14ac:dyDescent="0.3">
      <c r="A3710">
        <v>185450</v>
      </c>
      <c r="B3710" t="s">
        <v>71391</v>
      </c>
      <c r="C3710" t="s">
        <v>71392</v>
      </c>
      <c r="D3710" t="s">
        <v>71393</v>
      </c>
      <c r="E3710" t="s">
        <v>71394</v>
      </c>
      <c r="F3710" t="s">
        <v>71395</v>
      </c>
      <c r="G3710" t="s">
        <v>71396</v>
      </c>
      <c r="H3710" t="s">
        <v>71397</v>
      </c>
      <c r="I3710" t="s">
        <v>71398</v>
      </c>
      <c r="J3710" t="s">
        <v>71399</v>
      </c>
      <c r="K3710" t="s">
        <v>71400</v>
      </c>
      <c r="L3710" t="s">
        <v>71401</v>
      </c>
      <c r="M3710" t="s">
        <v>71402</v>
      </c>
      <c r="N3710">
        <f>-679.071570192857 -14.0607710824693 -528.447993938597</f>
        <v>-1221.5803352139233</v>
      </c>
      <c r="O3710">
        <f>-662.620403174346 -166.375167051823 -498.983876371608</f>
        <v>-1327.979446597777</v>
      </c>
      <c r="P3710">
        <f>-658.247517396182 -188.972197591299 -217.827635361258</f>
        <v>-1065.047350348739</v>
      </c>
      <c r="Q3710">
        <f>-461.343160602393 -121.163359640257 -320.682780899222</f>
        <v>-903.18930114187197</v>
      </c>
      <c r="R3710" t="s">
        <v>71403</v>
      </c>
      <c r="S3710" t="s">
        <v>71404</v>
      </c>
      <c r="T3710" t="s">
        <v>71405</v>
      </c>
      <c r="U3710" t="s">
        <v>71406</v>
      </c>
      <c r="V3710">
        <f>-608.787965206218 -60.3778292839183 -92.6714236152085</f>
        <v>-761.83721810534485</v>
      </c>
      <c r="W3710" t="s">
        <v>71407</v>
      </c>
      <c r="X3710" t="s">
        <v>71408</v>
      </c>
      <c r="Y3710" t="s">
        <v>71409</v>
      </c>
    </row>
    <row r="3711" spans="1:25" x14ac:dyDescent="0.3">
      <c r="A3711">
        <v>185500</v>
      </c>
      <c r="B3711" t="s">
        <v>71410</v>
      </c>
      <c r="C3711" t="s">
        <v>71411</v>
      </c>
      <c r="D3711" t="s">
        <v>71412</v>
      </c>
      <c r="E3711" t="s">
        <v>71413</v>
      </c>
      <c r="F3711" t="s">
        <v>71414</v>
      </c>
      <c r="G3711" t="s">
        <v>71415</v>
      </c>
      <c r="H3711" t="s">
        <v>71416</v>
      </c>
      <c r="I3711" t="s">
        <v>71417</v>
      </c>
      <c r="J3711" t="s">
        <v>71418</v>
      </c>
      <c r="K3711" t="s">
        <v>71419</v>
      </c>
      <c r="L3711" t="s">
        <v>71420</v>
      </c>
      <c r="M3711" t="s">
        <v>71421</v>
      </c>
      <c r="N3711">
        <f>-678.728204855021 -13.924121093899 -528.430949894705</f>
        <v>-1221.083275843625</v>
      </c>
      <c r="O3711">
        <f>-662.527960992127 -166.268475458714 -499.002173585781</f>
        <v>-1327.798610036622</v>
      </c>
      <c r="P3711">
        <f>-658.215063900152 -188.952823757992 -217.852090201535</f>
        <v>-1065.0199778596791</v>
      </c>
      <c r="Q3711">
        <f>-461.233568160746 -121.488859834966 -320.786061391795</f>
        <v>-903.50848938750698</v>
      </c>
      <c r="R3711" t="s">
        <v>71422</v>
      </c>
      <c r="S3711" t="s">
        <v>71423</v>
      </c>
      <c r="T3711" t="s">
        <v>71424</v>
      </c>
      <c r="U3711" t="s">
        <v>71425</v>
      </c>
      <c r="V3711">
        <f>-608.589929234412 -60.2882896335057 -92.6384990243865</f>
        <v>-761.5167178923042</v>
      </c>
      <c r="W3711" t="s">
        <v>71426</v>
      </c>
      <c r="X3711" t="s">
        <v>71427</v>
      </c>
      <c r="Y3711" t="s">
        <v>71428</v>
      </c>
    </row>
    <row r="3712" spans="1:25" x14ac:dyDescent="0.3">
      <c r="A3712">
        <v>185550</v>
      </c>
      <c r="B3712" t="s">
        <v>71429</v>
      </c>
      <c r="C3712" t="s">
        <v>71430</v>
      </c>
      <c r="D3712" t="s">
        <v>71431</v>
      </c>
      <c r="E3712" t="s">
        <v>71432</v>
      </c>
      <c r="F3712" t="s">
        <v>71433</v>
      </c>
      <c r="G3712" t="s">
        <v>71434</v>
      </c>
      <c r="H3712" t="s">
        <v>71435</v>
      </c>
      <c r="I3712" t="s">
        <v>71436</v>
      </c>
      <c r="J3712" t="s">
        <v>71437</v>
      </c>
      <c r="K3712" t="s">
        <v>71438</v>
      </c>
      <c r="L3712" t="s">
        <v>71439</v>
      </c>
      <c r="M3712" t="s">
        <v>71440</v>
      </c>
      <c r="N3712">
        <f>-678.286102180096 -13.7458961157829 -528.423991248501</f>
        <v>-1220.4559895443799</v>
      </c>
      <c r="O3712">
        <f>-662.297798339917 -166.122175877753 -499.038345947467</f>
        <v>-1327.4583201651369</v>
      </c>
      <c r="P3712">
        <f>-658.095637174844 -189.033958113622 -217.904987779629</f>
        <v>-1065.0345830680951</v>
      </c>
      <c r="Q3712">
        <f>-460.927786280135 -122.043436766768 -320.791516041232</f>
        <v>-903.76273908813505</v>
      </c>
      <c r="R3712" t="s">
        <v>71441</v>
      </c>
      <c r="S3712" t="s">
        <v>71442</v>
      </c>
      <c r="T3712" t="s">
        <v>71443</v>
      </c>
      <c r="U3712" t="s">
        <v>71444</v>
      </c>
      <c r="V3712">
        <f>-608.316260838502 -60.1443091773324 -92.6028262742404</f>
        <v>-761.06339629007482</v>
      </c>
      <c r="W3712" t="s">
        <v>71445</v>
      </c>
      <c r="X3712" t="s">
        <v>71446</v>
      </c>
      <c r="Y3712" t="s">
        <v>71447</v>
      </c>
    </row>
    <row r="3713" spans="1:25" x14ac:dyDescent="0.3">
      <c r="A3713">
        <v>185600</v>
      </c>
      <c r="B3713" t="s">
        <v>71448</v>
      </c>
      <c r="C3713" t="s">
        <v>71449</v>
      </c>
      <c r="D3713" t="s">
        <v>71450</v>
      </c>
      <c r="E3713" t="s">
        <v>71451</v>
      </c>
      <c r="F3713" t="s">
        <v>71452</v>
      </c>
      <c r="G3713" t="s">
        <v>71453</v>
      </c>
      <c r="H3713" t="s">
        <v>71454</v>
      </c>
      <c r="I3713" t="s">
        <v>71455</v>
      </c>
      <c r="J3713" t="s">
        <v>71456</v>
      </c>
      <c r="K3713" t="s">
        <v>71457</v>
      </c>
      <c r="L3713" t="s">
        <v>71458</v>
      </c>
      <c r="M3713" t="s">
        <v>71459</v>
      </c>
      <c r="N3713">
        <f>-677.534435286892 -13.486796449904 -528.393780430677</f>
        <v>-1219.4150121674729</v>
      </c>
      <c r="O3713">
        <f>-661.905253362344 -165.906217313709 -499.047926517143</f>
        <v>-1326.8593971931959</v>
      </c>
      <c r="P3713">
        <f>-657.902284509627 -189.149360116835 -217.938861167363</f>
        <v>-1064.9905057938249</v>
      </c>
      <c r="Q3713">
        <f>-460.25387864853 -123.290174868683 -320.633612504682</f>
        <v>-904.17766602189499</v>
      </c>
      <c r="R3713" t="s">
        <v>71460</v>
      </c>
      <c r="S3713" t="s">
        <v>71461</v>
      </c>
      <c r="T3713" t="s">
        <v>71462</v>
      </c>
      <c r="U3713" t="s">
        <v>71463</v>
      </c>
      <c r="V3713">
        <f>-607.815592799774 -59.9877367550782 -92.5420984858976</f>
        <v>-760.34542804074977</v>
      </c>
      <c r="W3713" t="s">
        <v>71464</v>
      </c>
      <c r="X3713" t="s">
        <v>71465</v>
      </c>
      <c r="Y3713" t="s">
        <v>71466</v>
      </c>
    </row>
    <row r="3714" spans="1:25" x14ac:dyDescent="0.3">
      <c r="A3714">
        <v>185650</v>
      </c>
      <c r="B3714" t="s">
        <v>71467</v>
      </c>
      <c r="C3714" t="s">
        <v>71468</v>
      </c>
      <c r="D3714" t="s">
        <v>71469</v>
      </c>
      <c r="E3714" t="s">
        <v>71470</v>
      </c>
      <c r="F3714" t="s">
        <v>71471</v>
      </c>
      <c r="G3714" t="s">
        <v>71472</v>
      </c>
      <c r="H3714" t="s">
        <v>71473</v>
      </c>
      <c r="I3714" t="s">
        <v>71474</v>
      </c>
      <c r="J3714" t="s">
        <v>71475</v>
      </c>
      <c r="K3714" t="s">
        <v>71476</v>
      </c>
      <c r="L3714" t="s">
        <v>71477</v>
      </c>
      <c r="M3714" t="s">
        <v>71478</v>
      </c>
      <c r="N3714">
        <f>-677.060005963202 -13.4491288527986 -528.419341672332</f>
        <v>-1218.9284764883328</v>
      </c>
      <c r="O3714">
        <f>-661.602474039212 -165.890661924054 -499.078435103677</f>
        <v>-1326.5715710669431</v>
      </c>
      <c r="P3714">
        <f>-657.626295653577 -188.896884872612 -217.94953677062</f>
        <v>-1064.4727172968089</v>
      </c>
      <c r="Q3714">
        <f>-459.756337254147 -123.729080915461 -320.658732524231</f>
        <v>-904.14415069383904</v>
      </c>
      <c r="R3714" t="s">
        <v>71479</v>
      </c>
      <c r="S3714" t="s">
        <v>71480</v>
      </c>
      <c r="T3714" t="s">
        <v>71481</v>
      </c>
      <c r="U3714" t="s">
        <v>71482</v>
      </c>
      <c r="V3714">
        <f>-607.49659936104 -60.0848878504364 -92.5414041947081</f>
        <v>-760.12289140618452</v>
      </c>
      <c r="W3714" t="s">
        <v>71483</v>
      </c>
      <c r="X3714" t="s">
        <v>71484</v>
      </c>
      <c r="Y3714" t="s">
        <v>71485</v>
      </c>
    </row>
    <row r="3715" spans="1:25" x14ac:dyDescent="0.3">
      <c r="A3715">
        <v>185700</v>
      </c>
      <c r="B3715" t="s">
        <v>71486</v>
      </c>
      <c r="C3715" t="s">
        <v>71487</v>
      </c>
      <c r="D3715" t="s">
        <v>71488</v>
      </c>
      <c r="E3715" t="s">
        <v>71489</v>
      </c>
      <c r="F3715" t="s">
        <v>71490</v>
      </c>
      <c r="G3715" t="s">
        <v>71491</v>
      </c>
      <c r="H3715" t="s">
        <v>71492</v>
      </c>
      <c r="I3715" t="s">
        <v>71493</v>
      </c>
      <c r="J3715" t="s">
        <v>71494</v>
      </c>
      <c r="K3715" t="s">
        <v>71495</v>
      </c>
      <c r="L3715" t="s">
        <v>71496</v>
      </c>
      <c r="M3715" t="s">
        <v>71497</v>
      </c>
      <c r="N3715">
        <f>-676.198869707688 -13.5906332524087 -528.529305022655</f>
        <v>-1218.3188079827517</v>
      </c>
      <c r="O3715">
        <f>-660.933257059942 -166.047654972631 -499.200496648849</f>
        <v>-1326.181408681422</v>
      </c>
      <c r="P3715">
        <f>-656.804188367911 -188.995111968373 -218.068967339176</f>
        <v>-1063.8682676754599</v>
      </c>
      <c r="Q3715">
        <f>-458.863831670417 -124.259072272727 -320.915478245088</f>
        <v>-904.03838218823205</v>
      </c>
      <c r="R3715" t="s">
        <v>71498</v>
      </c>
      <c r="S3715" t="s">
        <v>71499</v>
      </c>
      <c r="T3715" t="s">
        <v>71500</v>
      </c>
      <c r="U3715" t="s">
        <v>71501</v>
      </c>
      <c r="V3715">
        <f>-607.075499023899 -60.2475243096847 -92.5798222017056</f>
        <v>-759.90284553528932</v>
      </c>
      <c r="W3715" t="s">
        <v>71502</v>
      </c>
      <c r="X3715" t="s">
        <v>71503</v>
      </c>
      <c r="Y3715" t="s">
        <v>71504</v>
      </c>
    </row>
    <row r="3716" spans="1:25" x14ac:dyDescent="0.3">
      <c r="A3716">
        <v>185750</v>
      </c>
      <c r="B3716" t="s">
        <v>71505</v>
      </c>
      <c r="C3716" t="s">
        <v>71506</v>
      </c>
      <c r="D3716" t="s">
        <v>71507</v>
      </c>
      <c r="E3716" t="s">
        <v>71508</v>
      </c>
      <c r="F3716" t="s">
        <v>71509</v>
      </c>
      <c r="G3716" t="s">
        <v>71510</v>
      </c>
      <c r="H3716" t="s">
        <v>71511</v>
      </c>
      <c r="I3716" t="s">
        <v>71512</v>
      </c>
      <c r="J3716" t="s">
        <v>71513</v>
      </c>
      <c r="K3716" t="s">
        <v>71514</v>
      </c>
      <c r="L3716" t="s">
        <v>71515</v>
      </c>
      <c r="M3716" t="s">
        <v>71516</v>
      </c>
      <c r="N3716">
        <f>-675.996358676551 -13.7016413813069 -528.608201813557</f>
        <v>-1218.3062018714149</v>
      </c>
      <c r="O3716">
        <f>-660.723507995578 -166.167031133894 -499.308521188268</f>
        <v>-1326.1990603177401</v>
      </c>
      <c r="P3716">
        <f>-656.500566648932 -189.343578720384 -218.197160748447</f>
        <v>-1064.041306117763</v>
      </c>
      <c r="Q3716">
        <f>-458.649454653302 -124.326841466102 -321.03824208286</f>
        <v>-904.01453820226402</v>
      </c>
      <c r="R3716" t="s">
        <v>71517</v>
      </c>
      <c r="S3716" t="s">
        <v>71518</v>
      </c>
      <c r="T3716" t="s">
        <v>71519</v>
      </c>
      <c r="U3716" t="s">
        <v>71520</v>
      </c>
      <c r="V3716">
        <f>-607.041285588996 -60.3081266495244 -92.6664701617104</f>
        <v>-760.01588240023079</v>
      </c>
      <c r="W3716" t="s">
        <v>71521</v>
      </c>
      <c r="X3716" t="s">
        <v>71522</v>
      </c>
      <c r="Y3716" t="s">
        <v>71523</v>
      </c>
    </row>
    <row r="3717" spans="1:25" x14ac:dyDescent="0.3">
      <c r="A3717">
        <v>185800</v>
      </c>
      <c r="B3717" t="s">
        <v>71524</v>
      </c>
      <c r="C3717" t="s">
        <v>71525</v>
      </c>
      <c r="D3717" t="s">
        <v>71526</v>
      </c>
      <c r="E3717" t="s">
        <v>71527</v>
      </c>
      <c r="F3717" t="s">
        <v>71528</v>
      </c>
      <c r="G3717" t="s">
        <v>71529</v>
      </c>
      <c r="H3717" t="s">
        <v>71530</v>
      </c>
      <c r="I3717" t="s">
        <v>71531</v>
      </c>
      <c r="J3717" t="s">
        <v>71532</v>
      </c>
      <c r="K3717" t="s">
        <v>71533</v>
      </c>
      <c r="L3717" t="s">
        <v>71534</v>
      </c>
      <c r="M3717" t="s">
        <v>71535</v>
      </c>
      <c r="N3717">
        <f>-675.904808758648 -13.9985657988411 -528.800986061725</f>
        <v>-1218.7043606192142</v>
      </c>
      <c r="O3717">
        <f>-660.635027666089 -166.476816148469 -499.597040793955</f>
        <v>-1326.708884608513</v>
      </c>
      <c r="P3717">
        <f>-656.062336429109 -189.834689767694 -218.506059572904</f>
        <v>-1064.4030857697069</v>
      </c>
      <c r="Q3717">
        <f>-458.469319171703 -124.071195693486 -321.368692715529</f>
        <v>-903.90920758071798</v>
      </c>
      <c r="R3717" t="s">
        <v>71536</v>
      </c>
      <c r="S3717" t="s">
        <v>71537</v>
      </c>
      <c r="T3717" t="s">
        <v>71538</v>
      </c>
      <c r="U3717" t="s">
        <v>71539</v>
      </c>
      <c r="V3717">
        <f>-607.103883888147 -60.4288426358589 -92.8058150990378</f>
        <v>-760.33854162304374</v>
      </c>
      <c r="W3717" t="s">
        <v>71540</v>
      </c>
      <c r="X3717" t="s">
        <v>71541</v>
      </c>
      <c r="Y3717" t="s">
        <v>71542</v>
      </c>
    </row>
    <row r="3718" spans="1:25" x14ac:dyDescent="0.3">
      <c r="A3718">
        <v>185850</v>
      </c>
      <c r="B3718" t="s">
        <v>71543</v>
      </c>
      <c r="C3718" t="s">
        <v>71544</v>
      </c>
      <c r="D3718" t="s">
        <v>71545</v>
      </c>
      <c r="E3718" t="s">
        <v>71546</v>
      </c>
      <c r="F3718" t="s">
        <v>71547</v>
      </c>
      <c r="G3718" t="s">
        <v>71548</v>
      </c>
      <c r="H3718" t="s">
        <v>71549</v>
      </c>
      <c r="I3718" t="s">
        <v>71550</v>
      </c>
      <c r="J3718" t="s">
        <v>71551</v>
      </c>
      <c r="K3718" t="s">
        <v>71552</v>
      </c>
      <c r="L3718" t="s">
        <v>71553</v>
      </c>
      <c r="M3718" t="s">
        <v>71554</v>
      </c>
      <c r="N3718">
        <f>-675.841625646775 -14.3350335869966 -528.880995451372</f>
        <v>-1219.0576546851435</v>
      </c>
      <c r="O3718">
        <f>-660.519887107576 -166.815409418595 -499.722188129241</f>
        <v>-1327.0574846554118</v>
      </c>
      <c r="P3718">
        <f>-655.839954774017 -190.165232730964 -218.632340536901</f>
        <v>-1064.637528041882</v>
      </c>
      <c r="Q3718">
        <f>-458.349989573554 -124.118870530157 -321.511351604108</f>
        <v>-903.98021170781897</v>
      </c>
      <c r="R3718" t="s">
        <v>71555</v>
      </c>
      <c r="S3718" t="s">
        <v>71556</v>
      </c>
      <c r="T3718" t="s">
        <v>71557</v>
      </c>
      <c r="U3718" t="s">
        <v>71558</v>
      </c>
      <c r="V3718">
        <f>-607.107033638702 -60.7223452243338 -92.8392263194318</f>
        <v>-760.66860518246756</v>
      </c>
      <c r="W3718" t="s">
        <v>71559</v>
      </c>
      <c r="X3718" t="s">
        <v>71560</v>
      </c>
      <c r="Y3718" t="s">
        <v>71561</v>
      </c>
    </row>
    <row r="3719" spans="1:25" x14ac:dyDescent="0.3">
      <c r="A3719">
        <v>185900</v>
      </c>
      <c r="B3719" t="s">
        <v>71562</v>
      </c>
      <c r="C3719" t="s">
        <v>71563</v>
      </c>
      <c r="D3719" t="s">
        <v>71564</v>
      </c>
      <c r="E3719" t="s">
        <v>71565</v>
      </c>
      <c r="F3719" t="s">
        <v>71566</v>
      </c>
      <c r="G3719" t="s">
        <v>71567</v>
      </c>
      <c r="H3719" t="s">
        <v>71568</v>
      </c>
      <c r="I3719" t="s">
        <v>71569</v>
      </c>
      <c r="J3719" t="s">
        <v>71570</v>
      </c>
      <c r="K3719" t="s">
        <v>71571</v>
      </c>
      <c r="L3719" t="s">
        <v>71572</v>
      </c>
      <c r="M3719" t="s">
        <v>71573</v>
      </c>
      <c r="N3719">
        <f>-675.620216048023 -15.2196625184044 -528.99396035123</f>
        <v>-1219.8338389176574</v>
      </c>
      <c r="O3719">
        <f>-660.027086126561 -167.705254956291 -499.99344760029</f>
        <v>-1327.7257886831421</v>
      </c>
      <c r="P3719">
        <f>-655.25621176525 -191.32814753757 -218.927968828911</f>
        <v>-1065.512328131731</v>
      </c>
      <c r="Q3719">
        <f>-457.827171194871 -124.775175014059 -321.597414608869</f>
        <v>-904.19976081779896</v>
      </c>
      <c r="R3719" t="s">
        <v>71574</v>
      </c>
      <c r="S3719" t="s">
        <v>71575</v>
      </c>
      <c r="T3719" t="s">
        <v>71576</v>
      </c>
      <c r="U3719" t="s">
        <v>71577</v>
      </c>
      <c r="V3719">
        <f>-606.758842151347 -61.4408743809156 -92.9041673683961</f>
        <v>-761.10388390065873</v>
      </c>
      <c r="W3719" t="s">
        <v>71578</v>
      </c>
      <c r="X3719" t="s">
        <v>71579</v>
      </c>
      <c r="Y3719" t="s">
        <v>71580</v>
      </c>
    </row>
    <row r="3720" spans="1:25" x14ac:dyDescent="0.3">
      <c r="A3720">
        <v>185950</v>
      </c>
      <c r="B3720" t="s">
        <v>71581</v>
      </c>
      <c r="C3720" t="s">
        <v>71582</v>
      </c>
      <c r="D3720" t="s">
        <v>71583</v>
      </c>
      <c r="E3720" t="s">
        <v>71584</v>
      </c>
      <c r="F3720" t="s">
        <v>71585</v>
      </c>
      <c r="G3720" t="s">
        <v>71586</v>
      </c>
      <c r="H3720" t="s">
        <v>71587</v>
      </c>
      <c r="I3720" t="s">
        <v>71588</v>
      </c>
      <c r="J3720" t="s">
        <v>71589</v>
      </c>
      <c r="K3720" t="s">
        <v>71590</v>
      </c>
      <c r="L3720" t="s">
        <v>71591</v>
      </c>
      <c r="M3720" t="s">
        <v>71592</v>
      </c>
      <c r="N3720">
        <f>-675.604720054054 -15.6972298421131 -529.024507123304</f>
        <v>-1220.326457019471</v>
      </c>
      <c r="O3720">
        <f>-659.771194673148 -168.175748140778 -500.095368196369</f>
        <v>-1328.042311010295</v>
      </c>
      <c r="P3720">
        <f>-655.041141703535 -192.074032456427 -219.05252975692</f>
        <v>-1066.1677039168819</v>
      </c>
      <c r="Q3720">
        <f>-457.645971389195 -125.138576875358 -321.538304861609</f>
        <v>-904.32285312616204</v>
      </c>
      <c r="R3720" t="s">
        <v>71593</v>
      </c>
      <c r="S3720" t="s">
        <v>71594</v>
      </c>
      <c r="T3720" t="s">
        <v>71595</v>
      </c>
      <c r="U3720" t="s">
        <v>71596</v>
      </c>
      <c r="V3720">
        <f>-606.648083917386 -61.8881822990841 -92.9298012228033</f>
        <v>-761.46606743927339</v>
      </c>
      <c r="W3720" t="s">
        <v>71597</v>
      </c>
      <c r="X3720" t="s">
        <v>71598</v>
      </c>
      <c r="Y3720" t="s">
        <v>71599</v>
      </c>
    </row>
    <row r="3721" spans="1:25" x14ac:dyDescent="0.3">
      <c r="A3721">
        <v>186000</v>
      </c>
      <c r="B3721" t="s">
        <v>71600</v>
      </c>
      <c r="C3721" t="s">
        <v>71601</v>
      </c>
      <c r="D3721" t="s">
        <v>71602</v>
      </c>
      <c r="E3721" t="s">
        <v>71603</v>
      </c>
      <c r="F3721" t="s">
        <v>71604</v>
      </c>
      <c r="G3721" t="s">
        <v>71605</v>
      </c>
      <c r="H3721" t="s">
        <v>71606</v>
      </c>
      <c r="I3721" t="s">
        <v>71607</v>
      </c>
      <c r="J3721" t="s">
        <v>71608</v>
      </c>
      <c r="K3721" t="s">
        <v>71609</v>
      </c>
      <c r="L3721" t="s">
        <v>71610</v>
      </c>
      <c r="M3721" t="s">
        <v>71611</v>
      </c>
      <c r="N3721">
        <f>-675.285299292897 -16.6207115186705 -529.104515758735</f>
        <v>-1221.0105265703025</v>
      </c>
      <c r="O3721">
        <f>-658.872684417022 -169.076333902846 -500.378831425919</f>
        <v>-1328.3278497457868</v>
      </c>
      <c r="P3721">
        <f>-654.351143904438 -193.286895611639 -219.359326367512</f>
        <v>-1066.9973658835891</v>
      </c>
      <c r="Q3721">
        <f>-456.969621226351 -125.406632807973 -321.248230942063</f>
        <v>-903.62448497638707</v>
      </c>
      <c r="R3721" t="s">
        <v>71612</v>
      </c>
      <c r="S3721" t="s">
        <v>71613</v>
      </c>
      <c r="T3721" t="s">
        <v>71614</v>
      </c>
      <c r="U3721" t="s">
        <v>71615</v>
      </c>
      <c r="V3721">
        <f>-606.613449260568 -62.9509129916689 -92.9670136912729</f>
        <v>-762.53137594350983</v>
      </c>
      <c r="W3721" t="s">
        <v>71616</v>
      </c>
      <c r="X3721" t="s">
        <v>71617</v>
      </c>
      <c r="Y3721" t="s">
        <v>71618</v>
      </c>
    </row>
    <row r="3722" spans="1:25" x14ac:dyDescent="0.3">
      <c r="A3722">
        <v>186050</v>
      </c>
      <c r="B3722" t="s">
        <v>71619</v>
      </c>
      <c r="C3722" t="s">
        <v>71620</v>
      </c>
      <c r="D3722" t="s">
        <v>71621</v>
      </c>
      <c r="E3722" t="s">
        <v>71622</v>
      </c>
      <c r="F3722" t="s">
        <v>71623</v>
      </c>
      <c r="G3722" t="s">
        <v>71624</v>
      </c>
      <c r="H3722" t="s">
        <v>71625</v>
      </c>
      <c r="I3722" t="s">
        <v>71626</v>
      </c>
      <c r="J3722" t="s">
        <v>71627</v>
      </c>
      <c r="K3722" t="s">
        <v>71628</v>
      </c>
      <c r="L3722" t="s">
        <v>71629</v>
      </c>
      <c r="M3722" t="s">
        <v>71630</v>
      </c>
      <c r="N3722">
        <f>-675.134507002709 -17.2334707055363 -529.135634518991</f>
        <v>-1221.5036122272363</v>
      </c>
      <c r="O3722">
        <f>-658.304229735994 -169.674125715425 -500.570427491845</f>
        <v>-1328.5487829432641</v>
      </c>
      <c r="P3722">
        <f>-653.919146779016 -194.100194153156 -219.567406585329</f>
        <v>-1067.5867475175012</v>
      </c>
      <c r="Q3722">
        <f>-456.622794830669 -125.44582293804 -321.102146046604</f>
        <v>-903.17076381531297</v>
      </c>
      <c r="R3722" t="s">
        <v>71631</v>
      </c>
      <c r="S3722" t="s">
        <v>71632</v>
      </c>
      <c r="T3722" t="s">
        <v>71633</v>
      </c>
      <c r="U3722" t="s">
        <v>71634</v>
      </c>
      <c r="V3722">
        <f>-606.643380810452 -63.5979220445249 -92.9676447966658</f>
        <v>-763.20894765164269</v>
      </c>
      <c r="W3722" t="s">
        <v>71635</v>
      </c>
      <c r="X3722" t="s">
        <v>71636</v>
      </c>
      <c r="Y3722" t="s">
        <v>71637</v>
      </c>
    </row>
    <row r="3723" spans="1:25" x14ac:dyDescent="0.3">
      <c r="A3723">
        <v>186100</v>
      </c>
      <c r="B3723" t="s">
        <v>71638</v>
      </c>
      <c r="C3723" t="s">
        <v>71639</v>
      </c>
      <c r="D3723" t="s">
        <v>71640</v>
      </c>
      <c r="E3723" t="s">
        <v>71641</v>
      </c>
      <c r="F3723" t="s">
        <v>71642</v>
      </c>
      <c r="G3723" t="s">
        <v>71643</v>
      </c>
      <c r="H3723" t="s">
        <v>71644</v>
      </c>
      <c r="I3723" t="s">
        <v>71645</v>
      </c>
      <c r="J3723" t="s">
        <v>71646</v>
      </c>
      <c r="K3723" t="s">
        <v>71647</v>
      </c>
      <c r="L3723" t="s">
        <v>71648</v>
      </c>
      <c r="M3723" t="s">
        <v>71649</v>
      </c>
      <c r="N3723">
        <f>-675.201593895447 -18.4532752466157 -529.166068971246</f>
        <v>-1222.8209381133088</v>
      </c>
      <c r="O3723">
        <f>-657.448540150402 -170.849998066482 -500.930834376123</f>
        <v>-1329.2293725930072</v>
      </c>
      <c r="P3723">
        <f>-652.9091054386 -196.030762190796 -219.996888855127</f>
        <v>-1068.9367564845231</v>
      </c>
      <c r="Q3723">
        <f>-455.986688537326 -125.229736570883 -320.780454569084</f>
        <v>-901.99687967729301</v>
      </c>
      <c r="R3723" t="s">
        <v>71650</v>
      </c>
      <c r="S3723" t="s">
        <v>71651</v>
      </c>
      <c r="T3723" t="s">
        <v>71652</v>
      </c>
      <c r="U3723" t="s">
        <v>71653</v>
      </c>
      <c r="V3723">
        <f>-606.630137456539 -64.8456513948861 -92.9840154770359</f>
        <v>-764.45980432846102</v>
      </c>
      <c r="W3723" t="s">
        <v>71654</v>
      </c>
      <c r="X3723" t="s">
        <v>71655</v>
      </c>
      <c r="Y3723" t="s">
        <v>71656</v>
      </c>
    </row>
    <row r="3724" spans="1:25" x14ac:dyDescent="0.3">
      <c r="A3724">
        <v>186150</v>
      </c>
      <c r="B3724" t="s">
        <v>71657</v>
      </c>
      <c r="C3724" t="s">
        <v>71658</v>
      </c>
      <c r="D3724" t="s">
        <v>71659</v>
      </c>
      <c r="E3724" t="s">
        <v>71660</v>
      </c>
      <c r="F3724" t="s">
        <v>71661</v>
      </c>
      <c r="G3724" t="s">
        <v>71662</v>
      </c>
      <c r="H3724" t="s">
        <v>71663</v>
      </c>
      <c r="I3724" t="s">
        <v>71664</v>
      </c>
      <c r="J3724" t="s">
        <v>71665</v>
      </c>
      <c r="K3724" t="s">
        <v>71666</v>
      </c>
      <c r="L3724" t="s">
        <v>71667</v>
      </c>
      <c r="M3724" t="s">
        <v>71668</v>
      </c>
      <c r="N3724">
        <f>-675.336408440043 -19.1048380271393 -529.169521820985</f>
        <v>-1223.6107682881673</v>
      </c>
      <c r="O3724">
        <f>-657.113412890852 -171.478648711639 -501.111202629657</f>
        <v>-1329.7032642321481</v>
      </c>
      <c r="P3724">
        <f>-652.369752000692 -196.893957965805 -220.201637571359</f>
        <v>-1069.4653475378559</v>
      </c>
      <c r="Q3724">
        <f>-455.624153506038 -125.179005796685 -320.683786942561</f>
        <v>-901.486946245284</v>
      </c>
      <c r="R3724" t="s">
        <v>71669</v>
      </c>
      <c r="S3724" t="s">
        <v>71670</v>
      </c>
      <c r="T3724" t="s">
        <v>71671</v>
      </c>
      <c r="U3724" t="s">
        <v>71672</v>
      </c>
      <c r="V3724">
        <f>-606.60809735145 -65.5113398824424 -92.9966363554551</f>
        <v>-765.11607358934748</v>
      </c>
      <c r="W3724" t="s">
        <v>71673</v>
      </c>
      <c r="X3724" t="s">
        <v>71674</v>
      </c>
      <c r="Y3724" t="s">
        <v>71675</v>
      </c>
    </row>
    <row r="3725" spans="1:25" x14ac:dyDescent="0.3">
      <c r="A3725">
        <v>186200</v>
      </c>
      <c r="B3725" t="s">
        <v>71676</v>
      </c>
      <c r="C3725" t="s">
        <v>71677</v>
      </c>
      <c r="D3725" t="s">
        <v>71678</v>
      </c>
      <c r="E3725" t="s">
        <v>71679</v>
      </c>
      <c r="F3725" t="s">
        <v>71680</v>
      </c>
      <c r="G3725" t="s">
        <v>71681</v>
      </c>
      <c r="H3725" t="s">
        <v>71682</v>
      </c>
      <c r="I3725" t="s">
        <v>71683</v>
      </c>
      <c r="J3725" t="s">
        <v>71684</v>
      </c>
      <c r="K3725" t="s">
        <v>71685</v>
      </c>
      <c r="L3725" t="s">
        <v>71686</v>
      </c>
      <c r="M3725" t="s">
        <v>71687</v>
      </c>
      <c r="N3725">
        <f>-675.749679485145 -20.5348155823199 -529.165257048732</f>
        <v>-1225.4497521161968</v>
      </c>
      <c r="O3725">
        <f>-656.677162670083 -172.856090767418 -501.367849683778</f>
        <v>-1330.901103121279</v>
      </c>
      <c r="P3725">
        <f>-651.580503868502 -198.54651405673 -220.489561150192</f>
        <v>-1070.6165790754239</v>
      </c>
      <c r="Q3725">
        <f>-455.190115974724 -125.383099461155 -320.621639666787</f>
        <v>-901.194855102666</v>
      </c>
      <c r="R3725" t="s">
        <v>71688</v>
      </c>
      <c r="S3725" t="s">
        <v>71689</v>
      </c>
      <c r="T3725" t="s">
        <v>71690</v>
      </c>
      <c r="U3725" t="s">
        <v>71691</v>
      </c>
      <c r="V3725">
        <f>-606.691721533894 -66.7504432270257 -93.0155753383922</f>
        <v>-766.45774009931188</v>
      </c>
      <c r="W3725" t="s">
        <v>71692</v>
      </c>
      <c r="X3725" t="s">
        <v>71693</v>
      </c>
      <c r="Y3725" t="s">
        <v>71694</v>
      </c>
    </row>
    <row r="3726" spans="1:25" x14ac:dyDescent="0.3">
      <c r="A3726">
        <v>186250</v>
      </c>
      <c r="B3726" t="s">
        <v>71695</v>
      </c>
      <c r="C3726" t="s">
        <v>71696</v>
      </c>
      <c r="D3726" t="s">
        <v>71697</v>
      </c>
      <c r="E3726" t="s">
        <v>71698</v>
      </c>
      <c r="F3726" t="s">
        <v>71699</v>
      </c>
      <c r="G3726" t="s">
        <v>71700</v>
      </c>
      <c r="H3726" t="s">
        <v>71701</v>
      </c>
      <c r="I3726" t="s">
        <v>71702</v>
      </c>
      <c r="J3726" t="s">
        <v>71703</v>
      </c>
      <c r="K3726" t="s">
        <v>71704</v>
      </c>
      <c r="L3726" t="s">
        <v>71705</v>
      </c>
      <c r="M3726" t="s">
        <v>71706</v>
      </c>
      <c r="N3726">
        <f>-675.916591985763 -21.2206628838196 -529.170905514999</f>
        <v>-1226.3081603845817</v>
      </c>
      <c r="O3726">
        <f>-656.525355643375 -173.522812248953 -501.488467163914</f>
        <v>-1331.5366350562419</v>
      </c>
      <c r="P3726">
        <f>-651.297978014872 -199.464332136251 -220.635618484447</f>
        <v>-1071.39792863557</v>
      </c>
      <c r="Q3726">
        <f>-455.06631682146 -125.60783032464 -320.570018521323</f>
        <v>-901.24416566742298</v>
      </c>
      <c r="R3726" t="s">
        <v>71707</v>
      </c>
      <c r="S3726" t="s">
        <v>71708</v>
      </c>
      <c r="T3726" t="s">
        <v>71709</v>
      </c>
      <c r="U3726" t="s">
        <v>71710</v>
      </c>
      <c r="V3726">
        <f>-606.803538750532 -67.3710351397676 -93.02089329183</f>
        <v>-767.19546718212962</v>
      </c>
      <c r="W3726" t="s">
        <v>71711</v>
      </c>
      <c r="X3726" t="s">
        <v>71712</v>
      </c>
      <c r="Y3726" t="s">
        <v>71713</v>
      </c>
    </row>
    <row r="3727" spans="1:25" x14ac:dyDescent="0.3">
      <c r="A3727">
        <v>186300</v>
      </c>
      <c r="B3727" t="s">
        <v>71714</v>
      </c>
      <c r="C3727" t="s">
        <v>71715</v>
      </c>
      <c r="D3727" t="s">
        <v>71716</v>
      </c>
      <c r="E3727" t="s">
        <v>71717</v>
      </c>
      <c r="F3727" t="s">
        <v>71718</v>
      </c>
      <c r="G3727" t="s">
        <v>71719</v>
      </c>
      <c r="H3727" t="s">
        <v>71720</v>
      </c>
      <c r="I3727" t="s">
        <v>71721</v>
      </c>
      <c r="J3727" t="s">
        <v>71722</v>
      </c>
      <c r="K3727" t="s">
        <v>71723</v>
      </c>
      <c r="L3727" t="s">
        <v>71724</v>
      </c>
      <c r="M3727" t="s">
        <v>71725</v>
      </c>
      <c r="N3727">
        <f>-676.114396076533 -22.5250007600414 -529.214868630573</f>
        <v>-1227.8542654671473</v>
      </c>
      <c r="O3727">
        <f>-656.204084688062 -174.783754395846 -501.695801200691</f>
        <v>-1332.6836402845991</v>
      </c>
      <c r="P3727">
        <f>-650.935834947398 -201.122717562131 -220.88086270525</f>
        <v>-1072.939415214779</v>
      </c>
      <c r="Q3727">
        <f>-455.043061968496 -125.944548074911 -320.494067450499</f>
        <v>-901.48167749390609</v>
      </c>
      <c r="R3727" t="s">
        <v>71726</v>
      </c>
      <c r="S3727" t="s">
        <v>71727</v>
      </c>
      <c r="T3727" t="s">
        <v>71728</v>
      </c>
      <c r="U3727" t="s">
        <v>71729</v>
      </c>
      <c r="V3727">
        <f>-607.15738703371 -68.5662686952967 -93.0420296037038</f>
        <v>-768.76568533271052</v>
      </c>
      <c r="W3727" t="s">
        <v>71730</v>
      </c>
      <c r="X3727" t="s">
        <v>71731</v>
      </c>
      <c r="Y3727" t="s">
        <v>71732</v>
      </c>
    </row>
    <row r="3728" spans="1:25" x14ac:dyDescent="0.3">
      <c r="A3728">
        <v>186350</v>
      </c>
      <c r="B3728" t="s">
        <v>71733</v>
      </c>
      <c r="C3728" t="s">
        <v>71734</v>
      </c>
      <c r="D3728" t="s">
        <v>71735</v>
      </c>
      <c r="E3728" t="s">
        <v>71736</v>
      </c>
      <c r="F3728" t="s">
        <v>71737</v>
      </c>
      <c r="G3728" t="s">
        <v>71738</v>
      </c>
      <c r="H3728" t="s">
        <v>71739</v>
      </c>
      <c r="I3728" t="s">
        <v>71740</v>
      </c>
      <c r="J3728" t="s">
        <v>71741</v>
      </c>
      <c r="K3728" t="s">
        <v>71742</v>
      </c>
      <c r="L3728" t="s">
        <v>71743</v>
      </c>
      <c r="M3728" t="s">
        <v>71744</v>
      </c>
      <c r="N3728">
        <f>-676.16597680772 -23.138554532153 -529.257468114627</f>
        <v>-1228.5619994545</v>
      </c>
      <c r="O3728">
        <f>-656.051494808291 -175.378345584298 -501.764202822926</f>
        <v>-1333.194043215515</v>
      </c>
      <c r="P3728">
        <f>-650.821264274526 -201.809255121345 -220.9570540763</f>
        <v>-1073.587573472171</v>
      </c>
      <c r="Q3728">
        <f>-455.043333054162 -126.105006971203 -320.397527504107</f>
        <v>-901.54586752947193</v>
      </c>
      <c r="R3728" t="s">
        <v>71745</v>
      </c>
      <c r="S3728" t="s">
        <v>71746</v>
      </c>
      <c r="T3728" t="s">
        <v>71747</v>
      </c>
      <c r="U3728" t="s">
        <v>71748</v>
      </c>
      <c r="V3728">
        <f>-607.370683752552 -68.9994794646957 -93.068108256007</f>
        <v>-769.43827147325476</v>
      </c>
      <c r="W3728" t="s">
        <v>71749</v>
      </c>
      <c r="X3728" t="s">
        <v>71750</v>
      </c>
      <c r="Y3728" t="s">
        <v>71751</v>
      </c>
    </row>
    <row r="3729" spans="1:25" x14ac:dyDescent="0.3">
      <c r="A3729">
        <v>186400</v>
      </c>
      <c r="B3729" t="s">
        <v>71752</v>
      </c>
      <c r="C3729" t="s">
        <v>71753</v>
      </c>
      <c r="D3729" t="s">
        <v>71754</v>
      </c>
      <c r="E3729" t="s">
        <v>71755</v>
      </c>
      <c r="F3729" t="s">
        <v>71756</v>
      </c>
      <c r="G3729" t="s">
        <v>71757</v>
      </c>
      <c r="H3729" t="s">
        <v>71758</v>
      </c>
      <c r="I3729" t="s">
        <v>71759</v>
      </c>
      <c r="J3729" t="s">
        <v>71760</v>
      </c>
      <c r="K3729" t="s">
        <v>71761</v>
      </c>
      <c r="L3729" t="s">
        <v>71762</v>
      </c>
      <c r="M3729" t="s">
        <v>71763</v>
      </c>
      <c r="N3729">
        <f>-676.199039546061 -24.1213388656843 -529.313204814941</f>
        <v>-1229.6335832266864</v>
      </c>
      <c r="O3729">
        <f>-655.788685644288 -176.321887956079 -501.806433228145</f>
        <v>-1333.9170068285121</v>
      </c>
      <c r="P3729">
        <f>-650.806350382678 -202.706217541184 -220.990415533106</f>
        <v>-1074.502983456968</v>
      </c>
      <c r="Q3729">
        <f>-455.113986982042 -126.335524362863 -320.089109954266</f>
        <v>-901.53862129917093</v>
      </c>
      <c r="R3729" t="s">
        <v>71764</v>
      </c>
      <c r="S3729" t="s">
        <v>71765</v>
      </c>
      <c r="T3729" t="s">
        <v>71766</v>
      </c>
      <c r="U3729" t="s">
        <v>71767</v>
      </c>
      <c r="V3729">
        <f>-607.695472888625 -69.8043736030825 -93.1311284797288</f>
        <v>-770.63097497143622</v>
      </c>
      <c r="W3729" t="s">
        <v>71768</v>
      </c>
      <c r="X3729" t="s">
        <v>71769</v>
      </c>
      <c r="Y3729" t="s">
        <v>71770</v>
      </c>
    </row>
    <row r="3730" spans="1:25" x14ac:dyDescent="0.3">
      <c r="A3730">
        <v>186450</v>
      </c>
      <c r="B3730" t="s">
        <v>71771</v>
      </c>
      <c r="C3730" t="s">
        <v>71772</v>
      </c>
      <c r="D3730" t="s">
        <v>71773</v>
      </c>
      <c r="E3730" t="s">
        <v>71774</v>
      </c>
      <c r="F3730" t="s">
        <v>71775</v>
      </c>
      <c r="G3730" t="s">
        <v>71776</v>
      </c>
      <c r="H3730" t="s">
        <v>71777</v>
      </c>
      <c r="I3730" t="s">
        <v>71778</v>
      </c>
      <c r="J3730" t="s">
        <v>71779</v>
      </c>
      <c r="K3730" t="s">
        <v>71780</v>
      </c>
      <c r="L3730" t="s">
        <v>71781</v>
      </c>
      <c r="M3730" t="s">
        <v>71782</v>
      </c>
      <c r="N3730">
        <f>-676.203683001912 -24.5277152243841 -529.346007604782</f>
        <v>-1230.0774058310781</v>
      </c>
      <c r="O3730">
        <f>-655.690783129401 -176.707322707272 -501.809730640394</f>
        <v>-1334.2078364770671</v>
      </c>
      <c r="P3730">
        <f>-650.882666783113 -203.101048312472 -220.991672267787</f>
        <v>-1074.975387363372</v>
      </c>
      <c r="Q3730">
        <f>-455.222578366944 -126.502484430011 -319.977996559491</f>
        <v>-901.70305935644592</v>
      </c>
      <c r="R3730" t="s">
        <v>71783</v>
      </c>
      <c r="S3730" t="s">
        <v>71784</v>
      </c>
      <c r="T3730" t="s">
        <v>71785</v>
      </c>
      <c r="U3730" t="s">
        <v>71786</v>
      </c>
      <c r="V3730">
        <f>-607.809406885206 -70.137483962639 -93.1598238921996</f>
        <v>-771.10671474004459</v>
      </c>
      <c r="W3730" t="s">
        <v>71787</v>
      </c>
      <c r="X3730" t="s">
        <v>71788</v>
      </c>
      <c r="Y3730" t="s">
        <v>71789</v>
      </c>
    </row>
    <row r="3731" spans="1:25" x14ac:dyDescent="0.3">
      <c r="A3731">
        <v>186500</v>
      </c>
      <c r="B3731" t="s">
        <v>71790</v>
      </c>
      <c r="C3731" t="s">
        <v>71791</v>
      </c>
      <c r="D3731" t="s">
        <v>71792</v>
      </c>
      <c r="E3731" t="s">
        <v>71793</v>
      </c>
      <c r="F3731" t="s">
        <v>71794</v>
      </c>
      <c r="G3731" t="s">
        <v>71795</v>
      </c>
      <c r="H3731" t="s">
        <v>71796</v>
      </c>
      <c r="I3731" t="s">
        <v>71797</v>
      </c>
      <c r="J3731" t="s">
        <v>71798</v>
      </c>
      <c r="K3731" t="s">
        <v>71799</v>
      </c>
      <c r="L3731" t="s">
        <v>71800</v>
      </c>
      <c r="M3731" t="s">
        <v>71801</v>
      </c>
      <c r="N3731">
        <f>-676.352177763256 -25.1935070128141 -529.398729347553</f>
        <v>-1230.9444141236231</v>
      </c>
      <c r="O3731">
        <f>-655.737547184781 -177.340295371177 -501.750858373466</f>
        <v>-1334.828700929424</v>
      </c>
      <c r="P3731">
        <f>-651.294553050989 -203.652939787525 -220.919088748913</f>
        <v>-1075.8665815874269</v>
      </c>
      <c r="Q3731">
        <f>-455.619062982973 -126.846480966874 -319.713825995885</f>
        <v>-902.17936994573188</v>
      </c>
      <c r="R3731" t="s">
        <v>71802</v>
      </c>
      <c r="S3731" t="s">
        <v>71803</v>
      </c>
      <c r="T3731" t="s">
        <v>71804</v>
      </c>
      <c r="U3731" t="s">
        <v>71805</v>
      </c>
      <c r="V3731">
        <f>-608.133269050011 -70.5981094051742 -93.2242554480325</f>
        <v>-771.95563390321774</v>
      </c>
      <c r="W3731" t="s">
        <v>71806</v>
      </c>
      <c r="X3731" t="s">
        <v>71807</v>
      </c>
      <c r="Y3731" t="s">
        <v>71808</v>
      </c>
    </row>
    <row r="3732" spans="1:25" x14ac:dyDescent="0.3">
      <c r="A3732">
        <v>186550</v>
      </c>
      <c r="B3732" t="s">
        <v>71809</v>
      </c>
      <c r="C3732" t="s">
        <v>71810</v>
      </c>
      <c r="D3732" t="s">
        <v>71811</v>
      </c>
      <c r="E3732" t="s">
        <v>71812</v>
      </c>
      <c r="F3732" t="s">
        <v>71813</v>
      </c>
      <c r="G3732" t="s">
        <v>71814</v>
      </c>
      <c r="H3732" t="s">
        <v>71815</v>
      </c>
      <c r="I3732" t="s">
        <v>71816</v>
      </c>
      <c r="J3732" t="s">
        <v>71817</v>
      </c>
      <c r="K3732" t="s">
        <v>71818</v>
      </c>
      <c r="L3732" t="s">
        <v>71819</v>
      </c>
      <c r="M3732" t="s">
        <v>71820</v>
      </c>
      <c r="N3732">
        <f>-676.619898388523 -25.449375434868 -529.393513611645</f>
        <v>-1231.4627874350358</v>
      </c>
      <c r="O3732">
        <f>-655.997372157488 -177.587648699266 -501.701041555797</f>
        <v>-1335.286062412551</v>
      </c>
      <c r="P3732">
        <f>-651.646175312706 -203.721167219134 -220.851132541568</f>
        <v>-1076.2184750734079</v>
      </c>
      <c r="Q3732">
        <f>-455.906789451097 -126.981392278554 -319.57108879025</f>
        <v>-902.459270519901</v>
      </c>
      <c r="R3732" t="s">
        <v>71821</v>
      </c>
      <c r="S3732" t="s">
        <v>71822</v>
      </c>
      <c r="T3732" t="s">
        <v>71823</v>
      </c>
      <c r="U3732" t="s">
        <v>71824</v>
      </c>
      <c r="V3732">
        <f>-608.250256029303 -70.7916018303104 -93.251792951099</f>
        <v>-772.29365081071239</v>
      </c>
      <c r="W3732" t="s">
        <v>71825</v>
      </c>
      <c r="X3732" t="s">
        <v>71826</v>
      </c>
      <c r="Y3732" t="s">
        <v>71827</v>
      </c>
    </row>
    <row r="3733" spans="1:25" x14ac:dyDescent="0.3">
      <c r="A3733">
        <v>186600</v>
      </c>
      <c r="B3733" t="s">
        <v>71828</v>
      </c>
      <c r="C3733" t="s">
        <v>71829</v>
      </c>
      <c r="D3733" t="s">
        <v>71830</v>
      </c>
      <c r="E3733" t="s">
        <v>71831</v>
      </c>
      <c r="F3733" t="s">
        <v>71832</v>
      </c>
      <c r="G3733" t="s">
        <v>71833</v>
      </c>
      <c r="H3733" t="s">
        <v>71834</v>
      </c>
      <c r="I3733" t="s">
        <v>71835</v>
      </c>
      <c r="J3733" t="s">
        <v>71836</v>
      </c>
      <c r="K3733" t="s">
        <v>71837</v>
      </c>
      <c r="L3733" t="s">
        <v>71838</v>
      </c>
      <c r="M3733" t="s">
        <v>71839</v>
      </c>
      <c r="N3733">
        <f>-677.075158587072 -25.6783367302119 -529.378125300123</f>
        <v>-1232.131620617407</v>
      </c>
      <c r="O3733">
        <f>-656.566492306066 -177.812409410386 -501.596983516738</f>
        <v>-1335.97588523319</v>
      </c>
      <c r="P3733">
        <f>-652.297765389743 -203.786943377171 -220.730968600172</f>
        <v>-1076.815677367086</v>
      </c>
      <c r="Q3733">
        <f>-456.439996965561 -127.101508119268 -319.258122841964</f>
        <v>-902.79962792679305</v>
      </c>
      <c r="R3733" t="s">
        <v>71840</v>
      </c>
      <c r="S3733" t="s">
        <v>71841</v>
      </c>
      <c r="T3733" t="s">
        <v>71842</v>
      </c>
      <c r="U3733" t="s">
        <v>71843</v>
      </c>
      <c r="V3733">
        <f>-608.348818210176 -70.9599752290726 -93.3015415418581</f>
        <v>-772.61033498110669</v>
      </c>
      <c r="W3733" t="s">
        <v>71844</v>
      </c>
      <c r="X3733" t="s">
        <v>71845</v>
      </c>
      <c r="Y3733" t="s">
        <v>71846</v>
      </c>
    </row>
    <row r="3734" spans="1:25" x14ac:dyDescent="0.3">
      <c r="A3734">
        <v>186650</v>
      </c>
      <c r="B3734" t="s">
        <v>71847</v>
      </c>
      <c r="C3734" t="s">
        <v>71848</v>
      </c>
      <c r="D3734" t="s">
        <v>71849</v>
      </c>
      <c r="E3734" t="s">
        <v>71850</v>
      </c>
      <c r="F3734" t="s">
        <v>71851</v>
      </c>
      <c r="G3734" t="s">
        <v>71852</v>
      </c>
      <c r="H3734" t="s">
        <v>71853</v>
      </c>
      <c r="I3734" t="s">
        <v>71854</v>
      </c>
      <c r="J3734" t="s">
        <v>71855</v>
      </c>
      <c r="K3734" t="s">
        <v>71856</v>
      </c>
      <c r="L3734" t="s">
        <v>71857</v>
      </c>
      <c r="M3734" t="s">
        <v>71858</v>
      </c>
      <c r="N3734">
        <f>-677.167720666823 -25.6888787761291 -529.37903211885</f>
        <v>-1232.2356315618022</v>
      </c>
      <c r="O3734">
        <f>-656.737191151587 -177.828471643417 -501.573643580517</f>
        <v>-1336.1393063755211</v>
      </c>
      <c r="P3734">
        <f>-652.548837035652 -203.812906193418 -220.707510891912</f>
        <v>-1077.0692541209821</v>
      </c>
      <c r="Q3734">
        <f>-456.625297712909 -127.085289112943 -319.07097143891</f>
        <v>-902.781558264762</v>
      </c>
      <c r="R3734" t="s">
        <v>71859</v>
      </c>
      <c r="S3734" t="s">
        <v>71860</v>
      </c>
      <c r="T3734" t="s">
        <v>71861</v>
      </c>
      <c r="U3734" t="s">
        <v>71862</v>
      </c>
      <c r="V3734">
        <f>-608.368470369515 -70.9685328690089 -93.3299083234206</f>
        <v>-772.6669115619444</v>
      </c>
      <c r="W3734" t="s">
        <v>71863</v>
      </c>
      <c r="X3734" t="s">
        <v>71864</v>
      </c>
      <c r="Y3734" t="s">
        <v>71865</v>
      </c>
    </row>
    <row r="3735" spans="1:25" x14ac:dyDescent="0.3">
      <c r="A3735">
        <v>186700</v>
      </c>
      <c r="B3735" t="s">
        <v>71866</v>
      </c>
      <c r="C3735" t="s">
        <v>71867</v>
      </c>
      <c r="D3735" t="s">
        <v>71868</v>
      </c>
      <c r="E3735" t="s">
        <v>71869</v>
      </c>
      <c r="F3735" t="s">
        <v>71870</v>
      </c>
      <c r="G3735" t="s">
        <v>71871</v>
      </c>
      <c r="H3735" t="s">
        <v>71872</v>
      </c>
      <c r="I3735" t="s">
        <v>71873</v>
      </c>
      <c r="J3735" t="s">
        <v>71874</v>
      </c>
      <c r="K3735" t="s">
        <v>71875</v>
      </c>
      <c r="L3735" t="s">
        <v>71876</v>
      </c>
      <c r="M3735" t="s">
        <v>71877</v>
      </c>
      <c r="N3735">
        <f>-677.21942283419 -25.6671828558497 -529.376899894168</f>
        <v>-1232.2635055842077</v>
      </c>
      <c r="O3735">
        <f>-656.888774929777 -177.814804024032 -501.536546879663</f>
        <v>-1336.2401258334721</v>
      </c>
      <c r="P3735">
        <f>-652.777758453291 -203.787419420089 -220.668122535089</f>
        <v>-1077.2333004084689</v>
      </c>
      <c r="Q3735">
        <f>-456.820432588819 -127.013978932301 -318.928439977835</f>
        <v>-902.76285149895511</v>
      </c>
      <c r="R3735" t="s">
        <v>71878</v>
      </c>
      <c r="S3735" t="s">
        <v>71879</v>
      </c>
      <c r="T3735" t="s">
        <v>71880</v>
      </c>
      <c r="U3735" t="s">
        <v>71881</v>
      </c>
      <c r="V3735">
        <f>-608.414427449886 -70.956599596793 -93.3510751199003</f>
        <v>-772.72210216657936</v>
      </c>
      <c r="W3735" t="s">
        <v>71882</v>
      </c>
      <c r="X3735" t="s">
        <v>71883</v>
      </c>
      <c r="Y3735" t="s">
        <v>71884</v>
      </c>
    </row>
    <row r="3736" spans="1:25" x14ac:dyDescent="0.3">
      <c r="A3736">
        <v>186750</v>
      </c>
      <c r="B3736" t="s">
        <v>71885</v>
      </c>
      <c r="C3736" t="s">
        <v>71886</v>
      </c>
      <c r="D3736" t="s">
        <v>71887</v>
      </c>
      <c r="E3736" t="s">
        <v>71888</v>
      </c>
      <c r="F3736" t="s">
        <v>71889</v>
      </c>
      <c r="G3736" t="s">
        <v>71890</v>
      </c>
      <c r="H3736" t="s">
        <v>71891</v>
      </c>
      <c r="I3736" t="s">
        <v>71892</v>
      </c>
      <c r="J3736" t="s">
        <v>71893</v>
      </c>
      <c r="K3736" t="s">
        <v>71894</v>
      </c>
      <c r="L3736" t="s">
        <v>71895</v>
      </c>
      <c r="M3736" t="s">
        <v>71896</v>
      </c>
      <c r="N3736">
        <f>-677.262168219998 -25.6103706361457 -529.369217944195</f>
        <v>-1232.2417568003389</v>
      </c>
      <c r="O3736">
        <f>-657.025846086119 -177.767948772039 -501.498568208213</f>
        <v>-1336.2923630663709</v>
      </c>
      <c r="P3736">
        <f>-652.999082448692 -203.686966705407 -220.623987590073</f>
        <v>-1077.3100367441721</v>
      </c>
      <c r="Q3736">
        <f>-457.039997999351 -126.787877848121 -318.782480220398</f>
        <v>-902.61035606787004</v>
      </c>
      <c r="R3736" t="s">
        <v>71897</v>
      </c>
      <c r="S3736" t="s">
        <v>71898</v>
      </c>
      <c r="T3736" t="s">
        <v>71899</v>
      </c>
      <c r="U3736" t="s">
        <v>71900</v>
      </c>
      <c r="V3736">
        <f>-608.484400650603 -70.9481794884255 -93.3620922920545</f>
        <v>-772.79467243108297</v>
      </c>
      <c r="W3736" t="s">
        <v>71901</v>
      </c>
      <c r="X3736" t="s">
        <v>71902</v>
      </c>
      <c r="Y3736" t="s">
        <v>71903</v>
      </c>
    </row>
    <row r="3737" spans="1:25" x14ac:dyDescent="0.3">
      <c r="A3737">
        <v>186800</v>
      </c>
      <c r="B3737" t="s">
        <v>71904</v>
      </c>
      <c r="C3737" t="s">
        <v>71905</v>
      </c>
      <c r="D3737" t="s">
        <v>71906</v>
      </c>
      <c r="E3737" t="s">
        <v>71907</v>
      </c>
      <c r="F3737" t="s">
        <v>71908</v>
      </c>
      <c r="G3737" t="s">
        <v>71909</v>
      </c>
      <c r="H3737" t="s">
        <v>71910</v>
      </c>
      <c r="I3737" t="s">
        <v>71911</v>
      </c>
      <c r="J3737" t="s">
        <v>71912</v>
      </c>
      <c r="K3737" t="s">
        <v>71913</v>
      </c>
      <c r="L3737" t="s">
        <v>71914</v>
      </c>
      <c r="M3737" t="s">
        <v>71915</v>
      </c>
      <c r="N3737">
        <f>-677.249823128516 -24.801065289452 -529.435590718619</f>
        <v>-1231.4864791365871</v>
      </c>
      <c r="O3737">
        <f>-657.158942060147 -176.979301684503 -501.584035191893</f>
        <v>-1335.722278936543</v>
      </c>
      <c r="P3737">
        <f>-653.323966279086 -202.928962981402 -220.709458009477</f>
        <v>-1076.9623872699651</v>
      </c>
      <c r="Q3737">
        <f>-457.352450833819 -125.321665908217 -318.284053907368</f>
        <v>-900.95817064940388</v>
      </c>
      <c r="R3737" t="s">
        <v>71916</v>
      </c>
      <c r="S3737" t="s">
        <v>71917</v>
      </c>
      <c r="T3737" t="s">
        <v>71918</v>
      </c>
      <c r="U3737" t="s">
        <v>71919</v>
      </c>
      <c r="V3737">
        <f>-608.833886046986 -70.5610214698172 -93.3858450989106</f>
        <v>-772.78075261571382</v>
      </c>
      <c r="W3737" t="s">
        <v>71920</v>
      </c>
      <c r="X3737" t="s">
        <v>71921</v>
      </c>
      <c r="Y3737" t="s">
        <v>71922</v>
      </c>
    </row>
    <row r="3738" spans="1:25" x14ac:dyDescent="0.3">
      <c r="A3738">
        <v>186850</v>
      </c>
      <c r="B3738" t="s">
        <v>71923</v>
      </c>
      <c r="C3738" t="s">
        <v>71924</v>
      </c>
      <c r="D3738" t="s">
        <v>71925</v>
      </c>
      <c r="E3738" t="s">
        <v>71926</v>
      </c>
      <c r="F3738" t="s">
        <v>71927</v>
      </c>
      <c r="G3738" t="s">
        <v>71928</v>
      </c>
      <c r="H3738" t="s">
        <v>71929</v>
      </c>
      <c r="I3738" t="s">
        <v>71930</v>
      </c>
      <c r="J3738" t="s">
        <v>71931</v>
      </c>
      <c r="K3738" t="s">
        <v>71932</v>
      </c>
      <c r="L3738" t="s">
        <v>71933</v>
      </c>
      <c r="M3738" t="s">
        <v>71934</v>
      </c>
      <c r="N3738">
        <f>-677.065496006668 -24.514165685576 -529.483123960327</f>
        <v>-1231.0627856525712</v>
      </c>
      <c r="O3738">
        <f>-656.932317875141 -176.696989948097 -501.71235215113</f>
        <v>-1335.341659974368</v>
      </c>
      <c r="P3738">
        <f>-653.233133532409 -202.829706557499 -220.852875346172</f>
        <v>-1076.9157154360801</v>
      </c>
      <c r="Q3738">
        <f>-457.306437088658 -124.910795384262 -318.26905650456</f>
        <v>-900.48628897748006</v>
      </c>
      <c r="R3738" t="s">
        <v>71935</v>
      </c>
      <c r="S3738" t="s">
        <v>71936</v>
      </c>
      <c r="T3738" t="s">
        <v>71937</v>
      </c>
      <c r="U3738" t="s">
        <v>71938</v>
      </c>
      <c r="V3738">
        <f>-608.954933815602 -70.4228180879411 -93.3938473733105</f>
        <v>-772.77159927685352</v>
      </c>
      <c r="W3738" t="s">
        <v>71939</v>
      </c>
      <c r="X3738" t="s">
        <v>71940</v>
      </c>
      <c r="Y3738" t="s">
        <v>71941</v>
      </c>
    </row>
    <row r="3739" spans="1:25" x14ac:dyDescent="0.3">
      <c r="A3739">
        <v>186900</v>
      </c>
      <c r="B3739" t="s">
        <v>71942</v>
      </c>
      <c r="C3739" t="s">
        <v>71943</v>
      </c>
      <c r="D3739" t="s">
        <v>71944</v>
      </c>
      <c r="E3739" t="s">
        <v>71945</v>
      </c>
      <c r="F3739" t="s">
        <v>71946</v>
      </c>
      <c r="G3739" t="s">
        <v>71947</v>
      </c>
      <c r="H3739" t="s">
        <v>71948</v>
      </c>
      <c r="I3739" t="s">
        <v>71949</v>
      </c>
      <c r="J3739" t="s">
        <v>71950</v>
      </c>
      <c r="K3739" t="s">
        <v>71951</v>
      </c>
      <c r="L3739" t="s">
        <v>71952</v>
      </c>
      <c r="M3739" t="s">
        <v>71953</v>
      </c>
      <c r="N3739">
        <f>-676.558178157069 -23.935659101508 -529.562624176435</f>
        <v>-1230.0564614350119</v>
      </c>
      <c r="O3739">
        <f>-656.301959743572 -176.131066900692 -501.919247478186</f>
        <v>-1334.3522741224499</v>
      </c>
      <c r="P3739">
        <f>-652.871660730628 -202.94962047172 -221.121114070689</f>
        <v>-1076.9423952730369</v>
      </c>
      <c r="Q3739">
        <f>-456.988004452012 -124.633518723737 -318.305035076138</f>
        <v>-899.92655825188695</v>
      </c>
      <c r="R3739" t="s">
        <v>71954</v>
      </c>
      <c r="S3739" t="s">
        <v>71955</v>
      </c>
      <c r="T3739" t="s">
        <v>71956</v>
      </c>
      <c r="U3739" t="s">
        <v>71957</v>
      </c>
      <c r="V3739">
        <f>-609.145630097567 -70.0356610468777 -93.4032942030617</f>
        <v>-772.5845853475065</v>
      </c>
      <c r="W3739" t="s">
        <v>71958</v>
      </c>
      <c r="X3739" t="s">
        <v>71959</v>
      </c>
      <c r="Y3739" t="s">
        <v>71960</v>
      </c>
    </row>
    <row r="3740" spans="1:25" x14ac:dyDescent="0.3">
      <c r="A3740">
        <v>186950</v>
      </c>
      <c r="B3740" t="s">
        <v>71961</v>
      </c>
      <c r="C3740" t="s">
        <v>71962</v>
      </c>
      <c r="D3740" t="s">
        <v>71963</v>
      </c>
      <c r="E3740" t="s">
        <v>71964</v>
      </c>
      <c r="F3740" t="s">
        <v>71965</v>
      </c>
      <c r="G3740" t="s">
        <v>71966</v>
      </c>
      <c r="H3740" t="s">
        <v>71967</v>
      </c>
      <c r="I3740" t="s">
        <v>71968</v>
      </c>
      <c r="J3740" t="s">
        <v>71969</v>
      </c>
      <c r="K3740" t="s">
        <v>71970</v>
      </c>
      <c r="L3740" t="s">
        <v>71971</v>
      </c>
      <c r="M3740" t="s">
        <v>71972</v>
      </c>
      <c r="N3740">
        <f>-676.296599224903 -23.6920907751444 -529.607522635197</f>
        <v>-1229.5962126352445</v>
      </c>
      <c r="O3740">
        <f>-655.965716244368 -175.879038163133 -501.969893787023</f>
        <v>-1333.8146481945241</v>
      </c>
      <c r="P3740">
        <f>-652.650208734194 -202.86518237718 -221.186505899543</f>
        <v>-1076.701897010917</v>
      </c>
      <c r="Q3740">
        <f>-456.859960226179 -124.434565191128 -318.466359514833</f>
        <v>-899.76088493214002</v>
      </c>
      <c r="R3740" t="s">
        <v>71973</v>
      </c>
      <c r="S3740" t="s">
        <v>71974</v>
      </c>
      <c r="T3740" t="s">
        <v>71975</v>
      </c>
      <c r="U3740" t="s">
        <v>71976</v>
      </c>
      <c r="V3740">
        <f>-609.239275939873 -69.879543196661 -93.3996790069123</f>
        <v>-772.51849814344621</v>
      </c>
      <c r="W3740" t="s">
        <v>71977</v>
      </c>
      <c r="X3740" t="s">
        <v>71978</v>
      </c>
      <c r="Y3740" t="s">
        <v>71979</v>
      </c>
    </row>
    <row r="3741" spans="1:25" x14ac:dyDescent="0.3">
      <c r="A3741">
        <v>187000</v>
      </c>
      <c r="B3741" t="s">
        <v>71980</v>
      </c>
      <c r="C3741" t="s">
        <v>71981</v>
      </c>
      <c r="D3741" t="s">
        <v>71982</v>
      </c>
      <c r="E3741" t="s">
        <v>71983</v>
      </c>
      <c r="F3741" t="s">
        <v>71984</v>
      </c>
      <c r="G3741" t="s">
        <v>71985</v>
      </c>
      <c r="H3741" t="s">
        <v>71986</v>
      </c>
      <c r="I3741" t="s">
        <v>71987</v>
      </c>
      <c r="J3741" t="s">
        <v>71988</v>
      </c>
      <c r="K3741" t="s">
        <v>71989</v>
      </c>
      <c r="L3741" t="s">
        <v>71990</v>
      </c>
      <c r="M3741" t="s">
        <v>71991</v>
      </c>
      <c r="N3741">
        <f>-675.722480983873 -23.1076898203687 -529.712470974958</f>
        <v>-1228.5426417791996</v>
      </c>
      <c r="O3741">
        <f>-655.254886205052 -175.272086405816 -502.049746581991</f>
        <v>-1332.5767191928589</v>
      </c>
      <c r="P3741">
        <f>-652.246952093777 -202.340818901279 -221.270700518056</f>
        <v>-1075.8584715131121</v>
      </c>
      <c r="Q3741">
        <f>-456.643429578163 -123.822774278358 -318.855282093161</f>
        <v>-899.32148594968203</v>
      </c>
      <c r="R3741" t="s">
        <v>71992</v>
      </c>
      <c r="S3741" t="s">
        <v>71993</v>
      </c>
      <c r="T3741" t="s">
        <v>71994</v>
      </c>
      <c r="U3741" t="s">
        <v>71995</v>
      </c>
      <c r="V3741">
        <f>-609.405206134024 -69.5532644501882 -93.4006243669578</f>
        <v>-772.35909495116994</v>
      </c>
      <c r="W3741" t="s">
        <v>71996</v>
      </c>
      <c r="X3741" t="s">
        <v>71997</v>
      </c>
      <c r="Y3741" t="s">
        <v>71998</v>
      </c>
    </row>
    <row r="3742" spans="1:25" x14ac:dyDescent="0.3">
      <c r="A3742">
        <v>187050</v>
      </c>
      <c r="B3742" t="s">
        <v>71999</v>
      </c>
      <c r="C3742" t="s">
        <v>72000</v>
      </c>
      <c r="D3742" t="s">
        <v>72001</v>
      </c>
      <c r="E3742" t="s">
        <v>72002</v>
      </c>
      <c r="F3742" t="s">
        <v>72003</v>
      </c>
      <c r="G3742" t="s">
        <v>72004</v>
      </c>
      <c r="H3742" t="s">
        <v>72005</v>
      </c>
      <c r="I3742" t="s">
        <v>72006</v>
      </c>
      <c r="J3742" t="s">
        <v>72007</v>
      </c>
      <c r="K3742" t="s">
        <v>72008</v>
      </c>
      <c r="L3742" t="s">
        <v>72009</v>
      </c>
      <c r="M3742" t="s">
        <v>72010</v>
      </c>
      <c r="N3742">
        <f>-675.445406997675 -22.8771989452857 -529.763945040138</f>
        <v>-1228.0865509830987</v>
      </c>
      <c r="O3742">
        <f>-654.868082457502 -175.030464327644 -502.128174490843</f>
        <v>-1332.0267212759891</v>
      </c>
      <c r="P3742">
        <f>-652.074893889091 -202.259156422828 -221.362644675407</f>
        <v>-1075.6966949873261</v>
      </c>
      <c r="Q3742">
        <f>-456.398518313535 -123.67493110403 -318.747344998249</f>
        <v>-898.82079441581402</v>
      </c>
      <c r="R3742" t="s">
        <v>72011</v>
      </c>
      <c r="S3742" t="s">
        <v>72012</v>
      </c>
      <c r="T3742" t="s">
        <v>72013</v>
      </c>
      <c r="U3742" t="s">
        <v>72014</v>
      </c>
      <c r="V3742">
        <f>-609.498046742155 -69.4610449706161 -93.4040300886691</f>
        <v>-772.36312180144012</v>
      </c>
      <c r="W3742" t="s">
        <v>72015</v>
      </c>
      <c r="X3742" t="s">
        <v>72016</v>
      </c>
      <c r="Y3742" t="s">
        <v>72017</v>
      </c>
    </row>
    <row r="3743" spans="1:25" x14ac:dyDescent="0.3">
      <c r="A3743">
        <v>187100</v>
      </c>
      <c r="B3743" t="s">
        <v>72018</v>
      </c>
      <c r="C3743" t="s">
        <v>72019</v>
      </c>
      <c r="D3743" t="s">
        <v>72020</v>
      </c>
      <c r="E3743" t="s">
        <v>72021</v>
      </c>
      <c r="F3743" t="s">
        <v>72022</v>
      </c>
      <c r="G3743" t="s">
        <v>72023</v>
      </c>
      <c r="H3743" t="s">
        <v>72024</v>
      </c>
      <c r="I3743" t="s">
        <v>72025</v>
      </c>
      <c r="J3743" t="s">
        <v>72026</v>
      </c>
      <c r="K3743" t="s">
        <v>72027</v>
      </c>
      <c r="L3743" t="s">
        <v>72028</v>
      </c>
      <c r="M3743" t="s">
        <v>72029</v>
      </c>
      <c r="N3743">
        <f>-675.159176781159 -22.4211446525317 -529.846537047048</f>
        <v>-1227.4268584807387</v>
      </c>
      <c r="O3743">
        <f>-654.232648391343 -174.558322121287 -502.403578496348</f>
        <v>-1331.1945490089779</v>
      </c>
      <c r="P3743">
        <f>-651.92194669827 -202.35598860685 -221.689160850906</f>
        <v>-1075.9670961560259</v>
      </c>
      <c r="Q3743">
        <f>-455.968741416248 -123.573265900033 -318.354437826864</f>
        <v>-897.896445143145</v>
      </c>
      <c r="R3743" t="s">
        <v>72030</v>
      </c>
      <c r="S3743" t="s">
        <v>72031</v>
      </c>
      <c r="T3743" t="s">
        <v>72032</v>
      </c>
      <c r="U3743" t="s">
        <v>72033</v>
      </c>
      <c r="V3743">
        <f>-609.677942068262 -69.3520178245888 -93.4063925701112</f>
        <v>-772.43635246296196</v>
      </c>
      <c r="W3743" t="s">
        <v>72034</v>
      </c>
      <c r="X3743" t="s">
        <v>72035</v>
      </c>
      <c r="Y3743" t="s">
        <v>72036</v>
      </c>
    </row>
    <row r="3744" spans="1:25" x14ac:dyDescent="0.3">
      <c r="A3744">
        <v>187150</v>
      </c>
      <c r="B3744" t="s">
        <v>72037</v>
      </c>
      <c r="C3744" t="s">
        <v>72038</v>
      </c>
      <c r="D3744" t="s">
        <v>72039</v>
      </c>
      <c r="E3744" t="s">
        <v>72040</v>
      </c>
      <c r="F3744" t="s">
        <v>72041</v>
      </c>
      <c r="G3744" t="s">
        <v>72042</v>
      </c>
      <c r="H3744" t="s">
        <v>72043</v>
      </c>
      <c r="I3744" t="s">
        <v>72044</v>
      </c>
      <c r="J3744" t="s">
        <v>72045</v>
      </c>
      <c r="K3744" t="s">
        <v>72046</v>
      </c>
      <c r="L3744" t="s">
        <v>72047</v>
      </c>
      <c r="M3744" t="s">
        <v>72048</v>
      </c>
      <c r="N3744">
        <f>-675.120864536927 -22.2287938060369 -529.871265197455</f>
        <v>-1227.2209235404189</v>
      </c>
      <c r="O3744">
        <f>-654.054969634619 -174.371805118752 -502.545318526069</f>
        <v>-1330.9720932794401</v>
      </c>
      <c r="P3744">
        <f>-651.832783525323 -202.501428602715 -221.863444979324</f>
        <v>-1076.1976571073619</v>
      </c>
      <c r="Q3744">
        <f>-455.875251405911 -123.412476387163 -318.269138688747</f>
        <v>-897.55686648182109</v>
      </c>
      <c r="R3744" t="s">
        <v>72049</v>
      </c>
      <c r="S3744" t="s">
        <v>72050</v>
      </c>
      <c r="T3744" t="s">
        <v>72051</v>
      </c>
      <c r="U3744" t="s">
        <v>72052</v>
      </c>
      <c r="V3744">
        <f>-609.717968495758 -69.3352411660849 -93.4100463868327</f>
        <v>-772.46325604867559</v>
      </c>
      <c r="W3744" t="s">
        <v>72053</v>
      </c>
      <c r="X3744" t="s">
        <v>72054</v>
      </c>
      <c r="Y3744" t="s">
        <v>72055</v>
      </c>
    </row>
    <row r="3745" spans="1:25" x14ac:dyDescent="0.3">
      <c r="A3745">
        <v>187200</v>
      </c>
      <c r="B3745" t="s">
        <v>72056</v>
      </c>
      <c r="C3745" t="s">
        <v>72057</v>
      </c>
      <c r="D3745" t="s">
        <v>72058</v>
      </c>
      <c r="E3745" t="s">
        <v>72059</v>
      </c>
      <c r="F3745" t="s">
        <v>72060</v>
      </c>
      <c r="G3745" t="s">
        <v>72061</v>
      </c>
      <c r="H3745" t="s">
        <v>72062</v>
      </c>
      <c r="I3745" t="s">
        <v>72063</v>
      </c>
      <c r="J3745" t="s">
        <v>72064</v>
      </c>
      <c r="K3745" t="s">
        <v>72065</v>
      </c>
      <c r="L3745" t="s">
        <v>72066</v>
      </c>
      <c r="M3745" t="s">
        <v>72067</v>
      </c>
      <c r="N3745">
        <f>-675.267340533902 -21.7398980152063 -529.912292712112</f>
        <v>-1226.9195312612205</v>
      </c>
      <c r="O3745">
        <f>-654.122720000395 -173.92184893803 -502.873805857165</f>
        <v>-1330.9183747955901</v>
      </c>
      <c r="P3745">
        <f>-651.867969305344 -202.431845679089 -222.230579831564</f>
        <v>-1076.5303948159969</v>
      </c>
      <c r="Q3745">
        <f>-455.863348211451 -123.256904933307 -318.469941942844</f>
        <v>-897.59019508760196</v>
      </c>
      <c r="R3745" t="s">
        <v>72068</v>
      </c>
      <c r="S3745" t="s">
        <v>72069</v>
      </c>
      <c r="T3745" t="s">
        <v>72070</v>
      </c>
      <c r="U3745" t="s">
        <v>72071</v>
      </c>
      <c r="V3745">
        <f>-609.812623261906 -69.5502545749234 -93.4128528110846</f>
        <v>-772.77573064791397</v>
      </c>
      <c r="W3745" t="s">
        <v>72072</v>
      </c>
      <c r="X3745" t="s">
        <v>72073</v>
      </c>
      <c r="Y3745" t="s">
        <v>72074</v>
      </c>
    </row>
    <row r="3746" spans="1:25" x14ac:dyDescent="0.3">
      <c r="A3746">
        <v>187250</v>
      </c>
      <c r="B3746" t="s">
        <v>72075</v>
      </c>
      <c r="C3746" t="s">
        <v>72076</v>
      </c>
      <c r="D3746" t="s">
        <v>72077</v>
      </c>
      <c r="E3746" t="s">
        <v>72078</v>
      </c>
      <c r="F3746" t="s">
        <v>72079</v>
      </c>
      <c r="G3746" t="s">
        <v>72080</v>
      </c>
      <c r="H3746" t="s">
        <v>72081</v>
      </c>
      <c r="I3746" t="s">
        <v>72082</v>
      </c>
      <c r="J3746" t="s">
        <v>72083</v>
      </c>
      <c r="K3746" t="s">
        <v>72084</v>
      </c>
      <c r="L3746" t="s">
        <v>72085</v>
      </c>
      <c r="M3746" t="s">
        <v>72086</v>
      </c>
      <c r="N3746">
        <f>-675.543837038998 -21.5770276410085 -529.929332959727</f>
        <v>-1227.0501976397336</v>
      </c>
      <c r="O3746">
        <f>-654.405903147213 -173.77954707135 -503.019255819315</f>
        <v>-1331.2047060378782</v>
      </c>
      <c r="P3746">
        <f>-651.977716463722 -202.283304769323 -222.376622052357</f>
        <v>-1076.637643285402</v>
      </c>
      <c r="Q3746">
        <f>-455.910872063274 -123.220793636813 -318.581936107791</f>
        <v>-897.71360180787792</v>
      </c>
      <c r="R3746" t="s">
        <v>72087</v>
      </c>
      <c r="S3746" t="s">
        <v>72088</v>
      </c>
      <c r="T3746" t="s">
        <v>72089</v>
      </c>
      <c r="U3746" t="s">
        <v>72090</v>
      </c>
      <c r="V3746">
        <f>-609.939043262698 -69.7802795463494 -93.4100897451621</f>
        <v>-773.12941255420947</v>
      </c>
      <c r="W3746" t="s">
        <v>72091</v>
      </c>
      <c r="X3746" t="s">
        <v>72092</v>
      </c>
      <c r="Y3746" t="s">
        <v>72093</v>
      </c>
    </row>
    <row r="3747" spans="1:25" x14ac:dyDescent="0.3">
      <c r="A3747">
        <v>187300</v>
      </c>
      <c r="B3747" t="s">
        <v>72094</v>
      </c>
      <c r="C3747" t="s">
        <v>72095</v>
      </c>
      <c r="D3747" t="s">
        <v>72096</v>
      </c>
      <c r="E3747" t="s">
        <v>72097</v>
      </c>
      <c r="F3747" t="s">
        <v>72098</v>
      </c>
      <c r="G3747" t="s">
        <v>72099</v>
      </c>
      <c r="H3747" t="s">
        <v>72100</v>
      </c>
      <c r="I3747" t="s">
        <v>72101</v>
      </c>
      <c r="J3747" t="s">
        <v>72102</v>
      </c>
      <c r="K3747" t="s">
        <v>72103</v>
      </c>
      <c r="L3747" t="s">
        <v>72104</v>
      </c>
      <c r="M3747" t="s">
        <v>72105</v>
      </c>
      <c r="N3747">
        <f>-676.456781386368 -21.1373105475466 -529.955939719346</f>
        <v>-1227.5500316532607</v>
      </c>
      <c r="O3747">
        <f>-655.156367758803 -173.39631958872 -503.464477297438</f>
        <v>-1332.017164644961</v>
      </c>
      <c r="P3747">
        <f>-652.261204754152 -202.434043317299 -222.881084522594</f>
        <v>-1077.576332594045</v>
      </c>
      <c r="Q3747">
        <f>-456.259371869969 -123.144810366377 -319.032236549448</f>
        <v>-898.4364187857941</v>
      </c>
      <c r="R3747" t="s">
        <v>72106</v>
      </c>
      <c r="S3747" t="s">
        <v>72107</v>
      </c>
      <c r="T3747" t="s">
        <v>72108</v>
      </c>
      <c r="U3747" t="s">
        <v>72109</v>
      </c>
      <c r="V3747">
        <f>-610.467952546437 -70.2046154614395 -93.4162542708873</f>
        <v>-774.08882227876381</v>
      </c>
      <c r="W3747" t="s">
        <v>72110</v>
      </c>
      <c r="X3747" t="s">
        <v>72111</v>
      </c>
      <c r="Y3747" t="s">
        <v>72112</v>
      </c>
    </row>
    <row r="3748" spans="1:25" x14ac:dyDescent="0.3">
      <c r="A3748">
        <v>187350</v>
      </c>
      <c r="B3748" t="s">
        <v>72113</v>
      </c>
      <c r="C3748" t="s">
        <v>72114</v>
      </c>
      <c r="D3748" t="s">
        <v>72115</v>
      </c>
      <c r="E3748" t="s">
        <v>72116</v>
      </c>
      <c r="F3748" t="s">
        <v>72117</v>
      </c>
      <c r="G3748" t="s">
        <v>72118</v>
      </c>
      <c r="H3748" t="s">
        <v>72119</v>
      </c>
      <c r="I3748" t="s">
        <v>72120</v>
      </c>
      <c r="J3748" t="s">
        <v>72121</v>
      </c>
      <c r="K3748" t="s">
        <v>72122</v>
      </c>
      <c r="L3748" t="s">
        <v>72123</v>
      </c>
      <c r="M3748" t="s">
        <v>72124</v>
      </c>
      <c r="N3748">
        <f>-677.177114832695 -20.8742996253852 -529.95820531994</f>
        <v>-1228.0096197780204</v>
      </c>
      <c r="O3748">
        <f>-655.740925235559 -173.162721385434 -503.776222114818</f>
        <v>-1332.6798687358109</v>
      </c>
      <c r="P3748">
        <f>-652.526477175882 -202.904634502764 -223.270122685354</f>
        <v>-1078.7012343639999</v>
      </c>
      <c r="Q3748">
        <f>-456.688240700055 -123.132505256594 -319.355137746924</f>
        <v>-899.17588370357305</v>
      </c>
      <c r="R3748" t="s">
        <v>72125</v>
      </c>
      <c r="S3748" t="s">
        <v>72126</v>
      </c>
      <c r="T3748" t="s">
        <v>72127</v>
      </c>
      <c r="U3748" t="s">
        <v>72128</v>
      </c>
      <c r="V3748">
        <f>-610.820350762733 -70.392755869419 -93.426960623738</f>
        <v>-774.64006725589002</v>
      </c>
      <c r="W3748" t="s">
        <v>72129</v>
      </c>
      <c r="X3748" t="s">
        <v>72130</v>
      </c>
      <c r="Y3748" t="s">
        <v>72131</v>
      </c>
    </row>
    <row r="3749" spans="1:25" x14ac:dyDescent="0.3">
      <c r="A3749">
        <v>187400</v>
      </c>
      <c r="B3749" t="s">
        <v>72132</v>
      </c>
      <c r="C3749" t="s">
        <v>72133</v>
      </c>
      <c r="D3749" t="s">
        <v>72134</v>
      </c>
      <c r="E3749" t="s">
        <v>72135</v>
      </c>
      <c r="F3749" t="s">
        <v>72136</v>
      </c>
      <c r="G3749" t="s">
        <v>72137</v>
      </c>
      <c r="H3749" t="s">
        <v>72138</v>
      </c>
      <c r="I3749" t="s">
        <v>72139</v>
      </c>
      <c r="J3749" t="s">
        <v>72140</v>
      </c>
      <c r="K3749" t="s">
        <v>72141</v>
      </c>
      <c r="L3749" t="s">
        <v>72142</v>
      </c>
      <c r="M3749" t="s">
        <v>72143</v>
      </c>
      <c r="N3749">
        <f>-678.804395886925 -20.3541828301711 -529.958148684384</f>
        <v>-1229.1167274014801</v>
      </c>
      <c r="O3749">
        <f>-657.290594441226 -172.734647224691 -504.37751740549</f>
        <v>-1334.402759071407</v>
      </c>
      <c r="P3749">
        <f>-653.233859975873 -203.203154847282 -223.960330268175</f>
        <v>-1080.39734509133</v>
      </c>
      <c r="Q3749">
        <f>-457.364940002914 -123.307243800776 -319.879851825281</f>
        <v>-900.552035628971</v>
      </c>
      <c r="R3749" t="s">
        <v>72144</v>
      </c>
      <c r="S3749" t="s">
        <v>72145</v>
      </c>
      <c r="T3749" t="s">
        <v>72146</v>
      </c>
      <c r="U3749" t="s">
        <v>72147</v>
      </c>
      <c r="V3749">
        <f>-611.566669313305 -70.7972953304238 -93.4597946965562</f>
        <v>-775.82375934028505</v>
      </c>
      <c r="W3749" t="s">
        <v>72148</v>
      </c>
      <c r="X3749" t="s">
        <v>72149</v>
      </c>
      <c r="Y3749" t="s">
        <v>72150</v>
      </c>
    </row>
    <row r="3750" spans="1:25" x14ac:dyDescent="0.3">
      <c r="A3750">
        <v>187450</v>
      </c>
      <c r="B3750" t="s">
        <v>72151</v>
      </c>
      <c r="C3750" t="s">
        <v>72152</v>
      </c>
      <c r="D3750" t="s">
        <v>72153</v>
      </c>
      <c r="E3750" t="s">
        <v>72154</v>
      </c>
      <c r="F3750" t="s">
        <v>72155</v>
      </c>
      <c r="G3750" t="s">
        <v>72156</v>
      </c>
      <c r="H3750" t="s">
        <v>72157</v>
      </c>
      <c r="I3750" t="s">
        <v>72158</v>
      </c>
      <c r="J3750" t="s">
        <v>72159</v>
      </c>
      <c r="K3750" t="s">
        <v>72160</v>
      </c>
      <c r="L3750" t="s">
        <v>72161</v>
      </c>
      <c r="M3750" t="s">
        <v>72162</v>
      </c>
      <c r="N3750">
        <f>-679.569895934303 -20.1400372477999 -529.95446643119</f>
        <v>-1229.664399613293</v>
      </c>
      <c r="O3750">
        <f>-658.020435662333 -172.55862443248 -504.607638693378</f>
        <v>-1335.1866987881911</v>
      </c>
      <c r="P3750">
        <f>-653.624457935931 -203.292682151847 -224.224535465011</f>
        <v>-1081.1416755527889</v>
      </c>
      <c r="Q3750">
        <f>-457.737377285447 -123.396498380227 -320.10657773742</f>
        <v>-901.24045340309397</v>
      </c>
      <c r="R3750" t="s">
        <v>72163</v>
      </c>
      <c r="S3750" t="s">
        <v>72164</v>
      </c>
      <c r="T3750" t="s">
        <v>72165</v>
      </c>
      <c r="U3750" t="s">
        <v>72166</v>
      </c>
      <c r="V3750">
        <f>-611.943954205046 -71.031620159634 -93.4754072192134</f>
        <v>-776.45098158389339</v>
      </c>
      <c r="W3750" t="s">
        <v>72167</v>
      </c>
      <c r="X3750" t="s">
        <v>72168</v>
      </c>
      <c r="Y3750" t="s">
        <v>72169</v>
      </c>
    </row>
    <row r="3751" spans="1:25" x14ac:dyDescent="0.3">
      <c r="A3751">
        <v>187500</v>
      </c>
      <c r="B3751" t="s">
        <v>72170</v>
      </c>
      <c r="C3751" t="s">
        <v>72171</v>
      </c>
      <c r="D3751" t="s">
        <v>72172</v>
      </c>
      <c r="E3751" t="s">
        <v>72173</v>
      </c>
      <c r="F3751" t="s">
        <v>72174</v>
      </c>
      <c r="G3751" t="s">
        <v>72175</v>
      </c>
      <c r="H3751" t="s">
        <v>72176</v>
      </c>
      <c r="I3751" t="s">
        <v>72177</v>
      </c>
      <c r="J3751" t="s">
        <v>72178</v>
      </c>
      <c r="K3751" t="s">
        <v>72179</v>
      </c>
      <c r="L3751" t="s">
        <v>72180</v>
      </c>
      <c r="M3751" t="s">
        <v>72181</v>
      </c>
      <c r="N3751">
        <f>-681.185891285571 -19.5844292479881 -529.936610303837</f>
        <v>-1230.7069308373962</v>
      </c>
      <c r="O3751">
        <f>-659.633829895146 -172.080644086488 -505.072304507336</f>
        <v>-1336.78677848897</v>
      </c>
      <c r="P3751">
        <f>-654.507304454295 -203.674406356007 -224.797106402664</f>
        <v>-1082.9788172129661</v>
      </c>
      <c r="Q3751">
        <f>-458.737596047101 -123.234778743399 -320.464233815208</f>
        <v>-902.43660860570799</v>
      </c>
      <c r="R3751" t="s">
        <v>72182</v>
      </c>
      <c r="S3751" t="s">
        <v>72183</v>
      </c>
      <c r="T3751" t="s">
        <v>72184</v>
      </c>
      <c r="U3751" t="s">
        <v>72185</v>
      </c>
      <c r="V3751">
        <f>-612.775094686677 -71.3719583386051 -93.4985974702481</f>
        <v>-777.64565049553016</v>
      </c>
      <c r="W3751" t="s">
        <v>72186</v>
      </c>
      <c r="X3751" t="s">
        <v>72187</v>
      </c>
      <c r="Y3751" t="s">
        <v>72188</v>
      </c>
    </row>
    <row r="3752" spans="1:25" x14ac:dyDescent="0.3">
      <c r="A3752">
        <v>187550</v>
      </c>
      <c r="B3752" t="s">
        <v>72189</v>
      </c>
      <c r="C3752" t="s">
        <v>72190</v>
      </c>
      <c r="D3752" t="s">
        <v>72191</v>
      </c>
      <c r="E3752" t="s">
        <v>72192</v>
      </c>
      <c r="F3752" t="s">
        <v>72193</v>
      </c>
      <c r="G3752" t="s">
        <v>72194</v>
      </c>
      <c r="H3752" t="s">
        <v>72195</v>
      </c>
      <c r="I3752" t="s">
        <v>72196</v>
      </c>
      <c r="J3752" t="s">
        <v>72197</v>
      </c>
      <c r="K3752" t="s">
        <v>72198</v>
      </c>
      <c r="L3752" t="s">
        <v>72199</v>
      </c>
      <c r="M3752" t="s">
        <v>72200</v>
      </c>
      <c r="N3752">
        <f>-683.037679480998 -18.8530921708725 -529.887069801523</f>
        <v>-1231.7778414533936</v>
      </c>
      <c r="O3752">
        <f>-661.468279513806 -171.415903146497 -505.429096083164</f>
        <v>-1338.313278743467</v>
      </c>
      <c r="P3752">
        <f>-655.587778364776 -203.345259091686 -225.206750625276</f>
        <v>-1084.1397880817381</v>
      </c>
      <c r="Q3752">
        <f>-459.906082115244 -122.052452824105 -320.331430033732</f>
        <v>-902.28996497308094</v>
      </c>
      <c r="R3752" t="s">
        <v>72201</v>
      </c>
      <c r="S3752" t="s">
        <v>72202</v>
      </c>
      <c r="T3752" t="s">
        <v>72203</v>
      </c>
      <c r="U3752" t="s">
        <v>72204</v>
      </c>
      <c r="V3752">
        <f>-613.723025908288 -71.4535740242447 -93.5324532500441</f>
        <v>-778.70905318257689</v>
      </c>
      <c r="W3752" t="s">
        <v>72205</v>
      </c>
      <c r="X3752" t="s">
        <v>72206</v>
      </c>
      <c r="Y3752" t="s">
        <v>72207</v>
      </c>
    </row>
    <row r="3753" spans="1:25" x14ac:dyDescent="0.3">
      <c r="A3753">
        <v>187600</v>
      </c>
      <c r="B3753" t="s">
        <v>72208</v>
      </c>
      <c r="C3753" t="s">
        <v>72209</v>
      </c>
      <c r="D3753" t="s">
        <v>72210</v>
      </c>
      <c r="E3753" t="s">
        <v>72211</v>
      </c>
      <c r="F3753" t="s">
        <v>72212</v>
      </c>
      <c r="G3753" t="s">
        <v>72213</v>
      </c>
      <c r="H3753" t="s">
        <v>72214</v>
      </c>
      <c r="I3753" t="s">
        <v>72215</v>
      </c>
      <c r="J3753" t="s">
        <v>72216</v>
      </c>
      <c r="K3753" t="s">
        <v>72217</v>
      </c>
      <c r="L3753" t="s">
        <v>72218</v>
      </c>
      <c r="M3753" t="s">
        <v>72219</v>
      </c>
      <c r="N3753">
        <f>-683.963499399715 -18.4472052144524 -529.864139230749</f>
        <v>-1232.2748438449164</v>
      </c>
      <c r="O3753">
        <f>-662.43643194632 -171.031827985 -505.524868820482</f>
        <v>-1338.993128751802</v>
      </c>
      <c r="P3753">
        <f>-656.089881424289 -202.822806342416 -225.297139246905</f>
        <v>-1084.20982701361</v>
      </c>
      <c r="Q3753">
        <f>-460.285416330126 -121.502359949543 -320.144911325728</f>
        <v>-901.93268760539706</v>
      </c>
      <c r="R3753" t="s">
        <v>72220</v>
      </c>
      <c r="S3753" t="s">
        <v>72221</v>
      </c>
      <c r="T3753" t="s">
        <v>72222</v>
      </c>
      <c r="U3753" t="s">
        <v>72223</v>
      </c>
      <c r="V3753">
        <f>-614.217126413121 -71.4548452151973 -93.5537052772535</f>
        <v>-779.22567690557185</v>
      </c>
      <c r="W3753" t="s">
        <v>72224</v>
      </c>
      <c r="X3753" t="s">
        <v>72225</v>
      </c>
      <c r="Y3753" t="s">
        <v>72226</v>
      </c>
    </row>
    <row r="3754" spans="1:25" x14ac:dyDescent="0.3">
      <c r="A3754">
        <v>187650</v>
      </c>
      <c r="B3754" t="s">
        <v>72227</v>
      </c>
      <c r="C3754" t="s">
        <v>72228</v>
      </c>
      <c r="D3754" t="s">
        <v>72229</v>
      </c>
      <c r="E3754" t="s">
        <v>72230</v>
      </c>
      <c r="F3754" t="s">
        <v>72231</v>
      </c>
      <c r="G3754" t="s">
        <v>72232</v>
      </c>
      <c r="H3754" t="s">
        <v>72233</v>
      </c>
      <c r="I3754" t="s">
        <v>72234</v>
      </c>
      <c r="J3754" t="s">
        <v>72235</v>
      </c>
      <c r="K3754" t="s">
        <v>72236</v>
      </c>
      <c r="L3754" t="s">
        <v>72237</v>
      </c>
      <c r="M3754" t="s">
        <v>72238</v>
      </c>
      <c r="N3754">
        <f>-685.594223763056 -17.9988073733718 -529.765688344053</f>
        <v>-1233.3587194804809</v>
      </c>
      <c r="O3754">
        <f>-664.056086947921 -170.598817308786 -505.544456089613</f>
        <v>-1340.19936034632</v>
      </c>
      <c r="P3754">
        <f>-657.119685033608 -202.139534777285 -225.302393935936</f>
        <v>-1084.5616137468289</v>
      </c>
      <c r="Q3754">
        <f>-460.817327944893 -121.270080040241 -319.504473048557</f>
        <v>-901.59188103369092</v>
      </c>
      <c r="R3754" t="s">
        <v>72239</v>
      </c>
      <c r="S3754" t="s">
        <v>72240</v>
      </c>
      <c r="T3754" t="s">
        <v>72241</v>
      </c>
      <c r="U3754" t="s">
        <v>72242</v>
      </c>
      <c r="V3754">
        <f>-615.058654732752 -71.1806043167344 -93.5692377205889</f>
        <v>-779.80849677007529</v>
      </c>
      <c r="W3754" t="s">
        <v>72243</v>
      </c>
      <c r="X3754" t="s">
        <v>72244</v>
      </c>
      <c r="Y3754" t="s">
        <v>72245</v>
      </c>
    </row>
    <row r="3755" spans="1:25" x14ac:dyDescent="0.3">
      <c r="A3755">
        <v>187700</v>
      </c>
      <c r="B3755" t="s">
        <v>72246</v>
      </c>
      <c r="C3755" t="s">
        <v>72247</v>
      </c>
      <c r="D3755" t="s">
        <v>72248</v>
      </c>
      <c r="E3755" t="s">
        <v>72249</v>
      </c>
      <c r="F3755" t="s">
        <v>72250</v>
      </c>
      <c r="G3755" t="s">
        <v>72251</v>
      </c>
      <c r="H3755" t="s">
        <v>72252</v>
      </c>
      <c r="I3755" t="s">
        <v>72253</v>
      </c>
      <c r="J3755" t="s">
        <v>72254</v>
      </c>
      <c r="K3755" t="s">
        <v>72255</v>
      </c>
      <c r="L3755" t="s">
        <v>72256</v>
      </c>
      <c r="M3755" t="s">
        <v>72257</v>
      </c>
      <c r="N3755">
        <f>-686.52986592197 -17.7439053417068 -529.685579880757</f>
        <v>-1233.9593511444336</v>
      </c>
      <c r="O3755">
        <f>-664.96472849349 -170.33782329769 -505.440881400352</f>
        <v>-1340.7434331915319</v>
      </c>
      <c r="P3755">
        <f>-657.895017724438 -201.646350353944 -225.176034574296</f>
        <v>-1084.7174026526779</v>
      </c>
      <c r="Q3755">
        <f>-461.208213796487 -121.327846219043 -319.047108533262</f>
        <v>-901.58316854879195</v>
      </c>
      <c r="R3755" t="s">
        <v>72258</v>
      </c>
      <c r="S3755" t="s">
        <v>72259</v>
      </c>
      <c r="T3755" t="s">
        <v>72260</v>
      </c>
      <c r="U3755" t="s">
        <v>72261</v>
      </c>
      <c r="V3755">
        <f>-615.49242699273 -70.8094113859206 -93.5734054984567</f>
        <v>-779.87524387710732</v>
      </c>
      <c r="W3755" t="s">
        <v>72262</v>
      </c>
      <c r="X3755" t="s">
        <v>72263</v>
      </c>
      <c r="Y3755" t="s">
        <v>72264</v>
      </c>
    </row>
    <row r="3756" spans="1:25" x14ac:dyDescent="0.3">
      <c r="A3756">
        <v>187750</v>
      </c>
      <c r="B3756" t="s">
        <v>72265</v>
      </c>
      <c r="C3756" t="s">
        <v>72266</v>
      </c>
      <c r="D3756" t="s">
        <v>72267</v>
      </c>
      <c r="E3756" t="s">
        <v>72268</v>
      </c>
      <c r="F3756" t="s">
        <v>72269</v>
      </c>
      <c r="G3756" t="s">
        <v>72270</v>
      </c>
      <c r="H3756" t="s">
        <v>72271</v>
      </c>
      <c r="I3756" t="s">
        <v>72272</v>
      </c>
      <c r="J3756" t="s">
        <v>72273</v>
      </c>
      <c r="K3756" t="s">
        <v>72274</v>
      </c>
      <c r="L3756" t="s">
        <v>72275</v>
      </c>
      <c r="M3756" t="s">
        <v>72276</v>
      </c>
      <c r="N3756">
        <f>-687.453976635786 -17.5330389490418 -529.5984459274</f>
        <v>-1234.585461512228</v>
      </c>
      <c r="O3756">
        <f>-665.887986287671 -170.113502934677 -505.300101618958</f>
        <v>-1341.3015908413061</v>
      </c>
      <c r="P3756">
        <f>-658.718835058455 -201.184267364652 -225.011422704933</f>
        <v>-1084.9145251280402</v>
      </c>
      <c r="Q3756">
        <f>-461.751972429924 -121.325424984844 -318.687159752438</f>
        <v>-901.76455716720602</v>
      </c>
      <c r="R3756" t="s">
        <v>72277</v>
      </c>
      <c r="S3756" t="s">
        <v>72278</v>
      </c>
      <c r="T3756" t="s">
        <v>72279</v>
      </c>
      <c r="U3756" t="s">
        <v>72280</v>
      </c>
      <c r="V3756">
        <f>-615.932043221144 -70.5136805599723 -93.559704417111</f>
        <v>-780.00542819822726</v>
      </c>
      <c r="W3756" t="s">
        <v>72281</v>
      </c>
      <c r="X3756" t="s">
        <v>72282</v>
      </c>
      <c r="Y3756" t="s">
        <v>72283</v>
      </c>
    </row>
    <row r="3757" spans="1:25" x14ac:dyDescent="0.3">
      <c r="A3757">
        <v>187800</v>
      </c>
      <c r="B3757" t="s">
        <v>72284</v>
      </c>
      <c r="C3757" t="s">
        <v>72285</v>
      </c>
      <c r="D3757" t="s">
        <v>72286</v>
      </c>
      <c r="E3757" t="s">
        <v>72287</v>
      </c>
      <c r="F3757" t="s">
        <v>72288</v>
      </c>
      <c r="G3757" t="s">
        <v>72289</v>
      </c>
      <c r="H3757" t="s">
        <v>72290</v>
      </c>
      <c r="I3757" t="s">
        <v>72291</v>
      </c>
      <c r="J3757" t="s">
        <v>72292</v>
      </c>
      <c r="K3757" t="s">
        <v>72293</v>
      </c>
      <c r="L3757" t="s">
        <v>72294</v>
      </c>
      <c r="M3757" t="s">
        <v>72295</v>
      </c>
      <c r="N3757">
        <f>-689.065060215673 -17.4129013440174 -529.401887180984</f>
        <v>-1235.8798487406743</v>
      </c>
      <c r="O3757">
        <f>-667.617816006295 -169.983988537635 -504.892647613181</f>
        <v>-1342.494452157111</v>
      </c>
      <c r="P3757">
        <f>-660.613296128467 -200.222637287997 -224.508688988747</f>
        <v>-1085.3446224052111</v>
      </c>
      <c r="Q3757">
        <f>-463.232917770204 -121.45745173683 -318.239987268601</f>
        <v>-902.930356775635</v>
      </c>
      <c r="R3757" t="s">
        <v>72296</v>
      </c>
      <c r="S3757" t="s">
        <v>72297</v>
      </c>
      <c r="T3757" t="s">
        <v>72298</v>
      </c>
      <c r="U3757" t="s">
        <v>72299</v>
      </c>
      <c r="V3757">
        <f>-616.597370933832 -70.0864009020306 -93.5494528614257</f>
        <v>-780.23322469728839</v>
      </c>
      <c r="W3757" t="s">
        <v>72300</v>
      </c>
      <c r="X3757" t="s">
        <v>72301</v>
      </c>
      <c r="Y3757" t="s">
        <v>72302</v>
      </c>
    </row>
    <row r="3758" spans="1:25" x14ac:dyDescent="0.3">
      <c r="A3758">
        <v>187850</v>
      </c>
      <c r="B3758" t="s">
        <v>72303</v>
      </c>
      <c r="C3758" t="s">
        <v>72304</v>
      </c>
      <c r="D3758" t="s">
        <v>72305</v>
      </c>
      <c r="E3758" t="s">
        <v>72306</v>
      </c>
      <c r="F3758" t="s">
        <v>72307</v>
      </c>
      <c r="G3758" t="s">
        <v>72308</v>
      </c>
      <c r="H3758" t="s">
        <v>72309</v>
      </c>
      <c r="I3758" t="s">
        <v>72310</v>
      </c>
      <c r="J3758" t="s">
        <v>72311</v>
      </c>
      <c r="K3758" t="s">
        <v>72312</v>
      </c>
      <c r="L3758" t="s">
        <v>72313</v>
      </c>
      <c r="M3758" t="s">
        <v>72314</v>
      </c>
      <c r="N3758">
        <f>-689.87701597578 -17.4118588808731 -529.284837362403</f>
        <v>-1236.573712219056</v>
      </c>
      <c r="O3758">
        <f>-668.51205040962 -169.966134647771 -504.609166063658</f>
        <v>-1343.0873511210489</v>
      </c>
      <c r="P3758">
        <f>-661.553130645471 -199.708088329074 -224.170983466027</f>
        <v>-1085.4322024405719</v>
      </c>
      <c r="Q3758">
        <f>-464.042917040523 -121.460743057828 -318.06242034372</f>
        <v>-903.5660804420711</v>
      </c>
      <c r="R3758" t="s">
        <v>72315</v>
      </c>
      <c r="S3758" t="s">
        <v>72316</v>
      </c>
      <c r="T3758" t="s">
        <v>72317</v>
      </c>
      <c r="U3758" t="s">
        <v>72318</v>
      </c>
      <c r="V3758">
        <f>-617.039572968129 -69.781271704052 -93.5364406758182</f>
        <v>-780.35728534799921</v>
      </c>
      <c r="W3758" t="s">
        <v>72319</v>
      </c>
      <c r="X3758" t="s">
        <v>72320</v>
      </c>
      <c r="Y3758" t="s">
        <v>72321</v>
      </c>
    </row>
    <row r="3759" spans="1:25" x14ac:dyDescent="0.3">
      <c r="A3759">
        <v>187900</v>
      </c>
      <c r="B3759" t="s">
        <v>72322</v>
      </c>
      <c r="C3759" t="s">
        <v>72323</v>
      </c>
      <c r="D3759" t="s">
        <v>72324</v>
      </c>
      <c r="E3759" t="s">
        <v>72325</v>
      </c>
      <c r="F3759" t="s">
        <v>72326</v>
      </c>
      <c r="G3759" t="s">
        <v>72327</v>
      </c>
      <c r="H3759" t="s">
        <v>72328</v>
      </c>
      <c r="I3759" t="s">
        <v>72329</v>
      </c>
      <c r="J3759" t="s">
        <v>72330</v>
      </c>
      <c r="K3759" t="s">
        <v>72331</v>
      </c>
      <c r="L3759" t="s">
        <v>72332</v>
      </c>
      <c r="M3759" t="s">
        <v>72333</v>
      </c>
      <c r="N3759">
        <f>-691.857214231349 -17.2840047108957 -529.116255538965</f>
        <v>-1238.2574744812096</v>
      </c>
      <c r="O3759">
        <f>-670.723034571408 -169.812718721653 -504.088470978334</f>
        <v>-1344.624224271395</v>
      </c>
      <c r="P3759">
        <f>-663.486640357032 -198.604667531041 -223.558306595013</f>
        <v>-1085.649614483086</v>
      </c>
      <c r="Q3759">
        <f>-466.2093569538 -120.647390677244 -318.177873275525</f>
        <v>-905.03462090656899</v>
      </c>
      <c r="R3759" t="s">
        <v>72334</v>
      </c>
      <c r="S3759" t="s">
        <v>72335</v>
      </c>
      <c r="T3759" t="s">
        <v>72336</v>
      </c>
      <c r="U3759" t="s">
        <v>72337</v>
      </c>
      <c r="V3759">
        <f>-618.379311268903 -69.1473759893147 -93.5741340472682</f>
        <v>-781.10082130548597</v>
      </c>
      <c r="W3759" t="s">
        <v>72338</v>
      </c>
      <c r="X3759" t="s">
        <v>72339</v>
      </c>
      <c r="Y3759" t="s">
        <v>72340</v>
      </c>
    </row>
    <row r="3760" spans="1:25" x14ac:dyDescent="0.3">
      <c r="A3760">
        <v>187950</v>
      </c>
      <c r="B3760" t="s">
        <v>72341</v>
      </c>
      <c r="C3760" t="s">
        <v>72342</v>
      </c>
      <c r="D3760" t="s">
        <v>72343</v>
      </c>
      <c r="E3760" t="s">
        <v>72344</v>
      </c>
      <c r="F3760" t="s">
        <v>72345</v>
      </c>
      <c r="G3760" t="s">
        <v>72346</v>
      </c>
      <c r="H3760" t="s">
        <v>72347</v>
      </c>
      <c r="I3760" t="s">
        <v>72348</v>
      </c>
      <c r="J3760" t="s">
        <v>72349</v>
      </c>
      <c r="K3760" t="s">
        <v>72350</v>
      </c>
      <c r="L3760" t="s">
        <v>72351</v>
      </c>
      <c r="M3760" t="s">
        <v>72352</v>
      </c>
      <c r="N3760">
        <f>-694.051338313477 -17.6633922751703 -528.936368408887</f>
        <v>-1240.6510989975343</v>
      </c>
      <c r="O3760">
        <f>-673.258762438844 -170.185813392378 -503.60075604093</f>
        <v>-1347.045331872152</v>
      </c>
      <c r="P3760">
        <f>-665.596522386231 -198.194997542927 -223.002559510138</f>
        <v>-1086.794079439296</v>
      </c>
      <c r="Q3760">
        <f>-469.176845272552 -119.642625658187 -318.905350422378</f>
        <v>-907.72482135311702</v>
      </c>
      <c r="R3760" t="s">
        <v>72353</v>
      </c>
      <c r="S3760" t="s">
        <v>72354</v>
      </c>
      <c r="T3760" t="s">
        <v>72355</v>
      </c>
      <c r="U3760" t="s">
        <v>72356</v>
      </c>
      <c r="V3760">
        <f>-619.828123584748 -68.8865795681786 -93.6359899075699</f>
        <v>-782.3506930604965</v>
      </c>
      <c r="W3760" t="s">
        <v>72357</v>
      </c>
      <c r="X3760" t="s">
        <v>72358</v>
      </c>
      <c r="Y3760" t="s">
        <v>72359</v>
      </c>
    </row>
    <row r="3761" spans="1:25" x14ac:dyDescent="0.3">
      <c r="A3761">
        <v>188000</v>
      </c>
      <c r="B3761" t="s">
        <v>72360</v>
      </c>
      <c r="C3761" t="s">
        <v>72361</v>
      </c>
      <c r="D3761" t="s">
        <v>72362</v>
      </c>
      <c r="E3761" t="s">
        <v>72363</v>
      </c>
      <c r="F3761" t="s">
        <v>72364</v>
      </c>
      <c r="G3761" t="s">
        <v>72365</v>
      </c>
      <c r="H3761" t="s">
        <v>72366</v>
      </c>
      <c r="I3761" t="s">
        <v>72367</v>
      </c>
      <c r="J3761" t="s">
        <v>72368</v>
      </c>
      <c r="K3761" t="s">
        <v>72369</v>
      </c>
      <c r="L3761" t="s">
        <v>72370</v>
      </c>
      <c r="M3761" t="s">
        <v>72371</v>
      </c>
      <c r="N3761">
        <f>-695.180847946986 -17.9332983605864 -528.868685475837</f>
        <v>-1241.9828317834094</v>
      </c>
      <c r="O3761">
        <f>-674.591917023734 -170.459198479506 -503.390617775671</f>
        <v>-1348.441733278911</v>
      </c>
      <c r="P3761">
        <f>-666.783065801154 -198.155289339739 -222.765478623437</f>
        <v>-1087.7038337643301</v>
      </c>
      <c r="Q3761">
        <f>-470.665801732037 -119.443499303205 -319.155328286513</f>
        <v>-909.26462932175491</v>
      </c>
      <c r="R3761" t="s">
        <v>72372</v>
      </c>
      <c r="S3761" t="s">
        <v>72373</v>
      </c>
      <c r="T3761" t="s">
        <v>72374</v>
      </c>
      <c r="U3761" t="s">
        <v>72375</v>
      </c>
      <c r="V3761">
        <f>-620.401551694818 -68.8852494181044 -93.6989463874472</f>
        <v>-782.9857475003696</v>
      </c>
      <c r="W3761" t="s">
        <v>72376</v>
      </c>
      <c r="X3761" t="s">
        <v>72377</v>
      </c>
      <c r="Y3761" t="s">
        <v>72378</v>
      </c>
    </row>
    <row r="3762" spans="1:25" x14ac:dyDescent="0.3">
      <c r="A3762">
        <v>188050</v>
      </c>
      <c r="B3762" t="s">
        <v>72379</v>
      </c>
      <c r="C3762" t="s">
        <v>72380</v>
      </c>
      <c r="D3762" t="s">
        <v>72381</v>
      </c>
      <c r="E3762" t="s">
        <v>72382</v>
      </c>
      <c r="F3762" t="s">
        <v>72383</v>
      </c>
      <c r="G3762" t="s">
        <v>72384</v>
      </c>
      <c r="H3762" t="s">
        <v>72385</v>
      </c>
      <c r="I3762" t="s">
        <v>72386</v>
      </c>
      <c r="J3762" t="s">
        <v>72387</v>
      </c>
      <c r="K3762" t="s">
        <v>72388</v>
      </c>
      <c r="L3762" t="s">
        <v>72389</v>
      </c>
      <c r="M3762" t="s">
        <v>72390</v>
      </c>
      <c r="N3762">
        <f>-697.597888966457 -18.6613086739262 -528.715017468843</f>
        <v>-1244.9742151092264</v>
      </c>
      <c r="O3762">
        <f>-677.287467999377 -171.19533984465 -503.079791147331</f>
        <v>-1351.5625989913578</v>
      </c>
      <c r="P3762">
        <f>-669.737530198487 -198.568037804134 -222.415623493253</f>
        <v>-1090.7211914958739</v>
      </c>
      <c r="Q3762">
        <f>-473.666284506535 -120.014809121002 -319.028350913947</f>
        <v>-912.70944454148412</v>
      </c>
      <c r="R3762" t="s">
        <v>72391</v>
      </c>
      <c r="S3762" t="s">
        <v>72392</v>
      </c>
      <c r="T3762" t="s">
        <v>72393</v>
      </c>
      <c r="U3762" t="s">
        <v>72394</v>
      </c>
      <c r="V3762">
        <f>-621.47744305655 -69.0614647050975 -93.8477750628919</f>
        <v>-784.38668282453932</v>
      </c>
      <c r="W3762" t="s">
        <v>72395</v>
      </c>
      <c r="X3762" t="s">
        <v>72396</v>
      </c>
      <c r="Y3762" t="s">
        <v>72397</v>
      </c>
    </row>
    <row r="3763" spans="1:25" x14ac:dyDescent="0.3">
      <c r="A3763">
        <v>188100</v>
      </c>
      <c r="B3763" t="s">
        <v>72398</v>
      </c>
      <c r="C3763" t="s">
        <v>72399</v>
      </c>
      <c r="D3763" t="s">
        <v>72400</v>
      </c>
      <c r="E3763" t="s">
        <v>72401</v>
      </c>
      <c r="F3763" t="s">
        <v>72402</v>
      </c>
      <c r="G3763" t="s">
        <v>72403</v>
      </c>
      <c r="H3763" t="s">
        <v>72404</v>
      </c>
      <c r="I3763" t="s">
        <v>72405</v>
      </c>
      <c r="J3763" t="s">
        <v>72406</v>
      </c>
      <c r="K3763" t="s">
        <v>72407</v>
      </c>
      <c r="L3763" t="s">
        <v>72408</v>
      </c>
      <c r="M3763" t="s">
        <v>72409</v>
      </c>
      <c r="N3763">
        <f>-698.68844755935 -19.0999062787421 -528.634314232309</f>
        <v>-1246.422668070401</v>
      </c>
      <c r="O3763">
        <f>-678.559483767815 -171.650471872113 -502.930397858193</f>
        <v>-1353.1403534981209</v>
      </c>
      <c r="P3763">
        <f>-671.096701381878 -198.742891865684 -222.236793705984</f>
        <v>-1092.076386953546</v>
      </c>
      <c r="Q3763">
        <f>-474.673573795879 -120.743034807808 -318.582563709512</f>
        <v>-913.99917231319898</v>
      </c>
      <c r="R3763" t="s">
        <v>72410</v>
      </c>
      <c r="S3763" t="s">
        <v>72411</v>
      </c>
      <c r="T3763" t="s">
        <v>72412</v>
      </c>
      <c r="U3763" t="s">
        <v>72413</v>
      </c>
      <c r="V3763">
        <f>-621.945746968663 -69.1815453952438 -93.9064925994172</f>
        <v>-785.03378496332402</v>
      </c>
      <c r="W3763" t="s">
        <v>72414</v>
      </c>
      <c r="X3763" t="s">
        <v>72415</v>
      </c>
      <c r="Y3763" t="s">
        <v>72416</v>
      </c>
    </row>
    <row r="3764" spans="1:25" x14ac:dyDescent="0.3">
      <c r="A3764">
        <v>188150</v>
      </c>
      <c r="B3764" t="s">
        <v>72417</v>
      </c>
      <c r="C3764" t="s">
        <v>72418</v>
      </c>
      <c r="D3764" t="s">
        <v>72419</v>
      </c>
      <c r="E3764" t="s">
        <v>72420</v>
      </c>
      <c r="F3764" t="s">
        <v>72421</v>
      </c>
      <c r="G3764" t="s">
        <v>72422</v>
      </c>
      <c r="H3764" t="s">
        <v>72423</v>
      </c>
      <c r="I3764" t="s">
        <v>72424</v>
      </c>
      <c r="J3764" t="s">
        <v>72425</v>
      </c>
      <c r="K3764" t="s">
        <v>72426</v>
      </c>
      <c r="L3764" t="s">
        <v>72427</v>
      </c>
      <c r="M3764" t="s">
        <v>72428</v>
      </c>
      <c r="N3764">
        <f>-699.693649764475 -19.5462377047988 -528.538810672931</f>
        <v>-1247.778698142205</v>
      </c>
      <c r="O3764">
        <f>-679.773312090464 -172.106288700475 -502.720708674024</f>
        <v>-1354.6003094649629</v>
      </c>
      <c r="P3764">
        <f>-672.244053688396 -198.717088025392 -221.982782187189</f>
        <v>-1092.9439239009771</v>
      </c>
      <c r="Q3764">
        <f>-475.550857368598 -121.429852696152 -318.351748589015</f>
        <v>-915.33245865376489</v>
      </c>
      <c r="R3764" t="s">
        <v>72429</v>
      </c>
      <c r="S3764" t="s">
        <v>72430</v>
      </c>
      <c r="T3764" t="s">
        <v>72431</v>
      </c>
      <c r="U3764" t="s">
        <v>72432</v>
      </c>
      <c r="V3764">
        <f>-622.405582483884 -69.2522995858687 -93.9469779541768</f>
        <v>-785.60486002392952</v>
      </c>
      <c r="W3764" t="s">
        <v>72433</v>
      </c>
      <c r="X3764" t="s">
        <v>72434</v>
      </c>
      <c r="Y3764" t="s">
        <v>72435</v>
      </c>
    </row>
    <row r="3765" spans="1:25" x14ac:dyDescent="0.3">
      <c r="A3765">
        <v>188200</v>
      </c>
      <c r="B3765" t="s">
        <v>72436</v>
      </c>
      <c r="C3765" t="s">
        <v>72437</v>
      </c>
      <c r="D3765" t="s">
        <v>72438</v>
      </c>
      <c r="E3765" t="s">
        <v>72439</v>
      </c>
      <c r="F3765" t="s">
        <v>72440</v>
      </c>
      <c r="G3765" t="s">
        <v>72441</v>
      </c>
      <c r="H3765" t="s">
        <v>72442</v>
      </c>
      <c r="I3765" t="s">
        <v>72443</v>
      </c>
      <c r="J3765" t="s">
        <v>72444</v>
      </c>
      <c r="K3765" t="s">
        <v>72445</v>
      </c>
      <c r="L3765" t="s">
        <v>72446</v>
      </c>
      <c r="M3765" t="s">
        <v>72447</v>
      </c>
      <c r="N3765">
        <f>-701.509875081561 -20.3182498970323 -528.372195740551</f>
        <v>-1250.2003207191442</v>
      </c>
      <c r="O3765">
        <f>-682.057353770862 -172.904773201498 -502.358960701653</f>
        <v>-1357.3210876740131</v>
      </c>
      <c r="P3765">
        <f>-674.233546020051 -199.056359311784 -221.585967029541</f>
        <v>-1094.875872361376</v>
      </c>
      <c r="Q3765">
        <f>-477.294493335741 -122.947593756078 -318.390002214041</f>
        <v>-918.63208930586006</v>
      </c>
      <c r="R3765" t="s">
        <v>72448</v>
      </c>
      <c r="S3765" t="s">
        <v>72449</v>
      </c>
      <c r="T3765" t="s">
        <v>72450</v>
      </c>
      <c r="U3765" t="s">
        <v>72451</v>
      </c>
      <c r="V3765">
        <f>-623.279860453644 -69.4934957244257 -94.0266735776529</f>
        <v>-786.80002975572256</v>
      </c>
      <c r="W3765" t="s">
        <v>72452</v>
      </c>
      <c r="X3765" t="s">
        <v>72453</v>
      </c>
      <c r="Y3765" t="s">
        <v>72454</v>
      </c>
    </row>
    <row r="3766" spans="1:25" x14ac:dyDescent="0.3">
      <c r="A3766">
        <v>188250</v>
      </c>
      <c r="B3766" t="s">
        <v>72455</v>
      </c>
      <c r="C3766" t="s">
        <v>72456</v>
      </c>
      <c r="D3766" t="s">
        <v>72457</v>
      </c>
      <c r="E3766" t="s">
        <v>72458</v>
      </c>
      <c r="F3766" t="s">
        <v>72459</v>
      </c>
      <c r="G3766" t="s">
        <v>72460</v>
      </c>
      <c r="H3766" t="s">
        <v>72461</v>
      </c>
      <c r="I3766" t="s">
        <v>72462</v>
      </c>
      <c r="J3766" t="s">
        <v>72463</v>
      </c>
      <c r="K3766" t="s">
        <v>72464</v>
      </c>
      <c r="L3766" t="s">
        <v>72465</v>
      </c>
      <c r="M3766" t="s">
        <v>72466</v>
      </c>
      <c r="N3766">
        <f>-702.825475356645 -21.1217103994311 -528.220351266379</f>
        <v>-1252.1675370224552</v>
      </c>
      <c r="O3766">
        <f>-683.813478027332 -173.734904620503 -502.020507234334</f>
        <v>-1359.5688898821691</v>
      </c>
      <c r="P3766">
        <f>-675.882857850238 -199.897640545281 -221.251462386118</f>
        <v>-1097.0319607816371</v>
      </c>
      <c r="Q3766">
        <f>-478.939115311616 -124.423216237048 -318.541362890935</f>
        <v>-921.90369443959889</v>
      </c>
      <c r="R3766" t="s">
        <v>72467</v>
      </c>
      <c r="S3766" t="s">
        <v>72468</v>
      </c>
      <c r="T3766" t="s">
        <v>72469</v>
      </c>
      <c r="U3766" t="s">
        <v>72470</v>
      </c>
      <c r="V3766">
        <f>-623.995359102516 -69.8541816425545 -94.0603111431415</f>
        <v>-787.90985188821196</v>
      </c>
      <c r="W3766" t="s">
        <v>72471</v>
      </c>
      <c r="X3766" t="s">
        <v>72472</v>
      </c>
      <c r="Y3766" t="s">
        <v>72473</v>
      </c>
    </row>
    <row r="3767" spans="1:25" x14ac:dyDescent="0.3">
      <c r="A3767">
        <v>188300</v>
      </c>
      <c r="B3767" t="s">
        <v>72474</v>
      </c>
      <c r="C3767" t="s">
        <v>72475</v>
      </c>
      <c r="D3767" t="s">
        <v>72476</v>
      </c>
      <c r="E3767" t="s">
        <v>72477</v>
      </c>
      <c r="F3767" t="s">
        <v>72478</v>
      </c>
      <c r="G3767" t="s">
        <v>72479</v>
      </c>
      <c r="H3767" t="s">
        <v>72480</v>
      </c>
      <c r="I3767" t="s">
        <v>72481</v>
      </c>
      <c r="J3767" t="s">
        <v>72482</v>
      </c>
      <c r="K3767" t="s">
        <v>72483</v>
      </c>
      <c r="L3767" t="s">
        <v>72484</v>
      </c>
      <c r="M3767" t="s">
        <v>72485</v>
      </c>
      <c r="N3767">
        <f>-703.43515647562 -21.5413913608477 -528.140662783086</f>
        <v>-1253.1172106195536</v>
      </c>
      <c r="O3767">
        <f>-684.729468628932 -174.169679095952 -501.805977558821</f>
        <v>-1360.705125283705</v>
      </c>
      <c r="P3767">
        <f>-676.519422197234 -200.030101872563 -221.017055795746</f>
        <v>-1097.566579865543</v>
      </c>
      <c r="Q3767">
        <f>-479.637030233358 -124.845212197519 -318.654635545813</f>
        <v>-923.13687797669002</v>
      </c>
      <c r="R3767" t="s">
        <v>72486</v>
      </c>
      <c r="S3767" t="s">
        <v>72487</v>
      </c>
      <c r="T3767" t="s">
        <v>72488</v>
      </c>
      <c r="U3767" t="s">
        <v>72489</v>
      </c>
      <c r="V3767">
        <f>-624.299044402232 -70.1656639087548 -94.0626220920108</f>
        <v>-788.52733040299756</v>
      </c>
      <c r="W3767" t="s">
        <v>72490</v>
      </c>
      <c r="X3767" t="s">
        <v>72491</v>
      </c>
      <c r="Y3767" t="s">
        <v>72492</v>
      </c>
    </row>
    <row r="3768" spans="1:25" x14ac:dyDescent="0.3">
      <c r="A3768">
        <v>188350</v>
      </c>
      <c r="B3768" t="s">
        <v>72493</v>
      </c>
      <c r="C3768" t="s">
        <v>72494</v>
      </c>
      <c r="D3768" t="s">
        <v>72495</v>
      </c>
      <c r="E3768" t="s">
        <v>72496</v>
      </c>
      <c r="F3768" t="s">
        <v>72497</v>
      </c>
      <c r="G3768" t="s">
        <v>72498</v>
      </c>
      <c r="H3768" t="s">
        <v>72499</v>
      </c>
      <c r="I3768" t="s">
        <v>72500</v>
      </c>
      <c r="J3768" t="s">
        <v>72501</v>
      </c>
      <c r="K3768" t="s">
        <v>72502</v>
      </c>
      <c r="L3768" t="s">
        <v>72503</v>
      </c>
      <c r="M3768" t="s">
        <v>72504</v>
      </c>
      <c r="N3768">
        <f>-704.055463045884 -22.0219440663707 -528.030282253177</f>
        <v>-1254.1076893654317</v>
      </c>
      <c r="O3768">
        <f>-685.605436478891 -174.647347852756 -501.511159668516</f>
        <v>-1361.7639440001631</v>
      </c>
      <c r="P3768">
        <f>-677.156847104954 -200.237531613734 -220.704547947765</f>
        <v>-1098.0989266664528</v>
      </c>
      <c r="Q3768">
        <f>-480.462988366337 -125.150962048538 -318.796572804943</f>
        <v>-924.41052321981806</v>
      </c>
      <c r="R3768" t="s">
        <v>72505</v>
      </c>
      <c r="S3768" t="s">
        <v>72506</v>
      </c>
      <c r="T3768" t="s">
        <v>72507</v>
      </c>
      <c r="U3768" t="s">
        <v>72508</v>
      </c>
      <c r="V3768">
        <f>-624.53754096974 -70.3792124236143 -94.060926813258</f>
        <v>-788.97768020661226</v>
      </c>
      <c r="W3768" t="s">
        <v>72509</v>
      </c>
      <c r="X3768" t="s">
        <v>72510</v>
      </c>
      <c r="Y3768" t="s">
        <v>72511</v>
      </c>
    </row>
    <row r="3769" spans="1:25" x14ac:dyDescent="0.3">
      <c r="A3769">
        <v>188400</v>
      </c>
      <c r="B3769" t="s">
        <v>72512</v>
      </c>
      <c r="C3769" t="s">
        <v>72513</v>
      </c>
      <c r="D3769" t="s">
        <v>72514</v>
      </c>
      <c r="E3769" t="s">
        <v>72515</v>
      </c>
      <c r="F3769" t="s">
        <v>72516</v>
      </c>
      <c r="G3769" t="s">
        <v>72517</v>
      </c>
      <c r="H3769" t="s">
        <v>72518</v>
      </c>
      <c r="I3769" t="s">
        <v>72519</v>
      </c>
      <c r="J3769" t="s">
        <v>72520</v>
      </c>
      <c r="K3769" t="s">
        <v>72521</v>
      </c>
      <c r="L3769" t="s">
        <v>72522</v>
      </c>
      <c r="M3769" t="s">
        <v>72523</v>
      </c>
      <c r="N3769">
        <f>-705.018800180531 -22.739933070193 -527.858744730352</f>
        <v>-1255.617477981076</v>
      </c>
      <c r="O3769">
        <f>-686.980155123068 -175.360698883815 -500.960894282526</f>
        <v>-1363.301748289409</v>
      </c>
      <c r="P3769">
        <f>-678.391624936491 -200.252692486825 -220.095699418226</f>
        <v>-1098.740016841542</v>
      </c>
      <c r="Q3769">
        <f>-481.966730350345 -125.531470686484 -319.002560379635</f>
        <v>-926.500761416464</v>
      </c>
      <c r="R3769" t="s">
        <v>72524</v>
      </c>
      <c r="S3769" t="s">
        <v>72525</v>
      </c>
      <c r="T3769" t="s">
        <v>72526</v>
      </c>
      <c r="U3769" t="s">
        <v>72527</v>
      </c>
      <c r="V3769">
        <f>-624.974057957913 -70.7012431037476 -94.0397672476147</f>
        <v>-789.71506830927535</v>
      </c>
      <c r="W3769" t="s">
        <v>72528</v>
      </c>
      <c r="X3769" t="s">
        <v>72529</v>
      </c>
      <c r="Y3769" t="s">
        <v>72530</v>
      </c>
    </row>
    <row r="3770" spans="1:25" x14ac:dyDescent="0.3">
      <c r="A3770">
        <v>188450</v>
      </c>
      <c r="B3770" t="s">
        <v>72531</v>
      </c>
      <c r="C3770" t="s">
        <v>72532</v>
      </c>
      <c r="D3770" t="s">
        <v>72533</v>
      </c>
      <c r="E3770" t="s">
        <v>72534</v>
      </c>
      <c r="F3770" t="s">
        <v>72535</v>
      </c>
      <c r="G3770" t="s">
        <v>72536</v>
      </c>
      <c r="H3770" t="s">
        <v>72537</v>
      </c>
      <c r="I3770" t="s">
        <v>72538</v>
      </c>
      <c r="J3770" t="s">
        <v>72539</v>
      </c>
      <c r="K3770" t="s">
        <v>72540</v>
      </c>
      <c r="L3770" t="s">
        <v>72541</v>
      </c>
      <c r="M3770" t="s">
        <v>72542</v>
      </c>
      <c r="N3770">
        <f>-705.582409373328 -23.4124554134005 -527.737839350913</f>
        <v>-1256.7327041376416</v>
      </c>
      <c r="O3770">
        <f>-687.89020036121 -175.99464801601 -500.509077133526</f>
        <v>-1364.3939255107459</v>
      </c>
      <c r="P3770">
        <f>-679.455744697316 -200.407742587192 -219.597285063316</f>
        <v>-1099.4607723478239</v>
      </c>
      <c r="Q3770">
        <f>-483.265258161417 -126.136195576699 -319.304813249818</f>
        <v>-928.70626698793399</v>
      </c>
      <c r="R3770" t="s">
        <v>72543</v>
      </c>
      <c r="S3770" t="s">
        <v>72544</v>
      </c>
      <c r="T3770" t="s">
        <v>72545</v>
      </c>
      <c r="U3770" t="s">
        <v>72546</v>
      </c>
      <c r="V3770">
        <f>-625.453593181757 -71.0185661529008 -94.0248557643191</f>
        <v>-790.49701509897693</v>
      </c>
      <c r="W3770" t="s">
        <v>72547</v>
      </c>
      <c r="X3770" t="s">
        <v>72548</v>
      </c>
      <c r="Y3770" t="s">
        <v>72549</v>
      </c>
    </row>
    <row r="3771" spans="1:25" x14ac:dyDescent="0.3">
      <c r="A3771">
        <v>188500</v>
      </c>
      <c r="B3771" t="s">
        <v>72531</v>
      </c>
      <c r="C3771" t="s">
        <v>72532</v>
      </c>
      <c r="D3771" t="s">
        <v>72533</v>
      </c>
      <c r="E3771" t="s">
        <v>72534</v>
      </c>
      <c r="F3771" t="s">
        <v>72535</v>
      </c>
      <c r="G3771" t="s">
        <v>72536</v>
      </c>
      <c r="H3771" t="s">
        <v>72537</v>
      </c>
      <c r="I3771" t="s">
        <v>72538</v>
      </c>
      <c r="J3771" t="s">
        <v>72539</v>
      </c>
      <c r="K3771" t="s">
        <v>72540</v>
      </c>
      <c r="L3771" t="s">
        <v>72541</v>
      </c>
      <c r="M3771" t="s">
        <v>72542</v>
      </c>
      <c r="N3771">
        <f>-705.582409373328 -23.4124554134005 -527.737839350913</f>
        <v>-1256.7327041376416</v>
      </c>
      <c r="O3771">
        <f>-687.89020036121 -175.99464801601 -500.509077133526</f>
        <v>-1364.3939255107459</v>
      </c>
      <c r="P3771">
        <f>-679.455744697316 -200.407742587192 -219.597285063316</f>
        <v>-1099.4607723478239</v>
      </c>
      <c r="Q3771">
        <f>-483.265258161417 -126.136195576699 -319.304813249818</f>
        <v>-928.70626698793399</v>
      </c>
      <c r="R3771" t="s">
        <v>72543</v>
      </c>
      <c r="S3771" t="s">
        <v>72544</v>
      </c>
      <c r="T3771" t="s">
        <v>72545</v>
      </c>
      <c r="U3771" t="s">
        <v>72546</v>
      </c>
      <c r="V3771">
        <f>-625.453593181757 -71.0185661529008 -94.0248557643191</f>
        <v>-790.49701509897693</v>
      </c>
      <c r="W3771" t="s">
        <v>72547</v>
      </c>
      <c r="X3771" t="s">
        <v>72548</v>
      </c>
      <c r="Y3771" t="s">
        <v>72549</v>
      </c>
    </row>
    <row r="3772" spans="1:25" x14ac:dyDescent="0.3">
      <c r="A3772">
        <v>188550</v>
      </c>
      <c r="B3772" t="s">
        <v>72550</v>
      </c>
      <c r="C3772" t="s">
        <v>72551</v>
      </c>
      <c r="D3772" t="s">
        <v>72552</v>
      </c>
      <c r="E3772" t="s">
        <v>72553</v>
      </c>
      <c r="F3772" t="s">
        <v>72554</v>
      </c>
      <c r="G3772" t="s">
        <v>72555</v>
      </c>
      <c r="H3772" t="s">
        <v>72556</v>
      </c>
      <c r="I3772" t="s">
        <v>72557</v>
      </c>
      <c r="J3772" t="s">
        <v>72558</v>
      </c>
      <c r="K3772" t="s">
        <v>72559</v>
      </c>
      <c r="L3772" t="s">
        <v>72560</v>
      </c>
      <c r="M3772" t="s">
        <v>72561</v>
      </c>
      <c r="N3772">
        <f>-706.128943675634 -24.2060978898812 -527.538332757723</f>
        <v>-1257.8733743232383</v>
      </c>
      <c r="O3772">
        <f>-689.123778940178 -176.778948157071 -499.794256775661</f>
        <v>-1365.6969838729101</v>
      </c>
      <c r="P3772">
        <f>-680.410311564045 -200.601677668358 -218.840403990872</f>
        <v>-1099.8523932232749</v>
      </c>
      <c r="Q3772">
        <f>-484.393877162395 -127.169874617795 -319.507352315206</f>
        <v>-931.07110409539587</v>
      </c>
      <c r="R3772" t="s">
        <v>72562</v>
      </c>
      <c r="S3772" t="s">
        <v>72563</v>
      </c>
      <c r="T3772" t="s">
        <v>72564</v>
      </c>
      <c r="U3772" t="s">
        <v>72565</v>
      </c>
      <c r="V3772">
        <f>-625.505385472212 -71.2418252356792 -94.0036060241074</f>
        <v>-790.75081673199861</v>
      </c>
      <c r="W3772" t="s">
        <v>72566</v>
      </c>
      <c r="X3772" t="s">
        <v>72567</v>
      </c>
      <c r="Y3772" t="s">
        <v>72568</v>
      </c>
    </row>
    <row r="3773" spans="1:25" x14ac:dyDescent="0.3">
      <c r="A3773">
        <v>188600</v>
      </c>
      <c r="B3773" t="s">
        <v>72569</v>
      </c>
      <c r="C3773" t="s">
        <v>72570</v>
      </c>
      <c r="D3773" t="s">
        <v>72571</v>
      </c>
      <c r="E3773" t="s">
        <v>72572</v>
      </c>
      <c r="F3773" t="s">
        <v>72573</v>
      </c>
      <c r="G3773" t="s">
        <v>72574</v>
      </c>
      <c r="H3773" t="s">
        <v>72575</v>
      </c>
      <c r="I3773" t="s">
        <v>72576</v>
      </c>
      <c r="J3773" t="s">
        <v>72577</v>
      </c>
      <c r="K3773" t="s">
        <v>72578</v>
      </c>
      <c r="L3773" t="s">
        <v>72579</v>
      </c>
      <c r="M3773" t="s">
        <v>72580</v>
      </c>
      <c r="N3773">
        <f>-706.704732409558 -24.9223246640593 -527.235595482815</f>
        <v>-1258.8626525564323</v>
      </c>
      <c r="O3773">
        <f>-690.719046090673 -177.491932892796 -498.859364945183</f>
        <v>-1367.0703439286519</v>
      </c>
      <c r="P3773">
        <f>-681.476407486784 -200.064212655402 -217.819030044915</f>
        <v>-1099.3596501871009</v>
      </c>
      <c r="Q3773">
        <f>-485.495573295196 -128.319841902533 -319.764196612947</f>
        <v>-933.57961181067594</v>
      </c>
      <c r="R3773" t="s">
        <v>72581</v>
      </c>
      <c r="S3773" t="s">
        <v>72582</v>
      </c>
      <c r="T3773" t="s">
        <v>72583</v>
      </c>
      <c r="U3773" t="s">
        <v>72584</v>
      </c>
      <c r="V3773">
        <f>-625.435758486694 -71.123701924425 -93.919547096259</f>
        <v>-790.47900750737801</v>
      </c>
      <c r="W3773" t="s">
        <v>72585</v>
      </c>
      <c r="X3773" t="s">
        <v>72586</v>
      </c>
      <c r="Y3773" t="s">
        <v>72587</v>
      </c>
    </row>
    <row r="3774" spans="1:25" x14ac:dyDescent="0.3">
      <c r="A3774">
        <v>188650</v>
      </c>
      <c r="B3774" t="s">
        <v>72588</v>
      </c>
      <c r="C3774" t="s">
        <v>72589</v>
      </c>
      <c r="D3774" t="s">
        <v>72590</v>
      </c>
      <c r="E3774" t="s">
        <v>72591</v>
      </c>
      <c r="F3774" t="s">
        <v>72592</v>
      </c>
      <c r="G3774" t="s">
        <v>72593</v>
      </c>
      <c r="H3774" t="s">
        <v>72594</v>
      </c>
      <c r="I3774" t="s">
        <v>72595</v>
      </c>
      <c r="J3774" t="s">
        <v>72596</v>
      </c>
      <c r="K3774" t="s">
        <v>72597</v>
      </c>
      <c r="L3774" t="s">
        <v>72598</v>
      </c>
      <c r="M3774" t="s">
        <v>72599</v>
      </c>
      <c r="N3774">
        <f>-707.016781309447 -25.4252463684952 -527.031463996826</f>
        <v>-1259.4734916747682</v>
      </c>
      <c r="O3774">
        <f>-691.558255723722 -177.988298877433 -498.357911429619</f>
        <v>-1367.9044660307741</v>
      </c>
      <c r="P3774">
        <f>-682.213634397934 -200.042289365847 -217.279788570247</f>
        <v>-1099.5357123340282</v>
      </c>
      <c r="Q3774">
        <f>-486.236060545402 -129.148303958218 -319.824395176234</f>
        <v>-935.20875967985398</v>
      </c>
      <c r="R3774" t="s">
        <v>72600</v>
      </c>
      <c r="S3774" t="s">
        <v>72601</v>
      </c>
      <c r="T3774" t="s">
        <v>72602</v>
      </c>
      <c r="U3774" t="s">
        <v>72603</v>
      </c>
      <c r="V3774">
        <f>-625.322204547839 -71.2600954076686 -93.8497478483948</f>
        <v>-790.43204780390238</v>
      </c>
      <c r="W3774" t="s">
        <v>72604</v>
      </c>
      <c r="X3774" t="s">
        <v>72605</v>
      </c>
      <c r="Y3774" t="s">
        <v>72606</v>
      </c>
    </row>
    <row r="3775" spans="1:25" x14ac:dyDescent="0.3">
      <c r="A3775">
        <v>188700</v>
      </c>
      <c r="B3775" t="s">
        <v>72607</v>
      </c>
      <c r="C3775" t="s">
        <v>72608</v>
      </c>
      <c r="D3775" t="s">
        <v>72609</v>
      </c>
      <c r="E3775" t="s">
        <v>72610</v>
      </c>
      <c r="F3775" t="s">
        <v>72611</v>
      </c>
      <c r="G3775" t="s">
        <v>72612</v>
      </c>
      <c r="H3775" t="s">
        <v>72613</v>
      </c>
      <c r="I3775" t="s">
        <v>72614</v>
      </c>
      <c r="J3775" t="s">
        <v>72615</v>
      </c>
      <c r="K3775" t="s">
        <v>72616</v>
      </c>
      <c r="L3775" t="s">
        <v>72617</v>
      </c>
      <c r="M3775" t="s">
        <v>72618</v>
      </c>
      <c r="N3775">
        <f>-707.639746725203 -26.1179949870677 -526.743168412506</f>
        <v>-1260.5009101247767</v>
      </c>
      <c r="O3775">
        <f>-693.59169222826 -178.706088430569 -497.452187703091</f>
        <v>-1369.7499683619199</v>
      </c>
      <c r="P3775">
        <f>-683.889842713712 -199.80743287932 -216.313158175699</f>
        <v>-1100.010433768731</v>
      </c>
      <c r="Q3775">
        <f>-487.825051823356 -130.445414455987 -319.734762933048</f>
        <v>-938.00522921239099</v>
      </c>
      <c r="R3775" t="s">
        <v>72619</v>
      </c>
      <c r="S3775" t="s">
        <v>72620</v>
      </c>
      <c r="T3775" t="s">
        <v>72621</v>
      </c>
      <c r="U3775" t="s">
        <v>72622</v>
      </c>
      <c r="V3775">
        <f>-625.206676360595 -71.2583912299474 -93.7615184266614</f>
        <v>-790.22658601720377</v>
      </c>
      <c r="W3775" t="s">
        <v>72623</v>
      </c>
      <c r="X3775" t="s">
        <v>72624</v>
      </c>
      <c r="Y3775" t="s">
        <v>72625</v>
      </c>
    </row>
    <row r="3776" spans="1:25" x14ac:dyDescent="0.3">
      <c r="A3776">
        <v>188750</v>
      </c>
      <c r="B3776" t="s">
        <v>72626</v>
      </c>
      <c r="C3776" t="s">
        <v>72627</v>
      </c>
      <c r="D3776" t="s">
        <v>72628</v>
      </c>
      <c r="E3776" t="s">
        <v>72629</v>
      </c>
      <c r="F3776" t="s">
        <v>72630</v>
      </c>
      <c r="G3776" t="s">
        <v>72631</v>
      </c>
      <c r="H3776" t="s">
        <v>72632</v>
      </c>
      <c r="I3776" t="s">
        <v>72633</v>
      </c>
      <c r="J3776" t="s">
        <v>72634</v>
      </c>
      <c r="K3776" t="s">
        <v>72635</v>
      </c>
      <c r="L3776" t="s">
        <v>72636</v>
      </c>
      <c r="M3776" t="s">
        <v>72637</v>
      </c>
      <c r="N3776">
        <f>-707.888569659106 -26.4173878503161 -526.657277459745</f>
        <v>-1260.9632349691672</v>
      </c>
      <c r="O3776">
        <f>-694.609180060584 -179.013902167837 -497.073243739175</f>
        <v>-1370.6963259675961</v>
      </c>
      <c r="P3776">
        <f>-684.837756391912 -199.532534044777 -215.893445459338</f>
        <v>-1100.2637358960269</v>
      </c>
      <c r="Q3776">
        <f>-488.549345154004 -131.041378091907 -319.471191840882</f>
        <v>-939.06191508679308</v>
      </c>
      <c r="R3776" t="s">
        <v>72638</v>
      </c>
      <c r="S3776" t="s">
        <v>72639</v>
      </c>
      <c r="T3776" t="s">
        <v>72640</v>
      </c>
      <c r="U3776" t="s">
        <v>72641</v>
      </c>
      <c r="V3776">
        <f>-625.178769505461 -71.2581191739832 -93.7402632318842</f>
        <v>-790.17715191132845</v>
      </c>
      <c r="W3776" t="s">
        <v>72642</v>
      </c>
      <c r="X3776" t="s">
        <v>72643</v>
      </c>
      <c r="Y3776" t="s">
        <v>72644</v>
      </c>
    </row>
    <row r="3777" spans="1:25" x14ac:dyDescent="0.3">
      <c r="A3777">
        <v>188800</v>
      </c>
      <c r="B3777" t="s">
        <v>72645</v>
      </c>
      <c r="C3777" t="s">
        <v>72646</v>
      </c>
      <c r="D3777" t="s">
        <v>72647</v>
      </c>
      <c r="E3777" t="s">
        <v>72648</v>
      </c>
      <c r="F3777" t="s">
        <v>72649</v>
      </c>
      <c r="G3777" t="s">
        <v>72650</v>
      </c>
      <c r="H3777" t="s">
        <v>72651</v>
      </c>
      <c r="I3777" t="s">
        <v>72652</v>
      </c>
      <c r="J3777" t="s">
        <v>72653</v>
      </c>
      <c r="K3777" t="s">
        <v>72654</v>
      </c>
      <c r="L3777" t="s">
        <v>72655</v>
      </c>
      <c r="M3777" t="s">
        <v>72656</v>
      </c>
      <c r="N3777">
        <f>-708.328159072055 -27.2967073891182 -526.454162430095</f>
        <v>-1262.0790288912681</v>
      </c>
      <c r="O3777">
        <f>-696.420869571054 -179.876827302206 -496.222308322231</f>
        <v>-1372.5200051954912</v>
      </c>
      <c r="P3777">
        <f>-687.344208625707 -199.563099620467 -214.959624015193</f>
        <v>-1101.8669322613671</v>
      </c>
      <c r="Q3777">
        <f>-490.266996381823 -132.675671967861 -318.086663428585</f>
        <v>-941.02933177826901</v>
      </c>
      <c r="R3777" t="s">
        <v>72657</v>
      </c>
      <c r="S3777" t="s">
        <v>72658</v>
      </c>
      <c r="T3777" t="s">
        <v>72659</v>
      </c>
      <c r="U3777" t="s">
        <v>72660</v>
      </c>
      <c r="V3777">
        <f>-625.263643333376 -71.5822850900552 -93.7045200593142</f>
        <v>-790.55044848274531</v>
      </c>
      <c r="W3777" t="s">
        <v>72661</v>
      </c>
      <c r="X3777" t="s">
        <v>72662</v>
      </c>
      <c r="Y3777" t="s">
        <v>72663</v>
      </c>
    </row>
    <row r="3778" spans="1:25" x14ac:dyDescent="0.3">
      <c r="A3778">
        <v>188850</v>
      </c>
      <c r="B3778" t="s">
        <v>72664</v>
      </c>
      <c r="C3778" t="s">
        <v>72665</v>
      </c>
      <c r="D3778" t="s">
        <v>72666</v>
      </c>
      <c r="E3778" t="s">
        <v>72667</v>
      </c>
      <c r="F3778" t="s">
        <v>72668</v>
      </c>
      <c r="G3778" t="s">
        <v>72669</v>
      </c>
      <c r="H3778" t="s">
        <v>72670</v>
      </c>
      <c r="I3778" t="s">
        <v>72671</v>
      </c>
      <c r="J3778" t="s">
        <v>72672</v>
      </c>
      <c r="K3778" t="s">
        <v>72673</v>
      </c>
      <c r="L3778" t="s">
        <v>72674</v>
      </c>
      <c r="M3778" t="s">
        <v>72675</v>
      </c>
      <c r="N3778">
        <f>-708.575794605619 -27.7976406471248 -526.371579060202</f>
        <v>-1262.7450143129458</v>
      </c>
      <c r="O3778">
        <f>-697.386202397963 -180.379430942106 -495.831634488894</f>
        <v>-1373.5972678289629</v>
      </c>
      <c r="P3778">
        <f>-688.936518895033 -199.682369963053 -214.522922410171</f>
        <v>-1103.141811268257</v>
      </c>
      <c r="Q3778">
        <f>-491.298179239647 -133.362586861744 -316.940218683586</f>
        <v>-941.60098478497707</v>
      </c>
      <c r="R3778" t="s">
        <v>72676</v>
      </c>
      <c r="S3778" t="s">
        <v>72677</v>
      </c>
      <c r="T3778" t="s">
        <v>72678</v>
      </c>
      <c r="U3778" t="s">
        <v>72679</v>
      </c>
      <c r="V3778">
        <f>-625.456834536117 -71.8822018781991 -93.678107552772</f>
        <v>-791.01714396708803</v>
      </c>
      <c r="W3778" t="s">
        <v>72680</v>
      </c>
      <c r="X3778" t="s">
        <v>72681</v>
      </c>
      <c r="Y3778" t="s">
        <v>72682</v>
      </c>
    </row>
    <row r="3779" spans="1:25" x14ac:dyDescent="0.3">
      <c r="A3779">
        <v>188900</v>
      </c>
      <c r="B3779" t="s">
        <v>72683</v>
      </c>
      <c r="C3779" t="s">
        <v>72684</v>
      </c>
      <c r="D3779" t="s">
        <v>72685</v>
      </c>
      <c r="E3779" t="s">
        <v>72686</v>
      </c>
      <c r="F3779" t="s">
        <v>72687</v>
      </c>
      <c r="G3779" t="s">
        <v>72688</v>
      </c>
      <c r="H3779" t="s">
        <v>72689</v>
      </c>
      <c r="I3779" t="s">
        <v>72690</v>
      </c>
      <c r="J3779" t="s">
        <v>72691</v>
      </c>
      <c r="K3779" t="s">
        <v>72692</v>
      </c>
      <c r="L3779" t="s">
        <v>72693</v>
      </c>
      <c r="M3779" t="s">
        <v>72694</v>
      </c>
      <c r="N3779">
        <f>-708.999074982605 -28.5299457735327 -526.347219730807</f>
        <v>-1263.8762404869447</v>
      </c>
      <c r="O3779">
        <f>-699.358152218682 -181.103399273892 -495.270870934952</f>
        <v>-1375.732422427526</v>
      </c>
      <c r="P3779">
        <f>-692.767966569359 -199.366341648364 -213.843032071159</f>
        <v>-1105.977340288882</v>
      </c>
      <c r="Q3779">
        <f>-494.136344884323 -133.458677349359 -314.591177944634</f>
        <v>-942.18620017831608</v>
      </c>
      <c r="R3779" t="s">
        <v>72695</v>
      </c>
      <c r="S3779" t="s">
        <v>72696</v>
      </c>
      <c r="T3779" t="s">
        <v>72697</v>
      </c>
      <c r="U3779" t="s">
        <v>72698</v>
      </c>
      <c r="V3779">
        <f>-625.993143186008 -72.4582894843866 -93.69460412847</f>
        <v>-792.14603679886454</v>
      </c>
      <c r="W3779" t="s">
        <v>72699</v>
      </c>
      <c r="X3779" t="s">
        <v>72700</v>
      </c>
      <c r="Y3779" t="s">
        <v>72701</v>
      </c>
    </row>
    <row r="3780" spans="1:25" x14ac:dyDescent="0.3">
      <c r="A3780">
        <v>188950</v>
      </c>
      <c r="B3780" t="s">
        <v>72702</v>
      </c>
      <c r="C3780" t="s">
        <v>72703</v>
      </c>
      <c r="D3780" t="s">
        <v>72704</v>
      </c>
      <c r="E3780" t="s">
        <v>72705</v>
      </c>
      <c r="F3780" t="s">
        <v>72706</v>
      </c>
      <c r="G3780" t="s">
        <v>72707</v>
      </c>
      <c r="H3780" t="s">
        <v>72708</v>
      </c>
      <c r="I3780" t="s">
        <v>72709</v>
      </c>
      <c r="J3780" t="s">
        <v>72710</v>
      </c>
      <c r="K3780" t="s">
        <v>72711</v>
      </c>
      <c r="L3780" t="s">
        <v>72712</v>
      </c>
      <c r="M3780" t="s">
        <v>72713</v>
      </c>
      <c r="N3780">
        <f>-709.448524775424 -28.7625313862727 -526.32815835575</f>
        <v>-1264.5392145174467</v>
      </c>
      <c r="O3780">
        <f>-700.630377522825 -181.330978902675 -494.998857344267</f>
        <v>-1376.9602137697671</v>
      </c>
      <c r="P3780">
        <f>-695.115939486348 -198.954548771987 -213.507251730023</f>
        <v>-1107.577739988358</v>
      </c>
      <c r="Q3780">
        <f>-495.974407980193 -133.136884515804 -313.302976694296</f>
        <v>-942.414269190293</v>
      </c>
      <c r="R3780" t="s">
        <v>72714</v>
      </c>
      <c r="S3780" t="s">
        <v>72715</v>
      </c>
      <c r="T3780" t="s">
        <v>72716</v>
      </c>
      <c r="U3780" t="s">
        <v>72717</v>
      </c>
      <c r="V3780">
        <f>-626.497958530926 -72.6735797957174 -93.7212533782207</f>
        <v>-792.89279170486407</v>
      </c>
      <c r="W3780" t="s">
        <v>72718</v>
      </c>
      <c r="X3780" t="s">
        <v>72719</v>
      </c>
      <c r="Y3780" t="s">
        <v>72720</v>
      </c>
    </row>
    <row r="3781" spans="1:25" x14ac:dyDescent="0.3">
      <c r="A3781">
        <v>189000</v>
      </c>
      <c r="B3781" t="s">
        <v>72721</v>
      </c>
      <c r="C3781" t="s">
        <v>72722</v>
      </c>
      <c r="D3781" t="s">
        <v>72723</v>
      </c>
      <c r="E3781" t="s">
        <v>72724</v>
      </c>
      <c r="F3781" t="s">
        <v>72725</v>
      </c>
      <c r="G3781" t="s">
        <v>72726</v>
      </c>
      <c r="H3781">
        <f>-720.394105606671 -0.101228648025199 -580.433189845025</f>
        <v>-1300.9285240997212</v>
      </c>
      <c r="I3781" t="s">
        <v>72727</v>
      </c>
      <c r="J3781" t="s">
        <v>72728</v>
      </c>
      <c r="K3781" t="s">
        <v>72729</v>
      </c>
      <c r="L3781" t="s">
        <v>72730</v>
      </c>
      <c r="M3781" t="s">
        <v>72731</v>
      </c>
      <c r="N3781">
        <f>-710.827977300705 -29.3700914035589 -526.284796153404</f>
        <v>-1266.4828648576681</v>
      </c>
      <c r="O3781">
        <f>-703.746502377843 -181.924363726987 -494.410831441521</f>
        <v>-1380.0816975463508</v>
      </c>
      <c r="P3781">
        <f>-700.341010266914 -198.393368757643 -212.81580563588</f>
        <v>-1111.5501846604379</v>
      </c>
      <c r="Q3781">
        <f>-500.328890948629 -132.582510280295 -310.859650567082</f>
        <v>-943.77105179600596</v>
      </c>
      <c r="R3781" t="s">
        <v>72732</v>
      </c>
      <c r="S3781" t="s">
        <v>72733</v>
      </c>
      <c r="T3781" t="s">
        <v>72734</v>
      </c>
      <c r="U3781" t="s">
        <v>72735</v>
      </c>
      <c r="V3781">
        <f>-627.686314723448 -73.3344829746761 -93.8103958268714</f>
        <v>-794.83119352499557</v>
      </c>
      <c r="W3781" t="s">
        <v>72736</v>
      </c>
      <c r="X3781" t="s">
        <v>72737</v>
      </c>
      <c r="Y3781" t="s">
        <v>72738</v>
      </c>
    </row>
    <row r="3782" spans="1:25" x14ac:dyDescent="0.3">
      <c r="A3782">
        <v>189050</v>
      </c>
      <c r="B3782" t="s">
        <v>72739</v>
      </c>
      <c r="C3782" t="s">
        <v>72740</v>
      </c>
      <c r="D3782" t="s">
        <v>72741</v>
      </c>
      <c r="E3782" t="s">
        <v>72742</v>
      </c>
      <c r="F3782" t="s">
        <v>72743</v>
      </c>
      <c r="G3782" t="s">
        <v>72744</v>
      </c>
      <c r="H3782">
        <f>-720.861761637623 -0.223416226649988 -580.481065553763</f>
        <v>-1301.5662434180358</v>
      </c>
      <c r="I3782" t="s">
        <v>72745</v>
      </c>
      <c r="J3782" t="s">
        <v>72746</v>
      </c>
      <c r="K3782" t="s">
        <v>72747</v>
      </c>
      <c r="L3782" t="s">
        <v>72748</v>
      </c>
      <c r="M3782" t="s">
        <v>72749</v>
      </c>
      <c r="N3782">
        <f>-711.400054984796 -29.4660644754397 -526.299973043158</f>
        <v>-1267.1660925033939</v>
      </c>
      <c r="O3782">
        <f>-705.102592719033 -181.994937442963 -494.14387441863</f>
        <v>-1381.2414045806261</v>
      </c>
      <c r="P3782">
        <f>-702.588821791322 -197.645838325222 -212.492698725381</f>
        <v>-1112.727358841925</v>
      </c>
      <c r="Q3782">
        <f>-502.121411796412 -132.094635524577 -309.777838745835</f>
        <v>-943.99388606682396</v>
      </c>
      <c r="R3782" t="s">
        <v>72750</v>
      </c>
      <c r="S3782" t="s">
        <v>72751</v>
      </c>
      <c r="T3782" t="s">
        <v>72752</v>
      </c>
      <c r="U3782" t="s">
        <v>72753</v>
      </c>
      <c r="V3782">
        <f>-628.227771668312 -73.4440107575508 -93.8677311936135</f>
        <v>-795.53951361947634</v>
      </c>
      <c r="W3782" t="s">
        <v>72754</v>
      </c>
      <c r="X3782" t="s">
        <v>72755</v>
      </c>
      <c r="Y3782" t="s">
        <v>72756</v>
      </c>
    </row>
    <row r="3783" spans="1:25" x14ac:dyDescent="0.3">
      <c r="A3783">
        <v>189100</v>
      </c>
      <c r="B3783" t="s">
        <v>72757</v>
      </c>
      <c r="C3783" t="s">
        <v>72758</v>
      </c>
      <c r="D3783" t="s">
        <v>72759</v>
      </c>
      <c r="E3783" t="s">
        <v>72760</v>
      </c>
      <c r="F3783" t="s">
        <v>72761</v>
      </c>
      <c r="G3783" t="s">
        <v>72762</v>
      </c>
      <c r="H3783">
        <f>-721.507074957407 -0.335523456222973 -580.574662190432</f>
        <v>-1302.417260604062</v>
      </c>
      <c r="I3783" t="s">
        <v>72763</v>
      </c>
      <c r="J3783" t="s">
        <v>72764</v>
      </c>
      <c r="K3783" t="s">
        <v>72765</v>
      </c>
      <c r="L3783" t="s">
        <v>72766</v>
      </c>
      <c r="M3783" t="s">
        <v>72767</v>
      </c>
      <c r="N3783">
        <f>-712.234922174708 -29.5297560057329 -526.334857146647</f>
        <v>-1268.0995353270878</v>
      </c>
      <c r="O3783">
        <f>-707.152671693411 -181.957351466393 -493.534338225518</f>
        <v>-1382.6443613853221</v>
      </c>
      <c r="P3783">
        <f>-705.689581817979 -196.263395552763 -211.804383002813</f>
        <v>-1113.757360373555</v>
      </c>
      <c r="Q3783">
        <f>-504.727715274577 -130.822268149407 -308.138760040253</f>
        <v>-943.68874346423695</v>
      </c>
      <c r="R3783" t="s">
        <v>72768</v>
      </c>
      <c r="S3783" t="s">
        <v>72769</v>
      </c>
      <c r="T3783" t="s">
        <v>72770</v>
      </c>
      <c r="U3783" t="s">
        <v>72771</v>
      </c>
      <c r="V3783">
        <f>-629.183610521067 -73.6596595452038 -93.9707364071483</f>
        <v>-796.814006473419</v>
      </c>
      <c r="W3783" t="s">
        <v>72772</v>
      </c>
      <c r="X3783" t="s">
        <v>72773</v>
      </c>
      <c r="Y3783" t="s">
        <v>72774</v>
      </c>
    </row>
    <row r="3784" spans="1:25" x14ac:dyDescent="0.3">
      <c r="A3784">
        <v>189150</v>
      </c>
      <c r="B3784" t="s">
        <v>72775</v>
      </c>
      <c r="C3784" t="s">
        <v>72776</v>
      </c>
      <c r="D3784" t="s">
        <v>72777</v>
      </c>
      <c r="E3784" t="s">
        <v>72778</v>
      </c>
      <c r="F3784" t="s">
        <v>72779</v>
      </c>
      <c r="G3784" t="s">
        <v>72780</v>
      </c>
      <c r="H3784">
        <f>-721.857689588898 -0.249193806504081 -580.572582300119</f>
        <v>-1302.6794656955212</v>
      </c>
      <c r="I3784" t="s">
        <v>72781</v>
      </c>
      <c r="J3784" t="s">
        <v>72782</v>
      </c>
      <c r="K3784" t="s">
        <v>72783</v>
      </c>
      <c r="L3784" t="s">
        <v>72784</v>
      </c>
      <c r="M3784" t="s">
        <v>72785</v>
      </c>
      <c r="N3784">
        <f>-712.619002619284 -29.4236850706757 -526.316328436716</f>
        <v>-1268.3590161266757</v>
      </c>
      <c r="O3784">
        <f>-707.959731367381 -181.808942601846 -493.25745645535</f>
        <v>-1383.0261304245769</v>
      </c>
      <c r="P3784">
        <f>-706.943596754743 -195.640813743767 -211.501833050483</f>
        <v>-1114.086243548993</v>
      </c>
      <c r="Q3784">
        <f>-505.814788540933 -130.011152586629 -307.358287875961</f>
        <v>-943.18422900352311</v>
      </c>
      <c r="R3784" t="s">
        <v>72786</v>
      </c>
      <c r="S3784" t="s">
        <v>72787</v>
      </c>
      <c r="T3784" t="s">
        <v>72788</v>
      </c>
      <c r="U3784" t="s">
        <v>72789</v>
      </c>
      <c r="V3784">
        <f>-629.442435785056 -73.525384280689 -94.0120101126508</f>
        <v>-796.97983017839579</v>
      </c>
      <c r="W3784" t="s">
        <v>72790</v>
      </c>
      <c r="X3784" t="s">
        <v>72791</v>
      </c>
      <c r="Y3784" t="s">
        <v>72792</v>
      </c>
    </row>
    <row r="3785" spans="1:25" x14ac:dyDescent="0.3">
      <c r="A3785">
        <v>189200</v>
      </c>
      <c r="B3785" t="s">
        <v>72793</v>
      </c>
      <c r="C3785" t="s">
        <v>72794</v>
      </c>
      <c r="D3785" t="s">
        <v>72795</v>
      </c>
      <c r="E3785" t="s">
        <v>72796</v>
      </c>
      <c r="F3785" t="s">
        <v>72797</v>
      </c>
      <c r="G3785" t="s">
        <v>72798</v>
      </c>
      <c r="H3785" t="s">
        <v>72799</v>
      </c>
      <c r="I3785" t="s">
        <v>72800</v>
      </c>
      <c r="J3785" t="s">
        <v>72801</v>
      </c>
      <c r="K3785" t="s">
        <v>72802</v>
      </c>
      <c r="L3785" t="s">
        <v>72803</v>
      </c>
      <c r="M3785" t="s">
        <v>72804</v>
      </c>
      <c r="N3785">
        <f>-713.321693855162 -29.1149578545303 -526.205354064853</f>
        <v>-1268.6420057745454</v>
      </c>
      <c r="O3785">
        <f>-709.177749682554 -181.439882302702 -492.791506331888</f>
        <v>-1383.409138317144</v>
      </c>
      <c r="P3785">
        <f>-709.119446568039 -195.130574340144 -211.027119936216</f>
        <v>-1115.2771408443991</v>
      </c>
      <c r="Q3785">
        <f>-507.763071234077 -128.243196082779 -305.527165696061</f>
        <v>-941.53343301291693</v>
      </c>
      <c r="R3785" t="s">
        <v>72805</v>
      </c>
      <c r="S3785" t="s">
        <v>72806</v>
      </c>
      <c r="T3785" t="s">
        <v>72807</v>
      </c>
      <c r="U3785" t="s">
        <v>72808</v>
      </c>
      <c r="V3785">
        <f>-629.527740243081 -73.2554711793305 -94.0526394287273</f>
        <v>-796.83585085113873</v>
      </c>
      <c r="W3785" t="s">
        <v>72809</v>
      </c>
      <c r="X3785" t="s">
        <v>72810</v>
      </c>
      <c r="Y3785" t="s">
        <v>72811</v>
      </c>
    </row>
    <row r="3786" spans="1:25" x14ac:dyDescent="0.3">
      <c r="A3786">
        <v>189250</v>
      </c>
      <c r="B3786" t="s">
        <v>72812</v>
      </c>
      <c r="C3786" t="s">
        <v>72813</v>
      </c>
      <c r="D3786" t="s">
        <v>72814</v>
      </c>
      <c r="E3786" t="s">
        <v>72815</v>
      </c>
      <c r="F3786" t="s">
        <v>72816</v>
      </c>
      <c r="G3786" t="s">
        <v>72817</v>
      </c>
      <c r="H3786" t="s">
        <v>72818</v>
      </c>
      <c r="I3786" t="s">
        <v>72819</v>
      </c>
      <c r="J3786" t="s">
        <v>72820</v>
      </c>
      <c r="K3786" t="s">
        <v>72821</v>
      </c>
      <c r="L3786" t="s">
        <v>72822</v>
      </c>
      <c r="M3786" t="s">
        <v>72823</v>
      </c>
      <c r="N3786">
        <f>-713.279490425472 -28.9111463671802 -526.189689455355</f>
        <v>-1268.3803262480073</v>
      </c>
      <c r="O3786">
        <f>-709.316059657924 -181.237814986371 -492.742611702737</f>
        <v>-1383.296486347032</v>
      </c>
      <c r="P3786">
        <f>-709.7209464199 -195.09827599148 -210.986852804924</f>
        <v>-1115.806075216304</v>
      </c>
      <c r="Q3786">
        <f>-508.384564830273 -127.179144298857 -304.790762835086</f>
        <v>-940.35447196421592</v>
      </c>
      <c r="R3786" t="s">
        <v>72824</v>
      </c>
      <c r="S3786" t="s">
        <v>72825</v>
      </c>
      <c r="T3786" t="s">
        <v>72826</v>
      </c>
      <c r="U3786" t="s">
        <v>72827</v>
      </c>
      <c r="V3786">
        <f>-629.405202169424 -73.1941522399673 -94.0546916178187</f>
        <v>-796.65404602720992</v>
      </c>
      <c r="W3786" t="s">
        <v>72828</v>
      </c>
      <c r="X3786" t="s">
        <v>72829</v>
      </c>
      <c r="Y3786" t="s">
        <v>72830</v>
      </c>
    </row>
    <row r="3787" spans="1:25" x14ac:dyDescent="0.3">
      <c r="A3787">
        <v>189300</v>
      </c>
      <c r="B3787" t="s">
        <v>72831</v>
      </c>
      <c r="C3787" t="s">
        <v>72832</v>
      </c>
      <c r="D3787" t="s">
        <v>72833</v>
      </c>
      <c r="E3787" t="s">
        <v>72834</v>
      </c>
      <c r="F3787" t="s">
        <v>72835</v>
      </c>
      <c r="G3787" t="s">
        <v>72836</v>
      </c>
      <c r="H3787" t="s">
        <v>72837</v>
      </c>
      <c r="I3787" t="s">
        <v>72838</v>
      </c>
      <c r="J3787" t="s">
        <v>72839</v>
      </c>
      <c r="K3787" t="s">
        <v>72840</v>
      </c>
      <c r="L3787" t="s">
        <v>72841</v>
      </c>
      <c r="M3787" t="s">
        <v>72842</v>
      </c>
      <c r="N3787">
        <f>-713.133118811176 -28.4611742926272 -526.165224708111</f>
        <v>-1267.7595178119143</v>
      </c>
      <c r="O3787">
        <f>-709.179227581255 -180.789645620766 -492.748437083204</f>
        <v>-1382.717310285225</v>
      </c>
      <c r="P3787">
        <f>-710.207994598823 -195.002176836009 -211.011889003769</f>
        <v>-1116.2220604386009</v>
      </c>
      <c r="Q3787">
        <f>-508.95947426138 -124.878022321193 -303.370816666234</f>
        <v>-937.20831324880714</v>
      </c>
      <c r="R3787" t="s">
        <v>72843</v>
      </c>
      <c r="S3787" t="s">
        <v>72844</v>
      </c>
      <c r="T3787" t="s">
        <v>72845</v>
      </c>
      <c r="U3787" t="s">
        <v>72846</v>
      </c>
      <c r="V3787">
        <f>-628.861016750795 -72.9577328954001 -94.071536546903</f>
        <v>-795.89028619309806</v>
      </c>
      <c r="W3787" t="s">
        <v>72847</v>
      </c>
      <c r="X3787" t="s">
        <v>72848</v>
      </c>
      <c r="Y3787" t="s">
        <v>72849</v>
      </c>
    </row>
    <row r="3788" spans="1:25" x14ac:dyDescent="0.3">
      <c r="A3788">
        <v>189350</v>
      </c>
      <c r="B3788" t="s">
        <v>72850</v>
      </c>
      <c r="C3788" t="s">
        <v>72851</v>
      </c>
      <c r="D3788" t="s">
        <v>72852</v>
      </c>
      <c r="E3788" t="s">
        <v>72853</v>
      </c>
      <c r="F3788" t="s">
        <v>72854</v>
      </c>
      <c r="G3788" t="s">
        <v>72855</v>
      </c>
      <c r="H3788" t="s">
        <v>72856</v>
      </c>
      <c r="I3788" t="s">
        <v>72857</v>
      </c>
      <c r="J3788" t="s">
        <v>72858</v>
      </c>
      <c r="K3788" t="s">
        <v>72859</v>
      </c>
      <c r="L3788" t="s">
        <v>72860</v>
      </c>
      <c r="M3788" t="s">
        <v>72861</v>
      </c>
      <c r="N3788">
        <f>-713.033199784376 -28.3842227160956 -526.107304843831</f>
        <v>-1267.5247273443026</v>
      </c>
      <c r="O3788">
        <f>-709.067888724981 -180.714488355866 -492.685496481963</f>
        <v>-1382.4678735628099</v>
      </c>
      <c r="P3788">
        <f>-710.137482748898 -195.213598037464 -210.963740213616</f>
        <v>-1116.3148209999781</v>
      </c>
      <c r="Q3788">
        <f>-509.016566294877 -123.860811106102 -302.656901709767</f>
        <v>-935.53427911074596</v>
      </c>
      <c r="R3788" t="s">
        <v>72862</v>
      </c>
      <c r="S3788" t="s">
        <v>72863</v>
      </c>
      <c r="T3788" t="s">
        <v>72864</v>
      </c>
      <c r="U3788" t="s">
        <v>72865</v>
      </c>
      <c r="V3788">
        <f>-628.557202230583 -73.0321789202646 -94.08503916197</f>
        <v>-795.67442031281769</v>
      </c>
      <c r="W3788" t="s">
        <v>72866</v>
      </c>
      <c r="X3788" t="s">
        <v>72867</v>
      </c>
      <c r="Y3788" t="s">
        <v>72868</v>
      </c>
    </row>
    <row r="3789" spans="1:25" x14ac:dyDescent="0.3">
      <c r="A3789">
        <v>189400</v>
      </c>
      <c r="B3789" t="s">
        <v>72869</v>
      </c>
      <c r="C3789" t="s">
        <v>72870</v>
      </c>
      <c r="D3789" t="s">
        <v>72871</v>
      </c>
      <c r="E3789" t="s">
        <v>72872</v>
      </c>
      <c r="F3789" t="s">
        <v>72873</v>
      </c>
      <c r="G3789" t="s">
        <v>72874</v>
      </c>
      <c r="H3789" t="s">
        <v>72875</v>
      </c>
      <c r="I3789" t="s">
        <v>72876</v>
      </c>
      <c r="J3789" t="s">
        <v>72877</v>
      </c>
      <c r="K3789" t="s">
        <v>72878</v>
      </c>
      <c r="L3789" t="s">
        <v>72879</v>
      </c>
      <c r="M3789" t="s">
        <v>72880</v>
      </c>
      <c r="N3789">
        <f>-713.066115477374 -28.0884303004823 -526.013675807446</f>
        <v>-1267.1682215853023</v>
      </c>
      <c r="O3789">
        <f>-709.13938771376 -180.441685369883 -492.71262791052</f>
        <v>-1382.2937009941629</v>
      </c>
      <c r="P3789">
        <f>-709.857248271307 -195.139380557472 -211.000024707055</f>
        <v>-1115.996653535834</v>
      </c>
      <c r="Q3789">
        <f>-508.93467914702 -121.763714141541 -301.524456576815</f>
        <v>-932.22284986537602</v>
      </c>
      <c r="R3789" t="s">
        <v>72881</v>
      </c>
      <c r="S3789" t="s">
        <v>72882</v>
      </c>
      <c r="T3789" t="s">
        <v>72883</v>
      </c>
      <c r="U3789" t="s">
        <v>72884</v>
      </c>
      <c r="V3789">
        <f>-627.957980740308 -73.1287228575577 -94.1135172689737</f>
        <v>-795.20022086683946</v>
      </c>
      <c r="W3789" t="s">
        <v>72885</v>
      </c>
      <c r="X3789" t="s">
        <v>72886</v>
      </c>
      <c r="Y3789" t="s">
        <v>72887</v>
      </c>
    </row>
    <row r="3790" spans="1:25" x14ac:dyDescent="0.3">
      <c r="A3790">
        <v>189450</v>
      </c>
      <c r="B3790" t="s">
        <v>72888</v>
      </c>
      <c r="C3790" t="s">
        <v>72889</v>
      </c>
      <c r="D3790" t="s">
        <v>72890</v>
      </c>
      <c r="E3790" t="s">
        <v>72891</v>
      </c>
      <c r="F3790" t="s">
        <v>72892</v>
      </c>
      <c r="G3790" t="s">
        <v>72893</v>
      </c>
      <c r="H3790" t="s">
        <v>72894</v>
      </c>
      <c r="I3790" t="s">
        <v>72895</v>
      </c>
      <c r="J3790" t="s">
        <v>72896</v>
      </c>
      <c r="K3790" t="s">
        <v>72897</v>
      </c>
      <c r="L3790" t="s">
        <v>72898</v>
      </c>
      <c r="M3790" t="s">
        <v>72899</v>
      </c>
      <c r="N3790">
        <f>-713.139177077259 -28.0929974631188 -525.973868287296</f>
        <v>-1267.2060428276736</v>
      </c>
      <c r="O3790">
        <f>-709.150392173841 -180.465477064469 -492.768843362067</f>
        <v>-1382.384712600377</v>
      </c>
      <c r="P3790">
        <f>-709.703252860241 -195.236680964908 -211.059722428492</f>
        <v>-1115.999656253641</v>
      </c>
      <c r="Q3790">
        <f>-508.879478380948 -120.880492800585 -301.001308303975</f>
        <v>-930.76127948550811</v>
      </c>
      <c r="R3790" t="s">
        <v>72900</v>
      </c>
      <c r="S3790" t="s">
        <v>72901</v>
      </c>
      <c r="T3790" t="s">
        <v>72902</v>
      </c>
      <c r="U3790" t="s">
        <v>72903</v>
      </c>
      <c r="V3790">
        <f>-627.635144072165 -73.3178951235279 -94.1521302429124</f>
        <v>-795.10516943860534</v>
      </c>
      <c r="W3790" t="s">
        <v>72904</v>
      </c>
      <c r="X3790" t="s">
        <v>72905</v>
      </c>
      <c r="Y3790" t="s">
        <v>72906</v>
      </c>
    </row>
    <row r="3791" spans="1:25" x14ac:dyDescent="0.3">
      <c r="A3791">
        <v>189500</v>
      </c>
      <c r="B3791" t="s">
        <v>72907</v>
      </c>
      <c r="C3791" t="s">
        <v>72908</v>
      </c>
      <c r="D3791" t="s">
        <v>72909</v>
      </c>
      <c r="E3791" t="s">
        <v>72910</v>
      </c>
      <c r="F3791" t="s">
        <v>72911</v>
      </c>
      <c r="G3791" t="s">
        <v>72912</v>
      </c>
      <c r="H3791" t="s">
        <v>72913</v>
      </c>
      <c r="I3791" t="s">
        <v>72914</v>
      </c>
      <c r="J3791" t="s">
        <v>72915</v>
      </c>
      <c r="K3791" t="s">
        <v>72916</v>
      </c>
      <c r="L3791" t="s">
        <v>72917</v>
      </c>
      <c r="M3791" t="s">
        <v>72918</v>
      </c>
      <c r="N3791">
        <f>-713.367359456326 -27.9472338844962 -525.900665447535</f>
        <v>-1267.215258788357</v>
      </c>
      <c r="O3791">
        <f>-709.147231900621 -180.384612573996 -492.998673550636</f>
        <v>-1382.5305180252531</v>
      </c>
      <c r="P3791">
        <f>-709.365193522814 -195.784126793273 -211.322692908487</f>
        <v>-1116.4720132245741</v>
      </c>
      <c r="Q3791">
        <f>-508.861836123588 -119.117979682626 -300.031214524552</f>
        <v>-928.01103033076606</v>
      </c>
      <c r="R3791" t="s">
        <v>72919</v>
      </c>
      <c r="S3791" t="s">
        <v>72920</v>
      </c>
      <c r="T3791" t="s">
        <v>72921</v>
      </c>
      <c r="U3791" t="s">
        <v>72922</v>
      </c>
      <c r="V3791">
        <f>-627.113717351504 -73.6784998459837 -94.2241037813201</f>
        <v>-795.0163209788077</v>
      </c>
      <c r="W3791" t="s">
        <v>72923</v>
      </c>
      <c r="X3791" t="s">
        <v>72924</v>
      </c>
      <c r="Y3791" t="s">
        <v>72925</v>
      </c>
    </row>
    <row r="3792" spans="1:25" x14ac:dyDescent="0.3">
      <c r="A3792">
        <v>189550</v>
      </c>
      <c r="B3792" t="s">
        <v>72926</v>
      </c>
      <c r="C3792" t="s">
        <v>72927</v>
      </c>
      <c r="D3792" t="s">
        <v>72928</v>
      </c>
      <c r="E3792" t="s">
        <v>72929</v>
      </c>
      <c r="F3792" t="s">
        <v>72930</v>
      </c>
      <c r="G3792" t="s">
        <v>72931</v>
      </c>
      <c r="H3792" t="s">
        <v>72932</v>
      </c>
      <c r="I3792" t="s">
        <v>72933</v>
      </c>
      <c r="J3792" t="s">
        <v>72934</v>
      </c>
      <c r="K3792" t="s">
        <v>72935</v>
      </c>
      <c r="L3792" t="s">
        <v>72936</v>
      </c>
      <c r="M3792" t="s">
        <v>72937</v>
      </c>
      <c r="N3792">
        <f>-713.364790815247 -27.9648444284744 -525.90191364507</f>
        <v>-1267.2315488887914</v>
      </c>
      <c r="O3792">
        <f>-709.008137448948 -180.431148210493 -493.160622418715</f>
        <v>-1382.599908078156</v>
      </c>
      <c r="P3792">
        <f>-709.178129669573 -196.220078976323 -211.506134907776</f>
        <v>-1116.9043435536719</v>
      </c>
      <c r="Q3792">
        <f>-508.820818705789 -118.408743958393 -299.545231415304</f>
        <v>-926.77479407948601</v>
      </c>
      <c r="R3792" t="s">
        <v>72938</v>
      </c>
      <c r="S3792" t="s">
        <v>72939</v>
      </c>
      <c r="T3792" t="s">
        <v>72940</v>
      </c>
      <c r="U3792" t="s">
        <v>72941</v>
      </c>
      <c r="V3792">
        <f>-626.855629523751 -73.9704165281403 -94.2511649982481</f>
        <v>-795.07721105013934</v>
      </c>
      <c r="W3792" t="s">
        <v>72942</v>
      </c>
      <c r="X3792" t="s">
        <v>72943</v>
      </c>
      <c r="Y3792" t="s">
        <v>72944</v>
      </c>
    </row>
    <row r="3793" spans="1:25" x14ac:dyDescent="0.3">
      <c r="A3793">
        <v>189600</v>
      </c>
      <c r="B3793" t="s">
        <v>72945</v>
      </c>
      <c r="C3793" t="s">
        <v>72946</v>
      </c>
      <c r="D3793" t="s">
        <v>72947</v>
      </c>
      <c r="E3793" t="s">
        <v>72948</v>
      </c>
      <c r="F3793" t="s">
        <v>72949</v>
      </c>
      <c r="G3793" t="s">
        <v>72950</v>
      </c>
      <c r="H3793" t="s">
        <v>72951</v>
      </c>
      <c r="I3793" t="s">
        <v>72952</v>
      </c>
      <c r="J3793" t="s">
        <v>72953</v>
      </c>
      <c r="K3793" t="s">
        <v>72954</v>
      </c>
      <c r="L3793" t="s">
        <v>72955</v>
      </c>
      <c r="M3793" t="s">
        <v>72956</v>
      </c>
      <c r="N3793">
        <f>-713.032837942386 -28.1242563152969 -525.889827957466</f>
        <v>-1267.0469222151487</v>
      </c>
      <c r="O3793">
        <f>-708.465516451466 -180.657617771845 -493.465700745754</f>
        <v>-1382.5888349690649</v>
      </c>
      <c r="P3793">
        <f>-708.801338698564 -197.368168816562 -211.864414772381</f>
        <v>-1118.033922287507</v>
      </c>
      <c r="Q3793">
        <f>-508.667372401654 -117.436446985978 -298.50084546027</f>
        <v>-924.60466484790209</v>
      </c>
      <c r="R3793" t="s">
        <v>72957</v>
      </c>
      <c r="S3793" t="s">
        <v>72958</v>
      </c>
      <c r="T3793" t="s">
        <v>72959</v>
      </c>
      <c r="U3793" t="s">
        <v>72960</v>
      </c>
      <c r="V3793">
        <f>-626.138053103457 -74.5433650234868 -94.2425197028399</f>
        <v>-794.92393782978365</v>
      </c>
      <c r="W3793" t="s">
        <v>72961</v>
      </c>
      <c r="X3793" t="s">
        <v>72962</v>
      </c>
      <c r="Y3793" t="s">
        <v>72963</v>
      </c>
    </row>
    <row r="3794" spans="1:25" x14ac:dyDescent="0.3">
      <c r="A3794">
        <v>189650</v>
      </c>
      <c r="B3794" t="s">
        <v>72964</v>
      </c>
      <c r="C3794" t="s">
        <v>72965</v>
      </c>
      <c r="D3794" t="s">
        <v>72966</v>
      </c>
      <c r="E3794" t="s">
        <v>72967</v>
      </c>
      <c r="F3794" t="s">
        <v>72968</v>
      </c>
      <c r="G3794" t="s">
        <v>72969</v>
      </c>
      <c r="H3794" t="s">
        <v>72970</v>
      </c>
      <c r="I3794" t="s">
        <v>72971</v>
      </c>
      <c r="J3794" t="s">
        <v>72972</v>
      </c>
      <c r="K3794" t="s">
        <v>72973</v>
      </c>
      <c r="L3794" t="s">
        <v>72974</v>
      </c>
      <c r="M3794" t="s">
        <v>72975</v>
      </c>
      <c r="N3794">
        <f>-712.526174230385 -28.0168631842637 -525.896225093954</f>
        <v>-1266.4392625086025</v>
      </c>
      <c r="O3794">
        <f>-708.040796035745 -180.6187503291 -493.809424599965</f>
        <v>-1382.4689709648101</v>
      </c>
      <c r="P3794">
        <f>-708.811983420754 -198.140090429872 -212.258293008875</f>
        <v>-1119.2103668595009</v>
      </c>
      <c r="Q3794">
        <f>-508.897157254294 -116.156903330504 -297.47182854985</f>
        <v>-922.52588913464797</v>
      </c>
      <c r="R3794" t="s">
        <v>72976</v>
      </c>
      <c r="S3794" t="s">
        <v>72977</v>
      </c>
      <c r="T3794" t="s">
        <v>72978</v>
      </c>
      <c r="U3794" t="s">
        <v>72979</v>
      </c>
      <c r="V3794">
        <f>-625.465398055738 -74.9556138138776 -94.1317017960932</f>
        <v>-794.55271366570878</v>
      </c>
      <c r="W3794" t="s">
        <v>72980</v>
      </c>
      <c r="X3794" t="s">
        <v>72981</v>
      </c>
      <c r="Y3794" t="s">
        <v>72982</v>
      </c>
    </row>
    <row r="3795" spans="1:25" x14ac:dyDescent="0.3">
      <c r="A3795">
        <v>189700</v>
      </c>
      <c r="B3795" t="s">
        <v>72983</v>
      </c>
      <c r="C3795" t="s">
        <v>72984</v>
      </c>
      <c r="D3795" t="s">
        <v>72985</v>
      </c>
      <c r="E3795" t="s">
        <v>72986</v>
      </c>
      <c r="F3795" t="s">
        <v>72987</v>
      </c>
      <c r="G3795" t="s">
        <v>72988</v>
      </c>
      <c r="H3795" t="s">
        <v>72989</v>
      </c>
      <c r="I3795" t="s">
        <v>72990</v>
      </c>
      <c r="J3795" t="s">
        <v>72991</v>
      </c>
      <c r="K3795" t="s">
        <v>72992</v>
      </c>
      <c r="L3795" t="s">
        <v>72993</v>
      </c>
      <c r="M3795" t="s">
        <v>72994</v>
      </c>
      <c r="N3795">
        <f>-712.208995615617 -28.1519084153267 -525.902056450173</f>
        <v>-1266.2629604811168</v>
      </c>
      <c r="O3795">
        <f>-707.754605106048 -180.774088802022 -493.903847462196</f>
        <v>-1382.4325413702659</v>
      </c>
      <c r="P3795">
        <f>-708.961388477461 -198.611059992505 -212.374141577812</f>
        <v>-1119.946590047778</v>
      </c>
      <c r="Q3795">
        <f>-509.186098882275 -115.658872577168 -296.975024570533</f>
        <v>-921.81999602997598</v>
      </c>
      <c r="R3795" t="s">
        <v>72995</v>
      </c>
      <c r="S3795" t="s">
        <v>72996</v>
      </c>
      <c r="T3795" t="s">
        <v>72997</v>
      </c>
      <c r="U3795" t="s">
        <v>72998</v>
      </c>
      <c r="V3795">
        <f>-625.213055156028 -75.304983251069 -94.079819048947</f>
        <v>-794.59785745604393</v>
      </c>
      <c r="W3795" t="s">
        <v>72999</v>
      </c>
      <c r="X3795" t="s">
        <v>73000</v>
      </c>
      <c r="Y3795" t="s">
        <v>73001</v>
      </c>
    </row>
    <row r="3796" spans="1:25" x14ac:dyDescent="0.3">
      <c r="A3796">
        <v>189750</v>
      </c>
      <c r="B3796" t="s">
        <v>73002</v>
      </c>
      <c r="C3796" t="s">
        <v>73003</v>
      </c>
      <c r="D3796" t="s">
        <v>73004</v>
      </c>
      <c r="E3796" t="s">
        <v>73005</v>
      </c>
      <c r="F3796" t="s">
        <v>73006</v>
      </c>
      <c r="G3796" t="s">
        <v>73007</v>
      </c>
      <c r="H3796" t="s">
        <v>73008</v>
      </c>
      <c r="I3796" t="s">
        <v>73009</v>
      </c>
      <c r="J3796" t="s">
        <v>73010</v>
      </c>
      <c r="K3796" t="s">
        <v>73011</v>
      </c>
      <c r="L3796" t="s">
        <v>73012</v>
      </c>
      <c r="M3796" t="s">
        <v>73013</v>
      </c>
      <c r="N3796">
        <f>-711.843490380257 -28.3111278943791 -525.922059695555</f>
        <v>-1266.0766779701912</v>
      </c>
      <c r="O3796">
        <f>-707.418134914553 -180.946745485136 -493.974435111968</f>
        <v>-1382.3393155116569</v>
      </c>
      <c r="P3796">
        <f>-709.171426642675 -199.129404471938 -212.469853949581</f>
        <v>-1120.7706850641939</v>
      </c>
      <c r="Q3796">
        <f>-509.510355259789 -115.345257026268 -296.518546921506</f>
        <v>-921.37415920756303</v>
      </c>
      <c r="R3796" t="s">
        <v>73014</v>
      </c>
      <c r="S3796" t="s">
        <v>73015</v>
      </c>
      <c r="T3796" t="s">
        <v>73016</v>
      </c>
      <c r="U3796" t="s">
        <v>73017</v>
      </c>
      <c r="V3796">
        <f>-625.029706932805 -75.5968804239953 -94.0335873547333</f>
        <v>-794.66017471153361</v>
      </c>
      <c r="W3796" t="s">
        <v>73018</v>
      </c>
      <c r="X3796" t="s">
        <v>73019</v>
      </c>
      <c r="Y3796" t="s">
        <v>73020</v>
      </c>
    </row>
    <row r="3797" spans="1:25" x14ac:dyDescent="0.3">
      <c r="A3797">
        <v>189800</v>
      </c>
      <c r="B3797" t="s">
        <v>73021</v>
      </c>
      <c r="C3797" t="s">
        <v>73022</v>
      </c>
      <c r="D3797" t="s">
        <v>73023</v>
      </c>
      <c r="E3797" t="s">
        <v>73024</v>
      </c>
      <c r="F3797" t="s">
        <v>73025</v>
      </c>
      <c r="G3797" t="s">
        <v>73026</v>
      </c>
      <c r="H3797" t="s">
        <v>73027</v>
      </c>
      <c r="I3797" t="s">
        <v>73028</v>
      </c>
      <c r="J3797" t="s">
        <v>73029</v>
      </c>
      <c r="K3797" t="s">
        <v>73030</v>
      </c>
      <c r="L3797" t="s">
        <v>73031</v>
      </c>
      <c r="M3797" t="s">
        <v>73032</v>
      </c>
      <c r="N3797">
        <f>-711.110866450095 -28.1499274364294 -526.085871743217</f>
        <v>-1265.3466656297414</v>
      </c>
      <c r="O3797">
        <f>-707.031401167207 -180.809589556724 -494.21244472365</f>
        <v>-1382.053435447581</v>
      </c>
      <c r="P3797">
        <f>-709.663808885748 -199.557152926077 -212.751691486547</f>
        <v>-1121.9726532983721</v>
      </c>
      <c r="Q3797">
        <f>-510.018897521441 -114.782093797836 -295.83959652928</f>
        <v>-920.64058784855695</v>
      </c>
      <c r="R3797" t="s">
        <v>73033</v>
      </c>
      <c r="S3797" t="s">
        <v>73034</v>
      </c>
      <c r="T3797" t="s">
        <v>73035</v>
      </c>
      <c r="U3797" t="s">
        <v>73036</v>
      </c>
      <c r="V3797">
        <f>-625.082978304577 -75.548639772906 -93.9844587521752</f>
        <v>-794.61607682965814</v>
      </c>
      <c r="W3797" t="s">
        <v>73037</v>
      </c>
      <c r="X3797" t="s">
        <v>73038</v>
      </c>
      <c r="Y3797" t="s">
        <v>73039</v>
      </c>
    </row>
    <row r="3798" spans="1:25" x14ac:dyDescent="0.3">
      <c r="A3798">
        <v>189850</v>
      </c>
      <c r="B3798" t="s">
        <v>73040</v>
      </c>
      <c r="C3798" t="s">
        <v>73041</v>
      </c>
      <c r="D3798" t="s">
        <v>73042</v>
      </c>
      <c r="E3798" t="s">
        <v>73043</v>
      </c>
      <c r="F3798" t="s">
        <v>73044</v>
      </c>
      <c r="G3798" t="s">
        <v>73045</v>
      </c>
      <c r="H3798" t="s">
        <v>73046</v>
      </c>
      <c r="I3798" t="s">
        <v>73047</v>
      </c>
      <c r="J3798" t="s">
        <v>73048</v>
      </c>
      <c r="K3798" t="s">
        <v>73049</v>
      </c>
      <c r="L3798" t="s">
        <v>73050</v>
      </c>
      <c r="M3798" t="s">
        <v>73051</v>
      </c>
      <c r="N3798">
        <f>-710.849804491002 -28.0584510462365 -526.169436100241</f>
        <v>-1265.0776916374796</v>
      </c>
      <c r="O3798">
        <f>-706.941381515926 -180.713877479237 -494.259468370226</f>
        <v>-1381.9147273653889</v>
      </c>
      <c r="P3798">
        <f>-709.960813723634 -199.635204671911 -212.814305036813</f>
        <v>-1122.4103234323579</v>
      </c>
      <c r="Q3798">
        <f>-510.281156651622 -114.675528296326 -295.629846777073</f>
        <v>-920.58653172502102</v>
      </c>
      <c r="R3798" t="s">
        <v>73052</v>
      </c>
      <c r="S3798" t="s">
        <v>73053</v>
      </c>
      <c r="T3798" t="s">
        <v>73054</v>
      </c>
      <c r="U3798" t="s">
        <v>73055</v>
      </c>
      <c r="V3798">
        <f>-625.249474365754 -75.5578850857698 -93.9931380984503</f>
        <v>-794.80049754997424</v>
      </c>
      <c r="W3798" t="s">
        <v>73056</v>
      </c>
      <c r="X3798" t="s">
        <v>73057</v>
      </c>
      <c r="Y3798" t="s">
        <v>73058</v>
      </c>
    </row>
    <row r="3799" spans="1:25" x14ac:dyDescent="0.3">
      <c r="A3799">
        <v>189900</v>
      </c>
      <c r="B3799" t="s">
        <v>73059</v>
      </c>
      <c r="C3799" t="s">
        <v>73060</v>
      </c>
      <c r="D3799" t="s">
        <v>73061</v>
      </c>
      <c r="E3799" t="s">
        <v>73062</v>
      </c>
      <c r="F3799" t="s">
        <v>73063</v>
      </c>
      <c r="G3799" t="s">
        <v>73064</v>
      </c>
      <c r="H3799" t="s">
        <v>73065</v>
      </c>
      <c r="I3799" t="s">
        <v>73066</v>
      </c>
      <c r="J3799" t="s">
        <v>73067</v>
      </c>
      <c r="K3799" t="s">
        <v>73068</v>
      </c>
      <c r="L3799" t="s">
        <v>73069</v>
      </c>
      <c r="M3799" t="s">
        <v>73070</v>
      </c>
      <c r="N3799">
        <f>-710.34602225762 -28.001843397348 -526.287632518282</f>
        <v>-1264.63549817325</v>
      </c>
      <c r="O3799">
        <f>-706.760715063993 -180.605473777413 -494.124253909572</f>
        <v>-1381.490442750978</v>
      </c>
      <c r="P3799">
        <f>-710.180767122039 -199.529989372584 -212.683707807362</f>
        <v>-1122.394464301985</v>
      </c>
      <c r="Q3799">
        <f>-510.281282035541 -114.889406046449 -295.295465126142</f>
        <v>-920.46615320813203</v>
      </c>
      <c r="R3799" t="s">
        <v>73071</v>
      </c>
      <c r="S3799" t="s">
        <v>73072</v>
      </c>
      <c r="T3799" t="s">
        <v>73073</v>
      </c>
      <c r="U3799" t="s">
        <v>73074</v>
      </c>
      <c r="V3799">
        <f>-625.519286139754 -75.3498633403774 -94.0099869071882</f>
        <v>-794.87913638731959</v>
      </c>
      <c r="W3799" t="s">
        <v>73075</v>
      </c>
      <c r="X3799" t="s">
        <v>73076</v>
      </c>
      <c r="Y3799" t="s">
        <v>73077</v>
      </c>
    </row>
    <row r="3800" spans="1:25" x14ac:dyDescent="0.3">
      <c r="A3800">
        <v>189950</v>
      </c>
      <c r="B3800" t="s">
        <v>73078</v>
      </c>
      <c r="C3800" t="s">
        <v>73079</v>
      </c>
      <c r="D3800" t="s">
        <v>73080</v>
      </c>
      <c r="E3800" t="s">
        <v>73081</v>
      </c>
      <c r="F3800" t="s">
        <v>73082</v>
      </c>
      <c r="G3800" t="s">
        <v>73083</v>
      </c>
      <c r="H3800" t="s">
        <v>73084</v>
      </c>
      <c r="I3800" t="s">
        <v>73085</v>
      </c>
      <c r="J3800" t="s">
        <v>73086</v>
      </c>
      <c r="K3800" t="s">
        <v>73087</v>
      </c>
      <c r="L3800" t="s">
        <v>73088</v>
      </c>
      <c r="M3800" t="s">
        <v>73089</v>
      </c>
      <c r="N3800">
        <f>-710.180618894872 -28.0168541154628 -526.293656582655</f>
        <v>-1264.4911295929899</v>
      </c>
      <c r="O3800">
        <f>-706.645881149245 -180.576793949039 -493.917837586296</f>
        <v>-1381.14051268458</v>
      </c>
      <c r="P3800">
        <f>-710.18436900592 -199.287129190016 -212.464453006494</f>
        <v>-1121.93595120243</v>
      </c>
      <c r="Q3800">
        <f>-510.092878036959 -115.117109089267 -295.092202797495</f>
        <v>-920.30218992372102</v>
      </c>
      <c r="R3800" t="s">
        <v>73090</v>
      </c>
      <c r="S3800" t="s">
        <v>73091</v>
      </c>
      <c r="T3800" t="s">
        <v>73092</v>
      </c>
      <c r="U3800" t="s">
        <v>73093</v>
      </c>
      <c r="V3800">
        <f>-625.596842671852 -75.1121531255833 -94.0210216956898</f>
        <v>-794.73001749312505</v>
      </c>
      <c r="W3800" t="s">
        <v>73094</v>
      </c>
      <c r="X3800" t="s">
        <v>73095</v>
      </c>
      <c r="Y3800" t="s">
        <v>73096</v>
      </c>
    </row>
    <row r="3801" spans="1:25" x14ac:dyDescent="0.3">
      <c r="A3801">
        <v>190000</v>
      </c>
      <c r="B3801" t="s">
        <v>73097</v>
      </c>
      <c r="C3801" t="s">
        <v>73098</v>
      </c>
      <c r="D3801" t="s">
        <v>73099</v>
      </c>
      <c r="E3801" t="s">
        <v>73100</v>
      </c>
      <c r="F3801" t="s">
        <v>73101</v>
      </c>
      <c r="G3801" t="s">
        <v>73102</v>
      </c>
      <c r="H3801" t="s">
        <v>73103</v>
      </c>
      <c r="I3801" t="s">
        <v>73104</v>
      </c>
      <c r="J3801" t="s">
        <v>73105</v>
      </c>
      <c r="K3801" t="s">
        <v>73106</v>
      </c>
      <c r="L3801" t="s">
        <v>73107</v>
      </c>
      <c r="M3801" t="s">
        <v>73108</v>
      </c>
      <c r="N3801">
        <f>-710.108956487916 -28.0197034786256 -526.258214926203</f>
        <v>-1264.3868748927446</v>
      </c>
      <c r="O3801">
        <f>-706.764090652464 -180.488908121762 -493.399759324896</f>
        <v>-1380.6527580991219</v>
      </c>
      <c r="P3801">
        <f>-710.051616737555 -198.502455530436 -211.897990135326</f>
        <v>-1120.4520624033171</v>
      </c>
      <c r="Q3801">
        <f>-509.527551905056 -115.575167503778 -294.733497913439</f>
        <v>-919.836217322273</v>
      </c>
      <c r="R3801" t="s">
        <v>73109</v>
      </c>
      <c r="S3801" t="s">
        <v>73110</v>
      </c>
      <c r="T3801" t="s">
        <v>73111</v>
      </c>
      <c r="U3801" t="s">
        <v>73112</v>
      </c>
      <c r="V3801">
        <f>-625.883220870215 -74.5964347090705 -94.0346010600448</f>
        <v>-794.51425663933037</v>
      </c>
      <c r="W3801" t="s">
        <v>73113</v>
      </c>
      <c r="X3801" t="s">
        <v>73114</v>
      </c>
      <c r="Y3801" t="s">
        <v>73115</v>
      </c>
    </row>
    <row r="3802" spans="1:25" x14ac:dyDescent="0.3">
      <c r="A3802">
        <v>190050</v>
      </c>
      <c r="B3802" t="s">
        <v>73116</v>
      </c>
      <c r="C3802" t="s">
        <v>73117</v>
      </c>
      <c r="D3802" t="s">
        <v>73118</v>
      </c>
      <c r="E3802" t="s">
        <v>73119</v>
      </c>
      <c r="F3802" t="s">
        <v>73120</v>
      </c>
      <c r="G3802" t="s">
        <v>73121</v>
      </c>
      <c r="H3802" t="s">
        <v>73122</v>
      </c>
      <c r="I3802" t="s">
        <v>73123</v>
      </c>
      <c r="J3802" t="s">
        <v>73124</v>
      </c>
      <c r="K3802" t="s">
        <v>73125</v>
      </c>
      <c r="L3802" t="s">
        <v>73126</v>
      </c>
      <c r="M3802" t="s">
        <v>73127</v>
      </c>
      <c r="N3802">
        <f>-709.96364865436 -27.8408724818007 -526.280242660309</f>
        <v>-1264.0847637964698</v>
      </c>
      <c r="O3802">
        <f>-706.724784737543 -180.284809385188 -493.275747974625</f>
        <v>-1380.2853420973561</v>
      </c>
      <c r="P3802">
        <f>-709.983976726876 -197.769174829747 -211.740236695322</f>
        <v>-1119.4933882519449</v>
      </c>
      <c r="Q3802">
        <f>-509.091458661891 -115.632420456084 -294.47010937141</f>
        <v>-919.19398848938499</v>
      </c>
      <c r="R3802" t="s">
        <v>73128</v>
      </c>
      <c r="S3802" t="s">
        <v>73129</v>
      </c>
      <c r="T3802" t="s">
        <v>73130</v>
      </c>
      <c r="U3802" t="s">
        <v>73131</v>
      </c>
      <c r="V3802">
        <f>-625.983283323005 -74.2706849254268 -94.0375296361258</f>
        <v>-794.29149788455766</v>
      </c>
      <c r="W3802" t="s">
        <v>73132</v>
      </c>
      <c r="X3802" t="s">
        <v>73133</v>
      </c>
      <c r="Y3802" t="s">
        <v>73134</v>
      </c>
    </row>
    <row r="3803" spans="1:25" x14ac:dyDescent="0.3">
      <c r="A3803">
        <v>190100</v>
      </c>
      <c r="B3803" t="s">
        <v>73135</v>
      </c>
      <c r="C3803" t="s">
        <v>73136</v>
      </c>
      <c r="D3803" t="s">
        <v>73137</v>
      </c>
      <c r="E3803" t="s">
        <v>73138</v>
      </c>
      <c r="F3803" t="s">
        <v>73139</v>
      </c>
      <c r="G3803" t="s">
        <v>73140</v>
      </c>
      <c r="H3803" t="s">
        <v>73141</v>
      </c>
      <c r="I3803" t="s">
        <v>73142</v>
      </c>
      <c r="J3803" t="s">
        <v>73143</v>
      </c>
      <c r="K3803" t="s">
        <v>73144</v>
      </c>
      <c r="L3803" t="s">
        <v>73145</v>
      </c>
      <c r="M3803" t="s">
        <v>73146</v>
      </c>
      <c r="N3803">
        <f>-709.307523958363 -27.5625123638229 -526.452183536192</f>
        <v>-1263.322219858378</v>
      </c>
      <c r="O3803">
        <f>-706.237273258211 -179.987444444963 -493.379582102039</f>
        <v>-1379.604299805213</v>
      </c>
      <c r="P3803">
        <f>-709.843129910225 -197.191937009333 -211.830970220533</f>
        <v>-1118.8660371400911</v>
      </c>
      <c r="Q3803">
        <f>-507.79738857426 -116.335779304326 -292.999482750497</f>
        <v>-917.13265062908306</v>
      </c>
      <c r="R3803" t="s">
        <v>73147</v>
      </c>
      <c r="S3803" t="s">
        <v>73148</v>
      </c>
      <c r="T3803" t="s">
        <v>73149</v>
      </c>
      <c r="U3803" t="s">
        <v>73150</v>
      </c>
      <c r="V3803">
        <f>-626.356400441666 -73.7960612577515 -94.0756042148607</f>
        <v>-794.2280659142782</v>
      </c>
      <c r="W3803" t="s">
        <v>73151</v>
      </c>
      <c r="X3803" t="s">
        <v>73152</v>
      </c>
      <c r="Y3803" t="s">
        <v>73153</v>
      </c>
    </row>
    <row r="3804" spans="1:25" x14ac:dyDescent="0.3">
      <c r="A3804">
        <v>190150</v>
      </c>
      <c r="B3804" t="s">
        <v>73154</v>
      </c>
      <c r="C3804" t="s">
        <v>73155</v>
      </c>
      <c r="D3804" t="s">
        <v>73156</v>
      </c>
      <c r="E3804" t="s">
        <v>73157</v>
      </c>
      <c r="F3804" t="s">
        <v>73158</v>
      </c>
      <c r="G3804" t="s">
        <v>73159</v>
      </c>
      <c r="H3804" t="s">
        <v>73160</v>
      </c>
      <c r="I3804" t="s">
        <v>73161</v>
      </c>
      <c r="J3804" t="s">
        <v>73162</v>
      </c>
      <c r="K3804" t="s">
        <v>73163</v>
      </c>
      <c r="L3804" t="s">
        <v>73164</v>
      </c>
      <c r="M3804" t="s">
        <v>73165</v>
      </c>
      <c r="N3804">
        <f>-707.894208545662 -27.2840237526073 -526.692371624948</f>
        <v>-1261.8706039232172</v>
      </c>
      <c r="O3804">
        <f>-704.798791980247 -179.710814845447 -493.646506571598</f>
        <v>-1378.1561133972918</v>
      </c>
      <c r="P3804">
        <f>-709.293317614941 -197.431714910235 -212.142817088319</f>
        <v>-1118.8678496134949</v>
      </c>
      <c r="Q3804">
        <f>-506.049531004726 -118.150983187629 -291.861387780533</f>
        <v>-916.06190197288811</v>
      </c>
      <c r="R3804" t="s">
        <v>73166</v>
      </c>
      <c r="S3804" t="s">
        <v>73167</v>
      </c>
      <c r="T3804" t="s">
        <v>73168</v>
      </c>
      <c r="U3804" t="s">
        <v>73169</v>
      </c>
      <c r="V3804">
        <f>-626.458402428049 -73.549820691504 -94.1183710704296</f>
        <v>-794.1265941899826</v>
      </c>
      <c r="W3804" t="s">
        <v>73170</v>
      </c>
      <c r="X3804" t="s">
        <v>73171</v>
      </c>
      <c r="Y3804" t="s">
        <v>73172</v>
      </c>
    </row>
    <row r="3805" spans="1:25" x14ac:dyDescent="0.3">
      <c r="A3805">
        <v>190200</v>
      </c>
      <c r="B3805" t="s">
        <v>73173</v>
      </c>
      <c r="C3805" t="s">
        <v>73174</v>
      </c>
      <c r="D3805" t="s">
        <v>73175</v>
      </c>
      <c r="E3805" t="s">
        <v>73176</v>
      </c>
      <c r="F3805" t="s">
        <v>73177</v>
      </c>
      <c r="G3805" t="s">
        <v>73178</v>
      </c>
      <c r="H3805" t="s">
        <v>73179</v>
      </c>
      <c r="I3805" t="s">
        <v>73180</v>
      </c>
      <c r="J3805" t="s">
        <v>73181</v>
      </c>
      <c r="K3805" t="s">
        <v>73182</v>
      </c>
      <c r="L3805" t="s">
        <v>73183</v>
      </c>
      <c r="M3805" t="s">
        <v>73184</v>
      </c>
      <c r="N3805">
        <f>-707.12406154852 -27.1356615896723 -526.826391758397</f>
        <v>-1261.0861148965892</v>
      </c>
      <c r="O3805">
        <f>-704.03631831137 -179.57180641631 -493.777708792656</f>
        <v>-1377.3858335203358</v>
      </c>
      <c r="P3805">
        <f>-709.00913604097 -197.435263612841 -212.291091718037</f>
        <v>-1118.735491371848</v>
      </c>
      <c r="Q3805">
        <f>-505.204915745642 -118.828743981523 -291.242922865368</f>
        <v>-915.27658259253292</v>
      </c>
      <c r="R3805" t="s">
        <v>73185</v>
      </c>
      <c r="S3805" t="s">
        <v>73186</v>
      </c>
      <c r="T3805" t="s">
        <v>73187</v>
      </c>
      <c r="U3805" t="s">
        <v>73188</v>
      </c>
      <c r="V3805">
        <f>-626.44700875279 -73.4887121326344 -94.1393823397299</f>
        <v>-794.07510322515429</v>
      </c>
      <c r="W3805" t="s">
        <v>73189</v>
      </c>
      <c r="X3805" t="s">
        <v>73190</v>
      </c>
      <c r="Y3805" t="s">
        <v>73191</v>
      </c>
    </row>
    <row r="3806" spans="1:25" x14ac:dyDescent="0.3">
      <c r="A3806">
        <v>190250</v>
      </c>
      <c r="B3806" t="s">
        <v>73192</v>
      </c>
      <c r="C3806" t="s">
        <v>73193</v>
      </c>
      <c r="D3806" t="s">
        <v>73194</v>
      </c>
      <c r="E3806" t="s">
        <v>73195</v>
      </c>
      <c r="F3806" t="s">
        <v>73196</v>
      </c>
      <c r="G3806" t="s">
        <v>73197</v>
      </c>
      <c r="H3806" t="s">
        <v>73198</v>
      </c>
      <c r="I3806" t="s">
        <v>73199</v>
      </c>
      <c r="J3806" t="s">
        <v>73200</v>
      </c>
      <c r="K3806" t="s">
        <v>73201</v>
      </c>
      <c r="L3806" t="s">
        <v>73202</v>
      </c>
      <c r="M3806" t="s">
        <v>73203</v>
      </c>
      <c r="N3806">
        <f>-706.339948516254 -26.9342411338419 -526.964027887038</f>
        <v>-1260.238217537134</v>
      </c>
      <c r="O3806">
        <f>-703.312885214199 -179.384914204394 -493.987522635655</f>
        <v>-1376.685322054248</v>
      </c>
      <c r="P3806">
        <f>-708.889632334486 -196.903384627691 -212.490546101734</f>
        <v>-1118.2835630639111</v>
      </c>
      <c r="Q3806">
        <f>-504.418617418509 -119.051500296375 -290.459664085698</f>
        <v>-913.92978180058196</v>
      </c>
      <c r="R3806" t="s">
        <v>73204</v>
      </c>
      <c r="S3806" t="s">
        <v>73205</v>
      </c>
      <c r="T3806" t="s">
        <v>73206</v>
      </c>
      <c r="U3806" t="s">
        <v>73207</v>
      </c>
      <c r="V3806">
        <f>-626.381477011532 -73.45830569532 -94.1628187228673</f>
        <v>-794.00260142971933</v>
      </c>
      <c r="W3806" t="s">
        <v>73208</v>
      </c>
      <c r="X3806" t="s">
        <v>73209</v>
      </c>
      <c r="Y3806" t="s">
        <v>73210</v>
      </c>
    </row>
    <row r="3807" spans="1:25" x14ac:dyDescent="0.3">
      <c r="A3807">
        <v>190300</v>
      </c>
      <c r="B3807" t="s">
        <v>73211</v>
      </c>
      <c r="C3807" t="s">
        <v>73212</v>
      </c>
      <c r="D3807" t="s">
        <v>73213</v>
      </c>
      <c r="E3807" t="s">
        <v>73214</v>
      </c>
      <c r="F3807" t="s">
        <v>73215</v>
      </c>
      <c r="G3807" t="s">
        <v>73216</v>
      </c>
      <c r="H3807" t="s">
        <v>73217</v>
      </c>
      <c r="I3807" t="s">
        <v>73218</v>
      </c>
      <c r="J3807" t="s">
        <v>73219</v>
      </c>
      <c r="K3807" t="s">
        <v>73220</v>
      </c>
      <c r="L3807" t="s">
        <v>73221</v>
      </c>
      <c r="M3807" t="s">
        <v>73222</v>
      </c>
      <c r="N3807">
        <f>-704.471972698307 -26.6889359295478 -527.175429820655</f>
        <v>-1258.3363384485099</v>
      </c>
      <c r="O3807">
        <f>-701.377903333952 -179.144026196062 -494.237201535499</f>
        <v>-1374.759131065513</v>
      </c>
      <c r="P3807">
        <f>-708.329921916366 -195.624875499239 -212.708092279771</f>
        <v>-1116.662889695376</v>
      </c>
      <c r="Q3807">
        <f>-502.688459675338 -119.137677810978 -288.930394321666</f>
        <v>-910.7565318079819</v>
      </c>
      <c r="R3807" t="s">
        <v>73223</v>
      </c>
      <c r="S3807" t="s">
        <v>73224</v>
      </c>
      <c r="T3807" t="s">
        <v>73225</v>
      </c>
      <c r="U3807" t="s">
        <v>73226</v>
      </c>
      <c r="V3807">
        <f>-625.960057386184 -73.4874188827084 -94.1672422306347</f>
        <v>-793.61471849952704</v>
      </c>
      <c r="W3807" t="s">
        <v>73227</v>
      </c>
      <c r="X3807" t="s">
        <v>73228</v>
      </c>
      <c r="Y3807" t="s">
        <v>73229</v>
      </c>
    </row>
    <row r="3808" spans="1:25" x14ac:dyDescent="0.3">
      <c r="A3808">
        <v>190350</v>
      </c>
      <c r="B3808" t="s">
        <v>73230</v>
      </c>
      <c r="C3808" t="s">
        <v>73231</v>
      </c>
      <c r="D3808" t="s">
        <v>73232</v>
      </c>
      <c r="E3808" t="s">
        <v>73233</v>
      </c>
      <c r="F3808" t="s">
        <v>73234</v>
      </c>
      <c r="G3808" t="s">
        <v>73235</v>
      </c>
      <c r="H3808" t="s">
        <v>73236</v>
      </c>
      <c r="I3808" t="s">
        <v>73237</v>
      </c>
      <c r="J3808" t="s">
        <v>73238</v>
      </c>
      <c r="K3808" t="s">
        <v>73239</v>
      </c>
      <c r="L3808" t="s">
        <v>73240</v>
      </c>
      <c r="M3808" t="s">
        <v>73241</v>
      </c>
      <c r="N3808">
        <f>-703.309308007318 -26.6917076582361 -527.281477642842</f>
        <v>-1257.2824933083962</v>
      </c>
      <c r="O3808">
        <f>-700.126005876581 -179.155766916418 -494.397097962042</f>
        <v>-1373.6788707550409</v>
      </c>
      <c r="P3808">
        <f>-707.958477657632 -195.85689783146 -212.903932813917</f>
        <v>-1116.719308303009</v>
      </c>
      <c r="Q3808">
        <f>-501.866162040631 -119.466842262955 -287.997467862766</f>
        <v>-909.33047216635191</v>
      </c>
      <c r="R3808" t="s">
        <v>73242</v>
      </c>
      <c r="S3808" t="s">
        <v>73243</v>
      </c>
      <c r="T3808" t="s">
        <v>73244</v>
      </c>
      <c r="U3808" t="s">
        <v>73245</v>
      </c>
      <c r="V3808">
        <f>-625.659702640618 -73.5334962340251 -94.1559639040072</f>
        <v>-793.34916277865022</v>
      </c>
      <c r="W3808" t="s">
        <v>73246</v>
      </c>
      <c r="X3808" t="s">
        <v>73247</v>
      </c>
      <c r="Y3808" t="s">
        <v>73248</v>
      </c>
    </row>
    <row r="3809" spans="1:25" x14ac:dyDescent="0.3">
      <c r="A3809">
        <v>190400</v>
      </c>
      <c r="B3809" t="s">
        <v>73249</v>
      </c>
      <c r="C3809" t="s">
        <v>73250</v>
      </c>
      <c r="D3809" t="s">
        <v>73251</v>
      </c>
      <c r="E3809" t="s">
        <v>73252</v>
      </c>
      <c r="F3809" t="s">
        <v>73253</v>
      </c>
      <c r="G3809" t="s">
        <v>73254</v>
      </c>
      <c r="H3809" t="s">
        <v>73255</v>
      </c>
      <c r="I3809" t="s">
        <v>73256</v>
      </c>
      <c r="J3809" t="s">
        <v>73257</v>
      </c>
      <c r="K3809" t="s">
        <v>73258</v>
      </c>
      <c r="L3809" t="s">
        <v>73259</v>
      </c>
      <c r="M3809" t="s">
        <v>73260</v>
      </c>
      <c r="N3809">
        <f>-700.717342919531 -26.5783260501842 -527.56810581358</f>
        <v>-1254.8637747832952</v>
      </c>
      <c r="O3809">
        <f>-697.202325572884 -179.100364709074 -494.994467330248</f>
        <v>-1371.2971576122061</v>
      </c>
      <c r="P3809">
        <f>-706.635205939756 -196.851167848246 -213.614756256679</f>
        <v>-1117.101130044681</v>
      </c>
      <c r="Q3809">
        <f>-499.750213847771 -120.434334074745 -286.467861160378</f>
        <v>-906.652409082894</v>
      </c>
      <c r="R3809" t="s">
        <v>73261</v>
      </c>
      <c r="S3809" t="s">
        <v>73262</v>
      </c>
      <c r="T3809" t="s">
        <v>73263</v>
      </c>
      <c r="U3809" t="s">
        <v>73264</v>
      </c>
      <c r="V3809">
        <f>-624.914275876814 -73.5656323408191 -94.1128049998216</f>
        <v>-792.59271321745473</v>
      </c>
      <c r="W3809" t="s">
        <v>73265</v>
      </c>
      <c r="X3809" t="s">
        <v>73266</v>
      </c>
      <c r="Y3809" t="s">
        <v>73267</v>
      </c>
    </row>
    <row r="3810" spans="1:25" x14ac:dyDescent="0.3">
      <c r="A3810">
        <v>190450</v>
      </c>
      <c r="B3810" t="s">
        <v>73268</v>
      </c>
      <c r="C3810" t="s">
        <v>73269</v>
      </c>
      <c r="D3810" t="s">
        <v>73270</v>
      </c>
      <c r="E3810" t="s">
        <v>73271</v>
      </c>
      <c r="F3810" t="s">
        <v>73272</v>
      </c>
      <c r="G3810" t="s">
        <v>73273</v>
      </c>
      <c r="H3810" t="s">
        <v>73274</v>
      </c>
      <c r="I3810" t="s">
        <v>73275</v>
      </c>
      <c r="J3810" t="s">
        <v>73276</v>
      </c>
      <c r="K3810" t="s">
        <v>73277</v>
      </c>
      <c r="L3810" t="s">
        <v>73278</v>
      </c>
      <c r="M3810" t="s">
        <v>73279</v>
      </c>
      <c r="N3810">
        <f>-699.444925958376 -26.5674326945414 -527.704957739508</f>
        <v>-1253.7173163924253</v>
      </c>
      <c r="O3810">
        <f>-695.543480436481 -179.102017345876 -495.253012607852</f>
        <v>-1369.8985103902089</v>
      </c>
      <c r="P3810">
        <f>-705.893147251614 -197.355628439806 -213.937855505879</f>
        <v>-1117.186631197299</v>
      </c>
      <c r="Q3810">
        <f>-498.675507638719 -121.005471044958 -285.910255572089</f>
        <v>-905.59123425576604</v>
      </c>
      <c r="R3810" t="s">
        <v>73280</v>
      </c>
      <c r="S3810" t="s">
        <v>73281</v>
      </c>
      <c r="T3810" t="s">
        <v>73282</v>
      </c>
      <c r="U3810" t="s">
        <v>73283</v>
      </c>
      <c r="V3810">
        <f>-624.559256852938 -73.6062082479621 -94.0873820773446</f>
        <v>-792.25284717824468</v>
      </c>
      <c r="W3810" t="s">
        <v>73284</v>
      </c>
      <c r="X3810" t="s">
        <v>73285</v>
      </c>
      <c r="Y3810" t="s">
        <v>73286</v>
      </c>
    </row>
    <row r="3811" spans="1:25" x14ac:dyDescent="0.3">
      <c r="A3811">
        <v>190500</v>
      </c>
      <c r="B3811" t="s">
        <v>73287</v>
      </c>
      <c r="C3811" t="s">
        <v>73288</v>
      </c>
      <c r="D3811" t="s">
        <v>73289</v>
      </c>
      <c r="E3811" t="s">
        <v>73290</v>
      </c>
      <c r="F3811" t="s">
        <v>73291</v>
      </c>
      <c r="G3811" t="s">
        <v>73292</v>
      </c>
      <c r="H3811" t="s">
        <v>73293</v>
      </c>
      <c r="I3811" t="s">
        <v>73294</v>
      </c>
      <c r="J3811" t="s">
        <v>73295</v>
      </c>
      <c r="K3811" t="s">
        <v>73296</v>
      </c>
      <c r="L3811" t="s">
        <v>73297</v>
      </c>
      <c r="M3811" t="s">
        <v>73298</v>
      </c>
      <c r="N3811">
        <f>-697.311629404349 -26.9988163689738 -527.935257937212</f>
        <v>-1252.2457037105348</v>
      </c>
      <c r="O3811">
        <f>-692.454281488348 -179.527262320948 -495.586018798766</f>
        <v>-1367.567562608062</v>
      </c>
      <c r="P3811">
        <f>-704.190414905166 -198.294405748803 -214.359061856816</f>
        <v>-1116.8438825107851</v>
      </c>
      <c r="Q3811">
        <f>-496.330263824613 -122.527427020246 -285.084142599129</f>
        <v>-903.941833443988</v>
      </c>
      <c r="R3811" t="s">
        <v>73299</v>
      </c>
      <c r="S3811" t="s">
        <v>73300</v>
      </c>
      <c r="T3811" t="s">
        <v>73301</v>
      </c>
      <c r="U3811" t="s">
        <v>73302</v>
      </c>
      <c r="V3811">
        <f>-623.739753158214 -73.9272559698929 -94.0776958848539</f>
        <v>-791.74470501296082</v>
      </c>
      <c r="W3811" t="s">
        <v>73303</v>
      </c>
      <c r="X3811" t="s">
        <v>73304</v>
      </c>
      <c r="Y3811" t="s">
        <v>73305</v>
      </c>
    </row>
    <row r="3812" spans="1:25" x14ac:dyDescent="0.3">
      <c r="A3812">
        <v>190550</v>
      </c>
      <c r="B3812" t="s">
        <v>73306</v>
      </c>
      <c r="C3812" t="s">
        <v>73307</v>
      </c>
      <c r="D3812" t="s">
        <v>73308</v>
      </c>
      <c r="E3812" t="s">
        <v>73309</v>
      </c>
      <c r="F3812" t="s">
        <v>73310</v>
      </c>
      <c r="G3812" t="s">
        <v>73311</v>
      </c>
      <c r="H3812" t="s">
        <v>73312</v>
      </c>
      <c r="I3812" t="s">
        <v>73313</v>
      </c>
      <c r="J3812" t="s">
        <v>73314</v>
      </c>
      <c r="K3812" t="s">
        <v>73315</v>
      </c>
      <c r="L3812" t="s">
        <v>73316</v>
      </c>
      <c r="M3812" t="s">
        <v>73317</v>
      </c>
      <c r="N3812">
        <f>-696.534687433201 -27.352404488277 -528.017797276219</f>
        <v>-1251.904889197697</v>
      </c>
      <c r="O3812">
        <f>-691.105822452788 -179.877235858497 -495.714152462166</f>
        <v>-1366.6972107734509</v>
      </c>
      <c r="P3812">
        <f>-703.333357138192 -198.851177459115 -214.522034944134</f>
        <v>-1116.706569541441</v>
      </c>
      <c r="Q3812">
        <f>-495.308007291697 -123.109977311895 -284.787481700039</f>
        <v>-903.20546630363106</v>
      </c>
      <c r="R3812" t="s">
        <v>73318</v>
      </c>
      <c r="S3812" t="s">
        <v>73319</v>
      </c>
      <c r="T3812" t="s">
        <v>73320</v>
      </c>
      <c r="U3812" t="s">
        <v>73321</v>
      </c>
      <c r="V3812">
        <f>-623.44708216441 -74.0470623818085 -94.0949555602518</f>
        <v>-791.58910010647026</v>
      </c>
      <c r="W3812" t="s">
        <v>73322</v>
      </c>
      <c r="X3812" t="s">
        <v>73323</v>
      </c>
      <c r="Y3812" t="s">
        <v>73324</v>
      </c>
    </row>
    <row r="3813" spans="1:25" x14ac:dyDescent="0.3">
      <c r="A3813">
        <v>190600</v>
      </c>
      <c r="B3813" t="s">
        <v>73325</v>
      </c>
      <c r="C3813" t="s">
        <v>73326</v>
      </c>
      <c r="D3813" t="s">
        <v>73327</v>
      </c>
      <c r="E3813" t="s">
        <v>73328</v>
      </c>
      <c r="F3813" t="s">
        <v>73329</v>
      </c>
      <c r="G3813" t="s">
        <v>73330</v>
      </c>
      <c r="H3813" t="s">
        <v>73331</v>
      </c>
      <c r="I3813" t="s">
        <v>73332</v>
      </c>
      <c r="J3813" t="s">
        <v>73333</v>
      </c>
      <c r="K3813" t="s">
        <v>73334</v>
      </c>
      <c r="L3813" t="s">
        <v>73335</v>
      </c>
      <c r="M3813" t="s">
        <v>73336</v>
      </c>
      <c r="N3813">
        <f>-695.52866331947 -28.0870527891532 -528.128240090485</f>
        <v>-1251.7439561991082</v>
      </c>
      <c r="O3813">
        <f>-688.836788677833 -180.596170937105 -495.931912673422</f>
        <v>-1365.3648722883599</v>
      </c>
      <c r="P3813">
        <f>-701.500757912559 -200.038834767936 -214.791054086985</f>
        <v>-1116.3306467674802</v>
      </c>
      <c r="Q3813">
        <f>-493.6836138001 -123.421431184001 -284.721910649254</f>
        <v>-901.82695563335494</v>
      </c>
      <c r="R3813" t="s">
        <v>73337</v>
      </c>
      <c r="S3813" t="s">
        <v>73338</v>
      </c>
      <c r="T3813" t="s">
        <v>73339</v>
      </c>
      <c r="U3813" t="s">
        <v>73340</v>
      </c>
      <c r="V3813">
        <f>-623.07364209758 -74.529778941758 -94.1368455410384</f>
        <v>-791.74026658037633</v>
      </c>
      <c r="W3813" t="s">
        <v>73341</v>
      </c>
      <c r="X3813" t="s">
        <v>73342</v>
      </c>
      <c r="Y3813" t="s">
        <v>73343</v>
      </c>
    </row>
    <row r="3814" spans="1:25" x14ac:dyDescent="0.3">
      <c r="A3814">
        <v>190650</v>
      </c>
      <c r="B3814" t="s">
        <v>73344</v>
      </c>
      <c r="C3814" t="s">
        <v>73345</v>
      </c>
      <c r="D3814" t="s">
        <v>73346</v>
      </c>
      <c r="E3814" t="s">
        <v>73347</v>
      </c>
      <c r="F3814" t="s">
        <v>73348</v>
      </c>
      <c r="G3814" t="s">
        <v>73349</v>
      </c>
      <c r="H3814" t="s">
        <v>73350</v>
      </c>
      <c r="I3814" t="s">
        <v>73351</v>
      </c>
      <c r="J3814" t="s">
        <v>73352</v>
      </c>
      <c r="K3814" t="s">
        <v>73353</v>
      </c>
      <c r="L3814" t="s">
        <v>73354</v>
      </c>
      <c r="M3814" t="s">
        <v>73355</v>
      </c>
      <c r="N3814">
        <f>-695.081581123567 -28.515225164967 -528.159312023891</f>
        <v>-1251.7561183124249</v>
      </c>
      <c r="O3814">
        <f>-687.812088325721 -180.998631691774 -495.995158541511</f>
        <v>-1364.805878559006</v>
      </c>
      <c r="P3814">
        <f>-700.471224328909 -200.882485347331 -214.884995655307</f>
        <v>-1116.238705331547</v>
      </c>
      <c r="Q3814">
        <f>-493.013061559846 -123.255808268941 -284.768689249653</f>
        <v>-901.03755907844004</v>
      </c>
      <c r="R3814" t="s">
        <v>73356</v>
      </c>
      <c r="S3814" t="s">
        <v>73357</v>
      </c>
      <c r="T3814" t="s">
        <v>73358</v>
      </c>
      <c r="U3814" t="s">
        <v>73359</v>
      </c>
      <c r="V3814">
        <f>-623.029010813412 -74.8526115569668 -94.1358388930267</f>
        <v>-792.01746126340561</v>
      </c>
      <c r="W3814" t="s">
        <v>73360</v>
      </c>
      <c r="X3814" t="s">
        <v>73361</v>
      </c>
      <c r="Y3814" t="s">
        <v>73362</v>
      </c>
    </row>
    <row r="3815" spans="1:25" x14ac:dyDescent="0.3">
      <c r="A3815">
        <v>190700</v>
      </c>
      <c r="B3815" t="s">
        <v>73363</v>
      </c>
      <c r="C3815" t="s">
        <v>73364</v>
      </c>
      <c r="D3815" t="s">
        <v>73365</v>
      </c>
      <c r="E3815" t="s">
        <v>73366</v>
      </c>
      <c r="F3815" t="s">
        <v>73367</v>
      </c>
      <c r="G3815" t="s">
        <v>73368</v>
      </c>
      <c r="H3815" t="s">
        <v>73369</v>
      </c>
      <c r="I3815" t="s">
        <v>73370</v>
      </c>
      <c r="J3815" t="s">
        <v>73371</v>
      </c>
      <c r="K3815" t="s">
        <v>73372</v>
      </c>
      <c r="L3815" t="s">
        <v>73373</v>
      </c>
      <c r="M3815" t="s">
        <v>73374</v>
      </c>
      <c r="N3815">
        <f>-694.222014536033 -29.5547936582552 -528.254383308329</f>
        <v>-1252.0311915026173</v>
      </c>
      <c r="O3815">
        <f>-685.904841012324 -181.988160801934 -496.129159588446</f>
        <v>-1364.0221614027041</v>
      </c>
      <c r="P3815">
        <f>-698.807848464725 -202.111628102285 -215.047144775396</f>
        <v>-1115.9666213424059</v>
      </c>
      <c r="Q3815">
        <f>-492.086455326283 -122.32997395806 -284.686948107696</f>
        <v>-899.10337739203896</v>
      </c>
      <c r="R3815" t="s">
        <v>73375</v>
      </c>
      <c r="S3815" t="s">
        <v>73376</v>
      </c>
      <c r="T3815" t="s">
        <v>73377</v>
      </c>
      <c r="U3815" t="s">
        <v>73378</v>
      </c>
      <c r="V3815">
        <f>-622.877663793955 -75.894853298727 -94.1462292032502</f>
        <v>-792.91874629593212</v>
      </c>
      <c r="W3815" t="s">
        <v>73379</v>
      </c>
      <c r="X3815" t="s">
        <v>73380</v>
      </c>
      <c r="Y3815" t="s">
        <v>73381</v>
      </c>
    </row>
    <row r="3816" spans="1:25" x14ac:dyDescent="0.3">
      <c r="A3816">
        <v>190750</v>
      </c>
      <c r="B3816" t="s">
        <v>73382</v>
      </c>
      <c r="C3816" t="s">
        <v>73383</v>
      </c>
      <c r="D3816" t="s">
        <v>73384</v>
      </c>
      <c r="E3816" t="s">
        <v>73385</v>
      </c>
      <c r="F3816" t="s">
        <v>73386</v>
      </c>
      <c r="G3816" t="s">
        <v>73387</v>
      </c>
      <c r="H3816">
        <f>-701.930333119143 -0.455157266472952 -582.363984641453</f>
        <v>-1284.7494750270689</v>
      </c>
      <c r="I3816" t="s">
        <v>73388</v>
      </c>
      <c r="J3816" t="s">
        <v>73389</v>
      </c>
      <c r="K3816" t="s">
        <v>73390</v>
      </c>
      <c r="L3816" t="s">
        <v>73391</v>
      </c>
      <c r="M3816" t="s">
        <v>73392</v>
      </c>
      <c r="N3816">
        <f>-693.863225232294 -30.2867434568639 -528.278375264965</f>
        <v>-1252.4283439541227</v>
      </c>
      <c r="O3816">
        <f>-685.068977014392 -182.689199029451 -496.108752670134</f>
        <v>-1363.8669287139769</v>
      </c>
      <c r="P3816">
        <f>-698.210847508586 -202.784778628507 -215.035688828481</f>
        <v>-1116.031314965574</v>
      </c>
      <c r="Q3816">
        <f>-491.763920254227 -122.033018059683 -284.370691255128</f>
        <v>-898.16762956903801</v>
      </c>
      <c r="R3816" t="s">
        <v>73393</v>
      </c>
      <c r="S3816" t="s">
        <v>73394</v>
      </c>
      <c r="T3816" t="s">
        <v>73395</v>
      </c>
      <c r="U3816" t="s">
        <v>73396</v>
      </c>
      <c r="V3816">
        <f>-622.770432336403 -76.515248098242 -94.1402679924297</f>
        <v>-793.42594842707467</v>
      </c>
      <c r="W3816" t="s">
        <v>73397</v>
      </c>
      <c r="X3816" t="s">
        <v>73398</v>
      </c>
      <c r="Y3816" t="s">
        <v>73399</v>
      </c>
    </row>
    <row r="3817" spans="1:25" x14ac:dyDescent="0.3">
      <c r="A3817">
        <v>190800</v>
      </c>
      <c r="B3817" t="s">
        <v>73400</v>
      </c>
      <c r="C3817" t="s">
        <v>73401</v>
      </c>
      <c r="D3817" t="s">
        <v>73402</v>
      </c>
      <c r="E3817" t="s">
        <v>73403</v>
      </c>
      <c r="F3817" t="s">
        <v>73404</v>
      </c>
      <c r="G3817" t="s">
        <v>73405</v>
      </c>
      <c r="H3817">
        <f>-701.17373990905 -2.26841709308701 -582.349821646449</f>
        <v>-1285.7919786485859</v>
      </c>
      <c r="I3817">
        <f>-689.645218170471 -0.470044538657248 -659.835689503972</f>
        <v>-1349.9509522131002</v>
      </c>
      <c r="J3817" t="s">
        <v>73406</v>
      </c>
      <c r="K3817" t="s">
        <v>73407</v>
      </c>
      <c r="L3817" t="s">
        <v>73408</v>
      </c>
      <c r="M3817" t="s">
        <v>73409</v>
      </c>
      <c r="N3817">
        <f>-692.984305101282 -32.0768199810605 -528.269785718155</f>
        <v>-1253.3309108004973</v>
      </c>
      <c r="O3817">
        <f>-683.261483998669 -184.413968430952 -496.088019573427</f>
        <v>-1363.7634720030478</v>
      </c>
      <c r="P3817">
        <f>-696.949660390271 -204.797343811802 -215.061782872328</f>
        <v>-1116.8087870744009</v>
      </c>
      <c r="Q3817">
        <f>-491.13980998518 -121.957004302815 -283.824379771288</f>
        <v>-896.92119405928304</v>
      </c>
      <c r="R3817" t="s">
        <v>73410</v>
      </c>
      <c r="S3817" t="s">
        <v>73411</v>
      </c>
      <c r="T3817" t="s">
        <v>73412</v>
      </c>
      <c r="U3817" t="s">
        <v>73413</v>
      </c>
      <c r="V3817">
        <f>-622.46765603252 -78.0737208743785 -94.1139627103337</f>
        <v>-794.65533961723224</v>
      </c>
      <c r="W3817" t="s">
        <v>73414</v>
      </c>
      <c r="X3817" t="s">
        <v>73415</v>
      </c>
      <c r="Y3817" t="s">
        <v>73416</v>
      </c>
    </row>
    <row r="3818" spans="1:25" x14ac:dyDescent="0.3">
      <c r="A3818">
        <v>190850</v>
      </c>
      <c r="B3818" t="s">
        <v>73417</v>
      </c>
      <c r="C3818" t="s">
        <v>73418</v>
      </c>
      <c r="D3818" t="s">
        <v>73419</v>
      </c>
      <c r="E3818" t="s">
        <v>73420</v>
      </c>
      <c r="F3818" t="s">
        <v>73421</v>
      </c>
      <c r="G3818">
        <f>-690.450016208473 -0.290079525522515 -460.181509622184</f>
        <v>-1150.9216053561795</v>
      </c>
      <c r="H3818">
        <f>-700.802766511256 -3.34895153064872 -582.363286002575</f>
        <v>-1286.5150040444796</v>
      </c>
      <c r="I3818">
        <f>-689.228801458104 -1.54859724696894 -659.842359640519</f>
        <v>-1350.6197583455919</v>
      </c>
      <c r="J3818" t="s">
        <v>73422</v>
      </c>
      <c r="K3818" t="s">
        <v>73423</v>
      </c>
      <c r="L3818" t="s">
        <v>73424</v>
      </c>
      <c r="M3818" t="s">
        <v>73425</v>
      </c>
      <c r="N3818">
        <f>-692.550096981498 -33.1442595446233 -528.285657145737</f>
        <v>-1253.9800136718582</v>
      </c>
      <c r="O3818">
        <f>-682.384228797997 -185.462892865504 -496.096854100992</f>
        <v>-1363.943975764493</v>
      </c>
      <c r="P3818">
        <f>-696.305645004353 -206.042969792682 -215.096519112884</f>
        <v>-1117.4451339099189</v>
      </c>
      <c r="Q3818">
        <f>-490.825205397315 -122.210298885878 -283.641519095596</f>
        <v>-896.67702337878904</v>
      </c>
      <c r="R3818" t="s">
        <v>73426</v>
      </c>
      <c r="S3818" t="s">
        <v>73427</v>
      </c>
      <c r="T3818" t="s">
        <v>73428</v>
      </c>
      <c r="U3818" t="s">
        <v>73429</v>
      </c>
      <c r="V3818">
        <f>-622.328052716558 -78.9093956851309 -94.0989899462672</f>
        <v>-795.33643834795612</v>
      </c>
      <c r="W3818" t="s">
        <v>73430</v>
      </c>
      <c r="X3818" t="s">
        <v>73431</v>
      </c>
      <c r="Y3818" t="s">
        <v>73432</v>
      </c>
    </row>
    <row r="3819" spans="1:25" x14ac:dyDescent="0.3">
      <c r="A3819">
        <v>190900</v>
      </c>
      <c r="B3819" t="s">
        <v>73433</v>
      </c>
      <c r="C3819" t="s">
        <v>73434</v>
      </c>
      <c r="D3819" t="s">
        <v>73435</v>
      </c>
      <c r="E3819" t="s">
        <v>73436</v>
      </c>
      <c r="F3819" t="s">
        <v>73437</v>
      </c>
      <c r="G3819">
        <f>-689.408460655488 -1.93358232813353 -460.334907596422</f>
        <v>-1151.6769505800435</v>
      </c>
      <c r="H3819">
        <f>-699.643970514458 -5.0201057313418 -582.525848131268</f>
        <v>-1287.1899243770679</v>
      </c>
      <c r="I3819">
        <f>-687.910462226002 -3.16369325656524 -659.979731464419</f>
        <v>-1351.0538869469863</v>
      </c>
      <c r="J3819" t="s">
        <v>73438</v>
      </c>
      <c r="K3819" t="s">
        <v>73439</v>
      </c>
      <c r="L3819" t="s">
        <v>73440</v>
      </c>
      <c r="M3819" t="s">
        <v>73441</v>
      </c>
      <c r="N3819">
        <f>-691.285878739611 -34.7842195707672 -528.447410717633</f>
        <v>-1254.5175090280113</v>
      </c>
      <c r="O3819">
        <f>-680.340138262991 -187.045304460911 -496.266492430167</f>
        <v>-1363.651935154069</v>
      </c>
      <c r="P3819">
        <f>-694.122501262647 -207.787687946324 -215.271208204014</f>
        <v>-1117.181397412985</v>
      </c>
      <c r="Q3819">
        <f>-489.245033671368 -122.361233295045 -283.652729786624</f>
        <v>-895.25899675303685</v>
      </c>
      <c r="R3819" t="s">
        <v>73442</v>
      </c>
      <c r="S3819" t="s">
        <v>73443</v>
      </c>
      <c r="T3819" t="s">
        <v>73444</v>
      </c>
      <c r="U3819" t="s">
        <v>73445</v>
      </c>
      <c r="V3819">
        <f>-622.343248584981 -80.2373064695989 -94.1466812991965</f>
        <v>-796.72723635377645</v>
      </c>
      <c r="W3819" t="s">
        <v>73446</v>
      </c>
      <c r="X3819" t="s">
        <v>73447</v>
      </c>
      <c r="Y3819" t="s">
        <v>73448</v>
      </c>
    </row>
    <row r="3820" spans="1:25" x14ac:dyDescent="0.3">
      <c r="A3820">
        <v>190950</v>
      </c>
      <c r="B3820" t="s">
        <v>73449</v>
      </c>
      <c r="C3820" t="s">
        <v>73450</v>
      </c>
      <c r="D3820" t="s">
        <v>73451</v>
      </c>
      <c r="E3820" t="s">
        <v>73452</v>
      </c>
      <c r="F3820">
        <f>-680.739812971735 -0.42821509761643 -376.879667633528</f>
        <v>-1058.0476957028795</v>
      </c>
      <c r="G3820">
        <f>-689.073522311688 -2.69064192595965 -460.327518771911</f>
        <v>-1152.0916830095587</v>
      </c>
      <c r="H3820">
        <f>-699.362905692877 -5.81787190563796 -582.512895109612</f>
        <v>-1287.693672708127</v>
      </c>
      <c r="I3820">
        <f>-687.51786124726 -3.92867819927824 -659.948994721356</f>
        <v>-1351.3955341678943</v>
      </c>
      <c r="J3820" t="s">
        <v>73453</v>
      </c>
      <c r="K3820" t="s">
        <v>73454</v>
      </c>
      <c r="L3820" t="s">
        <v>73455</v>
      </c>
      <c r="M3820" t="s">
        <v>73456</v>
      </c>
      <c r="N3820">
        <f>-690.905481384965 -35.5546381704285 -528.434808619476</f>
        <v>-1254.8949281748696</v>
      </c>
      <c r="O3820">
        <f>-679.547952935365 -187.773438008785 -496.209320546391</f>
        <v>-1363.5307114905409</v>
      </c>
      <c r="P3820">
        <f>-693.057405176432 -208.488074999656 -215.198591808073</f>
        <v>-1116.7440719841609</v>
      </c>
      <c r="Q3820">
        <f>-488.371300940316 -122.629599381061 -283.612441475491</f>
        <v>-894.61334179686799</v>
      </c>
      <c r="R3820" t="s">
        <v>73457</v>
      </c>
      <c r="S3820" t="s">
        <v>73458</v>
      </c>
      <c r="T3820" t="s">
        <v>73459</v>
      </c>
      <c r="U3820" t="s">
        <v>73460</v>
      </c>
      <c r="V3820">
        <f>-622.293192830453 -80.8597488447742 -94.1720887887802</f>
        <v>-797.32503046400745</v>
      </c>
      <c r="W3820" t="s">
        <v>73461</v>
      </c>
      <c r="X3820" t="s">
        <v>73462</v>
      </c>
      <c r="Y3820" t="s">
        <v>73463</v>
      </c>
    </row>
    <row r="3821" spans="1:25" x14ac:dyDescent="0.3">
      <c r="A3821">
        <v>191000</v>
      </c>
      <c r="B3821" t="s">
        <v>73464</v>
      </c>
      <c r="C3821" t="s">
        <v>73465</v>
      </c>
      <c r="D3821" t="s">
        <v>73466</v>
      </c>
      <c r="E3821">
        <f>-670.368436270448 -0.0441076397758025 -293.511900882562</f>
        <v>-963.92444479278583</v>
      </c>
      <c r="F3821">
        <f>-680.498562853934 -2.56129070887869 -376.753552148389</f>
        <v>-1059.8134057112018</v>
      </c>
      <c r="G3821">
        <f>-688.978233962603 -4.91987659019378 -460.184181073672</f>
        <v>-1154.0822916264688</v>
      </c>
      <c r="H3821">
        <f>-699.561782138786 -8.20520065396522 -582.340390856807</f>
        <v>-1290.1073736495582</v>
      </c>
      <c r="I3821">
        <f>-687.523199437601 -6.33069040365922 -659.746729096138</f>
        <v>-1353.6006189373982</v>
      </c>
      <c r="J3821" t="s">
        <v>73467</v>
      </c>
      <c r="K3821" t="s">
        <v>73468</v>
      </c>
      <c r="L3821" t="s">
        <v>73469</v>
      </c>
      <c r="M3821" t="s">
        <v>73470</v>
      </c>
      <c r="N3821">
        <f>-690.858088786435 -37.8570980938605 -528.254776459753</f>
        <v>-1256.9699633400485</v>
      </c>
      <c r="O3821">
        <f>-678.816974874418 -189.97383286726 -495.811670415358</f>
        <v>-1364.6024781570359</v>
      </c>
      <c r="P3821">
        <f>-691.266701707067 -210.829932656028 -214.762552986991</f>
        <v>-1116.8591873500861</v>
      </c>
      <c r="Q3821">
        <f>-487.145025079776 -124.018635586582 -283.658524227687</f>
        <v>-894.82218489404499</v>
      </c>
      <c r="R3821" t="s">
        <v>73471</v>
      </c>
      <c r="S3821" t="s">
        <v>73472</v>
      </c>
      <c r="T3821" t="s">
        <v>73473</v>
      </c>
      <c r="U3821" t="s">
        <v>73474</v>
      </c>
      <c r="V3821">
        <f>-621.935625735607 -82.5884102698576 -94.140305551727</f>
        <v>-798.66434155719162</v>
      </c>
      <c r="W3821" t="s">
        <v>73475</v>
      </c>
      <c r="X3821" t="s">
        <v>73476</v>
      </c>
      <c r="Y3821" t="s">
        <v>73477</v>
      </c>
    </row>
    <row r="3822" spans="1:25" x14ac:dyDescent="0.3">
      <c r="A3822">
        <v>191050</v>
      </c>
      <c r="B3822" t="s">
        <v>73478</v>
      </c>
      <c r="C3822" t="s">
        <v>73479</v>
      </c>
      <c r="D3822" t="s">
        <v>73480</v>
      </c>
      <c r="E3822">
        <f>-670.326507385552 -1.30714714623514 -293.46872593101</f>
        <v>-965.1023804627971</v>
      </c>
      <c r="F3822">
        <f>-680.547191306864 -3.87841641296177 -376.697706398074</f>
        <v>-1061.1233141178998</v>
      </c>
      <c r="G3822">
        <f>-689.145800803565 -6.28611847564571 -460.114671968278</f>
        <v>-1155.5465912474888</v>
      </c>
      <c r="H3822">
        <f>-699.934470769268 -9.63795974108439 -582.251094151976</f>
        <v>-1291.8235246623285</v>
      </c>
      <c r="I3822">
        <f>-687.836820003216 -7.79039239228882 -659.649064147487</f>
        <v>-1355.2762765429918</v>
      </c>
      <c r="J3822" t="s">
        <v>73481</v>
      </c>
      <c r="K3822" t="s">
        <v>73482</v>
      </c>
      <c r="L3822" t="s">
        <v>73483</v>
      </c>
      <c r="M3822" t="s">
        <v>73484</v>
      </c>
      <c r="N3822">
        <f>-691.084864352706 -39.2533192448832 -528.169148848488</f>
        <v>-1258.5073324460773</v>
      </c>
      <c r="O3822">
        <f>-678.763885786227 -191.32546477548 -495.621204932773</f>
        <v>-1365.7105554944801</v>
      </c>
      <c r="P3822">
        <f>-690.653438558217 -212.018442062116 -214.535896967306</f>
        <v>-1117.2077775876389</v>
      </c>
      <c r="Q3822">
        <f>-486.826500247523 -124.848836476099 -283.850619608744</f>
        <v>-895.52595633236592</v>
      </c>
      <c r="R3822" t="s">
        <v>73485</v>
      </c>
      <c r="S3822" t="s">
        <v>73486</v>
      </c>
      <c r="T3822" t="s">
        <v>73487</v>
      </c>
      <c r="U3822" t="s">
        <v>73488</v>
      </c>
      <c r="V3822">
        <f>-621.607218378619 -83.5351391473298 -94.0946417259966</f>
        <v>-799.23699925194535</v>
      </c>
      <c r="W3822" t="s">
        <v>73489</v>
      </c>
      <c r="X3822" t="s">
        <v>73490</v>
      </c>
      <c r="Y3822" t="s">
        <v>73491</v>
      </c>
    </row>
    <row r="3823" spans="1:25" x14ac:dyDescent="0.3">
      <c r="A3823">
        <v>191100</v>
      </c>
      <c r="B3823" t="s">
        <v>73492</v>
      </c>
      <c r="C3823" t="s">
        <v>73493</v>
      </c>
      <c r="D3823">
        <f>-657.668735120597 -0.660362574061764 -201.386066431076</f>
        <v>-859.71516412573476</v>
      </c>
      <c r="E3823">
        <f>-670.310565427458 -3.74389836326964 -293.345284859666</f>
        <v>-967.39974865039358</v>
      </c>
      <c r="F3823">
        <f>-680.690783623725 -6.43906290771633 -376.550637964386</f>
        <v>-1063.6804844958274</v>
      </c>
      <c r="G3823">
        <f>-689.468845737074 -8.96877629816299 -459.945281065953</f>
        <v>-1158.3829031011901</v>
      </c>
      <c r="H3823">
        <f>-700.541675121369 -12.4966490053819 -582.051348786837</f>
        <v>-1295.0896729135879</v>
      </c>
      <c r="I3823">
        <f>-688.467223277229 -10.7195905095468 -659.454606472116</f>
        <v>-1358.6414202588917</v>
      </c>
      <c r="J3823" t="s">
        <v>73494</v>
      </c>
      <c r="K3823" t="s">
        <v>73495</v>
      </c>
      <c r="L3823" t="s">
        <v>73496</v>
      </c>
      <c r="M3823" t="s">
        <v>73497</v>
      </c>
      <c r="N3823">
        <f>-691.446105274635 -42.0180282841841 -527.95878843559</f>
        <v>-1261.4229219944091</v>
      </c>
      <c r="O3823">
        <f>-678.585031894551 -193.982639414378 -495.121757416694</f>
        <v>-1367.689428725623</v>
      </c>
      <c r="P3823">
        <f>-689.608561196315 -214.149876871735 -213.962861918861</f>
        <v>-1117.7212999869112</v>
      </c>
      <c r="Q3823">
        <f>-486.365794857786 -126.43654342905 -284.299822004267</f>
        <v>-897.10216029110302</v>
      </c>
      <c r="R3823" t="s">
        <v>73498</v>
      </c>
      <c r="S3823" t="s">
        <v>73499</v>
      </c>
      <c r="T3823" t="s">
        <v>73500</v>
      </c>
      <c r="U3823" t="s">
        <v>73501</v>
      </c>
      <c r="V3823">
        <f>-620.897307627256 -85.4668686491316 -94.0015470983989</f>
        <v>-800.36572337478651</v>
      </c>
      <c r="W3823" t="s">
        <v>73502</v>
      </c>
      <c r="X3823" t="s">
        <v>73503</v>
      </c>
      <c r="Y3823" t="s">
        <v>73504</v>
      </c>
    </row>
    <row r="3824" spans="1:25" x14ac:dyDescent="0.3">
      <c r="A3824">
        <v>191150</v>
      </c>
      <c r="B3824" t="s">
        <v>73505</v>
      </c>
      <c r="C3824" t="s">
        <v>73506</v>
      </c>
      <c r="D3824">
        <f>-657.605567452935 -1.61861523274661 -201.344231989413</f>
        <v>-860.56841467509457</v>
      </c>
      <c r="E3824">
        <f>-670.33107213395 -4.78330191237887 -293.289259787777</f>
        <v>-968.4036338341059</v>
      </c>
      <c r="F3824">
        <f>-680.772152798988 -7.55731496028125 -376.484330102082</f>
        <v>-1064.8137978613513</v>
      </c>
      <c r="G3824">
        <f>-689.59641852662 -10.1701778326806 -459.871663437898</f>
        <v>-1159.6382597971985</v>
      </c>
      <c r="H3824">
        <f>-700.720739760527 -13.8245530227559 -581.969300447787</f>
        <v>-1296.5145932310697</v>
      </c>
      <c r="I3824">
        <f>-688.666549108018 -12.1150262463339 -659.377165884691</f>
        <v>-1360.1587412390427</v>
      </c>
      <c r="J3824" t="s">
        <v>73507</v>
      </c>
      <c r="K3824" t="s">
        <v>73508</v>
      </c>
      <c r="L3824" t="s">
        <v>73509</v>
      </c>
      <c r="M3824" t="s">
        <v>73510</v>
      </c>
      <c r="N3824">
        <f>-691.549930955007 -43.2828209337972 -527.855007414149</f>
        <v>-1262.6877593029531</v>
      </c>
      <c r="O3824">
        <f>-678.455608665851 -195.193264752679 -494.872034599413</f>
        <v>-1368.5209080179429</v>
      </c>
      <c r="P3824">
        <f>-689.184666423082 -215.12741416099 -213.685011461879</f>
        <v>-1117.9970920459511</v>
      </c>
      <c r="Q3824">
        <f>-486.222553328145 -127.105025250513 -284.444899986196</f>
        <v>-897.77247856485394</v>
      </c>
      <c r="R3824" t="s">
        <v>73511</v>
      </c>
      <c r="S3824" t="s">
        <v>73512</v>
      </c>
      <c r="T3824" t="s">
        <v>73513</v>
      </c>
      <c r="U3824" t="s">
        <v>73514</v>
      </c>
      <c r="V3824">
        <f>-620.556333776224 -86.3372691103532 -93.9650278669729</f>
        <v>-800.85863075355019</v>
      </c>
      <c r="W3824" t="s">
        <v>73515</v>
      </c>
      <c r="X3824" t="s">
        <v>73516</v>
      </c>
      <c r="Y3824" t="s">
        <v>73517</v>
      </c>
    </row>
    <row r="3825" spans="1:25" x14ac:dyDescent="0.3">
      <c r="A3825">
        <v>191200</v>
      </c>
      <c r="B3825" t="s">
        <v>73518</v>
      </c>
      <c r="C3825" t="s">
        <v>73519</v>
      </c>
      <c r="D3825">
        <f>-657.519874810278 -3.20468155284152 -201.33502023755</f>
        <v>-862.05957660066952</v>
      </c>
      <c r="E3825">
        <f>-670.441388878421 -6.53984980337282 -293.246677999088</f>
        <v>-970.22791668088178</v>
      </c>
      <c r="F3825">
        <f>-681.021005251234 -9.48089769910825 -376.418534647927</f>
        <v>-1066.9204375982692</v>
      </c>
      <c r="G3825">
        <f>-689.945395360997 -12.2727465693354 -459.789447265708</f>
        <v>-1162.0075891960405</v>
      </c>
      <c r="H3825">
        <f>-701.173953850836 -16.2021236787466 -581.868908970127</f>
        <v>-1299.2449864997097</v>
      </c>
      <c r="I3825">
        <f>-689.233082628833 -14.6653054344906 -659.298044208522</f>
        <v>-1363.1964322718457</v>
      </c>
      <c r="J3825" t="s">
        <v>73520</v>
      </c>
      <c r="K3825" t="s">
        <v>73521</v>
      </c>
      <c r="L3825" t="s">
        <v>73522</v>
      </c>
      <c r="M3825" t="s">
        <v>73523</v>
      </c>
      <c r="N3825">
        <f>-691.891323631007 -45.5293424501485 -527.702586771339</f>
        <v>-1265.1232528524947</v>
      </c>
      <c r="O3825">
        <f>-678.501539958664 -197.338563792518 -494.343873087859</f>
        <v>-1370.183976839041</v>
      </c>
      <c r="P3825">
        <f>-688.409202339496 -216.796812105879 -213.093437531221</f>
        <v>-1118.2994519765959</v>
      </c>
      <c r="Q3825">
        <f>-486.016900449334 -128.187837768734 -284.747843881946</f>
        <v>-898.95258210001396</v>
      </c>
      <c r="R3825" t="s">
        <v>73524</v>
      </c>
      <c r="S3825" t="s">
        <v>73525</v>
      </c>
      <c r="T3825" t="s">
        <v>73526</v>
      </c>
      <c r="U3825" t="s">
        <v>73527</v>
      </c>
      <c r="V3825">
        <f>-619.896565643012 -87.7778464622154 -93.9315935179596</f>
        <v>-801.606005623187</v>
      </c>
      <c r="W3825" t="s">
        <v>73528</v>
      </c>
      <c r="X3825" t="s">
        <v>73529</v>
      </c>
      <c r="Y3825" t="s">
        <v>73530</v>
      </c>
    </row>
    <row r="3826" spans="1:25" x14ac:dyDescent="0.3">
      <c r="A3826">
        <v>191250</v>
      </c>
      <c r="B3826" t="s">
        <v>73531</v>
      </c>
      <c r="C3826" t="s">
        <v>73532</v>
      </c>
      <c r="D3826">
        <f>-657.45454850679 -3.79532725352055 -201.345487450757</f>
        <v>-862.59536321106759</v>
      </c>
      <c r="E3826">
        <f>-670.487638952125 -7.18113786979166 -293.239547687187</f>
        <v>-970.90832450910375</v>
      </c>
      <c r="F3826">
        <f>-681.165314345069 -10.1727281530059 -376.397091748209</f>
        <v>-1067.7351342462839</v>
      </c>
      <c r="G3826">
        <f>-690.185309391654 -13.020243916762 -459.755729509133</f>
        <v>-1162.9612828175489</v>
      </c>
      <c r="H3826">
        <f>-701.550873558412 -17.0363862033803 -581.819733085302</f>
        <v>-1300.4069928470944</v>
      </c>
      <c r="I3826">
        <f>-689.691051326629 -15.591776063518 -659.263089891103</f>
        <v>-1364.54591728125</v>
      </c>
      <c r="J3826" t="s">
        <v>73533</v>
      </c>
      <c r="K3826" t="s">
        <v>73534</v>
      </c>
      <c r="L3826" t="s">
        <v>73535</v>
      </c>
      <c r="M3826" t="s">
        <v>73536</v>
      </c>
      <c r="N3826">
        <f>-692.198041601069 -46.323885300344 -527.644004532318</f>
        <v>-1266.1659314337312</v>
      </c>
      <c r="O3826">
        <f>-678.755132156827 -198.097818339421 -494.134182581145</f>
        <v>-1370.9871330773931</v>
      </c>
      <c r="P3826">
        <f>-688.213401297293 -217.136747485844 -212.839554458132</f>
        <v>-1118.1897032412689</v>
      </c>
      <c r="Q3826">
        <f>-486.030364117971 -128.427016403462 -284.95840610718</f>
        <v>-899.41578662861298</v>
      </c>
      <c r="R3826" t="s">
        <v>73537</v>
      </c>
      <c r="S3826" t="s">
        <v>73538</v>
      </c>
      <c r="T3826" t="s">
        <v>73539</v>
      </c>
      <c r="U3826" t="s">
        <v>73540</v>
      </c>
      <c r="V3826">
        <f>-619.62018388296 -88.4130142969934 -93.9443166700237</f>
        <v>-801.97751484997707</v>
      </c>
      <c r="W3826" t="s">
        <v>73541</v>
      </c>
      <c r="X3826" t="s">
        <v>73542</v>
      </c>
      <c r="Y3826" t="s">
        <v>73543</v>
      </c>
    </row>
    <row r="3827" spans="1:25" x14ac:dyDescent="0.3">
      <c r="A3827">
        <v>191300</v>
      </c>
      <c r="B3827" t="s">
        <v>73544</v>
      </c>
      <c r="C3827" t="s">
        <v>73545</v>
      </c>
      <c r="D3827">
        <f>-657.210034561625 -4.4920540785306 -201.403122742529</f>
        <v>-863.10521138268462</v>
      </c>
      <c r="E3827">
        <f>-670.429905499621 -7.93953919234355 -293.268135635932</f>
        <v>-971.63758032789656</v>
      </c>
      <c r="F3827">
        <f>-681.285705283443 -11.0015880375393 -376.400019272478</f>
        <v>-1068.6873125934603</v>
      </c>
      <c r="G3827">
        <f>-690.493372030991 -13.934655187594 -459.735349082104</f>
        <v>-1164.1633763006889</v>
      </c>
      <c r="H3827">
        <f>-702.143822541016 -18.0921880834235 -581.767741374325</f>
        <v>-1302.0037519987645</v>
      </c>
      <c r="I3827">
        <f>-690.485664911721 -16.8404995392812 -659.244915449939</f>
        <v>-1366.5710799009412</v>
      </c>
      <c r="J3827" t="s">
        <v>73546</v>
      </c>
      <c r="K3827" t="s">
        <v>73547</v>
      </c>
      <c r="L3827" t="s">
        <v>73548</v>
      </c>
      <c r="M3827" t="s">
        <v>73549</v>
      </c>
      <c r="N3827">
        <f>-692.686307454403 -47.3199221765926 -527.577825081679</f>
        <v>-1267.5840547126745</v>
      </c>
      <c r="O3827">
        <f>-679.340560793968 -199.032997539741 -493.801082758455</f>
        <v>-1372.1746410921642</v>
      </c>
      <c r="P3827">
        <f>-687.70274233877 -217.272042583782 -212.418763826408</f>
        <v>-1117.39354874896</v>
      </c>
      <c r="Q3827">
        <f>-485.892559758058 -128.557234296735 -285.568260236173</f>
        <v>-900.01805429096589</v>
      </c>
      <c r="R3827" t="s">
        <v>73550</v>
      </c>
      <c r="S3827" t="s">
        <v>73551</v>
      </c>
      <c r="T3827" t="s">
        <v>73552</v>
      </c>
      <c r="U3827" t="s">
        <v>73553</v>
      </c>
      <c r="V3827">
        <f>-619.139068190311 -89.1353477062414 -93.9978649086263</f>
        <v>-802.27228080517875</v>
      </c>
      <c r="W3827" t="s">
        <v>73554</v>
      </c>
      <c r="X3827" t="s">
        <v>73555</v>
      </c>
      <c r="Y3827" t="s">
        <v>73556</v>
      </c>
    </row>
    <row r="3828" spans="1:25" x14ac:dyDescent="0.3">
      <c r="A3828">
        <v>191350</v>
      </c>
      <c r="B3828" t="s">
        <v>73557</v>
      </c>
      <c r="C3828" t="s">
        <v>73558</v>
      </c>
      <c r="D3828">
        <f>-657.13974864848 -4.68878378030286 -201.406885158561</f>
        <v>-863.23541758734382</v>
      </c>
      <c r="E3828">
        <f>-670.445045589862 -8.17133400386342 -293.258282546376</f>
        <v>-971.87466214010146</v>
      </c>
      <c r="F3828">
        <f>-681.369155525661 -11.2737349482054 -376.379707666015</f>
        <v>-1069.0225981398814</v>
      </c>
      <c r="G3828">
        <f>-690.636204781858 -14.2558447793563 -459.706633654984</f>
        <v>-1164.5986832161984</v>
      </c>
      <c r="H3828">
        <f>-702.363757067485 -18.4946970040219 -581.728848483831</f>
        <v>-1302.5873025553378</v>
      </c>
      <c r="I3828">
        <f>-690.782742079632 -17.330469191141 -659.219030344297</f>
        <v>-1367.33224161507</v>
      </c>
      <c r="J3828" t="s">
        <v>73559</v>
      </c>
      <c r="K3828" t="s">
        <v>73560</v>
      </c>
      <c r="L3828" t="s">
        <v>73561</v>
      </c>
      <c r="M3828" t="s">
        <v>73562</v>
      </c>
      <c r="N3828">
        <f>-692.883188459547 -47.6878530947556 -527.524453950654</f>
        <v>-1268.0954955049565</v>
      </c>
      <c r="O3828">
        <f>-679.579280890671 -199.378638902777 -493.607996006556</f>
        <v>-1372.5659158000039</v>
      </c>
      <c r="P3828">
        <f>-687.56600744793 -217.329745678066 -212.196220059629</f>
        <v>-1117.091973185625</v>
      </c>
      <c r="Q3828">
        <f>-485.863310658218 -128.708456087913 -285.754360505332</f>
        <v>-900.32612725146294</v>
      </c>
      <c r="R3828" t="s">
        <v>73563</v>
      </c>
      <c r="S3828" t="s">
        <v>73564</v>
      </c>
      <c r="T3828" t="s">
        <v>73565</v>
      </c>
      <c r="U3828" t="s">
        <v>73566</v>
      </c>
      <c r="V3828">
        <f>-618.968024012556 -89.4013075893338 -94.020685550081</f>
        <v>-802.39001715197082</v>
      </c>
      <c r="W3828" t="s">
        <v>73567</v>
      </c>
      <c r="X3828" t="s">
        <v>73568</v>
      </c>
      <c r="Y3828" t="s">
        <v>73569</v>
      </c>
    </row>
    <row r="3829" spans="1:25" x14ac:dyDescent="0.3">
      <c r="A3829">
        <v>191400</v>
      </c>
      <c r="B3829" t="s">
        <v>73570</v>
      </c>
      <c r="C3829" t="s">
        <v>73571</v>
      </c>
      <c r="D3829">
        <f>-657.035418432911 -4.68362910727069 -201.428128457453</f>
        <v>-863.14717599763469</v>
      </c>
      <c r="E3829">
        <f>-670.569781252045 -8.23347224969257 -293.243487817069</f>
        <v>-972.04674131880665</v>
      </c>
      <c r="F3829">
        <f>-681.68690342316 -11.4071923670197 -376.336512023787</f>
        <v>-1069.4306078139666</v>
      </c>
      <c r="G3829">
        <f>-691.133258206686 -14.472232174882 -459.640242028365</f>
        <v>-1165.245732409933</v>
      </c>
      <c r="H3829">
        <f>-703.107845377846 -18.8445178012059 -581.633828623872</f>
        <v>-1303.5861918029241</v>
      </c>
      <c r="I3829">
        <f>-691.589864314721 -17.7891632842461 -659.135033636241</f>
        <v>-1368.5140612352081</v>
      </c>
      <c r="J3829" t="s">
        <v>73572</v>
      </c>
      <c r="K3829" t="s">
        <v>73573</v>
      </c>
      <c r="L3829" t="s">
        <v>73574</v>
      </c>
      <c r="M3829" t="s">
        <v>73575</v>
      </c>
      <c r="N3829">
        <f>-693.541608949196 -47.9816870770503 -527.414245312797</f>
        <v>-1268.9375413390433</v>
      </c>
      <c r="O3829">
        <f>-680.211110373138 -199.62506474614 -493.274449623363</f>
        <v>-1373.110624742641</v>
      </c>
      <c r="P3829">
        <f>-687.725164618068 -216.945674539727 -211.810154659084</f>
        <v>-1116.4809938168789</v>
      </c>
      <c r="Q3829">
        <f>-485.973589200866 -128.846801901164 -285.860391707754</f>
        <v>-900.68078280978398</v>
      </c>
      <c r="R3829" t="s">
        <v>73576</v>
      </c>
      <c r="S3829" t="s">
        <v>73577</v>
      </c>
      <c r="T3829" t="s">
        <v>73578</v>
      </c>
      <c r="U3829" t="s">
        <v>73579</v>
      </c>
      <c r="V3829">
        <f>-618.685303213002 -89.5783229736955 -94.0610648097015</f>
        <v>-802.32469099639911</v>
      </c>
      <c r="W3829" t="s">
        <v>73580</v>
      </c>
      <c r="X3829" t="s">
        <v>73581</v>
      </c>
      <c r="Y3829" t="s">
        <v>73582</v>
      </c>
    </row>
    <row r="3830" spans="1:25" x14ac:dyDescent="0.3">
      <c r="A3830">
        <v>191450</v>
      </c>
      <c r="B3830" t="s">
        <v>73570</v>
      </c>
      <c r="C3830" t="s">
        <v>73571</v>
      </c>
      <c r="D3830">
        <f>-657.035418432911 -4.68362910727069 -201.428128457453</f>
        <v>-863.14717599763469</v>
      </c>
      <c r="E3830">
        <f>-670.569781252045 -8.23347224969257 -293.243487817069</f>
        <v>-972.04674131880665</v>
      </c>
      <c r="F3830">
        <f>-681.68690342316 -11.4071923670197 -376.336512023787</f>
        <v>-1069.4306078139666</v>
      </c>
      <c r="G3830">
        <f>-691.133258206686 -14.472232174882 -459.640242028365</f>
        <v>-1165.245732409933</v>
      </c>
      <c r="H3830">
        <f>-703.107845377846 -18.8445178012059 -581.633828623872</f>
        <v>-1303.5861918029241</v>
      </c>
      <c r="I3830">
        <f>-691.589864314721 -17.7891632842461 -659.135033636241</f>
        <v>-1368.5140612352081</v>
      </c>
      <c r="J3830" t="s">
        <v>73572</v>
      </c>
      <c r="K3830" t="s">
        <v>73573</v>
      </c>
      <c r="L3830" t="s">
        <v>73574</v>
      </c>
      <c r="M3830" t="s">
        <v>73575</v>
      </c>
      <c r="N3830">
        <f>-693.541608949196 -47.9816870770503 -527.414245312797</f>
        <v>-1268.9375413390433</v>
      </c>
      <c r="O3830">
        <f>-680.211110373138 -199.62506474614 -493.274449623363</f>
        <v>-1373.110624742641</v>
      </c>
      <c r="P3830">
        <f>-687.725164618068 -216.945674539727 -211.810154659084</f>
        <v>-1116.4809938168789</v>
      </c>
      <c r="Q3830">
        <f>-485.973589200866 -128.846801901164 -285.860391707754</f>
        <v>-900.68078280978398</v>
      </c>
      <c r="R3830" t="s">
        <v>73576</v>
      </c>
      <c r="S3830" t="s">
        <v>73577</v>
      </c>
      <c r="T3830" t="s">
        <v>73578</v>
      </c>
      <c r="U3830" t="s">
        <v>73579</v>
      </c>
      <c r="V3830">
        <f>-618.685303213002 -89.5783229736955 -94.0610648097015</f>
        <v>-802.32469099639911</v>
      </c>
      <c r="W3830" t="s">
        <v>73580</v>
      </c>
      <c r="X3830" t="s">
        <v>73581</v>
      </c>
      <c r="Y3830" t="s">
        <v>73582</v>
      </c>
    </row>
    <row r="3831" spans="1:25" x14ac:dyDescent="0.3">
      <c r="A3831">
        <v>191500</v>
      </c>
      <c r="B3831" t="s">
        <v>73583</v>
      </c>
      <c r="C3831" t="s">
        <v>73584</v>
      </c>
      <c r="D3831">
        <f>-656.984854635959 -4.56670378900935 -201.456208469187</f>
        <v>-863.00776689415534</v>
      </c>
      <c r="E3831">
        <f>-670.634911445622 -8.13896682829318 -293.253660128673</f>
        <v>-972.02753840258822</v>
      </c>
      <c r="F3831">
        <f>-681.859845332384 -11.3338307982096 -376.331404654551</f>
        <v>-1069.5250807851446</v>
      </c>
      <c r="G3831">
        <f>-691.417348610181 -14.4211260817544 -459.621543963187</f>
        <v>-1165.4600186551224</v>
      </c>
      <c r="H3831">
        <f>-703.558092155639 -18.8273124167617 -581.597500747931</f>
        <v>-1303.9829053203316</v>
      </c>
      <c r="I3831">
        <f>-692.087599663034 -17.7846836037413 -659.105899316408</f>
        <v>-1368.9781825831833</v>
      </c>
      <c r="J3831" t="s">
        <v>73585</v>
      </c>
      <c r="K3831" t="s">
        <v>73586</v>
      </c>
      <c r="L3831" t="s">
        <v>73587</v>
      </c>
      <c r="M3831" t="s">
        <v>73588</v>
      </c>
      <c r="N3831">
        <f>-693.936078869636 -47.9518850562181 -527.381029198235</f>
        <v>-1269.2689931240891</v>
      </c>
      <c r="O3831">
        <f>-680.664145364762 -199.582279490231 -493.174259310638</f>
        <v>-1373.420684165631</v>
      </c>
      <c r="P3831">
        <f>-687.763404125452 -216.778231080769 -211.691702430384</f>
        <v>-1116.233337636605</v>
      </c>
      <c r="Q3831">
        <f>-486.006639842083 -128.842602928504 -285.921285190223</f>
        <v>-900.77052796081</v>
      </c>
      <c r="R3831" t="s">
        <v>73589</v>
      </c>
      <c r="S3831" t="s">
        <v>73590</v>
      </c>
      <c r="T3831" t="s">
        <v>73591</v>
      </c>
      <c r="U3831" t="s">
        <v>73592</v>
      </c>
      <c r="V3831">
        <f>-618.574177820506 -89.4741612427054 -94.0778149317377</f>
        <v>-802.12615399494916</v>
      </c>
      <c r="W3831" t="s">
        <v>73593</v>
      </c>
      <c r="X3831" t="s">
        <v>73594</v>
      </c>
      <c r="Y3831" t="s">
        <v>73595</v>
      </c>
    </row>
    <row r="3832" spans="1:25" x14ac:dyDescent="0.3">
      <c r="A3832">
        <v>191550</v>
      </c>
      <c r="B3832" t="s">
        <v>73596</v>
      </c>
      <c r="C3832" t="s">
        <v>73597</v>
      </c>
      <c r="D3832">
        <f>-656.80420560163 -3.75257981790651 -201.501333435182</f>
        <v>-862.05811885471849</v>
      </c>
      <c r="E3832">
        <f>-670.706007481408 -7.3489271257431 -293.259954888765</f>
        <v>-971.31488949591608</v>
      </c>
      <c r="F3832">
        <f>-682.163571975203 -10.5523571308877 -376.305658464206</f>
        <v>-1069.0215875702966</v>
      </c>
      <c r="G3832">
        <f>-691.958997689469 -13.6344669914126 -459.568428319077</f>
        <v>-1165.1618929999586</v>
      </c>
      <c r="H3832">
        <f>-704.45330635209 -18.0177642352603 -581.509375015603</f>
        <v>-1303.9804456029533</v>
      </c>
      <c r="I3832">
        <f>-693.153819348509 -16.8768654625098 -659.041687975787</f>
        <v>-1369.0723727868058</v>
      </c>
      <c r="J3832" t="s">
        <v>73598</v>
      </c>
      <c r="K3832" t="s">
        <v>73599</v>
      </c>
      <c r="L3832" t="s">
        <v>73600</v>
      </c>
      <c r="M3832" t="s">
        <v>73601</v>
      </c>
      <c r="N3832">
        <f>-694.657071065655 -47.1502790613686 -527.328487349597</f>
        <v>-1269.1358374766205</v>
      </c>
      <c r="O3832">
        <f>-681.297711657412 -198.770765677361 -493.116705892557</f>
        <v>-1373.1851832273301</v>
      </c>
      <c r="P3832">
        <f>-687.857169738428 -215.813595385386 -211.611664180685</f>
        <v>-1115.2824293044989</v>
      </c>
      <c r="Q3832">
        <f>-485.880461681001 -128.67893719691 -286.186880948791</f>
        <v>-900.74627982670199</v>
      </c>
      <c r="R3832" t="s">
        <v>73602</v>
      </c>
      <c r="S3832" t="s">
        <v>73603</v>
      </c>
      <c r="T3832" t="s">
        <v>73604</v>
      </c>
      <c r="U3832" t="s">
        <v>73605</v>
      </c>
      <c r="V3832">
        <f>-618.206194400704 -88.7933567072591 -94.1188392437676</f>
        <v>-801.1183903517308</v>
      </c>
      <c r="W3832" t="s">
        <v>73606</v>
      </c>
      <c r="X3832" t="s">
        <v>73607</v>
      </c>
      <c r="Y3832" t="s">
        <v>73608</v>
      </c>
    </row>
    <row r="3833" spans="1:25" x14ac:dyDescent="0.3">
      <c r="A3833">
        <v>191600</v>
      </c>
      <c r="B3833" t="s">
        <v>73609</v>
      </c>
      <c r="C3833" t="s">
        <v>73610</v>
      </c>
      <c r="D3833">
        <f>-656.647111050987 -2.92476150377979 -201.528253390225</f>
        <v>-861.10012594499176</v>
      </c>
      <c r="E3833">
        <f>-670.666058487262 -6.48521109706962 -293.270462265027</f>
        <v>-970.42173184935859</v>
      </c>
      <c r="F3833">
        <f>-682.246322696683 -9.63943600729249 -376.301105859697</f>
        <v>-1068.1868645636725</v>
      </c>
      <c r="G3833">
        <f>-692.18142794649 -12.6547563700656 -459.549751321301</f>
        <v>-1164.3859356378566</v>
      </c>
      <c r="H3833">
        <f>-704.898537300911 -16.9202155148396 -581.471860845375</f>
        <v>-1303.2906136611255</v>
      </c>
      <c r="I3833">
        <f>-693.606106925136 -15.6193965586335 -659.002455262854</f>
        <v>-1368.2279587466237</v>
      </c>
      <c r="J3833" t="s">
        <v>73611</v>
      </c>
      <c r="K3833" t="s">
        <v>73612</v>
      </c>
      <c r="L3833" t="s">
        <v>73613</v>
      </c>
      <c r="M3833" t="s">
        <v>73614</v>
      </c>
      <c r="N3833">
        <f>-694.96825450138 -46.100128081029 -527.340928888636</f>
        <v>-1268.4093114710449</v>
      </c>
      <c r="O3833">
        <f>-681.429011262141 -197.751397765063 -493.308667506088</f>
        <v>-1372.4890765332921</v>
      </c>
      <c r="P3833">
        <f>-687.638819648319 -215.164553465704 -211.818165794498</f>
        <v>-1114.621538908521</v>
      </c>
      <c r="Q3833">
        <f>-485.671683735042 -128.240633919951 -286.665010361621</f>
        <v>-900.57732801661405</v>
      </c>
      <c r="R3833" t="s">
        <v>73615</v>
      </c>
      <c r="S3833" t="s">
        <v>73616</v>
      </c>
      <c r="T3833" t="s">
        <v>73617</v>
      </c>
      <c r="U3833" t="s">
        <v>73618</v>
      </c>
      <c r="V3833">
        <f>-618.029914582955 -88.0669791983255 -94.1426091930688</f>
        <v>-800.23950297434931</v>
      </c>
      <c r="W3833" t="s">
        <v>73619</v>
      </c>
      <c r="X3833" t="s">
        <v>73620</v>
      </c>
      <c r="Y3833" t="s">
        <v>73621</v>
      </c>
    </row>
    <row r="3834" spans="1:25" x14ac:dyDescent="0.3">
      <c r="A3834">
        <v>191650</v>
      </c>
      <c r="B3834" t="s">
        <v>73622</v>
      </c>
      <c r="C3834" t="s">
        <v>73623</v>
      </c>
      <c r="D3834">
        <f>-656.53963136126 -2.09667256693228 -201.543549611721</f>
        <v>-860.17985353991332</v>
      </c>
      <c r="E3834">
        <f>-670.589026081817 -5.5831260162106 -293.283813006534</f>
        <v>-969.45596510456153</v>
      </c>
      <c r="F3834">
        <f>-682.201011560526 -8.63640663415617 -376.313735374544</f>
        <v>-1067.1511535692262</v>
      </c>
      <c r="G3834">
        <f>-692.171871219962 -11.5151292095186 -459.562999967808</f>
        <v>-1163.2500003972887</v>
      </c>
      <c r="H3834">
        <f>-704.94564702516 -15.5414788080286 -581.487378261954</f>
        <v>-1301.9745040951425</v>
      </c>
      <c r="I3834">
        <f>-693.574016530622 -13.9487725116244 -659.00098588652</f>
        <v>-1366.5237749287662</v>
      </c>
      <c r="J3834" t="s">
        <v>73624</v>
      </c>
      <c r="K3834" t="s">
        <v>73625</v>
      </c>
      <c r="L3834" t="s">
        <v>73626</v>
      </c>
      <c r="M3834" t="s">
        <v>73627</v>
      </c>
      <c r="N3834">
        <f>-694.941293154637 -44.8207133702272 -527.423687319258</f>
        <v>-1267.1856938441222</v>
      </c>
      <c r="O3834">
        <f>-681.330766725024 -196.494488640353 -493.554890829119</f>
        <v>-1371.3801461944959</v>
      </c>
      <c r="P3834">
        <f>-686.752937207224 -214.079484769531 -212.058881380079</f>
        <v>-1112.891303356834</v>
      </c>
      <c r="Q3834">
        <f>-485.133304054695 -126.873256337259 -287.511747460374</f>
        <v>-899.51830785232801</v>
      </c>
      <c r="R3834" t="s">
        <v>73628</v>
      </c>
      <c r="S3834" t="s">
        <v>73629</v>
      </c>
      <c r="T3834" t="s">
        <v>73630</v>
      </c>
      <c r="U3834" t="s">
        <v>73631</v>
      </c>
      <c r="V3834">
        <f>-618.010786192776 -87.3671482277794 -94.1464944421957</f>
        <v>-799.52442886275105</v>
      </c>
      <c r="W3834" t="s">
        <v>73632</v>
      </c>
      <c r="X3834" t="s">
        <v>73633</v>
      </c>
      <c r="Y3834" t="s">
        <v>73634</v>
      </c>
    </row>
    <row r="3835" spans="1:25" x14ac:dyDescent="0.3">
      <c r="A3835">
        <v>191700</v>
      </c>
      <c r="B3835" t="s">
        <v>73635</v>
      </c>
      <c r="C3835" t="s">
        <v>73636</v>
      </c>
      <c r="D3835">
        <f>-656.501286943352 -1.68119424056044 -201.563707065168</f>
        <v>-859.74618824908043</v>
      </c>
      <c r="E3835">
        <f>-670.456217948815 -5.11586711394511 -293.320509087861</f>
        <v>-968.89259415062111</v>
      </c>
      <c r="F3835">
        <f>-681.946674416519 -8.09922339730247 -376.369947096476</f>
        <v>-1066.4158449102974</v>
      </c>
      <c r="G3835">
        <f>-691.759709880803 -10.8843015799962 -459.641063357571</f>
        <v>-1162.2850748183703</v>
      </c>
      <c r="H3835">
        <f>-704.262641530025 -14.7464596297013 -581.598829424292</f>
        <v>-1300.6079305840185</v>
      </c>
      <c r="I3835">
        <f>-692.777349002287 -12.9430646413844 -659.091006767781</f>
        <v>-1364.8114204114522</v>
      </c>
      <c r="J3835" t="s">
        <v>73637</v>
      </c>
      <c r="K3835" t="s">
        <v>73638</v>
      </c>
      <c r="L3835" t="s">
        <v>73639</v>
      </c>
      <c r="M3835" t="s">
        <v>73640</v>
      </c>
      <c r="N3835">
        <f>-694.320412226278 -44.0903167309946 -527.55863651506</f>
        <v>-1265.9693654723326</v>
      </c>
      <c r="O3835">
        <f>-680.635214381752 -195.784967828459 -493.799581205207</f>
        <v>-1370.2197634154181</v>
      </c>
      <c r="P3835">
        <f>-685.900306997943 -213.608764465416 -212.315693277186</f>
        <v>-1111.8247647405449</v>
      </c>
      <c r="Q3835">
        <f>-484.579205843112 -125.976812897379 -288.071407843396</f>
        <v>-898.62742658388697</v>
      </c>
      <c r="R3835" t="s">
        <v>73641</v>
      </c>
      <c r="S3835" t="s">
        <v>73642</v>
      </c>
      <c r="T3835" t="s">
        <v>73643</v>
      </c>
      <c r="U3835" t="s">
        <v>73644</v>
      </c>
      <c r="V3835">
        <f>-618.045415409838 -87.0322815554575 -94.1523596150697</f>
        <v>-799.23005658036527</v>
      </c>
      <c r="W3835" t="s">
        <v>73645</v>
      </c>
      <c r="X3835" t="s">
        <v>73646</v>
      </c>
      <c r="Y3835" t="s">
        <v>73647</v>
      </c>
    </row>
    <row r="3836" spans="1:25" x14ac:dyDescent="0.3">
      <c r="A3836">
        <v>191750</v>
      </c>
      <c r="B3836" t="s">
        <v>73648</v>
      </c>
      <c r="C3836" t="s">
        <v>73649</v>
      </c>
      <c r="D3836">
        <f>-656.477565757748 -0.885168589388513 -201.600463140232</f>
        <v>-858.96319748736857</v>
      </c>
      <c r="E3836">
        <f>-670.19665810799 -4.18656713234964 -293.397594223692</f>
        <v>-967.78081946403154</v>
      </c>
      <c r="F3836">
        <f>-681.399126233759 -6.99885487562369 -376.492427614363</f>
        <v>-1064.8904087237456</v>
      </c>
      <c r="G3836">
        <f>-690.848662903017 -9.5598888569657 -459.812748851393</f>
        <v>-1160.2213006113757</v>
      </c>
      <c r="H3836">
        <f>-702.737212131388 -13.0353545330584 -581.843453294419</f>
        <v>-1297.6160199588653</v>
      </c>
      <c r="I3836">
        <f>-691.040204023384 -10.7960417256395 -659.292701821826</f>
        <v>-1361.1289475708495</v>
      </c>
      <c r="J3836" t="s">
        <v>73650</v>
      </c>
      <c r="K3836" t="s">
        <v>73651</v>
      </c>
      <c r="L3836" t="s">
        <v>73652</v>
      </c>
      <c r="M3836" t="s">
        <v>73653</v>
      </c>
      <c r="N3836">
        <f>-692.951659774793 -42.533830285066 -527.859011498769</f>
        <v>-1263.3445015586281</v>
      </c>
      <c r="O3836">
        <f>-678.981478548066 -194.265757521269 -494.376580959697</f>
        <v>-1367.6238170290321</v>
      </c>
      <c r="P3836">
        <f>-684.227964321863 -212.872953274529 -212.94312887444</f>
        <v>-1110.044046470832</v>
      </c>
      <c r="Q3836">
        <f>-483.594612746816 -123.682331456789 -288.704676206774</f>
        <v>-895.98162041037904</v>
      </c>
      <c r="R3836" t="s">
        <v>73654</v>
      </c>
      <c r="S3836" t="s">
        <v>73655</v>
      </c>
      <c r="T3836" t="s">
        <v>73656</v>
      </c>
      <c r="U3836" t="s">
        <v>73657</v>
      </c>
      <c r="V3836">
        <f>-618.232977234283 -86.4702895721509 -94.1463907292871</f>
        <v>-798.84965753572101</v>
      </c>
      <c r="W3836" t="s">
        <v>73658</v>
      </c>
      <c r="X3836" t="s">
        <v>73659</v>
      </c>
      <c r="Y3836" t="s">
        <v>73660</v>
      </c>
    </row>
    <row r="3837" spans="1:25" x14ac:dyDescent="0.3">
      <c r="A3837">
        <v>191800</v>
      </c>
      <c r="B3837" t="s">
        <v>73661</v>
      </c>
      <c r="C3837" t="s">
        <v>73662</v>
      </c>
      <c r="D3837">
        <f>-656.432278897222 -0.491843781358966 -201.645858225804</f>
        <v>-858.56998090438492</v>
      </c>
      <c r="E3837">
        <f>-670.071474472129 -3.72283155611444 -293.457518837712</f>
        <v>-967.25182486595543</v>
      </c>
      <c r="F3837">
        <f>-681.182670867695 -6.43625829493476 -376.567729396629</f>
        <v>-1064.1866585592588</v>
      </c>
      <c r="G3837">
        <f>-690.521780020976 -8.86260587810011 -459.904483004751</f>
        <v>-1159.2888689038273</v>
      </c>
      <c r="H3837">
        <f>-702.227720562674 -12.1010489779619 -581.959450426258</f>
        <v>-1296.2882199668938</v>
      </c>
      <c r="I3837">
        <f>-690.5335673648 -9.61959337938902 -659.401803595028</f>
        <v>-1359.5549643392169</v>
      </c>
      <c r="J3837" t="s">
        <v>73663</v>
      </c>
      <c r="K3837" t="s">
        <v>73664</v>
      </c>
      <c r="L3837" t="s">
        <v>73665</v>
      </c>
      <c r="M3837" t="s">
        <v>73666</v>
      </c>
      <c r="N3837">
        <f>-692.486681694262 -41.6990439589335 -528.021362372673</f>
        <v>-1262.2070880258684</v>
      </c>
      <c r="O3837">
        <f>-678.454363270741 -193.463480076336 -494.712462700668</f>
        <v>-1366.6303060477451</v>
      </c>
      <c r="P3837">
        <f>-683.636078545754 -212.280095196382 -213.29167847573</f>
        <v>-1109.207852217866</v>
      </c>
      <c r="Q3837">
        <f>-483.255761315275 -122.268286738655 -288.751280827618</f>
        <v>-894.27532888154792</v>
      </c>
      <c r="R3837" t="s">
        <v>73667</v>
      </c>
      <c r="S3837" t="s">
        <v>73668</v>
      </c>
      <c r="T3837" t="s">
        <v>73669</v>
      </c>
      <c r="U3837" t="s">
        <v>73670</v>
      </c>
      <c r="V3837">
        <f>-618.320213734898 -86.1594016796257 -94.1492824832197</f>
        <v>-798.6288978977434</v>
      </c>
      <c r="W3837" t="s">
        <v>73671</v>
      </c>
      <c r="X3837" t="s">
        <v>73672</v>
      </c>
      <c r="Y3837" t="s">
        <v>73673</v>
      </c>
    </row>
    <row r="3838" spans="1:25" x14ac:dyDescent="0.3">
      <c r="A3838">
        <v>191850</v>
      </c>
      <c r="B3838" t="s">
        <v>73674</v>
      </c>
      <c r="C3838" t="s">
        <v>73675</v>
      </c>
      <c r="D3838">
        <f>-656.364286010483 -0.220273730651115 -201.696771827072</f>
        <v>-858.28133156820616</v>
      </c>
      <c r="E3838">
        <f>-669.946586934163 -3.3911168946654 -293.518975248864</f>
        <v>-966.85667907769243</v>
      </c>
      <c r="F3838">
        <f>-680.985753498168 -6.0120063478696 -376.641781341946</f>
        <v>-1063.6395411879837</v>
      </c>
      <c r="G3838">
        <f>-690.231941458183 -8.30644618251358 -459.992699418839</f>
        <v>-1158.5310870595356</v>
      </c>
      <c r="H3838">
        <f>-701.779030522562 -11.3080104100181 -582.068896914079</f>
        <v>-1295.1559378466591</v>
      </c>
      <c r="I3838">
        <f>-690.138142657165 -8.54985735460878 -659.509668053853</f>
        <v>-1358.1976680656267</v>
      </c>
      <c r="J3838" t="s">
        <v>73676</v>
      </c>
      <c r="K3838" t="s">
        <v>73677</v>
      </c>
      <c r="L3838" t="s">
        <v>73678</v>
      </c>
      <c r="M3838" t="s">
        <v>73679</v>
      </c>
      <c r="N3838">
        <f>-692.06820010241 -41.0047332464437 -528.179514492654</f>
        <v>-1261.2524478415075</v>
      </c>
      <c r="O3838">
        <f>-677.90720600576 -192.791113004276 -495.076663011704</f>
        <v>-1365.77498202174</v>
      </c>
      <c r="P3838">
        <f>-683.188336816191 -211.995529875311 -213.683990735085</f>
        <v>-1108.8678574265871</v>
      </c>
      <c r="Q3838">
        <f>-483.089115861744 -121.050778578839 -288.769842710701</f>
        <v>-892.90973715128405</v>
      </c>
      <c r="R3838" t="s">
        <v>73680</v>
      </c>
      <c r="S3838" t="s">
        <v>73681</v>
      </c>
      <c r="T3838" t="s">
        <v>73682</v>
      </c>
      <c r="U3838" t="s">
        <v>73683</v>
      </c>
      <c r="V3838">
        <f>-618.310457534831 -85.9359227070579 -94.1583168042901</f>
        <v>-798.40469704617897</v>
      </c>
      <c r="W3838" t="s">
        <v>73684</v>
      </c>
      <c r="X3838" t="s">
        <v>73685</v>
      </c>
      <c r="Y3838" t="s">
        <v>73686</v>
      </c>
    </row>
    <row r="3839" spans="1:25" x14ac:dyDescent="0.3">
      <c r="A3839">
        <v>191900</v>
      </c>
      <c r="B3839" t="s">
        <v>73687</v>
      </c>
      <c r="C3839" t="s">
        <v>73688</v>
      </c>
      <c r="D3839" t="s">
        <v>73689</v>
      </c>
      <c r="E3839">
        <f>-669.668751684625 -2.56549502298185 -293.588058903506</f>
        <v>-965.82230561111282</v>
      </c>
      <c r="F3839">
        <f>-680.58416029556 -5.00399482763601 -376.732837504808</f>
        <v>-1062.320992628004</v>
      </c>
      <c r="G3839">
        <f>-689.696781594546 -7.05994096574386 -460.104630287361</f>
        <v>-1156.8613528476508</v>
      </c>
      <c r="H3839">
        <f>-701.037763903022 -9.64997926357933 -582.209560947733</f>
        <v>-1292.8973041143345</v>
      </c>
      <c r="I3839">
        <f>-689.651975118855 -6.33334017380116 -659.666415017058</f>
        <v>-1355.6517303097141</v>
      </c>
      <c r="J3839" t="s">
        <v>73690</v>
      </c>
      <c r="K3839" t="s">
        <v>73691</v>
      </c>
      <c r="L3839" t="s">
        <v>73692</v>
      </c>
      <c r="M3839" t="s">
        <v>73693</v>
      </c>
      <c r="N3839">
        <f>-691.335242661908 -39.515800734297 -528.412405409147</f>
        <v>-1259.263448805352</v>
      </c>
      <c r="O3839">
        <f>-676.655508310761 -191.370322484232 -495.882429499438</f>
        <v>-1363.9082602944309</v>
      </c>
      <c r="P3839">
        <f>-682.608042420462 -212.355852990002 -214.6302794242</f>
        <v>-1109.594174834664</v>
      </c>
      <c r="Q3839">
        <f>-483.342047385268 -118.682873838904 -288.569560868976</f>
        <v>-890.59448209314792</v>
      </c>
      <c r="R3839" t="s">
        <v>73694</v>
      </c>
      <c r="S3839" t="s">
        <v>73695</v>
      </c>
      <c r="T3839" t="s">
        <v>73696</v>
      </c>
      <c r="U3839" t="s">
        <v>73697</v>
      </c>
      <c r="V3839">
        <f>-618.392157119833 -85.185620553118 -94.1595444435585</f>
        <v>-797.73732211650952</v>
      </c>
      <c r="W3839" t="s">
        <v>73698</v>
      </c>
      <c r="X3839" t="s">
        <v>73699</v>
      </c>
      <c r="Y3839" t="s">
        <v>73700</v>
      </c>
    </row>
    <row r="3840" spans="1:25" x14ac:dyDescent="0.3">
      <c r="A3840">
        <v>191950</v>
      </c>
      <c r="B3840" t="s">
        <v>73701</v>
      </c>
      <c r="C3840" t="s">
        <v>73702</v>
      </c>
      <c r="D3840" t="s">
        <v>73703</v>
      </c>
      <c r="E3840">
        <f>-669.55667487621 -2.16088784396902 -293.588168208596</f>
        <v>-965.30573092877501</v>
      </c>
      <c r="F3840">
        <f>-680.479967227803 -4.47807602259195 -376.735266273308</f>
        <v>-1061.693309523703</v>
      </c>
      <c r="G3840">
        <f>-689.602764943104 -6.37130378680467 -460.109942694054</f>
        <v>-1156.0840114239627</v>
      </c>
      <c r="H3840">
        <f>-700.961225004364 -8.67808251213114 -582.218978368413</f>
        <v>-1291.8582858849081</v>
      </c>
      <c r="I3840">
        <f>-689.742598886027 -5.10194177460244 -659.688666664569</f>
        <v>-1354.5332073251984</v>
      </c>
      <c r="J3840" t="s">
        <v>73704</v>
      </c>
      <c r="K3840" t="s">
        <v>73705</v>
      </c>
      <c r="L3840" t="s">
        <v>73706</v>
      </c>
      <c r="M3840" t="s">
        <v>73707</v>
      </c>
      <c r="N3840">
        <f>-691.201594078293 -38.6610438000469 -528.497199785627</f>
        <v>-1258.359837663967</v>
      </c>
      <c r="O3840">
        <f>-676.225917245652 -190.600134912749 -496.44553123324</f>
        <v>-1363.2715833916409</v>
      </c>
      <c r="P3840">
        <f>-682.518576903243 -212.220102749971 -215.248969321177</f>
        <v>-1109.987648974391</v>
      </c>
      <c r="Q3840">
        <f>-483.415515525831 -117.689688448382 -288.532714780627</f>
        <v>-889.63791875483992</v>
      </c>
      <c r="R3840" t="s">
        <v>73708</v>
      </c>
      <c r="S3840" t="s">
        <v>73709</v>
      </c>
      <c r="T3840" t="s">
        <v>73710</v>
      </c>
      <c r="U3840" t="s">
        <v>73711</v>
      </c>
      <c r="V3840">
        <f>-618.207432887284 -84.8889597891048 -94.1499657986254</f>
        <v>-797.24635847501418</v>
      </c>
      <c r="W3840" t="s">
        <v>73712</v>
      </c>
      <c r="X3840" t="s">
        <v>73713</v>
      </c>
      <c r="Y3840" t="s">
        <v>73714</v>
      </c>
    </row>
    <row r="3841" spans="1:25" x14ac:dyDescent="0.3">
      <c r="A3841">
        <v>192000</v>
      </c>
      <c r="B3841" t="s">
        <v>73715</v>
      </c>
      <c r="C3841" t="s">
        <v>73716</v>
      </c>
      <c r="D3841" t="s">
        <v>73717</v>
      </c>
      <c r="E3841">
        <f>-669.28858872156 -1.49980363591385 -293.512997051509</f>
        <v>-964.30138940898291</v>
      </c>
      <c r="F3841">
        <f>-680.367940097919 -3.56556580902406 -376.64611815142</f>
        <v>-1060.5796240583632</v>
      </c>
      <c r="G3841">
        <f>-689.687396375304 -5.10915180869938 -460.006086085987</f>
        <v>-1154.8026342699904</v>
      </c>
      <c r="H3841">
        <f>-701.377588452439 -6.7963527615052 -582.093852706298</f>
        <v>-1290.2677939202422</v>
      </c>
      <c r="I3841">
        <f>-690.36290371157 -3.04846042452482 -659.584799490197</f>
        <v>-1352.9961636262919</v>
      </c>
      <c r="J3841" t="s">
        <v>73718</v>
      </c>
      <c r="K3841" t="s">
        <v>73719</v>
      </c>
      <c r="L3841" t="s">
        <v>73720</v>
      </c>
      <c r="M3841" t="s">
        <v>73721</v>
      </c>
      <c r="N3841">
        <f>-691.329915985156 -37.0291872170703 -528.565786393394</f>
        <v>-1256.9248895956202</v>
      </c>
      <c r="O3841">
        <f>-675.570661312276 -189.096611628119 -497.560288306683</f>
        <v>-1362.227561247078</v>
      </c>
      <c r="P3841">
        <f>-681.958364260881 -212.037758583141 -216.470615682017</f>
        <v>-1110.4667385260391</v>
      </c>
      <c r="Q3841">
        <f>-482.932415983857 -116.604966496226 -288.787938060151</f>
        <v>-888.32532054023409</v>
      </c>
      <c r="R3841" t="s">
        <v>73722</v>
      </c>
      <c r="S3841" t="s">
        <v>73723</v>
      </c>
      <c r="T3841" t="s">
        <v>73724</v>
      </c>
      <c r="U3841" t="s">
        <v>73725</v>
      </c>
      <c r="V3841">
        <f>-617.315877585094 -84.2217738505403 -94.1024105788952</f>
        <v>-795.64006201452946</v>
      </c>
      <c r="W3841" t="s">
        <v>73726</v>
      </c>
      <c r="X3841" t="s">
        <v>73727</v>
      </c>
      <c r="Y3841" t="s">
        <v>73728</v>
      </c>
    </row>
    <row r="3842" spans="1:25" x14ac:dyDescent="0.3">
      <c r="A3842">
        <v>192050</v>
      </c>
      <c r="B3842" t="s">
        <v>73729</v>
      </c>
      <c r="C3842" t="s">
        <v>73730</v>
      </c>
      <c r="D3842" t="s">
        <v>73731</v>
      </c>
      <c r="E3842">
        <f>-669.128563273475 -1.20773975235466 -293.456930668159</f>
        <v>-963.79323369398867</v>
      </c>
      <c r="F3842">
        <f>-680.291400787768 -3.17318157499221 -376.581397458902</f>
        <v>-1060.0459798216623</v>
      </c>
      <c r="G3842">
        <f>-689.715084170134 -4.57987291920722 -459.932146116009</f>
        <v>-1154.2271032053502</v>
      </c>
      <c r="H3842">
        <f>-701.580510284682 -6.02744124639003 -582.006077477088</f>
        <v>-1289.6140290081598</v>
      </c>
      <c r="I3842">
        <f>-690.545644423406 -2.37074507153238 -659.49843548772</f>
        <v>-1352.4148249826585</v>
      </c>
      <c r="J3842" t="s">
        <v>73732</v>
      </c>
      <c r="K3842" t="s">
        <v>73733</v>
      </c>
      <c r="L3842" t="s">
        <v>73734</v>
      </c>
      <c r="M3842" t="s">
        <v>73735</v>
      </c>
      <c r="N3842">
        <f>-691.370833620039 -36.3516845424151 -528.560369529526</f>
        <v>-1256.2828876919802</v>
      </c>
      <c r="O3842">
        <f>-675.180766168344 -188.451112410195 -497.90746346285</f>
        <v>-1361.5393420413891</v>
      </c>
      <c r="P3842">
        <f>-681.436434141154 -212.220732200478 -216.883430089139</f>
        <v>-1110.5405964307711</v>
      </c>
      <c r="Q3842">
        <f>-482.444459583777 -116.477838764457 -288.883722071433</f>
        <v>-887.80602041966699</v>
      </c>
      <c r="R3842" t="s">
        <v>73736</v>
      </c>
      <c r="S3842" t="s">
        <v>73737</v>
      </c>
      <c r="T3842" t="s">
        <v>73738</v>
      </c>
      <c r="U3842" t="s">
        <v>73739</v>
      </c>
      <c r="V3842">
        <f>-616.81894396199 -83.9120743130343 -94.0790124712555</f>
        <v>-794.81003074627984</v>
      </c>
      <c r="W3842" t="s">
        <v>73740</v>
      </c>
      <c r="X3842" t="s">
        <v>73741</v>
      </c>
      <c r="Y3842" t="s">
        <v>73742</v>
      </c>
    </row>
    <row r="3843" spans="1:25" x14ac:dyDescent="0.3">
      <c r="A3843">
        <v>192100</v>
      </c>
      <c r="B3843" t="s">
        <v>73743</v>
      </c>
      <c r="C3843" t="s">
        <v>73744</v>
      </c>
      <c r="D3843" t="s">
        <v>73745</v>
      </c>
      <c r="E3843">
        <f>-668.855927611911 -0.56046358062531 -293.3446826875</f>
        <v>-962.76107388003629</v>
      </c>
      <c r="F3843">
        <f>-680.011867517872 -2.36344010872608 -376.473600996208</f>
        <v>-1058.848908622806</v>
      </c>
      <c r="G3843">
        <f>-689.417780276977 -3.55169474642184 -459.829814400008</f>
        <v>-1152.7992894234069</v>
      </c>
      <c r="H3843">
        <f>-701.244856410468 -4.61887818584955 -581.911317309439</f>
        <v>-1287.7750519057565</v>
      </c>
      <c r="I3843">
        <f>-689.876638631791 -1.16042095291641 -659.364666077656</f>
        <v>-1350.4017256623633</v>
      </c>
      <c r="J3843" t="s">
        <v>73746</v>
      </c>
      <c r="K3843" t="s">
        <v>73747</v>
      </c>
      <c r="L3843" t="s">
        <v>73748</v>
      </c>
      <c r="M3843" t="s">
        <v>73749</v>
      </c>
      <c r="N3843">
        <f>-690.966505844606 -35.0954716329873 -528.565577975727</f>
        <v>-1254.6275554533204</v>
      </c>
      <c r="O3843">
        <f>-674.452672181779 -187.263331268884 -498.375606631924</f>
        <v>-1360.0916100825871</v>
      </c>
      <c r="P3843">
        <f>-680.35362005539 -211.858413872651 -217.415048305358</f>
        <v>-1109.6270822333991</v>
      </c>
      <c r="Q3843">
        <f>-481.414433631533 -116.236776851787 -289.721608833618</f>
        <v>-887.37281931693803</v>
      </c>
      <c r="R3843" t="s">
        <v>73750</v>
      </c>
      <c r="S3843" t="s">
        <v>73751</v>
      </c>
      <c r="T3843" t="s">
        <v>73752</v>
      </c>
      <c r="U3843" t="s">
        <v>73753</v>
      </c>
      <c r="V3843">
        <f>-616.14270685267 -83.3197511144331 -94.0342629611151</f>
        <v>-793.49672092821822</v>
      </c>
      <c r="W3843" t="s">
        <v>73754</v>
      </c>
      <c r="X3843" t="s">
        <v>73755</v>
      </c>
      <c r="Y3843" t="s">
        <v>73756</v>
      </c>
    </row>
    <row r="3844" spans="1:25" x14ac:dyDescent="0.3">
      <c r="A3844">
        <v>192150</v>
      </c>
      <c r="B3844" t="s">
        <v>73757</v>
      </c>
      <c r="C3844" t="s">
        <v>73758</v>
      </c>
      <c r="D3844" t="s">
        <v>73759</v>
      </c>
      <c r="E3844">
        <f>-668.883993659077 -0.225886202106722 -293.321446653348</f>
        <v>-962.43132651453175</v>
      </c>
      <c r="F3844">
        <f>-679.985832742112 -1.97431654288744 -376.45884076141</f>
        <v>-1058.4189900464094</v>
      </c>
      <c r="G3844">
        <f>-689.317549418345 -3.0902949091942 -459.824298429711</f>
        <v>-1152.2321427572501</v>
      </c>
      <c r="H3844">
        <f>-701.013840878641 -4.03214306846257 -581.919540048201</f>
        <v>-1286.9655239953045</v>
      </c>
      <c r="I3844">
        <f>-689.462831070186 -0.611458068874981 -659.347564267272</f>
        <v>-1349.421853406333</v>
      </c>
      <c r="J3844" t="s">
        <v>73760</v>
      </c>
      <c r="K3844" t="s">
        <v>73761</v>
      </c>
      <c r="L3844" t="s">
        <v>73762</v>
      </c>
      <c r="M3844" t="s">
        <v>73763</v>
      </c>
      <c r="N3844">
        <f>-690.779208617378 -34.5611515368571 -528.595429754134</f>
        <v>-1253.9357899083691</v>
      </c>
      <c r="O3844">
        <f>-674.269721386658 -186.752656264541 -498.518235603038</f>
        <v>-1359.5406132542371</v>
      </c>
      <c r="P3844">
        <f>-680.131448120145 -211.575695409037 -217.576819439772</f>
        <v>-1109.283962968954</v>
      </c>
      <c r="Q3844">
        <f>-481.281912341936 -115.985339277822 -290.170763599744</f>
        <v>-887.43801521950195</v>
      </c>
      <c r="R3844" t="s">
        <v>73764</v>
      </c>
      <c r="S3844" t="s">
        <v>73765</v>
      </c>
      <c r="T3844" t="s">
        <v>73766</v>
      </c>
      <c r="U3844" t="s">
        <v>73767</v>
      </c>
      <c r="V3844">
        <f>-616.191946202217 -83.0511738453699 -94.008614780517</f>
        <v>-793.25173482810385</v>
      </c>
      <c r="W3844" t="s">
        <v>73768</v>
      </c>
      <c r="X3844" t="s">
        <v>73769</v>
      </c>
      <c r="Y3844" t="s">
        <v>73770</v>
      </c>
    </row>
    <row r="3845" spans="1:25" x14ac:dyDescent="0.3">
      <c r="A3845">
        <v>192200</v>
      </c>
      <c r="B3845" t="s">
        <v>73771</v>
      </c>
      <c r="C3845" t="s">
        <v>73772</v>
      </c>
      <c r="D3845" t="s">
        <v>73773</v>
      </c>
      <c r="E3845" t="s">
        <v>73774</v>
      </c>
      <c r="F3845">
        <f>-680.165556460618 -1.36288648500113 -376.502797480411</f>
        <v>-1058.0312404260312</v>
      </c>
      <c r="G3845">
        <f>-689.283373255649 -2.38824349215997 -459.893092071467</f>
        <v>-1151.5647088192759</v>
      </c>
      <c r="H3845">
        <f>-700.622174028451 -3.18120006634672 -582.02315378958</f>
        <v>-1285.8265278843778</v>
      </c>
      <c r="I3845" t="s">
        <v>73775</v>
      </c>
      <c r="J3845" t="s">
        <v>73776</v>
      </c>
      <c r="K3845" t="s">
        <v>73777</v>
      </c>
      <c r="L3845" t="s">
        <v>73778</v>
      </c>
      <c r="M3845" t="s">
        <v>73779</v>
      </c>
      <c r="N3845">
        <f>-690.566971189203 -33.779062962901 -528.70428846367</f>
        <v>-1253.0503226157739</v>
      </c>
      <c r="O3845">
        <f>-674.309233560457 -186.009568847993 -498.702505721242</f>
        <v>-1359.021308129692</v>
      </c>
      <c r="P3845">
        <f>-680.51039836326 -211.417084042322 -217.820609393915</f>
        <v>-1109.7480917994972</v>
      </c>
      <c r="Q3845">
        <f>-481.92347357871 -115.417874826011 -290.593620591432</f>
        <v>-887.93496899615297</v>
      </c>
      <c r="R3845" t="s">
        <v>73780</v>
      </c>
      <c r="S3845" t="s">
        <v>73781</v>
      </c>
      <c r="T3845" t="s">
        <v>73782</v>
      </c>
      <c r="U3845" t="s">
        <v>73783</v>
      </c>
      <c r="V3845">
        <f>-616.934243706946 -82.7116840851186 -94.0010447058615</f>
        <v>-793.64697249792607</v>
      </c>
      <c r="W3845" t="s">
        <v>73784</v>
      </c>
      <c r="X3845" t="s">
        <v>73785</v>
      </c>
      <c r="Y3845" t="s">
        <v>73786</v>
      </c>
    </row>
    <row r="3846" spans="1:25" x14ac:dyDescent="0.3">
      <c r="A3846">
        <v>192250</v>
      </c>
      <c r="B3846" t="s">
        <v>73787</v>
      </c>
      <c r="C3846" t="s">
        <v>73788</v>
      </c>
      <c r="D3846" t="s">
        <v>73789</v>
      </c>
      <c r="E3846" t="s">
        <v>73790</v>
      </c>
      <c r="F3846">
        <f>-680.249952097967 -1.15855195162203 -376.564949874508</f>
        <v>-1057.9734539240972</v>
      </c>
      <c r="G3846">
        <f>-689.237415829268 -2.1599713250846 -459.969913825408</f>
        <v>-1151.3673009797606</v>
      </c>
      <c r="H3846">
        <f>-700.371185061437 -2.91971545453271 -582.118824765716</f>
        <v>-1285.4097252816857</v>
      </c>
      <c r="I3846" t="s">
        <v>73791</v>
      </c>
      <c r="J3846" t="s">
        <v>73792</v>
      </c>
      <c r="K3846" t="s">
        <v>73793</v>
      </c>
      <c r="L3846" t="s">
        <v>73794</v>
      </c>
      <c r="M3846" t="s">
        <v>73795</v>
      </c>
      <c r="N3846">
        <f>-690.431766196516 -33.5365233914724 -528.789097750388</f>
        <v>-1252.7573873383765</v>
      </c>
      <c r="O3846">
        <f>-674.384218696319 -185.779679818203 -498.792246275837</f>
        <v>-1358.9561447903588</v>
      </c>
      <c r="P3846">
        <f>-680.999014563277 -211.492795556209 -217.94769413316</f>
        <v>-1110.439504252646</v>
      </c>
      <c r="Q3846">
        <f>-482.399338307194 -115.321683596193 -290.458625953804</f>
        <v>-888.17964785719107</v>
      </c>
      <c r="R3846" t="s">
        <v>73796</v>
      </c>
      <c r="S3846" t="s">
        <v>73797</v>
      </c>
      <c r="T3846" t="s">
        <v>73798</v>
      </c>
      <c r="U3846" t="s">
        <v>73799</v>
      </c>
      <c r="V3846">
        <f>-617.498407507613 -82.5998491172056 -94.0191275556601</f>
        <v>-794.11738418047878</v>
      </c>
      <c r="W3846" t="s">
        <v>73800</v>
      </c>
      <c r="X3846" t="s">
        <v>73801</v>
      </c>
      <c r="Y3846" t="s">
        <v>73802</v>
      </c>
    </row>
    <row r="3847" spans="1:25" x14ac:dyDescent="0.3">
      <c r="A3847">
        <v>192300</v>
      </c>
      <c r="B3847" t="s">
        <v>73803</v>
      </c>
      <c r="C3847" t="s">
        <v>73804</v>
      </c>
      <c r="D3847" t="s">
        <v>73805</v>
      </c>
      <c r="E3847" t="s">
        <v>73806</v>
      </c>
      <c r="F3847">
        <f>-680.399966881557 -0.870118177937456 -376.695406051132</f>
        <v>-1057.9654911106265</v>
      </c>
      <c r="G3847">
        <f>-689.124534168839 -1.88741099280537 -460.127984647924</f>
        <v>-1151.1399298095685</v>
      </c>
      <c r="H3847">
        <f>-699.846934578578 -2.69135358775134 -582.31340527231</f>
        <v>-1284.8516934386394</v>
      </c>
      <c r="I3847" t="s">
        <v>73807</v>
      </c>
      <c r="J3847" t="s">
        <v>73808</v>
      </c>
      <c r="K3847" t="s">
        <v>73809</v>
      </c>
      <c r="L3847" t="s">
        <v>73810</v>
      </c>
      <c r="M3847" t="s">
        <v>73811</v>
      </c>
      <c r="N3847">
        <f>-690.124811543511 -33.2949887887812 -528.936087195384</f>
        <v>-1252.3558875276763</v>
      </c>
      <c r="O3847">
        <f>-674.334090644392 -185.551459371403 -498.846120260123</f>
        <v>-1358.7316702759178</v>
      </c>
      <c r="P3847">
        <f>-681.908586074353 -211.458633415124 -218.043691648272</f>
        <v>-1111.4109111377491</v>
      </c>
      <c r="Q3847">
        <f>-483.01470088279 -115.43395730619 -289.939426937052</f>
        <v>-888.38808512603214</v>
      </c>
      <c r="R3847" t="s">
        <v>73812</v>
      </c>
      <c r="S3847" t="s">
        <v>73813</v>
      </c>
      <c r="T3847" t="s">
        <v>73814</v>
      </c>
      <c r="U3847" t="s">
        <v>73815</v>
      </c>
      <c r="V3847">
        <f>-618.531613339594 -82.421538615122 -94.0582428087048</f>
        <v>-795.01139476342075</v>
      </c>
      <c r="W3847" t="s">
        <v>73816</v>
      </c>
      <c r="X3847" t="s">
        <v>73817</v>
      </c>
      <c r="Y3847" t="s">
        <v>73818</v>
      </c>
    </row>
    <row r="3848" spans="1:25" x14ac:dyDescent="0.3">
      <c r="A3848">
        <v>192350</v>
      </c>
      <c r="B3848" t="s">
        <v>73819</v>
      </c>
      <c r="C3848" t="s">
        <v>73820</v>
      </c>
      <c r="D3848" t="s">
        <v>73821</v>
      </c>
      <c r="E3848" t="s">
        <v>73822</v>
      </c>
      <c r="F3848">
        <f>-680.482733636609 -0.819682415301486 -376.742006781612</f>
        <v>-1058.0444228335225</v>
      </c>
      <c r="G3848">
        <f>-689.109488586097 -1.85790441422796 -460.184578763512</f>
        <v>-1151.1519717638369</v>
      </c>
      <c r="H3848">
        <f>-699.677497110823 -2.70531360997347 -582.383252331915</f>
        <v>-1284.7660630527114</v>
      </c>
      <c r="I3848" t="s">
        <v>73823</v>
      </c>
      <c r="J3848" t="s">
        <v>73824</v>
      </c>
      <c r="K3848" t="s">
        <v>73825</v>
      </c>
      <c r="L3848" t="s">
        <v>73826</v>
      </c>
      <c r="M3848" t="s">
        <v>73827</v>
      </c>
      <c r="N3848">
        <f>-690.033988502529 -33.2916627240827 -528.98173883619</f>
        <v>-1252.3073900628017</v>
      </c>
      <c r="O3848">
        <f>-674.376662737267 -185.54921445654 -498.846153662948</f>
        <v>-1358.772030856755</v>
      </c>
      <c r="P3848">
        <f>-682.278647402217 -211.623575155913 -218.068153609826</f>
        <v>-1111.9703761679559</v>
      </c>
      <c r="Q3848">
        <f>-483.144086106935 -115.750801722618 -289.498926063749</f>
        <v>-888.39381389330197</v>
      </c>
      <c r="R3848" t="s">
        <v>73828</v>
      </c>
      <c r="S3848" t="s">
        <v>73829</v>
      </c>
      <c r="T3848" t="s">
        <v>73830</v>
      </c>
      <c r="U3848" t="s">
        <v>73831</v>
      </c>
      <c r="V3848">
        <f>-618.892380703943 -82.4794229759491 -94.0855208499497</f>
        <v>-795.4573245298418</v>
      </c>
      <c r="W3848" t="s">
        <v>73832</v>
      </c>
      <c r="X3848" t="s">
        <v>73833</v>
      </c>
      <c r="Y3848" t="s">
        <v>73834</v>
      </c>
    </row>
    <row r="3849" spans="1:25" x14ac:dyDescent="0.3">
      <c r="A3849">
        <v>192400</v>
      </c>
      <c r="B3849" t="s">
        <v>73835</v>
      </c>
      <c r="C3849" t="s">
        <v>73836</v>
      </c>
      <c r="D3849" t="s">
        <v>73837</v>
      </c>
      <c r="E3849" t="s">
        <v>73838</v>
      </c>
      <c r="F3849">
        <f>-680.817532841317 -0.74196899393587 -376.798671774331</f>
        <v>-1058.3581736095839</v>
      </c>
      <c r="G3849">
        <f>-689.339750310333 -1.81533399019304 -460.25136950628</f>
        <v>-1151.406453806806</v>
      </c>
      <c r="H3849">
        <f>-699.744635792685 -2.73337196816192 -582.463548924015</f>
        <v>-1284.941556684862</v>
      </c>
      <c r="I3849" t="s">
        <v>73839</v>
      </c>
      <c r="J3849" t="s">
        <v>73840</v>
      </c>
      <c r="K3849" t="s">
        <v>73841</v>
      </c>
      <c r="L3849" t="s">
        <v>73842</v>
      </c>
      <c r="M3849" t="s">
        <v>73843</v>
      </c>
      <c r="N3849">
        <f>-690.158231778131 -33.2865827203252 -529.032991728556</f>
        <v>-1252.4778062270123</v>
      </c>
      <c r="O3849">
        <f>-674.471298860875 -185.527496482073 -498.764447997292</f>
        <v>-1358.76324334024</v>
      </c>
      <c r="P3849">
        <f>-683.114648350558 -211.716489533452 -218.019079333607</f>
        <v>-1112.850217217617</v>
      </c>
      <c r="Q3849">
        <f>-483.507964362387 -116.182169990466 -288.580337072565</f>
        <v>-888.27047142541801</v>
      </c>
      <c r="R3849" t="s">
        <v>73844</v>
      </c>
      <c r="S3849" t="s">
        <v>73845</v>
      </c>
      <c r="T3849" t="s">
        <v>73846</v>
      </c>
      <c r="U3849" t="s">
        <v>73847</v>
      </c>
      <c r="V3849">
        <f>-619.588429262986 -82.5001338567442 -94.1088329670604</f>
        <v>-796.1973960867906</v>
      </c>
      <c r="W3849" t="s">
        <v>73848</v>
      </c>
      <c r="X3849" t="s">
        <v>73849</v>
      </c>
      <c r="Y3849" t="s">
        <v>73850</v>
      </c>
    </row>
    <row r="3850" spans="1:25" x14ac:dyDescent="0.3">
      <c r="A3850">
        <v>192450</v>
      </c>
      <c r="B3850" t="s">
        <v>73851</v>
      </c>
      <c r="C3850" t="s">
        <v>73852</v>
      </c>
      <c r="D3850" t="s">
        <v>73853</v>
      </c>
      <c r="E3850" t="s">
        <v>73854</v>
      </c>
      <c r="F3850">
        <f>-681.357977297906 -0.637439094911542 -376.832922111123</f>
        <v>-1058.8283385039406</v>
      </c>
      <c r="G3850">
        <f>-689.736565704241 -1.71560724461028 -460.300051473218</f>
        <v>-1151.7522244220693</v>
      </c>
      <c r="H3850">
        <f>-699.885467925902 -2.64230239135918 -582.533793261431</f>
        <v>-1285.0615635786921</v>
      </c>
      <c r="I3850" t="s">
        <v>73855</v>
      </c>
      <c r="J3850" t="s">
        <v>73856</v>
      </c>
      <c r="K3850" t="s">
        <v>73857</v>
      </c>
      <c r="L3850" t="s">
        <v>73858</v>
      </c>
      <c r="M3850" t="s">
        <v>73859</v>
      </c>
      <c r="N3850">
        <f>-690.391289040241 -33.1885968600986 -529.082588246309</f>
        <v>-1252.6624741466485</v>
      </c>
      <c r="O3850">
        <f>-674.694252773292 -185.410469333266 -498.766600833184</f>
        <v>-1358.871322939742</v>
      </c>
      <c r="P3850">
        <f>-683.778184454649 -211.737307192662 -218.047923431474</f>
        <v>-1113.5634150787851</v>
      </c>
      <c r="Q3850">
        <f>-484.28740903699 -115.781445128209 -288.364461719918</f>
        <v>-888.43331588511705</v>
      </c>
      <c r="R3850" t="s">
        <v>73860</v>
      </c>
      <c r="S3850" t="s">
        <v>73861</v>
      </c>
      <c r="T3850" t="s">
        <v>73862</v>
      </c>
      <c r="U3850" t="s">
        <v>73863</v>
      </c>
      <c r="V3850">
        <f>-620.359184364312 -82.5162636169753 -94.1362442703229</f>
        <v>-797.01169225161016</v>
      </c>
      <c r="W3850" t="s">
        <v>73864</v>
      </c>
      <c r="X3850" t="s">
        <v>73865</v>
      </c>
      <c r="Y3850" t="s">
        <v>73866</v>
      </c>
    </row>
    <row r="3851" spans="1:25" x14ac:dyDescent="0.3">
      <c r="A3851">
        <v>192500</v>
      </c>
      <c r="B3851" t="s">
        <v>73867</v>
      </c>
      <c r="C3851" t="s">
        <v>73868</v>
      </c>
      <c r="D3851" t="s">
        <v>73869</v>
      </c>
      <c r="E3851" t="s">
        <v>73870</v>
      </c>
      <c r="F3851">
        <f>-681.638689807208 -0.738928899963867 -376.856312628986</f>
        <v>-1059.2339313361579</v>
      </c>
      <c r="G3851">
        <f>-689.933210858031 -1.85109196095186 -460.33141431765</f>
        <v>-1152.1157171366328</v>
      </c>
      <c r="H3851">
        <f>-699.928467834644 -2.83232698523511 -582.577257369211</f>
        <v>-1285.3380521890901</v>
      </c>
      <c r="I3851" t="s">
        <v>73871</v>
      </c>
      <c r="J3851" t="s">
        <v>73872</v>
      </c>
      <c r="K3851" t="s">
        <v>73873</v>
      </c>
      <c r="L3851" t="s">
        <v>73874</v>
      </c>
      <c r="M3851" t="s">
        <v>73875</v>
      </c>
      <c r="N3851">
        <f>-690.506185706316 -33.3556219265004 -529.100276246446</f>
        <v>-1252.9620838792625</v>
      </c>
      <c r="O3851">
        <f>-674.843200585187 -185.567708836792 -498.714794258926</f>
        <v>-1359.125703680905</v>
      </c>
      <c r="P3851">
        <f>-683.981439945294 -211.809161648401 -217.989950229415</f>
        <v>-1113.78055182311</v>
      </c>
      <c r="Q3851">
        <f>-484.692805544227 -115.512372552696 -288.413312511891</f>
        <v>-888.618490608814</v>
      </c>
      <c r="R3851" t="s">
        <v>73876</v>
      </c>
      <c r="S3851" t="s">
        <v>73877</v>
      </c>
      <c r="T3851" t="s">
        <v>73878</v>
      </c>
      <c r="U3851" t="s">
        <v>73879</v>
      </c>
      <c r="V3851">
        <f>-620.706604913361 -82.6199850828668 -94.1452756106588</f>
        <v>-797.47186560688669</v>
      </c>
      <c r="W3851" t="s">
        <v>73880</v>
      </c>
      <c r="X3851" t="s">
        <v>73881</v>
      </c>
      <c r="Y3851" t="s">
        <v>73882</v>
      </c>
    </row>
    <row r="3852" spans="1:25" x14ac:dyDescent="0.3">
      <c r="A3852">
        <v>192550</v>
      </c>
      <c r="B3852" t="s">
        <v>73883</v>
      </c>
      <c r="C3852" t="s">
        <v>73884</v>
      </c>
      <c r="D3852" t="s">
        <v>73885</v>
      </c>
      <c r="E3852" t="s">
        <v>73886</v>
      </c>
      <c r="F3852">
        <f>-681.919346873363 -0.826091483685786 -376.877366857743</f>
        <v>-1059.6228052147917</v>
      </c>
      <c r="G3852">
        <f>-690.162611290287 -1.98549465506881 -460.356893960846</f>
        <v>-1152.5049999062019</v>
      </c>
      <c r="H3852">
        <f>-700.068610882027 -3.04601721073004 -582.609418455244</f>
        <v>-1285.7240465480011</v>
      </c>
      <c r="I3852" t="s">
        <v>73887</v>
      </c>
      <c r="J3852" t="s">
        <v>73888</v>
      </c>
      <c r="K3852" t="s">
        <v>73889</v>
      </c>
      <c r="L3852" t="s">
        <v>73890</v>
      </c>
      <c r="M3852" t="s">
        <v>73891</v>
      </c>
      <c r="N3852">
        <f>-690.684841810235 -33.5343525547976 -529.105676082554</f>
        <v>-1253.3248704475866</v>
      </c>
      <c r="O3852">
        <f>-675.041274495479 -185.728605914026 -498.631980510648</f>
        <v>-1359.401860920153</v>
      </c>
      <c r="P3852">
        <f>-684.18467560231 -211.898780423528 -217.90063222097</f>
        <v>-1113.9840882468079</v>
      </c>
      <c r="Q3852">
        <f>-485.105332606385 -115.260045826722 -288.447576689374</f>
        <v>-888.81295512248107</v>
      </c>
      <c r="R3852" t="s">
        <v>73892</v>
      </c>
      <c r="S3852" t="s">
        <v>73893</v>
      </c>
      <c r="T3852" t="s">
        <v>73894</v>
      </c>
      <c r="U3852" t="s">
        <v>73895</v>
      </c>
      <c r="V3852">
        <f>-621.052512256544 -82.6051024270469 -94.1510850657978</f>
        <v>-797.80869974938867</v>
      </c>
      <c r="W3852" t="s">
        <v>73896</v>
      </c>
      <c r="X3852" t="s">
        <v>73897</v>
      </c>
      <c r="Y3852" t="s">
        <v>73898</v>
      </c>
    </row>
    <row r="3853" spans="1:25" x14ac:dyDescent="0.3">
      <c r="A3853">
        <v>192600</v>
      </c>
      <c r="B3853" t="s">
        <v>73899</v>
      </c>
      <c r="C3853" t="s">
        <v>73900</v>
      </c>
      <c r="D3853" t="s">
        <v>73901</v>
      </c>
      <c r="E3853" t="s">
        <v>73902</v>
      </c>
      <c r="F3853">
        <f>-682.449849974792 -1.1397075230575 -376.917395893971</f>
        <v>-1060.5069533918204</v>
      </c>
      <c r="G3853">
        <f>-690.691300195159 -2.43457249120934 -460.395267823472</f>
        <v>-1153.5211405098403</v>
      </c>
      <c r="H3853">
        <f>-700.590495313609 -3.72320249076301 -582.646004730888</f>
        <v>-1286.95970253526</v>
      </c>
      <c r="I3853">
        <f>-687.803395128254 -0.667876650352355 -659.894729121748</f>
        <v>-1348.3660009003543</v>
      </c>
      <c r="J3853" t="s">
        <v>73903</v>
      </c>
      <c r="K3853" t="s">
        <v>73904</v>
      </c>
      <c r="L3853" t="s">
        <v>73905</v>
      </c>
      <c r="M3853" t="s">
        <v>73906</v>
      </c>
      <c r="N3853">
        <f>-691.214350493369 -34.1125449617989 -529.084665995578</f>
        <v>-1254.4115614507459</v>
      </c>
      <c r="O3853">
        <f>-675.557455521069 -186.258577425537 -498.370572427602</f>
        <v>-1360.1866053742078</v>
      </c>
      <c r="P3853">
        <f>-684.442121766425 -212.283646089446 -217.617352241918</f>
        <v>-1114.3431200977891</v>
      </c>
      <c r="Q3853">
        <f>-485.713724530373 -115.132841560377 -288.450194101834</f>
        <v>-889.29676019258397</v>
      </c>
      <c r="R3853" t="s">
        <v>73907</v>
      </c>
      <c r="S3853" t="s">
        <v>73908</v>
      </c>
      <c r="T3853" t="s">
        <v>73909</v>
      </c>
      <c r="U3853" t="s">
        <v>73910</v>
      </c>
      <c r="V3853">
        <f>-621.473055178274 -82.7611616074457 -94.1763213602928</f>
        <v>-798.41053814601253</v>
      </c>
      <c r="W3853" t="s">
        <v>73911</v>
      </c>
      <c r="X3853" t="s">
        <v>73912</v>
      </c>
      <c r="Y3853" t="s">
        <v>73913</v>
      </c>
    </row>
    <row r="3854" spans="1:25" x14ac:dyDescent="0.3">
      <c r="A3854">
        <v>192650</v>
      </c>
      <c r="B3854" t="s">
        <v>73914</v>
      </c>
      <c r="C3854" t="s">
        <v>73915</v>
      </c>
      <c r="D3854" t="s">
        <v>73916</v>
      </c>
      <c r="E3854" t="s">
        <v>73917</v>
      </c>
      <c r="F3854">
        <f>-682.672644166305 -1.35539757097649 -376.917296646027</f>
        <v>-1060.9453383833084</v>
      </c>
      <c r="G3854">
        <f>-690.955653145222 -2.73179264505075 -460.389771181309</f>
        <v>-1154.0772169715817</v>
      </c>
      <c r="H3854">
        <f>-700.92486416529 -4.15678634452934 -582.633388628261</f>
        <v>-1287.7150391380803</v>
      </c>
      <c r="I3854">
        <f>-688.095590563238 -1.21938869900441 -659.879730326219</f>
        <v>-1349.1947095884616</v>
      </c>
      <c r="J3854" t="s">
        <v>73918</v>
      </c>
      <c r="K3854" t="s">
        <v>73919</v>
      </c>
      <c r="L3854" t="s">
        <v>73920</v>
      </c>
      <c r="M3854" t="s">
        <v>73921</v>
      </c>
      <c r="N3854">
        <f>-691.516673947584 -34.4860852757922 -529.043601419387</f>
        <v>-1255.0463606427631</v>
      </c>
      <c r="O3854">
        <f>-675.817083929991 -186.601451811062 -498.202114135392</f>
        <v>-1360.620649876445</v>
      </c>
      <c r="P3854">
        <f>-684.563133165156 -212.413557409549 -217.42497010738</f>
        <v>-1114.4016606820851</v>
      </c>
      <c r="Q3854">
        <f>-485.966480622015 -115.167469586085 -288.496231439746</f>
        <v>-889.63018164784603</v>
      </c>
      <c r="R3854" t="s">
        <v>73922</v>
      </c>
      <c r="S3854" t="s">
        <v>73923</v>
      </c>
      <c r="T3854" t="s">
        <v>73924</v>
      </c>
      <c r="U3854" t="s">
        <v>73925</v>
      </c>
      <c r="V3854">
        <f>-621.612829776746 -82.8366563035772 -94.1898763698689</f>
        <v>-798.63936245019215</v>
      </c>
      <c r="W3854" t="s">
        <v>73926</v>
      </c>
      <c r="X3854" t="s">
        <v>73927</v>
      </c>
      <c r="Y3854" t="s">
        <v>73928</v>
      </c>
    </row>
    <row r="3855" spans="1:25" x14ac:dyDescent="0.3">
      <c r="A3855">
        <v>192700</v>
      </c>
      <c r="B3855" t="s">
        <v>73929</v>
      </c>
      <c r="C3855" t="s">
        <v>73930</v>
      </c>
      <c r="D3855" t="s">
        <v>73931</v>
      </c>
      <c r="E3855" t="s">
        <v>73932</v>
      </c>
      <c r="F3855">
        <f>-682.958800173211 -1.66706443663816 -376.904332054678</f>
        <v>-1061.530196664527</v>
      </c>
      <c r="G3855">
        <f>-691.324679385266 -3.21090197474155 -460.365424737161</f>
        <v>-1154.9010060971686</v>
      </c>
      <c r="H3855">
        <f>-701.431569349007 -4.92024908896883 -582.59423511779</f>
        <v>-1288.946053555766</v>
      </c>
      <c r="I3855">
        <f>-688.588757993935 -2.25440091704468 -659.848105026686</f>
        <v>-1350.6912639376656</v>
      </c>
      <c r="J3855" t="s">
        <v>73933</v>
      </c>
      <c r="K3855" t="s">
        <v>73934</v>
      </c>
      <c r="L3855" t="s">
        <v>73935</v>
      </c>
      <c r="M3855" t="s">
        <v>73936</v>
      </c>
      <c r="N3855">
        <f>-691.96224559418 -35.1246667595419 -528.944632316592</f>
        <v>-1256.0315446703139</v>
      </c>
      <c r="O3855">
        <f>-676.13985292623 -187.17895675244 -497.849536474142</f>
        <v>-1361.1683461528121</v>
      </c>
      <c r="P3855">
        <f>-684.748565023794 -212.583042012796 -217.030948689141</f>
        <v>-1114.362555725731</v>
      </c>
      <c r="Q3855">
        <f>-486.289744398556 -115.436285368373 -288.620714466545</f>
        <v>-890.34674423347406</v>
      </c>
      <c r="R3855" t="s">
        <v>73937</v>
      </c>
      <c r="S3855" t="s">
        <v>73938</v>
      </c>
      <c r="T3855" t="s">
        <v>73939</v>
      </c>
      <c r="U3855" t="s">
        <v>73940</v>
      </c>
      <c r="V3855">
        <f>-621.707431827435 -82.8612010028473 -94.1969678538914</f>
        <v>-798.76560068417371</v>
      </c>
      <c r="W3855" t="s">
        <v>73941</v>
      </c>
      <c r="X3855" t="s">
        <v>73942</v>
      </c>
      <c r="Y3855" t="s">
        <v>73943</v>
      </c>
    </row>
    <row r="3856" spans="1:25" x14ac:dyDescent="0.3">
      <c r="A3856">
        <v>192750</v>
      </c>
      <c r="B3856" t="s">
        <v>73944</v>
      </c>
      <c r="C3856" t="s">
        <v>73945</v>
      </c>
      <c r="D3856" t="s">
        <v>73946</v>
      </c>
      <c r="E3856" t="s">
        <v>73947</v>
      </c>
      <c r="F3856">
        <f>-683.006222986741 -1.84902036876838 -376.896033777646</f>
        <v>-1061.7512771331553</v>
      </c>
      <c r="G3856">
        <f>-691.388065462524 -3.46394377181173 -460.35422239562</f>
        <v>-1155.2062316299557</v>
      </c>
      <c r="H3856">
        <f>-701.515679305551 -5.29477784661458 -582.579465049097</f>
        <v>-1289.3899222012626</v>
      </c>
      <c r="I3856">
        <f>-688.689540503161 -2.76013620294589 -659.840545641294</f>
        <v>-1351.2902223474009</v>
      </c>
      <c r="J3856" t="s">
        <v>73948</v>
      </c>
      <c r="K3856" t="s">
        <v>73949</v>
      </c>
      <c r="L3856" t="s">
        <v>73950</v>
      </c>
      <c r="M3856" t="s">
        <v>73951</v>
      </c>
      <c r="N3856">
        <f>-692.042940205201 -35.4467384819181 -528.901083434192</f>
        <v>-1256.3907621213111</v>
      </c>
      <c r="O3856">
        <f>-676.185233835927 -187.477481933783 -497.718970660411</f>
        <v>-1361.3816864301209</v>
      </c>
      <c r="P3856">
        <f>-684.770374131893 -212.843041183832 -216.896160160646</f>
        <v>-1114.5095754763711</v>
      </c>
      <c r="Q3856">
        <f>-486.335271842999 -115.732767388634 -288.601256084065</f>
        <v>-890.66929531569804</v>
      </c>
      <c r="R3856" t="s">
        <v>73952</v>
      </c>
      <c r="S3856" t="s">
        <v>73953</v>
      </c>
      <c r="T3856" t="s">
        <v>73954</v>
      </c>
      <c r="U3856" t="s">
        <v>73955</v>
      </c>
      <c r="V3856">
        <f>-621.686157461833 -82.9967314858789 -94.2006338740676</f>
        <v>-798.88352282177948</v>
      </c>
      <c r="W3856" t="s">
        <v>73956</v>
      </c>
      <c r="X3856" t="s">
        <v>73957</v>
      </c>
      <c r="Y3856" t="s">
        <v>73958</v>
      </c>
    </row>
    <row r="3857" spans="1:25" x14ac:dyDescent="0.3">
      <c r="A3857">
        <v>192800</v>
      </c>
      <c r="B3857" t="s">
        <v>73959</v>
      </c>
      <c r="C3857" t="s">
        <v>73960</v>
      </c>
      <c r="D3857" t="s">
        <v>73961</v>
      </c>
      <c r="E3857" t="s">
        <v>73962</v>
      </c>
      <c r="F3857">
        <f>-682.869223130199 -2.23321210838731 -376.872381663664</f>
        <v>-1061.9748169022503</v>
      </c>
      <c r="G3857">
        <f>-691.262636449846 -4.03072875443308 -460.325708463953</f>
        <v>-1155.619073668232</v>
      </c>
      <c r="H3857">
        <f>-701.403794063673 -6.17545165896036 -582.544647863356</f>
        <v>-1290.1238935859892</v>
      </c>
      <c r="I3857">
        <f>-688.623782632962 -3.93633759840941 -659.822560214247</f>
        <v>-1352.3826804456185</v>
      </c>
      <c r="J3857" t="s">
        <v>73963</v>
      </c>
      <c r="K3857" t="s">
        <v>73964</v>
      </c>
      <c r="L3857" t="s">
        <v>73965</v>
      </c>
      <c r="M3857" t="s">
        <v>73966</v>
      </c>
      <c r="N3857">
        <f>-691.938293912614 -36.191686468339 -528.789053646934</f>
        <v>-1256.9190340278869</v>
      </c>
      <c r="O3857">
        <f>-675.903737384736 -188.175114798386 -497.466436320031</f>
        <v>-1361.5452885031532</v>
      </c>
      <c r="P3857">
        <f>-684.59412221604 -213.539530869635 -216.646818367855</f>
        <v>-1114.78047145353</v>
      </c>
      <c r="Q3857">
        <f>-486.269523500797 -116.284704467367 -288.461544913576</f>
        <v>-891.01577288174008</v>
      </c>
      <c r="R3857" t="s">
        <v>73967</v>
      </c>
      <c r="S3857" t="s">
        <v>73968</v>
      </c>
      <c r="T3857" t="s">
        <v>73969</v>
      </c>
      <c r="U3857" t="s">
        <v>73970</v>
      </c>
      <c r="V3857">
        <f>-621.464994357896 -83.1135572554151 -94.196896114516</f>
        <v>-798.7754477278271</v>
      </c>
      <c r="W3857" t="s">
        <v>73971</v>
      </c>
      <c r="X3857" t="s">
        <v>73972</v>
      </c>
      <c r="Y3857" t="s">
        <v>73973</v>
      </c>
    </row>
    <row r="3858" spans="1:25" x14ac:dyDescent="0.3">
      <c r="A3858">
        <v>192850</v>
      </c>
      <c r="B3858" t="s">
        <v>73974</v>
      </c>
      <c r="C3858" t="s">
        <v>73975</v>
      </c>
      <c r="D3858" t="s">
        <v>73976</v>
      </c>
      <c r="E3858">
        <f>-672.405633557998 -0.0870051704680463 -293.636502785537</f>
        <v>-966.12914151400309</v>
      </c>
      <c r="F3858">
        <f>-682.746330202107 -2.38627366667129 -376.858521900124</f>
        <v>-1061.9911257689023</v>
      </c>
      <c r="G3858">
        <f>-691.145650054038 -4.25901516774047 -460.309683725778</f>
        <v>-1155.7143489475566</v>
      </c>
      <c r="H3858">
        <f>-701.291526600218 -6.5323928838302 -582.525806210958</f>
        <v>-1290.3497256950063</v>
      </c>
      <c r="I3858">
        <f>-688.549099175969 -4.41916892766972 -659.813505042906</f>
        <v>-1352.7817731465448</v>
      </c>
      <c r="J3858" t="s">
        <v>73977</v>
      </c>
      <c r="K3858" t="s">
        <v>73978</v>
      </c>
      <c r="L3858" t="s">
        <v>73979</v>
      </c>
      <c r="M3858" t="s">
        <v>73980</v>
      </c>
      <c r="N3858">
        <f>-691.812456806754 -36.4900749101184 -528.739981909223</f>
        <v>-1257.0425136260956</v>
      </c>
      <c r="O3858">
        <f>-675.656300082532 -188.448723987159 -497.331804453067</f>
        <v>-1361.4368285227579</v>
      </c>
      <c r="P3858">
        <f>-684.350570084007 -213.854147278737 -216.515936913096</f>
        <v>-1114.7206542758402</v>
      </c>
      <c r="Q3858">
        <f>-486.117404616539 -116.420251297842 -288.340392719037</f>
        <v>-890.87804863341796</v>
      </c>
      <c r="R3858" t="s">
        <v>73981</v>
      </c>
      <c r="S3858" t="s">
        <v>73982</v>
      </c>
      <c r="T3858" t="s">
        <v>73983</v>
      </c>
      <c r="U3858" t="s">
        <v>73984</v>
      </c>
      <c r="V3858">
        <f>-621.279886550979 -83.1833334981666 -94.1970790545046</f>
        <v>-798.66029910365012</v>
      </c>
      <c r="W3858" t="s">
        <v>73985</v>
      </c>
      <c r="X3858" t="s">
        <v>73986</v>
      </c>
      <c r="Y3858" t="s">
        <v>73987</v>
      </c>
    </row>
    <row r="3859" spans="1:25" x14ac:dyDescent="0.3">
      <c r="A3859">
        <v>192900</v>
      </c>
      <c r="B3859" t="s">
        <v>73988</v>
      </c>
      <c r="C3859" t="s">
        <v>73989</v>
      </c>
      <c r="D3859" t="s">
        <v>73990</v>
      </c>
      <c r="E3859">
        <f>-672.100333892137 -0.21713112429552 -293.59793175388</f>
        <v>-965.91539677031255</v>
      </c>
      <c r="F3859">
        <f>-682.463064128947 -2.60039281211402 -376.814931240249</f>
        <v>-1061.8783881813101</v>
      </c>
      <c r="G3859">
        <f>-690.871022742529 -4.57565673215549 -460.262799683193</f>
        <v>-1155.7094791578775</v>
      </c>
      <c r="H3859">
        <f>-701.015065447168 -7.01794805106852 -582.475962324222</f>
        <v>-1290.5089758224585</v>
      </c>
      <c r="I3859">
        <f>-688.365589231284 -5.09053195511297 -659.783734535256</f>
        <v>-1353.2398557216529</v>
      </c>
      <c r="J3859" t="s">
        <v>73991</v>
      </c>
      <c r="K3859" t="s">
        <v>73992</v>
      </c>
      <c r="L3859" t="s">
        <v>73993</v>
      </c>
      <c r="M3859" t="s">
        <v>73994</v>
      </c>
      <c r="N3859">
        <f>-691.43988160282 -36.8855533868789 -528.656964028843</f>
        <v>-1256.9823990185419</v>
      </c>
      <c r="O3859">
        <f>-674.795027418713 -188.773909039993 -497.159692926926</f>
        <v>-1360.7286293856318</v>
      </c>
      <c r="P3859">
        <f>-683.578916868701 -213.746299926383 -216.307646463609</f>
        <v>-1113.6328632586929</v>
      </c>
      <c r="Q3859">
        <f>-485.444245180762 -116.109928424909 -288.12920500511</f>
        <v>-889.68337861078089</v>
      </c>
      <c r="R3859" t="s">
        <v>73995</v>
      </c>
      <c r="S3859" t="s">
        <v>73996</v>
      </c>
      <c r="T3859" t="s">
        <v>73997</v>
      </c>
      <c r="U3859" t="s">
        <v>73998</v>
      </c>
      <c r="V3859">
        <f>-620.851225701744 -83.2653255085856 -94.1922174716649</f>
        <v>-798.30876868199459</v>
      </c>
      <c r="W3859" t="s">
        <v>73999</v>
      </c>
      <c r="X3859" t="s">
        <v>74000</v>
      </c>
      <c r="Y3859" t="s">
        <v>74001</v>
      </c>
    </row>
    <row r="3860" spans="1:25" x14ac:dyDescent="0.3">
      <c r="A3860">
        <v>192950</v>
      </c>
      <c r="B3860" t="s">
        <v>74002</v>
      </c>
      <c r="C3860" t="s">
        <v>74003</v>
      </c>
      <c r="D3860" t="s">
        <v>74004</v>
      </c>
      <c r="E3860">
        <f>-672.020914918564 -0.296386806354121 -293.569937290102</f>
        <v>-965.88723901502021</v>
      </c>
      <c r="F3860">
        <f>-682.406991445789 -2.71668066623874 -376.782895520233</f>
        <v>-1061.9065676322607</v>
      </c>
      <c r="G3860">
        <f>-690.826222860195 -4.7360411220925 -460.228560482948</f>
        <v>-1155.7908244652356</v>
      </c>
      <c r="H3860">
        <f>-700.973739561232 -7.25008706117842 -582.439972226576</f>
        <v>-1290.6637988489865</v>
      </c>
      <c r="I3860">
        <f>-688.381588582913 -5.37909965638505 -659.75853681742</f>
        <v>-1353.5192250567179</v>
      </c>
      <c r="J3860" t="s">
        <v>74005</v>
      </c>
      <c r="K3860" t="s">
        <v>74006</v>
      </c>
      <c r="L3860" t="s">
        <v>74007</v>
      </c>
      <c r="M3860" t="s">
        <v>74008</v>
      </c>
      <c r="N3860">
        <f>-691.333857778956 -37.0754995807476 -528.609114193433</f>
        <v>-1257.0184715531368</v>
      </c>
      <c r="O3860">
        <f>-674.322558617564 -188.914852931557 -497.090411305128</f>
        <v>-1360.327822854249</v>
      </c>
      <c r="P3860">
        <f>-683.058743342086 -213.825689742389 -216.231393397652</f>
        <v>-1113.115826482127</v>
      </c>
      <c r="Q3860">
        <f>-485.075756283706 -115.859919731597 -288.02270413349</f>
        <v>-888.95838014879291</v>
      </c>
      <c r="R3860" t="s">
        <v>74009</v>
      </c>
      <c r="S3860" t="s">
        <v>74010</v>
      </c>
      <c r="T3860" t="s">
        <v>74011</v>
      </c>
      <c r="U3860" t="s">
        <v>74012</v>
      </c>
      <c r="V3860">
        <f>-620.67775827052 -83.349047202606 -94.1831616383206</f>
        <v>-798.20996711144664</v>
      </c>
      <c r="W3860" t="s">
        <v>74013</v>
      </c>
      <c r="X3860" t="s">
        <v>74014</v>
      </c>
      <c r="Y3860" t="s">
        <v>74015</v>
      </c>
    </row>
    <row r="3861" spans="1:25" x14ac:dyDescent="0.3">
      <c r="A3861">
        <v>193000</v>
      </c>
      <c r="B3861" t="s">
        <v>74016</v>
      </c>
      <c r="C3861" t="s">
        <v>74017</v>
      </c>
      <c r="D3861" t="s">
        <v>74018</v>
      </c>
      <c r="E3861">
        <f>-672.170921367003 -0.479566570602856 -293.4820279294</f>
        <v>-966.13251586700585</v>
      </c>
      <c r="F3861">
        <f>-682.719442778599 -3.00711268706254 -376.671541204973</f>
        <v>-1062.3980966706345</v>
      </c>
      <c r="G3861">
        <f>-691.299058898316 -5.14046366506363 -460.09794504553</f>
        <v>-1156.5374676089098</v>
      </c>
      <c r="H3861">
        <f>-701.678728390413 -7.82766875660309 -582.286143475518</f>
        <v>-1291.792540622534</v>
      </c>
      <c r="I3861">
        <f>-689.215875091763 -6.02755821938399 -659.627294577944</f>
        <v>-1354.8707278890911</v>
      </c>
      <c r="J3861" t="s">
        <v>74019</v>
      </c>
      <c r="K3861" t="s">
        <v>74020</v>
      </c>
      <c r="L3861" t="s">
        <v>74021</v>
      </c>
      <c r="M3861" t="s">
        <v>74022</v>
      </c>
      <c r="N3861">
        <f>-691.827866754361 -37.5583348499144 -528.441145244421</f>
        <v>-1257.8273468486964</v>
      </c>
      <c r="O3861">
        <f>-674.049780607414 -189.320479736981 -496.977756114755</f>
        <v>-1360.3480164591501</v>
      </c>
      <c r="P3861">
        <f>-682.385620937727 -214.583406332287 -216.138182777515</f>
        <v>-1113.107210047529</v>
      </c>
      <c r="Q3861">
        <f>-484.953600597609 -115.449499114277 -287.843090328962</f>
        <v>-888.24619004084798</v>
      </c>
      <c r="R3861" t="s">
        <v>74023</v>
      </c>
      <c r="S3861" t="s">
        <v>74024</v>
      </c>
      <c r="T3861" t="s">
        <v>74025</v>
      </c>
      <c r="U3861" t="s">
        <v>74026</v>
      </c>
      <c r="V3861">
        <f>-620.219256219675 -83.2878244205699 -94.1607852707282</f>
        <v>-797.66786591097309</v>
      </c>
      <c r="W3861" t="s">
        <v>74027</v>
      </c>
      <c r="X3861" t="s">
        <v>74028</v>
      </c>
      <c r="Y3861" t="s">
        <v>74029</v>
      </c>
    </row>
    <row r="3862" spans="1:25" x14ac:dyDescent="0.3">
      <c r="A3862">
        <v>193050</v>
      </c>
      <c r="B3862" t="s">
        <v>74030</v>
      </c>
      <c r="C3862" t="s">
        <v>74031</v>
      </c>
      <c r="D3862" t="s">
        <v>74032</v>
      </c>
      <c r="E3862">
        <f>-672.335312507632 -0.599221819000832 -293.403230661924</f>
        <v>-966.33776498855684</v>
      </c>
      <c r="F3862">
        <f>-682.989233815817 -3.1752433756335 -376.577614394216</f>
        <v>-1062.7420915856665</v>
      </c>
      <c r="G3862">
        <f>-691.672200654892 -5.34837115382015 -459.99234935794</f>
        <v>-1157.0129211666522</v>
      </c>
      <c r="H3862">
        <f>-702.200678007406 -8.08466386088435 -582.166818866104</f>
        <v>-1292.4521607343945</v>
      </c>
      <c r="I3862">
        <f>-689.794893200105 -6.25310866007453 -659.516395799183</f>
        <v>-1355.5643976593624</v>
      </c>
      <c r="J3862" t="s">
        <v>74033</v>
      </c>
      <c r="K3862" t="s">
        <v>74034</v>
      </c>
      <c r="L3862" t="s">
        <v>74035</v>
      </c>
      <c r="M3862" t="s">
        <v>74036</v>
      </c>
      <c r="N3862">
        <f>-692.22726127434 -37.7839269297194 -528.327113993146</f>
        <v>-1258.3383021972054</v>
      </c>
      <c r="O3862">
        <f>-674.065595708917 -189.515346920942 -496.926017517831</f>
        <v>-1360.5069601476901</v>
      </c>
      <c r="P3862">
        <f>-682.137634741265 -214.89376923718 -216.089177111539</f>
        <v>-1113.1205810899839</v>
      </c>
      <c r="Q3862">
        <f>-485.03615250287 -115.178441114994 -287.8970393407</f>
        <v>-888.11163295856409</v>
      </c>
      <c r="R3862" t="s">
        <v>74037</v>
      </c>
      <c r="S3862" t="s">
        <v>74038</v>
      </c>
      <c r="T3862" t="s">
        <v>74039</v>
      </c>
      <c r="U3862" t="s">
        <v>74040</v>
      </c>
      <c r="V3862">
        <f>-619.860564041915 -83.200415832616 -94.1296958565146</f>
        <v>-797.19067573104564</v>
      </c>
      <c r="W3862" t="s">
        <v>74041</v>
      </c>
      <c r="X3862" t="s">
        <v>74042</v>
      </c>
      <c r="Y3862" t="s">
        <v>74043</v>
      </c>
    </row>
    <row r="3863" spans="1:25" x14ac:dyDescent="0.3">
      <c r="A3863">
        <v>193100</v>
      </c>
      <c r="B3863" t="s">
        <v>74044</v>
      </c>
      <c r="C3863" t="s">
        <v>74045</v>
      </c>
      <c r="D3863" t="s">
        <v>74046</v>
      </c>
      <c r="E3863">
        <f>-672.777777286741 -0.826883458522843 -293.278358138485</f>
        <v>-966.88301888374872</v>
      </c>
      <c r="F3863">
        <f>-683.581148220496 -3.51070861920107 -376.430104086629</f>
        <v>-1063.5219609263261</v>
      </c>
      <c r="G3863">
        <f>-692.386474905281 -5.77289267309561 -459.829592390648</f>
        <v>-1157.9889599690246</v>
      </c>
      <c r="H3863">
        <f>-703.063712852417 -8.61935580552108 -581.98872128132</f>
        <v>-1293.6717899392579</v>
      </c>
      <c r="I3863">
        <f>-690.735446886055 -6.67803260371329 -659.34792150456</f>
        <v>-1356.7614009943281</v>
      </c>
      <c r="J3863" t="s">
        <v>74047</v>
      </c>
      <c r="K3863" t="s">
        <v>74048</v>
      </c>
      <c r="L3863" t="s">
        <v>74049</v>
      </c>
      <c r="M3863" t="s">
        <v>74050</v>
      </c>
      <c r="N3863">
        <f>-692.900880575789 -38.2484453170621 -528.145618756793</f>
        <v>-1259.2949446496441</v>
      </c>
      <c r="O3863">
        <f>-673.926446449074 -189.892864152226 -496.849576825817</f>
        <v>-1360.6688874271169</v>
      </c>
      <c r="P3863">
        <f>-681.674623058377 -215.437468319959 -216.01865211679</f>
        <v>-1113.1307434951261</v>
      </c>
      <c r="Q3863">
        <f>-485.247251580694 -114.723568340599 -288.278795969171</f>
        <v>-888.24961589046393</v>
      </c>
      <c r="R3863" t="s">
        <v>74051</v>
      </c>
      <c r="S3863" t="s">
        <v>74052</v>
      </c>
      <c r="T3863" t="s">
        <v>74053</v>
      </c>
      <c r="U3863" t="s">
        <v>74054</v>
      </c>
      <c r="V3863">
        <f>-619.255616218798 -82.9501201396606 -94.0851019807051</f>
        <v>-796.29083833916366</v>
      </c>
      <c r="W3863" t="s">
        <v>74055</v>
      </c>
      <c r="X3863" t="s">
        <v>74056</v>
      </c>
      <c r="Y3863" t="s">
        <v>74057</v>
      </c>
    </row>
    <row r="3864" spans="1:25" x14ac:dyDescent="0.3">
      <c r="A3864">
        <v>193150</v>
      </c>
      <c r="B3864" t="s">
        <v>74058</v>
      </c>
      <c r="C3864" t="s">
        <v>74059</v>
      </c>
      <c r="D3864" t="s">
        <v>74060</v>
      </c>
      <c r="E3864">
        <f>-673.090464679456 -0.967759359220508 -293.244443989409</f>
        <v>-967.30266802808546</v>
      </c>
      <c r="F3864">
        <f>-683.95114391649 -3.72564074257434 -376.386392690946</f>
        <v>-1064.0631773500104</v>
      </c>
      <c r="G3864">
        <f>-692.802055429813 -6.06212796225805 -459.778930990366</f>
        <v>-1158.643114382437</v>
      </c>
      <c r="H3864">
        <f>-703.533065106349 -9.01790351828868 -581.930702239603</f>
        <v>-1294.4816708642406</v>
      </c>
      <c r="I3864">
        <f>-691.23873873195 -7.06636401570108 -659.295074989787</f>
        <v>-1357.6001777374381</v>
      </c>
      <c r="J3864" t="s">
        <v>74061</v>
      </c>
      <c r="K3864" t="s">
        <v>74062</v>
      </c>
      <c r="L3864" t="s">
        <v>74063</v>
      </c>
      <c r="M3864" t="s">
        <v>74064</v>
      </c>
      <c r="N3864">
        <f>-693.291779957051 -38.5891971048259 -528.070614638319</f>
        <v>-1259.9515917001959</v>
      </c>
      <c r="O3864">
        <f>-673.91878829683 -190.186819499803 -496.793184952973</f>
        <v>-1360.8987927496059</v>
      </c>
      <c r="P3864">
        <f>-681.458223713542 -215.884093616908 -215.970470052302</f>
        <v>-1113.312787382752</v>
      </c>
      <c r="Q3864">
        <f>-485.308395948429 -114.731410318458 -288.371402753984</f>
        <v>-888.41120902087096</v>
      </c>
      <c r="R3864" t="s">
        <v>74065</v>
      </c>
      <c r="S3864" t="s">
        <v>74066</v>
      </c>
      <c r="T3864" t="s">
        <v>74067</v>
      </c>
      <c r="U3864" t="s">
        <v>74068</v>
      </c>
      <c r="V3864">
        <f>-619.170503836061 -82.8822653584189 -94.0702446082383</f>
        <v>-796.12301380271822</v>
      </c>
      <c r="W3864" t="s">
        <v>74069</v>
      </c>
      <c r="X3864" t="s">
        <v>74070</v>
      </c>
      <c r="Y3864" t="s">
        <v>74071</v>
      </c>
    </row>
    <row r="3865" spans="1:25" x14ac:dyDescent="0.3">
      <c r="A3865">
        <v>193200</v>
      </c>
      <c r="B3865" t="s">
        <v>74072</v>
      </c>
      <c r="C3865" t="s">
        <v>74073</v>
      </c>
      <c r="D3865" t="s">
        <v>74074</v>
      </c>
      <c r="E3865">
        <f>-673.667455182478 -1.37866719486533 -293.206431751029</f>
        <v>-968.25255412837237</v>
      </c>
      <c r="F3865">
        <f>-684.642393880787 -4.28844385714137 -376.328339548108</f>
        <v>-1065.2591772860364</v>
      </c>
      <c r="G3865">
        <f>-693.600511463991 -6.79508156408269 -459.704547553233</f>
        <v>-1160.1001405813067</v>
      </c>
      <c r="H3865">
        <f>-704.480328461072 -10.0195195206552 -581.836252145512</f>
        <v>-1296.3361001272392</v>
      </c>
      <c r="I3865">
        <f>-692.253932512334 -8.15867238090459 -659.21375350578</f>
        <v>-1359.6263583990185</v>
      </c>
      <c r="J3865" t="s">
        <v>74075</v>
      </c>
      <c r="K3865" t="s">
        <v>74076</v>
      </c>
      <c r="L3865" t="s">
        <v>74077</v>
      </c>
      <c r="M3865" t="s">
        <v>74078</v>
      </c>
      <c r="N3865">
        <f>-694.093142527688 -39.4578492040393 -527.931481998241</f>
        <v>-1261.4824737299682</v>
      </c>
      <c r="O3865">
        <f>-674.04138325988 -190.958988462577 -496.568451921739</f>
        <v>-1361.5688236441961</v>
      </c>
      <c r="P3865">
        <f>-681.28151594257 -216.6844105315 -215.740479964044</f>
        <v>-1113.7064064381141</v>
      </c>
      <c r="Q3865">
        <f>-485.562877602543 -114.869946193676 -288.380632452213</f>
        <v>-888.81345624843198</v>
      </c>
      <c r="R3865" t="s">
        <v>74079</v>
      </c>
      <c r="S3865" t="s">
        <v>74080</v>
      </c>
      <c r="T3865" t="s">
        <v>74081</v>
      </c>
      <c r="U3865" t="s">
        <v>74082</v>
      </c>
      <c r="V3865">
        <f>-619.144486015041 -82.9577235711465 -94.0969245759076</f>
        <v>-796.19913416209511</v>
      </c>
      <c r="W3865" t="s">
        <v>74083</v>
      </c>
      <c r="X3865" t="s">
        <v>74084</v>
      </c>
      <c r="Y3865" t="s">
        <v>74085</v>
      </c>
    </row>
    <row r="3866" spans="1:25" x14ac:dyDescent="0.3">
      <c r="A3866">
        <v>193250</v>
      </c>
      <c r="B3866" t="s">
        <v>74086</v>
      </c>
      <c r="C3866" t="s">
        <v>74087</v>
      </c>
      <c r="D3866" t="s">
        <v>74088</v>
      </c>
      <c r="E3866">
        <f>-673.968173444121 -1.51951869307641 -293.202137725751</f>
        <v>-968.6898298629485</v>
      </c>
      <c r="F3866">
        <f>-684.972487746901 -4.49439226259278 -376.317642291437</f>
        <v>-1065.7845223009308</v>
      </c>
      <c r="G3866">
        <f>-693.952592925507 -7.07384852728455 -459.689349435377</f>
        <v>-1160.7157908881686</v>
      </c>
      <c r="H3866">
        <f>-704.856382998575 -10.4137943525554 -581.815930373273</f>
        <v>-1297.0861077244035</v>
      </c>
      <c r="I3866">
        <f>-692.648180018418 -8.60999198836544 -659.197512495318</f>
        <v>-1360.4556845021016</v>
      </c>
      <c r="J3866" t="s">
        <v>74089</v>
      </c>
      <c r="K3866" t="s">
        <v>74090</v>
      </c>
      <c r="L3866" t="s">
        <v>74091</v>
      </c>
      <c r="M3866" t="s">
        <v>74092</v>
      </c>
      <c r="N3866">
        <f>-694.444977713066 -39.798691500554 -527.88655324239</f>
        <v>-1262.13022245601</v>
      </c>
      <c r="O3866">
        <f>-674.257667867891 -191.262941250376 -496.451086432613</f>
        <v>-1361.97169555088</v>
      </c>
      <c r="P3866">
        <f>-681.379370901188 -216.781354945676 -215.601150035683</f>
        <v>-1113.761875882547</v>
      </c>
      <c r="Q3866">
        <f>-485.792131896495 -114.807445046845 -288.370970819859</f>
        <v>-888.97054776319897</v>
      </c>
      <c r="R3866" t="s">
        <v>74093</v>
      </c>
      <c r="S3866" t="s">
        <v>74094</v>
      </c>
      <c r="T3866" t="s">
        <v>74095</v>
      </c>
      <c r="U3866" t="s">
        <v>74096</v>
      </c>
      <c r="V3866">
        <f>-619.204714367735 -82.8933839006593 -94.1163673407676</f>
        <v>-796.21446560916195</v>
      </c>
      <c r="W3866" t="s">
        <v>74097</v>
      </c>
      <c r="X3866" t="s">
        <v>74098</v>
      </c>
      <c r="Y3866" t="s">
        <v>74099</v>
      </c>
    </row>
    <row r="3867" spans="1:25" x14ac:dyDescent="0.3">
      <c r="A3867">
        <v>193300</v>
      </c>
      <c r="B3867" t="s">
        <v>74100</v>
      </c>
      <c r="C3867" t="s">
        <v>74101</v>
      </c>
      <c r="D3867" t="s">
        <v>74102</v>
      </c>
      <c r="E3867">
        <f>-674.369185461356 -1.81071037910669 -293.263733385672</f>
        <v>-969.4436292261347</v>
      </c>
      <c r="F3867">
        <f>-685.363705769964 -4.89115369046613 -376.376758625252</f>
        <v>-1066.631618085682</v>
      </c>
      <c r="G3867">
        <f>-694.312388462258 -7.59408829679865 -459.747893362842</f>
        <v>-1161.6543701218986</v>
      </c>
      <c r="H3867">
        <f>-705.146268443007 -11.1351270861339 -581.875062538832</f>
        <v>-1298.1564580679728</v>
      </c>
      <c r="I3867">
        <f>-692.957563040558 -9.45375553975714 -659.262504691341</f>
        <v>-1361.6738232716561</v>
      </c>
      <c r="J3867" t="s">
        <v>74103</v>
      </c>
      <c r="K3867" t="s">
        <v>74104</v>
      </c>
      <c r="L3867" t="s">
        <v>74105</v>
      </c>
      <c r="M3867" t="s">
        <v>74106</v>
      </c>
      <c r="N3867">
        <f>-694.778027539952 -40.4332861377543 -527.890213453743</f>
        <v>-1263.1015271314491</v>
      </c>
      <c r="O3867">
        <f>-674.540396216249 -191.864355746742 -496.347840683113</f>
        <v>-1362.7525926461039</v>
      </c>
      <c r="P3867">
        <f>-681.646963279861 -216.968879175168 -215.460275590848</f>
        <v>-1114.0761180458769</v>
      </c>
      <c r="Q3867">
        <f>-486.17828178448 -114.853774943797 -288.350848618912</f>
        <v>-889.38290534718897</v>
      </c>
      <c r="R3867" t="s">
        <v>74107</v>
      </c>
      <c r="S3867" t="s">
        <v>74108</v>
      </c>
      <c r="T3867" t="s">
        <v>74109</v>
      </c>
      <c r="U3867" t="s">
        <v>74110</v>
      </c>
      <c r="V3867">
        <f>-619.31550016854 -82.9580507853682 -94.191557114027</f>
        <v>-796.46510806793515</v>
      </c>
      <c r="W3867" t="s">
        <v>74111</v>
      </c>
      <c r="X3867" t="s">
        <v>74112</v>
      </c>
      <c r="Y3867" t="s">
        <v>74113</v>
      </c>
    </row>
    <row r="3868" spans="1:25" x14ac:dyDescent="0.3">
      <c r="A3868">
        <v>193350</v>
      </c>
      <c r="B3868" t="s">
        <v>74114</v>
      </c>
      <c r="C3868" t="s">
        <v>74115</v>
      </c>
      <c r="D3868" t="s">
        <v>74116</v>
      </c>
      <c r="E3868">
        <f>-674.46360127884 -1.97808923806792 -293.289947994718</f>
        <v>-969.73163851162587</v>
      </c>
      <c r="F3868">
        <f>-685.431819690474 -5.11141895437436 -376.404311750197</f>
        <v>-1066.9475503950453</v>
      </c>
      <c r="G3868">
        <f>-694.351246827808 -7.88376001660686 -459.776362739779</f>
        <v>-1162.011369584194</v>
      </c>
      <c r="H3868">
        <f>-705.139120395693 -11.5448455163144 -581.903919425111</f>
        <v>-1298.5878853371182</v>
      </c>
      <c r="I3868">
        <f>-692.952143580787 -9.95562359532687 -659.293694484956</f>
        <v>-1362.20146166107</v>
      </c>
      <c r="J3868" t="s">
        <v>74117</v>
      </c>
      <c r="K3868" t="s">
        <v>74118</v>
      </c>
      <c r="L3868" t="s">
        <v>74119</v>
      </c>
      <c r="M3868" t="s">
        <v>74120</v>
      </c>
      <c r="N3868">
        <f>-694.807281390491 -40.7928801209937 -527.885055653625</f>
        <v>-1263.4852171651096</v>
      </c>
      <c r="O3868">
        <f>-674.550064297487 -192.223008544982 -496.321519807253</f>
        <v>-1363.094592649722</v>
      </c>
      <c r="P3868">
        <f>-681.842468677548 -217.519875571797 -215.455998842527</f>
        <v>-1114.8183430918721</v>
      </c>
      <c r="Q3868">
        <f>-486.418315146605 -115.279654074475 -288.290278653394</f>
        <v>-889.98824787447404</v>
      </c>
      <c r="R3868" t="s">
        <v>74121</v>
      </c>
      <c r="S3868" t="s">
        <v>74122</v>
      </c>
      <c r="T3868" t="s">
        <v>74123</v>
      </c>
      <c r="U3868" t="s">
        <v>74124</v>
      </c>
      <c r="V3868">
        <f>-619.523027121835 -83.1198840826364 -94.2123663640596</f>
        <v>-796.85527756853094</v>
      </c>
      <c r="W3868" t="s">
        <v>74125</v>
      </c>
      <c r="X3868" t="s">
        <v>74126</v>
      </c>
      <c r="Y3868" t="s">
        <v>74127</v>
      </c>
    </row>
    <row r="3869" spans="1:25" x14ac:dyDescent="0.3">
      <c r="A3869">
        <v>193400</v>
      </c>
      <c r="B3869" t="s">
        <v>74128</v>
      </c>
      <c r="C3869" t="s">
        <v>74129</v>
      </c>
      <c r="D3869" t="s">
        <v>74130</v>
      </c>
      <c r="E3869">
        <f>-674.563499462786 -2.13154075770603 -293.357730446241</f>
        <v>-970.05277066673307</v>
      </c>
      <c r="F3869">
        <f>-685.495792384889 -5.33323580802016 -376.474368564264</f>
        <v>-1067.3033967571732</v>
      </c>
      <c r="G3869">
        <f>-694.382248671453 -8.20521155924507 -459.846483327331</f>
        <v>-1162.4339435580291</v>
      </c>
      <c r="H3869">
        <f>-705.125383348554 -12.0461382596075 -581.972556972793</f>
        <v>-1299.1440785809546</v>
      </c>
      <c r="I3869">
        <f>-692.890848408417 -10.6155803914733 -659.357799049918</f>
        <v>-1362.8642278498082</v>
      </c>
      <c r="J3869" t="s">
        <v>74131</v>
      </c>
      <c r="K3869" t="s">
        <v>74132</v>
      </c>
      <c r="L3869" t="s">
        <v>74133</v>
      </c>
      <c r="M3869" t="s">
        <v>74134</v>
      </c>
      <c r="N3869">
        <f>-694.853980019222 -41.2219885140667 -527.903004970749</f>
        <v>-1263.9789735040385</v>
      </c>
      <c r="O3869">
        <f>-674.597612305809 -192.643010683142 -496.300808140173</f>
        <v>-1363.5414311291238</v>
      </c>
      <c r="P3869">
        <f>-682.026380696162 -218.314689321579 -215.472932750125</f>
        <v>-1115.814002767866</v>
      </c>
      <c r="Q3869">
        <f>-486.621914327183 -115.972167780902 -288.216530875121</f>
        <v>-890.81061298320606</v>
      </c>
      <c r="R3869" t="s">
        <v>74135</v>
      </c>
      <c r="S3869" t="s">
        <v>74136</v>
      </c>
      <c r="T3869" t="s">
        <v>74137</v>
      </c>
      <c r="U3869" t="s">
        <v>74138</v>
      </c>
      <c r="V3869">
        <f>-619.942276003523 -83.3179044942115 -94.2504910708693</f>
        <v>-797.51067156860381</v>
      </c>
      <c r="W3869" t="s">
        <v>74139</v>
      </c>
      <c r="X3869" t="s">
        <v>74140</v>
      </c>
      <c r="Y3869" t="s">
        <v>74141</v>
      </c>
    </row>
    <row r="3870" spans="1:25" x14ac:dyDescent="0.3">
      <c r="A3870">
        <v>193450</v>
      </c>
      <c r="B3870" t="s">
        <v>74142</v>
      </c>
      <c r="C3870" t="s">
        <v>74143</v>
      </c>
      <c r="D3870" t="s">
        <v>74144</v>
      </c>
      <c r="E3870">
        <f>-674.581535571588 -2.16575435220216 -293.396096048432</f>
        <v>-970.14338597222218</v>
      </c>
      <c r="F3870">
        <f>-685.512990073365 -5.39364091820084 -376.511757526804</f>
        <v>-1067.4183885183697</v>
      </c>
      <c r="G3870">
        <f>-694.40581664536 -8.3040392195519 -459.881978630179</f>
        <v>-1162.591834495091</v>
      </c>
      <c r="H3870">
        <f>-705.166210951854 -12.2141115469256 -582.004295010278</f>
        <v>-1299.3846175090575</v>
      </c>
      <c r="I3870">
        <f>-692.889621509926 -10.8346014625408 -659.383773510129</f>
        <v>-1363.1079964825958</v>
      </c>
      <c r="J3870" t="s">
        <v>74145</v>
      </c>
      <c r="K3870" t="s">
        <v>74146</v>
      </c>
      <c r="L3870" t="s">
        <v>74147</v>
      </c>
      <c r="M3870" t="s">
        <v>74148</v>
      </c>
      <c r="N3870">
        <f>-694.907884806938 -41.3629724376576 -527.917717385487</f>
        <v>-1264.1885746300827</v>
      </c>
      <c r="O3870">
        <f>-674.669474955012 -192.780414109139 -496.284312999688</f>
        <v>-1363.7342020638389</v>
      </c>
      <c r="P3870">
        <f>-682.06744131555 -218.434478417265 -215.453911935281</f>
        <v>-1115.9558316680962</v>
      </c>
      <c r="Q3870">
        <f>-486.657944073252 -116.158762945072 -288.278038525642</f>
        <v>-891.09474554396593</v>
      </c>
      <c r="R3870" t="s">
        <v>74149</v>
      </c>
      <c r="S3870" t="s">
        <v>74150</v>
      </c>
      <c r="T3870" t="s">
        <v>74151</v>
      </c>
      <c r="U3870" t="s">
        <v>74152</v>
      </c>
      <c r="V3870">
        <f>-620.104943855586 -83.3771453996001 -94.2728676018186</f>
        <v>-797.75495685700469</v>
      </c>
      <c r="W3870" t="s">
        <v>74153</v>
      </c>
      <c r="X3870" t="s">
        <v>74154</v>
      </c>
      <c r="Y3870" t="s">
        <v>74155</v>
      </c>
    </row>
    <row r="3871" spans="1:25" x14ac:dyDescent="0.3">
      <c r="A3871">
        <v>193500</v>
      </c>
      <c r="B3871" t="s">
        <v>74156</v>
      </c>
      <c r="C3871" t="s">
        <v>74157</v>
      </c>
      <c r="D3871" t="s">
        <v>74158</v>
      </c>
      <c r="E3871">
        <f>-674.478622926456 -2.08064024618034 -293.451741988269</f>
        <v>-970.01100516090537</v>
      </c>
      <c r="F3871">
        <f>-685.402631933806 -5.35119590860472 -376.566744165081</f>
        <v>-1067.3205720074916</v>
      </c>
      <c r="G3871">
        <f>-694.29983699928 -8.33189358035224 -459.933996479954</f>
        <v>-1162.5657270595862</v>
      </c>
      <c r="H3871">
        <f>-705.079743012635 -12.3748048797552 -582.050311100715</f>
        <v>-1299.5048589931052</v>
      </c>
      <c r="I3871">
        <f>-692.700592863097 -11.0637401895046 -659.414597060538</f>
        <v>-1363.1789301131396</v>
      </c>
      <c r="J3871" t="s">
        <v>74159</v>
      </c>
      <c r="K3871" t="s">
        <v>74160</v>
      </c>
      <c r="L3871" t="s">
        <v>74161</v>
      </c>
      <c r="M3871" t="s">
        <v>74162</v>
      </c>
      <c r="N3871">
        <f>-694.863151293594 -41.4737229338386 -527.928917118482</f>
        <v>-1264.2657913459147</v>
      </c>
      <c r="O3871">
        <f>-674.684617734337 -192.893425021447 -496.28994425247</f>
        <v>-1363.867987008254</v>
      </c>
      <c r="P3871">
        <f>-681.888999710401 -218.737214973201 -215.471816920927</f>
        <v>-1116.0980316045291</v>
      </c>
      <c r="Q3871">
        <f>-486.760496619386 -116.298008833112 -288.817449929131</f>
        <v>-891.87595538162896</v>
      </c>
      <c r="R3871" t="s">
        <v>74163</v>
      </c>
      <c r="S3871" t="s">
        <v>74164</v>
      </c>
      <c r="T3871" t="s">
        <v>74165</v>
      </c>
      <c r="U3871" t="s">
        <v>74166</v>
      </c>
      <c r="V3871">
        <f>-620.294421643953 -83.3627013999092 -94.2896916273525</f>
        <v>-797.94681467121461</v>
      </c>
      <c r="W3871" t="s">
        <v>74167</v>
      </c>
      <c r="X3871" t="s">
        <v>74168</v>
      </c>
      <c r="Y3871" t="s">
        <v>74169</v>
      </c>
    </row>
    <row r="3872" spans="1:25" x14ac:dyDescent="0.3">
      <c r="A3872">
        <v>193550</v>
      </c>
      <c r="B3872" t="s">
        <v>74170</v>
      </c>
      <c r="C3872" t="s">
        <v>74171</v>
      </c>
      <c r="D3872" t="s">
        <v>74172</v>
      </c>
      <c r="E3872">
        <f>-674.367702451061 -2.02555423183685 -293.460628030363</f>
        <v>-969.85388471326087</v>
      </c>
      <c r="F3872">
        <f>-685.265420549504 -5.317455588749 -376.578227042058</f>
        <v>-1067.1611031803111</v>
      </c>
      <c r="G3872">
        <f>-694.133774527601 -8.33308639429265 -459.94722304564</f>
        <v>-1162.4140839675335</v>
      </c>
      <c r="H3872">
        <f>-704.868685236058 -12.4417972364422 -582.065214138117</f>
        <v>-1299.3756966106171</v>
      </c>
      <c r="I3872">
        <f>-692.435107666152 -11.148285921561 -659.421198917544</f>
        <v>-1363.0045925052568</v>
      </c>
      <c r="J3872" t="s">
        <v>74173</v>
      </c>
      <c r="K3872" t="s">
        <v>74174</v>
      </c>
      <c r="L3872" t="s">
        <v>74175</v>
      </c>
      <c r="M3872" t="s">
        <v>74176</v>
      </c>
      <c r="N3872">
        <f>-694.703093023404 -41.5171283771144 -527.921598756007</f>
        <v>-1264.1418201565255</v>
      </c>
      <c r="O3872">
        <f>-674.578062693141 -192.941533026303 -496.274899040242</f>
        <v>-1363.7944947596859</v>
      </c>
      <c r="P3872">
        <f>-681.568430385523 -219.196492662122 -215.489644875384</f>
        <v>-1116.2545679230288</v>
      </c>
      <c r="Q3872">
        <f>-486.844631063134 -116.382129367235 -289.384142138106</f>
        <v>-892.61090256847501</v>
      </c>
      <c r="R3872" t="s">
        <v>74177</v>
      </c>
      <c r="S3872" t="s">
        <v>74178</v>
      </c>
      <c r="T3872" t="s">
        <v>74179</v>
      </c>
      <c r="U3872" t="s">
        <v>74180</v>
      </c>
      <c r="V3872">
        <f>-620.345913180584 -83.3730804630322 -94.2779866981078</f>
        <v>-797.99698034172411</v>
      </c>
      <c r="W3872" t="s">
        <v>74181</v>
      </c>
      <c r="X3872" t="s">
        <v>74182</v>
      </c>
      <c r="Y3872" t="s">
        <v>74183</v>
      </c>
    </row>
    <row r="3873" spans="1:25" x14ac:dyDescent="0.3">
      <c r="A3873">
        <v>193600</v>
      </c>
      <c r="B3873" t="s">
        <v>74184</v>
      </c>
      <c r="C3873" t="s">
        <v>74185</v>
      </c>
      <c r="D3873" t="s">
        <v>74186</v>
      </c>
      <c r="E3873">
        <f>-673.983392862724 -1.9558029808129 -293.463663606698</f>
        <v>-969.40285945023493</v>
      </c>
      <c r="F3873">
        <f>-684.798433488836 -5.29609377540373 -376.590178969615</f>
        <v>-1066.6847062338547</v>
      </c>
      <c r="G3873">
        <f>-693.574123371054 -8.38655788982737 -459.96632855467</f>
        <v>-1161.9270098155514</v>
      </c>
      <c r="H3873">
        <f>-704.162507572276 -12.6337762526216 -582.092289611433</f>
        <v>-1298.8885734363307</v>
      </c>
      <c r="I3873">
        <f>-691.651154222919 -11.3468659438945 -659.43592482279</f>
        <v>-1362.4339449896033</v>
      </c>
      <c r="J3873" t="s">
        <v>74187</v>
      </c>
      <c r="K3873" t="s">
        <v>74188</v>
      </c>
      <c r="L3873" t="s">
        <v>74189</v>
      </c>
      <c r="M3873" t="s">
        <v>74190</v>
      </c>
      <c r="N3873">
        <f>-694.143305085885 -41.6615425046086 -527.896092072153</f>
        <v>-1263.7009396626468</v>
      </c>
      <c r="O3873">
        <f>-674.197412882174 -193.116615561793 -496.245316490742</f>
        <v>-1363.5593449347091</v>
      </c>
      <c r="P3873">
        <f>-680.753058267408 -219.886625276723 -215.497989447064</f>
        <v>-1116.1376729911949</v>
      </c>
      <c r="Q3873">
        <f>-487.084445653416 -116.365172869327 -291.157333302565</f>
        <v>-894.60695182530799</v>
      </c>
      <c r="R3873" t="s">
        <v>74191</v>
      </c>
      <c r="S3873" t="s">
        <v>74192</v>
      </c>
      <c r="T3873" t="s">
        <v>74193</v>
      </c>
      <c r="U3873" t="s">
        <v>74194</v>
      </c>
      <c r="V3873">
        <f>-620.235586934502 -83.4076370351522 -94.2440383677889</f>
        <v>-797.88726233744308</v>
      </c>
      <c r="W3873" t="s">
        <v>74195</v>
      </c>
      <c r="X3873" t="s">
        <v>74196</v>
      </c>
      <c r="Y3873" t="s">
        <v>74197</v>
      </c>
    </row>
    <row r="3874" spans="1:25" x14ac:dyDescent="0.3">
      <c r="A3874">
        <v>193650</v>
      </c>
      <c r="B3874" t="s">
        <v>74198</v>
      </c>
      <c r="C3874" t="s">
        <v>74199</v>
      </c>
      <c r="D3874" t="s">
        <v>74200</v>
      </c>
      <c r="E3874">
        <f>-673.665747683436 -1.79575310581367 -293.482702064934</f>
        <v>-968.94420285418369</v>
      </c>
      <c r="F3874">
        <f>-684.428397972368 -5.13314524194084 -376.616006085041</f>
        <v>-1066.1775492993497</v>
      </c>
      <c r="G3874">
        <f>-693.153050062766 -8.22967913109437 -459.997334134019</f>
        <v>-1161.3800633278795</v>
      </c>
      <c r="H3874">
        <f>-703.668497568213 -12.4960658591158 -582.128919091188</f>
        <v>-1298.2934825185166</v>
      </c>
      <c r="I3874">
        <f>-691.153947702163 -11.1543980983176 -659.471070399105</f>
        <v>-1361.7794161995857</v>
      </c>
      <c r="J3874" t="s">
        <v>74201</v>
      </c>
      <c r="K3874" t="s">
        <v>74202</v>
      </c>
      <c r="L3874" t="s">
        <v>74203</v>
      </c>
      <c r="M3874" t="s">
        <v>74204</v>
      </c>
      <c r="N3874">
        <f>-693.698789438174 -41.5183593083268 -527.920618119982</f>
        <v>-1263.1377668664827</v>
      </c>
      <c r="O3874">
        <f>-673.794711568033 -192.985628009922 -496.279568748519</f>
        <v>-1363.059908326474</v>
      </c>
      <c r="P3874">
        <f>-680.383131278205 -219.892260869478 -215.546210571469</f>
        <v>-1115.821602719152</v>
      </c>
      <c r="Q3874">
        <f>-487.170179458057 -116.189968614768 -292.117492408543</f>
        <v>-895.4776404813681</v>
      </c>
      <c r="R3874" t="s">
        <v>74205</v>
      </c>
      <c r="S3874" t="s">
        <v>74206</v>
      </c>
      <c r="T3874" t="s">
        <v>74207</v>
      </c>
      <c r="U3874" t="s">
        <v>74208</v>
      </c>
      <c r="V3874">
        <f>-620.100034779009 -83.3152721449082 -94.2316029223477</f>
        <v>-797.64690984626498</v>
      </c>
      <c r="W3874" t="s">
        <v>74209</v>
      </c>
      <c r="X3874" t="s">
        <v>74210</v>
      </c>
      <c r="Y3874" t="s">
        <v>74211</v>
      </c>
    </row>
    <row r="3875" spans="1:25" x14ac:dyDescent="0.3">
      <c r="A3875">
        <v>193700</v>
      </c>
      <c r="B3875" t="s">
        <v>74212</v>
      </c>
      <c r="C3875" t="s">
        <v>74213</v>
      </c>
      <c r="D3875" t="s">
        <v>74214</v>
      </c>
      <c r="E3875">
        <f>-673.017254124367 -1.35682599832262 -293.525485164536</f>
        <v>-967.89956528722564</v>
      </c>
      <c r="F3875">
        <f>-683.650354096398 -4.63810668614246 -376.677881363059</f>
        <v>-1064.9663421455994</v>
      </c>
      <c r="G3875">
        <f>-692.248340810229 -7.67728927626376 -460.074443435053</f>
        <v>-1160.0000735215458</v>
      </c>
      <c r="H3875">
        <f>-702.581917532403 -11.8579004639987 -582.224496233137</f>
        <v>-1296.6643142295388</v>
      </c>
      <c r="I3875">
        <f>-690.101042240067 -10.2925301840387 -659.567877410861</f>
        <v>-1359.9614498349667</v>
      </c>
      <c r="J3875" t="s">
        <v>74215</v>
      </c>
      <c r="K3875" t="s">
        <v>74216</v>
      </c>
      <c r="L3875" t="s">
        <v>74217</v>
      </c>
      <c r="M3875" t="s">
        <v>74218</v>
      </c>
      <c r="N3875">
        <f>-692.710707208465 -40.9213093820867 -528.02018028524</f>
        <v>-1261.6521968757918</v>
      </c>
      <c r="O3875">
        <f>-672.888945851464 -192.434390644825 -496.571603488771</f>
        <v>-1361.8949399850599</v>
      </c>
      <c r="P3875">
        <f>-680.089386795763 -219.751183213909 -215.892984587429</f>
        <v>-1115.7335545971009</v>
      </c>
      <c r="Q3875">
        <f>-487.547726396603 -115.950852415339 -294.006388923453</f>
        <v>-897.50496773539498</v>
      </c>
      <c r="R3875" t="s">
        <v>74219</v>
      </c>
      <c r="S3875" t="s">
        <v>74220</v>
      </c>
      <c r="T3875" t="s">
        <v>74221</v>
      </c>
      <c r="U3875" t="s">
        <v>74222</v>
      </c>
      <c r="V3875">
        <f>-619.956711611612 -83.044809061274 -94.2097359516974</f>
        <v>-797.21125662458348</v>
      </c>
      <c r="W3875" t="s">
        <v>74223</v>
      </c>
      <c r="X3875" t="s">
        <v>74224</v>
      </c>
      <c r="Y3875" t="s">
        <v>74225</v>
      </c>
    </row>
    <row r="3876" spans="1:25" x14ac:dyDescent="0.3">
      <c r="A3876">
        <v>193750</v>
      </c>
      <c r="B3876" t="s">
        <v>74226</v>
      </c>
      <c r="C3876" t="s">
        <v>74227</v>
      </c>
      <c r="D3876" t="s">
        <v>74228</v>
      </c>
      <c r="E3876">
        <f>-672.644714501236 -1.17290820520861 -293.545924808736</f>
        <v>-967.36354751518058</v>
      </c>
      <c r="F3876">
        <f>-683.200637676689 -4.40998937157678 -376.709671995395</f>
        <v>-1064.3202990436607</v>
      </c>
      <c r="G3876">
        <f>-691.719836675288 -7.40042776300311 -460.116041754384</f>
        <v>-1159.2363061926751</v>
      </c>
      <c r="H3876">
        <f>-701.936432841598 -11.5046958959913 -582.278765808996</f>
        <v>-1295.7198945465852</v>
      </c>
      <c r="I3876">
        <f>-689.473076268856 -9.78501564640692 -659.621514269981</f>
        <v>-1358.879606185244</v>
      </c>
      <c r="J3876" t="s">
        <v>74229</v>
      </c>
      <c r="K3876" t="s">
        <v>74230</v>
      </c>
      <c r="L3876" t="s">
        <v>74231</v>
      </c>
      <c r="M3876" t="s">
        <v>74232</v>
      </c>
      <c r="N3876">
        <f>-692.138467261696 -40.6056811097487 -528.080992043054</f>
        <v>-1260.8251404144987</v>
      </c>
      <c r="O3876">
        <f>-672.414317641185 -192.155722868576 -496.74759533688</f>
        <v>-1361.317635846641</v>
      </c>
      <c r="P3876">
        <f>-679.848689711908 -220.036488903492 -216.130484197902</f>
        <v>-1116.015662813302</v>
      </c>
      <c r="Q3876">
        <f>-487.607211252665 -116.022507416729 -294.69777191292</f>
        <v>-898.32749058231411</v>
      </c>
      <c r="R3876" t="s">
        <v>74233</v>
      </c>
      <c r="S3876" t="s">
        <v>74234</v>
      </c>
      <c r="T3876" t="s">
        <v>74235</v>
      </c>
      <c r="U3876" t="s">
        <v>74236</v>
      </c>
      <c r="V3876">
        <f>-619.880087558668 -82.969328823993 -94.1977615685486</f>
        <v>-797.04717795120962</v>
      </c>
      <c r="W3876" t="s">
        <v>74237</v>
      </c>
      <c r="X3876" t="s">
        <v>74238</v>
      </c>
      <c r="Y3876" t="s">
        <v>74239</v>
      </c>
    </row>
    <row r="3877" spans="1:25" x14ac:dyDescent="0.3">
      <c r="A3877">
        <v>193800</v>
      </c>
      <c r="B3877" t="s">
        <v>74240</v>
      </c>
      <c r="C3877" t="s">
        <v>74241</v>
      </c>
      <c r="D3877" t="s">
        <v>74242</v>
      </c>
      <c r="E3877">
        <f>-671.820246079182 -0.815980992546656 -293.574772296271</f>
        <v>-966.21099936799965</v>
      </c>
      <c r="F3877">
        <f>-682.22653983994 -3.93579454210044 -376.762127673733</f>
        <v>-1062.9244620557733</v>
      </c>
      <c r="G3877">
        <f>-690.586566080807 -6.78634322757352 -460.189325911891</f>
        <v>-1157.5622352202715</v>
      </c>
      <c r="H3877">
        <f>-700.560050818054 -10.6613661175472 -582.379581191601</f>
        <v>-1293.6009981272023</v>
      </c>
      <c r="I3877">
        <f>-688.112429201094 -8.55821431647814 -659.715502032138</f>
        <v>-1356.3861455497101</v>
      </c>
      <c r="J3877" t="s">
        <v>74243</v>
      </c>
      <c r="K3877" t="s">
        <v>74244</v>
      </c>
      <c r="L3877" t="s">
        <v>74245</v>
      </c>
      <c r="M3877" t="s">
        <v>74246</v>
      </c>
      <c r="N3877">
        <f>-690.912756257542 -39.8711749409504 -528.213594859283</f>
        <v>-1258.9975260577753</v>
      </c>
      <c r="O3877">
        <f>-671.440659230669 -191.500114882806 -497.128000064642</f>
        <v>-1360.0687741781169</v>
      </c>
      <c r="P3877">
        <f>-679.317831913445 -220.579757910572 -216.644655817101</f>
        <v>-1116.5422456411179</v>
      </c>
      <c r="Q3877">
        <f>-487.253766571604 -116.402022116657 -295.428812699954</f>
        <v>-899.08460138821488</v>
      </c>
      <c r="R3877" t="s">
        <v>74247</v>
      </c>
      <c r="S3877" t="s">
        <v>74248</v>
      </c>
      <c r="T3877" t="s">
        <v>74249</v>
      </c>
      <c r="U3877" t="s">
        <v>74250</v>
      </c>
      <c r="V3877">
        <f>-619.558432201758 -82.8550738538377 -94.1556479769334</f>
        <v>-796.56915403252913</v>
      </c>
      <c r="W3877" t="s">
        <v>74251</v>
      </c>
      <c r="X3877" t="s">
        <v>74252</v>
      </c>
      <c r="Y3877" t="s">
        <v>74253</v>
      </c>
    </row>
    <row r="3878" spans="1:25" x14ac:dyDescent="0.3">
      <c r="A3878">
        <v>193850</v>
      </c>
      <c r="B3878" t="s">
        <v>74254</v>
      </c>
      <c r="C3878" t="s">
        <v>74255</v>
      </c>
      <c r="D3878" t="s">
        <v>74256</v>
      </c>
      <c r="E3878">
        <f>-671.384324908332 -0.618019696927831 -293.580053213609</f>
        <v>-965.58239781886891</v>
      </c>
      <c r="F3878">
        <f>-681.722068712008 -3.70249312458873 -376.777142228149</f>
        <v>-1062.2017040647456</v>
      </c>
      <c r="G3878">
        <f>-690.012476799598 -6.51389548476914 -460.212738172719</f>
        <v>-1156.7391104570861</v>
      </c>
      <c r="H3878">
        <f>-699.883040921148 -10.3274436325592 -582.413222096447</f>
        <v>-1292.6237066501542</v>
      </c>
      <c r="I3878">
        <f>-687.412408479176 -8.01222033379804 -659.739362755658</f>
        <v>-1355.1639915686319</v>
      </c>
      <c r="J3878" t="s">
        <v>74257</v>
      </c>
      <c r="K3878" t="s">
        <v>74258</v>
      </c>
      <c r="L3878" t="s">
        <v>74259</v>
      </c>
      <c r="M3878" t="s">
        <v>74260</v>
      </c>
      <c r="N3878">
        <f>-690.303981252969 -39.5684698243304 -528.251786796134</f>
        <v>-1258.1242378734332</v>
      </c>
      <c r="O3878">
        <f>-670.927706806767 -191.228135341269 -497.273645042167</f>
        <v>-1359.429487190203</v>
      </c>
      <c r="P3878">
        <f>-679.042750549441 -220.687710312929 -216.836736941096</f>
        <v>-1116.5671978034661</v>
      </c>
      <c r="Q3878">
        <f>-486.839982245456 -116.560423459041 -295.348746003516</f>
        <v>-898.74915170801296</v>
      </c>
      <c r="R3878" t="s">
        <v>74261</v>
      </c>
      <c r="S3878" t="s">
        <v>74262</v>
      </c>
      <c r="T3878" t="s">
        <v>74263</v>
      </c>
      <c r="U3878" t="s">
        <v>74264</v>
      </c>
      <c r="V3878">
        <f>-619.369995214386 -82.7128926826299 -94.1295377650533</f>
        <v>-796.21242566206922</v>
      </c>
      <c r="W3878" t="s">
        <v>74265</v>
      </c>
      <c r="X3878" t="s">
        <v>74266</v>
      </c>
      <c r="Y3878" t="s">
        <v>74267</v>
      </c>
    </row>
    <row r="3879" spans="1:25" x14ac:dyDescent="0.3">
      <c r="A3879">
        <v>193900</v>
      </c>
      <c r="B3879" t="s">
        <v>74268</v>
      </c>
      <c r="C3879" t="s">
        <v>74269</v>
      </c>
      <c r="D3879" t="s">
        <v>74270</v>
      </c>
      <c r="E3879">
        <f>-670.295663658337 -0.266861686121047 -293.613226348998</f>
        <v>-964.17575169345605</v>
      </c>
      <c r="F3879">
        <f>-680.516057502156 -3.31481153856294 -376.826059424893</f>
        <v>-1060.6569284656118</v>
      </c>
      <c r="G3879">
        <f>-688.691346375515 -6.08956020383471 -460.274270130574</f>
        <v>-1155.0551767099237</v>
      </c>
      <c r="H3879">
        <f>-698.396095542751 -9.84991103979542 -582.48966629751</f>
        <v>-1290.7356728800564</v>
      </c>
      <c r="I3879">
        <f>-685.825048239858 -7.06453395255198 -659.783997807686</f>
        <v>-1352.6735800000961</v>
      </c>
      <c r="J3879" t="s">
        <v>74271</v>
      </c>
      <c r="K3879" t="s">
        <v>74272</v>
      </c>
      <c r="L3879" t="s">
        <v>74273</v>
      </c>
      <c r="M3879" t="s">
        <v>74274</v>
      </c>
      <c r="N3879">
        <f>-688.963613534109 -39.1266804828492 -528.321992276695</f>
        <v>-1256.4122862936533</v>
      </c>
      <c r="O3879">
        <f>-669.894477343582 -190.848661716069 -497.413458463512</f>
        <v>-1358.1565975231629</v>
      </c>
      <c r="P3879">
        <f>-678.291612895489 -220.385639821481 -216.992783279899</f>
        <v>-1115.670035996869</v>
      </c>
      <c r="Q3879">
        <f>-485.569880014547 -116.581827948185 -294.656706871331</f>
        <v>-896.80841483406289</v>
      </c>
      <c r="R3879" t="s">
        <v>74275</v>
      </c>
      <c r="S3879" t="s">
        <v>74276</v>
      </c>
      <c r="T3879" t="s">
        <v>74277</v>
      </c>
      <c r="U3879" t="s">
        <v>74278</v>
      </c>
      <c r="V3879">
        <f>-618.718805639131 -82.4755891585339 -94.1065245955251</f>
        <v>-795.30091939319004</v>
      </c>
      <c r="W3879" t="s">
        <v>74279</v>
      </c>
      <c r="X3879" t="s">
        <v>74280</v>
      </c>
      <c r="Y3879" t="s">
        <v>74281</v>
      </c>
    </row>
    <row r="3880" spans="1:25" x14ac:dyDescent="0.3">
      <c r="A3880">
        <v>193950</v>
      </c>
      <c r="B3880" t="s">
        <v>74282</v>
      </c>
      <c r="C3880" t="s">
        <v>74283</v>
      </c>
      <c r="D3880" t="s">
        <v>74284</v>
      </c>
      <c r="E3880">
        <f>-669.719509792315 -0.144679869716128 -293.615448342006</f>
        <v>-963.47963800403704</v>
      </c>
      <c r="F3880">
        <f>-679.895145407251 -3.17625394549327 -376.834521490699</f>
        <v>-1059.9059208434433</v>
      </c>
      <c r="G3880">
        <f>-688.028513726678 -5.93436792127068 -460.287291079351</f>
        <v>-1154.2501727272997</v>
      </c>
      <c r="H3880">
        <f>-697.675066999019 -9.67018245229337 -582.508129907013</f>
        <v>-1289.8533793583254</v>
      </c>
      <c r="I3880">
        <f>-685.043036986142 -6.64286866915882 -659.783496476335</f>
        <v>-1351.4694021316359</v>
      </c>
      <c r="J3880" t="s">
        <v>74285</v>
      </c>
      <c r="K3880" t="s">
        <v>74286</v>
      </c>
      <c r="L3880" t="s">
        <v>74287</v>
      </c>
      <c r="M3880" t="s">
        <v>74288</v>
      </c>
      <c r="N3880">
        <f>-688.294410616658 -38.9620667976908 -528.339619975059</f>
        <v>-1255.5960973894078</v>
      </c>
      <c r="O3880">
        <f>-669.381947581634 -190.700346615057 -497.449405598724</f>
        <v>-1357.5316997954151</v>
      </c>
      <c r="P3880">
        <f>-678.12780300286 -220.179933562442 -217.033463330779</f>
        <v>-1115.341199896081</v>
      </c>
      <c r="Q3880">
        <f>-485.063064772317 -116.63703227252 -294.191797007285</f>
        <v>-895.89189405212198</v>
      </c>
      <c r="R3880" t="s">
        <v>74289</v>
      </c>
      <c r="S3880" t="s">
        <v>74290</v>
      </c>
      <c r="T3880" t="s">
        <v>74291</v>
      </c>
      <c r="U3880" t="s">
        <v>74292</v>
      </c>
      <c r="V3880">
        <f>-618.341270287575 -82.3991423963591 -94.0843175966958</f>
        <v>-794.82473028062986</v>
      </c>
      <c r="W3880" t="s">
        <v>74293</v>
      </c>
      <c r="X3880" t="s">
        <v>74294</v>
      </c>
      <c r="Y3880" t="s">
        <v>74295</v>
      </c>
    </row>
    <row r="3881" spans="1:25" x14ac:dyDescent="0.3">
      <c r="A3881">
        <v>194000</v>
      </c>
      <c r="B3881" t="s">
        <v>74296</v>
      </c>
      <c r="C3881" t="s">
        <v>74297</v>
      </c>
      <c r="D3881" t="s">
        <v>74298</v>
      </c>
      <c r="E3881" t="s">
        <v>74299</v>
      </c>
      <c r="F3881">
        <f>-678.652549817631 -2.73240024159691 -376.850900147816</f>
        <v>-1058.2358502070438</v>
      </c>
      <c r="G3881">
        <f>-686.703328956598 -5.43843781619921 -460.313569421328</f>
        <v>-1152.4553361941253</v>
      </c>
      <c r="H3881">
        <f>-696.22394765663 -9.0920053381592 -582.546681241471</f>
        <v>-1287.8626342362602</v>
      </c>
      <c r="I3881">
        <f>-683.433482067715 -5.65098197640691 -659.77854782461</f>
        <v>-1348.863011868732</v>
      </c>
      <c r="J3881" t="s">
        <v>74300</v>
      </c>
      <c r="K3881" t="s">
        <v>74301</v>
      </c>
      <c r="L3881" t="s">
        <v>74302</v>
      </c>
      <c r="M3881" t="s">
        <v>74303</v>
      </c>
      <c r="N3881">
        <f>-686.942495951596 -38.4274296350029 -528.384638250365</f>
        <v>-1253.7545638369638</v>
      </c>
      <c r="O3881">
        <f>-668.28867272103 -190.231383580486 -497.582383303398</f>
        <v>-1356.102439604914</v>
      </c>
      <c r="P3881">
        <f>-678.071852197307 -219.761194305279 -217.206186782097</f>
        <v>-1115.039233284683</v>
      </c>
      <c r="Q3881">
        <f>-484.204017835583 -116.670918707723 -292.943827338759</f>
        <v>-893.81876388206501</v>
      </c>
      <c r="R3881" t="s">
        <v>74304</v>
      </c>
      <c r="S3881" t="s">
        <v>74305</v>
      </c>
      <c r="T3881" t="s">
        <v>74306</v>
      </c>
      <c r="U3881" t="s">
        <v>74307</v>
      </c>
      <c r="V3881">
        <f>-617.433710950972 -82.0969694927408 -94.0414842084449</f>
        <v>-793.57216465215765</v>
      </c>
      <c r="W3881" t="s">
        <v>74308</v>
      </c>
      <c r="X3881" t="s">
        <v>74309</v>
      </c>
      <c r="Y3881" t="s">
        <v>74310</v>
      </c>
    </row>
    <row r="3882" spans="1:25" x14ac:dyDescent="0.3">
      <c r="A3882">
        <v>194050</v>
      </c>
      <c r="B3882" t="s">
        <v>74311</v>
      </c>
      <c r="C3882" t="s">
        <v>74312</v>
      </c>
      <c r="D3882" t="s">
        <v>74313</v>
      </c>
      <c r="E3882" t="s">
        <v>74314</v>
      </c>
      <c r="F3882">
        <f>-677.963058487939 -2.43071613825623 -376.856088508303</f>
        <v>-1057.2498631344981</v>
      </c>
      <c r="G3882">
        <f>-685.904946320423 -5.03576687793429 -460.332236713584</f>
        <v>-1151.2729499119414</v>
      </c>
      <c r="H3882">
        <f>-695.243097785147 -8.51818227103263 -582.584455273053</f>
        <v>-1286.3457353292326</v>
      </c>
      <c r="I3882">
        <f>-682.336025156895 -4.88136346110923 -659.78803312142</f>
        <v>-1347.005421739424</v>
      </c>
      <c r="J3882" t="s">
        <v>74315</v>
      </c>
      <c r="K3882" t="s">
        <v>74316</v>
      </c>
      <c r="L3882" t="s">
        <v>74317</v>
      </c>
      <c r="M3882" t="s">
        <v>74318</v>
      </c>
      <c r="N3882">
        <f>-686.057609609284 -37.9318950541149 -528.448548441719</f>
        <v>-1252.4380531051179</v>
      </c>
      <c r="O3882">
        <f>-667.601195000192 -189.771150299204 -497.740188490062</f>
        <v>-1355.112533789458</v>
      </c>
      <c r="P3882">
        <f>-677.862946276374 -219.421974725277 -217.393798642377</f>
        <v>-1114.678719644028</v>
      </c>
      <c r="Q3882">
        <f>-483.415578372514 -116.654026283297 -292.076690578089</f>
        <v>-892.14629523389999</v>
      </c>
      <c r="R3882" t="s">
        <v>74319</v>
      </c>
      <c r="S3882" t="s">
        <v>74320</v>
      </c>
      <c r="T3882" t="s">
        <v>74321</v>
      </c>
      <c r="U3882" t="s">
        <v>74322</v>
      </c>
      <c r="V3882">
        <f>-616.990697113601 -81.9673493309292 -94.0109506070961</f>
        <v>-792.96899705162627</v>
      </c>
      <c r="W3882" t="s">
        <v>74323</v>
      </c>
      <c r="X3882" t="s">
        <v>74324</v>
      </c>
      <c r="Y3882" t="s">
        <v>74325</v>
      </c>
    </row>
    <row r="3883" spans="1:25" x14ac:dyDescent="0.3">
      <c r="A3883">
        <v>194100</v>
      </c>
      <c r="B3883" t="s">
        <v>74326</v>
      </c>
      <c r="C3883" t="s">
        <v>74327</v>
      </c>
      <c r="D3883" t="s">
        <v>74328</v>
      </c>
      <c r="E3883" t="s">
        <v>74329</v>
      </c>
      <c r="F3883">
        <f>-676.444339062984 -1.94046364995756 -376.89033482024</f>
        <v>-1055.2751375331816</v>
      </c>
      <c r="G3883">
        <f>-684.102495414155 -4.36050065101267 -460.398507986727</f>
        <v>-1148.8615040518946</v>
      </c>
      <c r="H3883">
        <f>-692.971042990041 -7.52747697466702 -582.694263037187</f>
        <v>-1283.1927830018951</v>
      </c>
      <c r="I3883">
        <f>-679.8146718462 -3.61131698108488 -659.842017530874</f>
        <v>-1343.2680063581588</v>
      </c>
      <c r="J3883" t="s">
        <v>74330</v>
      </c>
      <c r="K3883" t="s">
        <v>74331</v>
      </c>
      <c r="L3883" t="s">
        <v>74332</v>
      </c>
      <c r="M3883" t="s">
        <v>74333</v>
      </c>
      <c r="N3883">
        <f>-683.995791359218 -37.0811461494716 -528.599276006134</f>
        <v>-1249.6762135148235</v>
      </c>
      <c r="O3883">
        <f>-665.764064370675 -188.998158159203 -498.152042327565</f>
        <v>-1352.914264857443</v>
      </c>
      <c r="P3883">
        <f>-677.849764387693 -218.834030992362 -217.897947794858</f>
        <v>-1114.5817431749131</v>
      </c>
      <c r="Q3883">
        <f>-481.814420357787 -117.073077935959 -289.754782533507</f>
        <v>-888.64228082725299</v>
      </c>
      <c r="R3883" t="s">
        <v>74334</v>
      </c>
      <c r="S3883" t="s">
        <v>74335</v>
      </c>
      <c r="T3883" t="s">
        <v>74336</v>
      </c>
      <c r="U3883" t="s">
        <v>74337</v>
      </c>
      <c r="V3883">
        <f>-616.063474207444 -81.7410087803269 -93.9495422625683</f>
        <v>-791.75402525033917</v>
      </c>
      <c r="W3883" t="s">
        <v>74338</v>
      </c>
      <c r="X3883" t="s">
        <v>74339</v>
      </c>
      <c r="Y3883" t="s">
        <v>74340</v>
      </c>
    </row>
    <row r="3884" spans="1:25" x14ac:dyDescent="0.3">
      <c r="A3884">
        <v>194150</v>
      </c>
      <c r="B3884" t="s">
        <v>74341</v>
      </c>
      <c r="C3884" t="s">
        <v>74342</v>
      </c>
      <c r="D3884" t="s">
        <v>74343</v>
      </c>
      <c r="E3884" t="s">
        <v>74344</v>
      </c>
      <c r="F3884">
        <f>-675.676625663992 -1.6808284574945 -376.910058968681</f>
        <v>-1054.2675130901675</v>
      </c>
      <c r="G3884">
        <f>-683.197824832018 -3.99957259791267 -460.433798859397</f>
        <v>-1147.6311962893276</v>
      </c>
      <c r="H3884">
        <f>-691.844297144948 -6.99540286622459 -582.749677960061</f>
        <v>-1281.5893779712337</v>
      </c>
      <c r="I3884">
        <f>-678.583282847561 -2.98759371418828 -659.874858092844</f>
        <v>-1341.4457346545933</v>
      </c>
      <c r="J3884" t="s">
        <v>74345</v>
      </c>
      <c r="K3884" t="s">
        <v>74346</v>
      </c>
      <c r="L3884" t="s">
        <v>74347</v>
      </c>
      <c r="M3884" t="s">
        <v>74348</v>
      </c>
      <c r="N3884">
        <f>-682.9636949884 -36.6241614758571 -528.680218014061</f>
        <v>-1248.2680744783181</v>
      </c>
      <c r="O3884">
        <f>-664.828421426168 -188.563722277468 -498.323020859279</f>
        <v>-1351.7151645629151</v>
      </c>
      <c r="P3884">
        <f>-678.230271311597 -218.483681574859 -218.137811422249</f>
        <v>-1114.851764308705</v>
      </c>
      <c r="Q3884">
        <f>-481.239632931485 -117.417007145551 -288.342938277127</f>
        <v>-886.99957835416296</v>
      </c>
      <c r="R3884" t="s">
        <v>74349</v>
      </c>
      <c r="S3884" t="s">
        <v>74350</v>
      </c>
      <c r="T3884" t="s">
        <v>74351</v>
      </c>
      <c r="U3884" t="s">
        <v>74352</v>
      </c>
      <c r="V3884">
        <f>-615.570773749129 -81.5668959102784 -93.9207924601391</f>
        <v>-791.05846211954645</v>
      </c>
      <c r="W3884" t="s">
        <v>74353</v>
      </c>
      <c r="X3884" t="s">
        <v>74354</v>
      </c>
      <c r="Y3884" t="s">
        <v>74355</v>
      </c>
    </row>
    <row r="3885" spans="1:25" x14ac:dyDescent="0.3">
      <c r="A3885">
        <v>194200</v>
      </c>
      <c r="B3885" t="s">
        <v>74356</v>
      </c>
      <c r="C3885" t="s">
        <v>74357</v>
      </c>
      <c r="D3885" t="s">
        <v>74358</v>
      </c>
      <c r="E3885" t="s">
        <v>74359</v>
      </c>
      <c r="F3885">
        <f>-674.151401063242 -1.24013034759764 -376.929882928437</f>
        <v>-1052.3214143392765</v>
      </c>
      <c r="G3885">
        <f>-681.410078389024 -3.37522935827451 -460.481574360968</f>
        <v>-1145.2668821082666</v>
      </c>
      <c r="H3885">
        <f>-689.632256394403 -6.05945736953595 -582.834059268704</f>
        <v>-1278.525773032643</v>
      </c>
      <c r="I3885">
        <f>-676.19681543139 -1.92622905246753 -659.922455944001</f>
        <v>-1338.0455004278583</v>
      </c>
      <c r="J3885" t="s">
        <v>74360</v>
      </c>
      <c r="K3885" t="s">
        <v>74361</v>
      </c>
      <c r="L3885" t="s">
        <v>74362</v>
      </c>
      <c r="M3885" t="s">
        <v>74363</v>
      </c>
      <c r="N3885">
        <f>-680.941743573315 -35.8263620343871 -528.809566202003</f>
        <v>-1245.577671809705</v>
      </c>
      <c r="O3885">
        <f>-663.159291313448 -187.809700183516 -498.4349399169</f>
        <v>-1349.403931413864</v>
      </c>
      <c r="P3885">
        <f>-679.746219526842 -217.774234690159 -218.424840039312</f>
        <v>-1115.945294256313</v>
      </c>
      <c r="Q3885">
        <f>-480.911633076843 -118.216863687467 -285.519452697341</f>
        <v>-884.64794946165102</v>
      </c>
      <c r="R3885" t="s">
        <v>74364</v>
      </c>
      <c r="S3885" t="s">
        <v>74365</v>
      </c>
      <c r="T3885" t="s">
        <v>74366</v>
      </c>
      <c r="U3885" t="s">
        <v>74367</v>
      </c>
      <c r="V3885">
        <f>-614.579277597038 -81.3010442000545 -93.8623501742945</f>
        <v>-789.74267197138704</v>
      </c>
      <c r="W3885" t="s">
        <v>74368</v>
      </c>
      <c r="X3885" t="s">
        <v>74369</v>
      </c>
      <c r="Y3885" t="s">
        <v>74370</v>
      </c>
    </row>
    <row r="3886" spans="1:25" x14ac:dyDescent="0.3">
      <c r="A3886">
        <v>194250</v>
      </c>
      <c r="B3886" t="s">
        <v>74371</v>
      </c>
      <c r="C3886" t="s">
        <v>74372</v>
      </c>
      <c r="D3886" t="s">
        <v>74373</v>
      </c>
      <c r="E3886" t="s">
        <v>74374</v>
      </c>
      <c r="F3886">
        <f>-673.381347665856 -1.06295824607491 -376.928126750886</f>
        <v>-1051.3724326628169</v>
      </c>
      <c r="G3886">
        <f>-680.496785787214 -3.132052986806 -460.493765495443</f>
        <v>-1144.122604269463</v>
      </c>
      <c r="H3886">
        <f>-688.484709145361 -5.70417249497859 -582.864136982811</f>
        <v>-1277.0530186231506</v>
      </c>
      <c r="I3886">
        <f>-674.97857972253 -1.5487956810673 -659.938927744074</f>
        <v>-1336.4663031476712</v>
      </c>
      <c r="J3886" t="s">
        <v>74375</v>
      </c>
      <c r="K3886" t="s">
        <v>74376</v>
      </c>
      <c r="L3886" t="s">
        <v>74377</v>
      </c>
      <c r="M3886" t="s">
        <v>74378</v>
      </c>
      <c r="N3886">
        <f>-679.913761616727 -35.5233620872618 -528.849217900715</f>
        <v>-1244.2863416047039</v>
      </c>
      <c r="O3886">
        <f>-662.384873370542 -187.517514044292 -498.435777450206</f>
        <v>-1348.33816486504</v>
      </c>
      <c r="P3886">
        <f>-680.818999198134 -217.704415666037 -218.565366308286</f>
        <v>-1117.0887811724569</v>
      </c>
      <c r="Q3886">
        <f>-481.160713731312 -118.876550848575 -284.27796480308</f>
        <v>-884.31522938296712</v>
      </c>
      <c r="R3886" t="s">
        <v>74379</v>
      </c>
      <c r="S3886" t="s">
        <v>74380</v>
      </c>
      <c r="T3886" t="s">
        <v>74381</v>
      </c>
      <c r="U3886" t="s">
        <v>74382</v>
      </c>
      <c r="V3886">
        <f>-614.105478213628 -81.1853573386586 -93.8174627804826</f>
        <v>-789.10829833276921</v>
      </c>
      <c r="W3886" t="s">
        <v>74383</v>
      </c>
      <c r="X3886" t="s">
        <v>74384</v>
      </c>
      <c r="Y3886" t="s">
        <v>74385</v>
      </c>
    </row>
    <row r="3887" spans="1:25" x14ac:dyDescent="0.3">
      <c r="A3887">
        <v>194300</v>
      </c>
      <c r="B3887" t="s">
        <v>74386</v>
      </c>
      <c r="C3887" t="s">
        <v>74387</v>
      </c>
      <c r="D3887" t="s">
        <v>74388</v>
      </c>
      <c r="E3887" t="s">
        <v>74389</v>
      </c>
      <c r="F3887">
        <f>-671.773105881989 -0.788506224123921 -376.974161682683</f>
        <v>-1049.535773788796</v>
      </c>
      <c r="G3887">
        <f>-678.606109364502 -2.79205081474674 -460.564953906825</f>
        <v>-1141.9631140860738</v>
      </c>
      <c r="H3887">
        <f>-686.141309789017 -5.25444919348229 -582.966285668142</f>
        <v>-1274.3620446506411</v>
      </c>
      <c r="I3887">
        <f>-672.443889484416 -1.12305741736327 -660.008565832882</f>
        <v>-1333.5755127346613</v>
      </c>
      <c r="J3887" t="s">
        <v>74390</v>
      </c>
      <c r="K3887" t="s">
        <v>74391</v>
      </c>
      <c r="L3887" t="s">
        <v>74392</v>
      </c>
      <c r="M3887" t="s">
        <v>74393</v>
      </c>
      <c r="N3887">
        <f>-677.899040690006 -35.1426555246503 -528.938563440035</f>
        <v>-1241.9802596546913</v>
      </c>
      <c r="O3887">
        <f>-661.252387876587 -187.230146893655 -498.444732768219</f>
        <v>-1346.9272675384609</v>
      </c>
      <c r="P3887">
        <f>-682.818375310893 -217.898519743613 -218.850465976411</f>
        <v>-1119.567361030917</v>
      </c>
      <c r="Q3887">
        <f>-481.659728855985 -120.749430590787 -282.457108701079</f>
        <v>-884.86626814785109</v>
      </c>
      <c r="R3887" t="s">
        <v>74394</v>
      </c>
      <c r="S3887" t="s">
        <v>74395</v>
      </c>
      <c r="T3887" t="s">
        <v>74396</v>
      </c>
      <c r="U3887" t="s">
        <v>74397</v>
      </c>
      <c r="V3887">
        <f>-613.272293487655 -80.9476495500751 -93.7179800156766</f>
        <v>-787.93792305340673</v>
      </c>
      <c r="W3887" t="s">
        <v>74398</v>
      </c>
      <c r="X3887" t="s">
        <v>74399</v>
      </c>
      <c r="Y3887" t="s">
        <v>74400</v>
      </c>
    </row>
    <row r="3888" spans="1:25" x14ac:dyDescent="0.3">
      <c r="A3888">
        <v>194350</v>
      </c>
      <c r="B3888" t="s">
        <v>74401</v>
      </c>
      <c r="C3888" t="s">
        <v>74402</v>
      </c>
      <c r="D3888" t="s">
        <v>74403</v>
      </c>
      <c r="E3888" t="s">
        <v>74404</v>
      </c>
      <c r="F3888">
        <f>-670.979736101537 -0.663679831358195 -376.998211312309</f>
        <v>-1048.6416272452043</v>
      </c>
      <c r="G3888">
        <f>-677.724257593671 -2.66620464831612 -460.596274370752</f>
        <v>-1140.9867366127392</v>
      </c>
      <c r="H3888">
        <f>-685.127909615215 -5.13076757758085 -583.00569317136</f>
        <v>-1273.2643703641559</v>
      </c>
      <c r="I3888">
        <f>-671.320719879421 -1.03317982913109 -660.030090742958</f>
        <v>-1332.38399045151</v>
      </c>
      <c r="J3888" t="s">
        <v>74405</v>
      </c>
      <c r="K3888" t="s">
        <v>74406</v>
      </c>
      <c r="L3888" t="s">
        <v>74407</v>
      </c>
      <c r="M3888" t="s">
        <v>74408</v>
      </c>
      <c r="N3888">
        <f>-677.046423922809 -35.0341413058304 -528.961963648014</f>
        <v>-1241.0425288766535</v>
      </c>
      <c r="O3888">
        <f>-660.995468798629 -187.169188110964 -498.378835071349</f>
        <v>-1346.543491980942</v>
      </c>
      <c r="P3888">
        <f>-683.728102656496 -218.000178770706 -218.89488079426</f>
        <v>-1120.6231622214621</v>
      </c>
      <c r="Q3888">
        <f>-481.966251531829 -121.758961637968 -281.968705422832</f>
        <v>-885.69391859262896</v>
      </c>
      <c r="R3888" t="s">
        <v>74409</v>
      </c>
      <c r="S3888" t="s">
        <v>74410</v>
      </c>
      <c r="T3888" t="s">
        <v>74411</v>
      </c>
      <c r="U3888" t="s">
        <v>74412</v>
      </c>
      <c r="V3888">
        <f>-612.922150643562 -80.8383305461134 -93.6676388532861</f>
        <v>-787.4281200429615</v>
      </c>
      <c r="W3888" t="s">
        <v>74413</v>
      </c>
      <c r="X3888" t="s">
        <v>74414</v>
      </c>
      <c r="Y3888" t="s">
        <v>74415</v>
      </c>
    </row>
    <row r="3889" spans="1:25" x14ac:dyDescent="0.3">
      <c r="A3889">
        <v>194400</v>
      </c>
      <c r="B3889" t="s">
        <v>74416</v>
      </c>
      <c r="C3889" t="s">
        <v>74417</v>
      </c>
      <c r="D3889" t="s">
        <v>74418</v>
      </c>
      <c r="E3889" t="s">
        <v>74419</v>
      </c>
      <c r="F3889">
        <f>-669.555888677368 -0.218645036534554 -376.999081763194</f>
        <v>-1046.7736154770964</v>
      </c>
      <c r="G3889">
        <f>-676.194541972405 -2.25101938123134 -460.60488049115</f>
        <v>-1139.0504418447863</v>
      </c>
      <c r="H3889">
        <f>-683.448806199063 -4.77647918010302 -583.02194244165</f>
        <v>-1271.2472278208161</v>
      </c>
      <c r="I3889">
        <f>-669.395852735015 -0.66923957401832 -660.001525701194</f>
        <v>-1330.0666180102273</v>
      </c>
      <c r="J3889" t="s">
        <v>74420</v>
      </c>
      <c r="K3889" t="s">
        <v>74421</v>
      </c>
      <c r="L3889" t="s">
        <v>74422</v>
      </c>
      <c r="M3889" t="s">
        <v>74423</v>
      </c>
      <c r="N3889">
        <f>-675.65506783668 -34.686574734533 -528.939648190174</f>
        <v>-1239.281290761387</v>
      </c>
      <c r="O3889">
        <f>-660.978446610466 -186.882831538108 -497.982245190472</f>
        <v>-1345.843523339046</v>
      </c>
      <c r="P3889">
        <f>-685.237488744959 -217.459869015947 -218.598748823454</f>
        <v>-1121.2961065843601</v>
      </c>
      <c r="Q3889">
        <f>-482.471612624811 -123.272136351061 -281.55257287311</f>
        <v>-887.29632184898196</v>
      </c>
      <c r="R3889" t="s">
        <v>74424</v>
      </c>
      <c r="S3889" t="s">
        <v>74425</v>
      </c>
      <c r="T3889" t="s">
        <v>74426</v>
      </c>
      <c r="U3889" t="s">
        <v>74427</v>
      </c>
      <c r="V3889">
        <f>-612.341391202563 -80.3758571876058 -93.5638452975581</f>
        <v>-786.28109368772698</v>
      </c>
      <c r="W3889" t="s">
        <v>74428</v>
      </c>
      <c r="X3889" t="s">
        <v>74429</v>
      </c>
      <c r="Y3889" t="s">
        <v>74430</v>
      </c>
    </row>
    <row r="3890" spans="1:25" x14ac:dyDescent="0.3">
      <c r="A3890">
        <v>194450</v>
      </c>
      <c r="B3890" t="s">
        <v>74431</v>
      </c>
      <c r="C3890" t="s">
        <v>74432</v>
      </c>
      <c r="D3890" t="s">
        <v>74433</v>
      </c>
      <c r="E3890" t="s">
        <v>74434</v>
      </c>
      <c r="F3890">
        <f>-668.929816993305 -0.0242526396705216 -377.013363509084</f>
        <v>-1045.9674331420597</v>
      </c>
      <c r="G3890">
        <f>-675.531283604093 -2.13983658828693 -460.620140838216</f>
        <v>-1138.2912610305959</v>
      </c>
      <c r="H3890">
        <f>-682.733089838203 -4.81307741885598 -583.037016495132</f>
        <v>-1270.583183752191</v>
      </c>
      <c r="I3890">
        <f>-668.472073134181 -0.634475421818479 -659.974540388699</f>
        <v>-1329.0810889446984</v>
      </c>
      <c r="J3890" t="s">
        <v>74435</v>
      </c>
      <c r="K3890" t="s">
        <v>74436</v>
      </c>
      <c r="L3890" t="s">
        <v>74437</v>
      </c>
      <c r="M3890" t="s">
        <v>74438</v>
      </c>
      <c r="N3890">
        <f>-675.074434150046 -34.6741963853444 -528.908434341221</f>
        <v>-1238.6570648766115</v>
      </c>
      <c r="O3890">
        <f>-661.057926563079 -186.867394658466 -497.651910581701</f>
        <v>-1345.5772318032459</v>
      </c>
      <c r="P3890">
        <f>-685.832787448001 -217.075557315018 -218.27369047297</f>
        <v>-1121.1820352359889</v>
      </c>
      <c r="Q3890">
        <f>-482.590647327457 -123.941222554285 -281.259126926868</f>
        <v>-887.79099680861009</v>
      </c>
      <c r="R3890" t="s">
        <v>74439</v>
      </c>
      <c r="S3890" t="s">
        <v>74440</v>
      </c>
      <c r="T3890" t="s">
        <v>74441</v>
      </c>
      <c r="U3890" t="s">
        <v>74442</v>
      </c>
      <c r="V3890">
        <f>-612.143660179072 -80.1768113545568 -93.5191048711638</f>
        <v>-785.83957640479252</v>
      </c>
      <c r="W3890" t="s">
        <v>74443</v>
      </c>
      <c r="X3890" t="s">
        <v>74444</v>
      </c>
      <c r="Y3890" t="s">
        <v>74445</v>
      </c>
    </row>
    <row r="3891" spans="1:25" x14ac:dyDescent="0.3">
      <c r="A3891">
        <v>194500</v>
      </c>
      <c r="B3891" t="s">
        <v>74446</v>
      </c>
      <c r="C3891" t="s">
        <v>74447</v>
      </c>
      <c r="D3891" t="s">
        <v>74448</v>
      </c>
      <c r="E3891" t="s">
        <v>74449</v>
      </c>
      <c r="F3891" t="s">
        <v>74450</v>
      </c>
      <c r="G3891">
        <f>-674.756908759763 -2.33194247987626 -460.625159960896</f>
        <v>-1137.7140112005352</v>
      </c>
      <c r="H3891">
        <f>-682.269362185349 -5.5973650984015 -583.00914914003</f>
        <v>-1270.8758764237805</v>
      </c>
      <c r="I3891">
        <f>-667.524099319944 -1.20276126004092 -659.84326464419</f>
        <v>-1328.5701252241747</v>
      </c>
      <c r="J3891" t="s">
        <v>74451</v>
      </c>
      <c r="K3891" t="s">
        <v>74452</v>
      </c>
      <c r="L3891" t="s">
        <v>74453</v>
      </c>
      <c r="M3891" t="s">
        <v>74454</v>
      </c>
      <c r="N3891">
        <f>-674.771758652334 -35.2378876680939 -528.73700616988</f>
        <v>-1238.746652490308</v>
      </c>
      <c r="O3891">
        <f>-661.958329569545 -187.391252412976 -496.701808634379</f>
        <v>-1346.0513906168999</v>
      </c>
      <c r="P3891">
        <f>-687.26923864454 -216.109653480673 -217.214401996497</f>
        <v>-1120.59329412171</v>
      </c>
      <c r="Q3891">
        <f>-483.054369073054 -125.080174488891 -280.130883407317</f>
        <v>-888.26542696926197</v>
      </c>
      <c r="R3891" t="s">
        <v>74455</v>
      </c>
      <c r="S3891" t="s">
        <v>74456</v>
      </c>
      <c r="T3891" t="s">
        <v>74457</v>
      </c>
      <c r="U3891" t="s">
        <v>74458</v>
      </c>
      <c r="V3891">
        <f>-612.008156786479 -79.4931286318579 -93.3915910656731</f>
        <v>-784.89287648401</v>
      </c>
      <c r="W3891" t="s">
        <v>74459</v>
      </c>
      <c r="X3891" t="s">
        <v>74460</v>
      </c>
      <c r="Y3891" t="s">
        <v>74461</v>
      </c>
    </row>
    <row r="3892" spans="1:25" x14ac:dyDescent="0.3">
      <c r="A3892">
        <v>194550</v>
      </c>
      <c r="B3892" t="s">
        <v>74462</v>
      </c>
      <c r="C3892" t="s">
        <v>74463</v>
      </c>
      <c r="D3892" t="s">
        <v>74464</v>
      </c>
      <c r="E3892" t="s">
        <v>74465</v>
      </c>
      <c r="F3892" t="s">
        <v>74466</v>
      </c>
      <c r="G3892">
        <f>-674.159915814004 -2.15499408644655 -460.736111247651</f>
        <v>-1137.0510211481014</v>
      </c>
      <c r="H3892">
        <f>-682.176482889178 -6.02586115347435 -583.070355488105</f>
        <v>-1271.2726995307573</v>
      </c>
      <c r="I3892">
        <f>-666.97154294464 -1.51240897426442 -659.807851222085</f>
        <v>-1328.2918031409895</v>
      </c>
      <c r="J3892" t="s">
        <v>74467</v>
      </c>
      <c r="K3892" t="s">
        <v>74468</v>
      </c>
      <c r="L3892" t="s">
        <v>74469</v>
      </c>
      <c r="M3892" t="s">
        <v>74470</v>
      </c>
      <c r="N3892">
        <f>-674.868368191334 -35.4498811926419 -528.654779924943</f>
        <v>-1238.9730293089187</v>
      </c>
      <c r="O3892">
        <f>-663.621058993903 -187.552471723849 -495.885793097902</f>
        <v>-1347.0593238156541</v>
      </c>
      <c r="P3892">
        <f>-688.220435589482 -214.814392536042 -216.189273426186</f>
        <v>-1119.22410155171</v>
      </c>
      <c r="Q3892">
        <f>-483.505794747107 -125.308761379662 -279.66503410948</f>
        <v>-888.47959023624912</v>
      </c>
      <c r="R3892" t="s">
        <v>74471</v>
      </c>
      <c r="S3892" t="s">
        <v>74472</v>
      </c>
      <c r="T3892" t="s">
        <v>74473</v>
      </c>
      <c r="U3892" t="s">
        <v>74474</v>
      </c>
      <c r="V3892">
        <f>-612.026694558592 -78.5733626657918 -93.3080766665645</f>
        <v>-783.90813389094831</v>
      </c>
      <c r="W3892" t="s">
        <v>74475</v>
      </c>
      <c r="X3892" t="s">
        <v>74476</v>
      </c>
      <c r="Y3892" t="s">
        <v>74477</v>
      </c>
    </row>
    <row r="3893" spans="1:25" x14ac:dyDescent="0.3">
      <c r="A3893">
        <v>194600</v>
      </c>
      <c r="B3893" t="s">
        <v>74478</v>
      </c>
      <c r="C3893" t="s">
        <v>74479</v>
      </c>
      <c r="D3893" t="s">
        <v>74480</v>
      </c>
      <c r="E3893" t="s">
        <v>74481</v>
      </c>
      <c r="F3893" t="s">
        <v>74482</v>
      </c>
      <c r="G3893">
        <f>-673.596272620144 -2.11147510027627 -460.832621050332</f>
        <v>-1136.5403687707521</v>
      </c>
      <c r="H3893">
        <f>-681.816159576235 -6.32542173797265 -583.141977512239</f>
        <v>-1271.2835588264466</v>
      </c>
      <c r="I3893">
        <f>-666.337565668909 -1.88650780526223 -659.829179700236</f>
        <v>-1328.053253174407</v>
      </c>
      <c r="J3893" t="s">
        <v>74483</v>
      </c>
      <c r="K3893" t="s">
        <v>74484</v>
      </c>
      <c r="L3893" t="s">
        <v>74485</v>
      </c>
      <c r="M3893" t="s">
        <v>74486</v>
      </c>
      <c r="N3893">
        <f>-674.652074179735 -35.6240847153431 -528.639513545299</f>
        <v>-1238.915672440377</v>
      </c>
      <c r="O3893">
        <f>-664.344798985179 -187.716302461228 -495.480186390309</f>
        <v>-1347.541287836716</v>
      </c>
      <c r="P3893">
        <f>-688.333018653788 -214.437943706504 -215.678314044591</f>
        <v>-1118.449276404883</v>
      </c>
      <c r="Q3893">
        <f>-483.570518768185 -125.547839749867 -279.860856415824</f>
        <v>-888.97921493387594</v>
      </c>
      <c r="R3893" t="s">
        <v>74487</v>
      </c>
      <c r="S3893" t="s">
        <v>74488</v>
      </c>
      <c r="T3893" t="s">
        <v>74489</v>
      </c>
      <c r="U3893" t="s">
        <v>74490</v>
      </c>
      <c r="V3893">
        <f>-611.93203569307 -78.3757069106184 -93.3356973895808</f>
        <v>-783.64343999326923</v>
      </c>
      <c r="W3893" t="s">
        <v>74491</v>
      </c>
      <c r="X3893" t="s">
        <v>74492</v>
      </c>
      <c r="Y3893" t="s">
        <v>74493</v>
      </c>
    </row>
    <row r="3894" spans="1:25" x14ac:dyDescent="0.3">
      <c r="A3894">
        <v>194650</v>
      </c>
      <c r="B3894" t="s">
        <v>74494</v>
      </c>
      <c r="C3894" t="s">
        <v>74495</v>
      </c>
      <c r="D3894" t="s">
        <v>74496</v>
      </c>
      <c r="E3894" t="s">
        <v>74497</v>
      </c>
      <c r="F3894" t="s">
        <v>74498</v>
      </c>
      <c r="G3894">
        <f>-672.966149967448 -1.93712002153734 -460.905446510585</f>
        <v>-1135.8087164995704</v>
      </c>
      <c r="H3894">
        <f>-681.409685543706 -6.446476028294 -583.189024599427</f>
        <v>-1271.0451861714268</v>
      </c>
      <c r="I3894">
        <f>-665.720884142408 -2.14030926843225 -659.840988973678</f>
        <v>-1327.7021823845182</v>
      </c>
      <c r="J3894" t="s">
        <v>74499</v>
      </c>
      <c r="K3894" t="s">
        <v>74500</v>
      </c>
      <c r="L3894" t="s">
        <v>74501</v>
      </c>
      <c r="M3894" t="s">
        <v>74502</v>
      </c>
      <c r="N3894">
        <f>-674.374991266078 -35.6381742984977 -528.612563746825</f>
        <v>-1238.6257293114008</v>
      </c>
      <c r="O3894">
        <f>-665.090707025206 -187.692606197659 -494.97098578511</f>
        <v>-1347.7542990079751</v>
      </c>
      <c r="P3894">
        <f>-688.413444406078 -213.585155073407 -215.034955607412</f>
        <v>-1117.033555086897</v>
      </c>
      <c r="Q3894">
        <f>-483.570779651269 -125.5437027462 -280.125348321235</f>
        <v>-889.23983071870407</v>
      </c>
      <c r="R3894" t="s">
        <v>74503</v>
      </c>
      <c r="S3894" t="s">
        <v>74504</v>
      </c>
      <c r="T3894" t="s">
        <v>74505</v>
      </c>
      <c r="U3894" t="s">
        <v>74506</v>
      </c>
      <c r="V3894">
        <f>-611.788209273247 -78.1349105018751 -93.3607744268434</f>
        <v>-783.2838942019655</v>
      </c>
      <c r="W3894" t="s">
        <v>74507</v>
      </c>
      <c r="X3894" t="s">
        <v>74508</v>
      </c>
      <c r="Y3894" t="s">
        <v>74509</v>
      </c>
    </row>
    <row r="3895" spans="1:25" x14ac:dyDescent="0.3">
      <c r="A3895">
        <v>194700</v>
      </c>
      <c r="B3895" t="s">
        <v>74510</v>
      </c>
      <c r="C3895" t="s">
        <v>74511</v>
      </c>
      <c r="D3895" t="s">
        <v>74512</v>
      </c>
      <c r="E3895" t="s">
        <v>74513</v>
      </c>
      <c r="F3895" t="s">
        <v>74514</v>
      </c>
      <c r="G3895">
        <f>-671.876853029256 -1.13954504484263 -460.945630084024</f>
        <v>-1133.9620281581226</v>
      </c>
      <c r="H3895">
        <f>-680.70253201995 -6.09047837417006 -583.185281911142</f>
        <v>-1269.9782923052621</v>
      </c>
      <c r="I3895">
        <f>-664.775850927874 -2.24612080106999 -659.812780726535</f>
        <v>-1326.834752455479</v>
      </c>
      <c r="J3895" t="s">
        <v>74515</v>
      </c>
      <c r="K3895" t="s">
        <v>74516</v>
      </c>
      <c r="L3895" t="s">
        <v>74517</v>
      </c>
      <c r="M3895" t="s">
        <v>74518</v>
      </c>
      <c r="N3895">
        <f>-673.835966057574 -35.1185179460888 -528.50015517547</f>
        <v>-1237.4546391791328</v>
      </c>
      <c r="O3895">
        <f>-666.213278747163 -187.074248951202 -494.017912460453</f>
        <v>-1347.3054401588179</v>
      </c>
      <c r="P3895">
        <f>-688.81424142798 -210.657496800516 -213.818682779318</f>
        <v>-1113.2904210078141</v>
      </c>
      <c r="Q3895">
        <f>-483.444575537852 -125.051864512027 -280.478496335609</f>
        <v>-888.97493638548804</v>
      </c>
      <c r="R3895" t="s">
        <v>74519</v>
      </c>
      <c r="S3895" t="s">
        <v>74520</v>
      </c>
      <c r="T3895" t="s">
        <v>74521</v>
      </c>
      <c r="U3895" t="s">
        <v>74522</v>
      </c>
      <c r="V3895">
        <f>-611.40658870526 -77.5799077863392 -93.3662152418544</f>
        <v>-782.35271173345359</v>
      </c>
      <c r="W3895" t="s">
        <v>74523</v>
      </c>
      <c r="X3895" t="s">
        <v>74524</v>
      </c>
      <c r="Y3895" t="s">
        <v>74525</v>
      </c>
    </row>
    <row r="3896" spans="1:25" x14ac:dyDescent="0.3">
      <c r="A3896">
        <v>194750</v>
      </c>
      <c r="B3896" t="s">
        <v>74526</v>
      </c>
      <c r="C3896" t="s">
        <v>74527</v>
      </c>
      <c r="D3896" t="s">
        <v>74528</v>
      </c>
      <c r="E3896" t="s">
        <v>74529</v>
      </c>
      <c r="F3896" t="s">
        <v>74530</v>
      </c>
      <c r="G3896">
        <f>-671.422529947264 -0.595991900710033 -460.982105458648</f>
        <v>-1133.0006273066219</v>
      </c>
      <c r="H3896">
        <f>-680.404531713069 -5.63475394304214 -583.206697837421</f>
        <v>-1269.2459834935321</v>
      </c>
      <c r="I3896">
        <f>-664.387292830482 -2.0796555811371 -659.829322061871</f>
        <v>-1326.29627047349</v>
      </c>
      <c r="J3896" t="s">
        <v>74531</v>
      </c>
      <c r="K3896" t="s">
        <v>74532</v>
      </c>
      <c r="L3896" t="s">
        <v>74533</v>
      </c>
      <c r="M3896" t="s">
        <v>74534</v>
      </c>
      <c r="N3896">
        <f>-673.587681927903 -34.6343994971023 -528.500367164705</f>
        <v>-1236.7224485897104</v>
      </c>
      <c r="O3896">
        <f>-666.558928070537 -186.568617172788 -493.798740842019</f>
        <v>-1346.9262860853441</v>
      </c>
      <c r="P3896">
        <f>-689.032229913914 -209.328640618191 -213.521069953011</f>
        <v>-1111.881940485116</v>
      </c>
      <c r="Q3896">
        <f>-483.394134288851 -124.699328865371 -280.598583731125</f>
        <v>-888.69204688534705</v>
      </c>
      <c r="R3896" t="s">
        <v>74535</v>
      </c>
      <c r="S3896" t="s">
        <v>74536</v>
      </c>
      <c r="T3896" t="s">
        <v>74537</v>
      </c>
      <c r="U3896" t="s">
        <v>74538</v>
      </c>
      <c r="V3896">
        <f>-611.090235531108 -77.215122618996 -93.3825091812025</f>
        <v>-781.68786733130651</v>
      </c>
      <c r="W3896" t="s">
        <v>74539</v>
      </c>
      <c r="X3896" t="s">
        <v>74540</v>
      </c>
      <c r="Y3896" t="s">
        <v>74541</v>
      </c>
    </row>
    <row r="3897" spans="1:25" x14ac:dyDescent="0.3">
      <c r="A3897">
        <v>194800</v>
      </c>
      <c r="B3897" t="s">
        <v>74542</v>
      </c>
      <c r="C3897" t="s">
        <v>74543</v>
      </c>
      <c r="D3897" t="s">
        <v>74544</v>
      </c>
      <c r="E3897" t="s">
        <v>74545</v>
      </c>
      <c r="F3897" t="s">
        <v>74546</v>
      </c>
      <c r="G3897" t="s">
        <v>74547</v>
      </c>
      <c r="H3897">
        <f>-679.392747929235 -4.30427301572081 -583.312163840179</f>
        <v>-1267.0091847851349</v>
      </c>
      <c r="I3897">
        <f>-663.201654611698 -1.18978782664726 -659.917277608426</f>
        <v>-1324.3087200467712</v>
      </c>
      <c r="J3897" t="s">
        <v>74548</v>
      </c>
      <c r="K3897" t="s">
        <v>74549</v>
      </c>
      <c r="L3897" t="s">
        <v>74550</v>
      </c>
      <c r="M3897" t="s">
        <v>74551</v>
      </c>
      <c r="N3897">
        <f>-672.686128499418 -33.3452847296037 -528.614044990553</f>
        <v>-1234.6454582195747</v>
      </c>
      <c r="O3897">
        <f>-666.362582037194 -185.278440332179 -493.819259271591</f>
        <v>-1345.460281640964</v>
      </c>
      <c r="P3897">
        <f>-689.019995959064 -208.188456574688 -213.568880830069</f>
        <v>-1110.7773333638208</v>
      </c>
      <c r="Q3897">
        <f>-483.09650180447 -124.33292696573 -280.742064483433</f>
        <v>-888.17149325363312</v>
      </c>
      <c r="R3897" t="s">
        <v>74552</v>
      </c>
      <c r="S3897" t="s">
        <v>74553</v>
      </c>
      <c r="T3897" t="s">
        <v>74554</v>
      </c>
      <c r="U3897" t="s">
        <v>74555</v>
      </c>
      <c r="V3897">
        <f>-610.494958573028 -76.4036425865741 -93.4279458059362</f>
        <v>-780.32654696553834</v>
      </c>
      <c r="W3897" t="s">
        <v>74556</v>
      </c>
      <c r="X3897" t="s">
        <v>74557</v>
      </c>
      <c r="Y3897" t="s">
        <v>74558</v>
      </c>
    </row>
    <row r="3898" spans="1:25" x14ac:dyDescent="0.3">
      <c r="A3898">
        <v>194850</v>
      </c>
      <c r="B3898" t="s">
        <v>74559</v>
      </c>
      <c r="C3898" t="s">
        <v>74560</v>
      </c>
      <c r="D3898" t="s">
        <v>74561</v>
      </c>
      <c r="E3898" t="s">
        <v>74562</v>
      </c>
      <c r="F3898" t="s">
        <v>74563</v>
      </c>
      <c r="G3898" t="s">
        <v>74564</v>
      </c>
      <c r="H3898">
        <f>-678.887240404126 -3.85965902800217 -583.393952518825</f>
        <v>-1266.1408519509532</v>
      </c>
      <c r="I3898">
        <f>-662.657756942371 -0.907477284674087 -659.997545179224</f>
        <v>-1323.5627794062689</v>
      </c>
      <c r="J3898" t="s">
        <v>74565</v>
      </c>
      <c r="K3898" t="s">
        <v>74566</v>
      </c>
      <c r="L3898" t="s">
        <v>74567</v>
      </c>
      <c r="M3898" t="s">
        <v>74568</v>
      </c>
      <c r="N3898">
        <f>-672.193054873788 -32.8992168139882 -528.693601974147</f>
        <v>-1233.7858736619232</v>
      </c>
      <c r="O3898">
        <f>-665.835599897571 -184.849270331429 -493.983649224657</f>
        <v>-1344.6685194536569</v>
      </c>
      <c r="P3898">
        <f>-688.705521787305 -208.326102542612 -213.797290449361</f>
        <v>-1110.828914779278</v>
      </c>
      <c r="Q3898">
        <f>-482.744234618443 -124.412802219562 -280.782602386879</f>
        <v>-887.93963922488388</v>
      </c>
      <c r="R3898" t="s">
        <v>74569</v>
      </c>
      <c r="S3898" t="s">
        <v>74570</v>
      </c>
      <c r="T3898" t="s">
        <v>74571</v>
      </c>
      <c r="U3898" t="s">
        <v>74572</v>
      </c>
      <c r="V3898">
        <f>-610.106054901908 -75.9834015120516 -93.4934578503595</f>
        <v>-779.58291426431913</v>
      </c>
      <c r="W3898" t="s">
        <v>74573</v>
      </c>
      <c r="X3898" t="s">
        <v>74574</v>
      </c>
      <c r="Y3898" t="s">
        <v>74575</v>
      </c>
    </row>
    <row r="3899" spans="1:25" x14ac:dyDescent="0.3">
      <c r="A3899">
        <v>194900</v>
      </c>
      <c r="B3899" t="s">
        <v>74576</v>
      </c>
      <c r="C3899" t="s">
        <v>74577</v>
      </c>
      <c r="D3899" t="s">
        <v>74578</v>
      </c>
      <c r="E3899" t="s">
        <v>74579</v>
      </c>
      <c r="F3899" t="s">
        <v>74580</v>
      </c>
      <c r="G3899" t="s">
        <v>74581</v>
      </c>
      <c r="H3899">
        <f>-678.663211721509 -3.12806115425178 -583.525449437184</f>
        <v>-1265.3167223129449</v>
      </c>
      <c r="I3899">
        <f>-662.509422902483 -0.351196319383462 -660.151440745002</f>
        <v>-1323.0120599668685</v>
      </c>
      <c r="J3899" t="s">
        <v>74582</v>
      </c>
      <c r="K3899" t="s">
        <v>74583</v>
      </c>
      <c r="L3899" t="s">
        <v>74584</v>
      </c>
      <c r="M3899" t="s">
        <v>74585</v>
      </c>
      <c r="N3899">
        <f>-671.895726651534 -32.1650568260143 -528.832609953248</f>
        <v>-1232.8933934307963</v>
      </c>
      <c r="O3899">
        <f>-665.240457039512 -184.103112629204 -494.07776404837</f>
        <v>-1343.4213337170859</v>
      </c>
      <c r="P3899">
        <f>-688.067052943328 -208.386175093741 -213.956564882308</f>
        <v>-1110.409792919377</v>
      </c>
      <c r="Q3899">
        <f>-482.261619537908 -124.001720671016 -280.829050546138</f>
        <v>-887.09239075506196</v>
      </c>
      <c r="R3899" t="s">
        <v>74586</v>
      </c>
      <c r="S3899" t="s">
        <v>74587</v>
      </c>
      <c r="T3899" t="s">
        <v>74588</v>
      </c>
      <c r="U3899" t="s">
        <v>74589</v>
      </c>
      <c r="V3899">
        <f>-609.494932976074 -75.0647158750278 -93.687155388985</f>
        <v>-778.24680424008682</v>
      </c>
      <c r="W3899" t="s">
        <v>74590</v>
      </c>
      <c r="X3899" t="s">
        <v>74591</v>
      </c>
      <c r="Y3899" t="s">
        <v>74592</v>
      </c>
    </row>
    <row r="3900" spans="1:25" x14ac:dyDescent="0.3">
      <c r="A3900">
        <v>194950</v>
      </c>
      <c r="B3900" t="s">
        <v>74593</v>
      </c>
      <c r="C3900" t="s">
        <v>74594</v>
      </c>
      <c r="D3900" t="s">
        <v>74595</v>
      </c>
      <c r="E3900" t="s">
        <v>74596</v>
      </c>
      <c r="F3900" t="s">
        <v>74597</v>
      </c>
      <c r="G3900" t="s">
        <v>74598</v>
      </c>
      <c r="H3900">
        <f>-678.728738621034 -2.7840768355079 -583.593625209502</f>
        <v>-1265.1064406660439</v>
      </c>
      <c r="I3900">
        <f>-662.660397026153 -0.0335969688001114 -660.238590178742</f>
        <v>-1322.932584173695</v>
      </c>
      <c r="J3900" t="s">
        <v>74599</v>
      </c>
      <c r="K3900" t="s">
        <v>74600</v>
      </c>
      <c r="L3900" t="s">
        <v>74601</v>
      </c>
      <c r="M3900" t="s">
        <v>74602</v>
      </c>
      <c r="N3900">
        <f>-671.904425488859 -31.8382757245536 -528.917013209461</f>
        <v>-1232.6597144228735</v>
      </c>
      <c r="O3900">
        <f>-665.044001325524 -183.76942550338 -494.174758294031</f>
        <v>-1342.9881851229352</v>
      </c>
      <c r="P3900">
        <f>-687.869229563505 -208.045992423278 -214.052910220059</f>
        <v>-1109.968132206842</v>
      </c>
      <c r="Q3900">
        <f>-482.116997107062 -123.520543765464 -280.910973159308</f>
        <v>-886.54851403183397</v>
      </c>
      <c r="R3900" t="s">
        <v>74603</v>
      </c>
      <c r="S3900" t="s">
        <v>74604</v>
      </c>
      <c r="T3900" t="s">
        <v>74605</v>
      </c>
      <c r="U3900" t="s">
        <v>74606</v>
      </c>
      <c r="V3900">
        <f>-609.301893294726 -74.6694067479211 -93.7878560409671</f>
        <v>-777.75915608361424</v>
      </c>
      <c r="W3900" t="s">
        <v>74607</v>
      </c>
      <c r="X3900" t="s">
        <v>74608</v>
      </c>
      <c r="Y3900" t="s">
        <v>74609</v>
      </c>
    </row>
    <row r="3901" spans="1:25" x14ac:dyDescent="0.3">
      <c r="A3901">
        <v>195000</v>
      </c>
      <c r="B3901" t="s">
        <v>74610</v>
      </c>
      <c r="C3901" t="s">
        <v>74611</v>
      </c>
      <c r="D3901" t="s">
        <v>74612</v>
      </c>
      <c r="E3901" t="s">
        <v>74613</v>
      </c>
      <c r="F3901" t="s">
        <v>74614</v>
      </c>
      <c r="G3901" t="s">
        <v>74615</v>
      </c>
      <c r="H3901">
        <f>-679.19347476836 -2.12016343372625 -583.70074664369</f>
        <v>-1265.0143848457762</v>
      </c>
      <c r="I3901" t="s">
        <v>74616</v>
      </c>
      <c r="J3901" t="s">
        <v>74617</v>
      </c>
      <c r="K3901" t="s">
        <v>74618</v>
      </c>
      <c r="L3901" t="s">
        <v>74619</v>
      </c>
      <c r="M3901" t="s">
        <v>74620</v>
      </c>
      <c r="N3901">
        <f>-672.225070594993 -31.2543956881441 -529.085129620028</f>
        <v>-1232.5645959031651</v>
      </c>
      <c r="O3901">
        <f>-664.981718668392 -183.203645099454 -494.514893166403</f>
        <v>-1342.700256934249</v>
      </c>
      <c r="P3901">
        <f>-687.905734875956 -207.381392931294 -214.392616493668</f>
        <v>-1109.6797443009179</v>
      </c>
      <c r="Q3901">
        <f>-482.335480496148 -122.43062054855 -281.271442576897</f>
        <v>-886.03754362159498</v>
      </c>
      <c r="R3901" t="s">
        <v>74621</v>
      </c>
      <c r="S3901" t="s">
        <v>74622</v>
      </c>
      <c r="T3901" t="s">
        <v>74623</v>
      </c>
      <c r="U3901" t="s">
        <v>74624</v>
      </c>
      <c r="V3901">
        <f>-609.088687122719 -74.2282385976987 -93.9551368942197</f>
        <v>-777.27206261463732</v>
      </c>
      <c r="W3901" t="s">
        <v>74625</v>
      </c>
      <c r="X3901" t="s">
        <v>74626</v>
      </c>
      <c r="Y3901" t="s">
        <v>74627</v>
      </c>
    </row>
    <row r="3902" spans="1:25" x14ac:dyDescent="0.3">
      <c r="A3902">
        <v>195050</v>
      </c>
      <c r="B3902" t="s">
        <v>74628</v>
      </c>
      <c r="C3902" t="s">
        <v>74629</v>
      </c>
      <c r="D3902" t="s">
        <v>74630</v>
      </c>
      <c r="E3902" t="s">
        <v>74631</v>
      </c>
      <c r="F3902" t="s">
        <v>74632</v>
      </c>
      <c r="G3902" t="s">
        <v>74633</v>
      </c>
      <c r="H3902">
        <f>-679.335727619013 -1.78672678246153 -583.760119233722</f>
        <v>-1264.8825736351964</v>
      </c>
      <c r="I3902" t="s">
        <v>74634</v>
      </c>
      <c r="J3902" t="s">
        <v>74635</v>
      </c>
      <c r="K3902" t="s">
        <v>74636</v>
      </c>
      <c r="L3902" t="s">
        <v>74637</v>
      </c>
      <c r="M3902" t="s">
        <v>74638</v>
      </c>
      <c r="N3902">
        <f>-672.321450486153 -30.9772545003998 -529.180407726919</f>
        <v>-1232.4791127134717</v>
      </c>
      <c r="O3902">
        <f>-664.965181448998 -182.949726623357 -494.719236661781</f>
        <v>-1342.634144734136</v>
      </c>
      <c r="P3902">
        <f>-687.797899568978 -207.354004834449 -214.609281803383</f>
        <v>-1109.76118620681</v>
      </c>
      <c r="Q3902">
        <f>-482.367645995207 -122.105711059771 -281.539473709602</f>
        <v>-886.01283076458003</v>
      </c>
      <c r="R3902" t="s">
        <v>74639</v>
      </c>
      <c r="S3902" t="s">
        <v>74640</v>
      </c>
      <c r="T3902" t="s">
        <v>74641</v>
      </c>
      <c r="U3902" t="s">
        <v>74642</v>
      </c>
      <c r="V3902">
        <f>-609.021603226912 -74.1835233842178 -94.0007250685538</f>
        <v>-777.20585167968363</v>
      </c>
      <c r="W3902" t="s">
        <v>74643</v>
      </c>
      <c r="X3902" t="s">
        <v>74644</v>
      </c>
      <c r="Y3902" t="s">
        <v>74645</v>
      </c>
    </row>
    <row r="3903" spans="1:25" x14ac:dyDescent="0.3">
      <c r="A3903">
        <v>195100</v>
      </c>
      <c r="B3903" t="s">
        <v>74646</v>
      </c>
      <c r="C3903" t="s">
        <v>74647</v>
      </c>
      <c r="D3903" t="s">
        <v>74648</v>
      </c>
      <c r="E3903" t="s">
        <v>74649</v>
      </c>
      <c r="F3903" t="s">
        <v>74650</v>
      </c>
      <c r="G3903" t="s">
        <v>74651</v>
      </c>
      <c r="H3903">
        <f>-679.675303789601 -1.33963838910586 -583.82575674622</f>
        <v>-1264.840698924927</v>
      </c>
      <c r="I3903" t="s">
        <v>74652</v>
      </c>
      <c r="J3903" t="s">
        <v>74653</v>
      </c>
      <c r="K3903" t="s">
        <v>74654</v>
      </c>
      <c r="L3903" t="s">
        <v>74655</v>
      </c>
      <c r="M3903" t="s">
        <v>74656</v>
      </c>
      <c r="N3903">
        <f>-672.610419834824 -30.6535665317647 -529.318598510657</f>
        <v>-1232.5825848772456</v>
      </c>
      <c r="O3903">
        <f>-665.338770127096 -182.724247585817 -495.283861355571</f>
        <v>-1343.346879068484</v>
      </c>
      <c r="P3903">
        <f>-687.926796407222 -207.92604198752 -215.224444630302</f>
        <v>-1111.0772830250439</v>
      </c>
      <c r="Q3903">
        <f>-482.578490129639 -122.35325217906 -281.992062208689</f>
        <v>-886.92380451738791</v>
      </c>
      <c r="R3903" t="s">
        <v>74657</v>
      </c>
      <c r="S3903" t="s">
        <v>74658</v>
      </c>
      <c r="T3903" t="s">
        <v>74659</v>
      </c>
      <c r="U3903" t="s">
        <v>74660</v>
      </c>
      <c r="V3903">
        <f>-608.912214179718 -74.3493644654816 -94.0515705708065</f>
        <v>-777.31314921600608</v>
      </c>
      <c r="W3903" t="s">
        <v>74661</v>
      </c>
      <c r="X3903" t="s">
        <v>74662</v>
      </c>
      <c r="Y3903" t="s">
        <v>74663</v>
      </c>
    </row>
    <row r="3904" spans="1:25" x14ac:dyDescent="0.3">
      <c r="A3904">
        <v>195150</v>
      </c>
      <c r="B3904" t="s">
        <v>74664</v>
      </c>
      <c r="C3904" t="s">
        <v>74665</v>
      </c>
      <c r="D3904" t="s">
        <v>74666</v>
      </c>
      <c r="E3904" t="s">
        <v>74667</v>
      </c>
      <c r="F3904" t="s">
        <v>74668</v>
      </c>
      <c r="G3904" t="s">
        <v>74669</v>
      </c>
      <c r="H3904">
        <f>-679.837170281045 -1.10039990854307 -583.823375264519</f>
        <v>-1264.7609454541071</v>
      </c>
      <c r="I3904" t="s">
        <v>74670</v>
      </c>
      <c r="J3904" t="s">
        <v>74671</v>
      </c>
      <c r="K3904" t="s">
        <v>74672</v>
      </c>
      <c r="L3904" t="s">
        <v>74673</v>
      </c>
      <c r="M3904" t="s">
        <v>74674</v>
      </c>
      <c r="N3904">
        <f>-672.76504834397 -30.4652012151303 -529.344551494013</f>
        <v>-1232.5748010531133</v>
      </c>
      <c r="O3904">
        <f>-665.663841460004 -182.587888550176 -495.472298686112</f>
        <v>-1343.724028696292</v>
      </c>
      <c r="P3904">
        <f>-688.149562295196 -208.195387091237 -215.441740807606</f>
        <v>-1111.786690194039</v>
      </c>
      <c r="Q3904">
        <f>-482.752444843158 -122.684709817809 -282.138438230912</f>
        <v>-887.57559289187907</v>
      </c>
      <c r="R3904" t="s">
        <v>74675</v>
      </c>
      <c r="S3904" t="s">
        <v>74676</v>
      </c>
      <c r="T3904" t="s">
        <v>74677</v>
      </c>
      <c r="U3904" t="s">
        <v>74678</v>
      </c>
      <c r="V3904">
        <f>-608.832519001502 -74.3377281382118 -94.044131806534</f>
        <v>-777.21437894624773</v>
      </c>
      <c r="W3904" t="s">
        <v>74679</v>
      </c>
      <c r="X3904" t="s">
        <v>74680</v>
      </c>
      <c r="Y3904" t="s">
        <v>74681</v>
      </c>
    </row>
    <row r="3905" spans="1:25" x14ac:dyDescent="0.3">
      <c r="A3905">
        <v>195200</v>
      </c>
      <c r="B3905" t="s">
        <v>74682</v>
      </c>
      <c r="C3905" t="s">
        <v>74683</v>
      </c>
      <c r="D3905" t="s">
        <v>74684</v>
      </c>
      <c r="E3905" t="s">
        <v>74685</v>
      </c>
      <c r="F3905" t="s">
        <v>74686</v>
      </c>
      <c r="G3905" t="s">
        <v>74687</v>
      </c>
      <c r="H3905">
        <f>-680.020398333943 -0.249885479756813 -583.763327429416</f>
        <v>-1264.033611243116</v>
      </c>
      <c r="I3905" t="s">
        <v>74688</v>
      </c>
      <c r="J3905" t="s">
        <v>74689</v>
      </c>
      <c r="K3905" t="s">
        <v>74690</v>
      </c>
      <c r="L3905" t="s">
        <v>74691</v>
      </c>
      <c r="M3905" t="s">
        <v>74692</v>
      </c>
      <c r="N3905">
        <f>-673.018979349487 -29.7605239732943 -529.354347414917</f>
        <v>-1232.1338507376984</v>
      </c>
      <c r="O3905">
        <f>-666.499112712215 -181.939371371771 -495.661642516189</f>
        <v>-1344.1001266001749</v>
      </c>
      <c r="P3905">
        <f>-688.607340991107 -207.882521495997 -215.63168264583</f>
        <v>-1112.121545132934</v>
      </c>
      <c r="Q3905">
        <f>-482.8916591835 -123.115977932838 -282.296909320336</f>
        <v>-888.30454643667395</v>
      </c>
      <c r="R3905" t="s">
        <v>74693</v>
      </c>
      <c r="S3905" t="s">
        <v>74694</v>
      </c>
      <c r="T3905" t="s">
        <v>74695</v>
      </c>
      <c r="U3905" t="s">
        <v>74696</v>
      </c>
      <c r="V3905">
        <f>-608.723428016116 -74.3750728997154 -93.9836200263852</f>
        <v>-777.08212094221665</v>
      </c>
      <c r="W3905" t="s">
        <v>74697</v>
      </c>
      <c r="X3905" t="s">
        <v>74698</v>
      </c>
      <c r="Y3905" t="s">
        <v>74699</v>
      </c>
    </row>
    <row r="3906" spans="1:25" x14ac:dyDescent="0.3">
      <c r="A3906">
        <v>195250</v>
      </c>
      <c r="B3906" t="s">
        <v>74700</v>
      </c>
      <c r="C3906" t="s">
        <v>74701</v>
      </c>
      <c r="D3906" t="s">
        <v>74702</v>
      </c>
      <c r="E3906" t="s">
        <v>74703</v>
      </c>
      <c r="F3906" t="s">
        <v>74704</v>
      </c>
      <c r="G3906" t="s">
        <v>74705</v>
      </c>
      <c r="H3906" t="s">
        <v>74706</v>
      </c>
      <c r="I3906" t="s">
        <v>74707</v>
      </c>
      <c r="J3906" t="s">
        <v>74708</v>
      </c>
      <c r="K3906" t="s">
        <v>74709</v>
      </c>
      <c r="L3906" t="s">
        <v>74710</v>
      </c>
      <c r="M3906" t="s">
        <v>74711</v>
      </c>
      <c r="N3906">
        <f>-673.283005875564 -29.3898507429178 -529.324724965616</f>
        <v>-1231.9975815840978</v>
      </c>
      <c r="O3906">
        <f>-666.954622269518 -181.607538735534 -495.740819635249</f>
        <v>-1344.302980640301</v>
      </c>
      <c r="P3906">
        <f>-689.104492730883 -207.499513039625 -215.709432186896</f>
        <v>-1112.3134379574039</v>
      </c>
      <c r="Q3906">
        <f>-483.179816847667 -123.226807683012 -282.355488575792</f>
        <v>-888.76211310647091</v>
      </c>
      <c r="R3906" t="s">
        <v>74712</v>
      </c>
      <c r="S3906" t="s">
        <v>74713</v>
      </c>
      <c r="T3906" t="s">
        <v>74714</v>
      </c>
      <c r="U3906" t="s">
        <v>74715</v>
      </c>
      <c r="V3906">
        <f>-608.699403151917 -74.2701802143681 -93.9309390244838</f>
        <v>-776.90052239076886</v>
      </c>
      <c r="W3906" t="s">
        <v>74716</v>
      </c>
      <c r="X3906" t="s">
        <v>74717</v>
      </c>
      <c r="Y3906" t="s">
        <v>74718</v>
      </c>
    </row>
    <row r="3907" spans="1:25" x14ac:dyDescent="0.3">
      <c r="A3907">
        <v>195300</v>
      </c>
      <c r="B3907" t="s">
        <v>74719</v>
      </c>
      <c r="C3907" t="s">
        <v>74720</v>
      </c>
      <c r="D3907" t="s">
        <v>74721</v>
      </c>
      <c r="E3907" t="s">
        <v>74722</v>
      </c>
      <c r="F3907" t="s">
        <v>74723</v>
      </c>
      <c r="G3907" t="s">
        <v>74724</v>
      </c>
      <c r="H3907" t="s">
        <v>74725</v>
      </c>
      <c r="I3907" t="s">
        <v>74726</v>
      </c>
      <c r="J3907" t="s">
        <v>74727</v>
      </c>
      <c r="K3907" t="s">
        <v>74728</v>
      </c>
      <c r="L3907" t="s">
        <v>74729</v>
      </c>
      <c r="M3907" t="s">
        <v>74730</v>
      </c>
      <c r="N3907">
        <f>-674.162533342803 -28.4408393161364 -529.227356406682</f>
        <v>-1231.8307290656214</v>
      </c>
      <c r="O3907">
        <f>-667.938847984875 -180.748125288488 -496.051188598829</f>
        <v>-1344.738161872192</v>
      </c>
      <c r="P3907">
        <f>-690.354737322016 -206.946126439852 -216.069379370929</f>
        <v>-1113.370243132797</v>
      </c>
      <c r="Q3907">
        <f>-484.167953701981 -123.067767208407 -282.401572922345</f>
        <v>-889.63729383273289</v>
      </c>
      <c r="R3907" t="s">
        <v>74731</v>
      </c>
      <c r="S3907" t="s">
        <v>74732</v>
      </c>
      <c r="T3907" t="s">
        <v>74733</v>
      </c>
      <c r="U3907" t="s">
        <v>74734</v>
      </c>
      <c r="V3907">
        <f>-609.071843343221 -74.0448457596385 -93.7564653986994</f>
        <v>-776.87315450155893</v>
      </c>
      <c r="W3907" t="s">
        <v>74735</v>
      </c>
      <c r="X3907" t="s">
        <v>74736</v>
      </c>
      <c r="Y3907" t="s">
        <v>74737</v>
      </c>
    </row>
    <row r="3908" spans="1:25" x14ac:dyDescent="0.3">
      <c r="A3908">
        <v>195350</v>
      </c>
      <c r="B3908" t="s">
        <v>74738</v>
      </c>
      <c r="C3908" t="s">
        <v>74739</v>
      </c>
      <c r="D3908" t="s">
        <v>74740</v>
      </c>
      <c r="E3908" t="s">
        <v>74741</v>
      </c>
      <c r="F3908" t="s">
        <v>74742</v>
      </c>
      <c r="G3908" t="s">
        <v>74743</v>
      </c>
      <c r="H3908" t="s">
        <v>74744</v>
      </c>
      <c r="I3908" t="s">
        <v>74745</v>
      </c>
      <c r="J3908" t="s">
        <v>74746</v>
      </c>
      <c r="K3908" t="s">
        <v>74747</v>
      </c>
      <c r="L3908" t="s">
        <v>74748</v>
      </c>
      <c r="M3908" t="s">
        <v>74749</v>
      </c>
      <c r="N3908">
        <f>-674.703951201546 -27.9951628148353 -529.204045226614</f>
        <v>-1231.9031592429953</v>
      </c>
      <c r="O3908">
        <f>-668.428133739208 -180.34975232199 -496.279748722819</f>
        <v>-1345.057634784017</v>
      </c>
      <c r="P3908">
        <f>-690.893463799409 -207.058103655752 -216.350097509437</f>
        <v>-1114.3016649645981</v>
      </c>
      <c r="Q3908">
        <f>-484.691102643923 -122.98897849322 -282.39205835331</f>
        <v>-890.07213949045308</v>
      </c>
      <c r="R3908" t="s">
        <v>74750</v>
      </c>
      <c r="S3908" t="s">
        <v>74751</v>
      </c>
      <c r="T3908" t="s">
        <v>74752</v>
      </c>
      <c r="U3908" t="s">
        <v>74753</v>
      </c>
      <c r="V3908">
        <f>-609.42163512199 -73.8700649542111 -93.6975600489063</f>
        <v>-776.98926012510742</v>
      </c>
      <c r="W3908" t="s">
        <v>74754</v>
      </c>
      <c r="X3908" t="s">
        <v>74755</v>
      </c>
      <c r="Y3908" t="s">
        <v>74756</v>
      </c>
    </row>
    <row r="3909" spans="1:25" x14ac:dyDescent="0.3">
      <c r="A3909">
        <v>195400</v>
      </c>
      <c r="B3909" t="s">
        <v>74757</v>
      </c>
      <c r="C3909" t="s">
        <v>74758</v>
      </c>
      <c r="D3909" t="s">
        <v>74759</v>
      </c>
      <c r="E3909" t="s">
        <v>74760</v>
      </c>
      <c r="F3909" t="s">
        <v>74761</v>
      </c>
      <c r="G3909" t="s">
        <v>74762</v>
      </c>
      <c r="H3909" t="s">
        <v>74763</v>
      </c>
      <c r="I3909" t="s">
        <v>74764</v>
      </c>
      <c r="J3909" t="s">
        <v>74765</v>
      </c>
      <c r="K3909" t="s">
        <v>74766</v>
      </c>
      <c r="L3909" t="s">
        <v>74767</v>
      </c>
      <c r="M3909" t="s">
        <v>74768</v>
      </c>
      <c r="N3909">
        <f>-676.076006770086 -27.3400429790638 -529.180159081949</f>
        <v>-1232.5962088310989</v>
      </c>
      <c r="O3909">
        <f>-669.499856105395 -179.77382755311 -496.652104455435</f>
        <v>-1345.9257881139399</v>
      </c>
      <c r="P3909">
        <f>-691.996245426247 -207.400198946791 -216.814051712086</f>
        <v>-1116.2104960851241</v>
      </c>
      <c r="Q3909">
        <f>-485.891104337492 -122.757299215155 -282.425182021292</f>
        <v>-891.073585573939</v>
      </c>
      <c r="R3909" t="s">
        <v>74769</v>
      </c>
      <c r="S3909" t="s">
        <v>74770</v>
      </c>
      <c r="T3909" t="s">
        <v>74771</v>
      </c>
      <c r="U3909" t="s">
        <v>74772</v>
      </c>
      <c r="V3909">
        <f>-610.586291006522 -73.4738521577153 -93.6685525039093</f>
        <v>-777.72869566814654</v>
      </c>
      <c r="W3909" t="s">
        <v>74773</v>
      </c>
      <c r="X3909" t="s">
        <v>74774</v>
      </c>
      <c r="Y3909" t="s">
        <v>74775</v>
      </c>
    </row>
    <row r="3910" spans="1:25" x14ac:dyDescent="0.3">
      <c r="A3910">
        <v>195450</v>
      </c>
      <c r="B3910" t="s">
        <v>74776</v>
      </c>
      <c r="C3910" t="s">
        <v>74777</v>
      </c>
      <c r="D3910" t="s">
        <v>74778</v>
      </c>
      <c r="E3910" t="s">
        <v>74779</v>
      </c>
      <c r="F3910" t="s">
        <v>74780</v>
      </c>
      <c r="G3910" t="s">
        <v>74781</v>
      </c>
      <c r="H3910" t="s">
        <v>74782</v>
      </c>
      <c r="I3910" t="s">
        <v>74783</v>
      </c>
      <c r="J3910" t="s">
        <v>74784</v>
      </c>
      <c r="K3910" t="s">
        <v>74785</v>
      </c>
      <c r="L3910" t="s">
        <v>74786</v>
      </c>
      <c r="M3910" t="s">
        <v>74787</v>
      </c>
      <c r="N3910">
        <f>-676.828945891122 -26.9592175296768 -529.180129493662</f>
        <v>-1232.9682929144608</v>
      </c>
      <c r="O3910">
        <f>-670.178876555258 -179.421275442852 -496.816224133169</f>
        <v>-1346.4163761312789</v>
      </c>
      <c r="P3910">
        <f>-692.584215771438 -207.317143186912 -216.997743963718</f>
        <v>-1116.8991029220681</v>
      </c>
      <c r="Q3910">
        <f>-486.522182032193 -122.460246049736 -282.467318745952</f>
        <v>-891.44974682788097</v>
      </c>
      <c r="R3910" t="s">
        <v>74788</v>
      </c>
      <c r="S3910" t="s">
        <v>74789</v>
      </c>
      <c r="T3910" t="s">
        <v>74790</v>
      </c>
      <c r="U3910" t="s">
        <v>74791</v>
      </c>
      <c r="V3910">
        <f>-611.280825857077 -73.2756068346073 -93.6628076307245</f>
        <v>-778.21924032240884</v>
      </c>
      <c r="W3910" t="s">
        <v>74792</v>
      </c>
      <c r="X3910" t="s">
        <v>74793</v>
      </c>
      <c r="Y3910" t="s">
        <v>74794</v>
      </c>
    </row>
    <row r="3911" spans="1:25" x14ac:dyDescent="0.3">
      <c r="A3911">
        <v>195500</v>
      </c>
      <c r="B3911" t="s">
        <v>74795</v>
      </c>
      <c r="C3911" t="s">
        <v>74796</v>
      </c>
      <c r="D3911" t="s">
        <v>74797</v>
      </c>
      <c r="E3911" t="s">
        <v>74798</v>
      </c>
      <c r="F3911" t="s">
        <v>74799</v>
      </c>
      <c r="G3911" t="s">
        <v>74800</v>
      </c>
      <c r="H3911" t="s">
        <v>74801</v>
      </c>
      <c r="I3911" t="s">
        <v>74802</v>
      </c>
      <c r="J3911" t="s">
        <v>74803</v>
      </c>
      <c r="K3911" t="s">
        <v>74804</v>
      </c>
      <c r="L3911" t="s">
        <v>74805</v>
      </c>
      <c r="M3911" t="s">
        <v>74806</v>
      </c>
      <c r="N3911">
        <f>-678.318641820346 -26.2593827351807 -529.23117587347</f>
        <v>-1233.8092004289965</v>
      </c>
      <c r="O3911">
        <f>-671.47583435611 -178.798398664071 -497.236837305261</f>
        <v>-1347.511070325442</v>
      </c>
      <c r="P3911">
        <f>-693.787404493392 -206.853130760967 -217.426674655165</f>
        <v>-1118.0672099095241</v>
      </c>
      <c r="Q3911">
        <f>-487.7693938213 -121.731759282477 -282.691382514383</f>
        <v>-892.19253561816004</v>
      </c>
      <c r="R3911" t="s">
        <v>74807</v>
      </c>
      <c r="S3911" t="s">
        <v>74808</v>
      </c>
      <c r="T3911" t="s">
        <v>74809</v>
      </c>
      <c r="U3911" t="s">
        <v>74810</v>
      </c>
      <c r="V3911">
        <f>-612.876775230141 -72.7988676006589 -93.6812362148062</f>
        <v>-779.35687904560609</v>
      </c>
      <c r="W3911" t="s">
        <v>74811</v>
      </c>
      <c r="X3911" t="s">
        <v>74812</v>
      </c>
      <c r="Y3911" t="s">
        <v>74813</v>
      </c>
    </row>
    <row r="3912" spans="1:25" x14ac:dyDescent="0.3">
      <c r="A3912">
        <v>195550</v>
      </c>
      <c r="B3912" t="s">
        <v>74814</v>
      </c>
      <c r="C3912" t="s">
        <v>74815</v>
      </c>
      <c r="D3912" t="s">
        <v>74816</v>
      </c>
      <c r="E3912" t="s">
        <v>74817</v>
      </c>
      <c r="F3912" t="s">
        <v>74818</v>
      </c>
      <c r="G3912" t="s">
        <v>74819</v>
      </c>
      <c r="H3912" t="s">
        <v>74820</v>
      </c>
      <c r="I3912" t="s">
        <v>74821</v>
      </c>
      <c r="J3912" t="s">
        <v>74822</v>
      </c>
      <c r="K3912" t="s">
        <v>74823</v>
      </c>
      <c r="L3912" t="s">
        <v>74824</v>
      </c>
      <c r="M3912" t="s">
        <v>74825</v>
      </c>
      <c r="N3912">
        <f>-678.922642512382 -25.7937248134165 -529.27788602498</f>
        <v>-1233.9942533507785</v>
      </c>
      <c r="O3912">
        <f>-672.126973948178 -178.374652416354 -497.471846301829</f>
        <v>-1347.973472666361</v>
      </c>
      <c r="P3912">
        <f>-694.347887207439 -206.643955763466 -217.676107726716</f>
        <v>-1118.6679506976211</v>
      </c>
      <c r="Q3912">
        <f>-488.366588429121 -121.407936028817 -282.90689906208</f>
        <v>-892.68142352001803</v>
      </c>
      <c r="R3912" t="s">
        <v>74826</v>
      </c>
      <c r="S3912" t="s">
        <v>74827</v>
      </c>
      <c r="T3912" t="s">
        <v>74828</v>
      </c>
      <c r="U3912" t="s">
        <v>74829</v>
      </c>
      <c r="V3912">
        <f>-613.699164582011 -72.5790083724917 -93.6993476453079</f>
        <v>-779.97752059981053</v>
      </c>
      <c r="W3912" t="s">
        <v>74830</v>
      </c>
      <c r="X3912" t="s">
        <v>74831</v>
      </c>
      <c r="Y3912" t="s">
        <v>74832</v>
      </c>
    </row>
    <row r="3913" spans="1:25" x14ac:dyDescent="0.3">
      <c r="A3913">
        <v>195600</v>
      </c>
      <c r="B3913" t="s">
        <v>74833</v>
      </c>
      <c r="C3913" t="s">
        <v>74834</v>
      </c>
      <c r="D3913" t="s">
        <v>74835</v>
      </c>
      <c r="E3913" t="s">
        <v>74836</v>
      </c>
      <c r="F3913" t="s">
        <v>74837</v>
      </c>
      <c r="G3913" t="s">
        <v>74838</v>
      </c>
      <c r="H3913" t="s">
        <v>74839</v>
      </c>
      <c r="I3913" t="s">
        <v>74840</v>
      </c>
      <c r="J3913" t="s">
        <v>74841</v>
      </c>
      <c r="K3913" t="s">
        <v>74842</v>
      </c>
      <c r="L3913" t="s">
        <v>74843</v>
      </c>
      <c r="M3913" t="s">
        <v>74844</v>
      </c>
      <c r="N3913">
        <f>-680.021546710013 -24.9465017297346 -529.31845058624</f>
        <v>-1234.2864990259877</v>
      </c>
      <c r="O3913">
        <f>-673.58109782452 -177.598826188242 -497.793689695</f>
        <v>-1348.9736137077621</v>
      </c>
      <c r="P3913">
        <f>-695.598721471742 -206.181940978519 -218.013643827383</f>
        <v>-1119.794306277644</v>
      </c>
      <c r="Q3913">
        <f>-489.551189061127 -121.083653227075 -283.21552988428</f>
        <v>-893.85037217248191</v>
      </c>
      <c r="R3913" t="s">
        <v>74845</v>
      </c>
      <c r="S3913" t="s">
        <v>74846</v>
      </c>
      <c r="T3913" t="s">
        <v>74847</v>
      </c>
      <c r="U3913" t="s">
        <v>74848</v>
      </c>
      <c r="V3913">
        <f>-615.113909625098 -72.2262033803461 -93.719188641528</f>
        <v>-781.05930164697213</v>
      </c>
      <c r="W3913" t="s">
        <v>74849</v>
      </c>
      <c r="X3913" t="s">
        <v>74850</v>
      </c>
      <c r="Y3913" t="s">
        <v>74851</v>
      </c>
    </row>
    <row r="3914" spans="1:25" x14ac:dyDescent="0.3">
      <c r="A3914">
        <v>195650</v>
      </c>
      <c r="B3914" t="s">
        <v>74852</v>
      </c>
      <c r="C3914" t="s">
        <v>74853</v>
      </c>
      <c r="D3914" t="s">
        <v>74854</v>
      </c>
      <c r="E3914" t="s">
        <v>74855</v>
      </c>
      <c r="F3914" t="s">
        <v>74856</v>
      </c>
      <c r="G3914" t="s">
        <v>74857</v>
      </c>
      <c r="H3914" t="s">
        <v>74858</v>
      </c>
      <c r="I3914" t="s">
        <v>74859</v>
      </c>
      <c r="J3914" t="s">
        <v>74860</v>
      </c>
      <c r="K3914" t="s">
        <v>74861</v>
      </c>
      <c r="L3914" t="s">
        <v>74862</v>
      </c>
      <c r="M3914" t="s">
        <v>74863</v>
      </c>
      <c r="N3914">
        <f>-680.705390164978 -24.4059638486865 -529.328399739159</f>
        <v>-1234.4397537528234</v>
      </c>
      <c r="O3914">
        <f>-674.712354355285 -177.096665047165 -497.862331859554</f>
        <v>-1349.671351262004</v>
      </c>
      <c r="P3914">
        <f>-696.400353536509 -205.554381946016 -218.043960684732</f>
        <v>-1119.9986961672569</v>
      </c>
      <c r="Q3914">
        <f>-490.208153227223 -120.901335698631 -283.367589599375</f>
        <v>-894.47707852522899</v>
      </c>
      <c r="R3914" t="s">
        <v>74864</v>
      </c>
      <c r="S3914" t="s">
        <v>74865</v>
      </c>
      <c r="T3914" t="s">
        <v>74866</v>
      </c>
      <c r="U3914" t="s">
        <v>74867</v>
      </c>
      <c r="V3914">
        <f>-615.724393958469 -72.141758431223 -93.7277755980083</f>
        <v>-781.59392798770034</v>
      </c>
      <c r="W3914" t="s">
        <v>74868</v>
      </c>
      <c r="X3914" t="s">
        <v>74869</v>
      </c>
      <c r="Y3914" t="s">
        <v>74870</v>
      </c>
    </row>
    <row r="3915" spans="1:25" x14ac:dyDescent="0.3">
      <c r="A3915">
        <v>195700</v>
      </c>
      <c r="B3915" t="s">
        <v>74871</v>
      </c>
      <c r="C3915" t="s">
        <v>74872</v>
      </c>
      <c r="D3915" t="s">
        <v>74873</v>
      </c>
      <c r="E3915" t="s">
        <v>74874</v>
      </c>
      <c r="F3915" t="s">
        <v>74875</v>
      </c>
      <c r="G3915" t="s">
        <v>74876</v>
      </c>
      <c r="H3915" t="s">
        <v>74877</v>
      </c>
      <c r="I3915" t="s">
        <v>74878</v>
      </c>
      <c r="J3915" t="s">
        <v>74879</v>
      </c>
      <c r="K3915" t="s">
        <v>74880</v>
      </c>
      <c r="L3915" t="s">
        <v>74881</v>
      </c>
      <c r="M3915" t="s">
        <v>74882</v>
      </c>
      <c r="N3915">
        <f>-681.865569378103 -23.356992823858 -529.393496558004</f>
        <v>-1234.6160587599652</v>
      </c>
      <c r="O3915">
        <f>-676.869835912371 -176.106322517491 -498.100201175584</f>
        <v>-1351.076359605446</v>
      </c>
      <c r="P3915">
        <f>-698.362429610939 -204.35543459257 -218.245611079639</f>
        <v>-1120.963475283148</v>
      </c>
      <c r="Q3915">
        <f>-491.534380650996 -121.405978709848 -283.744137766559</f>
        <v>-896.68449712740301</v>
      </c>
      <c r="R3915" t="s">
        <v>74883</v>
      </c>
      <c r="S3915" t="s">
        <v>74884</v>
      </c>
      <c r="T3915" t="s">
        <v>74885</v>
      </c>
      <c r="U3915" t="s">
        <v>74886</v>
      </c>
      <c r="V3915">
        <f>-616.88386711342 -72.2747749039336 -93.7644698008951</f>
        <v>-782.92311181824869</v>
      </c>
      <c r="W3915" t="s">
        <v>74887</v>
      </c>
      <c r="X3915" t="s">
        <v>74888</v>
      </c>
      <c r="Y3915" t="s">
        <v>74889</v>
      </c>
    </row>
    <row r="3916" spans="1:25" x14ac:dyDescent="0.3">
      <c r="A3916">
        <v>195750</v>
      </c>
      <c r="B3916" t="s">
        <v>74890</v>
      </c>
      <c r="C3916" t="s">
        <v>74891</v>
      </c>
      <c r="D3916" t="s">
        <v>74892</v>
      </c>
      <c r="E3916" t="s">
        <v>74893</v>
      </c>
      <c r="F3916" t="s">
        <v>74894</v>
      </c>
      <c r="G3916" t="s">
        <v>74895</v>
      </c>
      <c r="H3916" t="s">
        <v>74896</v>
      </c>
      <c r="I3916" t="s">
        <v>74897</v>
      </c>
      <c r="J3916" t="s">
        <v>74898</v>
      </c>
      <c r="K3916" t="s">
        <v>74899</v>
      </c>
      <c r="L3916" t="s">
        <v>74900</v>
      </c>
      <c r="M3916" t="s">
        <v>74901</v>
      </c>
      <c r="N3916">
        <f>-682.633503003573 -22.773538240735 -529.399111460179</f>
        <v>-1234.806152704487</v>
      </c>
      <c r="O3916">
        <f>-677.988215958128 -175.574669512581 -498.255295686796</f>
        <v>-1351.818181157505</v>
      </c>
      <c r="P3916">
        <f>-699.69031906227 -203.851121238883 -218.419475065753</f>
        <v>-1121.960915366906</v>
      </c>
      <c r="Q3916">
        <f>-492.488025281868 -121.762022406319 -283.819294979941</f>
        <v>-898.069342668128</v>
      </c>
      <c r="R3916" t="s">
        <v>74902</v>
      </c>
      <c r="S3916" t="s">
        <v>74903</v>
      </c>
      <c r="T3916" t="s">
        <v>74904</v>
      </c>
      <c r="U3916" t="s">
        <v>74905</v>
      </c>
      <c r="V3916">
        <f>-617.479420020911 -72.396917906563 -93.8049452162645</f>
        <v>-783.68128314373848</v>
      </c>
      <c r="W3916" t="s">
        <v>74906</v>
      </c>
      <c r="X3916" t="s">
        <v>74907</v>
      </c>
      <c r="Y3916" t="s">
        <v>74908</v>
      </c>
    </row>
    <row r="3917" spans="1:25" x14ac:dyDescent="0.3">
      <c r="A3917">
        <v>195800</v>
      </c>
      <c r="B3917" t="s">
        <v>74909</v>
      </c>
      <c r="C3917" t="s">
        <v>74910</v>
      </c>
      <c r="D3917" t="s">
        <v>74911</v>
      </c>
      <c r="E3917" t="s">
        <v>74912</v>
      </c>
      <c r="F3917" t="s">
        <v>74913</v>
      </c>
      <c r="G3917" t="s">
        <v>74914</v>
      </c>
      <c r="H3917" t="s">
        <v>74915</v>
      </c>
      <c r="I3917" t="s">
        <v>74916</v>
      </c>
      <c r="J3917" t="s">
        <v>74917</v>
      </c>
      <c r="K3917" t="s">
        <v>74918</v>
      </c>
      <c r="L3917" t="s">
        <v>74919</v>
      </c>
      <c r="M3917" t="s">
        <v>74920</v>
      </c>
      <c r="N3917">
        <f>-684.174262160033 -21.486750087111 -529.417495361402</f>
        <v>-1235.0785076085458</v>
      </c>
      <c r="O3917">
        <f>-680.175531256777 -174.37920996146 -498.692619751105</f>
        <v>-1353.247360969342</v>
      </c>
      <c r="P3917">
        <f>-702.091463221379 -203.49825048512 -218.95985835272</f>
        <v>-1124.5495720592189</v>
      </c>
      <c r="Q3917">
        <f>-494.349116300729 -122.338867681412 -283.804326891728</f>
        <v>-900.49231087386897</v>
      </c>
      <c r="R3917" t="s">
        <v>74921</v>
      </c>
      <c r="S3917" t="s">
        <v>74922</v>
      </c>
      <c r="T3917" t="s">
        <v>74923</v>
      </c>
      <c r="U3917" t="s">
        <v>74924</v>
      </c>
      <c r="V3917">
        <f>-618.70691480692 -72.5008940570365 -93.876686951394</f>
        <v>-785.08449581535058</v>
      </c>
      <c r="W3917" t="s">
        <v>74925</v>
      </c>
      <c r="X3917" t="s">
        <v>74926</v>
      </c>
      <c r="Y3917" t="s">
        <v>74927</v>
      </c>
    </row>
    <row r="3918" spans="1:25" x14ac:dyDescent="0.3">
      <c r="A3918">
        <v>195850</v>
      </c>
      <c r="B3918" t="s">
        <v>74928</v>
      </c>
      <c r="C3918" t="s">
        <v>74929</v>
      </c>
      <c r="D3918" t="s">
        <v>74930</v>
      </c>
      <c r="E3918" t="s">
        <v>74931</v>
      </c>
      <c r="F3918" t="s">
        <v>74932</v>
      </c>
      <c r="G3918" t="s">
        <v>74933</v>
      </c>
      <c r="H3918" t="s">
        <v>74934</v>
      </c>
      <c r="I3918" t="s">
        <v>74935</v>
      </c>
      <c r="J3918" t="s">
        <v>74936</v>
      </c>
      <c r="K3918" t="s">
        <v>74937</v>
      </c>
      <c r="L3918" t="s">
        <v>74938</v>
      </c>
      <c r="M3918" t="s">
        <v>74939</v>
      </c>
      <c r="N3918">
        <f>-685.327030486811 -20.3395962924012 -529.503941710228</f>
        <v>-1235.1705684894403</v>
      </c>
      <c r="O3918">
        <f>-681.943605551426 -173.378511673366 -499.434539538247</f>
        <v>-1354.756656763039</v>
      </c>
      <c r="P3918">
        <f>-704.1273731336 -203.003958317077 -219.776091200534</f>
        <v>-1126.9074226512112</v>
      </c>
      <c r="Q3918">
        <f>-495.750554056481 -123.052487156314 -284.082975751942</f>
        <v>-902.88601696473711</v>
      </c>
      <c r="R3918" t="s">
        <v>74940</v>
      </c>
      <c r="S3918" t="s">
        <v>74941</v>
      </c>
      <c r="T3918" t="s">
        <v>74942</v>
      </c>
      <c r="U3918" t="s">
        <v>74943</v>
      </c>
      <c r="V3918">
        <f>-619.783503243347 -72.6404077868413 -93.9096431379101</f>
        <v>-786.33355416809832</v>
      </c>
      <c r="W3918" t="s">
        <v>74944</v>
      </c>
      <c r="X3918" t="s">
        <v>74945</v>
      </c>
      <c r="Y3918" t="s">
        <v>74946</v>
      </c>
    </row>
    <row r="3919" spans="1:25" x14ac:dyDescent="0.3">
      <c r="A3919">
        <v>195900</v>
      </c>
      <c r="B3919" t="s">
        <v>74947</v>
      </c>
      <c r="C3919" t="s">
        <v>74948</v>
      </c>
      <c r="D3919" t="s">
        <v>74949</v>
      </c>
      <c r="E3919" t="s">
        <v>74950</v>
      </c>
      <c r="F3919" t="s">
        <v>74951</v>
      </c>
      <c r="G3919" t="s">
        <v>74952</v>
      </c>
      <c r="H3919" t="s">
        <v>74953</v>
      </c>
      <c r="I3919" t="s">
        <v>74954</v>
      </c>
      <c r="J3919" t="s">
        <v>74955</v>
      </c>
      <c r="K3919" t="s">
        <v>74956</v>
      </c>
      <c r="L3919" t="s">
        <v>74957</v>
      </c>
      <c r="M3919" t="s">
        <v>74958</v>
      </c>
      <c r="N3919">
        <f>-685.608225713191 -19.7385688486784 -529.558149645856</f>
        <v>-1234.9049442077253</v>
      </c>
      <c r="O3919">
        <f>-682.429695240092 -172.853523272333 -499.851284577295</f>
        <v>-1355.1345030897201</v>
      </c>
      <c r="P3919">
        <f>-704.896408184983 -202.988401714174 -220.269968537297</f>
        <v>-1128.1547784364539</v>
      </c>
      <c r="Q3919">
        <f>-496.278362363763 -123.452586065114 -284.309635422785</f>
        <v>-904.04058385166195</v>
      </c>
      <c r="R3919" t="s">
        <v>74959</v>
      </c>
      <c r="S3919" t="s">
        <v>74960</v>
      </c>
      <c r="T3919" t="s">
        <v>74961</v>
      </c>
      <c r="U3919" t="s">
        <v>74962</v>
      </c>
      <c r="V3919">
        <f>-620.218674667638 -72.7309472726852 -93.925276905108</f>
        <v>-786.87489884543118</v>
      </c>
      <c r="W3919" t="s">
        <v>74963</v>
      </c>
      <c r="X3919" t="s">
        <v>74964</v>
      </c>
      <c r="Y3919" t="s">
        <v>74965</v>
      </c>
    </row>
    <row r="3920" spans="1:25" x14ac:dyDescent="0.3">
      <c r="A3920">
        <v>195950</v>
      </c>
      <c r="B3920" t="s">
        <v>74966</v>
      </c>
      <c r="C3920" t="s">
        <v>74967</v>
      </c>
      <c r="D3920" t="s">
        <v>74968</v>
      </c>
      <c r="E3920" t="s">
        <v>74969</v>
      </c>
      <c r="F3920" t="s">
        <v>74970</v>
      </c>
      <c r="G3920" t="s">
        <v>74971</v>
      </c>
      <c r="H3920" t="s">
        <v>74972</v>
      </c>
      <c r="I3920" t="s">
        <v>74973</v>
      </c>
      <c r="J3920" t="s">
        <v>74974</v>
      </c>
      <c r="K3920" t="s">
        <v>74975</v>
      </c>
      <c r="L3920" t="s">
        <v>74976</v>
      </c>
      <c r="M3920" t="s">
        <v>74977</v>
      </c>
      <c r="N3920">
        <f>-685.730057302556 -19.1084329338817 -529.624012714777</f>
        <v>-1234.4625029512147</v>
      </c>
      <c r="O3920">
        <f>-682.675946617403 -172.311354410334 -500.342807399946</f>
        <v>-1355.3301084276829</v>
      </c>
      <c r="P3920">
        <f>-705.464470950275 -203.05679683171 -220.854101345982</f>
        <v>-1129.3753691279669</v>
      </c>
      <c r="Q3920">
        <f>-496.626844356637 -123.853460289711 -284.589826380704</f>
        <v>-905.07013102705196</v>
      </c>
      <c r="R3920" t="s">
        <v>74978</v>
      </c>
      <c r="S3920" t="s">
        <v>74979</v>
      </c>
      <c r="T3920" t="s">
        <v>74980</v>
      </c>
      <c r="U3920" t="s">
        <v>74981</v>
      </c>
      <c r="V3920">
        <f>-620.632381888012 -72.87532485666 -93.9337485954862</f>
        <v>-787.4414553401582</v>
      </c>
      <c r="W3920" t="s">
        <v>74982</v>
      </c>
      <c r="X3920" t="s">
        <v>74983</v>
      </c>
      <c r="Y3920" t="s">
        <v>74984</v>
      </c>
    </row>
    <row r="3921" spans="1:25" x14ac:dyDescent="0.3">
      <c r="A3921">
        <v>196000</v>
      </c>
      <c r="B3921" t="s">
        <v>74985</v>
      </c>
      <c r="C3921" t="s">
        <v>74986</v>
      </c>
      <c r="D3921" t="s">
        <v>74987</v>
      </c>
      <c r="E3921" t="s">
        <v>74988</v>
      </c>
      <c r="F3921" t="s">
        <v>74989</v>
      </c>
      <c r="G3921" t="s">
        <v>74990</v>
      </c>
      <c r="H3921" t="s">
        <v>74991</v>
      </c>
      <c r="I3921" t="s">
        <v>74992</v>
      </c>
      <c r="J3921" t="s">
        <v>74993</v>
      </c>
      <c r="K3921" t="s">
        <v>74994</v>
      </c>
      <c r="L3921" t="s">
        <v>74995</v>
      </c>
      <c r="M3921" t="s">
        <v>74996</v>
      </c>
      <c r="N3921">
        <f>-685.956962122067 -17.7988774898683 -529.734313132727</f>
        <v>-1233.4901527446623</v>
      </c>
      <c r="O3921">
        <f>-682.849313884389 -171.147852728711 -501.230195765235</f>
        <v>-1355.2273623783349</v>
      </c>
      <c r="P3921">
        <f>-705.815295164845 -203.070302760453 -221.887994595448</f>
        <v>-1130.773592520746</v>
      </c>
      <c r="Q3921">
        <f>-496.607170485294 -124.262716240491 -284.895017297321</f>
        <v>-905.76490402310606</v>
      </c>
      <c r="R3921" t="s">
        <v>74997</v>
      </c>
      <c r="S3921" t="s">
        <v>74998</v>
      </c>
      <c r="T3921" t="s">
        <v>74999</v>
      </c>
      <c r="U3921" t="s">
        <v>75000</v>
      </c>
      <c r="V3921">
        <f>-621.223983410919 -73.0409478245022 -93.9605937996577</f>
        <v>-788.22552503507882</v>
      </c>
      <c r="W3921" t="s">
        <v>75001</v>
      </c>
      <c r="X3921" t="s">
        <v>75002</v>
      </c>
      <c r="Y3921" t="s">
        <v>75003</v>
      </c>
    </row>
    <row r="3922" spans="1:25" x14ac:dyDescent="0.3">
      <c r="A3922">
        <v>196050</v>
      </c>
      <c r="B3922" t="s">
        <v>75004</v>
      </c>
      <c r="C3922" t="s">
        <v>75005</v>
      </c>
      <c r="D3922" t="s">
        <v>75006</v>
      </c>
      <c r="E3922" t="s">
        <v>75007</v>
      </c>
      <c r="F3922" t="s">
        <v>75008</v>
      </c>
      <c r="G3922" t="s">
        <v>75009</v>
      </c>
      <c r="H3922" t="s">
        <v>75010</v>
      </c>
      <c r="I3922" t="s">
        <v>75011</v>
      </c>
      <c r="J3922" t="s">
        <v>75012</v>
      </c>
      <c r="K3922" t="s">
        <v>75013</v>
      </c>
      <c r="L3922" t="s">
        <v>75014</v>
      </c>
      <c r="M3922" t="s">
        <v>75015</v>
      </c>
      <c r="N3922">
        <f>-686.010142928583 -17.1995604448678 -529.777997347526</f>
        <v>-1232.9877007209768</v>
      </c>
      <c r="O3922">
        <f>-682.807942894663 -170.599925132879 -501.587369098401</f>
        <v>-1354.995237125943</v>
      </c>
      <c r="P3922">
        <f>-705.567530663455 -203.167098266101 -222.302618542405</f>
        <v>-1131.0372474719611</v>
      </c>
      <c r="Q3922">
        <f>-496.268641200069 -124.382919611651 -285.036478477381</f>
        <v>-905.68803928910097</v>
      </c>
      <c r="R3922" t="s">
        <v>75016</v>
      </c>
      <c r="S3922" t="s">
        <v>75017</v>
      </c>
      <c r="T3922" t="s">
        <v>75018</v>
      </c>
      <c r="U3922" t="s">
        <v>75019</v>
      </c>
      <c r="V3922">
        <f>-621.402887581474 -73.088754050495 -93.9603229870667</f>
        <v>-788.45196461903572</v>
      </c>
      <c r="W3922" t="s">
        <v>75020</v>
      </c>
      <c r="X3922" t="s">
        <v>75021</v>
      </c>
      <c r="Y3922" t="s">
        <v>75022</v>
      </c>
    </row>
    <row r="3923" spans="1:25" x14ac:dyDescent="0.3">
      <c r="A3923">
        <v>196100</v>
      </c>
      <c r="B3923" t="s">
        <v>75023</v>
      </c>
      <c r="C3923" t="s">
        <v>75024</v>
      </c>
      <c r="D3923" t="s">
        <v>75025</v>
      </c>
      <c r="E3923" t="s">
        <v>75026</v>
      </c>
      <c r="F3923" t="s">
        <v>75027</v>
      </c>
      <c r="G3923" t="s">
        <v>75028</v>
      </c>
      <c r="H3923" t="s">
        <v>75029</v>
      </c>
      <c r="I3923" t="s">
        <v>75030</v>
      </c>
      <c r="J3923" t="s">
        <v>75031</v>
      </c>
      <c r="K3923" t="s">
        <v>75032</v>
      </c>
      <c r="L3923" t="s">
        <v>75033</v>
      </c>
      <c r="M3923" t="s">
        <v>75034</v>
      </c>
      <c r="N3923">
        <f>-686.110556562333 -16.0240212220963 -529.812471919279</f>
        <v>-1231.9470497037082</v>
      </c>
      <c r="O3923">
        <f>-682.552305012653 -169.523438134999 -502.204530000963</f>
        <v>-1354.2802731486149</v>
      </c>
      <c r="P3923">
        <f>-705.02001286382 -203.133875381693 -223.019726907639</f>
        <v>-1131.173615153152</v>
      </c>
      <c r="Q3923">
        <f>-495.85795848254 -123.764705851995 -285.472050882574</f>
        <v>-905.09471521710907</v>
      </c>
      <c r="R3923" t="s">
        <v>75035</v>
      </c>
      <c r="S3923" t="s">
        <v>75036</v>
      </c>
      <c r="T3923" t="s">
        <v>75037</v>
      </c>
      <c r="U3923" t="s">
        <v>75038</v>
      </c>
      <c r="V3923">
        <f>-621.436498040576 -72.9894051337344 -93.9555870037132</f>
        <v>-788.38149017802357</v>
      </c>
      <c r="W3923" t="s">
        <v>75039</v>
      </c>
      <c r="X3923" t="s">
        <v>75040</v>
      </c>
      <c r="Y3923" t="s">
        <v>75041</v>
      </c>
    </row>
    <row r="3924" spans="1:25" x14ac:dyDescent="0.3">
      <c r="A3924">
        <v>196150</v>
      </c>
      <c r="B3924" t="s">
        <v>75042</v>
      </c>
      <c r="C3924" t="s">
        <v>75043</v>
      </c>
      <c r="D3924" t="s">
        <v>75044</v>
      </c>
      <c r="E3924" t="s">
        <v>75045</v>
      </c>
      <c r="F3924" t="s">
        <v>75046</v>
      </c>
      <c r="G3924" t="s">
        <v>75047</v>
      </c>
      <c r="H3924" t="s">
        <v>75048</v>
      </c>
      <c r="I3924" t="s">
        <v>75049</v>
      </c>
      <c r="J3924" t="s">
        <v>75050</v>
      </c>
      <c r="K3924" t="s">
        <v>75051</v>
      </c>
      <c r="L3924" t="s">
        <v>75052</v>
      </c>
      <c r="M3924" t="s">
        <v>75053</v>
      </c>
      <c r="N3924">
        <f>-686.131015682675 -15.5146341525799 -529.817227962575</f>
        <v>-1231.4628777978298</v>
      </c>
      <c r="O3924">
        <f>-682.395654930119 -169.057549126136 -502.466839069395</f>
        <v>-1353.92004312565</v>
      </c>
      <c r="P3924">
        <f>-704.637296907431 -203.076289638505 -223.313323151069</f>
        <v>-1131.0269096970051</v>
      </c>
      <c r="Q3924">
        <f>-495.708330605186 -123.112665574573 -285.787409223155</f>
        <v>-904.60840540291406</v>
      </c>
      <c r="R3924" t="s">
        <v>75054</v>
      </c>
      <c r="S3924" t="s">
        <v>75055</v>
      </c>
      <c r="T3924" t="s">
        <v>75056</v>
      </c>
      <c r="U3924" t="s">
        <v>75057</v>
      </c>
      <c r="V3924">
        <f>-621.318405645854 -72.8772864812929 -93.9443676966172</f>
        <v>-788.14005982376409</v>
      </c>
      <c r="W3924" t="s">
        <v>75058</v>
      </c>
      <c r="X3924" t="s">
        <v>75059</v>
      </c>
      <c r="Y3924" t="s">
        <v>75060</v>
      </c>
    </row>
    <row r="3925" spans="1:25" x14ac:dyDescent="0.3">
      <c r="A3925">
        <v>196200</v>
      </c>
      <c r="B3925" t="s">
        <v>75061</v>
      </c>
      <c r="C3925" t="s">
        <v>75062</v>
      </c>
      <c r="D3925" t="s">
        <v>75063</v>
      </c>
      <c r="E3925" t="s">
        <v>75064</v>
      </c>
      <c r="F3925" t="s">
        <v>75065</v>
      </c>
      <c r="G3925" t="s">
        <v>75066</v>
      </c>
      <c r="H3925" t="s">
        <v>75067</v>
      </c>
      <c r="I3925" t="s">
        <v>75068</v>
      </c>
      <c r="J3925" t="s">
        <v>75069</v>
      </c>
      <c r="K3925" t="s">
        <v>75070</v>
      </c>
      <c r="L3925" t="s">
        <v>75071</v>
      </c>
      <c r="M3925" t="s">
        <v>75072</v>
      </c>
      <c r="N3925">
        <f>-686.319288480477 -14.6721817993325 -529.75717358202</f>
        <v>-1230.7486438618294</v>
      </c>
      <c r="O3925">
        <f>-682.172725719734 -168.26683980151 -502.761019740134</f>
        <v>-1353.2005852613779</v>
      </c>
      <c r="P3925">
        <f>-703.54586052589 -202.802229954413 -223.603246448553</f>
        <v>-1129.9513369288559</v>
      </c>
      <c r="Q3925">
        <f>-495.196065400879 -121.601763653292 -286.41571184652</f>
        <v>-903.21354090069099</v>
      </c>
      <c r="R3925" t="s">
        <v>75073</v>
      </c>
      <c r="S3925" t="s">
        <v>75074</v>
      </c>
      <c r="T3925" t="s">
        <v>75075</v>
      </c>
      <c r="U3925" t="s">
        <v>75076</v>
      </c>
      <c r="V3925">
        <f>-621.000923995863 -72.6558278436823 -93.9089405932619</f>
        <v>-787.56569243280728</v>
      </c>
      <c r="W3925" t="s">
        <v>75077</v>
      </c>
      <c r="X3925" t="s">
        <v>75078</v>
      </c>
      <c r="Y3925" t="s">
        <v>75079</v>
      </c>
    </row>
    <row r="3926" spans="1:25" x14ac:dyDescent="0.3">
      <c r="A3926">
        <v>196250</v>
      </c>
      <c r="B3926" t="s">
        <v>75080</v>
      </c>
      <c r="C3926" t="s">
        <v>75081</v>
      </c>
      <c r="D3926" t="s">
        <v>75082</v>
      </c>
      <c r="E3926" t="s">
        <v>75083</v>
      </c>
      <c r="F3926" t="s">
        <v>75084</v>
      </c>
      <c r="G3926" t="s">
        <v>75085</v>
      </c>
      <c r="H3926" t="s">
        <v>75086</v>
      </c>
      <c r="I3926" t="s">
        <v>75087</v>
      </c>
      <c r="J3926" t="s">
        <v>75088</v>
      </c>
      <c r="K3926" t="s">
        <v>75089</v>
      </c>
      <c r="L3926" t="s">
        <v>75090</v>
      </c>
      <c r="M3926" t="s">
        <v>75091</v>
      </c>
      <c r="N3926">
        <f>-686.538064577649 -14.2839686347629 -529.699748280515</f>
        <v>-1230.5217814929269</v>
      </c>
      <c r="O3926">
        <f>-682.179775066611 -167.888945239764 -502.807996998534</f>
        <v>-1352.8767173049091</v>
      </c>
      <c r="P3926">
        <f>-702.947887462499 -202.55879186309 -223.62104256387</f>
        <v>-1129.1277218894588</v>
      </c>
      <c r="Q3926">
        <f>-494.931210868511 -120.728775919283 -286.71996387189</f>
        <v>-902.37995065968403</v>
      </c>
      <c r="R3926" t="s">
        <v>75092</v>
      </c>
      <c r="S3926" t="s">
        <v>75093</v>
      </c>
      <c r="T3926" t="s">
        <v>75094</v>
      </c>
      <c r="U3926" t="s">
        <v>75095</v>
      </c>
      <c r="V3926">
        <f>-620.823610381636 -72.5056822609774 -93.8873401066313</f>
        <v>-787.2166327492447</v>
      </c>
      <c r="W3926" t="s">
        <v>75096</v>
      </c>
      <c r="X3926" t="s">
        <v>75097</v>
      </c>
      <c r="Y3926" t="s">
        <v>75098</v>
      </c>
    </row>
    <row r="3927" spans="1:25" x14ac:dyDescent="0.3">
      <c r="A3927">
        <v>196300</v>
      </c>
      <c r="B3927" t="s">
        <v>75099</v>
      </c>
      <c r="C3927" t="s">
        <v>75100</v>
      </c>
      <c r="D3927" t="s">
        <v>75101</v>
      </c>
      <c r="E3927" t="s">
        <v>75102</v>
      </c>
      <c r="F3927" t="s">
        <v>75103</v>
      </c>
      <c r="G3927" t="s">
        <v>75104</v>
      </c>
      <c r="H3927" t="s">
        <v>75105</v>
      </c>
      <c r="I3927" t="s">
        <v>75106</v>
      </c>
      <c r="J3927" t="s">
        <v>75107</v>
      </c>
      <c r="K3927" t="s">
        <v>75108</v>
      </c>
      <c r="L3927" t="s">
        <v>75109</v>
      </c>
      <c r="M3927" t="s">
        <v>75110</v>
      </c>
      <c r="N3927">
        <f>-686.835383726401 -13.6486442952394 -529.596372011865</f>
        <v>-1230.0804000335054</v>
      </c>
      <c r="O3927">
        <f>-682.120011291547 -167.270296786249 -502.846203025294</f>
        <v>-1352.2365111030899</v>
      </c>
      <c r="P3927">
        <f>-701.683229243764 -201.905874068901 -223.568276627818</f>
        <v>-1127.157379940483</v>
      </c>
      <c r="Q3927">
        <f>-494.303173192616 -119.105722959983 -287.49152608095</f>
        <v>-900.90042223354908</v>
      </c>
      <c r="R3927" t="s">
        <v>75111</v>
      </c>
      <c r="S3927" t="s">
        <v>75112</v>
      </c>
      <c r="T3927" t="s">
        <v>75113</v>
      </c>
      <c r="U3927" t="s">
        <v>75114</v>
      </c>
      <c r="V3927">
        <f>-620.479434379028 -72.25961288381 -93.8368299349078</f>
        <v>-786.57587719774574</v>
      </c>
      <c r="W3927" t="s">
        <v>75115</v>
      </c>
      <c r="X3927" t="s">
        <v>75116</v>
      </c>
      <c r="Y3927" t="s">
        <v>75117</v>
      </c>
    </row>
    <row r="3928" spans="1:25" x14ac:dyDescent="0.3">
      <c r="A3928">
        <v>196350</v>
      </c>
      <c r="B3928" t="s">
        <v>75118</v>
      </c>
      <c r="C3928" t="s">
        <v>75119</v>
      </c>
      <c r="D3928" t="s">
        <v>75120</v>
      </c>
      <c r="E3928" t="s">
        <v>75121</v>
      </c>
      <c r="F3928" t="s">
        <v>75122</v>
      </c>
      <c r="G3928" t="s">
        <v>75123</v>
      </c>
      <c r="H3928" t="s">
        <v>75124</v>
      </c>
      <c r="I3928" t="s">
        <v>75125</v>
      </c>
      <c r="J3928" t="s">
        <v>75126</v>
      </c>
      <c r="K3928" t="s">
        <v>75127</v>
      </c>
      <c r="L3928" t="s">
        <v>75128</v>
      </c>
      <c r="M3928" t="s">
        <v>75129</v>
      </c>
      <c r="N3928">
        <f>-686.853052950083 -13.5134566523245 -529.546272573243</f>
        <v>-1229.9127821756506</v>
      </c>
      <c r="O3928">
        <f>-682.013711260119 -167.134465477776 -502.835394904352</f>
        <v>-1351.9835716422469</v>
      </c>
      <c r="P3928">
        <f>-701.044574693803 -201.816902540134 -223.526420422097</f>
        <v>-1126.3878976560341</v>
      </c>
      <c r="Q3928">
        <f>-493.975318276231 -118.590833564458 -287.902499460009</f>
        <v>-900.46865130069796</v>
      </c>
      <c r="R3928" t="s">
        <v>75130</v>
      </c>
      <c r="S3928" t="s">
        <v>75131</v>
      </c>
      <c r="T3928" t="s">
        <v>75132</v>
      </c>
      <c r="U3928" t="s">
        <v>75133</v>
      </c>
      <c r="V3928">
        <f>-620.301125125287 -72.186268800971 -93.81082354007</f>
        <v>-786.29821746632797</v>
      </c>
      <c r="W3928" t="s">
        <v>75134</v>
      </c>
      <c r="X3928" t="s">
        <v>75135</v>
      </c>
      <c r="Y3928" t="s">
        <v>75136</v>
      </c>
    </row>
    <row r="3929" spans="1:25" x14ac:dyDescent="0.3">
      <c r="A3929">
        <v>196400</v>
      </c>
      <c r="B3929" t="s">
        <v>75137</v>
      </c>
      <c r="C3929" t="s">
        <v>75138</v>
      </c>
      <c r="D3929" t="s">
        <v>75139</v>
      </c>
      <c r="E3929" t="s">
        <v>75140</v>
      </c>
      <c r="F3929" t="s">
        <v>75141</v>
      </c>
      <c r="G3929" t="s">
        <v>75142</v>
      </c>
      <c r="H3929" t="s">
        <v>75143</v>
      </c>
      <c r="I3929" t="s">
        <v>75144</v>
      </c>
      <c r="J3929" t="s">
        <v>75145</v>
      </c>
      <c r="K3929" t="s">
        <v>75146</v>
      </c>
      <c r="L3929" t="s">
        <v>75147</v>
      </c>
      <c r="M3929" t="s">
        <v>75148</v>
      </c>
      <c r="N3929">
        <f>-686.93902100027 -13.516724719593 -529.399015088299</f>
        <v>-1229.8547608081622</v>
      </c>
      <c r="O3929">
        <f>-681.857741287692 -167.115791664248 -502.593272997967</f>
        <v>-1351.5668059499071</v>
      </c>
      <c r="P3929">
        <f>-699.933273191949 -201.792751359571 -223.220191134974</f>
        <v>-1124.9462156864938</v>
      </c>
      <c r="Q3929">
        <f>-493.429564721523 -118.016667099663 -288.689932586268</f>
        <v>-900.13616440745398</v>
      </c>
      <c r="R3929" t="s">
        <v>75149</v>
      </c>
      <c r="S3929" t="s">
        <v>75150</v>
      </c>
      <c r="T3929" t="s">
        <v>75151</v>
      </c>
      <c r="U3929" t="s">
        <v>75152</v>
      </c>
      <c r="V3929">
        <f>-619.860310837832 -72.0223676008845 -93.7542311923555</f>
        <v>-785.63690963107206</v>
      </c>
      <c r="W3929" t="s">
        <v>75153</v>
      </c>
      <c r="X3929" t="s">
        <v>75154</v>
      </c>
      <c r="Y3929" t="s">
        <v>75155</v>
      </c>
    </row>
    <row r="3930" spans="1:25" x14ac:dyDescent="0.3">
      <c r="A3930">
        <v>196450</v>
      </c>
      <c r="B3930" t="s">
        <v>75156</v>
      </c>
      <c r="C3930" t="s">
        <v>75157</v>
      </c>
      <c r="D3930" t="s">
        <v>75158</v>
      </c>
      <c r="E3930" t="s">
        <v>75159</v>
      </c>
      <c r="F3930" t="s">
        <v>75160</v>
      </c>
      <c r="G3930" t="s">
        <v>75161</v>
      </c>
      <c r="H3930" t="s">
        <v>75162</v>
      </c>
      <c r="I3930" t="s">
        <v>75163</v>
      </c>
      <c r="J3930" t="s">
        <v>75164</v>
      </c>
      <c r="K3930" t="s">
        <v>75165</v>
      </c>
      <c r="L3930" t="s">
        <v>75166</v>
      </c>
      <c r="M3930" t="s">
        <v>75167</v>
      </c>
      <c r="N3930">
        <f>-687.105185860839 -13.6022478607767 -529.316834923258</f>
        <v>-1230.0242686448737</v>
      </c>
      <c r="O3930">
        <f>-681.941431115947 -167.185604332629 -502.425043815009</f>
        <v>-1351.552079263585</v>
      </c>
      <c r="P3930">
        <f>-699.544544830469 -201.731259467124 -223.005452659816</f>
        <v>-1124.2812569574089</v>
      </c>
      <c r="Q3930">
        <f>-493.297974680584 -117.795856299816 -289.079171464237</f>
        <v>-900.17300244463695</v>
      </c>
      <c r="R3930" t="s">
        <v>75168</v>
      </c>
      <c r="S3930" t="s">
        <v>75169</v>
      </c>
      <c r="T3930" t="s">
        <v>75170</v>
      </c>
      <c r="U3930" t="s">
        <v>75171</v>
      </c>
      <c r="V3930">
        <f>-619.610582543413 -72.0252088105769 -93.7201245518875</f>
        <v>-785.3559159058774</v>
      </c>
      <c r="W3930" t="s">
        <v>75172</v>
      </c>
      <c r="X3930" t="s">
        <v>75173</v>
      </c>
      <c r="Y3930" t="s">
        <v>75174</v>
      </c>
    </row>
    <row r="3931" spans="1:25" x14ac:dyDescent="0.3">
      <c r="A3931">
        <v>196500</v>
      </c>
      <c r="B3931" t="s">
        <v>75175</v>
      </c>
      <c r="C3931" t="s">
        <v>75176</v>
      </c>
      <c r="D3931" t="s">
        <v>75177</v>
      </c>
      <c r="E3931" t="s">
        <v>75178</v>
      </c>
      <c r="F3931" t="s">
        <v>75179</v>
      </c>
      <c r="G3931" t="s">
        <v>75180</v>
      </c>
      <c r="H3931" t="s">
        <v>75181</v>
      </c>
      <c r="I3931" t="s">
        <v>75182</v>
      </c>
      <c r="J3931" t="s">
        <v>75183</v>
      </c>
      <c r="K3931" t="s">
        <v>75184</v>
      </c>
      <c r="L3931" t="s">
        <v>75185</v>
      </c>
      <c r="M3931" t="s">
        <v>75186</v>
      </c>
      <c r="N3931">
        <f>-687.253024485404 -13.8576912283954 -529.175554567545</f>
        <v>-1230.2862702813445</v>
      </c>
      <c r="O3931">
        <f>-682.083812880892 -167.400395747379 -502.049503446047</f>
        <v>-1351.5337120743179</v>
      </c>
      <c r="P3931">
        <f>-698.756328220025 -201.410273129621 -222.507021402119</f>
        <v>-1122.6736227517649</v>
      </c>
      <c r="Q3931">
        <f>-493.010465150761 -117.37553988773 -290.000442476071</f>
        <v>-900.38644751456195</v>
      </c>
      <c r="R3931" t="s">
        <v>75187</v>
      </c>
      <c r="S3931" t="s">
        <v>75188</v>
      </c>
      <c r="T3931" t="s">
        <v>75189</v>
      </c>
      <c r="U3931" t="s">
        <v>75190</v>
      </c>
      <c r="V3931">
        <f>-619.188567186481 -71.9793096529684 -93.6679364082084</f>
        <v>-784.83581324765782</v>
      </c>
      <c r="W3931" t="s">
        <v>75191</v>
      </c>
      <c r="X3931" t="s">
        <v>75192</v>
      </c>
      <c r="Y3931" t="s">
        <v>75193</v>
      </c>
    </row>
    <row r="3932" spans="1:25" x14ac:dyDescent="0.3">
      <c r="A3932">
        <v>196550</v>
      </c>
      <c r="B3932" t="s">
        <v>75194</v>
      </c>
      <c r="C3932" t="s">
        <v>75195</v>
      </c>
      <c r="D3932" t="s">
        <v>75196</v>
      </c>
      <c r="E3932" t="s">
        <v>75197</v>
      </c>
      <c r="F3932" t="s">
        <v>75198</v>
      </c>
      <c r="G3932" t="s">
        <v>75199</v>
      </c>
      <c r="H3932" t="s">
        <v>75200</v>
      </c>
      <c r="I3932" t="s">
        <v>75201</v>
      </c>
      <c r="J3932" t="s">
        <v>75202</v>
      </c>
      <c r="K3932" t="s">
        <v>75203</v>
      </c>
      <c r="L3932" t="s">
        <v>75204</v>
      </c>
      <c r="M3932" t="s">
        <v>75205</v>
      </c>
      <c r="N3932">
        <f>-687.248444947818 -13.9780259249242 -529.114496539809</f>
        <v>-1230.3409674125512</v>
      </c>
      <c r="O3932">
        <f>-682.093226153293 -167.49145031194 -501.803200268193</f>
        <v>-1351.3878767334261</v>
      </c>
      <c r="P3932">
        <f>-698.429279241428 -201.259400310959 -222.211670117126</f>
        <v>-1121.9003496695132</v>
      </c>
      <c r="Q3932">
        <f>-492.94827580554 -117.190205904761 -290.464464015001</f>
        <v>-900.60294572530199</v>
      </c>
      <c r="R3932" t="s">
        <v>75206</v>
      </c>
      <c r="S3932" t="s">
        <v>75207</v>
      </c>
      <c r="T3932" t="s">
        <v>75208</v>
      </c>
      <c r="U3932" t="s">
        <v>75209</v>
      </c>
      <c r="V3932">
        <f>-619.057222318094 -71.9818112911053 -93.6361159580536</f>
        <v>-784.67514956725279</v>
      </c>
      <c r="W3932" t="s">
        <v>75210</v>
      </c>
      <c r="X3932" t="s">
        <v>75211</v>
      </c>
      <c r="Y3932" t="s">
        <v>75212</v>
      </c>
    </row>
    <row r="3933" spans="1:25" x14ac:dyDescent="0.3">
      <c r="A3933">
        <v>196600</v>
      </c>
      <c r="B3933" t="s">
        <v>75213</v>
      </c>
      <c r="C3933" t="s">
        <v>75214</v>
      </c>
      <c r="D3933" t="s">
        <v>75215</v>
      </c>
      <c r="E3933" t="s">
        <v>75216</v>
      </c>
      <c r="F3933" t="s">
        <v>75217</v>
      </c>
      <c r="G3933" t="s">
        <v>75218</v>
      </c>
      <c r="H3933" t="s">
        <v>75219</v>
      </c>
      <c r="I3933" t="s">
        <v>75220</v>
      </c>
      <c r="J3933" t="s">
        <v>75221</v>
      </c>
      <c r="K3933" t="s">
        <v>75222</v>
      </c>
      <c r="L3933" t="s">
        <v>75223</v>
      </c>
      <c r="M3933" t="s">
        <v>75224</v>
      </c>
      <c r="N3933">
        <f>-686.949869315071 -13.9824418430478 -529.081080854993</f>
        <v>-1230.013392013112</v>
      </c>
      <c r="O3933">
        <f>-681.941797180831 -167.437505116474 -501.44570863925</f>
        <v>-1350.8250109365549</v>
      </c>
      <c r="P3933">
        <f>-697.973172604298 -200.665579376519 -221.771828810935</f>
        <v>-1120.410580791752</v>
      </c>
      <c r="Q3933">
        <f>-492.842761905193 -116.675890694284 -291.167608976127</f>
        <v>-900.68626157560402</v>
      </c>
      <c r="R3933" t="s">
        <v>75225</v>
      </c>
      <c r="S3933" t="s">
        <v>75226</v>
      </c>
      <c r="T3933" t="s">
        <v>75227</v>
      </c>
      <c r="U3933" t="s">
        <v>75228</v>
      </c>
      <c r="V3933">
        <f>-619.076998376957 -71.6044516309626 -93.6012628036276</f>
        <v>-784.28271281154719</v>
      </c>
      <c r="W3933" t="s">
        <v>75229</v>
      </c>
      <c r="X3933" t="s">
        <v>75230</v>
      </c>
      <c r="Y3933" t="s">
        <v>75231</v>
      </c>
    </row>
    <row r="3934" spans="1:25" x14ac:dyDescent="0.3">
      <c r="A3934">
        <v>196650</v>
      </c>
      <c r="B3934" t="s">
        <v>75232</v>
      </c>
      <c r="C3934" t="s">
        <v>75233</v>
      </c>
      <c r="D3934" t="s">
        <v>75234</v>
      </c>
      <c r="E3934" t="s">
        <v>75235</v>
      </c>
      <c r="F3934" t="s">
        <v>75236</v>
      </c>
      <c r="G3934" t="s">
        <v>75237</v>
      </c>
      <c r="H3934" t="s">
        <v>75238</v>
      </c>
      <c r="I3934" t="s">
        <v>75239</v>
      </c>
      <c r="J3934" t="s">
        <v>75240</v>
      </c>
      <c r="K3934" t="s">
        <v>75241</v>
      </c>
      <c r="L3934" t="s">
        <v>75242</v>
      </c>
      <c r="M3934" t="s">
        <v>75243</v>
      </c>
      <c r="N3934">
        <f>-686.562648436054 -13.8234525826606 -529.089573365775</f>
        <v>-1229.4756743844896</v>
      </c>
      <c r="O3934">
        <f>-681.639413076213 -167.216859989702 -501.077890102998</f>
        <v>-1349.9341631689131</v>
      </c>
      <c r="P3934">
        <f>-697.572236959053 -199.914136295468 -221.335862496336</f>
        <v>-1118.8222357508571</v>
      </c>
      <c r="Q3934">
        <f>-492.730621646083 -116.052119601193 -291.731805212603</f>
        <v>-900.51454645987906</v>
      </c>
      <c r="R3934" t="s">
        <v>75244</v>
      </c>
      <c r="S3934" t="s">
        <v>75245</v>
      </c>
      <c r="T3934" t="s">
        <v>75246</v>
      </c>
      <c r="U3934" t="s">
        <v>75247</v>
      </c>
      <c r="V3934">
        <f>-619.263711514737 -71.0965247819856 -93.6121476260031</f>
        <v>-783.97238392272573</v>
      </c>
      <c r="W3934" t="s">
        <v>75248</v>
      </c>
      <c r="X3934" t="s">
        <v>75249</v>
      </c>
      <c r="Y3934" t="s">
        <v>75250</v>
      </c>
    </row>
    <row r="3935" spans="1:25" x14ac:dyDescent="0.3">
      <c r="A3935">
        <v>196700</v>
      </c>
      <c r="B3935" t="s">
        <v>75251</v>
      </c>
      <c r="C3935" t="s">
        <v>75252</v>
      </c>
      <c r="D3935" t="s">
        <v>75253</v>
      </c>
      <c r="E3935" t="s">
        <v>75254</v>
      </c>
      <c r="F3935" t="s">
        <v>75255</v>
      </c>
      <c r="G3935" t="s">
        <v>75256</v>
      </c>
      <c r="H3935" t="s">
        <v>75257</v>
      </c>
      <c r="I3935" t="s">
        <v>75258</v>
      </c>
      <c r="J3935" t="s">
        <v>75259</v>
      </c>
      <c r="K3935" t="s">
        <v>75260</v>
      </c>
      <c r="L3935" t="s">
        <v>75261</v>
      </c>
      <c r="M3935" t="s">
        <v>75262</v>
      </c>
      <c r="N3935">
        <f>-686.374990636422 -13.7862044139029 -529.09948352737</f>
        <v>-1229.2606785776948</v>
      </c>
      <c r="O3935">
        <f>-681.513296406108 -167.139124314087 -500.877464110285</f>
        <v>-1349.5298848304801</v>
      </c>
      <c r="P3935">
        <f>-697.338519975599 -199.604798560834 -221.102331198871</f>
        <v>-1118.0456497353041</v>
      </c>
      <c r="Q3935">
        <f>-492.635186546426 -115.764164444125 -291.924830404454</f>
        <v>-900.32418139500487</v>
      </c>
      <c r="R3935" t="s">
        <v>75263</v>
      </c>
      <c r="S3935" t="s">
        <v>75264</v>
      </c>
      <c r="T3935" t="s">
        <v>75265</v>
      </c>
      <c r="U3935" t="s">
        <v>75266</v>
      </c>
      <c r="V3935">
        <f>-619.369419461684 -70.909037303805 -93.6217668640966</f>
        <v>-783.90022362958553</v>
      </c>
      <c r="W3935" t="s">
        <v>75267</v>
      </c>
      <c r="X3935" t="s">
        <v>75268</v>
      </c>
      <c r="Y3935" t="s">
        <v>75269</v>
      </c>
    </row>
    <row r="3936" spans="1:25" x14ac:dyDescent="0.3">
      <c r="A3936">
        <v>196750</v>
      </c>
      <c r="B3936" t="s">
        <v>75270</v>
      </c>
      <c r="C3936" t="s">
        <v>75271</v>
      </c>
      <c r="D3936" t="s">
        <v>75272</v>
      </c>
      <c r="E3936" t="s">
        <v>75273</v>
      </c>
      <c r="F3936" t="s">
        <v>75274</v>
      </c>
      <c r="G3936" t="s">
        <v>75275</v>
      </c>
      <c r="H3936" t="s">
        <v>75276</v>
      </c>
      <c r="I3936" t="s">
        <v>75277</v>
      </c>
      <c r="J3936" t="s">
        <v>75278</v>
      </c>
      <c r="K3936" t="s">
        <v>75279</v>
      </c>
      <c r="L3936" t="s">
        <v>75280</v>
      </c>
      <c r="M3936" t="s">
        <v>75281</v>
      </c>
      <c r="N3936">
        <f>-686.21065868558 -13.8084638596556 -529.125330906594</f>
        <v>-1229.1444534518296</v>
      </c>
      <c r="O3936">
        <f>-681.356379605984 -167.129236650019 -500.733638813222</f>
        <v>-1349.219255069225</v>
      </c>
      <c r="P3936">
        <f>-697.15283298031 -199.351115640173 -220.928686254723</f>
        <v>-1117.4326348752061</v>
      </c>
      <c r="Q3936">
        <f>-492.538196478133 -115.50838737309 -292.004473364184</f>
        <v>-900.0510572154069</v>
      </c>
      <c r="R3936" t="s">
        <v>75282</v>
      </c>
      <c r="S3936" t="s">
        <v>75283</v>
      </c>
      <c r="T3936" t="s">
        <v>75284</v>
      </c>
      <c r="U3936" t="s">
        <v>75285</v>
      </c>
      <c r="V3936">
        <f>-619.47076114296 -70.7204183157889 -93.6387138907786</f>
        <v>-783.82989334952754</v>
      </c>
      <c r="W3936" t="s">
        <v>75286</v>
      </c>
      <c r="X3936" t="s">
        <v>75287</v>
      </c>
      <c r="Y3936" t="s">
        <v>75288</v>
      </c>
    </row>
    <row r="3937" spans="1:25" x14ac:dyDescent="0.3">
      <c r="A3937">
        <v>196800</v>
      </c>
      <c r="B3937" t="s">
        <v>75289</v>
      </c>
      <c r="C3937" t="s">
        <v>75290</v>
      </c>
      <c r="D3937" t="s">
        <v>75291</v>
      </c>
      <c r="E3937" t="s">
        <v>75292</v>
      </c>
      <c r="F3937" t="s">
        <v>75293</v>
      </c>
      <c r="G3937" t="s">
        <v>75294</v>
      </c>
      <c r="H3937" t="s">
        <v>75295</v>
      </c>
      <c r="I3937" t="s">
        <v>75296</v>
      </c>
      <c r="J3937" t="s">
        <v>75297</v>
      </c>
      <c r="K3937" t="s">
        <v>75298</v>
      </c>
      <c r="L3937" t="s">
        <v>75299</v>
      </c>
      <c r="M3937" t="s">
        <v>75300</v>
      </c>
      <c r="N3937">
        <f>-685.931300316402 -13.9540150710347 -529.175646552495</f>
        <v>-1229.0609619399318</v>
      </c>
      <c r="O3937">
        <f>-681.041691676473 -167.222168223311 -500.493971828419</f>
        <v>-1348.757831728203</v>
      </c>
      <c r="P3937">
        <f>-696.838010750285 -198.940613084079 -220.631548458277</f>
        <v>-1116.4101722926409</v>
      </c>
      <c r="Q3937">
        <f>-492.29980216691 -115.151630822827 -291.990234289537</f>
        <v>-899.44166727927404</v>
      </c>
      <c r="R3937" t="s">
        <v>75301</v>
      </c>
      <c r="S3937" t="s">
        <v>75302</v>
      </c>
      <c r="T3937" t="s">
        <v>75303</v>
      </c>
      <c r="U3937" t="s">
        <v>75304</v>
      </c>
      <c r="V3937">
        <f>-619.655398452482 -70.4589860223793 -93.6674180074566</f>
        <v>-783.78180248231797</v>
      </c>
      <c r="W3937" t="s">
        <v>75305</v>
      </c>
      <c r="X3937" t="s">
        <v>75306</v>
      </c>
      <c r="Y3937" t="s">
        <v>75307</v>
      </c>
    </row>
    <row r="3938" spans="1:25" x14ac:dyDescent="0.3">
      <c r="A3938">
        <v>196850</v>
      </c>
      <c r="B3938" t="s">
        <v>75308</v>
      </c>
      <c r="C3938" t="s">
        <v>75309</v>
      </c>
      <c r="D3938" t="s">
        <v>75310</v>
      </c>
      <c r="E3938" t="s">
        <v>75311</v>
      </c>
      <c r="F3938" t="s">
        <v>75312</v>
      </c>
      <c r="G3938" t="s">
        <v>75313</v>
      </c>
      <c r="H3938" t="s">
        <v>75314</v>
      </c>
      <c r="I3938" t="s">
        <v>75315</v>
      </c>
      <c r="J3938" t="s">
        <v>75316</v>
      </c>
      <c r="K3938" t="s">
        <v>75317</v>
      </c>
      <c r="L3938" t="s">
        <v>75318</v>
      </c>
      <c r="M3938" t="s">
        <v>75319</v>
      </c>
      <c r="N3938">
        <f>-685.263285107247 -14.1734742692697 -529.221855023741</f>
        <v>-1228.6586144002576</v>
      </c>
      <c r="O3938">
        <f>-680.261085207713 -167.381388503035 -500.243431076045</f>
        <v>-1347.8859047867929</v>
      </c>
      <c r="P3938">
        <f>-696.350781849278 -198.828778618997 -220.367110193516</f>
        <v>-1115.546670661791</v>
      </c>
      <c r="Q3938">
        <f>-491.877611906172 -114.977943417547 -291.839394944975</f>
        <v>-898.6949502686939</v>
      </c>
      <c r="R3938" t="s">
        <v>75320</v>
      </c>
      <c r="S3938" t="s">
        <v>75321</v>
      </c>
      <c r="T3938" t="s">
        <v>75322</v>
      </c>
      <c r="U3938" t="s">
        <v>75323</v>
      </c>
      <c r="V3938">
        <f>-619.541842990861 -70.1930128320851 -93.6940679123201</f>
        <v>-783.42892373526615</v>
      </c>
      <c r="W3938" t="s">
        <v>75324</v>
      </c>
      <c r="X3938" t="s">
        <v>75325</v>
      </c>
      <c r="Y3938" t="s">
        <v>75326</v>
      </c>
    </row>
    <row r="3939" spans="1:25" x14ac:dyDescent="0.3">
      <c r="A3939">
        <v>196900</v>
      </c>
      <c r="B3939" t="s">
        <v>75327</v>
      </c>
      <c r="C3939" t="s">
        <v>75328</v>
      </c>
      <c r="D3939" t="s">
        <v>75329</v>
      </c>
      <c r="E3939" t="s">
        <v>75330</v>
      </c>
      <c r="F3939" t="s">
        <v>75331</v>
      </c>
      <c r="G3939" t="s">
        <v>75332</v>
      </c>
      <c r="H3939" t="s">
        <v>75333</v>
      </c>
      <c r="I3939" t="s">
        <v>75334</v>
      </c>
      <c r="J3939" t="s">
        <v>75335</v>
      </c>
      <c r="K3939" t="s">
        <v>75336</v>
      </c>
      <c r="L3939" t="s">
        <v>75337</v>
      </c>
      <c r="M3939" t="s">
        <v>75338</v>
      </c>
      <c r="N3939">
        <f>-684.878596738886 -14.2811203649374 -529.247575211269</f>
        <v>-1228.4072923150925</v>
      </c>
      <c r="O3939">
        <f>-679.855515216325 -167.467679927081 -500.162516270509</f>
        <v>-1347.4857114139149</v>
      </c>
      <c r="P3939">
        <f>-696.104818237896 -198.866068599047 -220.28987853541</f>
        <v>-1115.260765372353</v>
      </c>
      <c r="Q3939">
        <f>-491.619146891956 -114.994153934261 -291.701657590101</f>
        <v>-898.31495841631795</v>
      </c>
      <c r="R3939" t="s">
        <v>75339</v>
      </c>
      <c r="S3939" t="s">
        <v>75340</v>
      </c>
      <c r="T3939" t="s">
        <v>75341</v>
      </c>
      <c r="U3939" t="s">
        <v>75342</v>
      </c>
      <c r="V3939">
        <f>-619.297827945985 -70.0923101899946 -93.6934455660511</f>
        <v>-783.08358370203064</v>
      </c>
      <c r="W3939" t="s">
        <v>75343</v>
      </c>
      <c r="X3939" t="s">
        <v>75344</v>
      </c>
      <c r="Y3939" t="s">
        <v>75345</v>
      </c>
    </row>
    <row r="3940" spans="1:25" x14ac:dyDescent="0.3">
      <c r="A3940">
        <v>196950</v>
      </c>
      <c r="B3940" t="s">
        <v>75346</v>
      </c>
      <c r="C3940" t="s">
        <v>75347</v>
      </c>
      <c r="D3940" t="s">
        <v>75348</v>
      </c>
      <c r="E3940" t="s">
        <v>75349</v>
      </c>
      <c r="F3940" t="s">
        <v>75350</v>
      </c>
      <c r="G3940" t="s">
        <v>75351</v>
      </c>
      <c r="H3940" t="s">
        <v>75352</v>
      </c>
      <c r="I3940" t="s">
        <v>75353</v>
      </c>
      <c r="J3940" t="s">
        <v>75354</v>
      </c>
      <c r="K3940" t="s">
        <v>75355</v>
      </c>
      <c r="L3940" t="s">
        <v>75356</v>
      </c>
      <c r="M3940" t="s">
        <v>75357</v>
      </c>
      <c r="N3940">
        <f>-684.478919824358 -14.4096807241606 -529.249483246449</f>
        <v>-1228.1380837949675</v>
      </c>
      <c r="O3940">
        <f>-679.453149519548 -167.578698986483 -500.080152755916</f>
        <v>-1347.1120012619469</v>
      </c>
      <c r="P3940">
        <f>-695.783225085583 -198.888894455274 -220.202324915685</f>
        <v>-1114.8744444565421</v>
      </c>
      <c r="Q3940">
        <f>-491.265078421137 -115.069798436414 -291.583037485631</f>
        <v>-897.91791434318202</v>
      </c>
      <c r="R3940" t="s">
        <v>75358</v>
      </c>
      <c r="S3940" t="s">
        <v>75359</v>
      </c>
      <c r="T3940" t="s">
        <v>75360</v>
      </c>
      <c r="U3940" t="s">
        <v>75361</v>
      </c>
      <c r="V3940">
        <f>-618.962741531669 -70.0831338322907 -93.6808199177851</f>
        <v>-782.72669528174492</v>
      </c>
      <c r="W3940" t="s">
        <v>75362</v>
      </c>
      <c r="X3940" t="s">
        <v>75363</v>
      </c>
      <c r="Y3940" t="s">
        <v>75364</v>
      </c>
    </row>
    <row r="3941" spans="1:25" x14ac:dyDescent="0.3">
      <c r="A3941">
        <v>197000</v>
      </c>
      <c r="B3941" t="s">
        <v>75365</v>
      </c>
      <c r="C3941" t="s">
        <v>75366</v>
      </c>
      <c r="D3941" t="s">
        <v>75367</v>
      </c>
      <c r="E3941" t="s">
        <v>75368</v>
      </c>
      <c r="F3941" t="s">
        <v>75369</v>
      </c>
      <c r="G3941" t="s">
        <v>75370</v>
      </c>
      <c r="H3941" t="s">
        <v>75371</v>
      </c>
      <c r="I3941" t="s">
        <v>75372</v>
      </c>
      <c r="J3941" t="s">
        <v>75373</v>
      </c>
      <c r="K3941" t="s">
        <v>75374</v>
      </c>
      <c r="L3941" t="s">
        <v>75375</v>
      </c>
      <c r="M3941" t="s">
        <v>75376</v>
      </c>
      <c r="N3941">
        <f>-683.736315805001 -14.6476835454325 -529.217938866857</f>
        <v>-1227.6019382172906</v>
      </c>
      <c r="O3941">
        <f>-678.624267029172 -167.79531100027 -499.917012994875</f>
        <v>-1346.3365910243169</v>
      </c>
      <c r="P3941">
        <f>-694.958632602564 -198.920029694907 -220.018760372981</f>
        <v>-1113.897422670452</v>
      </c>
      <c r="Q3941">
        <f>-490.406418822247 -115.197754083533 -291.415527276109</f>
        <v>-897.01970018188899</v>
      </c>
      <c r="R3941" t="s">
        <v>75377</v>
      </c>
      <c r="S3941" t="s">
        <v>75378</v>
      </c>
      <c r="T3941" t="s">
        <v>75379</v>
      </c>
      <c r="U3941" t="s">
        <v>75380</v>
      </c>
      <c r="V3941">
        <f>-618.149469053416 -70.1724974690917 -93.6347248636657</f>
        <v>-781.95669138617347</v>
      </c>
      <c r="W3941" t="s">
        <v>75381</v>
      </c>
      <c r="X3941" t="s">
        <v>75382</v>
      </c>
      <c r="Y3941" t="s">
        <v>75383</v>
      </c>
    </row>
    <row r="3942" spans="1:25" x14ac:dyDescent="0.3">
      <c r="A3942">
        <v>197050</v>
      </c>
      <c r="B3942" t="s">
        <v>75384</v>
      </c>
      <c r="C3942" t="s">
        <v>75385</v>
      </c>
      <c r="D3942" t="s">
        <v>75386</v>
      </c>
      <c r="E3942" t="s">
        <v>75387</v>
      </c>
      <c r="F3942" t="s">
        <v>75388</v>
      </c>
      <c r="G3942" t="s">
        <v>75389</v>
      </c>
      <c r="H3942" t="s">
        <v>75390</v>
      </c>
      <c r="I3942" t="s">
        <v>75391</v>
      </c>
      <c r="J3942" t="s">
        <v>75392</v>
      </c>
      <c r="K3942" t="s">
        <v>75393</v>
      </c>
      <c r="L3942" t="s">
        <v>75394</v>
      </c>
      <c r="M3942" t="s">
        <v>75395</v>
      </c>
      <c r="N3942">
        <f>-683.291502559966 -14.757062327451 -529.215416740435</f>
        <v>-1227.263981627852</v>
      </c>
      <c r="O3942">
        <f>-678.128297420713 -167.893113587997 -499.898233825132</f>
        <v>-1345.9196448338421</v>
      </c>
      <c r="P3942">
        <f>-694.389043184086 -198.950386195458 -219.988194437712</f>
        <v>-1113.3276238172559</v>
      </c>
      <c r="Q3942">
        <f>-489.847026580993 -115.178647463244 -291.35636687076</f>
        <v>-896.38204091499699</v>
      </c>
      <c r="R3942" t="s">
        <v>75396</v>
      </c>
      <c r="S3942" t="s">
        <v>75397</v>
      </c>
      <c r="T3942" t="s">
        <v>75398</v>
      </c>
      <c r="U3942" t="s">
        <v>75399</v>
      </c>
      <c r="V3942">
        <f>-617.708880350649 -70.2498987500937 -93.6126758713654</f>
        <v>-781.57145497210809</v>
      </c>
      <c r="W3942" t="s">
        <v>75400</v>
      </c>
      <c r="X3942" t="s">
        <v>75401</v>
      </c>
      <c r="Y3942" t="s">
        <v>75402</v>
      </c>
    </row>
    <row r="3943" spans="1:25" x14ac:dyDescent="0.3">
      <c r="A3943">
        <v>197100</v>
      </c>
      <c r="B3943" t="s">
        <v>75403</v>
      </c>
      <c r="C3943" t="s">
        <v>75404</v>
      </c>
      <c r="D3943" t="s">
        <v>75405</v>
      </c>
      <c r="E3943" t="s">
        <v>75406</v>
      </c>
      <c r="F3943" t="s">
        <v>75407</v>
      </c>
      <c r="G3943" t="s">
        <v>75408</v>
      </c>
      <c r="H3943" t="s">
        <v>75409</v>
      </c>
      <c r="I3943" t="s">
        <v>75410</v>
      </c>
      <c r="J3943" t="s">
        <v>75411</v>
      </c>
      <c r="K3943" t="s">
        <v>75412</v>
      </c>
      <c r="L3943" t="s">
        <v>75413</v>
      </c>
      <c r="M3943" t="s">
        <v>75414</v>
      </c>
      <c r="N3943">
        <f>-682.284171663135 -15.1303234443108 -529.168438917757</f>
        <v>-1226.5829340252028</v>
      </c>
      <c r="O3943">
        <f>-676.941469371142 -168.252252111641 -499.819019232811</f>
        <v>-1345.0127407155942</v>
      </c>
      <c r="P3943">
        <f>-693.118350861067 -199.606620248169 -219.937279883283</f>
        <v>-1112.6622509925191</v>
      </c>
      <c r="Q3943">
        <f>-488.726153838652 -115.457405387635 -291.290372012919</f>
        <v>-895.47393123920597</v>
      </c>
      <c r="R3943" t="s">
        <v>75415</v>
      </c>
      <c r="S3943" t="s">
        <v>75416</v>
      </c>
      <c r="T3943" t="s">
        <v>75417</v>
      </c>
      <c r="U3943" t="s">
        <v>75418</v>
      </c>
      <c r="V3943">
        <f>-616.727478300922 -70.417096714704 -93.5763591785042</f>
        <v>-780.72093419413022</v>
      </c>
      <c r="W3943" t="s">
        <v>75419</v>
      </c>
      <c r="X3943" t="s">
        <v>75420</v>
      </c>
      <c r="Y3943" t="s">
        <v>75421</v>
      </c>
    </row>
    <row r="3944" spans="1:25" x14ac:dyDescent="0.3">
      <c r="A3944">
        <v>197150</v>
      </c>
      <c r="B3944" t="s">
        <v>75422</v>
      </c>
      <c r="C3944" t="s">
        <v>75423</v>
      </c>
      <c r="D3944" t="s">
        <v>75424</v>
      </c>
      <c r="E3944" t="s">
        <v>75425</v>
      </c>
      <c r="F3944" t="s">
        <v>75426</v>
      </c>
      <c r="G3944" t="s">
        <v>75427</v>
      </c>
      <c r="H3944" t="s">
        <v>75428</v>
      </c>
      <c r="I3944" t="s">
        <v>75429</v>
      </c>
      <c r="J3944" t="s">
        <v>75430</v>
      </c>
      <c r="K3944" t="s">
        <v>75431</v>
      </c>
      <c r="L3944" t="s">
        <v>75432</v>
      </c>
      <c r="M3944" t="s">
        <v>75433</v>
      </c>
      <c r="N3944">
        <f>-681.798846182002 -15.3691838240145 -529.1546413275</f>
        <v>-1226.3226713335166</v>
      </c>
      <c r="O3944">
        <f>-676.362888296601 -168.483596831428 -499.768221734271</f>
        <v>-1344.6147068623</v>
      </c>
      <c r="P3944">
        <f>-692.507711448256 -199.895083033151 -219.891095450936</f>
        <v>-1112.2938899323431</v>
      </c>
      <c r="Q3944">
        <f>-488.171585773561 -115.616123923682 -291.251749072261</f>
        <v>-895.03945876950411</v>
      </c>
      <c r="R3944" t="s">
        <v>75434</v>
      </c>
      <c r="S3944" t="s">
        <v>75435</v>
      </c>
      <c r="T3944" t="s">
        <v>75436</v>
      </c>
      <c r="U3944" t="s">
        <v>75437</v>
      </c>
      <c r="V3944">
        <f>-616.22999595579 -70.5600596766799 -93.5617231024557</f>
        <v>-780.35177873492557</v>
      </c>
      <c r="W3944" t="s">
        <v>75438</v>
      </c>
      <c r="X3944" t="s">
        <v>75439</v>
      </c>
      <c r="Y3944" t="s">
        <v>75440</v>
      </c>
    </row>
    <row r="3945" spans="1:25" x14ac:dyDescent="0.3">
      <c r="A3945">
        <v>197200</v>
      </c>
      <c r="B3945" t="s">
        <v>75441</v>
      </c>
      <c r="C3945" t="s">
        <v>75442</v>
      </c>
      <c r="D3945" t="s">
        <v>75443</v>
      </c>
      <c r="E3945" t="s">
        <v>75444</v>
      </c>
      <c r="F3945" t="s">
        <v>75445</v>
      </c>
      <c r="G3945" t="s">
        <v>75446</v>
      </c>
      <c r="H3945" t="s">
        <v>75447</v>
      </c>
      <c r="I3945" t="s">
        <v>75448</v>
      </c>
      <c r="J3945" t="s">
        <v>75449</v>
      </c>
      <c r="K3945" t="s">
        <v>75450</v>
      </c>
      <c r="L3945" t="s">
        <v>75451</v>
      </c>
      <c r="M3945" t="s">
        <v>75452</v>
      </c>
      <c r="N3945">
        <f>-680.861721223054 -15.7260901442373 -529.145196287552</f>
        <v>-1225.7330076548433</v>
      </c>
      <c r="O3945">
        <f>-675.191055585332 -168.826691963799 -499.724796082963</f>
        <v>-1343.7425436320941</v>
      </c>
      <c r="P3945">
        <f>-691.362785532633 -200.100374124826 -219.833721434756</f>
        <v>-1111.296881092215</v>
      </c>
      <c r="Q3945">
        <f>-487.122384757962 -115.569213131874 -291.169818415452</f>
        <v>-893.861416305288</v>
      </c>
      <c r="R3945" t="s">
        <v>75453</v>
      </c>
      <c r="S3945" t="s">
        <v>75454</v>
      </c>
      <c r="T3945" t="s">
        <v>75455</v>
      </c>
      <c r="U3945" t="s">
        <v>75456</v>
      </c>
      <c r="V3945">
        <f>-615.325157439399 -70.7902548475481 -93.5404367218404</f>
        <v>-779.65584900878753</v>
      </c>
      <c r="W3945" t="s">
        <v>75457</v>
      </c>
      <c r="X3945" t="s">
        <v>75458</v>
      </c>
      <c r="Y3945" t="s">
        <v>75459</v>
      </c>
    </row>
    <row r="3946" spans="1:25" x14ac:dyDescent="0.3">
      <c r="A3946">
        <v>197250</v>
      </c>
      <c r="B3946" t="s">
        <v>75460</v>
      </c>
      <c r="C3946" t="s">
        <v>75461</v>
      </c>
      <c r="D3946" t="s">
        <v>75462</v>
      </c>
      <c r="E3946" t="s">
        <v>75463</v>
      </c>
      <c r="F3946" t="s">
        <v>75464</v>
      </c>
      <c r="G3946" t="s">
        <v>75465</v>
      </c>
      <c r="H3946" t="s">
        <v>75466</v>
      </c>
      <c r="I3946" t="s">
        <v>75467</v>
      </c>
      <c r="J3946" t="s">
        <v>75468</v>
      </c>
      <c r="K3946" t="s">
        <v>75469</v>
      </c>
      <c r="L3946" t="s">
        <v>75470</v>
      </c>
      <c r="M3946" t="s">
        <v>75471</v>
      </c>
      <c r="N3946">
        <f>-680.400621238965 -15.8484710785833 -529.151356348901</f>
        <v>-1225.4004486664494</v>
      </c>
      <c r="O3946">
        <f>-674.569689436761 -168.94720573642 -499.730981489411</f>
        <v>-1343.247876662592</v>
      </c>
      <c r="P3946">
        <f>-690.77037260421 -200.244838678769 -219.844175148193</f>
        <v>-1110.859386431172</v>
      </c>
      <c r="Q3946">
        <f>-486.60687767146 -115.468748099912 -291.10988888072</f>
        <v>-893.18551465209202</v>
      </c>
      <c r="R3946" t="s">
        <v>75472</v>
      </c>
      <c r="S3946" t="s">
        <v>75473</v>
      </c>
      <c r="T3946" t="s">
        <v>75474</v>
      </c>
      <c r="U3946" t="s">
        <v>75475</v>
      </c>
      <c r="V3946">
        <f>-614.947465204416 -70.8295261741628 -93.5304996442958</f>
        <v>-779.3074910228745</v>
      </c>
      <c r="W3946" t="s">
        <v>75476</v>
      </c>
      <c r="X3946" t="s">
        <v>75477</v>
      </c>
      <c r="Y3946" t="s">
        <v>75478</v>
      </c>
    </row>
    <row r="3947" spans="1:25" x14ac:dyDescent="0.3">
      <c r="A3947">
        <v>197300</v>
      </c>
      <c r="B3947" t="s">
        <v>75479</v>
      </c>
      <c r="C3947" t="s">
        <v>75480</v>
      </c>
      <c r="D3947" t="s">
        <v>75481</v>
      </c>
      <c r="E3947" t="s">
        <v>75482</v>
      </c>
      <c r="F3947" t="s">
        <v>75483</v>
      </c>
      <c r="G3947" t="s">
        <v>75484</v>
      </c>
      <c r="H3947" t="s">
        <v>75485</v>
      </c>
      <c r="I3947" t="s">
        <v>75486</v>
      </c>
      <c r="J3947" t="s">
        <v>75487</v>
      </c>
      <c r="K3947" t="s">
        <v>75488</v>
      </c>
      <c r="L3947" t="s">
        <v>75489</v>
      </c>
      <c r="M3947" t="s">
        <v>75490</v>
      </c>
      <c r="N3947">
        <f>-679.378701634459 -15.9132784456986 -529.203321110321</f>
        <v>-1224.4953011904786</v>
      </c>
      <c r="O3947">
        <f>-673.329571016132 -169.000244337109 -499.790369234998</f>
        <v>-1342.120184588239</v>
      </c>
      <c r="P3947">
        <f>-689.485755113143 -200.504523426861 -219.924264982853</f>
        <v>-1109.914543522857</v>
      </c>
      <c r="Q3947">
        <f>-485.496941789277 -115.101845951649 -290.941613392075</f>
        <v>-891.54040113300107</v>
      </c>
      <c r="R3947" t="s">
        <v>75491</v>
      </c>
      <c r="S3947" t="s">
        <v>75492</v>
      </c>
      <c r="T3947" t="s">
        <v>75493</v>
      </c>
      <c r="U3947" t="s">
        <v>75494</v>
      </c>
      <c r="V3947">
        <f>-614.285347975354 -70.9519435004252 -93.5129542963607</f>
        <v>-778.75024577213981</v>
      </c>
      <c r="W3947" t="s">
        <v>75495</v>
      </c>
      <c r="X3947" t="s">
        <v>75496</v>
      </c>
      <c r="Y3947" t="s">
        <v>75497</v>
      </c>
    </row>
    <row r="3948" spans="1:25" x14ac:dyDescent="0.3">
      <c r="A3948">
        <v>197350</v>
      </c>
      <c r="B3948" t="s">
        <v>75498</v>
      </c>
      <c r="C3948" t="s">
        <v>75499</v>
      </c>
      <c r="D3948" t="s">
        <v>75500</v>
      </c>
      <c r="E3948" t="s">
        <v>75501</v>
      </c>
      <c r="F3948" t="s">
        <v>75502</v>
      </c>
      <c r="G3948" t="s">
        <v>75503</v>
      </c>
      <c r="H3948" t="s">
        <v>75504</v>
      </c>
      <c r="I3948" t="s">
        <v>75505</v>
      </c>
      <c r="J3948" t="s">
        <v>75506</v>
      </c>
      <c r="K3948" t="s">
        <v>75507</v>
      </c>
      <c r="L3948" t="s">
        <v>75508</v>
      </c>
      <c r="M3948" t="s">
        <v>75509</v>
      </c>
      <c r="N3948">
        <f>-678.130424694143 -15.9172561300429 -529.29876888794</f>
        <v>-1223.3464497121258</v>
      </c>
      <c r="O3948">
        <f>-671.917535667179 -169.006700103128 -499.929965706781</f>
        <v>-1340.8542014770878</v>
      </c>
      <c r="P3948">
        <f>-688.424007749106 -200.798117652261 -220.116820906456</f>
        <v>-1109.3389463078229</v>
      </c>
      <c r="Q3948">
        <f>-484.503076249812 -114.98698283727 -290.836193622477</f>
        <v>-890.32625270955907</v>
      </c>
      <c r="R3948" t="s">
        <v>75510</v>
      </c>
      <c r="S3948" t="s">
        <v>75511</v>
      </c>
      <c r="T3948" t="s">
        <v>75512</v>
      </c>
      <c r="U3948" t="s">
        <v>75513</v>
      </c>
      <c r="V3948">
        <f>-613.689083666529 -70.9543362168652 -93.5176029241964</f>
        <v>-778.16102280759048</v>
      </c>
      <c r="W3948" t="s">
        <v>75514</v>
      </c>
      <c r="X3948" t="s">
        <v>75515</v>
      </c>
      <c r="Y3948" t="s">
        <v>75516</v>
      </c>
    </row>
    <row r="3949" spans="1:25" x14ac:dyDescent="0.3">
      <c r="A3949">
        <v>197400</v>
      </c>
      <c r="B3949" t="s">
        <v>75517</v>
      </c>
      <c r="C3949" t="s">
        <v>75518</v>
      </c>
      <c r="D3949" t="s">
        <v>75519</v>
      </c>
      <c r="E3949" t="s">
        <v>75520</v>
      </c>
      <c r="F3949" t="s">
        <v>75521</v>
      </c>
      <c r="G3949" t="s">
        <v>75522</v>
      </c>
      <c r="H3949" t="s">
        <v>75523</v>
      </c>
      <c r="I3949" t="s">
        <v>75524</v>
      </c>
      <c r="J3949" t="s">
        <v>75525</v>
      </c>
      <c r="K3949" t="s">
        <v>75526</v>
      </c>
      <c r="L3949" t="s">
        <v>75527</v>
      </c>
      <c r="M3949" t="s">
        <v>75528</v>
      </c>
      <c r="N3949">
        <f>-677.474500887373 -15.9940419632894 -529.361966479222</f>
        <v>-1222.8305093298845</v>
      </c>
      <c r="O3949">
        <f>-671.241659205868 -169.082343129056 -500.003418522092</f>
        <v>-1340.327420857016</v>
      </c>
      <c r="P3949">
        <f>-687.88960549627 -200.991443849746 -220.212025197115</f>
        <v>-1109.093074543131</v>
      </c>
      <c r="Q3949">
        <f>-483.949511973655 -115.056565607478 -290.725547644088</f>
        <v>-889.73162522522102</v>
      </c>
      <c r="R3949" t="s">
        <v>75529</v>
      </c>
      <c r="S3949" t="s">
        <v>75530</v>
      </c>
      <c r="T3949" t="s">
        <v>75531</v>
      </c>
      <c r="U3949" t="s">
        <v>75532</v>
      </c>
      <c r="V3949">
        <f>-613.440039354586 -71.0531005768992 -93.5232831878798</f>
        <v>-778.01642311936496</v>
      </c>
      <c r="W3949" t="s">
        <v>75533</v>
      </c>
      <c r="X3949" t="s">
        <v>75534</v>
      </c>
      <c r="Y3949" t="s">
        <v>75535</v>
      </c>
    </row>
    <row r="3950" spans="1:25" x14ac:dyDescent="0.3">
      <c r="A3950">
        <v>197450</v>
      </c>
      <c r="B3950" t="s">
        <v>75536</v>
      </c>
      <c r="C3950" t="s">
        <v>75537</v>
      </c>
      <c r="D3950" t="s">
        <v>75538</v>
      </c>
      <c r="E3950" t="s">
        <v>75539</v>
      </c>
      <c r="F3950" t="s">
        <v>75540</v>
      </c>
      <c r="G3950" t="s">
        <v>75541</v>
      </c>
      <c r="H3950" t="s">
        <v>75542</v>
      </c>
      <c r="I3950" t="s">
        <v>75543</v>
      </c>
      <c r="J3950" t="s">
        <v>75544</v>
      </c>
      <c r="K3950" t="s">
        <v>75545</v>
      </c>
      <c r="L3950" t="s">
        <v>75546</v>
      </c>
      <c r="M3950" t="s">
        <v>75547</v>
      </c>
      <c r="N3950">
        <f>-676.043416323529 -16.0856667116084 -529.526051820784</f>
        <v>-1221.6551348559215</v>
      </c>
      <c r="O3950">
        <f>-669.741550034284 -169.168461269625 -500.152211733704</f>
        <v>-1339.062223037613</v>
      </c>
      <c r="P3950">
        <f>-686.831908908252 -201.121953294974 -220.392537285038</f>
        <v>-1108.3463994882641</v>
      </c>
      <c r="Q3950">
        <f>-482.849331871844 -115.011777215525 -290.56861674259</f>
        <v>-888.4297258299589</v>
      </c>
      <c r="R3950" t="s">
        <v>75548</v>
      </c>
      <c r="S3950" t="s">
        <v>75549</v>
      </c>
      <c r="T3950" t="s">
        <v>75550</v>
      </c>
      <c r="U3950" t="s">
        <v>75551</v>
      </c>
      <c r="V3950">
        <f>-613.100017321022 -71.0688844207841 -93.5714334294393</f>
        <v>-777.74033517124542</v>
      </c>
      <c r="W3950" t="s">
        <v>75552</v>
      </c>
      <c r="X3950" t="s">
        <v>75553</v>
      </c>
      <c r="Y3950" t="s">
        <v>75554</v>
      </c>
    </row>
    <row r="3951" spans="1:25" x14ac:dyDescent="0.3">
      <c r="A3951">
        <v>197500</v>
      </c>
      <c r="B3951" t="s">
        <v>75555</v>
      </c>
      <c r="C3951" t="s">
        <v>75556</v>
      </c>
      <c r="D3951" t="s">
        <v>75557</v>
      </c>
      <c r="E3951" t="s">
        <v>75558</v>
      </c>
      <c r="F3951" t="s">
        <v>75559</v>
      </c>
      <c r="G3951" t="s">
        <v>75560</v>
      </c>
      <c r="H3951" t="s">
        <v>75561</v>
      </c>
      <c r="I3951" t="s">
        <v>75562</v>
      </c>
      <c r="J3951" t="s">
        <v>75563</v>
      </c>
      <c r="K3951" t="s">
        <v>75564</v>
      </c>
      <c r="L3951" t="s">
        <v>75565</v>
      </c>
      <c r="M3951" t="s">
        <v>75566</v>
      </c>
      <c r="N3951">
        <f>-675.353760122878 -16.1225389936383 -529.653103968554</f>
        <v>-1221.1294030850704</v>
      </c>
      <c r="O3951">
        <f>-669.045839585523 -169.207672774076 -500.280517956755</f>
        <v>-1338.5340303163539</v>
      </c>
      <c r="P3951">
        <f>-686.382366075627 -201.20678156134 -220.541306942158</f>
        <v>-1108.1304545791249</v>
      </c>
      <c r="Q3951">
        <f>-482.432712383343 -114.991764609315 -290.684340286577</f>
        <v>-888.10881727923504</v>
      </c>
      <c r="R3951" t="s">
        <v>75567</v>
      </c>
      <c r="S3951" t="s">
        <v>75568</v>
      </c>
      <c r="T3951" t="s">
        <v>75569</v>
      </c>
      <c r="U3951" t="s">
        <v>75570</v>
      </c>
      <c r="V3951">
        <f>-612.956058437732 -71.0792553948472 -93.6333913135373</f>
        <v>-777.66870514611662</v>
      </c>
      <c r="W3951" t="s">
        <v>75571</v>
      </c>
      <c r="X3951" t="s">
        <v>75572</v>
      </c>
      <c r="Y3951" t="s">
        <v>75573</v>
      </c>
    </row>
    <row r="3952" spans="1:25" x14ac:dyDescent="0.3">
      <c r="A3952">
        <v>197550</v>
      </c>
      <c r="B3952" t="s">
        <v>75574</v>
      </c>
      <c r="C3952" t="s">
        <v>75575</v>
      </c>
      <c r="D3952" t="s">
        <v>75576</v>
      </c>
      <c r="E3952" t="s">
        <v>75577</v>
      </c>
      <c r="F3952" t="s">
        <v>75578</v>
      </c>
      <c r="G3952" t="s">
        <v>75579</v>
      </c>
      <c r="H3952" t="s">
        <v>75580</v>
      </c>
      <c r="I3952" t="s">
        <v>75581</v>
      </c>
      <c r="J3952" t="s">
        <v>75582</v>
      </c>
      <c r="K3952" t="s">
        <v>75583</v>
      </c>
      <c r="L3952" t="s">
        <v>75584</v>
      </c>
      <c r="M3952" t="s">
        <v>75585</v>
      </c>
      <c r="N3952">
        <f>-674.638772308465 -16.1704760707705 -529.806551374157</f>
        <v>-1220.6157997533926</v>
      </c>
      <c r="O3952">
        <f>-668.397201541345 -169.255690729499 -500.446306701647</f>
        <v>-1338.099198972491</v>
      </c>
      <c r="P3952">
        <f>-685.971717744515 -201.319055293707 -220.729100394078</f>
        <v>-1108.0198734323001</v>
      </c>
      <c r="Q3952">
        <f>-482.08573343364 -114.921109318222 -290.831855630124</f>
        <v>-887.83869838198598</v>
      </c>
      <c r="R3952" t="s">
        <v>75586</v>
      </c>
      <c r="S3952" t="s">
        <v>75587</v>
      </c>
      <c r="T3952" t="s">
        <v>75588</v>
      </c>
      <c r="U3952" t="s">
        <v>75589</v>
      </c>
      <c r="V3952">
        <f>-612.82698814346 -71.0762761425844 -93.7197743654368</f>
        <v>-777.62303865148124</v>
      </c>
      <c r="W3952" t="s">
        <v>75590</v>
      </c>
      <c r="X3952" t="s">
        <v>75591</v>
      </c>
      <c r="Y3952" t="s">
        <v>75592</v>
      </c>
    </row>
    <row r="3953" spans="1:25" x14ac:dyDescent="0.3">
      <c r="A3953">
        <v>197600</v>
      </c>
      <c r="B3953" t="s">
        <v>75593</v>
      </c>
      <c r="C3953" t="s">
        <v>75594</v>
      </c>
      <c r="D3953" t="s">
        <v>75595</v>
      </c>
      <c r="E3953" t="s">
        <v>75596</v>
      </c>
      <c r="F3953" t="s">
        <v>75597</v>
      </c>
      <c r="G3953" t="s">
        <v>75598</v>
      </c>
      <c r="H3953" t="s">
        <v>75599</v>
      </c>
      <c r="I3953" t="s">
        <v>75600</v>
      </c>
      <c r="J3953" t="s">
        <v>75601</v>
      </c>
      <c r="K3953" t="s">
        <v>75602</v>
      </c>
      <c r="L3953" t="s">
        <v>75603</v>
      </c>
      <c r="M3953" t="s">
        <v>75604</v>
      </c>
      <c r="N3953">
        <f>-673.171312344256 -16.4242032174702 -530.1381488397</f>
        <v>-1219.7336644014263</v>
      </c>
      <c r="O3953">
        <f>-667.159329514285 -169.522569448775 -500.782389758621</f>
        <v>-1337.464288721681</v>
      </c>
      <c r="P3953">
        <f>-685.150808716024 -201.745262164065 -221.110136200736</f>
        <v>-1108.0062070808251</v>
      </c>
      <c r="Q3953">
        <f>-481.31385112605 -115.181725461639 -291.151442191539</f>
        <v>-887.64701877922801</v>
      </c>
      <c r="R3953" t="s">
        <v>75605</v>
      </c>
      <c r="S3953" t="s">
        <v>75606</v>
      </c>
      <c r="T3953" t="s">
        <v>75607</v>
      </c>
      <c r="U3953" t="s">
        <v>75608</v>
      </c>
      <c r="V3953">
        <f>-612.703310809266 -71.2134350689059 -93.8830652757014</f>
        <v>-777.79981115387329</v>
      </c>
      <c r="W3953" t="s">
        <v>75609</v>
      </c>
      <c r="X3953" t="s">
        <v>75610</v>
      </c>
      <c r="Y3953" t="s">
        <v>75611</v>
      </c>
    </row>
    <row r="3954" spans="1:25" x14ac:dyDescent="0.3">
      <c r="A3954">
        <v>197650</v>
      </c>
      <c r="B3954" t="s">
        <v>75612</v>
      </c>
      <c r="C3954" t="s">
        <v>75613</v>
      </c>
      <c r="D3954" t="s">
        <v>75614</v>
      </c>
      <c r="E3954" t="s">
        <v>75615</v>
      </c>
      <c r="F3954" t="s">
        <v>75616</v>
      </c>
      <c r="G3954" t="s">
        <v>75617</v>
      </c>
      <c r="H3954" t="s">
        <v>75618</v>
      </c>
      <c r="I3954" t="s">
        <v>75619</v>
      </c>
      <c r="J3954" t="s">
        <v>75620</v>
      </c>
      <c r="K3954" t="s">
        <v>75621</v>
      </c>
      <c r="L3954" t="s">
        <v>75622</v>
      </c>
      <c r="M3954" t="s">
        <v>75623</v>
      </c>
      <c r="N3954">
        <f>-672.471586630015 -16.5396674395809 -530.293935166063</f>
        <v>-1219.3051892356589</v>
      </c>
      <c r="O3954">
        <f>-666.539210253416 -169.634967044132 -500.924839540559</f>
        <v>-1337.0990168381068</v>
      </c>
      <c r="P3954">
        <f>-684.795791848622 -202.042723913277 -221.291098360117</f>
        <v>-1108.1296141220159</v>
      </c>
      <c r="Q3954">
        <f>-480.951060440992 -115.426074809333 -291.244047245244</f>
        <v>-887.62118249556909</v>
      </c>
      <c r="R3954" t="s">
        <v>75624</v>
      </c>
      <c r="S3954" t="s">
        <v>75625</v>
      </c>
      <c r="T3954" t="s">
        <v>75626</v>
      </c>
      <c r="U3954" t="s">
        <v>75627</v>
      </c>
      <c r="V3954">
        <f>-612.729636967757 -71.2488602865124 -93.9680902802331</f>
        <v>-777.94658753450244</v>
      </c>
      <c r="W3954" t="s">
        <v>75628</v>
      </c>
      <c r="X3954" t="s">
        <v>75629</v>
      </c>
      <c r="Y3954" t="s">
        <v>75630</v>
      </c>
    </row>
    <row r="3955" spans="1:25" x14ac:dyDescent="0.3">
      <c r="A3955">
        <v>197700</v>
      </c>
      <c r="B3955" t="s">
        <v>75631</v>
      </c>
      <c r="C3955" t="s">
        <v>75632</v>
      </c>
      <c r="D3955" t="s">
        <v>75633</v>
      </c>
      <c r="E3955" t="s">
        <v>75634</v>
      </c>
      <c r="F3955" t="s">
        <v>75635</v>
      </c>
      <c r="G3955" t="s">
        <v>75636</v>
      </c>
      <c r="H3955" t="s">
        <v>75637</v>
      </c>
      <c r="I3955" t="s">
        <v>75638</v>
      </c>
      <c r="J3955" t="s">
        <v>75639</v>
      </c>
      <c r="K3955" t="s">
        <v>75640</v>
      </c>
      <c r="L3955" t="s">
        <v>75641</v>
      </c>
      <c r="M3955" t="s">
        <v>75642</v>
      </c>
      <c r="N3955">
        <f>-671.490940132753 -16.5568509717293 -530.616007250409</f>
        <v>-1218.6637983548912</v>
      </c>
      <c r="O3955">
        <f>-665.626524360577 -169.671344300895 -501.276935083609</f>
        <v>-1336.574803745081</v>
      </c>
      <c r="P3955">
        <f>-684.372880346464 -202.361809747929 -221.708615040954</f>
        <v>-1108.4433051353469</v>
      </c>
      <c r="Q3955">
        <f>-480.361896845657 -115.816973979998 -291.264499319459</f>
        <v>-887.44337014511393</v>
      </c>
      <c r="R3955" t="s">
        <v>75643</v>
      </c>
      <c r="S3955" t="s">
        <v>75644</v>
      </c>
      <c r="T3955" t="s">
        <v>75645</v>
      </c>
      <c r="U3955" t="s">
        <v>75646</v>
      </c>
      <c r="V3955">
        <f>-612.87757549327 -71.2865274594924 -94.1535203694755</f>
        <v>-778.31762332223786</v>
      </c>
      <c r="W3955" t="s">
        <v>75647</v>
      </c>
      <c r="X3955" t="s">
        <v>75648</v>
      </c>
      <c r="Y3955" t="s">
        <v>75649</v>
      </c>
    </row>
    <row r="3956" spans="1:25" x14ac:dyDescent="0.3">
      <c r="A3956">
        <v>197750</v>
      </c>
      <c r="B3956" t="s">
        <v>75650</v>
      </c>
      <c r="C3956" t="s">
        <v>75651</v>
      </c>
      <c r="D3956" t="s">
        <v>75652</v>
      </c>
      <c r="E3956" t="s">
        <v>75653</v>
      </c>
      <c r="F3956" t="s">
        <v>75654</v>
      </c>
      <c r="G3956" t="s">
        <v>75655</v>
      </c>
      <c r="H3956" t="s">
        <v>75656</v>
      </c>
      <c r="I3956" t="s">
        <v>75657</v>
      </c>
      <c r="J3956" t="s">
        <v>75658</v>
      </c>
      <c r="K3956" t="s">
        <v>75659</v>
      </c>
      <c r="L3956" t="s">
        <v>75660</v>
      </c>
      <c r="M3956" t="s">
        <v>75661</v>
      </c>
      <c r="N3956">
        <f>-671.144264323238 -16.3904417793558 -530.766338290017</f>
        <v>-1218.3010443926107</v>
      </c>
      <c r="O3956">
        <f>-665.277515534156 -169.523347938341 -501.51230277692</f>
        <v>-1336.313166249417</v>
      </c>
      <c r="P3956">
        <f>-684.228559742927 -202.417821214699 -221.981700052442</f>
        <v>-1108.6280810100679</v>
      </c>
      <c r="Q3956">
        <f>-480.120307625701 -115.856403580145 -291.231047793648</f>
        <v>-887.20775899949399</v>
      </c>
      <c r="R3956" t="s">
        <v>75662</v>
      </c>
      <c r="S3956" t="s">
        <v>75663</v>
      </c>
      <c r="T3956" t="s">
        <v>75664</v>
      </c>
      <c r="U3956" t="s">
        <v>75665</v>
      </c>
      <c r="V3956">
        <f>-613.019319708314 -71.2781473677778 -94.2327715986911</f>
        <v>-778.53023867478294</v>
      </c>
      <c r="W3956" t="s">
        <v>75666</v>
      </c>
      <c r="X3956" t="s">
        <v>75667</v>
      </c>
      <c r="Y3956" t="s">
        <v>75668</v>
      </c>
    </row>
    <row r="3957" spans="1:25" x14ac:dyDescent="0.3">
      <c r="A3957">
        <v>197800</v>
      </c>
      <c r="B3957" t="s">
        <v>75669</v>
      </c>
      <c r="C3957" t="s">
        <v>75670</v>
      </c>
      <c r="D3957" t="s">
        <v>75671</v>
      </c>
      <c r="E3957" t="s">
        <v>75672</v>
      </c>
      <c r="F3957" t="s">
        <v>75673</v>
      </c>
      <c r="G3957" t="s">
        <v>75674</v>
      </c>
      <c r="H3957" t="s">
        <v>75675</v>
      </c>
      <c r="I3957" t="s">
        <v>75676</v>
      </c>
      <c r="J3957" t="s">
        <v>75677</v>
      </c>
      <c r="K3957" t="s">
        <v>75678</v>
      </c>
      <c r="L3957" t="s">
        <v>75679</v>
      </c>
      <c r="M3957" t="s">
        <v>75680</v>
      </c>
      <c r="N3957">
        <f>-670.390801788014 -16.1442485887396 -530.99355520504</f>
        <v>-1217.5286055817937</v>
      </c>
      <c r="O3957">
        <f>-664.407417347098 -169.326538901781 -502.086329616893</f>
        <v>-1335.8202858657719</v>
      </c>
      <c r="P3957">
        <f>-683.80480319404 -202.933539793888 -222.671186347362</f>
        <v>-1109.40952933529</v>
      </c>
      <c r="Q3957">
        <f>-479.63498069754 -116.016970702029 -291.291248448807</f>
        <v>-886.94319984837603</v>
      </c>
      <c r="R3957" t="s">
        <v>75681</v>
      </c>
      <c r="S3957" t="s">
        <v>75682</v>
      </c>
      <c r="T3957" t="s">
        <v>75683</v>
      </c>
      <c r="U3957" t="s">
        <v>75684</v>
      </c>
      <c r="V3957">
        <f>-613.195507995566 -71.2793647614599 -94.3236583549046</f>
        <v>-778.79853111193052</v>
      </c>
      <c r="W3957" t="s">
        <v>75685</v>
      </c>
      <c r="X3957" t="s">
        <v>75686</v>
      </c>
      <c r="Y3957" t="s">
        <v>75687</v>
      </c>
    </row>
    <row r="3958" spans="1:25" x14ac:dyDescent="0.3">
      <c r="A3958">
        <v>197850</v>
      </c>
      <c r="B3958" t="s">
        <v>75688</v>
      </c>
      <c r="C3958" t="s">
        <v>75689</v>
      </c>
      <c r="D3958" t="s">
        <v>75690</v>
      </c>
      <c r="E3958" t="s">
        <v>75691</v>
      </c>
      <c r="F3958" t="s">
        <v>75692</v>
      </c>
      <c r="G3958" t="s">
        <v>75693</v>
      </c>
      <c r="H3958" t="s">
        <v>75694</v>
      </c>
      <c r="I3958" t="s">
        <v>75695</v>
      </c>
      <c r="J3958" t="s">
        <v>75696</v>
      </c>
      <c r="K3958" t="s">
        <v>75697</v>
      </c>
      <c r="L3958" t="s">
        <v>75698</v>
      </c>
      <c r="M3958" t="s">
        <v>75699</v>
      </c>
      <c r="N3958">
        <f>-670.180889487852 -16.1558160615705 -531.075993448442</f>
        <v>-1217.4126989978645</v>
      </c>
      <c r="O3958">
        <f>-664.097589456214 -169.364019778078 -502.308102909795</f>
        <v>-1335.769712144087</v>
      </c>
      <c r="P3958">
        <f>-683.580176853643 -203.34969520233 -222.944516771536</f>
        <v>-1109.8743888275089</v>
      </c>
      <c r="Q3958">
        <f>-479.441385034506 -116.164592982788 -291.315791078331</f>
        <v>-886.921769095625</v>
      </c>
      <c r="R3958" t="s">
        <v>75700</v>
      </c>
      <c r="S3958" t="s">
        <v>75701</v>
      </c>
      <c r="T3958" t="s">
        <v>75702</v>
      </c>
      <c r="U3958" t="s">
        <v>75703</v>
      </c>
      <c r="V3958">
        <f>-613.240031430109 -71.3136924497535 -94.344662273149</f>
        <v>-778.89838615301142</v>
      </c>
      <c r="W3958" t="s">
        <v>75704</v>
      </c>
      <c r="X3958" t="s">
        <v>75705</v>
      </c>
      <c r="Y3958" t="s">
        <v>75706</v>
      </c>
    </row>
    <row r="3959" spans="1:25" x14ac:dyDescent="0.3">
      <c r="A3959">
        <v>197900</v>
      </c>
      <c r="B3959" t="s">
        <v>75707</v>
      </c>
      <c r="C3959" t="s">
        <v>75708</v>
      </c>
      <c r="D3959" t="s">
        <v>75709</v>
      </c>
      <c r="E3959" t="s">
        <v>75710</v>
      </c>
      <c r="F3959" t="s">
        <v>75711</v>
      </c>
      <c r="G3959" t="s">
        <v>75712</v>
      </c>
      <c r="H3959" t="s">
        <v>75713</v>
      </c>
      <c r="I3959" t="s">
        <v>75714</v>
      </c>
      <c r="J3959" t="s">
        <v>75715</v>
      </c>
      <c r="K3959" t="s">
        <v>75716</v>
      </c>
      <c r="L3959" t="s">
        <v>75717</v>
      </c>
      <c r="M3959" t="s">
        <v>75718</v>
      </c>
      <c r="N3959">
        <f>-670.222393864115 -16.2557843252182 -531.153719751094</f>
        <v>-1217.6318979404273</v>
      </c>
      <c r="O3959">
        <f>-663.945193007399 -169.478161457007 -502.477663213469</f>
        <v>-1335.901017677875</v>
      </c>
      <c r="P3959">
        <f>-683.293415995823 -203.82509140296 -223.149051051885</f>
        <v>-1110.267558450668</v>
      </c>
      <c r="Q3959">
        <f>-479.268566330996 -116.218981180207 -291.321968230086</f>
        <v>-886.80951574128903</v>
      </c>
      <c r="R3959" t="s">
        <v>75719</v>
      </c>
      <c r="S3959" t="s">
        <v>75720</v>
      </c>
      <c r="T3959" t="s">
        <v>75721</v>
      </c>
      <c r="U3959" t="s">
        <v>75722</v>
      </c>
      <c r="V3959">
        <f>-613.286658053004 -71.2799117969519 -94.3694546364467</f>
        <v>-778.93602448640252</v>
      </c>
      <c r="W3959" t="s">
        <v>75723</v>
      </c>
      <c r="X3959" t="s">
        <v>75724</v>
      </c>
      <c r="Y3959" t="s">
        <v>75725</v>
      </c>
    </row>
    <row r="3960" spans="1:25" x14ac:dyDescent="0.3">
      <c r="A3960">
        <v>197950</v>
      </c>
      <c r="B3960" t="s">
        <v>75726</v>
      </c>
      <c r="C3960" t="s">
        <v>75727</v>
      </c>
      <c r="D3960" t="s">
        <v>75728</v>
      </c>
      <c r="E3960" t="s">
        <v>75729</v>
      </c>
      <c r="F3960" t="s">
        <v>75730</v>
      </c>
      <c r="G3960" t="s">
        <v>75731</v>
      </c>
      <c r="H3960" t="s">
        <v>75732</v>
      </c>
      <c r="I3960" t="s">
        <v>75733</v>
      </c>
      <c r="J3960" t="s">
        <v>75734</v>
      </c>
      <c r="K3960" t="s">
        <v>75735</v>
      </c>
      <c r="L3960" t="s">
        <v>75736</v>
      </c>
      <c r="M3960" t="s">
        <v>75737</v>
      </c>
      <c r="N3960">
        <f>-670.424331604194 -16.2720271774435 -531.15164299327</f>
        <v>-1217.8480017749075</v>
      </c>
      <c r="O3960">
        <f>-664.045422622234 -169.487680669547 -502.481259426956</f>
        <v>-1336.0143627187369</v>
      </c>
      <c r="P3960">
        <f>-683.280436225167 -203.70968039882 -223.129351976478</f>
        <v>-1110.1194686004651</v>
      </c>
      <c r="Q3960">
        <f>-479.290148648711 -116.034530837335 -291.316675524306</f>
        <v>-886.64135501035196</v>
      </c>
      <c r="R3960" t="s">
        <v>75738</v>
      </c>
      <c r="S3960" t="s">
        <v>75739</v>
      </c>
      <c r="T3960" t="s">
        <v>75740</v>
      </c>
      <c r="U3960" t="s">
        <v>75741</v>
      </c>
      <c r="V3960">
        <f>-613.259396721712 -71.1926586092131 -94.3791961307995</f>
        <v>-778.83125146172472</v>
      </c>
      <c r="W3960" t="s">
        <v>75742</v>
      </c>
      <c r="X3960" t="s">
        <v>75743</v>
      </c>
      <c r="Y3960" t="s">
        <v>75744</v>
      </c>
    </row>
    <row r="3961" spans="1:25" x14ac:dyDescent="0.3">
      <c r="A3961">
        <v>198000</v>
      </c>
      <c r="B3961" t="s">
        <v>75745</v>
      </c>
      <c r="C3961" t="s">
        <v>75746</v>
      </c>
      <c r="D3961" t="s">
        <v>75747</v>
      </c>
      <c r="E3961" t="s">
        <v>75748</v>
      </c>
      <c r="F3961" t="s">
        <v>75749</v>
      </c>
      <c r="G3961" t="s">
        <v>75750</v>
      </c>
      <c r="H3961" t="s">
        <v>75751</v>
      </c>
      <c r="I3961" t="s">
        <v>75752</v>
      </c>
      <c r="J3961" t="s">
        <v>75753</v>
      </c>
      <c r="K3961" t="s">
        <v>75754</v>
      </c>
      <c r="L3961" t="s">
        <v>75755</v>
      </c>
      <c r="M3961" t="s">
        <v>75756</v>
      </c>
      <c r="N3961">
        <f>-671.118061019215 -16.3680969510262 -531.06641013735</f>
        <v>-1218.5525681075912</v>
      </c>
      <c r="O3961">
        <f>-664.465240281665 -169.541925238844 -502.249005076891</f>
        <v>-1336.2561705974001</v>
      </c>
      <c r="P3961">
        <f>-683.457637288216 -203.554531793111 -222.855094573276</f>
        <v>-1109.867263654603</v>
      </c>
      <c r="Q3961">
        <f>-479.57217686899 -115.760832083803 -291.203539306634</f>
        <v>-886.53654825942704</v>
      </c>
      <c r="R3961" t="s">
        <v>75757</v>
      </c>
      <c r="S3961" t="s">
        <v>75758</v>
      </c>
      <c r="T3961" t="s">
        <v>75759</v>
      </c>
      <c r="U3961" t="s">
        <v>75760</v>
      </c>
      <c r="V3961">
        <f>-613.258574219455 -70.8602936969903 -94.3795801279414</f>
        <v>-778.49844804438669</v>
      </c>
      <c r="W3961" t="s">
        <v>75761</v>
      </c>
      <c r="X3961" t="s">
        <v>75762</v>
      </c>
      <c r="Y3961" t="s">
        <v>75763</v>
      </c>
    </row>
    <row r="3962" spans="1:25" x14ac:dyDescent="0.3">
      <c r="A3962">
        <v>198050</v>
      </c>
      <c r="B3962" t="s">
        <v>75764</v>
      </c>
      <c r="C3962" t="s">
        <v>75765</v>
      </c>
      <c r="D3962" t="s">
        <v>75766</v>
      </c>
      <c r="E3962" t="s">
        <v>75767</v>
      </c>
      <c r="F3962" t="s">
        <v>75768</v>
      </c>
      <c r="G3962" t="s">
        <v>75769</v>
      </c>
      <c r="H3962" t="s">
        <v>75770</v>
      </c>
      <c r="I3962" t="s">
        <v>75771</v>
      </c>
      <c r="J3962" t="s">
        <v>75772</v>
      </c>
      <c r="K3962" t="s">
        <v>75773</v>
      </c>
      <c r="L3962" t="s">
        <v>75774</v>
      </c>
      <c r="M3962" t="s">
        <v>75775</v>
      </c>
      <c r="N3962">
        <f>-671.701361678041 -16.4845311017066 -530.933711434309</f>
        <v>-1219.1196042140566</v>
      </c>
      <c r="O3962">
        <f>-664.898828496426 -169.594845842263 -501.813236784285</f>
        <v>-1336.3069111229738</v>
      </c>
      <c r="P3962">
        <f>-683.688574085063 -203.349487715018 -222.374302316108</f>
        <v>-1109.4123641161889</v>
      </c>
      <c r="Q3962">
        <f>-479.913003035551 -115.4540520991 -290.919690861403</f>
        <v>-886.28674599605392</v>
      </c>
      <c r="R3962" t="s">
        <v>75776</v>
      </c>
      <c r="S3962" t="s">
        <v>75777</v>
      </c>
      <c r="T3962" t="s">
        <v>75778</v>
      </c>
      <c r="U3962" t="s">
        <v>75779</v>
      </c>
      <c r="V3962">
        <f>-613.171686750343 -70.3026458105605 -94.348762225827</f>
        <v>-777.82309478673062</v>
      </c>
      <c r="W3962" t="s">
        <v>75780</v>
      </c>
      <c r="X3962" t="s">
        <v>75781</v>
      </c>
      <c r="Y3962" t="s">
        <v>75782</v>
      </c>
    </row>
    <row r="3963" spans="1:25" x14ac:dyDescent="0.3">
      <c r="A3963">
        <v>198100</v>
      </c>
      <c r="B3963" t="s">
        <v>75783</v>
      </c>
      <c r="C3963" t="s">
        <v>75784</v>
      </c>
      <c r="D3963" t="s">
        <v>75785</v>
      </c>
      <c r="E3963" t="s">
        <v>75786</v>
      </c>
      <c r="F3963" t="s">
        <v>75787</v>
      </c>
      <c r="G3963" t="s">
        <v>75788</v>
      </c>
      <c r="H3963" t="s">
        <v>75789</v>
      </c>
      <c r="I3963" t="s">
        <v>75790</v>
      </c>
      <c r="J3963" t="s">
        <v>75791</v>
      </c>
      <c r="K3963" t="s">
        <v>75792</v>
      </c>
      <c r="L3963" t="s">
        <v>75793</v>
      </c>
      <c r="M3963" t="s">
        <v>75794</v>
      </c>
      <c r="N3963">
        <f>-671.865408833872 -16.4573656893779 -530.826498938984</f>
        <v>-1219.1492734622339</v>
      </c>
      <c r="O3963">
        <f>-665.011014795884 -169.538794512417 -501.585016453044</f>
        <v>-1336.1348257613449</v>
      </c>
      <c r="P3963">
        <f>-683.813169876176 -203.117914946776 -222.12561918124</f>
        <v>-1109.0567040041919</v>
      </c>
      <c r="Q3963">
        <f>-480.06277168974 -115.247135744841 -290.777167807909</f>
        <v>-886.08707524248996</v>
      </c>
      <c r="R3963" t="s">
        <v>75795</v>
      </c>
      <c r="S3963" t="s">
        <v>75796</v>
      </c>
      <c r="T3963" t="s">
        <v>75797</v>
      </c>
      <c r="U3963" t="s">
        <v>75798</v>
      </c>
      <c r="V3963">
        <f>-613.010743384131 -69.9959990194293 -94.2866694069005</f>
        <v>-777.29341181046084</v>
      </c>
      <c r="W3963" t="s">
        <v>75799</v>
      </c>
      <c r="X3963" t="s">
        <v>75800</v>
      </c>
      <c r="Y3963" t="s">
        <v>75801</v>
      </c>
    </row>
    <row r="3964" spans="1:25" x14ac:dyDescent="0.3">
      <c r="A3964">
        <v>198150</v>
      </c>
      <c r="B3964" t="s">
        <v>75802</v>
      </c>
      <c r="C3964" t="s">
        <v>75803</v>
      </c>
      <c r="D3964" t="s">
        <v>75804</v>
      </c>
      <c r="E3964" t="s">
        <v>75805</v>
      </c>
      <c r="F3964" t="s">
        <v>75806</v>
      </c>
      <c r="G3964" t="s">
        <v>75807</v>
      </c>
      <c r="H3964" t="s">
        <v>75808</v>
      </c>
      <c r="I3964" t="s">
        <v>75809</v>
      </c>
      <c r="J3964" t="s">
        <v>75810</v>
      </c>
      <c r="K3964" t="s">
        <v>75811</v>
      </c>
      <c r="L3964" t="s">
        <v>75812</v>
      </c>
      <c r="M3964" t="s">
        <v>75813</v>
      </c>
      <c r="N3964">
        <f>-671.981337979743 -16.5129692942799 -530.684369963929</f>
        <v>-1219.1786772379519</v>
      </c>
      <c r="O3964">
        <f>-665.070735741426 -169.570081541352 -501.332183218688</f>
        <v>-1335.973000501466</v>
      </c>
      <c r="P3964">
        <f>-683.884098574649 -203.022508622773 -221.858381822118</f>
        <v>-1108.7649890195401</v>
      </c>
      <c r="Q3964">
        <f>-480.148080494076 -115.164427815783 -290.568742381993</f>
        <v>-885.88125069185207</v>
      </c>
      <c r="R3964" t="s">
        <v>75814</v>
      </c>
      <c r="S3964" t="s">
        <v>75815</v>
      </c>
      <c r="T3964" t="s">
        <v>75816</v>
      </c>
      <c r="U3964" t="s">
        <v>75817</v>
      </c>
      <c r="V3964">
        <f>-612.849170447324 -69.8100271968433 -94.1812106810187</f>
        <v>-776.84040832518599</v>
      </c>
      <c r="W3964" t="s">
        <v>75818</v>
      </c>
      <c r="X3964" t="s">
        <v>75819</v>
      </c>
      <c r="Y3964" t="s">
        <v>75820</v>
      </c>
    </row>
    <row r="3965" spans="1:25" x14ac:dyDescent="0.3">
      <c r="A3965">
        <v>198200</v>
      </c>
      <c r="B3965" t="s">
        <v>75821</v>
      </c>
      <c r="C3965" t="s">
        <v>75822</v>
      </c>
      <c r="D3965" t="s">
        <v>75823</v>
      </c>
      <c r="E3965" t="s">
        <v>75824</v>
      </c>
      <c r="F3965" t="s">
        <v>75825</v>
      </c>
      <c r="G3965" t="s">
        <v>75826</v>
      </c>
      <c r="H3965" t="s">
        <v>75827</v>
      </c>
      <c r="I3965" t="s">
        <v>75828</v>
      </c>
      <c r="J3965" t="s">
        <v>75829</v>
      </c>
      <c r="K3965" t="s">
        <v>75830</v>
      </c>
      <c r="L3965" t="s">
        <v>75831</v>
      </c>
      <c r="M3965" t="s">
        <v>75832</v>
      </c>
      <c r="N3965">
        <f>-672.530250583991 -16.705151437289 -530.335862668298</f>
        <v>-1219.5712646895781</v>
      </c>
      <c r="O3965">
        <f>-665.450547805737 -169.712321449765 -500.745341966687</f>
        <v>-1335.908211222189</v>
      </c>
      <c r="P3965">
        <f>-684.201873327224 -202.827244097569 -221.227210375813</f>
        <v>-1108.256327800606</v>
      </c>
      <c r="Q3965">
        <f>-480.479724870185 -115.040064665619 -290.069265987946</f>
        <v>-885.58905552374995</v>
      </c>
      <c r="R3965" t="s">
        <v>75833</v>
      </c>
      <c r="S3965" t="s">
        <v>75834</v>
      </c>
      <c r="T3965" t="s">
        <v>75835</v>
      </c>
      <c r="U3965" t="s">
        <v>75836</v>
      </c>
      <c r="V3965">
        <f>-612.676142627598 -69.4443962234791 -93.9937283797765</f>
        <v>-776.11426723085356</v>
      </c>
      <c r="W3965" t="s">
        <v>75837</v>
      </c>
      <c r="X3965" t="s">
        <v>75838</v>
      </c>
      <c r="Y3965" t="s">
        <v>75839</v>
      </c>
    </row>
    <row r="3966" spans="1:25" x14ac:dyDescent="0.3">
      <c r="A3966">
        <v>198250</v>
      </c>
      <c r="B3966" t="s">
        <v>75840</v>
      </c>
      <c r="C3966" t="s">
        <v>75841</v>
      </c>
      <c r="D3966" t="s">
        <v>75842</v>
      </c>
      <c r="E3966" t="s">
        <v>75843</v>
      </c>
      <c r="F3966" t="s">
        <v>75844</v>
      </c>
      <c r="G3966" t="s">
        <v>75845</v>
      </c>
      <c r="H3966" t="s">
        <v>75846</v>
      </c>
      <c r="I3966" t="s">
        <v>75847</v>
      </c>
      <c r="J3966" t="s">
        <v>75848</v>
      </c>
      <c r="K3966" t="s">
        <v>75849</v>
      </c>
      <c r="L3966" t="s">
        <v>75850</v>
      </c>
      <c r="M3966" t="s">
        <v>75851</v>
      </c>
      <c r="N3966">
        <f>-673.216574651892 -17.1277203800644 -529.993057538794</f>
        <v>-1220.3373525707502</v>
      </c>
      <c r="O3966">
        <f>-666.014731016249 -170.085670406551 -500.198954346834</f>
        <v>-1336.2993557696341</v>
      </c>
      <c r="P3966">
        <f>-684.430654890032 -202.857912304965 -220.618069287593</f>
        <v>-1107.9066364825899</v>
      </c>
      <c r="Q3966">
        <f>-480.978022208734 -114.832267742378 -289.950995960671</f>
        <v>-885.76128591178292</v>
      </c>
      <c r="R3966" t="s">
        <v>75852</v>
      </c>
      <c r="S3966" t="s">
        <v>75853</v>
      </c>
      <c r="T3966" t="s">
        <v>75854</v>
      </c>
      <c r="U3966" t="s">
        <v>75855</v>
      </c>
      <c r="V3966">
        <f>-612.434484718557 -69.3368342706231 -93.8412588491111</f>
        <v>-775.61257783829114</v>
      </c>
      <c r="W3966" t="s">
        <v>75856</v>
      </c>
      <c r="X3966" t="s">
        <v>75857</v>
      </c>
      <c r="Y3966" t="s">
        <v>75858</v>
      </c>
    </row>
    <row r="3967" spans="1:25" x14ac:dyDescent="0.3">
      <c r="A3967">
        <v>198300</v>
      </c>
      <c r="B3967" t="s">
        <v>75859</v>
      </c>
      <c r="C3967" t="s">
        <v>75860</v>
      </c>
      <c r="D3967" t="s">
        <v>75861</v>
      </c>
      <c r="E3967" t="s">
        <v>75862</v>
      </c>
      <c r="F3967" t="s">
        <v>75863</v>
      </c>
      <c r="G3967" t="s">
        <v>75864</v>
      </c>
      <c r="H3967" t="s">
        <v>75865</v>
      </c>
      <c r="I3967" t="s">
        <v>75866</v>
      </c>
      <c r="J3967" t="s">
        <v>75867</v>
      </c>
      <c r="K3967" t="s">
        <v>75868</v>
      </c>
      <c r="L3967" t="s">
        <v>75869</v>
      </c>
      <c r="M3967" t="s">
        <v>75870</v>
      </c>
      <c r="N3967">
        <f>-673.659007138635 -17.3382406468954 -529.847345080785</f>
        <v>-1220.8445928663155</v>
      </c>
      <c r="O3967">
        <f>-666.37606059497 -170.279684139615 -499.952258257699</f>
        <v>-1336.6080029922841</v>
      </c>
      <c r="P3967">
        <f>-684.57466663313 -202.860474129092 -220.334890302968</f>
        <v>-1107.7700310651901</v>
      </c>
      <c r="Q3967">
        <f>-481.293034491396 -114.692463909221 -289.987753331585</f>
        <v>-885.97325173220202</v>
      </c>
      <c r="R3967" t="s">
        <v>75871</v>
      </c>
      <c r="S3967" t="s">
        <v>75872</v>
      </c>
      <c r="T3967" t="s">
        <v>75873</v>
      </c>
      <c r="U3967" t="s">
        <v>75874</v>
      </c>
      <c r="V3967">
        <f>-612.325827031593 -69.2801443701017 -93.7938405544808</f>
        <v>-775.39981195617543</v>
      </c>
      <c r="W3967" t="s">
        <v>75875</v>
      </c>
      <c r="X3967" t="s">
        <v>75876</v>
      </c>
      <c r="Y3967" t="s">
        <v>75877</v>
      </c>
    </row>
    <row r="3968" spans="1:25" x14ac:dyDescent="0.3">
      <c r="A3968">
        <v>198350</v>
      </c>
      <c r="B3968" t="s">
        <v>75878</v>
      </c>
      <c r="C3968" t="s">
        <v>75879</v>
      </c>
      <c r="D3968" t="s">
        <v>75880</v>
      </c>
      <c r="E3968" t="s">
        <v>75881</v>
      </c>
      <c r="F3968" t="s">
        <v>75882</v>
      </c>
      <c r="G3968" t="s">
        <v>75883</v>
      </c>
      <c r="H3968" t="s">
        <v>75884</v>
      </c>
      <c r="I3968" t="s">
        <v>75885</v>
      </c>
      <c r="J3968" t="s">
        <v>75886</v>
      </c>
      <c r="K3968" t="s">
        <v>75887</v>
      </c>
      <c r="L3968" t="s">
        <v>75888</v>
      </c>
      <c r="M3968" t="s">
        <v>75889</v>
      </c>
      <c r="N3968">
        <f>-674.141102394564 -17.459800851896 -529.710115831654</f>
        <v>-1221.311019078114</v>
      </c>
      <c r="O3968">
        <f>-666.796852647763 -170.38522972292 -499.735089764328</f>
        <v>-1336.917172135011</v>
      </c>
      <c r="P3968">
        <f>-684.741845056697 -202.655977275449 -220.065242344155</f>
        <v>-1107.463064676301</v>
      </c>
      <c r="Q3968">
        <f>-481.649723262205 -114.336308648204 -290.078063769897</f>
        <v>-886.06409568030608</v>
      </c>
      <c r="R3968" t="s">
        <v>75890</v>
      </c>
      <c r="S3968" t="s">
        <v>75891</v>
      </c>
      <c r="T3968" t="s">
        <v>75892</v>
      </c>
      <c r="U3968" t="s">
        <v>75893</v>
      </c>
      <c r="V3968">
        <f>-612.255221853997 -69.2111406432864 -93.7518077293907</f>
        <v>-775.21817022667415</v>
      </c>
      <c r="W3968" t="s">
        <v>75894</v>
      </c>
      <c r="X3968" t="s">
        <v>75895</v>
      </c>
      <c r="Y3968" t="s">
        <v>75896</v>
      </c>
    </row>
    <row r="3969" spans="1:25" x14ac:dyDescent="0.3">
      <c r="A3969">
        <v>198400</v>
      </c>
      <c r="B3969" t="s">
        <v>75897</v>
      </c>
      <c r="C3969" t="s">
        <v>75898</v>
      </c>
      <c r="D3969" t="s">
        <v>75899</v>
      </c>
      <c r="E3969" t="s">
        <v>75900</v>
      </c>
      <c r="F3969" t="s">
        <v>75901</v>
      </c>
      <c r="G3969" t="s">
        <v>75902</v>
      </c>
      <c r="H3969" t="s">
        <v>75903</v>
      </c>
      <c r="I3969" t="s">
        <v>75904</v>
      </c>
      <c r="J3969" t="s">
        <v>75905</v>
      </c>
      <c r="K3969" t="s">
        <v>75906</v>
      </c>
      <c r="L3969" t="s">
        <v>75907</v>
      </c>
      <c r="M3969" t="s">
        <v>75908</v>
      </c>
      <c r="N3969">
        <f>-674.788932024723 -17.596539878816 -529.503923748643</f>
        <v>-1221.889395652182</v>
      </c>
      <c r="O3969">
        <f>-667.28694168178 -170.494273365697 -499.441006141602</f>
        <v>-1337.2222211890789</v>
      </c>
      <c r="P3969">
        <f>-684.675303525169 -202.393240190656 -219.69338715171</f>
        <v>-1106.7619308675351</v>
      </c>
      <c r="Q3969">
        <f>-481.949191641186 -113.740903523387 -290.343113710366</f>
        <v>-886.03320887493896</v>
      </c>
      <c r="R3969" t="s">
        <v>75909</v>
      </c>
      <c r="S3969" t="s">
        <v>75910</v>
      </c>
      <c r="T3969" t="s">
        <v>75911</v>
      </c>
      <c r="U3969" t="s">
        <v>75912</v>
      </c>
      <c r="V3969">
        <f>-612.017608007529 -69.103829961577 -93.706954537255</f>
        <v>-774.82839250636107</v>
      </c>
      <c r="W3969" t="s">
        <v>75913</v>
      </c>
      <c r="X3969" t="s">
        <v>75914</v>
      </c>
      <c r="Y3969" t="s">
        <v>75915</v>
      </c>
    </row>
    <row r="3970" spans="1:25" x14ac:dyDescent="0.3">
      <c r="A3970">
        <v>198450</v>
      </c>
      <c r="B3970" t="s">
        <v>75916</v>
      </c>
      <c r="C3970" t="s">
        <v>75917</v>
      </c>
      <c r="D3970" t="s">
        <v>75918</v>
      </c>
      <c r="E3970" t="s">
        <v>75919</v>
      </c>
      <c r="F3970" t="s">
        <v>75920</v>
      </c>
      <c r="G3970" t="s">
        <v>75921</v>
      </c>
      <c r="H3970" t="s">
        <v>75922</v>
      </c>
      <c r="I3970" t="s">
        <v>75923</v>
      </c>
      <c r="J3970" t="s">
        <v>75924</v>
      </c>
      <c r="K3970" t="s">
        <v>75925</v>
      </c>
      <c r="L3970" t="s">
        <v>75926</v>
      </c>
      <c r="M3970" t="s">
        <v>75927</v>
      </c>
      <c r="N3970">
        <f>-675.199458872193 -17.6600726427253 -529.36853477513</f>
        <v>-1222.2280662900482</v>
      </c>
      <c r="O3970">
        <f>-667.477098892532 -170.546434392122 -499.291358067464</f>
        <v>-1337.3148913521181</v>
      </c>
      <c r="P3970">
        <f>-684.302547409497 -202.602768314297 -219.527311160073</f>
        <v>-1106.432626883867</v>
      </c>
      <c r="Q3970">
        <f>-481.860767483317 -113.587748735347 -290.535413314914</f>
        <v>-885.98392953357802</v>
      </c>
      <c r="R3970" t="s">
        <v>75928</v>
      </c>
      <c r="S3970" t="s">
        <v>75929</v>
      </c>
      <c r="T3970" t="s">
        <v>75930</v>
      </c>
      <c r="U3970" t="s">
        <v>75931</v>
      </c>
      <c r="V3970">
        <f>-611.850333294732 -69.0002606386577 -93.6707317627347</f>
        <v>-774.52132569612434</v>
      </c>
      <c r="W3970" t="s">
        <v>75932</v>
      </c>
      <c r="X3970" t="s">
        <v>75933</v>
      </c>
      <c r="Y3970" t="s">
        <v>75934</v>
      </c>
    </row>
    <row r="3971" spans="1:25" x14ac:dyDescent="0.3">
      <c r="A3971">
        <v>198500</v>
      </c>
      <c r="B3971" t="s">
        <v>75935</v>
      </c>
      <c r="C3971" t="s">
        <v>75936</v>
      </c>
      <c r="D3971" t="s">
        <v>75937</v>
      </c>
      <c r="E3971" t="s">
        <v>75938</v>
      </c>
      <c r="F3971" t="s">
        <v>75939</v>
      </c>
      <c r="G3971" t="s">
        <v>75940</v>
      </c>
      <c r="H3971" t="s">
        <v>75941</v>
      </c>
      <c r="I3971" t="s">
        <v>75942</v>
      </c>
      <c r="J3971" t="s">
        <v>75943</v>
      </c>
      <c r="K3971" t="s">
        <v>75944</v>
      </c>
      <c r="L3971" t="s">
        <v>75945</v>
      </c>
      <c r="M3971" t="s">
        <v>75946</v>
      </c>
      <c r="N3971">
        <f>-675.393742434187 -17.6122119122203 -529.31831828907</f>
        <v>-1222.3242726354774</v>
      </c>
      <c r="O3971">
        <f>-667.585158731904 -170.495689211446 -499.257909157497</f>
        <v>-1337.338757100847</v>
      </c>
      <c r="P3971">
        <f>-684.169814032924 -202.63857782033 -219.489411228912</f>
        <v>-1106.297803082166</v>
      </c>
      <c r="Q3971">
        <f>-481.841245749696 -113.485447166787 -290.646967547522</f>
        <v>-885.97366046400498</v>
      </c>
      <c r="R3971" t="s">
        <v>75947</v>
      </c>
      <c r="S3971" t="s">
        <v>75948</v>
      </c>
      <c r="T3971" t="s">
        <v>75949</v>
      </c>
      <c r="U3971" t="s">
        <v>75950</v>
      </c>
      <c r="V3971">
        <f>-611.775442013513 -68.9512330081093 -93.6541412686967</f>
        <v>-774.38081629031899</v>
      </c>
      <c r="W3971" t="s">
        <v>75951</v>
      </c>
      <c r="X3971" t="s">
        <v>75952</v>
      </c>
      <c r="Y3971" t="s">
        <v>75953</v>
      </c>
    </row>
    <row r="3972" spans="1:25" x14ac:dyDescent="0.3">
      <c r="A3972">
        <v>198550</v>
      </c>
      <c r="B3972" t="s">
        <v>75954</v>
      </c>
      <c r="C3972" t="s">
        <v>75955</v>
      </c>
      <c r="D3972" t="s">
        <v>75956</v>
      </c>
      <c r="E3972" t="s">
        <v>75957</v>
      </c>
      <c r="F3972" t="s">
        <v>75958</v>
      </c>
      <c r="G3972" t="s">
        <v>75959</v>
      </c>
      <c r="H3972" t="s">
        <v>75960</v>
      </c>
      <c r="I3972" t="s">
        <v>75961</v>
      </c>
      <c r="J3972" t="s">
        <v>75962</v>
      </c>
      <c r="K3972" t="s">
        <v>75963</v>
      </c>
      <c r="L3972" t="s">
        <v>75964</v>
      </c>
      <c r="M3972" t="s">
        <v>75965</v>
      </c>
      <c r="N3972">
        <f>-675.423077218953 -17.5729118258216 -529.293938610157</f>
        <v>-1222.2899276549317</v>
      </c>
      <c r="O3972">
        <f>-667.543638830622 -170.460775224618 -499.260212293134</f>
        <v>-1337.2646263483739</v>
      </c>
      <c r="P3972">
        <f>-683.970791541263 -202.584408545534 -219.480216053613</f>
        <v>-1106.03541614041</v>
      </c>
      <c r="Q3972">
        <f>-481.718826303648 -113.357502181992 -290.762987655808</f>
        <v>-885.83931614144808</v>
      </c>
      <c r="R3972" t="s">
        <v>75966</v>
      </c>
      <c r="S3972" t="s">
        <v>75967</v>
      </c>
      <c r="T3972" t="s">
        <v>75968</v>
      </c>
      <c r="U3972" t="s">
        <v>75969</v>
      </c>
      <c r="V3972">
        <f>-611.696374383264 -68.934601617829 -93.6365392994967</f>
        <v>-774.26751530058971</v>
      </c>
      <c r="W3972" t="s">
        <v>75970</v>
      </c>
      <c r="X3972" t="s">
        <v>75971</v>
      </c>
      <c r="Y3972" t="s">
        <v>75972</v>
      </c>
    </row>
    <row r="3973" spans="1:25" x14ac:dyDescent="0.3">
      <c r="A3973">
        <v>198600</v>
      </c>
      <c r="B3973" t="s">
        <v>75973</v>
      </c>
      <c r="C3973" t="s">
        <v>75974</v>
      </c>
      <c r="D3973" t="s">
        <v>75975</v>
      </c>
      <c r="E3973" t="s">
        <v>75976</v>
      </c>
      <c r="F3973" t="s">
        <v>75977</v>
      </c>
      <c r="G3973" t="s">
        <v>75978</v>
      </c>
      <c r="H3973" t="s">
        <v>75979</v>
      </c>
      <c r="I3973" t="s">
        <v>75980</v>
      </c>
      <c r="J3973" t="s">
        <v>75981</v>
      </c>
      <c r="K3973" t="s">
        <v>75982</v>
      </c>
      <c r="L3973" t="s">
        <v>75983</v>
      </c>
      <c r="M3973" t="s">
        <v>75984</v>
      </c>
      <c r="N3973">
        <f>-675.014649870048 -17.6240899613415 -529.332740927063</f>
        <v>-1221.9714807584523</v>
      </c>
      <c r="O3973">
        <f>-667.008993692025 -170.50611799825 -499.34938536099</f>
        <v>-1336.8644970512651</v>
      </c>
      <c r="P3973">
        <f>-683.379496090459 -202.701524330852 -219.574381551442</f>
        <v>-1105.655401972753</v>
      </c>
      <c r="Q3973">
        <f>-481.24178197112 -113.294560275326 -290.955301468973</f>
        <v>-885.49164371541906</v>
      </c>
      <c r="R3973" t="s">
        <v>75985</v>
      </c>
      <c r="S3973" t="s">
        <v>75986</v>
      </c>
      <c r="T3973" t="s">
        <v>75987</v>
      </c>
      <c r="U3973" t="s">
        <v>75988</v>
      </c>
      <c r="V3973">
        <f>-611.576530352735 -68.91214038053 -93.6326615034891</f>
        <v>-774.12133223675403</v>
      </c>
      <c r="W3973" t="s">
        <v>75989</v>
      </c>
      <c r="X3973" t="s">
        <v>75990</v>
      </c>
      <c r="Y3973" t="s">
        <v>75991</v>
      </c>
    </row>
    <row r="3974" spans="1:25" x14ac:dyDescent="0.3">
      <c r="A3974">
        <v>198650</v>
      </c>
      <c r="B3974" t="s">
        <v>75992</v>
      </c>
      <c r="C3974" t="s">
        <v>75993</v>
      </c>
      <c r="D3974" t="s">
        <v>75994</v>
      </c>
      <c r="E3974" t="s">
        <v>75995</v>
      </c>
      <c r="F3974" t="s">
        <v>75996</v>
      </c>
      <c r="G3974" t="s">
        <v>75997</v>
      </c>
      <c r="H3974" t="s">
        <v>75998</v>
      </c>
      <c r="I3974" t="s">
        <v>75999</v>
      </c>
      <c r="J3974" t="s">
        <v>76000</v>
      </c>
      <c r="K3974" t="s">
        <v>76001</v>
      </c>
      <c r="L3974" t="s">
        <v>76002</v>
      </c>
      <c r="M3974" t="s">
        <v>76003</v>
      </c>
      <c r="N3974">
        <f>-674.766755272512 -17.7796510086462 -529.348235151109</f>
        <v>-1221.8946414322672</v>
      </c>
      <c r="O3974">
        <f>-666.709789071423 -170.657536475047 -499.348690802131</f>
        <v>-1336.716016348601</v>
      </c>
      <c r="P3974">
        <f>-683.17914202394 -202.987776953417 -219.59516515817</f>
        <v>-1105.7620841355269</v>
      </c>
      <c r="Q3974">
        <f>-481.096787353275 -113.417783606232 -290.928525033411</f>
        <v>-885.44309599291796</v>
      </c>
      <c r="R3974" t="s">
        <v>76004</v>
      </c>
      <c r="S3974" t="s">
        <v>76005</v>
      </c>
      <c r="T3974" t="s">
        <v>76006</v>
      </c>
      <c r="U3974" t="s">
        <v>76007</v>
      </c>
      <c r="V3974">
        <f>-611.589059371484 -68.9278158025054 -93.6404548086167</f>
        <v>-774.15732998260614</v>
      </c>
      <c r="W3974" t="s">
        <v>76008</v>
      </c>
      <c r="X3974" t="s">
        <v>76009</v>
      </c>
      <c r="Y3974" t="s">
        <v>76010</v>
      </c>
    </row>
    <row r="3975" spans="1:25" x14ac:dyDescent="0.3">
      <c r="A3975">
        <v>198700</v>
      </c>
      <c r="B3975" t="s">
        <v>76011</v>
      </c>
      <c r="C3975" t="s">
        <v>76012</v>
      </c>
      <c r="D3975" t="s">
        <v>76013</v>
      </c>
      <c r="E3975" t="s">
        <v>76014</v>
      </c>
      <c r="F3975" t="s">
        <v>76015</v>
      </c>
      <c r="G3975" t="s">
        <v>76016</v>
      </c>
      <c r="H3975" t="s">
        <v>76017</v>
      </c>
      <c r="I3975" t="s">
        <v>76018</v>
      </c>
      <c r="J3975" t="s">
        <v>76019</v>
      </c>
      <c r="K3975" t="s">
        <v>76020</v>
      </c>
      <c r="L3975" t="s">
        <v>76021</v>
      </c>
      <c r="M3975" t="s">
        <v>76022</v>
      </c>
      <c r="N3975">
        <f>-674.213839414306 -18.1368996118485 -529.441062094862</f>
        <v>-1221.7918011210165</v>
      </c>
      <c r="O3975">
        <f>-666.165167801523 -171.003072699896 -499.369060410156</f>
        <v>-1336.5373009115749</v>
      </c>
      <c r="P3975">
        <f>-682.819474572198 -203.269564635473 -219.618936582854</f>
        <v>-1105.7079757905251</v>
      </c>
      <c r="Q3975">
        <f>-480.744325975518 -113.673072849971 -290.939862523644</f>
        <v>-885.35726134913307</v>
      </c>
      <c r="R3975" t="s">
        <v>76023</v>
      </c>
      <c r="S3975" t="s">
        <v>76024</v>
      </c>
      <c r="T3975" t="s">
        <v>76025</v>
      </c>
      <c r="U3975" t="s">
        <v>76026</v>
      </c>
      <c r="V3975">
        <f>-611.592863692885 -69.0855610552237 -93.7011658903635</f>
        <v>-774.37959063847222</v>
      </c>
      <c r="W3975" t="s">
        <v>76027</v>
      </c>
      <c r="X3975" t="s">
        <v>76028</v>
      </c>
      <c r="Y3975" t="s">
        <v>76029</v>
      </c>
    </row>
    <row r="3976" spans="1:25" x14ac:dyDescent="0.3">
      <c r="A3976">
        <v>198750</v>
      </c>
      <c r="B3976" t="s">
        <v>76030</v>
      </c>
      <c r="C3976" t="s">
        <v>76031</v>
      </c>
      <c r="D3976" t="s">
        <v>76032</v>
      </c>
      <c r="E3976" t="s">
        <v>76033</v>
      </c>
      <c r="F3976" t="s">
        <v>76034</v>
      </c>
      <c r="G3976" t="s">
        <v>76035</v>
      </c>
      <c r="H3976" t="s">
        <v>76036</v>
      </c>
      <c r="I3976" t="s">
        <v>76037</v>
      </c>
      <c r="J3976" t="s">
        <v>76038</v>
      </c>
      <c r="K3976" t="s">
        <v>76039</v>
      </c>
      <c r="L3976" t="s">
        <v>76040</v>
      </c>
      <c r="M3976" t="s">
        <v>76041</v>
      </c>
      <c r="N3976">
        <f>-673.964129890306 -18.2589141429503 -529.538566970907</f>
        <v>-1221.7616110041633</v>
      </c>
      <c r="O3976">
        <f>-665.969159338468 -171.123175048739 -499.424049192739</f>
        <v>-1336.516383579946</v>
      </c>
      <c r="P3976">
        <f>-682.712733471833 -203.227626918669 -219.66058888352</f>
        <v>-1105.600949274022</v>
      </c>
      <c r="Q3976">
        <f>-480.578428200757 -113.755401300345 -290.969674170756</f>
        <v>-885.30350367185792</v>
      </c>
      <c r="R3976" t="s">
        <v>76042</v>
      </c>
      <c r="S3976" t="s">
        <v>76043</v>
      </c>
      <c r="T3976" t="s">
        <v>76044</v>
      </c>
      <c r="U3976" t="s">
        <v>76045</v>
      </c>
      <c r="V3976">
        <f>-611.698760869364 -69.1373506180344 -93.7673718082777</f>
        <v>-774.60348329567614</v>
      </c>
      <c r="W3976" t="s">
        <v>76046</v>
      </c>
      <c r="X3976" t="s">
        <v>76047</v>
      </c>
      <c r="Y3976" t="s">
        <v>76048</v>
      </c>
    </row>
    <row r="3977" spans="1:25" x14ac:dyDescent="0.3">
      <c r="A3977">
        <v>198800</v>
      </c>
      <c r="B3977" t="s">
        <v>76049</v>
      </c>
      <c r="C3977" t="s">
        <v>76050</v>
      </c>
      <c r="D3977" t="s">
        <v>76051</v>
      </c>
      <c r="E3977" t="s">
        <v>76052</v>
      </c>
      <c r="F3977" t="s">
        <v>76053</v>
      </c>
      <c r="G3977" t="s">
        <v>76054</v>
      </c>
      <c r="H3977" t="s">
        <v>76055</v>
      </c>
      <c r="I3977" t="s">
        <v>76056</v>
      </c>
      <c r="J3977" t="s">
        <v>76057</v>
      </c>
      <c r="K3977" t="s">
        <v>76058</v>
      </c>
      <c r="L3977" t="s">
        <v>76059</v>
      </c>
      <c r="M3977" t="s">
        <v>76060</v>
      </c>
      <c r="N3977">
        <f>-673.51588483033 -18.5434555588722 -529.77282989984</f>
        <v>-1221.8321702890421</v>
      </c>
      <c r="O3977">
        <f>-665.623130746927 -171.395006302628 -499.585040904022</f>
        <v>-1336.603177953577</v>
      </c>
      <c r="P3977">
        <f>-682.609478031278 -203.366813849909 -219.821100705027</f>
        <v>-1105.7973925862138</v>
      </c>
      <c r="Q3977">
        <f>-480.297861476871 -114.156948740419 -290.955746556584</f>
        <v>-885.41055677387396</v>
      </c>
      <c r="R3977" t="s">
        <v>76061</v>
      </c>
      <c r="S3977" t="s">
        <v>76062</v>
      </c>
      <c r="T3977" t="s">
        <v>76063</v>
      </c>
      <c r="U3977" t="s">
        <v>76064</v>
      </c>
      <c r="V3977">
        <f>-612.001238955884 -69.31651832632 -93.9463300948428</f>
        <v>-775.26408737704674</v>
      </c>
      <c r="W3977" t="s">
        <v>76065</v>
      </c>
      <c r="X3977" t="s">
        <v>76066</v>
      </c>
      <c r="Y3977" t="s">
        <v>76067</v>
      </c>
    </row>
    <row r="3978" spans="1:25" x14ac:dyDescent="0.3">
      <c r="A3978">
        <v>198850</v>
      </c>
      <c r="B3978" t="s">
        <v>76068</v>
      </c>
      <c r="C3978" t="s">
        <v>76069</v>
      </c>
      <c r="D3978" t="s">
        <v>76070</v>
      </c>
      <c r="E3978" t="s">
        <v>76071</v>
      </c>
      <c r="F3978" t="s">
        <v>76072</v>
      </c>
      <c r="G3978" t="s">
        <v>76073</v>
      </c>
      <c r="H3978" t="s">
        <v>76074</v>
      </c>
      <c r="I3978" t="s">
        <v>76075</v>
      </c>
      <c r="J3978" t="s">
        <v>76076</v>
      </c>
      <c r="K3978" t="s">
        <v>76077</v>
      </c>
      <c r="L3978" t="s">
        <v>76078</v>
      </c>
      <c r="M3978" t="s">
        <v>76079</v>
      </c>
      <c r="N3978">
        <f>-673.234624366437 -18.7254148808304 -529.894654453461</f>
        <v>-1221.8546937007284</v>
      </c>
      <c r="O3978">
        <f>-665.418876842587 -171.580729060736 -499.703105334608</f>
        <v>-1336.702711237931</v>
      </c>
      <c r="P3978">
        <f>-682.496815099841 -203.599623785891 -219.950087863102</f>
        <v>-1106.0465267488339</v>
      </c>
      <c r="Q3978">
        <f>-480.088481848004 -114.516773048962 -290.968573890299</f>
        <v>-885.57382878726503</v>
      </c>
      <c r="R3978" t="s">
        <v>76080</v>
      </c>
      <c r="S3978" t="s">
        <v>76081</v>
      </c>
      <c r="T3978" t="s">
        <v>76082</v>
      </c>
      <c r="U3978" t="s">
        <v>76083</v>
      </c>
      <c r="V3978">
        <f>-612.047238778176 -69.4942664986309 -94.0321415725658</f>
        <v>-775.57364684937272</v>
      </c>
      <c r="W3978" t="s">
        <v>76084</v>
      </c>
      <c r="X3978" t="s">
        <v>76085</v>
      </c>
      <c r="Y3978" t="s">
        <v>76086</v>
      </c>
    </row>
    <row r="3979" spans="1:25" x14ac:dyDescent="0.3">
      <c r="A3979">
        <v>198900</v>
      </c>
      <c r="B3979" t="s">
        <v>76087</v>
      </c>
      <c r="C3979" t="s">
        <v>76088</v>
      </c>
      <c r="D3979" t="s">
        <v>76089</v>
      </c>
      <c r="E3979" t="s">
        <v>76090</v>
      </c>
      <c r="F3979" t="s">
        <v>76091</v>
      </c>
      <c r="G3979" t="s">
        <v>76092</v>
      </c>
      <c r="H3979" t="s">
        <v>76093</v>
      </c>
      <c r="I3979" t="s">
        <v>76094</v>
      </c>
      <c r="J3979" t="s">
        <v>76095</v>
      </c>
      <c r="K3979" t="s">
        <v>76096</v>
      </c>
      <c r="L3979" t="s">
        <v>76097</v>
      </c>
      <c r="M3979" t="s">
        <v>76098</v>
      </c>
      <c r="N3979">
        <f>-672.611199394032 -19.0294943661395 -530.108903591837</f>
        <v>-1221.7495973520085</v>
      </c>
      <c r="O3979">
        <f>-664.922910975396 -171.893070034975 -499.936402199714</f>
        <v>-1336.7523832100851</v>
      </c>
      <c r="P3979">
        <f>-682.214543462621 -203.925579686823 -220.198188866365</f>
        <v>-1106.3383120158089</v>
      </c>
      <c r="Q3979">
        <f>-479.558634795856 -115.261687108982 -291.034636527641</f>
        <v>-885.85495843247895</v>
      </c>
      <c r="R3979" t="s">
        <v>76099</v>
      </c>
      <c r="S3979" t="s">
        <v>76100</v>
      </c>
      <c r="T3979" t="s">
        <v>76101</v>
      </c>
      <c r="U3979" t="s">
        <v>76102</v>
      </c>
      <c r="V3979">
        <f>-611.876808948893 -69.8120332387136 -94.1475722481744</f>
        <v>-775.83641443578097</v>
      </c>
      <c r="W3979" t="s">
        <v>76103</v>
      </c>
      <c r="X3979" t="s">
        <v>76104</v>
      </c>
      <c r="Y3979" t="s">
        <v>76105</v>
      </c>
    </row>
    <row r="3980" spans="1:25" x14ac:dyDescent="0.3">
      <c r="A3980">
        <v>198950</v>
      </c>
      <c r="B3980" t="s">
        <v>76106</v>
      </c>
      <c r="C3980" t="s">
        <v>76107</v>
      </c>
      <c r="D3980" t="s">
        <v>76108</v>
      </c>
      <c r="E3980" t="s">
        <v>76109</v>
      </c>
      <c r="F3980" t="s">
        <v>76110</v>
      </c>
      <c r="G3980" t="s">
        <v>76111</v>
      </c>
      <c r="H3980" t="s">
        <v>76112</v>
      </c>
      <c r="I3980" t="s">
        <v>76113</v>
      </c>
      <c r="J3980" t="s">
        <v>76114</v>
      </c>
      <c r="K3980" t="s">
        <v>76115</v>
      </c>
      <c r="L3980" t="s">
        <v>76116</v>
      </c>
      <c r="M3980" t="s">
        <v>76117</v>
      </c>
      <c r="N3980">
        <f>-672.357662270787 -19.1026685964764 -530.1792663031</f>
        <v>-1221.6395971703635</v>
      </c>
      <c r="O3980">
        <f>-664.708008730605 -171.971114851774 -500.024234090477</f>
        <v>-1336.7033576728561</v>
      </c>
      <c r="P3980">
        <f>-682.029572701674 -203.98458981529 -220.2855617368</f>
        <v>-1106.299724253764</v>
      </c>
      <c r="Q3980">
        <f>-479.238403293011 -115.546981241069 -291.017724210365</f>
        <v>-885.8031087444449</v>
      </c>
      <c r="R3980" t="s">
        <v>76118</v>
      </c>
      <c r="S3980" t="s">
        <v>76119</v>
      </c>
      <c r="T3980" t="s">
        <v>76120</v>
      </c>
      <c r="U3980" t="s">
        <v>76121</v>
      </c>
      <c r="V3980">
        <f>-611.680556684242 -69.949056192215 -94.1853565711613</f>
        <v>-775.8149694476183</v>
      </c>
      <c r="W3980" t="s">
        <v>76122</v>
      </c>
      <c r="X3980" t="s">
        <v>76123</v>
      </c>
      <c r="Y3980" t="s">
        <v>76124</v>
      </c>
    </row>
    <row r="3981" spans="1:25" x14ac:dyDescent="0.3">
      <c r="A3981">
        <v>199000</v>
      </c>
      <c r="B3981" t="s">
        <v>76125</v>
      </c>
      <c r="C3981" t="s">
        <v>76126</v>
      </c>
      <c r="D3981" t="s">
        <v>76127</v>
      </c>
      <c r="E3981" t="s">
        <v>76128</v>
      </c>
      <c r="F3981" t="s">
        <v>76129</v>
      </c>
      <c r="G3981" t="s">
        <v>76130</v>
      </c>
      <c r="H3981" t="s">
        <v>76131</v>
      </c>
      <c r="I3981" t="s">
        <v>76132</v>
      </c>
      <c r="J3981" t="s">
        <v>76133</v>
      </c>
      <c r="K3981" t="s">
        <v>76134</v>
      </c>
      <c r="L3981" t="s">
        <v>76135</v>
      </c>
      <c r="M3981" t="s">
        <v>76136</v>
      </c>
      <c r="N3981">
        <f>-672.042913329451 -19.2394403897679 -530.255469140022</f>
        <v>-1221.5378228592408</v>
      </c>
      <c r="O3981">
        <f>-664.41791892951 -172.106622557532 -500.093863620636</f>
        <v>-1336.618405107678</v>
      </c>
      <c r="P3981">
        <f>-681.597924188036 -203.944640664437 -220.326544808645</f>
        <v>-1105.869109661118</v>
      </c>
      <c r="Q3981">
        <f>-478.582147240981 -115.933737345234 -290.946542310262</f>
        <v>-885.46242689647693</v>
      </c>
      <c r="R3981" t="s">
        <v>76137</v>
      </c>
      <c r="S3981" t="s">
        <v>76138</v>
      </c>
      <c r="T3981" t="s">
        <v>76139</v>
      </c>
      <c r="U3981" t="s">
        <v>76140</v>
      </c>
      <c r="V3981">
        <f>-611.281670747032 -70.0651542185233 -94.2311598744025</f>
        <v>-775.57798483995771</v>
      </c>
      <c r="W3981" t="s">
        <v>76141</v>
      </c>
      <c r="X3981" t="s">
        <v>76142</v>
      </c>
      <c r="Y3981" t="s">
        <v>76143</v>
      </c>
    </row>
    <row r="3982" spans="1:25" x14ac:dyDescent="0.3">
      <c r="A3982">
        <v>199050</v>
      </c>
      <c r="B3982" t="s">
        <v>76144</v>
      </c>
      <c r="C3982" t="s">
        <v>76145</v>
      </c>
      <c r="D3982" t="s">
        <v>76146</v>
      </c>
      <c r="E3982" t="s">
        <v>76147</v>
      </c>
      <c r="F3982" t="s">
        <v>76148</v>
      </c>
      <c r="G3982" t="s">
        <v>76149</v>
      </c>
      <c r="H3982" t="s">
        <v>76150</v>
      </c>
      <c r="I3982" t="s">
        <v>76151</v>
      </c>
      <c r="J3982" t="s">
        <v>76152</v>
      </c>
      <c r="K3982" t="s">
        <v>76153</v>
      </c>
      <c r="L3982" t="s">
        <v>76154</v>
      </c>
      <c r="M3982" t="s">
        <v>76155</v>
      </c>
      <c r="N3982">
        <f>-671.922702617326 -19.279524241156 -530.25270418815</f>
        <v>-1221.4549310466318</v>
      </c>
      <c r="O3982">
        <f>-664.261129178602 -172.146562683808 -500.073197897705</f>
        <v>-1336.4808897601151</v>
      </c>
      <c r="P3982">
        <f>-681.345556553541 -203.908234894606 -220.291289237719</f>
        <v>-1105.545080685866</v>
      </c>
      <c r="Q3982">
        <f>-478.243518613134 -116.056023083174 -290.861065714297</f>
        <v>-885.16060741060505</v>
      </c>
      <c r="R3982" t="s">
        <v>76156</v>
      </c>
      <c r="S3982" t="s">
        <v>76157</v>
      </c>
      <c r="T3982" t="s">
        <v>76158</v>
      </c>
      <c r="U3982" t="s">
        <v>76159</v>
      </c>
      <c r="V3982">
        <f>-611.088544791322 -70.0447675944972 -94.2364509577062</f>
        <v>-775.36976334352539</v>
      </c>
      <c r="W3982" t="s">
        <v>76160</v>
      </c>
      <c r="X3982" t="s">
        <v>76161</v>
      </c>
      <c r="Y3982" t="s">
        <v>76162</v>
      </c>
    </row>
    <row r="3983" spans="1:25" x14ac:dyDescent="0.3">
      <c r="A3983">
        <v>199100</v>
      </c>
      <c r="B3983" t="s">
        <v>76163</v>
      </c>
      <c r="C3983" t="s">
        <v>76164</v>
      </c>
      <c r="D3983" t="s">
        <v>76165</v>
      </c>
      <c r="E3983" t="s">
        <v>76166</v>
      </c>
      <c r="F3983" t="s">
        <v>76167</v>
      </c>
      <c r="G3983" t="s">
        <v>76168</v>
      </c>
      <c r="H3983" t="s">
        <v>76169</v>
      </c>
      <c r="I3983" t="s">
        <v>76170</v>
      </c>
      <c r="J3983" t="s">
        <v>76171</v>
      </c>
      <c r="K3983" t="s">
        <v>76172</v>
      </c>
      <c r="L3983" t="s">
        <v>76173</v>
      </c>
      <c r="M3983" t="s">
        <v>76174</v>
      </c>
      <c r="N3983">
        <f>-671.644350375622 -19.1665029984295 -530.269343762324</f>
        <v>-1221.0801971363753</v>
      </c>
      <c r="O3983">
        <f>-663.939809989168 -172.024787769217 -500.055753460359</f>
        <v>-1336.0203512187441</v>
      </c>
      <c r="P3983">
        <f>-680.731143152062 -203.55419448006 -220.229765402364</f>
        <v>-1104.5151030344859</v>
      </c>
      <c r="Q3983">
        <f>-477.549926411519 -115.834585637352 -290.736636879289</f>
        <v>-884.12114892815998</v>
      </c>
      <c r="R3983" t="s">
        <v>76175</v>
      </c>
      <c r="S3983" t="s">
        <v>76176</v>
      </c>
      <c r="T3983" t="s">
        <v>76177</v>
      </c>
      <c r="U3983" t="s">
        <v>76178</v>
      </c>
      <c r="V3983">
        <f>-610.692525629958 -69.9556628517321 -94.2390852547804</f>
        <v>-774.88727373647055</v>
      </c>
      <c r="W3983" t="s">
        <v>76179</v>
      </c>
      <c r="X3983" t="s">
        <v>76180</v>
      </c>
      <c r="Y3983" t="s">
        <v>76181</v>
      </c>
    </row>
    <row r="3984" spans="1:25" x14ac:dyDescent="0.3">
      <c r="A3984">
        <v>199150</v>
      </c>
      <c r="B3984" t="s">
        <v>76182</v>
      </c>
      <c r="C3984" t="s">
        <v>76183</v>
      </c>
      <c r="D3984" t="s">
        <v>76184</v>
      </c>
      <c r="E3984" t="s">
        <v>76185</v>
      </c>
      <c r="F3984" t="s">
        <v>76186</v>
      </c>
      <c r="G3984" t="s">
        <v>76187</v>
      </c>
      <c r="H3984" t="s">
        <v>76188</v>
      </c>
      <c r="I3984" t="s">
        <v>76189</v>
      </c>
      <c r="J3984" t="s">
        <v>76190</v>
      </c>
      <c r="K3984" t="s">
        <v>76191</v>
      </c>
      <c r="L3984" t="s">
        <v>76192</v>
      </c>
      <c r="M3984" t="s">
        <v>76193</v>
      </c>
      <c r="N3984">
        <f>-671.435781646709 -19.1719699405385 -530.271855326326</f>
        <v>-1220.8796069135733</v>
      </c>
      <c r="O3984">
        <f>-663.627424433231 -172.012479852654 -500.035813253531</f>
        <v>-1335.6757175394159</v>
      </c>
      <c r="P3984">
        <f>-680.389345281073 -203.48917233022 -220.20212095035</f>
        <v>-1104.0806385616429</v>
      </c>
      <c r="Q3984">
        <f>-477.207341043383 -115.776370312004 -290.714962832726</f>
        <v>-883.69867418811293</v>
      </c>
      <c r="R3984" t="s">
        <v>76194</v>
      </c>
      <c r="S3984" t="s">
        <v>76195</v>
      </c>
      <c r="T3984" t="s">
        <v>76196</v>
      </c>
      <c r="U3984" t="s">
        <v>76197</v>
      </c>
      <c r="V3984">
        <f>-610.488725323413 -69.8894781972613 -94.2283343609643</f>
        <v>-774.60653788163847</v>
      </c>
      <c r="W3984" t="s">
        <v>76198</v>
      </c>
      <c r="X3984" t="s">
        <v>76199</v>
      </c>
      <c r="Y3984" t="s">
        <v>76200</v>
      </c>
    </row>
    <row r="3985" spans="1:25" x14ac:dyDescent="0.3">
      <c r="A3985">
        <v>199200</v>
      </c>
      <c r="B3985" t="s">
        <v>76201</v>
      </c>
      <c r="C3985" t="s">
        <v>76202</v>
      </c>
      <c r="D3985" t="s">
        <v>76203</v>
      </c>
      <c r="E3985" t="s">
        <v>76204</v>
      </c>
      <c r="F3985" t="s">
        <v>76205</v>
      </c>
      <c r="G3985" t="s">
        <v>76206</v>
      </c>
      <c r="H3985" t="s">
        <v>76207</v>
      </c>
      <c r="I3985" t="s">
        <v>76208</v>
      </c>
      <c r="J3985" t="s">
        <v>76209</v>
      </c>
      <c r="K3985" t="s">
        <v>76210</v>
      </c>
      <c r="L3985" t="s">
        <v>76211</v>
      </c>
      <c r="M3985" t="s">
        <v>76212</v>
      </c>
      <c r="N3985">
        <f>-670.947405456196 -19.2605268294658 -530.253036531642</f>
        <v>-1220.4609688173036</v>
      </c>
      <c r="O3985">
        <f>-662.892687836126 -172.092286266953 -499.996737404412</f>
        <v>-1334.9817115074911</v>
      </c>
      <c r="P3985">
        <f>-679.580736906741 -203.514262903689 -220.152666902902</f>
        <v>-1103.2476667133319</v>
      </c>
      <c r="Q3985">
        <f>-476.425675828526 -115.712386129457 -290.63228674894</f>
        <v>-882.77034870692296</v>
      </c>
      <c r="R3985" t="s">
        <v>76213</v>
      </c>
      <c r="S3985" t="s">
        <v>76214</v>
      </c>
      <c r="T3985" t="s">
        <v>76215</v>
      </c>
      <c r="U3985" t="s">
        <v>76216</v>
      </c>
      <c r="V3985">
        <f>-610.00052497367 -69.8631024954343 -94.1906891148374</f>
        <v>-774.05431658394173</v>
      </c>
      <c r="W3985" t="s">
        <v>76217</v>
      </c>
      <c r="X3985" t="s">
        <v>76218</v>
      </c>
      <c r="Y3985" t="s">
        <v>76219</v>
      </c>
    </row>
    <row r="3986" spans="1:25" x14ac:dyDescent="0.3">
      <c r="A3986">
        <v>199250</v>
      </c>
      <c r="B3986" t="s">
        <v>76220</v>
      </c>
      <c r="C3986" t="s">
        <v>76221</v>
      </c>
      <c r="D3986" t="s">
        <v>76222</v>
      </c>
      <c r="E3986" t="s">
        <v>76223</v>
      </c>
      <c r="F3986" t="s">
        <v>76224</v>
      </c>
      <c r="G3986" t="s">
        <v>76225</v>
      </c>
      <c r="H3986" t="s">
        <v>76226</v>
      </c>
      <c r="I3986" t="s">
        <v>76227</v>
      </c>
      <c r="J3986" t="s">
        <v>76228</v>
      </c>
      <c r="K3986" t="s">
        <v>76229</v>
      </c>
      <c r="L3986" t="s">
        <v>76230</v>
      </c>
      <c r="M3986" t="s">
        <v>76231</v>
      </c>
      <c r="N3986">
        <f>-670.781839645166 -19.2394852296579 -530.231600360074</f>
        <v>-1220.2529252348979</v>
      </c>
      <c r="O3986">
        <f>-662.588463275412 -172.052425713874 -499.945784094964</f>
        <v>-1334.5866730842499</v>
      </c>
      <c r="P3986">
        <f>-679.236574772025 -203.421843394772 -220.093395886958</f>
        <v>-1102.751814053755</v>
      </c>
      <c r="Q3986">
        <f>-476.090364607567 -115.581564218109 -290.55079607075</f>
        <v>-882.22272489642592</v>
      </c>
      <c r="R3986" t="s">
        <v>76232</v>
      </c>
      <c r="S3986" t="s">
        <v>76233</v>
      </c>
      <c r="T3986" t="s">
        <v>76234</v>
      </c>
      <c r="U3986" t="s">
        <v>76235</v>
      </c>
      <c r="V3986">
        <f>-609.804986662793 -69.8175042296568 -94.1645463187825</f>
        <v>-773.78703721123236</v>
      </c>
      <c r="W3986" t="s">
        <v>76236</v>
      </c>
      <c r="X3986" t="s">
        <v>76237</v>
      </c>
      <c r="Y3986" t="s">
        <v>76238</v>
      </c>
    </row>
    <row r="3987" spans="1:25" x14ac:dyDescent="0.3">
      <c r="A3987">
        <v>199300</v>
      </c>
      <c r="B3987" t="s">
        <v>76239</v>
      </c>
      <c r="C3987" t="s">
        <v>76240</v>
      </c>
      <c r="D3987" t="s">
        <v>76241</v>
      </c>
      <c r="E3987" t="s">
        <v>76242</v>
      </c>
      <c r="F3987" t="s">
        <v>76243</v>
      </c>
      <c r="G3987" t="s">
        <v>76244</v>
      </c>
      <c r="H3987" t="s">
        <v>76245</v>
      </c>
      <c r="I3987" t="s">
        <v>76246</v>
      </c>
      <c r="J3987" t="s">
        <v>76247</v>
      </c>
      <c r="K3987" t="s">
        <v>76248</v>
      </c>
      <c r="L3987" t="s">
        <v>76249</v>
      </c>
      <c r="M3987" t="s">
        <v>76250</v>
      </c>
      <c r="N3987">
        <f>-670.439198060164 -19.17045895264 -530.202494784028</f>
        <v>-1219.812151796832</v>
      </c>
      <c r="O3987">
        <f>-661.952619063269 -171.981011162332 -499.949341200303</f>
        <v>-1333.8829714259041</v>
      </c>
      <c r="P3987">
        <f>-678.636193904021 -203.205511480535 -220.082879292296</f>
        <v>-1101.924584676852</v>
      </c>
      <c r="Q3987">
        <f>-475.471668388498 -115.259279831661 -290.355224827422</f>
        <v>-881.08617304758104</v>
      </c>
      <c r="R3987" t="s">
        <v>76251</v>
      </c>
      <c r="S3987" t="s">
        <v>76252</v>
      </c>
      <c r="T3987" t="s">
        <v>76253</v>
      </c>
      <c r="U3987" t="s">
        <v>76254</v>
      </c>
      <c r="V3987">
        <f>-609.490091345639 -69.8614954741201 -94.0943247778217</f>
        <v>-773.4459115975809</v>
      </c>
      <c r="W3987" t="s">
        <v>76255</v>
      </c>
      <c r="X3987" t="s">
        <v>76256</v>
      </c>
      <c r="Y3987" t="s">
        <v>76257</v>
      </c>
    </row>
    <row r="3988" spans="1:25" x14ac:dyDescent="0.3">
      <c r="A3988">
        <v>199350</v>
      </c>
      <c r="B3988" t="s">
        <v>76258</v>
      </c>
      <c r="C3988" t="s">
        <v>76259</v>
      </c>
      <c r="D3988" t="s">
        <v>76260</v>
      </c>
      <c r="E3988" t="s">
        <v>76261</v>
      </c>
      <c r="F3988" t="s">
        <v>76262</v>
      </c>
      <c r="G3988" t="s">
        <v>76263</v>
      </c>
      <c r="H3988" t="s">
        <v>76264</v>
      </c>
      <c r="I3988" t="s">
        <v>76265</v>
      </c>
      <c r="J3988" t="s">
        <v>76266</v>
      </c>
      <c r="K3988" t="s">
        <v>76267</v>
      </c>
      <c r="L3988" t="s">
        <v>76268</v>
      </c>
      <c r="M3988" t="s">
        <v>76269</v>
      </c>
      <c r="N3988">
        <f>-670.082222189693 -19.1487485809716 -530.20767880929</f>
        <v>-1219.4386495799545</v>
      </c>
      <c r="O3988">
        <f>-661.460182006314 -171.958389807187 -500.016828140023</f>
        <v>-1333.435399953524</v>
      </c>
      <c r="P3988">
        <f>-678.166087104546 -203.223365578448 -220.156173094278</f>
        <v>-1101.5456257772721</v>
      </c>
      <c r="Q3988">
        <f>-474.989501904655 -115.165995930582 -290.253635199737</f>
        <v>-880.40913303497405</v>
      </c>
      <c r="R3988" t="s">
        <v>76270</v>
      </c>
      <c r="S3988" t="s">
        <v>76271</v>
      </c>
      <c r="T3988" t="s">
        <v>76272</v>
      </c>
      <c r="U3988" t="s">
        <v>76273</v>
      </c>
      <c r="V3988">
        <f>-609.395069346448 -69.9461271858065 -94.0518992708692</f>
        <v>-773.39309580312374</v>
      </c>
      <c r="W3988" t="s">
        <v>76274</v>
      </c>
      <c r="X3988" t="s">
        <v>76275</v>
      </c>
      <c r="Y3988" t="s">
        <v>76276</v>
      </c>
    </row>
    <row r="3989" spans="1:25" x14ac:dyDescent="0.3">
      <c r="A3989">
        <v>199400</v>
      </c>
      <c r="B3989" t="s">
        <v>76277</v>
      </c>
      <c r="C3989" t="s">
        <v>76278</v>
      </c>
      <c r="D3989" t="s">
        <v>76279</v>
      </c>
      <c r="E3989" t="s">
        <v>76280</v>
      </c>
      <c r="F3989" t="s">
        <v>76281</v>
      </c>
      <c r="G3989" t="s">
        <v>76282</v>
      </c>
      <c r="H3989" t="s">
        <v>76283</v>
      </c>
      <c r="I3989" t="s">
        <v>76284</v>
      </c>
      <c r="J3989" t="s">
        <v>76285</v>
      </c>
      <c r="K3989" t="s">
        <v>76286</v>
      </c>
      <c r="L3989" t="s">
        <v>76287</v>
      </c>
      <c r="M3989" t="s">
        <v>76288</v>
      </c>
      <c r="N3989">
        <f>-669.399660337391 -19.1915611302065 -530.170004389164</f>
        <v>-1218.7612258567615</v>
      </c>
      <c r="O3989">
        <f>-660.504878284116 -172.008274573436 -500.080391579701</f>
        <v>-1332.5935444372531</v>
      </c>
      <c r="P3989">
        <f>-677.318948908283 -203.640050627146 -220.267482232357</f>
        <v>-1101.226481767786</v>
      </c>
      <c r="Q3989">
        <f>-474.157609831056 -115.268759384733 -290.013473417459</f>
        <v>-879.43984263324796</v>
      </c>
      <c r="R3989" t="s">
        <v>76289</v>
      </c>
      <c r="S3989" t="s">
        <v>76290</v>
      </c>
      <c r="T3989" t="s">
        <v>76291</v>
      </c>
      <c r="U3989" t="s">
        <v>76292</v>
      </c>
      <c r="V3989">
        <f>-609.217805064837 -70.022006576372 -93.9534254955709</f>
        <v>-773.19323713677977</v>
      </c>
      <c r="W3989" t="s">
        <v>76293</v>
      </c>
      <c r="X3989" t="s">
        <v>76294</v>
      </c>
      <c r="Y3989" t="s">
        <v>76295</v>
      </c>
    </row>
    <row r="3990" spans="1:25" x14ac:dyDescent="0.3">
      <c r="A3990">
        <v>199450</v>
      </c>
      <c r="B3990" t="s">
        <v>76296</v>
      </c>
      <c r="C3990" t="s">
        <v>76297</v>
      </c>
      <c r="D3990" t="s">
        <v>76298</v>
      </c>
      <c r="E3990" t="s">
        <v>76299</v>
      </c>
      <c r="F3990" t="s">
        <v>76300</v>
      </c>
      <c r="G3990" t="s">
        <v>76301</v>
      </c>
      <c r="H3990" t="s">
        <v>76302</v>
      </c>
      <c r="I3990" t="s">
        <v>76303</v>
      </c>
      <c r="J3990" t="s">
        <v>76304</v>
      </c>
      <c r="K3990" t="s">
        <v>76305</v>
      </c>
      <c r="L3990" t="s">
        <v>76306</v>
      </c>
      <c r="M3990" t="s">
        <v>76307</v>
      </c>
      <c r="N3990">
        <f>-669.120304829994 -19.2200053794661 -530.148403905</f>
        <v>-1218.48871411446</v>
      </c>
      <c r="O3990">
        <f>-660.129514844796 -172.039045568302 -500.113160773998</f>
        <v>-1332.2817211870959</v>
      </c>
      <c r="P3990">
        <f>-676.954217509897 -203.773037859805 -220.312412875569</f>
        <v>-1101.0396682452711</v>
      </c>
      <c r="Q3990">
        <f>-473.759847318529 -115.314129577456 -289.850934675646</f>
        <v>-878.9249115716309</v>
      </c>
      <c r="R3990" t="s">
        <v>76308</v>
      </c>
      <c r="S3990" t="s">
        <v>76309</v>
      </c>
      <c r="T3990" t="s">
        <v>76310</v>
      </c>
      <c r="U3990" t="s">
        <v>76311</v>
      </c>
      <c r="V3990">
        <f>-609.154517302958 -70.1207854769568 -93.8986105379354</f>
        <v>-773.17391331785018</v>
      </c>
      <c r="W3990" t="s">
        <v>76312</v>
      </c>
      <c r="X3990" t="s">
        <v>76313</v>
      </c>
      <c r="Y3990" t="s">
        <v>76314</v>
      </c>
    </row>
    <row r="3991" spans="1:25" x14ac:dyDescent="0.3">
      <c r="A3991">
        <v>199500</v>
      </c>
      <c r="B3991" t="s">
        <v>76315</v>
      </c>
      <c r="C3991" t="s">
        <v>76316</v>
      </c>
      <c r="D3991" t="s">
        <v>76317</v>
      </c>
      <c r="E3991" t="s">
        <v>76318</v>
      </c>
      <c r="F3991" t="s">
        <v>76319</v>
      </c>
      <c r="G3991" t="s">
        <v>76320</v>
      </c>
      <c r="H3991" t="s">
        <v>76321</v>
      </c>
      <c r="I3991" t="s">
        <v>76322</v>
      </c>
      <c r="J3991" t="s">
        <v>76323</v>
      </c>
      <c r="K3991" t="s">
        <v>76324</v>
      </c>
      <c r="L3991" t="s">
        <v>76325</v>
      </c>
      <c r="M3991" t="s">
        <v>76326</v>
      </c>
      <c r="N3991">
        <f>-668.97258149045 -19.2344780988863 -530.127798732439</f>
        <v>-1218.3348583217753</v>
      </c>
      <c r="O3991">
        <f>-659.815456409215 -172.075414004285 -500.241273919675</f>
        <v>-1332.1321443331749</v>
      </c>
      <c r="P3991">
        <f>-676.657421431157 -203.439589453998 -220.399834050497</f>
        <v>-1100.496844935652</v>
      </c>
      <c r="Q3991">
        <f>-473.282989904348 -115.143410435753 -289.618116799985</f>
        <v>-878.0445171400861</v>
      </c>
      <c r="R3991" t="s">
        <v>76327</v>
      </c>
      <c r="S3991" t="s">
        <v>76328</v>
      </c>
      <c r="T3991" t="s">
        <v>76329</v>
      </c>
      <c r="U3991" t="s">
        <v>76330</v>
      </c>
      <c r="V3991">
        <f>-609.258832790471 -70.2629223667373 -93.8577736215444</f>
        <v>-773.37952877875273</v>
      </c>
      <c r="W3991" t="s">
        <v>76331</v>
      </c>
      <c r="X3991" t="s">
        <v>76332</v>
      </c>
      <c r="Y3991" t="s">
        <v>76333</v>
      </c>
    </row>
    <row r="3992" spans="1:25" x14ac:dyDescent="0.3">
      <c r="A3992">
        <v>199550</v>
      </c>
      <c r="B3992" t="s">
        <v>76334</v>
      </c>
      <c r="C3992" t="s">
        <v>76335</v>
      </c>
      <c r="D3992" t="s">
        <v>76336</v>
      </c>
      <c r="E3992" t="s">
        <v>76337</v>
      </c>
      <c r="F3992" t="s">
        <v>76338</v>
      </c>
      <c r="G3992" t="s">
        <v>76339</v>
      </c>
      <c r="H3992" t="s">
        <v>76340</v>
      </c>
      <c r="I3992" t="s">
        <v>76341</v>
      </c>
      <c r="J3992" t="s">
        <v>76342</v>
      </c>
      <c r="K3992" t="s">
        <v>76343</v>
      </c>
      <c r="L3992" t="s">
        <v>76344</v>
      </c>
      <c r="M3992" t="s">
        <v>76345</v>
      </c>
      <c r="N3992">
        <f>-668.973130394702 -19.2498171580546 -530.126794186308</f>
        <v>-1218.3497417390645</v>
      </c>
      <c r="O3992">
        <f>-659.719222895838 -172.096553031086 -500.322072086205</f>
        <v>-1332.1378480131291</v>
      </c>
      <c r="P3992">
        <f>-676.606225286271 -203.193210590323 -220.453455556645</f>
        <v>-1100.252891433239</v>
      </c>
      <c r="Q3992">
        <f>-473.17959703133 -115.011760212923 -289.664407989743</f>
        <v>-877.85576523399595</v>
      </c>
      <c r="R3992" t="s">
        <v>76346</v>
      </c>
      <c r="S3992" t="s">
        <v>76347</v>
      </c>
      <c r="T3992" t="s">
        <v>76348</v>
      </c>
      <c r="U3992" t="s">
        <v>76349</v>
      </c>
      <c r="V3992">
        <f>-609.346010661275 -70.3845887819407 -93.8629368412779</f>
        <v>-773.59353628449367</v>
      </c>
      <c r="W3992" t="s">
        <v>76350</v>
      </c>
      <c r="X3992" t="s">
        <v>76351</v>
      </c>
      <c r="Y3992" t="s">
        <v>76352</v>
      </c>
    </row>
    <row r="3993" spans="1:25" x14ac:dyDescent="0.3">
      <c r="A3993">
        <v>199600</v>
      </c>
      <c r="B3993" t="s">
        <v>76353</v>
      </c>
      <c r="C3993" t="s">
        <v>76354</v>
      </c>
      <c r="D3993" t="s">
        <v>76355</v>
      </c>
      <c r="E3993" t="s">
        <v>76356</v>
      </c>
      <c r="F3993" t="s">
        <v>76357</v>
      </c>
      <c r="G3993" t="s">
        <v>76358</v>
      </c>
      <c r="H3993" t="s">
        <v>76359</v>
      </c>
      <c r="I3993" t="s">
        <v>76360</v>
      </c>
      <c r="J3993" t="s">
        <v>76361</v>
      </c>
      <c r="K3993" t="s">
        <v>76362</v>
      </c>
      <c r="L3993" t="s">
        <v>76363</v>
      </c>
      <c r="M3993" t="s">
        <v>76364</v>
      </c>
      <c r="N3993">
        <f>-668.805590542225 -19.2178818962168 -530.174603104592</f>
        <v>-1218.1980755430338</v>
      </c>
      <c r="O3993">
        <f>-659.349057926419 -172.100362943539 -500.601757210129</f>
        <v>-1332.0511780800871</v>
      </c>
      <c r="P3993">
        <f>-676.25722293134 -203.397254569803 -220.75671434822</f>
        <v>-1100.4111918493629</v>
      </c>
      <c r="Q3993">
        <f>-473.122947123227 -114.72298404448 -290.196372501229</f>
        <v>-878.04230366893603</v>
      </c>
      <c r="R3993" t="s">
        <v>76365</v>
      </c>
      <c r="S3993" t="s">
        <v>76366</v>
      </c>
      <c r="T3993" t="s">
        <v>76367</v>
      </c>
      <c r="U3993" t="s">
        <v>76368</v>
      </c>
      <c r="V3993">
        <f>-609.408084210262 -70.7104289841654 -93.8430388670561</f>
        <v>-773.96155206148353</v>
      </c>
      <c r="W3993" t="s">
        <v>76369</v>
      </c>
      <c r="X3993" t="s">
        <v>76370</v>
      </c>
      <c r="Y3993" t="s">
        <v>76371</v>
      </c>
    </row>
    <row r="3994" spans="1:25" x14ac:dyDescent="0.3">
      <c r="A3994">
        <v>199650</v>
      </c>
      <c r="B3994" t="s">
        <v>76372</v>
      </c>
      <c r="C3994" t="s">
        <v>76373</v>
      </c>
      <c r="D3994" t="s">
        <v>76374</v>
      </c>
      <c r="E3994" t="s">
        <v>76375</v>
      </c>
      <c r="F3994" t="s">
        <v>76376</v>
      </c>
      <c r="G3994" t="s">
        <v>76377</v>
      </c>
      <c r="H3994" t="s">
        <v>76378</v>
      </c>
      <c r="I3994" t="s">
        <v>76379</v>
      </c>
      <c r="J3994" t="s">
        <v>76380</v>
      </c>
      <c r="K3994" t="s">
        <v>76381</v>
      </c>
      <c r="L3994" t="s">
        <v>76382</v>
      </c>
      <c r="M3994" t="s">
        <v>76383</v>
      </c>
      <c r="N3994">
        <f>-668.69045076302 -19.0469408777785 -530.218109775921</f>
        <v>-1217.9555014167195</v>
      </c>
      <c r="O3994">
        <f>-659.041278218225 -171.980124696298 -500.949001640372</f>
        <v>-1331.9704045548949</v>
      </c>
      <c r="P3994">
        <f>-675.995303084501 -203.702160862346 -221.154656540033</f>
        <v>-1100.8521204868798</v>
      </c>
      <c r="Q3994">
        <f>-472.921829496305 -114.907378012239 -290.61822432348</f>
        <v>-878.44743183202399</v>
      </c>
      <c r="R3994" t="s">
        <v>76384</v>
      </c>
      <c r="S3994" t="s">
        <v>76385</v>
      </c>
      <c r="T3994" t="s">
        <v>76386</v>
      </c>
      <c r="U3994" t="s">
        <v>76387</v>
      </c>
      <c r="V3994">
        <f>-609.466326073329 -70.9450753531476 -93.8047913175731</f>
        <v>-774.21619274404964</v>
      </c>
      <c r="W3994" t="s">
        <v>76388</v>
      </c>
      <c r="X3994" t="s">
        <v>76389</v>
      </c>
      <c r="Y3994" t="s">
        <v>76390</v>
      </c>
    </row>
    <row r="3995" spans="1:25" x14ac:dyDescent="0.3">
      <c r="A3995">
        <v>199700</v>
      </c>
      <c r="B3995" t="s">
        <v>76391</v>
      </c>
      <c r="C3995" t="s">
        <v>76392</v>
      </c>
      <c r="D3995" t="s">
        <v>76393</v>
      </c>
      <c r="E3995" t="s">
        <v>76394</v>
      </c>
      <c r="F3995" t="s">
        <v>76395</v>
      </c>
      <c r="G3995" t="s">
        <v>76396</v>
      </c>
      <c r="H3995" t="s">
        <v>76397</v>
      </c>
      <c r="I3995" t="s">
        <v>76398</v>
      </c>
      <c r="J3995" t="s">
        <v>76399</v>
      </c>
      <c r="K3995" t="s">
        <v>76400</v>
      </c>
      <c r="L3995" t="s">
        <v>76401</v>
      </c>
      <c r="M3995" t="s">
        <v>76402</v>
      </c>
      <c r="N3995">
        <f>-668.591850176954 -18.8886969037912 -530.239713404672</f>
        <v>-1217.7202604854174</v>
      </c>
      <c r="O3995">
        <f>-658.851410748727 -171.842341062762 -501.132741290536</f>
        <v>-1331.8264931020249</v>
      </c>
      <c r="P3995">
        <f>-675.840776130526 -203.9166931798 -221.380731850564</f>
        <v>-1101.13820116089</v>
      </c>
      <c r="Q3995">
        <f>-472.754543081137 -115.098112456122 -290.776660628455</f>
        <v>-878.62931616571404</v>
      </c>
      <c r="R3995" t="s">
        <v>76403</v>
      </c>
      <c r="S3995" t="s">
        <v>76404</v>
      </c>
      <c r="T3995" t="s">
        <v>76405</v>
      </c>
      <c r="U3995" t="s">
        <v>76406</v>
      </c>
      <c r="V3995">
        <f>-609.493915886385 -71.0539847050918 -93.7760603155284</f>
        <v>-774.32396090700524</v>
      </c>
      <c r="W3995" t="s">
        <v>76407</v>
      </c>
      <c r="X3995" t="s">
        <v>76408</v>
      </c>
      <c r="Y3995" t="s">
        <v>76409</v>
      </c>
    </row>
    <row r="3996" spans="1:25" x14ac:dyDescent="0.3">
      <c r="A3996">
        <v>199750</v>
      </c>
      <c r="B3996" t="s">
        <v>76391</v>
      </c>
      <c r="C3996" t="s">
        <v>76392</v>
      </c>
      <c r="D3996" t="s">
        <v>76393</v>
      </c>
      <c r="E3996" t="s">
        <v>76394</v>
      </c>
      <c r="F3996" t="s">
        <v>76395</v>
      </c>
      <c r="G3996" t="s">
        <v>76396</v>
      </c>
      <c r="H3996" t="s">
        <v>76397</v>
      </c>
      <c r="I3996" t="s">
        <v>76398</v>
      </c>
      <c r="J3996" t="s">
        <v>76399</v>
      </c>
      <c r="K3996" t="s">
        <v>76400</v>
      </c>
      <c r="L3996" t="s">
        <v>76401</v>
      </c>
      <c r="M3996" t="s">
        <v>76402</v>
      </c>
      <c r="N3996">
        <f>-668.591850176954 -18.8886969037912 -530.239713404672</f>
        <v>-1217.7202604854174</v>
      </c>
      <c r="O3996">
        <f>-658.851410748727 -171.842341062762 -501.132741290536</f>
        <v>-1331.8264931020249</v>
      </c>
      <c r="P3996">
        <f>-675.840776130526 -203.9166931798 -221.380731850564</f>
        <v>-1101.13820116089</v>
      </c>
      <c r="Q3996">
        <f>-472.754543081137 -115.098112456122 -290.776660628455</f>
        <v>-878.62931616571404</v>
      </c>
      <c r="R3996" t="s">
        <v>76403</v>
      </c>
      <c r="S3996" t="s">
        <v>76404</v>
      </c>
      <c r="T3996" t="s">
        <v>76405</v>
      </c>
      <c r="U3996" t="s">
        <v>76406</v>
      </c>
      <c r="V3996">
        <f>-609.493915886385 -71.0539847050918 -93.7760603155284</f>
        <v>-774.32396090700524</v>
      </c>
      <c r="W3996" t="s">
        <v>76407</v>
      </c>
      <c r="X3996" t="s">
        <v>76408</v>
      </c>
      <c r="Y3996" t="s">
        <v>76409</v>
      </c>
    </row>
    <row r="3997" spans="1:25" x14ac:dyDescent="0.3">
      <c r="A3997">
        <v>199800</v>
      </c>
      <c r="B3997" t="s">
        <v>76410</v>
      </c>
      <c r="C3997" t="s">
        <v>76411</v>
      </c>
      <c r="D3997" t="s">
        <v>76412</v>
      </c>
      <c r="E3997" t="s">
        <v>76413</v>
      </c>
      <c r="F3997" t="s">
        <v>76414</v>
      </c>
      <c r="G3997" t="s">
        <v>76415</v>
      </c>
      <c r="H3997" t="s">
        <v>76416</v>
      </c>
      <c r="I3997" t="s">
        <v>76417</v>
      </c>
      <c r="J3997" t="s">
        <v>76418</v>
      </c>
      <c r="K3997" t="s">
        <v>76419</v>
      </c>
      <c r="L3997" t="s">
        <v>76420</v>
      </c>
      <c r="M3997" t="s">
        <v>76421</v>
      </c>
      <c r="N3997">
        <f>-668.530460279426 -18.676894672225 -530.267311151736</f>
        <v>-1217.4746661033869</v>
      </c>
      <c r="O3997">
        <f>-658.685275656106 -171.65822907538 -501.328145497715</f>
        <v>-1331.6716502292011</v>
      </c>
      <c r="P3997">
        <f>-675.695780412771 -204.052266274768 -221.614266380464</f>
        <v>-1101.362313068003</v>
      </c>
      <c r="Q3997">
        <f>-472.587142992829 -115.180782435318 -290.876892780198</f>
        <v>-878.64481820834499</v>
      </c>
      <c r="R3997" t="s">
        <v>76422</v>
      </c>
      <c r="S3997" t="s">
        <v>76423</v>
      </c>
      <c r="T3997" t="s">
        <v>76424</v>
      </c>
      <c r="U3997" t="s">
        <v>76425</v>
      </c>
      <c r="V3997">
        <f>-609.52477081314 -71.1342113183898 -93.7521917717877</f>
        <v>-774.41117390331749</v>
      </c>
      <c r="W3997" t="s">
        <v>76426</v>
      </c>
      <c r="X3997" t="s">
        <v>76427</v>
      </c>
      <c r="Y3997" t="s">
        <v>76428</v>
      </c>
    </row>
    <row r="3998" spans="1:25" x14ac:dyDescent="0.3">
      <c r="A3998">
        <v>199850</v>
      </c>
      <c r="B3998" t="s">
        <v>76429</v>
      </c>
      <c r="C3998" t="s">
        <v>76430</v>
      </c>
      <c r="D3998" t="s">
        <v>76431</v>
      </c>
      <c r="E3998" t="s">
        <v>76432</v>
      </c>
      <c r="F3998" t="s">
        <v>76433</v>
      </c>
      <c r="G3998" t="s">
        <v>76434</v>
      </c>
      <c r="H3998" t="s">
        <v>76435</v>
      </c>
      <c r="I3998" t="s">
        <v>76436</v>
      </c>
      <c r="J3998" t="s">
        <v>76437</v>
      </c>
      <c r="K3998" t="s">
        <v>76438</v>
      </c>
      <c r="L3998" t="s">
        <v>76439</v>
      </c>
      <c r="M3998" t="s">
        <v>76440</v>
      </c>
      <c r="N3998">
        <f>-668.637341393502 -18.2007535671621 -530.346553912013</f>
        <v>-1217.1846488726769</v>
      </c>
      <c r="O3998">
        <f>-658.377452602994 -171.265688043273 -501.992867822346</f>
        <v>-1331.636008468613</v>
      </c>
      <c r="P3998">
        <f>-675.478234190507 -204.502650324479 -222.38342458453</f>
        <v>-1102.364309099516</v>
      </c>
      <c r="Q3998">
        <f>-472.386130928251 -115.191735061787 -291.127278492922</f>
        <v>-878.70514448296012</v>
      </c>
      <c r="R3998" t="s">
        <v>76441</v>
      </c>
      <c r="S3998" t="s">
        <v>76442</v>
      </c>
      <c r="T3998" t="s">
        <v>76443</v>
      </c>
      <c r="U3998" t="s">
        <v>76444</v>
      </c>
      <c r="V3998">
        <f>-609.789765848236 -71.4123897870727 -93.7245340287075</f>
        <v>-774.92668966401618</v>
      </c>
      <c r="W3998" t="s">
        <v>76445</v>
      </c>
      <c r="X3998" t="s">
        <v>76446</v>
      </c>
      <c r="Y3998" t="s">
        <v>76447</v>
      </c>
    </row>
    <row r="3999" spans="1:25" x14ac:dyDescent="0.3">
      <c r="A3999">
        <v>199900</v>
      </c>
      <c r="B3999" t="s">
        <v>76448</v>
      </c>
      <c r="C3999" t="s">
        <v>76449</v>
      </c>
      <c r="D3999" t="s">
        <v>76450</v>
      </c>
      <c r="E3999" t="s">
        <v>76451</v>
      </c>
      <c r="F3999" t="s">
        <v>76452</v>
      </c>
      <c r="G3999" t="s">
        <v>76453</v>
      </c>
      <c r="H3999" t="s">
        <v>76454</v>
      </c>
      <c r="I3999" t="s">
        <v>76455</v>
      </c>
      <c r="J3999" t="s">
        <v>76456</v>
      </c>
      <c r="K3999" t="s">
        <v>76457</v>
      </c>
      <c r="L3999" t="s">
        <v>76458</v>
      </c>
      <c r="M3999" t="s">
        <v>76459</v>
      </c>
      <c r="N3999">
        <f>-668.825713036103 -17.6973731095572 -530.418116011829</f>
        <v>-1216.9412021574894</v>
      </c>
      <c r="O3999">
        <f>-658.261611507575 -170.803844636981 -502.439734066631</f>
        <v>-1331.505190211187</v>
      </c>
      <c r="P3999">
        <f>-675.156546849182 -204.638439303374 -222.889482813812</f>
        <v>-1102.6844689663681</v>
      </c>
      <c r="Q3999">
        <f>-472.222274020937 -114.769763843056 -291.371906255628</f>
        <v>-878.36394411962101</v>
      </c>
      <c r="R3999" t="s">
        <v>76460</v>
      </c>
      <c r="S3999" t="s">
        <v>76461</v>
      </c>
      <c r="T3999" t="s">
        <v>76462</v>
      </c>
      <c r="U3999" t="s">
        <v>76463</v>
      </c>
      <c r="V3999">
        <f>-609.944849042621 -71.495820204015 -93.7226375599157</f>
        <v>-775.16330680655165</v>
      </c>
      <c r="W3999" t="s">
        <v>76464</v>
      </c>
      <c r="X3999" t="s">
        <v>76465</v>
      </c>
      <c r="Y3999" t="s">
        <v>76466</v>
      </c>
    </row>
    <row r="4000" spans="1:25" x14ac:dyDescent="0.3">
      <c r="A4000">
        <v>199950</v>
      </c>
      <c r="B4000" t="s">
        <v>76467</v>
      </c>
      <c r="C4000" t="s">
        <v>76468</v>
      </c>
      <c r="D4000" t="s">
        <v>76469</v>
      </c>
      <c r="E4000" t="s">
        <v>76470</v>
      </c>
      <c r="F4000" t="s">
        <v>76471</v>
      </c>
      <c r="G4000" t="s">
        <v>76472</v>
      </c>
      <c r="H4000" t="s">
        <v>76473</v>
      </c>
      <c r="I4000" t="s">
        <v>76474</v>
      </c>
      <c r="J4000" t="s">
        <v>76475</v>
      </c>
      <c r="K4000" t="s">
        <v>76476</v>
      </c>
      <c r="L4000" t="s">
        <v>76477</v>
      </c>
      <c r="M4000" t="s">
        <v>76478</v>
      </c>
      <c r="N4000">
        <f>-668.802486300726 -17.4787780091783 -530.457008550571</f>
        <v>-1216.7382728604753</v>
      </c>
      <c r="O4000">
        <f>-658.070348658623 -170.609671105531 -502.663630503956</f>
        <v>-1331.34365026811</v>
      </c>
      <c r="P4000">
        <f>-674.826208788492 -204.803610863519 -223.14868662949</f>
        <v>-1102.778506281501</v>
      </c>
      <c r="Q4000">
        <f>-471.99509543805 -114.596173704573 -291.490990670351</f>
        <v>-878.08225981297392</v>
      </c>
      <c r="R4000" t="s">
        <v>76479</v>
      </c>
      <c r="S4000" t="s">
        <v>76480</v>
      </c>
      <c r="T4000" t="s">
        <v>76481</v>
      </c>
      <c r="U4000" t="s">
        <v>76482</v>
      </c>
      <c r="V4000">
        <f>-610.003343794715 -71.5225518528803 -93.7206130262209</f>
        <v>-775.24650867381615</v>
      </c>
      <c r="W4000" t="s">
        <v>76483</v>
      </c>
      <c r="X4000" t="s">
        <v>76484</v>
      </c>
      <c r="Y4000" t="s">
        <v>76485</v>
      </c>
    </row>
    <row r="4001" spans="1:25" x14ac:dyDescent="0.3">
      <c r="A4001">
        <v>200000</v>
      </c>
      <c r="B4001" t="s">
        <v>76486</v>
      </c>
      <c r="C4001" t="s">
        <v>76487</v>
      </c>
      <c r="D4001" t="s">
        <v>76488</v>
      </c>
      <c r="E4001" t="s">
        <v>76489</v>
      </c>
      <c r="F4001" t="s">
        <v>76490</v>
      </c>
      <c r="G4001" t="s">
        <v>76491</v>
      </c>
      <c r="H4001" t="s">
        <v>76492</v>
      </c>
      <c r="I4001" t="s">
        <v>76493</v>
      </c>
      <c r="J4001" t="s">
        <v>76494</v>
      </c>
      <c r="K4001" t="s">
        <v>76495</v>
      </c>
      <c r="L4001" t="s">
        <v>76496</v>
      </c>
      <c r="M4001" t="s">
        <v>76497</v>
      </c>
      <c r="N4001">
        <f>-668.749803590375 -16.9875371899159 -530.535231157484</f>
        <v>-1216.272571937775</v>
      </c>
      <c r="O4001">
        <f>-657.65423084125 -170.157899802729 -503.097162314962</f>
        <v>-1330.909292958941</v>
      </c>
      <c r="P4001">
        <f>-674.011394756297 -204.926624661148 -223.629524391881</f>
        <v>-1102.567543809326</v>
      </c>
      <c r="Q4001">
        <f>-471.401440122608 -114.071330741385 -291.769886799255</f>
        <v>-877.242657663248</v>
      </c>
      <c r="R4001" t="s">
        <v>76498</v>
      </c>
      <c r="S4001" t="s">
        <v>76499</v>
      </c>
      <c r="T4001" t="s">
        <v>76500</v>
      </c>
      <c r="U4001" t="s">
        <v>76501</v>
      </c>
      <c r="V4001">
        <f>-610.114251325106 -71.5407475602092 -93.7164156261325</f>
        <v>-775.37141451144771</v>
      </c>
      <c r="W4001" t="s">
        <v>76502</v>
      </c>
      <c r="X4001" t="s">
        <v>76503</v>
      </c>
      <c r="Y4001" t="s">
        <v>76504</v>
      </c>
    </row>
    <row r="4002" spans="1:25" x14ac:dyDescent="0.3">
      <c r="A4002">
        <v>200050</v>
      </c>
      <c r="B4002" t="s">
        <v>76505</v>
      </c>
      <c r="C4002" t="s">
        <v>76506</v>
      </c>
      <c r="D4002" t="s">
        <v>76507</v>
      </c>
      <c r="E4002" t="s">
        <v>76508</v>
      </c>
      <c r="F4002" t="s">
        <v>76509</v>
      </c>
      <c r="G4002" t="s">
        <v>76510</v>
      </c>
      <c r="H4002" t="s">
        <v>76511</v>
      </c>
      <c r="I4002" t="s">
        <v>76512</v>
      </c>
      <c r="J4002" t="s">
        <v>76513</v>
      </c>
      <c r="K4002" t="s">
        <v>76514</v>
      </c>
      <c r="L4002" t="s">
        <v>76515</v>
      </c>
      <c r="M4002" t="s">
        <v>76516</v>
      </c>
      <c r="N4002">
        <f>-668.798375922245 -16.7436471130966 -530.558425894119</f>
        <v>-1216.1004489294605</v>
      </c>
      <c r="O4002">
        <f>-657.47988703025 -169.926481534324 -503.283378444917</f>
        <v>-1330.6897470094909</v>
      </c>
      <c r="P4002">
        <f>-673.666269087002 -204.91390558041 -223.832985771256</f>
        <v>-1102.413160438668</v>
      </c>
      <c r="Q4002">
        <f>-471.130136706159 -113.823277047888 -291.878035668986</f>
        <v>-876.83144942303306</v>
      </c>
      <c r="R4002" t="s">
        <v>76517</v>
      </c>
      <c r="S4002" t="s">
        <v>76518</v>
      </c>
      <c r="T4002" t="s">
        <v>76519</v>
      </c>
      <c r="U4002" t="s">
        <v>76520</v>
      </c>
      <c r="V4002">
        <f>-610.143449028497 -71.5189528693465 -93.7109180149848</f>
        <v>-775.37331991282838</v>
      </c>
      <c r="W4002" t="s">
        <v>76521</v>
      </c>
      <c r="X4002" t="s">
        <v>76522</v>
      </c>
      <c r="Y4002" t="s">
        <v>76523</v>
      </c>
    </row>
    <row r="4003" spans="1:25" x14ac:dyDescent="0.3">
      <c r="A4003">
        <v>200100</v>
      </c>
      <c r="B4003" t="s">
        <v>76524</v>
      </c>
      <c r="C4003" t="s">
        <v>76525</v>
      </c>
      <c r="D4003" t="s">
        <v>76526</v>
      </c>
      <c r="E4003" t="s">
        <v>76527</v>
      </c>
      <c r="F4003" t="s">
        <v>76528</v>
      </c>
      <c r="G4003" t="s">
        <v>76529</v>
      </c>
      <c r="H4003" t="s">
        <v>76530</v>
      </c>
      <c r="I4003" t="s">
        <v>76531</v>
      </c>
      <c r="J4003" t="s">
        <v>76532</v>
      </c>
      <c r="K4003" t="s">
        <v>76533</v>
      </c>
      <c r="L4003" t="s">
        <v>76534</v>
      </c>
      <c r="M4003" t="s">
        <v>76535</v>
      </c>
      <c r="N4003">
        <f>-668.850791156956 -16.1529925254424 -530.595694151102</f>
        <v>-1215.5994778335003</v>
      </c>
      <c r="O4003">
        <f>-657.134071577045 -169.35818671771 -503.621019559834</f>
        <v>-1330.1132778545889</v>
      </c>
      <c r="P4003">
        <f>-672.858332159582 -204.630514997156 -224.180063777155</f>
        <v>-1101.6689109338931</v>
      </c>
      <c r="Q4003">
        <f>-470.55815189169 -112.992612364191 -292.192352931865</f>
        <v>-875.74311718774595</v>
      </c>
      <c r="R4003" t="s">
        <v>76536</v>
      </c>
      <c r="S4003" t="s">
        <v>76537</v>
      </c>
      <c r="T4003" t="s">
        <v>76538</v>
      </c>
      <c r="U4003" t="s">
        <v>76539</v>
      </c>
      <c r="V4003">
        <f>-610.191224240129 -71.4193874664718 -93.6882815498378</f>
        <v>-775.29889325643865</v>
      </c>
      <c r="W4003" t="s">
        <v>76540</v>
      </c>
      <c r="X4003" t="s">
        <v>76541</v>
      </c>
      <c r="Y4003" t="s">
        <v>76542</v>
      </c>
    </row>
    <row r="4004" spans="1:25" x14ac:dyDescent="0.3">
      <c r="A4004">
        <v>200150</v>
      </c>
      <c r="B4004" t="s">
        <v>76543</v>
      </c>
      <c r="C4004" t="s">
        <v>76544</v>
      </c>
      <c r="D4004" t="s">
        <v>76545</v>
      </c>
      <c r="E4004" t="s">
        <v>76546</v>
      </c>
      <c r="F4004" t="s">
        <v>76547</v>
      </c>
      <c r="G4004" t="s">
        <v>76548</v>
      </c>
      <c r="H4004" t="s">
        <v>76549</v>
      </c>
      <c r="I4004" t="s">
        <v>76550</v>
      </c>
      <c r="J4004" t="s">
        <v>76551</v>
      </c>
      <c r="K4004" t="s">
        <v>76552</v>
      </c>
      <c r="L4004" t="s">
        <v>76553</v>
      </c>
      <c r="M4004" t="s">
        <v>76554</v>
      </c>
      <c r="N4004">
        <f>-668.877202194648 -15.917727901973 -530.620307960039</f>
        <v>-1215.41523805666</v>
      </c>
      <c r="O4004">
        <f>-656.745315826524 -169.137297021632 -503.891200516339</f>
        <v>-1329.773813364495</v>
      </c>
      <c r="P4004">
        <f>-671.927279426831 -204.873082244275 -224.479383811788</f>
        <v>-1101.279745482894</v>
      </c>
      <c r="Q4004">
        <f>-470.05624388035 -112.369734193588 -292.594939039204</f>
        <v>-875.0209171131421</v>
      </c>
      <c r="R4004" t="s">
        <v>76555</v>
      </c>
      <c r="S4004" t="s">
        <v>76556</v>
      </c>
      <c r="T4004" t="s">
        <v>76557</v>
      </c>
      <c r="U4004" t="s">
        <v>76558</v>
      </c>
      <c r="V4004">
        <f>-610.182636865188 -71.3677148846964 -93.6638184688163</f>
        <v>-775.2141702187007</v>
      </c>
      <c r="W4004" t="s">
        <v>76559</v>
      </c>
      <c r="X4004" t="s">
        <v>76560</v>
      </c>
      <c r="Y4004" t="s">
        <v>76561</v>
      </c>
    </row>
    <row r="4005" spans="1:25" x14ac:dyDescent="0.3">
      <c r="A4005">
        <v>200200</v>
      </c>
      <c r="B4005" t="s">
        <v>76562</v>
      </c>
      <c r="C4005" t="s">
        <v>76563</v>
      </c>
      <c r="D4005" t="s">
        <v>76564</v>
      </c>
      <c r="E4005" t="s">
        <v>76565</v>
      </c>
      <c r="F4005" t="s">
        <v>76566</v>
      </c>
      <c r="G4005" t="s">
        <v>76567</v>
      </c>
      <c r="H4005" t="s">
        <v>76568</v>
      </c>
      <c r="I4005" t="s">
        <v>76569</v>
      </c>
      <c r="J4005" t="s">
        <v>76570</v>
      </c>
      <c r="K4005" t="s">
        <v>76571</v>
      </c>
      <c r="L4005" t="s">
        <v>76572</v>
      </c>
      <c r="M4005" t="s">
        <v>76573</v>
      </c>
      <c r="N4005">
        <f>-668.958572739418 -15.8236068681588 -530.603512279456</f>
        <v>-1215.3856918870329</v>
      </c>
      <c r="O4005">
        <f>-656.620863688767 -169.033361993149 -503.947936378481</f>
        <v>-1329.6021620603969</v>
      </c>
      <c r="P4005">
        <f>-671.460364538647 -204.925507455954 -224.537549108918</f>
        <v>-1100.9234211035191</v>
      </c>
      <c r="Q4005">
        <f>-469.82022112933 -112.0024069946 -292.765857423839</f>
        <v>-874.58848554776887</v>
      </c>
      <c r="R4005" t="s">
        <v>76574</v>
      </c>
      <c r="S4005" t="s">
        <v>76575</v>
      </c>
      <c r="T4005" t="s">
        <v>76576</v>
      </c>
      <c r="U4005" t="s">
        <v>76577</v>
      </c>
      <c r="V4005">
        <f>-610.128596245451 -71.2645346184315 -93.6511202775562</f>
        <v>-775.04425114143874</v>
      </c>
      <c r="W4005" t="s">
        <v>76578</v>
      </c>
      <c r="X4005" t="s">
        <v>76579</v>
      </c>
      <c r="Y4005" t="s">
        <v>76580</v>
      </c>
    </row>
    <row r="4006" spans="1:25" x14ac:dyDescent="0.3">
      <c r="A4006">
        <v>200250</v>
      </c>
      <c r="B4006" t="s">
        <v>76581</v>
      </c>
      <c r="C4006" t="s">
        <v>76582</v>
      </c>
      <c r="D4006" t="s">
        <v>76583</v>
      </c>
      <c r="E4006" t="s">
        <v>76584</v>
      </c>
      <c r="F4006" t="s">
        <v>76585</v>
      </c>
      <c r="G4006" t="s">
        <v>76586</v>
      </c>
      <c r="H4006" t="s">
        <v>76587</v>
      </c>
      <c r="I4006" t="s">
        <v>76588</v>
      </c>
      <c r="J4006" t="s">
        <v>76589</v>
      </c>
      <c r="K4006" t="s">
        <v>76590</v>
      </c>
      <c r="L4006" t="s">
        <v>76591</v>
      </c>
      <c r="M4006" t="s">
        <v>76592</v>
      </c>
      <c r="N4006">
        <f>-669.119587818611 -15.7579964748782 -530.562588998038</f>
        <v>-1215.4401732915271</v>
      </c>
      <c r="O4006">
        <f>-656.558770820674 -168.96073477634 -503.958232467928</f>
        <v>-1329.4777380649421</v>
      </c>
      <c r="P4006">
        <f>-671.049472004366 -204.875288507001 -224.532484051556</f>
        <v>-1100.4572445629228</v>
      </c>
      <c r="Q4006">
        <f>-469.598376135008 -111.661067788988 -292.921839507338</f>
        <v>-874.1812834313339</v>
      </c>
      <c r="R4006" t="s">
        <v>76593</v>
      </c>
      <c r="S4006" t="s">
        <v>76594</v>
      </c>
      <c r="T4006" t="s">
        <v>76595</v>
      </c>
      <c r="U4006" t="s">
        <v>76596</v>
      </c>
      <c r="V4006">
        <f>-610.064795060687 -71.1912789943967 -93.6398042449166</f>
        <v>-774.89587830000028</v>
      </c>
      <c r="W4006" t="s">
        <v>76597</v>
      </c>
      <c r="X4006" t="s">
        <v>76598</v>
      </c>
      <c r="Y4006" t="s">
        <v>76599</v>
      </c>
    </row>
    <row r="4007" spans="1:25" x14ac:dyDescent="0.3">
      <c r="A4007">
        <v>200300</v>
      </c>
      <c r="B4007" t="s">
        <v>76600</v>
      </c>
      <c r="C4007" t="s">
        <v>76601</v>
      </c>
      <c r="D4007" t="s">
        <v>76602</v>
      </c>
      <c r="E4007" t="s">
        <v>76603</v>
      </c>
      <c r="F4007" t="s">
        <v>76604</v>
      </c>
      <c r="G4007" t="s">
        <v>76605</v>
      </c>
      <c r="H4007" t="s">
        <v>76606</v>
      </c>
      <c r="I4007" t="s">
        <v>76607</v>
      </c>
      <c r="J4007" t="s">
        <v>76608</v>
      </c>
      <c r="K4007" t="s">
        <v>76609</v>
      </c>
      <c r="L4007" t="s">
        <v>76610</v>
      </c>
      <c r="M4007" t="s">
        <v>76611</v>
      </c>
      <c r="N4007">
        <f>-669.542555018568 -15.6440549226754 -530.471784193148</f>
        <v>-1215.6583941343915</v>
      </c>
      <c r="O4007">
        <f>-656.628114810136 -168.825472410384 -503.904985216363</f>
        <v>-1329.3585724368832</v>
      </c>
      <c r="P4007">
        <f>-670.374965964893 -204.629539727501 -224.427530777451</f>
        <v>-1099.4320364698451</v>
      </c>
      <c r="Q4007">
        <f>-469.312051451808 -110.903110934818 -293.257511233068</f>
        <v>-873.47267361969398</v>
      </c>
      <c r="R4007" t="s">
        <v>76612</v>
      </c>
      <c r="S4007" t="s">
        <v>76613</v>
      </c>
      <c r="T4007" t="s">
        <v>76614</v>
      </c>
      <c r="U4007" t="s">
        <v>76615</v>
      </c>
      <c r="V4007">
        <f>-609.924831882449 -71.1008839835042 -93.6062764113653</f>
        <v>-774.63199227731855</v>
      </c>
      <c r="W4007" t="s">
        <v>76616</v>
      </c>
      <c r="X4007" t="s">
        <v>76617</v>
      </c>
      <c r="Y4007" t="s">
        <v>76618</v>
      </c>
    </row>
    <row r="4008" spans="1:25" x14ac:dyDescent="0.3">
      <c r="A4008">
        <v>200350</v>
      </c>
      <c r="B4008" t="s">
        <v>76619</v>
      </c>
      <c r="C4008" t="s">
        <v>76620</v>
      </c>
      <c r="D4008" t="s">
        <v>76621</v>
      </c>
      <c r="E4008" t="s">
        <v>76622</v>
      </c>
      <c r="F4008" t="s">
        <v>76623</v>
      </c>
      <c r="G4008" t="s">
        <v>76624</v>
      </c>
      <c r="H4008" t="s">
        <v>76625</v>
      </c>
      <c r="I4008" t="s">
        <v>76626</v>
      </c>
      <c r="J4008" t="s">
        <v>76627</v>
      </c>
      <c r="K4008" t="s">
        <v>76628</v>
      </c>
      <c r="L4008" t="s">
        <v>76629</v>
      </c>
      <c r="M4008" t="s">
        <v>76630</v>
      </c>
      <c r="N4008">
        <f>-669.74242011754 -15.6764095430417 -530.42100279581</f>
        <v>-1215.8398324563916</v>
      </c>
      <c r="O4008">
        <f>-656.672970197157 -168.846180283869 -503.85196278987</f>
        <v>-1329.3711132708961</v>
      </c>
      <c r="P4008">
        <f>-670.09835026395 -204.62064465596 -224.355063462598</f>
        <v>-1099.0740583825082</v>
      </c>
      <c r="Q4008">
        <f>-469.271815645344 -110.595910529493 -293.468015523435</f>
        <v>-873.33574169827193</v>
      </c>
      <c r="R4008" t="s">
        <v>76631</v>
      </c>
      <c r="S4008" t="s">
        <v>76632</v>
      </c>
      <c r="T4008" t="s">
        <v>76633</v>
      </c>
      <c r="U4008" t="s">
        <v>76634</v>
      </c>
      <c r="V4008">
        <f>-609.871352365337 -71.1114580082515 -93.5883990880856</f>
        <v>-774.57120946167402</v>
      </c>
      <c r="W4008" t="s">
        <v>76635</v>
      </c>
      <c r="X4008" t="s">
        <v>76636</v>
      </c>
      <c r="Y4008" t="s">
        <v>76637</v>
      </c>
    </row>
    <row r="4009" spans="1:25" x14ac:dyDescent="0.3">
      <c r="A4009">
        <v>200400</v>
      </c>
      <c r="B4009" t="s">
        <v>76638</v>
      </c>
      <c r="C4009" t="s">
        <v>76639</v>
      </c>
      <c r="D4009" t="s">
        <v>76640</v>
      </c>
      <c r="E4009" t="s">
        <v>76641</v>
      </c>
      <c r="F4009" t="s">
        <v>76642</v>
      </c>
      <c r="G4009" t="s">
        <v>76643</v>
      </c>
      <c r="H4009" t="s">
        <v>76644</v>
      </c>
      <c r="I4009" t="s">
        <v>76645</v>
      </c>
      <c r="J4009" t="s">
        <v>76646</v>
      </c>
      <c r="K4009" t="s">
        <v>76647</v>
      </c>
      <c r="L4009" t="s">
        <v>76648</v>
      </c>
      <c r="M4009" t="s">
        <v>76649</v>
      </c>
      <c r="N4009">
        <f>-670.18098668794 -15.9171253921106 -530.31989531055</f>
        <v>-1216.4180073906007</v>
      </c>
      <c r="O4009">
        <f>-656.874738607883 -169.059190258111 -503.724373444431</f>
        <v>-1329.6583023104251</v>
      </c>
      <c r="P4009">
        <f>-669.651826934601 -204.756620415639 -224.187129416481</f>
        <v>-1098.595576766721</v>
      </c>
      <c r="Q4009">
        <f>-469.243351595888 -110.251279859134 -293.855818371734</f>
        <v>-873.35044982675606</v>
      </c>
      <c r="R4009" t="s">
        <v>76650</v>
      </c>
      <c r="S4009" t="s">
        <v>76651</v>
      </c>
      <c r="T4009" t="s">
        <v>76652</v>
      </c>
      <c r="U4009" t="s">
        <v>76653</v>
      </c>
      <c r="V4009">
        <f>-609.678091924921 -71.316621959023 -93.5566048540996</f>
        <v>-774.55131873804362</v>
      </c>
      <c r="W4009" t="s">
        <v>76654</v>
      </c>
      <c r="X4009" t="s">
        <v>76655</v>
      </c>
      <c r="Y4009" t="s">
        <v>76656</v>
      </c>
    </row>
    <row r="4010" spans="1:25" x14ac:dyDescent="0.3">
      <c r="A4010">
        <v>200450</v>
      </c>
      <c r="B4010" t="s">
        <v>76657</v>
      </c>
      <c r="C4010" t="s">
        <v>76658</v>
      </c>
      <c r="D4010" t="s">
        <v>76659</v>
      </c>
      <c r="E4010" t="s">
        <v>76660</v>
      </c>
      <c r="F4010" t="s">
        <v>76661</v>
      </c>
      <c r="G4010" t="s">
        <v>76662</v>
      </c>
      <c r="H4010" t="s">
        <v>76663</v>
      </c>
      <c r="I4010" t="s">
        <v>76664</v>
      </c>
      <c r="J4010" t="s">
        <v>76665</v>
      </c>
      <c r="K4010" t="s">
        <v>76666</v>
      </c>
      <c r="L4010" t="s">
        <v>76667</v>
      </c>
      <c r="M4010" t="s">
        <v>76668</v>
      </c>
      <c r="N4010">
        <f>-670.335051023486 -16.069868459884 -530.284758538965</f>
        <v>-1216.6896780223351</v>
      </c>
      <c r="O4010">
        <f>-656.915486209109 -169.192840036468 -503.647111328053</f>
        <v>-1329.7554375736299</v>
      </c>
      <c r="P4010">
        <f>-669.433277114694 -204.827923618832 -224.090148884428</f>
        <v>-1098.3513496179539</v>
      </c>
      <c r="Q4010">
        <f>-469.22245413383 -110.140536212896 -294.0793003447</f>
        <v>-873.44229069142602</v>
      </c>
      <c r="R4010" t="s">
        <v>76669</v>
      </c>
      <c r="S4010" t="s">
        <v>76670</v>
      </c>
      <c r="T4010" t="s">
        <v>76671</v>
      </c>
      <c r="U4010" t="s">
        <v>76672</v>
      </c>
      <c r="V4010">
        <f>-609.607037638106 -71.4062985744279 -93.5514003108337</f>
        <v>-774.56473652336763</v>
      </c>
      <c r="W4010" t="s">
        <v>76673</v>
      </c>
      <c r="X4010" t="s">
        <v>76674</v>
      </c>
      <c r="Y4010" t="s">
        <v>76675</v>
      </c>
    </row>
    <row r="4011" spans="1:25" x14ac:dyDescent="0.3">
      <c r="A4011">
        <v>200500</v>
      </c>
      <c r="B4011" t="s">
        <v>76676</v>
      </c>
      <c r="C4011" t="s">
        <v>76677</v>
      </c>
      <c r="D4011" t="s">
        <v>76678</v>
      </c>
      <c r="E4011" t="s">
        <v>76679</v>
      </c>
      <c r="F4011" t="s">
        <v>76680</v>
      </c>
      <c r="G4011" t="s">
        <v>76681</v>
      </c>
      <c r="H4011" t="s">
        <v>76682</v>
      </c>
      <c r="I4011" t="s">
        <v>76683</v>
      </c>
      <c r="J4011" t="s">
        <v>76684</v>
      </c>
      <c r="K4011" t="s">
        <v>76685</v>
      </c>
      <c r="L4011" t="s">
        <v>76686</v>
      </c>
      <c r="M4011" t="s">
        <v>76687</v>
      </c>
      <c r="N4011">
        <f>-670.676646710148 -16.4065152130806 -530.21903047738</f>
        <v>-1217.3021924006086</v>
      </c>
      <c r="O4011">
        <f>-656.964570849684 -169.496532792302 -503.531806952083</f>
        <v>-1329.9929105940691</v>
      </c>
      <c r="P4011">
        <f>-669.081063643908 -205.09721040673 -223.95293025547</f>
        <v>-1098.131204306108</v>
      </c>
      <c r="Q4011">
        <f>-469.24198261731 -110.011969983166 -294.463083953323</f>
        <v>-873.71703655379895</v>
      </c>
      <c r="R4011" t="s">
        <v>76688</v>
      </c>
      <c r="S4011" t="s">
        <v>76689</v>
      </c>
      <c r="T4011" t="s">
        <v>76690</v>
      </c>
      <c r="U4011" t="s">
        <v>76691</v>
      </c>
      <c r="V4011">
        <f>-609.598609236636 -71.6231070172753 -93.5404762616409</f>
        <v>-774.76219251555221</v>
      </c>
      <c r="W4011" t="s">
        <v>76692</v>
      </c>
      <c r="X4011" t="s">
        <v>76693</v>
      </c>
      <c r="Y4011" t="s">
        <v>76694</v>
      </c>
    </row>
    <row r="4012" spans="1:25" x14ac:dyDescent="0.3">
      <c r="A4012">
        <v>200550</v>
      </c>
      <c r="B4012" t="s">
        <v>76695</v>
      </c>
      <c r="C4012" t="s">
        <v>76696</v>
      </c>
      <c r="D4012" t="s">
        <v>76697</v>
      </c>
      <c r="E4012" t="s">
        <v>76698</v>
      </c>
      <c r="F4012" t="s">
        <v>76699</v>
      </c>
      <c r="G4012" t="s">
        <v>76700</v>
      </c>
      <c r="H4012" t="s">
        <v>76701</v>
      </c>
      <c r="I4012" t="s">
        <v>76702</v>
      </c>
      <c r="J4012" t="s">
        <v>76703</v>
      </c>
      <c r="K4012" t="s">
        <v>76704</v>
      </c>
      <c r="L4012" t="s">
        <v>76705</v>
      </c>
      <c r="M4012" t="s">
        <v>76706</v>
      </c>
      <c r="N4012">
        <f>-671.151918577746 -16.9555904631059 -530.152853539991</f>
        <v>-1218.2603625808429</v>
      </c>
      <c r="O4012">
        <f>-657.032308715204 -170.000774524984 -503.416819639054</f>
        <v>-1330.449902879242</v>
      </c>
      <c r="P4012">
        <f>-668.890603192347 -205.574232159711 -223.823315480476</f>
        <v>-1098.288150832534</v>
      </c>
      <c r="Q4012">
        <f>-469.353604244431 -110.056251028887 -294.603742560578</f>
        <v>-874.01359783389603</v>
      </c>
      <c r="R4012" t="s">
        <v>76707</v>
      </c>
      <c r="S4012" t="s">
        <v>76708</v>
      </c>
      <c r="T4012" t="s">
        <v>76709</v>
      </c>
      <c r="U4012" t="s">
        <v>76710</v>
      </c>
      <c r="V4012">
        <f>-609.738301689099 -71.9518267216406 -93.5552443208329</f>
        <v>-775.2453727315725</v>
      </c>
      <c r="W4012" t="s">
        <v>76711</v>
      </c>
      <c r="X4012" t="s">
        <v>76712</v>
      </c>
      <c r="Y4012" t="s">
        <v>76713</v>
      </c>
    </row>
    <row r="4013" spans="1:25" x14ac:dyDescent="0.3">
      <c r="A4013">
        <v>200600</v>
      </c>
      <c r="B4013" t="s">
        <v>76714</v>
      </c>
      <c r="C4013" t="s">
        <v>76715</v>
      </c>
      <c r="D4013" t="s">
        <v>76716</v>
      </c>
      <c r="E4013" t="s">
        <v>76717</v>
      </c>
      <c r="F4013" t="s">
        <v>76718</v>
      </c>
      <c r="G4013" t="s">
        <v>76719</v>
      </c>
      <c r="H4013" t="s">
        <v>76720</v>
      </c>
      <c r="I4013" t="s">
        <v>76721</v>
      </c>
      <c r="J4013" t="s">
        <v>76722</v>
      </c>
      <c r="K4013" t="s">
        <v>76723</v>
      </c>
      <c r="L4013" t="s">
        <v>76724</v>
      </c>
      <c r="M4013" t="s">
        <v>76725</v>
      </c>
      <c r="N4013">
        <f>-671.40288572683 -17.3984844149306 -530.106758796427</f>
        <v>-1218.9081289381877</v>
      </c>
      <c r="O4013">
        <f>-657.055406097757 -170.414719568357 -503.329299661253</f>
        <v>-1330.7994253273669</v>
      </c>
      <c r="P4013">
        <f>-668.821532872393 -205.903565187452 -223.721166107551</f>
        <v>-1098.4462641673961</v>
      </c>
      <c r="Q4013">
        <f>-469.409561822561 -110.1511379826 -294.536914110987</f>
        <v>-874.09761391614802</v>
      </c>
      <c r="R4013" t="s">
        <v>76726</v>
      </c>
      <c r="S4013" t="s">
        <v>76727</v>
      </c>
      <c r="T4013" t="s">
        <v>76728</v>
      </c>
      <c r="U4013" t="s">
        <v>76729</v>
      </c>
      <c r="V4013">
        <f>-609.818241582297 -72.1500514278448 -93.5619682068532</f>
        <v>-775.53026121699497</v>
      </c>
      <c r="W4013" t="s">
        <v>76730</v>
      </c>
      <c r="X4013" t="s">
        <v>76731</v>
      </c>
      <c r="Y4013" t="s">
        <v>76732</v>
      </c>
    </row>
    <row r="4014" spans="1:25" x14ac:dyDescent="0.3">
      <c r="A4014">
        <v>200650</v>
      </c>
      <c r="B4014" t="s">
        <v>76733</v>
      </c>
      <c r="C4014" t="s">
        <v>76734</v>
      </c>
      <c r="D4014" t="s">
        <v>76735</v>
      </c>
      <c r="E4014" t="s">
        <v>76736</v>
      </c>
      <c r="F4014" t="s">
        <v>76737</v>
      </c>
      <c r="G4014" t="s">
        <v>76738</v>
      </c>
      <c r="H4014" t="s">
        <v>76739</v>
      </c>
      <c r="I4014" t="s">
        <v>76740</v>
      </c>
      <c r="J4014" t="s">
        <v>76741</v>
      </c>
      <c r="K4014" t="s">
        <v>76742</v>
      </c>
      <c r="L4014" t="s">
        <v>76743</v>
      </c>
      <c r="M4014" t="s">
        <v>76744</v>
      </c>
      <c r="N4014">
        <f>-671.730268712163 -17.9075515799666 -530.066886039813</f>
        <v>-1219.7047063319426</v>
      </c>
      <c r="O4014">
        <f>-657.118665099619 -170.890229480407 -503.232642163647</f>
        <v>-1331.2415367436729</v>
      </c>
      <c r="P4014">
        <f>-668.81425941992 -206.264036775095 -223.606933651127</f>
        <v>-1098.685229846142</v>
      </c>
      <c r="Q4014">
        <f>-469.51883636195 -110.248285922698 -294.394125656691</f>
        <v>-874.16124794133896</v>
      </c>
      <c r="R4014" t="s">
        <v>76745</v>
      </c>
      <c r="S4014" t="s">
        <v>76746</v>
      </c>
      <c r="T4014" t="s">
        <v>76747</v>
      </c>
      <c r="U4014" t="s">
        <v>76748</v>
      </c>
      <c r="V4014">
        <f>-609.929543396174 -72.3837117113637 -93.5647762705297</f>
        <v>-775.87803137806748</v>
      </c>
      <c r="W4014" t="s">
        <v>76749</v>
      </c>
      <c r="X4014" t="s">
        <v>76750</v>
      </c>
      <c r="Y4014" t="s">
        <v>76751</v>
      </c>
    </row>
    <row r="4015" spans="1:25" x14ac:dyDescent="0.3">
      <c r="A4015">
        <v>200700</v>
      </c>
      <c r="B4015" t="s">
        <v>76752</v>
      </c>
      <c r="C4015" t="s">
        <v>76753</v>
      </c>
      <c r="D4015" t="s">
        <v>76754</v>
      </c>
      <c r="E4015" t="s">
        <v>76755</v>
      </c>
      <c r="F4015" t="s">
        <v>76756</v>
      </c>
      <c r="G4015" t="s">
        <v>76757</v>
      </c>
      <c r="H4015" t="s">
        <v>76758</v>
      </c>
      <c r="I4015" t="s">
        <v>76759</v>
      </c>
      <c r="J4015" t="s">
        <v>76760</v>
      </c>
      <c r="K4015" t="s">
        <v>76761</v>
      </c>
      <c r="L4015" t="s">
        <v>76762</v>
      </c>
      <c r="M4015" t="s">
        <v>76763</v>
      </c>
      <c r="N4015">
        <f>-672.23206597318 -18.9076487602972 -530.049251473177</f>
        <v>-1221.1889662066542</v>
      </c>
      <c r="O4015">
        <f>-656.988642883049 -171.811823370716 -503.110955518872</f>
        <v>-1331.9114217726371</v>
      </c>
      <c r="P4015">
        <f>-668.687109569408 -207.046908387242 -223.468006720797</f>
        <v>-1099.2020246774468</v>
      </c>
      <c r="Q4015">
        <f>-469.661732600017 -110.426282058973 -294.191863179909</f>
        <v>-874.27987783889898</v>
      </c>
      <c r="R4015" t="s">
        <v>76764</v>
      </c>
      <c r="S4015" t="s">
        <v>76765</v>
      </c>
      <c r="T4015" t="s">
        <v>76766</v>
      </c>
      <c r="U4015" t="s">
        <v>76767</v>
      </c>
      <c r="V4015">
        <f>-610.235104152853 -72.7803863714444 -93.6013519374395</f>
        <v>-776.61684246173684</v>
      </c>
      <c r="W4015" t="s">
        <v>76768</v>
      </c>
      <c r="X4015" t="s">
        <v>76769</v>
      </c>
      <c r="Y4015" t="s">
        <v>76770</v>
      </c>
    </row>
    <row r="4016" spans="1:25" x14ac:dyDescent="0.3">
      <c r="A4016">
        <v>200750</v>
      </c>
      <c r="B4016" t="s">
        <v>76771</v>
      </c>
      <c r="C4016" t="s">
        <v>76772</v>
      </c>
      <c r="D4016" t="s">
        <v>76773</v>
      </c>
      <c r="E4016" t="s">
        <v>76774</v>
      </c>
      <c r="F4016" t="s">
        <v>76775</v>
      </c>
      <c r="G4016" t="s">
        <v>76776</v>
      </c>
      <c r="H4016" t="s">
        <v>76777</v>
      </c>
      <c r="I4016" t="s">
        <v>76778</v>
      </c>
      <c r="J4016" t="s">
        <v>76779</v>
      </c>
      <c r="K4016" t="s">
        <v>76780</v>
      </c>
      <c r="L4016" t="s">
        <v>76781</v>
      </c>
      <c r="M4016" t="s">
        <v>76782</v>
      </c>
      <c r="N4016">
        <f>-672.530972400028 -19.9218382350846 -530.033719506959</f>
        <v>-1222.4865301420714</v>
      </c>
      <c r="O4016">
        <f>-656.411366265432 -172.724280847584 -503.047883496647</f>
        <v>-1332.183530609663</v>
      </c>
      <c r="P4016">
        <f>-668.142043491064 -208.086341732586 -223.422335486686</f>
        <v>-1099.6507207103359</v>
      </c>
      <c r="Q4016">
        <f>-469.509303234717 -110.588042734813 -294.045523483627</f>
        <v>-874.142869453157</v>
      </c>
      <c r="R4016" t="s">
        <v>76783</v>
      </c>
      <c r="S4016" t="s">
        <v>76784</v>
      </c>
      <c r="T4016" t="s">
        <v>76785</v>
      </c>
      <c r="U4016" t="s">
        <v>76786</v>
      </c>
      <c r="V4016">
        <f>-610.557213380535 -73.1330503795425 -93.6332921481668</f>
        <v>-777.32355590824432</v>
      </c>
      <c r="W4016" t="s">
        <v>76787</v>
      </c>
      <c r="X4016" t="s">
        <v>76788</v>
      </c>
      <c r="Y4016" t="s">
        <v>76789</v>
      </c>
    </row>
    <row r="4017" spans="1:25" x14ac:dyDescent="0.3">
      <c r="A4017">
        <v>200800</v>
      </c>
      <c r="B4017" t="s">
        <v>76790</v>
      </c>
      <c r="C4017" t="s">
        <v>76791</v>
      </c>
      <c r="D4017" t="s">
        <v>76792</v>
      </c>
      <c r="E4017" t="s">
        <v>76793</v>
      </c>
      <c r="F4017" t="s">
        <v>76794</v>
      </c>
      <c r="G4017" t="s">
        <v>76795</v>
      </c>
      <c r="H4017" t="s">
        <v>76796</v>
      </c>
      <c r="I4017" t="s">
        <v>76797</v>
      </c>
      <c r="J4017" t="s">
        <v>76798</v>
      </c>
      <c r="K4017" t="s">
        <v>76799</v>
      </c>
      <c r="L4017" t="s">
        <v>76800</v>
      </c>
      <c r="M4017" t="s">
        <v>76801</v>
      </c>
      <c r="N4017">
        <f>-672.765611956342 -20.37490895727 -530.002608591605</f>
        <v>-1223.1431295052171</v>
      </c>
      <c r="O4017">
        <f>-656.130155087153 -173.117647951839 -502.983595101548</f>
        <v>-1332.23139814054</v>
      </c>
      <c r="P4017">
        <f>-667.770118747211 -208.49455870245 -223.355967084002</f>
        <v>-1099.6206445336629</v>
      </c>
      <c r="Q4017">
        <f>-469.374065584002 -110.50531960119 -293.96503112886</f>
        <v>-873.84441631405195</v>
      </c>
      <c r="R4017" t="s">
        <v>76802</v>
      </c>
      <c r="S4017" t="s">
        <v>76803</v>
      </c>
      <c r="T4017" t="s">
        <v>76804</v>
      </c>
      <c r="U4017" t="s">
        <v>76805</v>
      </c>
      <c r="V4017">
        <f>-610.796527659466 -73.1388696647582 -93.6339514396524</f>
        <v>-777.56934876387663</v>
      </c>
      <c r="W4017" t="s">
        <v>76806</v>
      </c>
      <c r="X4017" t="s">
        <v>76807</v>
      </c>
      <c r="Y4017" t="s">
        <v>76808</v>
      </c>
    </row>
    <row r="4018" spans="1:25" x14ac:dyDescent="0.3">
      <c r="A4018">
        <v>200850</v>
      </c>
      <c r="B4018" t="s">
        <v>76809</v>
      </c>
      <c r="C4018" t="s">
        <v>76810</v>
      </c>
      <c r="D4018" t="s">
        <v>76811</v>
      </c>
      <c r="E4018" t="s">
        <v>76812</v>
      </c>
      <c r="F4018" t="s">
        <v>76813</v>
      </c>
      <c r="G4018" t="s">
        <v>76814</v>
      </c>
      <c r="H4018" t="s">
        <v>76815</v>
      </c>
      <c r="I4018" t="s">
        <v>76816</v>
      </c>
      <c r="J4018" t="s">
        <v>76817</v>
      </c>
      <c r="K4018" t="s">
        <v>76818</v>
      </c>
      <c r="L4018" t="s">
        <v>76819</v>
      </c>
      <c r="M4018" t="s">
        <v>76820</v>
      </c>
      <c r="N4018">
        <f>-673.734283250743 -21.1274022898767 -529.865230527038</f>
        <v>-1224.7269160676578</v>
      </c>
      <c r="O4018">
        <f>-656.059285239318 -173.751912868004 -502.827880070651</f>
        <v>-1332.639078177973</v>
      </c>
      <c r="P4018">
        <f>-667.237311284228 -209.090216055818 -223.176527286574</f>
        <v>-1099.50405462662</v>
      </c>
      <c r="Q4018">
        <f>-469.366614544434 -109.963921637373 -293.672566582912</f>
        <v>-873.00310276471896</v>
      </c>
      <c r="R4018" t="s">
        <v>76821</v>
      </c>
      <c r="S4018" t="s">
        <v>76822</v>
      </c>
      <c r="T4018" t="s">
        <v>76823</v>
      </c>
      <c r="U4018" t="s">
        <v>76824</v>
      </c>
      <c r="V4018">
        <f>-611.173869097458 -73.2040631587786 -93.6274829967274</f>
        <v>-778.00541525296399</v>
      </c>
      <c r="W4018" t="s">
        <v>76825</v>
      </c>
      <c r="X4018" t="s">
        <v>76826</v>
      </c>
      <c r="Y4018" t="s">
        <v>76827</v>
      </c>
    </row>
    <row r="4019" spans="1:25" x14ac:dyDescent="0.3">
      <c r="A4019">
        <v>200900</v>
      </c>
      <c r="B4019" t="s">
        <v>76828</v>
      </c>
      <c r="C4019" t="s">
        <v>76829</v>
      </c>
      <c r="D4019" t="s">
        <v>76830</v>
      </c>
      <c r="E4019" t="s">
        <v>76831</v>
      </c>
      <c r="F4019" t="s">
        <v>76832</v>
      </c>
      <c r="G4019" t="s">
        <v>76833</v>
      </c>
      <c r="H4019" t="s">
        <v>76834</v>
      </c>
      <c r="I4019" t="s">
        <v>76835</v>
      </c>
      <c r="J4019" t="s">
        <v>76836</v>
      </c>
      <c r="K4019" t="s">
        <v>76837</v>
      </c>
      <c r="L4019" t="s">
        <v>76838</v>
      </c>
      <c r="M4019" t="s">
        <v>76839</v>
      </c>
      <c r="N4019">
        <f>-674.206522570304 -21.560229792198 -529.784769874862</f>
        <v>-1225.551522237364</v>
      </c>
      <c r="O4019">
        <f>-656.01633276667 -174.128839948254 -502.774361380606</f>
        <v>-1332.91953409553</v>
      </c>
      <c r="P4019">
        <f>-666.854777564812 -209.496967427666 -223.113497714075</f>
        <v>-1099.465242706553</v>
      </c>
      <c r="Q4019">
        <f>-469.309307370017 -109.723684269769 -293.609079964693</f>
        <v>-872.64207160447904</v>
      </c>
      <c r="R4019" t="s">
        <v>76840</v>
      </c>
      <c r="S4019" t="s">
        <v>76841</v>
      </c>
      <c r="T4019" t="s">
        <v>76842</v>
      </c>
      <c r="U4019" t="s">
        <v>76843</v>
      </c>
      <c r="V4019">
        <f>-611.299803999476 -73.3412271480988 -93.6087988300355</f>
        <v>-778.24982997761037</v>
      </c>
      <c r="W4019" t="s">
        <v>76844</v>
      </c>
      <c r="X4019" t="s">
        <v>76845</v>
      </c>
      <c r="Y4019" t="s">
        <v>76846</v>
      </c>
    </row>
    <row r="4020" spans="1:25" x14ac:dyDescent="0.3">
      <c r="A4020">
        <v>200950</v>
      </c>
      <c r="B4020" t="s">
        <v>76847</v>
      </c>
      <c r="C4020" t="s">
        <v>76848</v>
      </c>
      <c r="D4020" t="s">
        <v>76849</v>
      </c>
      <c r="E4020" t="s">
        <v>76850</v>
      </c>
      <c r="F4020" t="s">
        <v>76851</v>
      </c>
      <c r="G4020" t="s">
        <v>76852</v>
      </c>
      <c r="H4020" t="s">
        <v>76853</v>
      </c>
      <c r="I4020" t="s">
        <v>76854</v>
      </c>
      <c r="J4020" t="s">
        <v>76855</v>
      </c>
      <c r="K4020" t="s">
        <v>76856</v>
      </c>
      <c r="L4020" t="s">
        <v>76857</v>
      </c>
      <c r="M4020" t="s">
        <v>76858</v>
      </c>
      <c r="N4020">
        <f>-675.053595247258 -22.7777522206882 -529.61817359175</f>
        <v>-1227.4495210596961</v>
      </c>
      <c r="O4020">
        <f>-655.931804873717 -175.231464338416 -502.601336487754</f>
        <v>-1333.7646056998869</v>
      </c>
      <c r="P4020">
        <f>-665.881997665272 -210.8751050396 -222.942303328561</f>
        <v>-1099.699406033433</v>
      </c>
      <c r="Q4020">
        <f>-469.251352885467 -109.641797711351 -293.912325727676</f>
        <v>-872.80547632449407</v>
      </c>
      <c r="R4020" t="s">
        <v>76859</v>
      </c>
      <c r="S4020" t="s">
        <v>76860</v>
      </c>
      <c r="T4020" t="s">
        <v>76861</v>
      </c>
      <c r="U4020" t="s">
        <v>76862</v>
      </c>
      <c r="V4020">
        <f>-611.422563723477 -73.6228380222738 -93.5789408413322</f>
        <v>-778.62434258708288</v>
      </c>
      <c r="W4020" t="s">
        <v>76863</v>
      </c>
      <c r="X4020" t="s">
        <v>76864</v>
      </c>
      <c r="Y4020" t="s">
        <v>76865</v>
      </c>
    </row>
    <row r="4021" spans="1:25" x14ac:dyDescent="0.3">
      <c r="A4021">
        <v>201000</v>
      </c>
      <c r="B4021" t="s">
        <v>76866</v>
      </c>
      <c r="C4021" t="s">
        <v>76867</v>
      </c>
      <c r="D4021" t="s">
        <v>76868</v>
      </c>
      <c r="E4021" t="s">
        <v>76869</v>
      </c>
      <c r="F4021" t="s">
        <v>76870</v>
      </c>
      <c r="G4021" t="s">
        <v>76871</v>
      </c>
      <c r="H4021" t="s">
        <v>76872</v>
      </c>
      <c r="I4021" t="s">
        <v>76873</v>
      </c>
      <c r="J4021" t="s">
        <v>76874</v>
      </c>
      <c r="K4021" t="s">
        <v>76875</v>
      </c>
      <c r="L4021" t="s">
        <v>76876</v>
      </c>
      <c r="M4021" t="s">
        <v>76877</v>
      </c>
      <c r="N4021">
        <f>-675.46950217511 -23.4093201560634 -529.54558158265</f>
        <v>-1228.4244039138234</v>
      </c>
      <c r="O4021">
        <f>-655.983253172669 -175.809591589278 -502.477050707614</f>
        <v>-1334.2698954695611</v>
      </c>
      <c r="P4021">
        <f>-665.333946211425 -211.419905570578 -222.793350293482</f>
        <v>-1099.5472020754851</v>
      </c>
      <c r="Q4021">
        <f>-469.136653441639 -109.614502989501 -294.14303507881</f>
        <v>-872.89419150994991</v>
      </c>
      <c r="R4021" t="s">
        <v>76878</v>
      </c>
      <c r="S4021" t="s">
        <v>76879</v>
      </c>
      <c r="T4021" t="s">
        <v>76880</v>
      </c>
      <c r="U4021" t="s">
        <v>76881</v>
      </c>
      <c r="V4021">
        <f>-611.392170208448 -73.7579954460925 -93.5677230600946</f>
        <v>-778.71788871463514</v>
      </c>
      <c r="W4021" t="s">
        <v>76882</v>
      </c>
      <c r="X4021" t="s">
        <v>76883</v>
      </c>
      <c r="Y4021" t="s">
        <v>76884</v>
      </c>
    </row>
    <row r="4022" spans="1:25" x14ac:dyDescent="0.3">
      <c r="A4022">
        <v>201050</v>
      </c>
      <c r="B4022" t="s">
        <v>76885</v>
      </c>
      <c r="C4022" t="s">
        <v>76886</v>
      </c>
      <c r="D4022" t="s">
        <v>76887</v>
      </c>
      <c r="E4022" t="s">
        <v>76888</v>
      </c>
      <c r="F4022" t="s">
        <v>76889</v>
      </c>
      <c r="G4022" t="s">
        <v>76890</v>
      </c>
      <c r="H4022" t="s">
        <v>76891</v>
      </c>
      <c r="I4022" t="s">
        <v>76892</v>
      </c>
      <c r="J4022" t="s">
        <v>76893</v>
      </c>
      <c r="K4022" t="s">
        <v>76894</v>
      </c>
      <c r="L4022" t="s">
        <v>76895</v>
      </c>
      <c r="M4022" t="s">
        <v>76896</v>
      </c>
      <c r="N4022">
        <f>-675.858944530728 -24.0251495153027 -529.469655640587</f>
        <v>-1229.3537496866177</v>
      </c>
      <c r="O4022">
        <f>-656.047165489001 -176.369376419358 -502.333839103131</f>
        <v>-1334.7503810114899</v>
      </c>
      <c r="P4022">
        <f>-664.772370699785 -211.783955777675 -222.605052756969</f>
        <v>-1099.161379234429</v>
      </c>
      <c r="Q4022">
        <f>-468.929074644212 -109.575997158533 -294.350872422251</f>
        <v>-872.85594422499594</v>
      </c>
      <c r="R4022" t="s">
        <v>76897</v>
      </c>
      <c r="S4022" t="s">
        <v>76898</v>
      </c>
      <c r="T4022" t="s">
        <v>76899</v>
      </c>
      <c r="U4022" t="s">
        <v>76900</v>
      </c>
      <c r="V4022">
        <f>-611.302635252518 -73.9199985892812 -93.5557172032625</f>
        <v>-778.77835104506175</v>
      </c>
      <c r="W4022" t="s">
        <v>76901</v>
      </c>
      <c r="X4022" t="s">
        <v>76902</v>
      </c>
      <c r="Y4022" t="s">
        <v>76903</v>
      </c>
    </row>
    <row r="4023" spans="1:25" x14ac:dyDescent="0.3">
      <c r="A4023">
        <v>201100</v>
      </c>
      <c r="B4023" t="s">
        <v>76904</v>
      </c>
      <c r="C4023" t="s">
        <v>76905</v>
      </c>
      <c r="D4023" t="s">
        <v>76906</v>
      </c>
      <c r="E4023" t="s">
        <v>76907</v>
      </c>
      <c r="F4023" t="s">
        <v>76908</v>
      </c>
      <c r="G4023" t="s">
        <v>76909</v>
      </c>
      <c r="H4023" t="s">
        <v>76910</v>
      </c>
      <c r="I4023" t="s">
        <v>76911</v>
      </c>
      <c r="J4023" t="s">
        <v>76912</v>
      </c>
      <c r="K4023" t="s">
        <v>76913</v>
      </c>
      <c r="L4023" t="s">
        <v>76914</v>
      </c>
      <c r="M4023" t="s">
        <v>76915</v>
      </c>
      <c r="N4023">
        <f>-676.551683138256 -25.3191475657582 -529.313916103203</f>
        <v>-1231.1847468072172</v>
      </c>
      <c r="O4023">
        <f>-656.157694439097 -177.555198718001 -502.022455368005</f>
        <v>-1335.7353485251031</v>
      </c>
      <c r="P4023">
        <f>-663.94129418201 -212.570473225682 -222.215481795685</f>
        <v>-1098.7272492033769</v>
      </c>
      <c r="Q4023">
        <f>-468.739603317913 -109.683983334751 -294.735939873849</f>
        <v>-873.15952652651299</v>
      </c>
      <c r="R4023" t="s">
        <v>76916</v>
      </c>
      <c r="S4023" t="s">
        <v>76917</v>
      </c>
      <c r="T4023" t="s">
        <v>76918</v>
      </c>
      <c r="U4023" t="s">
        <v>76919</v>
      </c>
      <c r="V4023">
        <f>-610.988839811437 -74.3634413955517 -93.5344748738241</f>
        <v>-778.8867560808128</v>
      </c>
      <c r="W4023" t="s">
        <v>76920</v>
      </c>
      <c r="X4023" t="s">
        <v>76921</v>
      </c>
      <c r="Y4023" t="s">
        <v>76922</v>
      </c>
    </row>
    <row r="4024" spans="1:25" x14ac:dyDescent="0.3">
      <c r="A4024">
        <v>201150</v>
      </c>
      <c r="B4024" t="s">
        <v>76923</v>
      </c>
      <c r="C4024" t="s">
        <v>76924</v>
      </c>
      <c r="D4024" t="s">
        <v>76925</v>
      </c>
      <c r="E4024" t="s">
        <v>76926</v>
      </c>
      <c r="F4024" t="s">
        <v>76927</v>
      </c>
      <c r="G4024" t="s">
        <v>76928</v>
      </c>
      <c r="H4024" t="s">
        <v>76929</v>
      </c>
      <c r="I4024" t="s">
        <v>76930</v>
      </c>
      <c r="J4024" t="s">
        <v>76931</v>
      </c>
      <c r="K4024" t="s">
        <v>76932</v>
      </c>
      <c r="L4024" t="s">
        <v>76933</v>
      </c>
      <c r="M4024" t="s">
        <v>76934</v>
      </c>
      <c r="N4024">
        <f>-676.725101762579 -25.9787470932629 -529.253389263817</f>
        <v>-1231.957238119659</v>
      </c>
      <c r="O4024">
        <f>-656.068540877393 -178.164500309151 -501.876296943994</f>
        <v>-1336.1093381305382</v>
      </c>
      <c r="P4024">
        <f>-663.493819114159 -213.109757497317 -222.050808739486</f>
        <v>-1098.654385350962</v>
      </c>
      <c r="Q4024">
        <f>-468.572491690665 -109.892390721808 -294.854718483766</f>
        <v>-873.31960089623908</v>
      </c>
      <c r="R4024" t="s">
        <v>76935</v>
      </c>
      <c r="S4024" t="s">
        <v>76936</v>
      </c>
      <c r="T4024" t="s">
        <v>76937</v>
      </c>
      <c r="U4024" t="s">
        <v>76938</v>
      </c>
      <c r="V4024">
        <f>-610.85337311876 -74.6118451244749 -93.5190324090275</f>
        <v>-778.98425065226252</v>
      </c>
      <c r="W4024" t="s">
        <v>76939</v>
      </c>
      <c r="X4024" t="s">
        <v>76940</v>
      </c>
      <c r="Y4024" t="s">
        <v>76941</v>
      </c>
    </row>
    <row r="4025" spans="1:25" x14ac:dyDescent="0.3">
      <c r="A4025">
        <v>201200</v>
      </c>
      <c r="B4025" t="s">
        <v>76942</v>
      </c>
      <c r="C4025" t="s">
        <v>76943</v>
      </c>
      <c r="D4025" t="s">
        <v>76944</v>
      </c>
      <c r="E4025" t="s">
        <v>76945</v>
      </c>
      <c r="F4025" t="s">
        <v>76946</v>
      </c>
      <c r="G4025" t="s">
        <v>76947</v>
      </c>
      <c r="H4025" t="s">
        <v>76948</v>
      </c>
      <c r="I4025" t="s">
        <v>76949</v>
      </c>
      <c r="J4025" t="s">
        <v>76950</v>
      </c>
      <c r="K4025" t="s">
        <v>76951</v>
      </c>
      <c r="L4025" t="s">
        <v>76952</v>
      </c>
      <c r="M4025" t="s">
        <v>76953</v>
      </c>
      <c r="N4025">
        <f>-676.986740379527 -27.4747371994763 -529.142970530472</f>
        <v>-1233.6044481094752</v>
      </c>
      <c r="O4025">
        <f>-655.741825463593 -179.552670444767 -501.60127644021</f>
        <v>-1336.8957723485701</v>
      </c>
      <c r="P4025">
        <f>-662.733170586501 -214.273774700157 -221.736798595697</f>
        <v>-1098.7437438823549</v>
      </c>
      <c r="Q4025">
        <f>-468.248983009042 -110.426238697964 -294.813037033294</f>
        <v>-873.48825874030001</v>
      </c>
      <c r="R4025" t="s">
        <v>76954</v>
      </c>
      <c r="S4025" t="s">
        <v>76955</v>
      </c>
      <c r="T4025" t="s">
        <v>76956</v>
      </c>
      <c r="U4025" t="s">
        <v>76957</v>
      </c>
      <c r="V4025">
        <f>-610.616743981972 -75.3740626535341 -93.4833408160861</f>
        <v>-779.47414745159222</v>
      </c>
      <c r="W4025" t="s">
        <v>76958</v>
      </c>
      <c r="X4025" t="s">
        <v>76959</v>
      </c>
      <c r="Y4025" t="s">
        <v>76960</v>
      </c>
    </row>
    <row r="4026" spans="1:25" x14ac:dyDescent="0.3">
      <c r="A4026">
        <v>201250</v>
      </c>
      <c r="B4026" t="s">
        <v>76961</v>
      </c>
      <c r="C4026" t="s">
        <v>76962</v>
      </c>
      <c r="D4026" t="s">
        <v>76963</v>
      </c>
      <c r="E4026" t="s">
        <v>76964</v>
      </c>
      <c r="F4026" t="s">
        <v>76965</v>
      </c>
      <c r="G4026" t="s">
        <v>76966</v>
      </c>
      <c r="H4026" t="s">
        <v>76967</v>
      </c>
      <c r="I4026" t="s">
        <v>76968</v>
      </c>
      <c r="J4026" t="s">
        <v>76969</v>
      </c>
      <c r="K4026" t="s">
        <v>76970</v>
      </c>
      <c r="L4026" t="s">
        <v>76971</v>
      </c>
      <c r="M4026" t="s">
        <v>76972</v>
      </c>
      <c r="N4026">
        <f>-677.162988518466 -28.2510178762868 -529.092814122988</f>
        <v>-1234.5068205177408</v>
      </c>
      <c r="O4026">
        <f>-655.613380892398 -180.266132848833 -501.440141675314</f>
        <v>-1337.3196554165449</v>
      </c>
      <c r="P4026">
        <f>-662.506523292036 -214.836433986148 -221.554552866229</f>
        <v>-1098.897510144413</v>
      </c>
      <c r="Q4026">
        <f>-468.238818652737 -110.626447907135 -294.690722015562</f>
        <v>-873.55598857543396</v>
      </c>
      <c r="R4026" t="s">
        <v>76973</v>
      </c>
      <c r="S4026" t="s">
        <v>76974</v>
      </c>
      <c r="T4026" t="s">
        <v>76975</v>
      </c>
      <c r="U4026" t="s">
        <v>76976</v>
      </c>
      <c r="V4026">
        <f>-610.538145251696 -75.8252220165011 -93.4714080207102</f>
        <v>-779.83477528890739</v>
      </c>
      <c r="W4026" t="s">
        <v>76977</v>
      </c>
      <c r="X4026" t="s">
        <v>76978</v>
      </c>
      <c r="Y4026" t="s">
        <v>76979</v>
      </c>
    </row>
    <row r="4027" spans="1:25" x14ac:dyDescent="0.3">
      <c r="A4027">
        <v>201300</v>
      </c>
      <c r="B4027" t="s">
        <v>76980</v>
      </c>
      <c r="C4027" t="s">
        <v>76981</v>
      </c>
      <c r="D4027" t="s">
        <v>76982</v>
      </c>
      <c r="E4027" t="s">
        <v>76983</v>
      </c>
      <c r="F4027" t="s">
        <v>76984</v>
      </c>
      <c r="G4027" t="s">
        <v>76985</v>
      </c>
      <c r="H4027" t="s">
        <v>76986</v>
      </c>
      <c r="I4027" t="s">
        <v>76987</v>
      </c>
      <c r="J4027" t="s">
        <v>76988</v>
      </c>
      <c r="K4027" t="s">
        <v>76989</v>
      </c>
      <c r="L4027" t="s">
        <v>76990</v>
      </c>
      <c r="M4027" t="s">
        <v>76991</v>
      </c>
      <c r="N4027">
        <f>-677.065853737993 -29.7105280836945 -529.174084686733</f>
        <v>-1235.9504665084205</v>
      </c>
      <c r="O4027">
        <f>-654.952712491606 -181.622482347543 -501.375500605713</f>
        <v>-1337.950695444862</v>
      </c>
      <c r="P4027">
        <f>-661.801572864879 -215.972470121711 -221.461771462781</f>
        <v>-1099.235814449371</v>
      </c>
      <c r="Q4027">
        <f>-467.956804592218 -110.954336783061 -294.56391503467</f>
        <v>-873.47505640994905</v>
      </c>
      <c r="R4027" t="s">
        <v>76992</v>
      </c>
      <c r="S4027" t="s">
        <v>76993</v>
      </c>
      <c r="T4027" t="s">
        <v>76994</v>
      </c>
      <c r="U4027" t="s">
        <v>76995</v>
      </c>
      <c r="V4027">
        <f>-610.477157981078 -76.8070109646953 -93.5061413102865</f>
        <v>-780.7903102560598</v>
      </c>
      <c r="W4027" t="s">
        <v>76996</v>
      </c>
      <c r="X4027" t="s">
        <v>76997</v>
      </c>
      <c r="Y4027" t="s">
        <v>76998</v>
      </c>
    </row>
    <row r="4028" spans="1:25" x14ac:dyDescent="0.3">
      <c r="A4028">
        <v>201350</v>
      </c>
      <c r="B4028" t="s">
        <v>76999</v>
      </c>
      <c r="C4028" t="s">
        <v>77000</v>
      </c>
      <c r="D4028" t="s">
        <v>77001</v>
      </c>
      <c r="E4028" t="s">
        <v>77002</v>
      </c>
      <c r="F4028" t="s">
        <v>77003</v>
      </c>
      <c r="G4028" t="s">
        <v>77004</v>
      </c>
      <c r="H4028">
        <f>-687.438776559389 -0.187439096206163 -582.71707816807</f>
        <v>-1270.3432938236651</v>
      </c>
      <c r="I4028" t="s">
        <v>77005</v>
      </c>
      <c r="J4028" t="s">
        <v>77006</v>
      </c>
      <c r="K4028" t="s">
        <v>77007</v>
      </c>
      <c r="L4028" t="s">
        <v>77008</v>
      </c>
      <c r="M4028" t="s">
        <v>77009</v>
      </c>
      <c r="N4028">
        <f>-676.764138736291 -30.3160662959535 -529.251461847464</f>
        <v>-1236.3316668797086</v>
      </c>
      <c r="O4028">
        <f>-654.260621129322 -182.151702522722 -501.405947003083</f>
        <v>-1337.818270655127</v>
      </c>
      <c r="P4028">
        <f>-661.245560966908 -216.440635813412 -221.487975931821</f>
        <v>-1099.1741727121409</v>
      </c>
      <c r="Q4028">
        <f>-467.619051274267 -111.038872891284 -294.616294484081</f>
        <v>-873.27421864963196</v>
      </c>
      <c r="R4028" t="s">
        <v>77010</v>
      </c>
      <c r="S4028" t="s">
        <v>77011</v>
      </c>
      <c r="T4028" t="s">
        <v>77012</v>
      </c>
      <c r="U4028" t="s">
        <v>77013</v>
      </c>
      <c r="V4028">
        <f>-610.572604578627 -77.348733866959 -93.5288016710011</f>
        <v>-781.45014011658714</v>
      </c>
      <c r="W4028" t="s">
        <v>77014</v>
      </c>
      <c r="X4028" t="s">
        <v>77015</v>
      </c>
      <c r="Y4028" t="s">
        <v>77016</v>
      </c>
    </row>
    <row r="4029" spans="1:25" x14ac:dyDescent="0.3">
      <c r="A4029">
        <v>201400</v>
      </c>
      <c r="B4029" t="s">
        <v>77017</v>
      </c>
      <c r="C4029" t="s">
        <v>77018</v>
      </c>
      <c r="D4029" t="s">
        <v>77019</v>
      </c>
      <c r="E4029" t="s">
        <v>77020</v>
      </c>
      <c r="F4029" t="s">
        <v>77021</v>
      </c>
      <c r="G4029">
        <f>-676.38859337615 -0.216533705934125 -460.594739513288</f>
        <v>-1137.199866595372</v>
      </c>
      <c r="H4029">
        <f>-687.228479861694 -1.81126241917536 -582.762126021029</f>
        <v>-1271.8018683018984</v>
      </c>
      <c r="I4029" t="s">
        <v>77022</v>
      </c>
      <c r="J4029" t="s">
        <v>77023</v>
      </c>
      <c r="K4029" t="s">
        <v>77024</v>
      </c>
      <c r="L4029" t="s">
        <v>77025</v>
      </c>
      <c r="M4029" t="s">
        <v>77026</v>
      </c>
      <c r="N4029">
        <f>-676.349685239335 -31.8690071145627 -529.297798611217</f>
        <v>-1237.5164909651148</v>
      </c>
      <c r="O4029">
        <f>-652.284950203365 -183.448049109243 -501.363306502213</f>
        <v>-1337.0963058148211</v>
      </c>
      <c r="P4029">
        <f>-659.785212816694 -217.958443930854 -221.485945339288</f>
        <v>-1099.2296020868359</v>
      </c>
      <c r="Q4029">
        <f>-466.906052258135 -111.211559266905 -294.638581136099</f>
        <v>-872.75619266113904</v>
      </c>
      <c r="R4029" t="s">
        <v>77027</v>
      </c>
      <c r="S4029" t="s">
        <v>77028</v>
      </c>
      <c r="T4029" t="s">
        <v>77029</v>
      </c>
      <c r="U4029" t="s">
        <v>77030</v>
      </c>
      <c r="V4029">
        <f>-610.72487213122 -78.5390404179054 -93.550870752995</f>
        <v>-782.81478330212042</v>
      </c>
      <c r="W4029" t="s">
        <v>77031</v>
      </c>
      <c r="X4029" t="s">
        <v>77032</v>
      </c>
      <c r="Y4029" t="s">
        <v>77033</v>
      </c>
    </row>
    <row r="4030" spans="1:25" x14ac:dyDescent="0.3">
      <c r="A4030">
        <v>201450</v>
      </c>
      <c r="B4030" t="s">
        <v>77034</v>
      </c>
      <c r="C4030" t="s">
        <v>77035</v>
      </c>
      <c r="D4030" t="s">
        <v>77036</v>
      </c>
      <c r="E4030" t="s">
        <v>77037</v>
      </c>
      <c r="F4030">
        <f>-669.535732545302 -0.916195546336894 -377.006460466979</f>
        <v>-1047.458388558618</v>
      </c>
      <c r="G4030">
        <f>-677.738520988914 -2.42214583350142 -460.484440073696</f>
        <v>-1140.6451068961114</v>
      </c>
      <c r="H4030">
        <f>-688.088079709495 -4.01085274466163 -582.694520534944</f>
        <v>-1274.7934529891006</v>
      </c>
      <c r="I4030" t="s">
        <v>77038</v>
      </c>
      <c r="J4030" t="s">
        <v>77039</v>
      </c>
      <c r="K4030" t="s">
        <v>77040</v>
      </c>
      <c r="L4030" t="s">
        <v>77041</v>
      </c>
      <c r="M4030" t="s">
        <v>77042</v>
      </c>
      <c r="N4030">
        <f>-676.887311028966 -33.9592644632037 -529.235437893263</f>
        <v>-1240.0820133854327</v>
      </c>
      <c r="O4030">
        <f>-650.491774750146 -185.137185502368 -501.208177176411</f>
        <v>-1336.837137428925</v>
      </c>
      <c r="P4030">
        <f>-658.299598570794 -219.801266702254 -221.358225376963</f>
        <v>-1099.4590906500111</v>
      </c>
      <c r="Q4030">
        <f>-466.746503358172 -110.639956663203 -294.431952924894</f>
        <v>-871.81841294626906</v>
      </c>
      <c r="R4030" t="s">
        <v>77043</v>
      </c>
      <c r="S4030" t="s">
        <v>77044</v>
      </c>
      <c r="T4030" t="s">
        <v>77045</v>
      </c>
      <c r="U4030" t="s">
        <v>77046</v>
      </c>
      <c r="V4030">
        <f>-610.643644166546 -79.7852387848116 -93.5579249675336</f>
        <v>-783.98680791889115</v>
      </c>
      <c r="W4030" t="s">
        <v>77047</v>
      </c>
      <c r="X4030" t="s">
        <v>77048</v>
      </c>
      <c r="Y4030" t="s">
        <v>77049</v>
      </c>
    </row>
    <row r="4031" spans="1:25" x14ac:dyDescent="0.3">
      <c r="A4031">
        <v>201500</v>
      </c>
      <c r="B4031" t="s">
        <v>77050</v>
      </c>
      <c r="C4031" t="s">
        <v>77051</v>
      </c>
      <c r="D4031" t="s">
        <v>77052</v>
      </c>
      <c r="E4031">
        <f>-660.852797402759 -0.0964997057985784 -293.622096158882</f>
        <v>-954.57139326743959</v>
      </c>
      <c r="F4031">
        <f>-670.477218565779 -2.20556781185314 -376.93512186623</f>
        <v>-1049.6179082438621</v>
      </c>
      <c r="G4031">
        <f>-678.547118578256 -3.74122703781177 -460.425572344399</f>
        <v>-1142.7139179604667</v>
      </c>
      <c r="H4031">
        <f>-688.640799733539 -5.35012978686223 -582.656685436189</f>
        <v>-1276.6476149565901</v>
      </c>
      <c r="I4031">
        <f>-677.120486434338 -0.592826998446071 -660.018521903877</f>
        <v>-1337.7318353366609</v>
      </c>
      <c r="J4031" t="s">
        <v>77053</v>
      </c>
      <c r="K4031" t="s">
        <v>77054</v>
      </c>
      <c r="L4031" t="s">
        <v>77055</v>
      </c>
      <c r="M4031" t="s">
        <v>77056</v>
      </c>
      <c r="N4031">
        <f>-677.258331273317 -35.2243111679657 -529.1942789323</f>
        <v>-1241.6769213735827</v>
      </c>
      <c r="O4031">
        <f>-649.479855877946 -186.148549526899 -501.206139662297</f>
        <v>-1336.8345450671418</v>
      </c>
      <c r="P4031">
        <f>-657.375024152209 -221.059377009564 -221.389264710151</f>
        <v>-1099.8236658719238</v>
      </c>
      <c r="Q4031">
        <f>-466.621553546305 -110.356873701872 -294.235766052404</f>
        <v>-871.21419330058097</v>
      </c>
      <c r="R4031" t="s">
        <v>77057</v>
      </c>
      <c r="S4031" t="s">
        <v>77058</v>
      </c>
      <c r="T4031" t="s">
        <v>77059</v>
      </c>
      <c r="U4031" t="s">
        <v>77060</v>
      </c>
      <c r="V4031">
        <f>-610.422703894956 -80.464648609036 -93.5592003121297</f>
        <v>-784.44655281612177</v>
      </c>
      <c r="W4031" t="s">
        <v>77061</v>
      </c>
      <c r="X4031" t="s">
        <v>77062</v>
      </c>
      <c r="Y4031" t="s">
        <v>77063</v>
      </c>
    </row>
    <row r="4032" spans="1:25" x14ac:dyDescent="0.3">
      <c r="A4032">
        <v>201550</v>
      </c>
      <c r="B4032" t="s">
        <v>77064</v>
      </c>
      <c r="C4032" t="s">
        <v>77065</v>
      </c>
      <c r="D4032" t="s">
        <v>77066</v>
      </c>
      <c r="E4032">
        <f>-661.944616060374 -1.40548164915572 -293.533540818896</f>
        <v>-956.88363852842565</v>
      </c>
      <c r="F4032">
        <f>-671.512859285722 -3.60079806982048 -376.850700351579</f>
        <v>-1051.9643577071215</v>
      </c>
      <c r="G4032">
        <f>-679.469905660372 -5.20853856862277 -460.350543241014</f>
        <v>-1145.0289874700088</v>
      </c>
      <c r="H4032">
        <f>-689.336156540669 -6.90718212295587 -582.599141930407</f>
        <v>-1278.8424805940317</v>
      </c>
      <c r="I4032">
        <f>-677.564083794621 -2.00898611548178 -659.914323692528</f>
        <v>-1339.4873936026306</v>
      </c>
      <c r="J4032" t="s">
        <v>77067</v>
      </c>
      <c r="K4032" t="s">
        <v>77068</v>
      </c>
      <c r="L4032" t="s">
        <v>77069</v>
      </c>
      <c r="M4032" t="s">
        <v>77070</v>
      </c>
      <c r="N4032">
        <f>-677.761120197545 -36.6740333144967 -529.118349269011</f>
        <v>-1243.5535027810527</v>
      </c>
      <c r="O4032">
        <f>-648.545913817975 -187.345549258422 -501.16532292917</f>
        <v>-1337.0567860055671</v>
      </c>
      <c r="P4032">
        <f>-656.541876052037 -222.561834798587 -221.389640436392</f>
        <v>-1100.4933512870159</v>
      </c>
      <c r="Q4032">
        <f>-466.688769219626 -110.123528575179 -293.928895876845</f>
        <v>-870.74119367164997</v>
      </c>
      <c r="R4032" t="s">
        <v>77071</v>
      </c>
      <c r="S4032" t="s">
        <v>77072</v>
      </c>
      <c r="T4032" t="s">
        <v>77073</v>
      </c>
      <c r="U4032" t="s">
        <v>77074</v>
      </c>
      <c r="V4032">
        <f>-610.15004119017 -81.302276110499 -93.5333733866953</f>
        <v>-784.98569068736424</v>
      </c>
      <c r="W4032" t="s">
        <v>77075</v>
      </c>
      <c r="X4032" t="s">
        <v>77076</v>
      </c>
      <c r="Y4032" t="s">
        <v>77077</v>
      </c>
    </row>
    <row r="4033" spans="1:25" x14ac:dyDescent="0.3">
      <c r="A4033">
        <v>201600</v>
      </c>
      <c r="B4033" t="s">
        <v>77078</v>
      </c>
      <c r="C4033" t="s">
        <v>77079</v>
      </c>
      <c r="D4033">
        <f>-652.165690386644 -1.08426860574014 -201.230177063322</f>
        <v>-854.48013605570611</v>
      </c>
      <c r="E4033">
        <f>-664.098419888084 -4.28505260601651 -293.280221117215</f>
        <v>-961.66369361131547</v>
      </c>
      <c r="F4033">
        <f>-673.738792802665 -6.71924424637223 -376.582553187516</f>
        <v>-1057.0405902365533</v>
      </c>
      <c r="G4033">
        <f>-681.689533503532 -8.55473676600263 -460.078278295319</f>
        <v>-1150.3225485648536</v>
      </c>
      <c r="H4033">
        <f>-691.459843943298 -10.5749303916589 -582.329710504599</f>
        <v>-1284.3644848395559</v>
      </c>
      <c r="I4033">
        <f>-679.11321518812 -5.44926509895595 -659.540398769866</f>
        <v>-1344.1028790569419</v>
      </c>
      <c r="J4033" t="s">
        <v>77080</v>
      </c>
      <c r="K4033" t="s">
        <v>77081</v>
      </c>
      <c r="L4033" t="s">
        <v>77082</v>
      </c>
      <c r="M4033" t="s">
        <v>77083</v>
      </c>
      <c r="N4033">
        <f>-679.424447190329 -40.0772081345619 -528.803896616998</f>
        <v>-1248.305551941889</v>
      </c>
      <c r="O4033">
        <f>-647.594127808783 -190.190825969205 -500.743884017272</f>
        <v>-1338.52883779526</v>
      </c>
      <c r="P4033">
        <f>-655.089799373623 -225.648768321713 -220.984792971839</f>
        <v>-1101.723360667175</v>
      </c>
      <c r="Q4033">
        <f>-467.18103279968 -109.8448595215 -293.291586367351</f>
        <v>-870.31747868853097</v>
      </c>
      <c r="R4033" t="s">
        <v>77084</v>
      </c>
      <c r="S4033" t="s">
        <v>77085</v>
      </c>
      <c r="T4033" t="s">
        <v>77086</v>
      </c>
      <c r="U4033" t="s">
        <v>77087</v>
      </c>
      <c r="V4033">
        <f>-609.305771220048 -83.8213245711129 -93.4578211599708</f>
        <v>-786.58491695113162</v>
      </c>
      <c r="W4033" t="s">
        <v>77088</v>
      </c>
      <c r="X4033" t="s">
        <v>77089</v>
      </c>
      <c r="Y4033" t="s">
        <v>77090</v>
      </c>
    </row>
    <row r="4034" spans="1:25" x14ac:dyDescent="0.3">
      <c r="A4034">
        <v>201650</v>
      </c>
      <c r="B4034" t="s">
        <v>77091</v>
      </c>
      <c r="C4034" t="s">
        <v>77092</v>
      </c>
      <c r="D4034">
        <f>-652.999005989854 -2.0808412428762 -201.159136328773</f>
        <v>-856.23898356150323</v>
      </c>
      <c r="E4034">
        <f>-665.088462698559 -5.43644268753519 -293.183063510558</f>
        <v>-963.70796889665223</v>
      </c>
      <c r="F4034">
        <f>-674.87154209197 -8.01524982376827 -376.464416201525</f>
        <v>-1059.3512081172632</v>
      </c>
      <c r="G4034">
        <f>-682.967091503831 -9.99677972687368 -459.942963558467</f>
        <v>-1152.9068347891716</v>
      </c>
      <c r="H4034">
        <f>-692.951047835811 -12.2323393827119 -582.17324239122</f>
        <v>-1287.3566296097429</v>
      </c>
      <c r="I4034">
        <f>-680.299681257578 -7.01894263976487 -659.328910126032</f>
        <v>-1346.6475340233749</v>
      </c>
      <c r="J4034" t="s">
        <v>77093</v>
      </c>
      <c r="K4034" t="s">
        <v>77094</v>
      </c>
      <c r="L4034" t="s">
        <v>77095</v>
      </c>
      <c r="M4034" t="s">
        <v>77096</v>
      </c>
      <c r="N4034">
        <f>-680.621969765577 -41.5885317500072 -528.634132505387</f>
        <v>-1250.8446340209712</v>
      </c>
      <c r="O4034">
        <f>-647.72897513388 -191.461763388661 -500.427862153843</f>
        <v>-1339.6186006763839</v>
      </c>
      <c r="P4034">
        <f>-654.560642563029 -226.387744674593 -220.584977502788</f>
        <v>-1101.53336474041</v>
      </c>
      <c r="Q4034">
        <f>-467.535938455155 -109.348356427797 -293.193927436187</f>
        <v>-870.07822231913894</v>
      </c>
      <c r="R4034" t="s">
        <v>77097</v>
      </c>
      <c r="S4034" t="s">
        <v>77098</v>
      </c>
      <c r="T4034" t="s">
        <v>77099</v>
      </c>
      <c r="U4034" t="s">
        <v>77100</v>
      </c>
      <c r="V4034">
        <f>-609.014321928231 -84.4487722386955 -93.4539095506651</f>
        <v>-786.91700371759157</v>
      </c>
      <c r="W4034" t="s">
        <v>77101</v>
      </c>
      <c r="X4034" t="s">
        <v>77102</v>
      </c>
      <c r="Y4034" t="s">
        <v>77103</v>
      </c>
    </row>
    <row r="4035" spans="1:25" x14ac:dyDescent="0.3">
      <c r="A4035">
        <v>201700</v>
      </c>
      <c r="B4035" t="s">
        <v>77104</v>
      </c>
      <c r="C4035" t="s">
        <v>77105</v>
      </c>
      <c r="D4035">
        <f>-654.524820236935 -3.74195255262498 -201.095325773308</f>
        <v>-859.36209856286803</v>
      </c>
      <c r="E4035">
        <f>-667.079918406897 -7.454805644624 -293.043311444899</f>
        <v>-967.57803549642006</v>
      </c>
      <c r="F4035">
        <f>-677.330237873593 -10.3691681733101 -376.257260376125</f>
        <v>-1063.9566664230281</v>
      </c>
      <c r="G4035">
        <f>-685.941375917396 -12.6942628845095 -459.675438251998</f>
        <v>-1158.3110770539035</v>
      </c>
      <c r="H4035">
        <f>-696.731746085275 -15.4421269600759 -581.826667622725</f>
        <v>-1294.0005406680759</v>
      </c>
      <c r="I4035">
        <f>-683.323846744973 -10.0816703534117 -658.844117086418</f>
        <v>-1352.2496341848027</v>
      </c>
      <c r="J4035" t="s">
        <v>77106</v>
      </c>
      <c r="K4035" t="s">
        <v>77107</v>
      </c>
      <c r="L4035" t="s">
        <v>77108</v>
      </c>
      <c r="M4035" t="s">
        <v>77109</v>
      </c>
      <c r="N4035">
        <f>-683.749086554515 -44.4935974979658 -528.275681924508</f>
        <v>-1256.5183659769887</v>
      </c>
      <c r="O4035">
        <f>-649.22264622287 -193.920902630268 -499.668198611984</f>
        <v>-1342.8117474651219</v>
      </c>
      <c r="P4035">
        <f>-654.403108092114 -227.039783257814 -219.570235321347</f>
        <v>-1101.0131266712751</v>
      </c>
      <c r="Q4035">
        <f>-468.96976703542 -108.27674932297 -293.450758508888</f>
        <v>-870.69727486727788</v>
      </c>
      <c r="R4035" t="s">
        <v>77110</v>
      </c>
      <c r="S4035" t="s">
        <v>77111</v>
      </c>
      <c r="T4035" t="s">
        <v>77112</v>
      </c>
      <c r="U4035" t="s">
        <v>77113</v>
      </c>
      <c r="V4035">
        <f>-608.656906829597 -85.9214972731286 -93.5121241586448</f>
        <v>-788.09052826137042</v>
      </c>
      <c r="W4035" t="s">
        <v>77114</v>
      </c>
      <c r="X4035" t="s">
        <v>77115</v>
      </c>
      <c r="Y4035" t="s">
        <v>77116</v>
      </c>
    </row>
    <row r="4036" spans="1:25" x14ac:dyDescent="0.3">
      <c r="A4036">
        <v>201750</v>
      </c>
      <c r="B4036" t="s">
        <v>77117</v>
      </c>
      <c r="C4036" t="s">
        <v>77118</v>
      </c>
      <c r="D4036">
        <f>-655.494097039483 -4.68773922808396 -201.043377529311</f>
        <v>-861.22521379687794</v>
      </c>
      <c r="E4036">
        <f>-668.266268007539 -8.57173932706291 -292.954430744892</f>
        <v>-969.79243807949388</v>
      </c>
      <c r="F4036">
        <f>-678.723757873469 -11.650675505158 -376.136718769812</f>
        <v>-1066.5111521484391</v>
      </c>
      <c r="G4036">
        <f>-687.553726280724 -14.1479829875291 -459.526918164093</f>
        <v>-1161.228627432346</v>
      </c>
      <c r="H4036">
        <f>-698.676709851779 -17.156715671106 -581.642196190031</f>
        <v>-1297.4756217129161</v>
      </c>
      <c r="I4036">
        <f>-684.707905807074 -11.7075918737003 -658.553730304414</f>
        <v>-1354.9692279851884</v>
      </c>
      <c r="J4036" t="s">
        <v>77119</v>
      </c>
      <c r="K4036" t="s">
        <v>77120</v>
      </c>
      <c r="L4036" t="s">
        <v>77121</v>
      </c>
      <c r="M4036" t="s">
        <v>77122</v>
      </c>
      <c r="N4036">
        <f>-685.433966467185 -46.0623089847325 -528.076002346579</f>
        <v>-1259.5722777984965</v>
      </c>
      <c r="O4036">
        <f>-650.312875545834 -195.327882285447 -499.300443960888</f>
        <v>-1344.9412017921691</v>
      </c>
      <c r="P4036">
        <f>-654.732492258794 -227.696372824678 -219.101623039414</f>
        <v>-1101.5304881228858</v>
      </c>
      <c r="Q4036">
        <f>-469.964413376002 -108.335386743061 -293.681904008345</f>
        <v>-871.98170412740797</v>
      </c>
      <c r="R4036" t="s">
        <v>77123</v>
      </c>
      <c r="S4036" t="s">
        <v>77124</v>
      </c>
      <c r="T4036" t="s">
        <v>77125</v>
      </c>
      <c r="U4036" t="s">
        <v>77126</v>
      </c>
      <c r="V4036">
        <f>-608.83705302359 -86.5422177477421 -93.5553100817064</f>
        <v>-788.93458085303848</v>
      </c>
      <c r="W4036" t="s">
        <v>77127</v>
      </c>
      <c r="X4036" t="s">
        <v>77128</v>
      </c>
      <c r="Y4036" t="s">
        <v>77129</v>
      </c>
    </row>
    <row r="4037" spans="1:25" x14ac:dyDescent="0.3">
      <c r="A4037">
        <v>201800</v>
      </c>
      <c r="B4037" t="s">
        <v>77130</v>
      </c>
      <c r="C4037">
        <f>-635.475586780139 -0.714310036546294 -92.4680045444497</f>
        <v>-728.65790136113503</v>
      </c>
      <c r="D4037">
        <f>-657.126178113029 -7.57607838760146 -200.826889960631</f>
        <v>-865.52914646126146</v>
      </c>
      <c r="E4037">
        <f>-670.263353506341 -11.674868296122 -292.677059937522</f>
        <v>-974.61528173998499</v>
      </c>
      <c r="F4037">
        <f>-681.001473149561 -14.9478796459136 -375.816213868592</f>
        <v>-1071.7655666640667</v>
      </c>
      <c r="G4037">
        <f>-690.06389122033 -17.6360799998556 -459.175670149363</f>
        <v>-1166.8756413695487</v>
      </c>
      <c r="H4037">
        <f>-701.473665674029 -20.9197924074542 -581.257353129881</f>
        <v>-1303.6508112113643</v>
      </c>
      <c r="I4037">
        <f>-686.202963452719 -15.2240058252453 -657.903218086186</f>
        <v>-1359.3301873641503</v>
      </c>
      <c r="J4037" t="s">
        <v>77131</v>
      </c>
      <c r="K4037" t="s">
        <v>77132</v>
      </c>
      <c r="L4037" t="s">
        <v>77133</v>
      </c>
      <c r="M4037" t="s">
        <v>77134</v>
      </c>
      <c r="N4037">
        <f>-687.92656342947 -49.6548594667076 -527.675411971295</f>
        <v>-1265.2568348674727</v>
      </c>
      <c r="O4037">
        <f>-652.022396902572 -198.640555279602 -498.488453927529</f>
        <v>-1349.1514061097032</v>
      </c>
      <c r="P4037">
        <f>-655.021096712033 -230.524113431805 -218.215256183484</f>
        <v>-1103.7604663273219</v>
      </c>
      <c r="Q4037">
        <f>-471.46359330253 -110.08070675197 -294.034583603212</f>
        <v>-875.57888365771203</v>
      </c>
      <c r="R4037" t="s">
        <v>77135</v>
      </c>
      <c r="S4037" t="s">
        <v>77136</v>
      </c>
      <c r="T4037" t="s">
        <v>77137</v>
      </c>
      <c r="U4037" t="s">
        <v>77138</v>
      </c>
      <c r="V4037">
        <f>-609.437842744876 -88.5688344458638 -93.5758066902359</f>
        <v>-791.5824838809757</v>
      </c>
      <c r="W4037" t="s">
        <v>77139</v>
      </c>
      <c r="X4037" t="s">
        <v>77140</v>
      </c>
      <c r="Y4037" t="s">
        <v>77141</v>
      </c>
    </row>
    <row r="4038" spans="1:25" x14ac:dyDescent="0.3">
      <c r="A4038">
        <v>201850</v>
      </c>
      <c r="B4038" t="s">
        <v>77142</v>
      </c>
      <c r="C4038">
        <f>-636.578148056652 -3.42453039506336 -92.5096888942963</f>
        <v>-732.51236734601173</v>
      </c>
      <c r="D4038">
        <f>-658.516413215772 -10.5084908195176 -200.796528199132</f>
        <v>-869.82143223442165</v>
      </c>
      <c r="E4038">
        <f>-671.683577141154 -14.7532834589651 -292.635732633506</f>
        <v>-979.07259323362518</v>
      </c>
      <c r="F4038">
        <f>-682.361147599272 -18.1463924080576 -375.777858071803</f>
        <v>-1076.2853980791326</v>
      </c>
      <c r="G4038">
        <f>-691.275678761629 -20.9402901920812 -459.149676072923</f>
        <v>-1171.3656450266333</v>
      </c>
      <c r="H4038">
        <f>-702.373003492274 -24.3631611760627 -581.256473740066</f>
        <v>-1307.9926384084029</v>
      </c>
      <c r="I4038">
        <f>-685.517774611335 -18.2945979630474 -657.540638401081</f>
        <v>-1361.3530109754633</v>
      </c>
      <c r="J4038" t="s">
        <v>77143</v>
      </c>
      <c r="K4038" t="s">
        <v>77144</v>
      </c>
      <c r="L4038" t="s">
        <v>77145</v>
      </c>
      <c r="M4038" t="s">
        <v>77146</v>
      </c>
      <c r="N4038">
        <f>-688.827810201087 -52.9985053740936 -527.62069699977</f>
        <v>-1269.4470125749506</v>
      </c>
      <c r="O4038">
        <f>-652.364846335291 -201.745704467867 -497.943849003193</f>
        <v>-1352.0543998063508</v>
      </c>
      <c r="P4038">
        <f>-655.981397373632 -233.489457125606 -217.662127278362</f>
        <v>-1107.1329817776</v>
      </c>
      <c r="Q4038">
        <f>-472.559675718991 -113.066906274668 -293.842255762537</f>
        <v>-879.46883775619597</v>
      </c>
      <c r="R4038" t="s">
        <v>77147</v>
      </c>
      <c r="S4038" t="s">
        <v>77148</v>
      </c>
      <c r="T4038" t="s">
        <v>77149</v>
      </c>
      <c r="U4038" t="s">
        <v>77150</v>
      </c>
      <c r="V4038">
        <f>-610.376716614709 -90.4687591764969 -93.6639458556037</f>
        <v>-794.50942164680964</v>
      </c>
      <c r="W4038" t="s">
        <v>77151</v>
      </c>
      <c r="X4038" t="s">
        <v>77152</v>
      </c>
      <c r="Y4038" t="s">
        <v>77153</v>
      </c>
    </row>
    <row r="4039" spans="1:25" x14ac:dyDescent="0.3">
      <c r="A4039">
        <v>201900</v>
      </c>
      <c r="B4039" t="s">
        <v>77154</v>
      </c>
      <c r="C4039">
        <f>-637.408593644041 -4.62244316601027 -92.5832608459067</f>
        <v>-734.61429765595801</v>
      </c>
      <c r="D4039">
        <f>-659.398453703026 -11.7645417530694 -200.855759530883</f>
        <v>-872.01875498697837</v>
      </c>
      <c r="E4039">
        <f>-672.504366509567 -16.0712895270021 -292.700845559482</f>
        <v>-981.27650159605116</v>
      </c>
      <c r="F4039">
        <f>-683.083813850727 -19.527950233886 -375.852912180534</f>
        <v>-1078.4646762651471</v>
      </c>
      <c r="G4039">
        <f>-691.857247663251 -22.3914195770476 -459.237247845546</f>
        <v>-1173.4859150858447</v>
      </c>
      <c r="H4039">
        <f>-702.701025480635 -25.9227680475087 -581.363819004018</f>
        <v>-1309.9876125321616</v>
      </c>
      <c r="I4039">
        <f>-685.249623833965 -19.6923718225539 -657.500735047523</f>
        <v>-1362.4427307040419</v>
      </c>
      <c r="J4039" t="s">
        <v>77155</v>
      </c>
      <c r="K4039" t="s">
        <v>77156</v>
      </c>
      <c r="L4039" t="s">
        <v>77157</v>
      </c>
      <c r="M4039" t="s">
        <v>77158</v>
      </c>
      <c r="N4039">
        <f>-689.214267104595 -54.4950109434067 -527.679890192962</f>
        <v>-1271.3891682409637</v>
      </c>
      <c r="O4039">
        <f>-652.536353967278 -203.153069882775 -497.812229882446</f>
        <v>-1353.5016537324991</v>
      </c>
      <c r="P4039">
        <f>-657.193965129876 -234.993615789479 -217.556890558512</f>
        <v>-1109.7444714778671</v>
      </c>
      <c r="Q4039">
        <f>-473.539547599411 -114.584914460757 -293.196462874464</f>
        <v>-881.32092493463188</v>
      </c>
      <c r="R4039" t="s">
        <v>77159</v>
      </c>
      <c r="S4039" t="s">
        <v>77160</v>
      </c>
      <c r="T4039" t="s">
        <v>77161</v>
      </c>
      <c r="U4039" t="s">
        <v>77162</v>
      </c>
      <c r="V4039">
        <f>-611.181100610361 -91.436042618494 -93.7394768408651</f>
        <v>-796.35662006972007</v>
      </c>
      <c r="W4039" t="s">
        <v>77163</v>
      </c>
      <c r="X4039" t="s">
        <v>77164</v>
      </c>
      <c r="Y4039" t="s">
        <v>77165</v>
      </c>
    </row>
    <row r="4040" spans="1:25" x14ac:dyDescent="0.3">
      <c r="A4040">
        <v>201950</v>
      </c>
      <c r="B4040" t="s">
        <v>77166</v>
      </c>
      <c r="C4040">
        <f>-638.368092563965 -5.70476789091595 -92.6506855011335</f>
        <v>-736.72354595601439</v>
      </c>
      <c r="D4040">
        <f>-660.399680438762 -12.8513118901728 -200.914347811566</f>
        <v>-874.1653401405008</v>
      </c>
      <c r="E4040">
        <f>-673.42246860365 -17.1914743507791 -292.769708832558</f>
        <v>-983.38365178698723</v>
      </c>
      <c r="F4040">
        <f>-683.878859239033 -20.6900152995831 -375.935560550409</f>
        <v>-1080.504435089025</v>
      </c>
      <c r="G4040">
        <f>-692.481345896721 -23.6065212989445 -459.336059819764</f>
        <v>-1175.4239270154294</v>
      </c>
      <c r="H4040">
        <f>-703.022512992738 -27.2268309605965 -581.486305852616</f>
        <v>-1311.7356498059507</v>
      </c>
      <c r="I4040">
        <f>-685.114036042313 -20.8603057223877 -657.505795732289</f>
        <v>-1363.4801374969898</v>
      </c>
      <c r="J4040" t="s">
        <v>77167</v>
      </c>
      <c r="K4040" t="s">
        <v>77168</v>
      </c>
      <c r="L4040" t="s">
        <v>77169</v>
      </c>
      <c r="M4040" t="s">
        <v>77170</v>
      </c>
      <c r="N4040">
        <f>-689.624227534127 -55.7470442022318 -527.752538541758</f>
        <v>-1273.1238102781167</v>
      </c>
      <c r="O4040">
        <f>-652.81224063582 -204.335859911286 -497.681712793026</f>
        <v>-1354.829813340132</v>
      </c>
      <c r="P4040">
        <f>-658.543566991709 -236.323133886818 -217.462980461264</f>
        <v>-1112.329681339791</v>
      </c>
      <c r="Q4040">
        <f>-474.636628498323 -115.769857457047 -292.253895255375</f>
        <v>-882.66038121074496</v>
      </c>
      <c r="R4040" t="s">
        <v>77171</v>
      </c>
      <c r="S4040" t="s">
        <v>77172</v>
      </c>
      <c r="T4040" t="s">
        <v>77173</v>
      </c>
      <c r="U4040" t="s">
        <v>77174</v>
      </c>
      <c r="V4040">
        <f>-612.294214163901 -92.4205185717826 -93.8271980352628</f>
        <v>-798.54193077094635</v>
      </c>
      <c r="W4040" t="s">
        <v>77175</v>
      </c>
      <c r="X4040" t="s">
        <v>77176</v>
      </c>
      <c r="Y4040" t="s">
        <v>77177</v>
      </c>
    </row>
    <row r="4041" spans="1:25" x14ac:dyDescent="0.3">
      <c r="A4041">
        <v>202000</v>
      </c>
      <c r="B4041" t="s">
        <v>77178</v>
      </c>
      <c r="C4041">
        <f>-639.944475823381 -7.36391747166886 -92.8207211036363</f>
        <v>-740.12911439868617</v>
      </c>
      <c r="D4041">
        <f>-662.004950169556 -14.4410243163952 -201.083114264715</f>
        <v>-877.52908875066623</v>
      </c>
      <c r="E4041">
        <f>-674.861511756271 -18.8394804096508 -292.959110672215</f>
        <v>-986.66010283813694</v>
      </c>
      <c r="F4041">
        <f>-685.09152715224 -22.4344264765773 -376.14896839528</f>
        <v>-1083.6749220240972</v>
      </c>
      <c r="G4041">
        <f>-693.390934898367 -25.4904005021658 -459.575102625648</f>
        <v>-1178.4564380261809</v>
      </c>
      <c r="H4041">
        <f>-703.404883061747 -29.3605030941437 -581.762109229775</f>
        <v>-1314.5274953856656</v>
      </c>
      <c r="I4041">
        <f>-684.815372675968 -22.9047409524103 -657.610374184151</f>
        <v>-1365.3304878125293</v>
      </c>
      <c r="J4041" t="s">
        <v>77179</v>
      </c>
      <c r="K4041" t="s">
        <v>77180</v>
      </c>
      <c r="L4041" t="s">
        <v>77181</v>
      </c>
      <c r="M4041" t="s">
        <v>77182</v>
      </c>
      <c r="N4041">
        <f>-690.226648300374 -57.7673754983348 -527.913945383729</f>
        <v>-1275.9079691824377</v>
      </c>
      <c r="O4041">
        <f>-653.403619621444 -206.266382607171 -497.41830819421</f>
        <v>-1357.0883104228251</v>
      </c>
      <c r="P4041">
        <f>-660.790290182987 -238.32297559676 -217.246217231608</f>
        <v>-1116.359483011355</v>
      </c>
      <c r="Q4041">
        <f>-476.454338215381 -117.462456112318 -290.468458067209</f>
        <v>-884.38525239490798</v>
      </c>
      <c r="R4041" t="s">
        <v>77183</v>
      </c>
      <c r="S4041" t="s">
        <v>77184</v>
      </c>
      <c r="T4041" t="s">
        <v>77185</v>
      </c>
      <c r="U4041" t="s">
        <v>77186</v>
      </c>
      <c r="V4041">
        <f>-614.314621230156 -94.0360957649987 -94.0105171669547</f>
        <v>-802.36123416210944</v>
      </c>
      <c r="W4041" t="s">
        <v>77187</v>
      </c>
      <c r="X4041" t="s">
        <v>77188</v>
      </c>
      <c r="Y4041" t="s">
        <v>77189</v>
      </c>
    </row>
    <row r="4042" spans="1:25" x14ac:dyDescent="0.3">
      <c r="A4042">
        <v>202050</v>
      </c>
      <c r="B4042" t="s">
        <v>77190</v>
      </c>
      <c r="C4042">
        <f>-640.603790694532 -7.89788102406987 -92.9333422510341</f>
        <v>-741.43501396963597</v>
      </c>
      <c r="D4042">
        <f>-662.662881447581 -14.9278876367175 -201.19913283968</f>
        <v>-878.7899019239785</v>
      </c>
      <c r="E4042">
        <f>-675.464558860389 -19.3502750400644 -293.081594428822</f>
        <v>-987.89642832927541</v>
      </c>
      <c r="F4042">
        <f>-685.623588137775 -22.9903406507847 -376.278207086179</f>
        <v>-1084.8921358747386</v>
      </c>
      <c r="G4042">
        <f>-693.830399034652 -26.1151268153387 -459.711028632496</f>
        <v>-1179.6565544824866</v>
      </c>
      <c r="H4042">
        <f>-703.685373101684 -30.1117758339599 -581.906854328356</f>
        <v>-1315.7040032639998</v>
      </c>
      <c r="I4042">
        <f>-684.796029017853 -23.686474641692 -657.68360212539</f>
        <v>-1366.1661057849351</v>
      </c>
      <c r="J4042" t="s">
        <v>77191</v>
      </c>
      <c r="K4042" t="s">
        <v>77192</v>
      </c>
      <c r="L4042" t="s">
        <v>77193</v>
      </c>
      <c r="M4042" t="s">
        <v>77194</v>
      </c>
      <c r="N4042">
        <f>-690.591811512297 -58.4670435233363 -528.010807098703</f>
        <v>-1277.0696621343363</v>
      </c>
      <c r="O4042">
        <f>-653.932674363102 -206.950623538161 -497.227581265316</f>
        <v>-1358.110879166579</v>
      </c>
      <c r="P4042">
        <f>-661.748270621576 -238.56785278903 -217.017262051727</f>
        <v>-1117.3333854623329</v>
      </c>
      <c r="Q4042">
        <f>-477.283120583108 -117.796975725004 -290.061978352916</f>
        <v>-885.14207466102789</v>
      </c>
      <c r="R4042" t="s">
        <v>77195</v>
      </c>
      <c r="S4042" t="s">
        <v>77196</v>
      </c>
      <c r="T4042" t="s">
        <v>77197</v>
      </c>
      <c r="U4042" t="s">
        <v>77198</v>
      </c>
      <c r="V4042">
        <f>-615.242765006043 -94.5990230732841 -94.1132820595138</f>
        <v>-803.95507013884094</v>
      </c>
      <c r="W4042" t="s">
        <v>77199</v>
      </c>
      <c r="X4042" t="s">
        <v>77200</v>
      </c>
      <c r="Y4042" t="s">
        <v>77201</v>
      </c>
    </row>
    <row r="4043" spans="1:25" x14ac:dyDescent="0.3">
      <c r="A4043">
        <v>202100</v>
      </c>
      <c r="B4043" t="s">
        <v>77202</v>
      </c>
      <c r="C4043">
        <f>-641.511129318762 -8.33167054969044 -93.1707205052589</f>
        <v>-743.01352037371134</v>
      </c>
      <c r="D4043">
        <f>-663.63182341262 -15.3076591094862 -201.427491082691</f>
        <v>-880.36697360479707</v>
      </c>
      <c r="E4043">
        <f>-676.418378608515 -19.8104655334289 -293.308029149284</f>
        <v>-989.53687329122795</v>
      </c>
      <c r="F4043">
        <f>-686.53746717825 -23.5697832609853 -376.504348038359</f>
        <v>-1086.6115984775943</v>
      </c>
      <c r="G4043">
        <f>-694.677519847513 -26.8621104753922 -459.937122772276</f>
        <v>-1181.4767530951813</v>
      </c>
      <c r="H4043">
        <f>-704.405194711653 -31.1557221282869 -582.133079452715</f>
        <v>-1317.6939962926549</v>
      </c>
      <c r="I4043">
        <f>-684.843549735305 -24.9303157622767 -657.75591943873</f>
        <v>-1367.5297849363117</v>
      </c>
      <c r="J4043" t="s">
        <v>77203</v>
      </c>
      <c r="K4043" t="s">
        <v>77204</v>
      </c>
      <c r="L4043" t="s">
        <v>77205</v>
      </c>
      <c r="M4043" t="s">
        <v>77206</v>
      </c>
      <c r="N4043">
        <f>-691.447687071265 -59.4029225751146 -528.14755679206</f>
        <v>-1278.9981664384395</v>
      </c>
      <c r="O4043">
        <f>-655.318638004085 -207.894167655225 -496.778945031425</f>
        <v>-1359.991750690735</v>
      </c>
      <c r="P4043">
        <f>-663.1186251736 -238.051557218309 -216.407364391387</f>
        <v>-1117.5775467832959</v>
      </c>
      <c r="Q4043">
        <f>-478.583870275873 -117.899473610157 -290.291864691814</f>
        <v>-886.77520857784396</v>
      </c>
      <c r="R4043" t="s">
        <v>77207</v>
      </c>
      <c r="S4043" t="s">
        <v>77208</v>
      </c>
      <c r="T4043" t="s">
        <v>77209</v>
      </c>
      <c r="U4043" t="s">
        <v>77210</v>
      </c>
      <c r="V4043">
        <f>-616.625499421217 -95.0017074090463 -94.329432182214</f>
        <v>-805.95663901247724</v>
      </c>
      <c r="W4043" t="s">
        <v>77211</v>
      </c>
      <c r="X4043" t="s">
        <v>77212</v>
      </c>
      <c r="Y4043" t="s">
        <v>77213</v>
      </c>
    </row>
    <row r="4044" spans="1:25" x14ac:dyDescent="0.3">
      <c r="A4044">
        <v>202150</v>
      </c>
      <c r="B4044" t="s">
        <v>77214</v>
      </c>
      <c r="C4044">
        <f>-641.746188381989 -8.16195747383722 -93.2987278624435</f>
        <v>-743.20687371826966</v>
      </c>
      <c r="D4044">
        <f>-663.989388124812 -15.1251497435112 -201.531125921091</f>
        <v>-880.64566378941413</v>
      </c>
      <c r="E4044">
        <f>-676.816867939001 -19.6669398737658 -293.404150693206</f>
        <v>-989.88795850597285</v>
      </c>
      <c r="F4044">
        <f>-686.948311754408 -23.4783761615267 -376.596444088374</f>
        <v>-1087.0231320043088</v>
      </c>
      <c r="G4044">
        <f>-695.075555963444 -26.8410347829936 -460.027827255721</f>
        <v>-1181.9444180021585</v>
      </c>
      <c r="H4044">
        <f>-704.756911248862 -31.2572924088904 -582.22301930413</f>
        <v>-1318.2372229618825</v>
      </c>
      <c r="I4044">
        <f>-684.749528264627 -25.1612409012696 -657.739638737853</f>
        <v>-1367.6504079037495</v>
      </c>
      <c r="J4044" t="s">
        <v>77215</v>
      </c>
      <c r="K4044" t="s">
        <v>77216</v>
      </c>
      <c r="L4044" t="s">
        <v>77217</v>
      </c>
      <c r="M4044" t="s">
        <v>77218</v>
      </c>
      <c r="N4044">
        <f>-691.891381697571 -59.4707609740744 -528.197963098453</f>
        <v>-1279.5601057700983</v>
      </c>
      <c r="O4044">
        <f>-656.17267422926 -207.995370237332 -496.516687370372</f>
        <v>-1360.6847318369639</v>
      </c>
      <c r="P4044">
        <f>-663.623623466382 -237.450298871767 -216.060823123083</f>
        <v>-1117.1347454612321</v>
      </c>
      <c r="Q4044">
        <f>-479.130104200436 -117.684657350391 -290.672178482449</f>
        <v>-887.48694003327603</v>
      </c>
      <c r="R4044" t="s">
        <v>77219</v>
      </c>
      <c r="S4044" t="s">
        <v>77220</v>
      </c>
      <c r="T4044" t="s">
        <v>77221</v>
      </c>
      <c r="U4044" t="s">
        <v>77222</v>
      </c>
      <c r="V4044">
        <f>-617.209541620316 -94.9625230823674 -94.4082756188986</f>
        <v>-806.58034032158207</v>
      </c>
      <c r="W4044" t="s">
        <v>77223</v>
      </c>
      <c r="X4044" t="s">
        <v>77224</v>
      </c>
      <c r="Y4044" t="s">
        <v>77225</v>
      </c>
    </row>
    <row r="4045" spans="1:25" x14ac:dyDescent="0.3">
      <c r="A4045">
        <v>202200</v>
      </c>
      <c r="B4045" t="s">
        <v>77226</v>
      </c>
      <c r="C4045">
        <f>-642.074914623315 -7.0159915663628 -93.5614119433287</f>
        <v>-742.65231813300647</v>
      </c>
      <c r="D4045">
        <f>-664.641670621951 -14.0108305082258 -201.72479515961</f>
        <v>-880.37729628978684</v>
      </c>
      <c r="E4045">
        <f>-677.580799650734 -18.6426293555546 -293.577670486981</f>
        <v>-989.80109949326959</v>
      </c>
      <c r="F4045">
        <f>-687.749395069276 -22.5547218457864 -376.760832502215</f>
        <v>-1087.0649494172774</v>
      </c>
      <c r="G4045">
        <f>-695.848770779965 -26.0398704389761 -460.189710488972</f>
        <v>-1182.078351707913</v>
      </c>
      <c r="H4045">
        <f>-705.417787320309 -30.6585667452505 -582.386451761186</f>
        <v>-1318.4628058267454</v>
      </c>
      <c r="I4045">
        <f>-684.516802190731 -24.8422079060599 -657.682739091743</f>
        <v>-1367.0417491885339</v>
      </c>
      <c r="J4045" t="s">
        <v>77227</v>
      </c>
      <c r="K4045" t="s">
        <v>77228</v>
      </c>
      <c r="L4045" t="s">
        <v>77229</v>
      </c>
      <c r="M4045" t="s">
        <v>77230</v>
      </c>
      <c r="N4045">
        <f>-692.770469079526 -58.8299259417104 -528.287721237964</f>
        <v>-1279.8881162592004</v>
      </c>
      <c r="O4045">
        <f>-657.927120118339 -207.444006538436 -496.095823609644</f>
        <v>-1361.466950266419</v>
      </c>
      <c r="P4045">
        <f>-665.242582873513 -236.058110907609 -215.549270050473</f>
        <v>-1116.849963831595</v>
      </c>
      <c r="Q4045">
        <f>-480.680491229876 -116.982576300971 -291.089901738538</f>
        <v>-888.75296926938495</v>
      </c>
      <c r="R4045" t="s">
        <v>77231</v>
      </c>
      <c r="S4045" t="s">
        <v>77232</v>
      </c>
      <c r="T4045" t="s">
        <v>77233</v>
      </c>
      <c r="U4045" t="s">
        <v>77234</v>
      </c>
      <c r="V4045">
        <f>-618.246009987582 -94.1897956046139 -94.5307591643303</f>
        <v>-806.96656475652628</v>
      </c>
      <c r="W4045" t="s">
        <v>77235</v>
      </c>
      <c r="X4045" t="s">
        <v>77236</v>
      </c>
      <c r="Y4045" t="s">
        <v>77237</v>
      </c>
    </row>
    <row r="4046" spans="1:25" x14ac:dyDescent="0.3">
      <c r="A4046">
        <v>202250</v>
      </c>
      <c r="B4046" t="s">
        <v>77238</v>
      </c>
      <c r="C4046">
        <f>-642.059833524616 -4.7585262438688 -93.8206024319454</f>
        <v>-740.63896220043023</v>
      </c>
      <c r="D4046">
        <f>-664.895567121672 -11.753797821061 -201.927536596728</f>
        <v>-878.57690153946101</v>
      </c>
      <c r="E4046">
        <f>-678.002715104026 -16.4828693519401 -293.751639850144</f>
        <v>-988.23722430611008</v>
      </c>
      <c r="F4046">
        <f>-688.300679170441 -20.5145836890492 -376.913188156769</f>
        <v>-1085.7284510162592</v>
      </c>
      <c r="G4046">
        <f>-696.506099479932 -24.1540295169987 -460.325063816333</f>
        <v>-1180.9851928132637</v>
      </c>
      <c r="H4046">
        <f>-706.204583575629 -29.0360011507182 -582.501323909647</f>
        <v>-1317.7419086359942</v>
      </c>
      <c r="I4046">
        <f>-684.570526039462 -23.497722021604 -657.611295901589</f>
        <v>-1365.6795439626549</v>
      </c>
      <c r="J4046" t="s">
        <v>77239</v>
      </c>
      <c r="K4046" t="s">
        <v>77240</v>
      </c>
      <c r="L4046" t="s">
        <v>77241</v>
      </c>
      <c r="M4046" t="s">
        <v>77242</v>
      </c>
      <c r="N4046">
        <f>-693.661449475941 -57.1352550243373 -528.340844416467</f>
        <v>-1279.1375489167453</v>
      </c>
      <c r="O4046">
        <f>-659.632460354341 -205.839321177641 -495.670255981947</f>
        <v>-1361.1420375139292</v>
      </c>
      <c r="P4046">
        <f>-667.517562516562 -233.746667921032 -215.068024699784</f>
        <v>-1116.3322551373778</v>
      </c>
      <c r="Q4046">
        <f>-482.362564473329 -115.619061552306 -290.645819683233</f>
        <v>-888.62744570886798</v>
      </c>
      <c r="R4046" t="s">
        <v>77243</v>
      </c>
      <c r="S4046" t="s">
        <v>77244</v>
      </c>
      <c r="T4046" t="s">
        <v>77245</v>
      </c>
      <c r="U4046" t="s">
        <v>77246</v>
      </c>
      <c r="V4046">
        <f>-618.953136946754 -92.385508644425 -94.6177242914835</f>
        <v>-805.95636988266244</v>
      </c>
      <c r="W4046" t="s">
        <v>77247</v>
      </c>
      <c r="X4046" t="s">
        <v>77248</v>
      </c>
      <c r="Y4046" t="s">
        <v>77249</v>
      </c>
    </row>
    <row r="4047" spans="1:25" x14ac:dyDescent="0.3">
      <c r="A4047">
        <v>202300</v>
      </c>
      <c r="B4047" t="s">
        <v>77250</v>
      </c>
      <c r="C4047">
        <f>-641.96796062611 -3.33228779147839 -93.9203318097991</f>
        <v>-739.22058022738747</v>
      </c>
      <c r="D4047">
        <f>-664.932976701503 -10.3156114125122 -202.000558867183</f>
        <v>-877.24914698119824</v>
      </c>
      <c r="E4047">
        <f>-678.112809788929 -15.0888888395989 -293.812001753764</f>
        <v>-987.01370038229186</v>
      </c>
      <c r="F4047">
        <f>-688.462503680829 -19.1786207185303 -376.964217098028</f>
        <v>-1084.6053414973871</v>
      </c>
      <c r="G4047">
        <f>-696.705258855667 -22.8956939731736 -460.369105512291</f>
        <v>-1179.9700583411316</v>
      </c>
      <c r="H4047">
        <f>-706.442172877969 -27.9118389279927 -582.536837505008</f>
        <v>-1316.8908493109698</v>
      </c>
      <c r="I4047">
        <f>-684.380550502779 -22.494681036118 -657.531235705359</f>
        <v>-1364.406467244256</v>
      </c>
      <c r="J4047" t="s">
        <v>77251</v>
      </c>
      <c r="K4047" t="s">
        <v>77252</v>
      </c>
      <c r="L4047" t="s">
        <v>77253</v>
      </c>
      <c r="M4047" t="s">
        <v>77254</v>
      </c>
      <c r="N4047">
        <f>-693.968800118343 -55.975043505226 -528.341689326513</f>
        <v>-1278.2855329500821</v>
      </c>
      <c r="O4047">
        <f>-660.396400762805 -204.716735736614 -495.408399486971</f>
        <v>-1360.5215359863901</v>
      </c>
      <c r="P4047">
        <f>-668.54490247038 -232.310091516046 -214.782636975337</f>
        <v>-1115.6376309617629</v>
      </c>
      <c r="Q4047">
        <f>-482.968175206245 -114.726151295574 -290.173981510616</f>
        <v>-887.86830801243491</v>
      </c>
      <c r="R4047" t="s">
        <v>77255</v>
      </c>
      <c r="S4047" t="s">
        <v>77256</v>
      </c>
      <c r="T4047" t="s">
        <v>77257</v>
      </c>
      <c r="U4047" t="s">
        <v>77258</v>
      </c>
      <c r="V4047">
        <f>-619.260678381076 -91.2468658735004 -94.6472372910637</f>
        <v>-805.15478154564005</v>
      </c>
      <c r="W4047" t="s">
        <v>77259</v>
      </c>
      <c r="X4047" t="s">
        <v>77260</v>
      </c>
      <c r="Y4047" t="s">
        <v>77261</v>
      </c>
    </row>
    <row r="4048" spans="1:25" x14ac:dyDescent="0.3">
      <c r="A4048">
        <v>202350</v>
      </c>
      <c r="B4048" t="s">
        <v>77262</v>
      </c>
      <c r="C4048">
        <f>-641.789797471911 -1.76856586928011 -94.0033404186361</f>
        <v>-737.5617037598272</v>
      </c>
      <c r="D4048">
        <f>-664.906793022813 -8.77031645205989 -202.049949789581</f>
        <v>-875.72705926445383</v>
      </c>
      <c r="E4048">
        <f>-678.152245079904 -13.6008464100485 -293.849027263957</f>
        <v>-985.60211875390951</v>
      </c>
      <c r="F4048">
        <f>-688.536614420224 -17.7557265295245 -376.993675484719</f>
        <v>-1083.2860164344675</v>
      </c>
      <c r="G4048">
        <f>-696.788722308999 -21.5525265929768 -460.393969342739</f>
        <v>-1178.7352182447148</v>
      </c>
      <c r="H4048">
        <f>-706.511680153313 -26.7017644762284 -582.557351551937</f>
        <v>-1315.7707961814785</v>
      </c>
      <c r="I4048">
        <f>-683.977548873193 -21.3945775184611 -657.418958360412</f>
        <v>-1362.7910847520661</v>
      </c>
      <c r="J4048" t="s">
        <v>77263</v>
      </c>
      <c r="K4048" t="s">
        <v>77264</v>
      </c>
      <c r="L4048" t="s">
        <v>77265</v>
      </c>
      <c r="M4048" t="s">
        <v>77266</v>
      </c>
      <c r="N4048">
        <f>-694.136542338578 -54.7305089921372 -528.321858069055</f>
        <v>-1277.1889093997702</v>
      </c>
      <c r="O4048">
        <f>-660.99418393635 -203.508580219448 -495.12841330488</f>
        <v>-1359.6311774606781</v>
      </c>
      <c r="P4048">
        <f>-669.518465098602 -230.794804887442 -214.483700129459</f>
        <v>-1114.796970115503</v>
      </c>
      <c r="Q4048">
        <f>-483.452921278712 -113.833300548223 -289.637699384623</f>
        <v>-886.92392121155785</v>
      </c>
      <c r="R4048" t="s">
        <v>77267</v>
      </c>
      <c r="S4048" t="s">
        <v>77268</v>
      </c>
      <c r="T4048" t="s">
        <v>77269</v>
      </c>
      <c r="U4048" t="s">
        <v>77270</v>
      </c>
      <c r="V4048">
        <f>-619.422650024742 -90.0122944181214 -94.6562602957258</f>
        <v>-804.09120473858923</v>
      </c>
      <c r="W4048" t="s">
        <v>77271</v>
      </c>
      <c r="X4048" t="s">
        <v>77272</v>
      </c>
      <c r="Y4048" t="s">
        <v>77273</v>
      </c>
    </row>
    <row r="4049" spans="1:25" x14ac:dyDescent="0.3">
      <c r="A4049">
        <v>202400</v>
      </c>
      <c r="B4049" t="s">
        <v>77274</v>
      </c>
      <c r="C4049" t="s">
        <v>77275</v>
      </c>
      <c r="D4049">
        <f>-664.700197983223 -5.2925471492681 -202.090874844706</f>
        <v>-872.08361997719715</v>
      </c>
      <c r="E4049">
        <f>-678.033479460818 -10.2198059325849 -293.871937318207</f>
        <v>-982.12522271160992</v>
      </c>
      <c r="F4049">
        <f>-688.420653291655 -14.4816498926605 -377.010943972072</f>
        <v>-1079.9132471563876</v>
      </c>
      <c r="G4049">
        <f>-696.597679707146 -18.408002365235 -460.412653601332</f>
        <v>-1175.418335673713</v>
      </c>
      <c r="H4049">
        <f>-706.124955439573 -23.7706759643186 -582.582183694726</f>
        <v>-1312.4778150986176</v>
      </c>
      <c r="I4049">
        <f>-682.67581510629 -18.6431377667027 -657.174966072631</f>
        <v>-1358.4939189456236</v>
      </c>
      <c r="J4049" t="s">
        <v>77276</v>
      </c>
      <c r="K4049" t="s">
        <v>77277</v>
      </c>
      <c r="L4049" t="s">
        <v>77278</v>
      </c>
      <c r="M4049" t="s">
        <v>77279</v>
      </c>
      <c r="N4049">
        <f>-694.022975329334 -51.7534307601777 -528.261416166371</f>
        <v>-1274.0378222558827</v>
      </c>
      <c r="O4049">
        <f>-661.795484384722 -200.62519118158 -494.552444921608</f>
        <v>-1356.9731204879101</v>
      </c>
      <c r="P4049">
        <f>-671.405096184648 -227.44236458448 -213.897874817998</f>
        <v>-1112.745335587126</v>
      </c>
      <c r="Q4049">
        <f>-484.440351660183 -111.729163164131 -288.7520105333</f>
        <v>-884.92152535761397</v>
      </c>
      <c r="R4049" t="s">
        <v>77280</v>
      </c>
      <c r="S4049" t="s">
        <v>77281</v>
      </c>
      <c r="T4049" t="s">
        <v>77282</v>
      </c>
      <c r="U4049" t="s">
        <v>77283</v>
      </c>
      <c r="V4049">
        <f>-619.521666791768 -87.1347933587722 -94.6196812906713</f>
        <v>-801.27614144121151</v>
      </c>
      <c r="W4049" t="s">
        <v>77284</v>
      </c>
      <c r="X4049" t="s">
        <v>77285</v>
      </c>
      <c r="Y4049" t="s">
        <v>77286</v>
      </c>
    </row>
    <row r="4050" spans="1:25" x14ac:dyDescent="0.3">
      <c r="A4050">
        <v>202450</v>
      </c>
      <c r="B4050" t="s">
        <v>77287</v>
      </c>
      <c r="C4050" t="s">
        <v>77288</v>
      </c>
      <c r="D4050">
        <f>-664.587542509228 -3.45343324441797 -202.11588280629</f>
        <v>-870.15685855993593</v>
      </c>
      <c r="E4050">
        <f>-677.916207203153 -8.39478644439646 -293.896884707017</f>
        <v>-980.20787835456645</v>
      </c>
      <c r="F4050">
        <f>-688.2614393747 -12.6703094527018 -377.040444043092</f>
        <v>-1077.9721928704937</v>
      </c>
      <c r="G4050">
        <f>-696.358111340816 -16.6128475280477 -460.449209213688</f>
        <v>-1173.4201680825518</v>
      </c>
      <c r="H4050">
        <f>-705.725625510066 -22.0015258701308 -582.629918177918</f>
        <v>-1310.3570695581147</v>
      </c>
      <c r="I4050">
        <f>-681.895319744957 -16.928893735605 -657.10541137618</f>
        <v>-1355.9296248567421</v>
      </c>
      <c r="J4050" t="s">
        <v>77289</v>
      </c>
      <c r="K4050" t="s">
        <v>77290</v>
      </c>
      <c r="L4050" t="s">
        <v>77291</v>
      </c>
      <c r="M4050" t="s">
        <v>77292</v>
      </c>
      <c r="N4050">
        <f>-693.787408851318 -49.9965601250403 -528.279303254148</f>
        <v>-1272.0632722305063</v>
      </c>
      <c r="O4050">
        <f>-662.146330369261 -198.950121902771 -494.361518086127</f>
        <v>-1355.4579703581589</v>
      </c>
      <c r="P4050">
        <f>-672.307834499336 -225.605107115056 -213.710927491608</f>
        <v>-1111.6238691059998</v>
      </c>
      <c r="Q4050">
        <f>-484.898241408889 -110.49122727036 -288.376717941472</f>
        <v>-883.7661866207211</v>
      </c>
      <c r="R4050" t="s">
        <v>77293</v>
      </c>
      <c r="S4050" t="s">
        <v>77294</v>
      </c>
      <c r="T4050" t="s">
        <v>77295</v>
      </c>
      <c r="U4050" t="s">
        <v>77296</v>
      </c>
      <c r="V4050">
        <f>-619.637599373678 -85.6309872940333 -94.5886851575763</f>
        <v>-799.85727182528751</v>
      </c>
      <c r="W4050" t="s">
        <v>77297</v>
      </c>
      <c r="X4050" t="s">
        <v>77298</v>
      </c>
      <c r="Y4050" t="s">
        <v>77299</v>
      </c>
    </row>
    <row r="4051" spans="1:25" x14ac:dyDescent="0.3">
      <c r="A4051">
        <v>202500</v>
      </c>
      <c r="B4051" t="s">
        <v>77300</v>
      </c>
      <c r="C4051" t="s">
        <v>77301</v>
      </c>
      <c r="D4051" t="s">
        <v>77302</v>
      </c>
      <c r="E4051">
        <f>-677.317824418589 -4.63265650780545 -293.993629840615</f>
        <v>-975.94411076700942</v>
      </c>
      <c r="F4051">
        <f>-687.403522676672 -8.86533922842636 -377.171129086557</f>
        <v>-1073.4399909916553</v>
      </c>
      <c r="G4051">
        <f>-695.14399833731 -12.7562006274518 -460.616205694639</f>
        <v>-1168.5164046594009</v>
      </c>
      <c r="H4051">
        <f>-703.884580894931 -18.0587039550358 -582.847193874027</f>
        <v>-1304.7904787239936</v>
      </c>
      <c r="I4051">
        <f>-679.404077137572 -13.0486056763941 -657.115767788063</f>
        <v>-1349.5684506020291</v>
      </c>
      <c r="J4051" t="s">
        <v>77303</v>
      </c>
      <c r="K4051" t="s">
        <v>77304</v>
      </c>
      <c r="L4051" t="s">
        <v>77305</v>
      </c>
      <c r="M4051" t="s">
        <v>77306</v>
      </c>
      <c r="N4051">
        <f>-692.417652077074 -46.1406603727928 -528.439868502127</f>
        <v>-1266.9981809519936</v>
      </c>
      <c r="O4051">
        <f>-662.056994212317 -195.279925383442 -494.199245224978</f>
        <v>-1351.536164820737</v>
      </c>
      <c r="P4051">
        <f>-673.463221069652 -221.618830821337 -213.56651466746</f>
        <v>-1108.6485665584491</v>
      </c>
      <c r="Q4051">
        <f>-485.12229751124 -107.660264967462 -287.658605286184</f>
        <v>-880.4411677648859</v>
      </c>
      <c r="R4051" t="s">
        <v>77307</v>
      </c>
      <c r="S4051" t="s">
        <v>77308</v>
      </c>
      <c r="T4051" t="s">
        <v>77309</v>
      </c>
      <c r="U4051" t="s">
        <v>77310</v>
      </c>
      <c r="V4051">
        <f>-619.881290753654 -82.5102865868882 -94.5242753304672</f>
        <v>-796.91585267100936</v>
      </c>
      <c r="W4051" t="s">
        <v>77311</v>
      </c>
      <c r="X4051" t="s">
        <v>77312</v>
      </c>
      <c r="Y4051" t="s">
        <v>77313</v>
      </c>
    </row>
    <row r="4052" spans="1:25" x14ac:dyDescent="0.3">
      <c r="A4052">
        <v>202550</v>
      </c>
      <c r="B4052" t="s">
        <v>77314</v>
      </c>
      <c r="C4052" t="s">
        <v>77315</v>
      </c>
      <c r="D4052" t="s">
        <v>77316</v>
      </c>
      <c r="E4052">
        <f>-676.922645580332 -2.70951445978676 -294.042657115563</f>
        <v>-973.67481715568169</v>
      </c>
      <c r="F4052">
        <f>-686.860494940095 -6.93119134507197 -377.238542447892</f>
        <v>-1071.0302287330589</v>
      </c>
      <c r="G4052">
        <f>-694.407318378766 -10.8095321149403 -460.701932067208</f>
        <v>-1165.9187825609145</v>
      </c>
      <c r="H4052">
        <f>-702.814573169762 -16.091904467879 -582.957154920859</f>
        <v>-1301.8636325584998</v>
      </c>
      <c r="I4052">
        <f>-678.084473255858 -11.1453386504445 -657.147250383127</f>
        <v>-1346.3770622894294</v>
      </c>
      <c r="J4052" t="s">
        <v>77317</v>
      </c>
      <c r="K4052" t="s">
        <v>77318</v>
      </c>
      <c r="L4052" t="s">
        <v>77319</v>
      </c>
      <c r="M4052" t="s">
        <v>77320</v>
      </c>
      <c r="N4052">
        <f>-691.609754663052 -44.2109212381577 -528.514352359273</f>
        <v>-1264.3350282604824</v>
      </c>
      <c r="O4052">
        <f>-661.904596810213 -193.449001634039 -494.155432124173</f>
        <v>-1349.5090305684248</v>
      </c>
      <c r="P4052">
        <f>-673.954439362656 -219.73732600735 -213.544821146351</f>
        <v>-1107.236586516357</v>
      </c>
      <c r="Q4052">
        <f>-485.118362400814 -106.311462108421 -287.192926550216</f>
        <v>-878.62275105945105</v>
      </c>
      <c r="R4052" t="s">
        <v>77321</v>
      </c>
      <c r="S4052" t="s">
        <v>77322</v>
      </c>
      <c r="T4052" t="s">
        <v>77323</v>
      </c>
      <c r="U4052" t="s">
        <v>77324</v>
      </c>
      <c r="V4052">
        <f>-619.95730229613 -80.9470311893811 -94.4810360535887</f>
        <v>-795.38536953909977</v>
      </c>
      <c r="W4052" t="s">
        <v>77325</v>
      </c>
      <c r="X4052" t="s">
        <v>77326</v>
      </c>
      <c r="Y4052" t="s">
        <v>77327</v>
      </c>
    </row>
    <row r="4053" spans="1:25" x14ac:dyDescent="0.3">
      <c r="A4053">
        <v>202600</v>
      </c>
      <c r="B4053" t="s">
        <v>77328</v>
      </c>
      <c r="C4053" t="s">
        <v>77329</v>
      </c>
      <c r="D4053" t="s">
        <v>77330</v>
      </c>
      <c r="E4053" t="s">
        <v>77331</v>
      </c>
      <c r="F4053">
        <f>-685.748651225351 -3.01460951901436 -377.358954588356</f>
        <v>-1066.1222153327212</v>
      </c>
      <c r="G4053">
        <f>-692.95019882192 -6.85726213793373 -460.854462669496</f>
        <v>-1160.6619236293498</v>
      </c>
      <c r="H4053">
        <f>-700.767509476416 -12.0897279773108 -583.150822584132</f>
        <v>-1296.0080600378587</v>
      </c>
      <c r="I4053">
        <f>-675.588313794816 -7.27147590934919 -657.19818589064</f>
        <v>-1340.0579755948052</v>
      </c>
      <c r="J4053" t="s">
        <v>77332</v>
      </c>
      <c r="K4053" t="s">
        <v>77333</v>
      </c>
      <c r="L4053" t="s">
        <v>77334</v>
      </c>
      <c r="M4053" t="s">
        <v>77335</v>
      </c>
      <c r="N4053">
        <f>-690.046120639423 -40.2841333124568 -528.649700695488</f>
        <v>-1258.9799546473678</v>
      </c>
      <c r="O4053">
        <f>-661.607632452765 -189.718173717195 -494.047468025189</f>
        <v>-1345.373274195149</v>
      </c>
      <c r="P4053">
        <f>-674.97577726146 -216.150206056131 -213.510076136577</f>
        <v>-1104.6360594541679</v>
      </c>
      <c r="Q4053">
        <f>-485.179499458379 -103.599498931972 -286.023698653476</f>
        <v>-874.80269704382704</v>
      </c>
      <c r="R4053" t="s">
        <v>77336</v>
      </c>
      <c r="S4053" t="s">
        <v>77337</v>
      </c>
      <c r="T4053" t="s">
        <v>77338</v>
      </c>
      <c r="U4053" t="s">
        <v>77339</v>
      </c>
      <c r="V4053">
        <f>-619.985110696577 -77.7527060115756 -94.4043409832331</f>
        <v>-792.14215769138559</v>
      </c>
      <c r="W4053" t="s">
        <v>77340</v>
      </c>
      <c r="X4053" t="s">
        <v>77341</v>
      </c>
      <c r="Y4053" t="s">
        <v>77342</v>
      </c>
    </row>
    <row r="4054" spans="1:25" x14ac:dyDescent="0.3">
      <c r="A4054">
        <v>202650</v>
      </c>
      <c r="B4054" t="s">
        <v>77343</v>
      </c>
      <c r="C4054" t="s">
        <v>77344</v>
      </c>
      <c r="D4054" t="s">
        <v>77345</v>
      </c>
      <c r="E4054" t="s">
        <v>77346</v>
      </c>
      <c r="F4054">
        <f>-685.166642788227 -0.935090176993299 -377.386438384513</f>
        <v>-1063.4881713497334</v>
      </c>
      <c r="G4054">
        <f>-692.20532045194 -4.74000649701338 -460.897722357841</f>
        <v>-1157.8430493067945</v>
      </c>
      <c r="H4054">
        <f>-699.747931868398 -9.92214012414524 -583.213462345894</f>
        <v>-1292.8835343384371</v>
      </c>
      <c r="I4054">
        <f>-674.380203858262 -5.1727176362208 -657.200977143011</f>
        <v>-1336.7538986374939</v>
      </c>
      <c r="J4054" t="s">
        <v>77347</v>
      </c>
      <c r="K4054" t="s">
        <v>77348</v>
      </c>
      <c r="L4054" t="s">
        <v>77349</v>
      </c>
      <c r="M4054" t="s">
        <v>77350</v>
      </c>
      <c r="N4054">
        <f>-689.266138061845 -38.1664963844544 -528.691752696704</f>
        <v>-1256.1243871430033</v>
      </c>
      <c r="O4054">
        <f>-661.477917895531 -187.706138181158 -494.001174609752</f>
        <v>-1343.1852306864412</v>
      </c>
      <c r="P4054">
        <f>-675.497212997755 -214.183266542768 -213.49979779106</f>
        <v>-1103.1802773315831</v>
      </c>
      <c r="Q4054">
        <f>-485.217600205371 -102.067374197739 -285.417952234639</f>
        <v>-872.70292663774899</v>
      </c>
      <c r="R4054" t="s">
        <v>77351</v>
      </c>
      <c r="S4054" t="s">
        <v>77352</v>
      </c>
      <c r="T4054" t="s">
        <v>77353</v>
      </c>
      <c r="U4054" t="s">
        <v>77354</v>
      </c>
      <c r="V4054">
        <f>-620.022528814354 -76.0894993536228 -94.3526110804515</f>
        <v>-790.4646392484284</v>
      </c>
      <c r="W4054" t="s">
        <v>77355</v>
      </c>
      <c r="X4054" t="s">
        <v>77356</v>
      </c>
      <c r="Y4054" t="s">
        <v>77357</v>
      </c>
    </row>
    <row r="4055" spans="1:25" x14ac:dyDescent="0.3">
      <c r="A4055">
        <v>202700</v>
      </c>
      <c r="B4055" t="s">
        <v>77358</v>
      </c>
      <c r="C4055" t="s">
        <v>77359</v>
      </c>
      <c r="D4055" t="s">
        <v>77360</v>
      </c>
      <c r="E4055" t="s">
        <v>77361</v>
      </c>
      <c r="F4055" t="s">
        <v>77362</v>
      </c>
      <c r="G4055">
        <f>-691.038109669517 -0.0972152643598747 -460.885926353393</f>
        <v>-1152.0212512872699</v>
      </c>
      <c r="H4055">
        <f>-698.111338327429 -5.08520594458423 -583.23795765919</f>
        <v>-1286.4345019312032</v>
      </c>
      <c r="I4055">
        <f>-672.453706134037 -0.473665345992913 -657.134002773989</f>
        <v>-1330.061374254019</v>
      </c>
      <c r="J4055" t="s">
        <v>77363</v>
      </c>
      <c r="K4055" t="s">
        <v>77364</v>
      </c>
      <c r="L4055" t="s">
        <v>77365</v>
      </c>
      <c r="M4055" t="s">
        <v>77366</v>
      </c>
      <c r="N4055">
        <f>-688.099949604344 -33.4758372014337 -528.703693046323</f>
        <v>-1250.2794798521008</v>
      </c>
      <c r="O4055">
        <f>-661.745899367896 -183.265104806635 -493.951409439981</f>
        <v>-1338.9624136145119</v>
      </c>
      <c r="P4055">
        <f>-677.16083245364 -209.806797847843 -213.52944579678</f>
        <v>-1100.4970760982628</v>
      </c>
      <c r="Q4055">
        <f>-485.647332544327 -98.8191199981929 -283.906340782409</f>
        <v>-868.37279332492903</v>
      </c>
      <c r="R4055" t="s">
        <v>77367</v>
      </c>
      <c r="S4055" t="s">
        <v>77368</v>
      </c>
      <c r="T4055" t="s">
        <v>77369</v>
      </c>
      <c r="U4055" t="s">
        <v>77370</v>
      </c>
      <c r="V4055">
        <f>-620.062157856846 -72.9379513574177 -94.2403701388942</f>
        <v>-787.24047935315798</v>
      </c>
      <c r="W4055" t="s">
        <v>77371</v>
      </c>
      <c r="X4055" t="s">
        <v>77372</v>
      </c>
      <c r="Y4055" t="s">
        <v>77373</v>
      </c>
    </row>
    <row r="4056" spans="1:25" x14ac:dyDescent="0.3">
      <c r="A4056">
        <v>202750</v>
      </c>
      <c r="B4056" t="s">
        <v>77374</v>
      </c>
      <c r="C4056" t="s">
        <v>77375</v>
      </c>
      <c r="D4056" t="s">
        <v>77376</v>
      </c>
      <c r="E4056" t="s">
        <v>77377</v>
      </c>
      <c r="F4056" t="s">
        <v>77378</v>
      </c>
      <c r="G4056" t="s">
        <v>77379</v>
      </c>
      <c r="H4056">
        <f>-696.551978831124 -0.0948405975507285 -583.255435860273</f>
        <v>-1279.9022552889478</v>
      </c>
      <c r="I4056" t="s">
        <v>77380</v>
      </c>
      <c r="J4056" t="s">
        <v>77381</v>
      </c>
      <c r="K4056" t="s">
        <v>77382</v>
      </c>
      <c r="L4056" t="s">
        <v>77383</v>
      </c>
      <c r="M4056" t="s">
        <v>77384</v>
      </c>
      <c r="N4056">
        <f>-687.066053976371 -28.6399246287165 -528.707836748528</f>
        <v>-1244.4138153536155</v>
      </c>
      <c r="O4056">
        <f>-662.317266522455 -178.705058719057 -493.998291295295</f>
        <v>-1335.020616536807</v>
      </c>
      <c r="P4056">
        <f>-679.476206623881 -205.946769503186 -213.744615965446</f>
        <v>-1099.1675920925131</v>
      </c>
      <c r="Q4056">
        <f>-486.851483640823 -95.6622361802806 -282.166649921936</f>
        <v>-864.68036974303959</v>
      </c>
      <c r="R4056" t="s">
        <v>77385</v>
      </c>
      <c r="S4056" t="s">
        <v>77386</v>
      </c>
      <c r="T4056" t="s">
        <v>77387</v>
      </c>
      <c r="U4056" t="s">
        <v>77388</v>
      </c>
      <c r="V4056">
        <f>-620.217650567931 -69.8740621051938 -94.0944499296704</f>
        <v>-784.18616260279521</v>
      </c>
      <c r="W4056" t="s">
        <v>77389</v>
      </c>
      <c r="X4056" t="s">
        <v>77390</v>
      </c>
      <c r="Y4056" t="s">
        <v>77391</v>
      </c>
    </row>
    <row r="4057" spans="1:25" x14ac:dyDescent="0.3">
      <c r="A4057">
        <v>202800</v>
      </c>
      <c r="B4057" t="s">
        <v>77392</v>
      </c>
      <c r="C4057" t="s">
        <v>77393</v>
      </c>
      <c r="D4057" t="s">
        <v>77394</v>
      </c>
      <c r="E4057" t="s">
        <v>77395</v>
      </c>
      <c r="F4057" t="s">
        <v>77396</v>
      </c>
      <c r="G4057" t="s">
        <v>77397</v>
      </c>
      <c r="H4057" t="s">
        <v>77398</v>
      </c>
      <c r="I4057" t="s">
        <v>77399</v>
      </c>
      <c r="J4057" t="s">
        <v>77400</v>
      </c>
      <c r="K4057" t="s">
        <v>77401</v>
      </c>
      <c r="L4057" t="s">
        <v>77402</v>
      </c>
      <c r="M4057" t="s">
        <v>77403</v>
      </c>
      <c r="N4057">
        <f>-686.425000818203 -26.4810866003841 -528.743840760466</f>
        <v>-1241.6499281790529</v>
      </c>
      <c r="O4057">
        <f>-662.594679852268 -176.714966383955 -494.108289763334</f>
        <v>-1333.4179359995569</v>
      </c>
      <c r="P4057">
        <f>-680.624411848463 -204.183397399841 -213.931547457156</f>
        <v>-1098.7393567054601</v>
      </c>
      <c r="Q4057">
        <f>-487.395376608659 -94.3737377645441 -281.407037298592</f>
        <v>-863.1761516717952</v>
      </c>
      <c r="R4057" t="s">
        <v>77404</v>
      </c>
      <c r="S4057" t="s">
        <v>77405</v>
      </c>
      <c r="T4057" t="s">
        <v>77406</v>
      </c>
      <c r="U4057" t="s">
        <v>77407</v>
      </c>
      <c r="V4057">
        <f>-620.344594998779 -68.6233550269276 -94.0452831007754</f>
        <v>-783.01323312648196</v>
      </c>
      <c r="W4057" t="s">
        <v>77408</v>
      </c>
      <c r="X4057" t="s">
        <v>77409</v>
      </c>
      <c r="Y4057" t="s">
        <v>77410</v>
      </c>
    </row>
    <row r="4058" spans="1:25" x14ac:dyDescent="0.3">
      <c r="A4058">
        <v>202850</v>
      </c>
      <c r="B4058" t="s">
        <v>77411</v>
      </c>
      <c r="C4058" t="s">
        <v>77412</v>
      </c>
      <c r="D4058" t="s">
        <v>77413</v>
      </c>
      <c r="E4058" t="s">
        <v>77414</v>
      </c>
      <c r="F4058" t="s">
        <v>77415</v>
      </c>
      <c r="G4058" t="s">
        <v>77416</v>
      </c>
      <c r="H4058" t="s">
        <v>77417</v>
      </c>
      <c r="I4058" t="s">
        <v>77418</v>
      </c>
      <c r="J4058" t="s">
        <v>77419</v>
      </c>
      <c r="K4058" t="s">
        <v>77420</v>
      </c>
      <c r="L4058" t="s">
        <v>77421</v>
      </c>
      <c r="M4058" t="s">
        <v>77422</v>
      </c>
      <c r="N4058">
        <f>-685.740396512125 -24.418632548224 -528.761419525118</f>
        <v>-1238.9204485854671</v>
      </c>
      <c r="O4058">
        <f>-662.921969657103 -174.829113307176 -494.218765778783</f>
        <v>-1331.9698487430619</v>
      </c>
      <c r="P4058">
        <f>-681.763652933709 -202.375271162309 -214.103023725283</f>
        <v>-1098.241947821301</v>
      </c>
      <c r="Q4058">
        <f>-487.828785323041 -93.3918857859235 -280.889627844806</f>
        <v>-862.11029895377055</v>
      </c>
      <c r="R4058" t="s">
        <v>77423</v>
      </c>
      <c r="S4058" t="s">
        <v>77424</v>
      </c>
      <c r="T4058" t="s">
        <v>77425</v>
      </c>
      <c r="U4058" t="s">
        <v>77426</v>
      </c>
      <c r="V4058">
        <f>-620.570891100166 -67.4468910974479 -93.9895493371924</f>
        <v>-782.00733153480633</v>
      </c>
      <c r="W4058" t="s">
        <v>77427</v>
      </c>
      <c r="X4058" t="s">
        <v>77428</v>
      </c>
      <c r="Y4058" t="s">
        <v>77429</v>
      </c>
    </row>
    <row r="4059" spans="1:25" x14ac:dyDescent="0.3">
      <c r="A4059">
        <v>202900</v>
      </c>
      <c r="B4059" t="s">
        <v>77430</v>
      </c>
      <c r="C4059" t="s">
        <v>77431</v>
      </c>
      <c r="D4059" t="s">
        <v>77432</v>
      </c>
      <c r="E4059" t="s">
        <v>77433</v>
      </c>
      <c r="F4059" t="s">
        <v>77434</v>
      </c>
      <c r="G4059" t="s">
        <v>77435</v>
      </c>
      <c r="H4059" t="s">
        <v>77436</v>
      </c>
      <c r="I4059" t="s">
        <v>77437</v>
      </c>
      <c r="J4059" t="s">
        <v>77438</v>
      </c>
      <c r="K4059" t="s">
        <v>77439</v>
      </c>
      <c r="L4059" t="s">
        <v>77440</v>
      </c>
      <c r="M4059" t="s">
        <v>77441</v>
      </c>
      <c r="N4059">
        <f>-684.307233079044 -20.9513363598703 -528.755878182269</f>
        <v>-1234.0144476211833</v>
      </c>
      <c r="O4059">
        <f>-663.680335583766 -171.72531003463 -494.419053189421</f>
        <v>-1329.824698807817</v>
      </c>
      <c r="P4059">
        <f>-683.89884508728 -199.557972611091 -214.427691326623</f>
        <v>-1097.884509024994</v>
      </c>
      <c r="Q4059">
        <f>-488.348966370268 -92.9290912504623 -280.29921205032</f>
        <v>-861.57726967105032</v>
      </c>
      <c r="R4059" t="s">
        <v>77442</v>
      </c>
      <c r="S4059" t="s">
        <v>77443</v>
      </c>
      <c r="T4059" t="s">
        <v>77444</v>
      </c>
      <c r="U4059" t="s">
        <v>77445</v>
      </c>
      <c r="V4059">
        <f>-621.147875245915 -65.8575674594836 -93.8693891799303</f>
        <v>-780.87483188532883</v>
      </c>
      <c r="W4059" t="s">
        <v>77446</v>
      </c>
      <c r="X4059" t="s">
        <v>77447</v>
      </c>
      <c r="Y4059" t="s">
        <v>77448</v>
      </c>
    </row>
    <row r="4060" spans="1:25" x14ac:dyDescent="0.3">
      <c r="A4060">
        <v>202950</v>
      </c>
      <c r="B4060" t="s">
        <v>77449</v>
      </c>
      <c r="C4060" t="s">
        <v>77450</v>
      </c>
      <c r="D4060" t="s">
        <v>77451</v>
      </c>
      <c r="E4060" t="s">
        <v>77452</v>
      </c>
      <c r="F4060" t="s">
        <v>77453</v>
      </c>
      <c r="G4060" t="s">
        <v>77454</v>
      </c>
      <c r="H4060" t="s">
        <v>77455</v>
      </c>
      <c r="I4060" t="s">
        <v>77456</v>
      </c>
      <c r="J4060" t="s">
        <v>77457</v>
      </c>
      <c r="K4060" t="s">
        <v>77458</v>
      </c>
      <c r="L4060" t="s">
        <v>77459</v>
      </c>
      <c r="M4060" t="s">
        <v>77460</v>
      </c>
      <c r="N4060">
        <f>-683.50622514236 -19.4596109045222 -528.795847460476</f>
        <v>-1231.7616835073582</v>
      </c>
      <c r="O4060">
        <f>-664.058636172025 -170.423850675915 -494.622343834904</f>
        <v>-1329.1048306828438</v>
      </c>
      <c r="P4060">
        <f>-684.93797903166 -198.631708736153 -214.717002829987</f>
        <v>-1098.2866905977999</v>
      </c>
      <c r="Q4060">
        <f>-488.505076287488 -93.2977794648198 -280.042227090165</f>
        <v>-861.84508284247272</v>
      </c>
      <c r="R4060" t="s">
        <v>77461</v>
      </c>
      <c r="S4060" t="s">
        <v>77462</v>
      </c>
      <c r="T4060" t="s">
        <v>77463</v>
      </c>
      <c r="U4060" t="s">
        <v>77464</v>
      </c>
      <c r="V4060">
        <f>-621.467147370443 -65.3587160186087 -93.8230658855425</f>
        <v>-780.64892927459414</v>
      </c>
      <c r="W4060" t="s">
        <v>77465</v>
      </c>
      <c r="X4060" t="s">
        <v>77466</v>
      </c>
      <c r="Y4060" t="s">
        <v>77467</v>
      </c>
    </row>
    <row r="4061" spans="1:25" x14ac:dyDescent="0.3">
      <c r="A4061">
        <v>203000</v>
      </c>
      <c r="B4061" t="s">
        <v>77468</v>
      </c>
      <c r="C4061" t="s">
        <v>77469</v>
      </c>
      <c r="D4061" t="s">
        <v>77470</v>
      </c>
      <c r="E4061" t="s">
        <v>77471</v>
      </c>
      <c r="F4061" t="s">
        <v>77472</v>
      </c>
      <c r="G4061" t="s">
        <v>77473</v>
      </c>
      <c r="H4061" t="s">
        <v>77474</v>
      </c>
      <c r="I4061" t="s">
        <v>77475</v>
      </c>
      <c r="J4061" t="s">
        <v>77476</v>
      </c>
      <c r="K4061" t="s">
        <v>77477</v>
      </c>
      <c r="L4061" t="s">
        <v>77478</v>
      </c>
      <c r="M4061" t="s">
        <v>77479</v>
      </c>
      <c r="N4061">
        <f>-681.515933612124 -16.9553989736867 -528.896836491955</f>
        <v>-1227.3681690777657</v>
      </c>
      <c r="O4061">
        <f>-664.344679609378 -168.314705787579 -495.220495006571</f>
        <v>-1327.879880403528</v>
      </c>
      <c r="P4061">
        <f>-687.141934688308 -197.339973314113 -215.548663808934</f>
        <v>-1100.030571811355</v>
      </c>
      <c r="Q4061">
        <f>-488.83352557085 -94.7661533686332 -279.586818942402</f>
        <v>-863.18649788188509</v>
      </c>
      <c r="R4061" t="s">
        <v>77480</v>
      </c>
      <c r="S4061" t="s">
        <v>77481</v>
      </c>
      <c r="T4061" t="s">
        <v>77482</v>
      </c>
      <c r="U4061" t="s">
        <v>77483</v>
      </c>
      <c r="V4061">
        <f>-622.185525750299 -64.5687128535712 -93.7010554023392</f>
        <v>-780.45529400620944</v>
      </c>
      <c r="W4061" t="s">
        <v>77484</v>
      </c>
      <c r="X4061" t="s">
        <v>77485</v>
      </c>
      <c r="Y4061" t="s">
        <v>77486</v>
      </c>
    </row>
    <row r="4062" spans="1:25" x14ac:dyDescent="0.3">
      <c r="A4062">
        <v>203050</v>
      </c>
      <c r="B4062" t="s">
        <v>77487</v>
      </c>
      <c r="C4062" t="s">
        <v>77488</v>
      </c>
      <c r="D4062" t="s">
        <v>77489</v>
      </c>
      <c r="E4062" t="s">
        <v>77490</v>
      </c>
      <c r="F4062" t="s">
        <v>77491</v>
      </c>
      <c r="G4062" t="s">
        <v>77492</v>
      </c>
      <c r="H4062" t="s">
        <v>77493</v>
      </c>
      <c r="I4062" t="s">
        <v>77494</v>
      </c>
      <c r="J4062" t="s">
        <v>77495</v>
      </c>
      <c r="K4062" t="s">
        <v>77496</v>
      </c>
      <c r="L4062" t="s">
        <v>77497</v>
      </c>
      <c r="M4062" t="s">
        <v>77498</v>
      </c>
      <c r="N4062">
        <f>-679.548247155101 -14.3104126054482 -529.114833825394</f>
        <v>-1222.9734935859433</v>
      </c>
      <c r="O4062">
        <f>-664.548279552086 -166.055603826902 -496.142858754267</f>
        <v>-1326.7467421332551</v>
      </c>
      <c r="P4062">
        <f>-689.162678064797 -196.193064066728 -216.742648122162</f>
        <v>-1102.0983902536868</v>
      </c>
      <c r="Q4062">
        <f>-489.14662375842 -95.7004617000441 -278.737266390992</f>
        <v>-863.58435184945608</v>
      </c>
      <c r="R4062" t="s">
        <v>77499</v>
      </c>
      <c r="S4062" t="s">
        <v>77500</v>
      </c>
      <c r="T4062" t="s">
        <v>77501</v>
      </c>
      <c r="U4062" t="s">
        <v>77502</v>
      </c>
      <c r="V4062">
        <f>-622.646693145458 -64.0035659663924 -93.6113169335401</f>
        <v>-780.2615760453906</v>
      </c>
      <c r="W4062" t="s">
        <v>77503</v>
      </c>
      <c r="X4062" t="s">
        <v>77504</v>
      </c>
      <c r="Y4062" t="s">
        <v>77505</v>
      </c>
    </row>
    <row r="4063" spans="1:25" x14ac:dyDescent="0.3">
      <c r="A4063">
        <v>203100</v>
      </c>
      <c r="B4063" t="s">
        <v>77506</v>
      </c>
      <c r="C4063" t="s">
        <v>77507</v>
      </c>
      <c r="D4063" t="s">
        <v>77508</v>
      </c>
      <c r="E4063" t="s">
        <v>77509</v>
      </c>
      <c r="F4063" t="s">
        <v>77510</v>
      </c>
      <c r="G4063" t="s">
        <v>77511</v>
      </c>
      <c r="H4063" t="s">
        <v>77512</v>
      </c>
      <c r="I4063" t="s">
        <v>77513</v>
      </c>
      <c r="J4063" t="s">
        <v>77514</v>
      </c>
      <c r="K4063" t="s">
        <v>77515</v>
      </c>
      <c r="L4063" t="s">
        <v>77516</v>
      </c>
      <c r="M4063" t="s">
        <v>77517</v>
      </c>
      <c r="N4063">
        <f>-678.543574656645 -13.4235282066504 -529.223761730615</f>
        <v>-1221.1908645939104</v>
      </c>
      <c r="O4063">
        <f>-664.506381528439 -165.333423775508 -496.629906621404</f>
        <v>-1326.469711925351</v>
      </c>
      <c r="P4063">
        <f>-689.865286053117 -196.005988612347 -217.354585136611</f>
        <v>-1103.2258598020749</v>
      </c>
      <c r="Q4063">
        <f>-489.142246981365 -96.281633167097 -278.295964136479</f>
        <v>-863.71984428494102</v>
      </c>
      <c r="R4063" t="s">
        <v>77518</v>
      </c>
      <c r="S4063" t="s">
        <v>77519</v>
      </c>
      <c r="T4063" t="s">
        <v>77520</v>
      </c>
      <c r="U4063" t="s">
        <v>77521</v>
      </c>
      <c r="V4063">
        <f>-622.703703686174 -64.0467309215637 -93.5858508495829</f>
        <v>-780.33628545732063</v>
      </c>
      <c r="W4063" t="s">
        <v>77522</v>
      </c>
      <c r="X4063" t="s">
        <v>77523</v>
      </c>
      <c r="Y4063" t="s">
        <v>77524</v>
      </c>
    </row>
    <row r="4064" spans="1:25" x14ac:dyDescent="0.3">
      <c r="A4064">
        <v>203150</v>
      </c>
      <c r="B4064" t="s">
        <v>77525</v>
      </c>
      <c r="C4064" t="s">
        <v>77526</v>
      </c>
      <c r="D4064" t="s">
        <v>77527</v>
      </c>
      <c r="E4064" t="s">
        <v>77528</v>
      </c>
      <c r="F4064" t="s">
        <v>77529</v>
      </c>
      <c r="G4064" t="s">
        <v>77530</v>
      </c>
      <c r="H4064" t="s">
        <v>77531</v>
      </c>
      <c r="I4064" t="s">
        <v>77532</v>
      </c>
      <c r="J4064" t="s">
        <v>77533</v>
      </c>
      <c r="K4064" t="s">
        <v>77534</v>
      </c>
      <c r="L4064" t="s">
        <v>77535</v>
      </c>
      <c r="M4064" t="s">
        <v>77536</v>
      </c>
      <c r="N4064">
        <f>-677.396078832594 -12.6978527143415 -529.325436452976</f>
        <v>-1219.4193679999114</v>
      </c>
      <c r="O4064">
        <f>-664.13404786824 -164.760175932659 -497.113013392328</f>
        <v>-1326.007237193227</v>
      </c>
      <c r="P4064">
        <f>-690.299740004966 -196.203981262435 -217.997892313724</f>
        <v>-1104.501613581125</v>
      </c>
      <c r="Q4064">
        <f>-488.96722064873 -97.021084326663 -277.801657141227</f>
        <v>-863.78996211662002</v>
      </c>
      <c r="R4064" t="s">
        <v>77537</v>
      </c>
      <c r="S4064" t="s">
        <v>77538</v>
      </c>
      <c r="T4064" t="s">
        <v>77539</v>
      </c>
      <c r="U4064" t="s">
        <v>77540</v>
      </c>
      <c r="V4064">
        <f>-622.652029396172 -64.1250642691591 -93.5653399340036</f>
        <v>-780.34243359933475</v>
      </c>
      <c r="W4064" t="s">
        <v>77541</v>
      </c>
      <c r="X4064" t="s">
        <v>77542</v>
      </c>
      <c r="Y4064" t="s">
        <v>77543</v>
      </c>
    </row>
    <row r="4065" spans="1:25" x14ac:dyDescent="0.3">
      <c r="A4065">
        <v>203200</v>
      </c>
      <c r="B4065" t="s">
        <v>77544</v>
      </c>
      <c r="C4065" t="s">
        <v>77545</v>
      </c>
      <c r="D4065" t="s">
        <v>77546</v>
      </c>
      <c r="E4065" t="s">
        <v>77547</v>
      </c>
      <c r="F4065" t="s">
        <v>77548</v>
      </c>
      <c r="G4065" t="s">
        <v>77549</v>
      </c>
      <c r="H4065" t="s">
        <v>77550</v>
      </c>
      <c r="I4065" t="s">
        <v>77551</v>
      </c>
      <c r="J4065" t="s">
        <v>77552</v>
      </c>
      <c r="K4065" t="s">
        <v>77553</v>
      </c>
      <c r="L4065" t="s">
        <v>77554</v>
      </c>
      <c r="M4065" t="s">
        <v>77555</v>
      </c>
      <c r="N4065">
        <f>-675.395744645431 -10.5512865557355 -529.647379513076</f>
        <v>-1215.5944107142425</v>
      </c>
      <c r="O4065">
        <f>-663.483599227517 -162.919071972766 -498.305486836392</f>
        <v>-1324.7081580366748</v>
      </c>
      <c r="P4065">
        <f>-690.961879166818 -195.770588450715 -219.478878091924</f>
        <v>-1106.211345709457</v>
      </c>
      <c r="Q4065">
        <f>-488.420417913661 -97.7707312472953 -277.111773157625</f>
        <v>-863.3029223185813</v>
      </c>
      <c r="R4065" t="s">
        <v>77556</v>
      </c>
      <c r="S4065" t="s">
        <v>77557</v>
      </c>
      <c r="T4065" t="s">
        <v>77558</v>
      </c>
      <c r="U4065" t="s">
        <v>77559</v>
      </c>
      <c r="V4065">
        <f>-622.861132678097 -63.9780583520831 -93.6096392813297</f>
        <v>-780.44883031150971</v>
      </c>
      <c r="W4065" t="s">
        <v>77560</v>
      </c>
      <c r="X4065" t="s">
        <v>77561</v>
      </c>
      <c r="Y4065" t="s">
        <v>77562</v>
      </c>
    </row>
    <row r="4066" spans="1:25" x14ac:dyDescent="0.3">
      <c r="A4066">
        <v>203250</v>
      </c>
      <c r="B4066" t="s">
        <v>77563</v>
      </c>
      <c r="C4066" t="s">
        <v>77564</v>
      </c>
      <c r="D4066" t="s">
        <v>77565</v>
      </c>
      <c r="E4066" t="s">
        <v>77566</v>
      </c>
      <c r="F4066" t="s">
        <v>77567</v>
      </c>
      <c r="G4066" t="s">
        <v>77568</v>
      </c>
      <c r="H4066" t="s">
        <v>77569</v>
      </c>
      <c r="I4066" t="s">
        <v>77570</v>
      </c>
      <c r="J4066" t="s">
        <v>77571</v>
      </c>
      <c r="K4066" t="s">
        <v>77572</v>
      </c>
      <c r="L4066" t="s">
        <v>77573</v>
      </c>
      <c r="M4066" t="s">
        <v>77574</v>
      </c>
      <c r="N4066">
        <f>-674.741880771957 -9.37682034623549 -529.831465004528</f>
        <v>-1213.9501661227205</v>
      </c>
      <c r="O4066">
        <f>-663.477960055016 -161.870129343378 -498.895279115486</f>
        <v>-1324.2433685138799</v>
      </c>
      <c r="P4066">
        <f>-691.312175147946 -195.260997399377 -220.168057679002</f>
        <v>-1106.7412302263251</v>
      </c>
      <c r="Q4066">
        <f>-488.195490229399 -97.9280315419196 -276.899409808657</f>
        <v>-863.02293157997565</v>
      </c>
      <c r="R4066" t="s">
        <v>77575</v>
      </c>
      <c r="S4066" t="s">
        <v>77576</v>
      </c>
      <c r="T4066" t="s">
        <v>77577</v>
      </c>
      <c r="U4066" t="s">
        <v>77578</v>
      </c>
      <c r="V4066">
        <f>-623.152857878221 -63.7441055197698 -93.6636817597356</f>
        <v>-780.56064515772641</v>
      </c>
      <c r="W4066" t="s">
        <v>77579</v>
      </c>
      <c r="X4066" t="s">
        <v>77580</v>
      </c>
      <c r="Y4066" t="s">
        <v>77581</v>
      </c>
    </row>
    <row r="4067" spans="1:25" x14ac:dyDescent="0.3">
      <c r="A4067">
        <v>203300</v>
      </c>
      <c r="B4067" t="s">
        <v>77582</v>
      </c>
      <c r="C4067" t="s">
        <v>77583</v>
      </c>
      <c r="D4067" t="s">
        <v>77584</v>
      </c>
      <c r="E4067" t="s">
        <v>77585</v>
      </c>
      <c r="F4067" t="s">
        <v>77586</v>
      </c>
      <c r="G4067" t="s">
        <v>77587</v>
      </c>
      <c r="H4067" t="s">
        <v>77588</v>
      </c>
      <c r="I4067" t="s">
        <v>77589</v>
      </c>
      <c r="J4067" t="s">
        <v>77590</v>
      </c>
      <c r="K4067" t="s">
        <v>77591</v>
      </c>
      <c r="L4067" t="s">
        <v>77592</v>
      </c>
      <c r="M4067" t="s">
        <v>77593</v>
      </c>
      <c r="N4067">
        <f>-673.654847753862 -7.15223350953988 -530.206238541482</f>
        <v>-1211.0133198048838</v>
      </c>
      <c r="O4067">
        <f>-663.544922215449 -159.846550115024 -499.879713174558</f>
        <v>-1323.2711855050311</v>
      </c>
      <c r="P4067">
        <f>-691.778761240064 -194.059578412282 -221.292443113493</f>
        <v>-1107.1307827658391</v>
      </c>
      <c r="Q4067">
        <f>-487.825317426895 -97.8349594341307 -276.901054550305</f>
        <v>-862.56133141133068</v>
      </c>
      <c r="R4067" t="s">
        <v>77594</v>
      </c>
      <c r="S4067" t="s">
        <v>77595</v>
      </c>
      <c r="T4067" t="s">
        <v>77596</v>
      </c>
      <c r="U4067" t="s">
        <v>77597</v>
      </c>
      <c r="V4067">
        <f>-623.678686849234 -63.0494854967988 -93.8016739015941</f>
        <v>-780.52984624762689</v>
      </c>
      <c r="W4067" t="s">
        <v>77598</v>
      </c>
      <c r="X4067" t="s">
        <v>77599</v>
      </c>
      <c r="Y4067" t="s">
        <v>77600</v>
      </c>
    </row>
    <row r="4068" spans="1:25" x14ac:dyDescent="0.3">
      <c r="A4068">
        <v>203350</v>
      </c>
      <c r="B4068" t="s">
        <v>77601</v>
      </c>
      <c r="C4068" t="s">
        <v>77602</v>
      </c>
      <c r="D4068" t="s">
        <v>77603</v>
      </c>
      <c r="E4068" t="s">
        <v>77604</v>
      </c>
      <c r="F4068" t="s">
        <v>77605</v>
      </c>
      <c r="G4068" t="s">
        <v>77606</v>
      </c>
      <c r="H4068" t="s">
        <v>77607</v>
      </c>
      <c r="I4068" t="s">
        <v>77608</v>
      </c>
      <c r="J4068" t="s">
        <v>77609</v>
      </c>
      <c r="K4068" t="s">
        <v>77610</v>
      </c>
      <c r="L4068" t="s">
        <v>77611</v>
      </c>
      <c r="M4068" t="s">
        <v>77612</v>
      </c>
      <c r="N4068">
        <f>-673.005508640222 -6.20072217834081 -530.42443198301</f>
        <v>-1209.6306628015727</v>
      </c>
      <c r="O4068">
        <f>-663.446837224099 -158.98253910549 -500.352271231118</f>
        <v>-1322.7816475607069</v>
      </c>
      <c r="P4068">
        <f>-691.918864887028 -193.556951514948 -221.833749440473</f>
        <v>-1107.309565842449</v>
      </c>
      <c r="Q4068">
        <f>-487.651670868931 -97.8060247129588 -277.108083471124</f>
        <v>-862.56577905301378</v>
      </c>
      <c r="R4068" t="s">
        <v>77613</v>
      </c>
      <c r="S4068" t="s">
        <v>77614</v>
      </c>
      <c r="T4068" t="s">
        <v>77615</v>
      </c>
      <c r="U4068" t="s">
        <v>77616</v>
      </c>
      <c r="V4068">
        <f>-623.812778205573 -62.7452529227369 -93.9249471187087</f>
        <v>-780.48297824701854</v>
      </c>
      <c r="W4068" t="s">
        <v>77617</v>
      </c>
      <c r="X4068" t="s">
        <v>77618</v>
      </c>
      <c r="Y4068" t="s">
        <v>77619</v>
      </c>
    </row>
    <row r="4069" spans="1:25" x14ac:dyDescent="0.3">
      <c r="A4069">
        <v>203400</v>
      </c>
      <c r="B4069" t="s">
        <v>77620</v>
      </c>
      <c r="C4069" t="s">
        <v>77621</v>
      </c>
      <c r="D4069" t="s">
        <v>77622</v>
      </c>
      <c r="E4069" t="s">
        <v>77623</v>
      </c>
      <c r="F4069" t="s">
        <v>77624</v>
      </c>
      <c r="G4069" t="s">
        <v>77625</v>
      </c>
      <c r="H4069" t="s">
        <v>77626</v>
      </c>
      <c r="I4069" t="s">
        <v>77627</v>
      </c>
      <c r="J4069" t="s">
        <v>77628</v>
      </c>
      <c r="K4069" t="s">
        <v>77629</v>
      </c>
      <c r="L4069" t="s">
        <v>77630</v>
      </c>
      <c r="M4069" t="s">
        <v>77631</v>
      </c>
      <c r="N4069">
        <f>-671.558947984916 -4.62681878704916 -530.775968159649</f>
        <v>-1206.961734931614</v>
      </c>
      <c r="O4069">
        <f>-663.066992101655 -157.537186032788 -501.074290764788</f>
        <v>-1321.6784688992311</v>
      </c>
      <c r="P4069">
        <f>-692.003001589846 -192.717463570583 -222.67956932405</f>
        <v>-1107.400034484479</v>
      </c>
      <c r="Q4069">
        <f>-487.486090131995 -97.4837156177844 -277.92349031304</f>
        <v>-862.89329606281945</v>
      </c>
      <c r="R4069" t="s">
        <v>77632</v>
      </c>
      <c r="S4069" t="s">
        <v>77633</v>
      </c>
      <c r="T4069" t="s">
        <v>77634</v>
      </c>
      <c r="U4069" t="s">
        <v>77635</v>
      </c>
      <c r="V4069">
        <f>-623.969427847357 -61.7074186508739 -94.0645467511501</f>
        <v>-779.74139324938108</v>
      </c>
      <c r="W4069" t="s">
        <v>77636</v>
      </c>
      <c r="X4069" t="s">
        <v>77637</v>
      </c>
      <c r="Y4069" t="s">
        <v>77638</v>
      </c>
    </row>
    <row r="4070" spans="1:25" x14ac:dyDescent="0.3">
      <c r="A4070">
        <v>203450</v>
      </c>
      <c r="B4070" t="s">
        <v>77639</v>
      </c>
      <c r="C4070" t="s">
        <v>77640</v>
      </c>
      <c r="D4070" t="s">
        <v>77641</v>
      </c>
      <c r="E4070" t="s">
        <v>77642</v>
      </c>
      <c r="F4070" t="s">
        <v>77643</v>
      </c>
      <c r="G4070" t="s">
        <v>77644</v>
      </c>
      <c r="H4070" t="s">
        <v>77645</v>
      </c>
      <c r="I4070" t="s">
        <v>77646</v>
      </c>
      <c r="J4070" t="s">
        <v>77647</v>
      </c>
      <c r="K4070" t="s">
        <v>77648</v>
      </c>
      <c r="L4070" t="s">
        <v>77649</v>
      </c>
      <c r="M4070" t="s">
        <v>77650</v>
      </c>
      <c r="N4070">
        <f>-670.025301301123 -3.81777097275585 -530.909176983866</f>
        <v>-1204.752249257745</v>
      </c>
      <c r="O4070">
        <f>-662.488825997192 -156.773931861842 -501.205372813487</f>
        <v>-1320.4681306725211</v>
      </c>
      <c r="P4070">
        <f>-691.787539284581 -192.08211026459 -222.864742884081</f>
        <v>-1106.7343924332522</v>
      </c>
      <c r="Q4070">
        <f>-487.177431462108 -97.5685045826381 -278.993226910276</f>
        <v>-863.73916295502215</v>
      </c>
      <c r="R4070" t="s">
        <v>77651</v>
      </c>
      <c r="S4070" t="s">
        <v>77652</v>
      </c>
      <c r="T4070" t="s">
        <v>77653</v>
      </c>
      <c r="U4070" t="s">
        <v>77654</v>
      </c>
      <c r="V4070">
        <f>-623.3803958353 -60.91701370086 -94.1061961437854</f>
        <v>-778.40360567994537</v>
      </c>
      <c r="W4070" t="s">
        <v>77655</v>
      </c>
      <c r="X4070" t="s">
        <v>77656</v>
      </c>
      <c r="Y4070" t="s">
        <v>77657</v>
      </c>
    </row>
    <row r="4071" spans="1:25" x14ac:dyDescent="0.3">
      <c r="A4071">
        <v>203500</v>
      </c>
      <c r="B4071" t="s">
        <v>77658</v>
      </c>
      <c r="C4071" t="s">
        <v>77659</v>
      </c>
      <c r="D4071" t="s">
        <v>77660</v>
      </c>
      <c r="E4071" t="s">
        <v>77661</v>
      </c>
      <c r="F4071" t="s">
        <v>77662</v>
      </c>
      <c r="G4071" t="s">
        <v>77663</v>
      </c>
      <c r="H4071" t="s">
        <v>77664</v>
      </c>
      <c r="I4071" t="s">
        <v>77665</v>
      </c>
      <c r="J4071" t="s">
        <v>77666</v>
      </c>
      <c r="K4071" t="s">
        <v>77667</v>
      </c>
      <c r="L4071" t="s">
        <v>77668</v>
      </c>
      <c r="M4071" t="s">
        <v>77669</v>
      </c>
      <c r="N4071">
        <f>-669.485352750196 -3.60850080406158 -530.918735493617</f>
        <v>-1204.0125890478744</v>
      </c>
      <c r="O4071">
        <f>-662.322150037474 -156.569704003535 -501.128578645937</f>
        <v>-1320.0204326869459</v>
      </c>
      <c r="P4071">
        <f>-691.754015139648 -191.438321500036 -222.746620423628</f>
        <v>-1105.938957063312</v>
      </c>
      <c r="Q4071">
        <f>-487.075418355685 -97.4311104772778 -279.472620135668</f>
        <v>-863.97914896863085</v>
      </c>
      <c r="R4071" t="s">
        <v>77670</v>
      </c>
      <c r="S4071" t="s">
        <v>77671</v>
      </c>
      <c r="T4071" t="s">
        <v>77672</v>
      </c>
      <c r="U4071" t="s">
        <v>77673</v>
      </c>
      <c r="V4071">
        <f>-622.905404988046 -60.496729207679 -94.1027526447726</f>
        <v>-777.50488684049765</v>
      </c>
      <c r="W4071" t="s">
        <v>77674</v>
      </c>
      <c r="X4071" t="s">
        <v>77675</v>
      </c>
      <c r="Y4071" t="s">
        <v>77676</v>
      </c>
    </row>
    <row r="4072" spans="1:25" x14ac:dyDescent="0.3">
      <c r="A4072">
        <v>203550</v>
      </c>
      <c r="B4072" t="s">
        <v>77677</v>
      </c>
      <c r="C4072" t="s">
        <v>77678</v>
      </c>
      <c r="D4072" t="s">
        <v>77679</v>
      </c>
      <c r="E4072" t="s">
        <v>77680</v>
      </c>
      <c r="F4072" t="s">
        <v>77681</v>
      </c>
      <c r="G4072" t="s">
        <v>77682</v>
      </c>
      <c r="H4072" t="s">
        <v>77683</v>
      </c>
      <c r="I4072" t="s">
        <v>77684</v>
      </c>
      <c r="J4072" t="s">
        <v>77685</v>
      </c>
      <c r="K4072" t="s">
        <v>77686</v>
      </c>
      <c r="L4072" t="s">
        <v>77687</v>
      </c>
      <c r="M4072" t="s">
        <v>77688</v>
      </c>
      <c r="N4072">
        <f>-669.212872776332 -3.50158845225928 -530.886148281131</f>
        <v>-1203.6006095097223</v>
      </c>
      <c r="O4072">
        <f>-662.364248659071 -156.448705806046 -500.931883608839</f>
        <v>-1319.7448380739559</v>
      </c>
      <c r="P4072">
        <f>-691.906976990575 -190.733522830436 -222.489071791929</f>
        <v>-1105.12957161294</v>
      </c>
      <c r="Q4072">
        <f>-487.064586063451 -97.4126432197609 -279.754588315982</f>
        <v>-864.23181759919385</v>
      </c>
      <c r="R4072" t="s">
        <v>77689</v>
      </c>
      <c r="S4072" t="s">
        <v>77690</v>
      </c>
      <c r="T4072" t="s">
        <v>77691</v>
      </c>
      <c r="U4072" t="s">
        <v>77692</v>
      </c>
      <c r="V4072">
        <f>-622.369846387371 -60.0730767163336 -94.0854409309945</f>
        <v>-776.52836403469917</v>
      </c>
      <c r="W4072" t="s">
        <v>77693</v>
      </c>
      <c r="X4072" t="s">
        <v>77694</v>
      </c>
      <c r="Y4072" t="s">
        <v>77695</v>
      </c>
    </row>
    <row r="4073" spans="1:25" x14ac:dyDescent="0.3">
      <c r="A4073">
        <v>203600</v>
      </c>
      <c r="B4073" t="s">
        <v>77696</v>
      </c>
      <c r="C4073" t="s">
        <v>77697</v>
      </c>
      <c r="D4073" t="s">
        <v>77698</v>
      </c>
      <c r="E4073" t="s">
        <v>77699</v>
      </c>
      <c r="F4073" t="s">
        <v>77700</v>
      </c>
      <c r="G4073" t="s">
        <v>77701</v>
      </c>
      <c r="H4073" t="s">
        <v>77702</v>
      </c>
      <c r="I4073" t="s">
        <v>77703</v>
      </c>
      <c r="J4073" t="s">
        <v>77704</v>
      </c>
      <c r="K4073" t="s">
        <v>77705</v>
      </c>
      <c r="L4073" t="s">
        <v>77706</v>
      </c>
      <c r="M4073" t="s">
        <v>77707</v>
      </c>
      <c r="N4073">
        <f>-668.872472405966 -3.13683221733413 -530.805292493328</f>
        <v>-1202.8145971166282</v>
      </c>
      <c r="O4073">
        <f>-662.60123232333 -156.088377995637 -500.724691238734</f>
        <v>-1319.414301557701</v>
      </c>
      <c r="P4073">
        <f>-691.774733524133 -189.827747760176 -222.176385413747</f>
        <v>-1103.7788666980562</v>
      </c>
      <c r="Q4073">
        <f>-486.86428811701 -96.9922601741043 -279.984689278575</f>
        <v>-863.84123756968938</v>
      </c>
      <c r="R4073" t="s">
        <v>77708</v>
      </c>
      <c r="S4073" t="s">
        <v>77709</v>
      </c>
      <c r="T4073" t="s">
        <v>77710</v>
      </c>
      <c r="U4073" t="s">
        <v>77711</v>
      </c>
      <c r="V4073">
        <f>-621.203709382993 -59.1010647417027 -93.9904711906953</f>
        <v>-774.29524531539096</v>
      </c>
      <c r="W4073" t="s">
        <v>77712</v>
      </c>
      <c r="X4073" t="s">
        <v>77713</v>
      </c>
      <c r="Y4073" t="s">
        <v>77714</v>
      </c>
    </row>
    <row r="4074" spans="1:25" x14ac:dyDescent="0.3">
      <c r="A4074">
        <v>203650</v>
      </c>
      <c r="B4074" t="s">
        <v>77715</v>
      </c>
      <c r="C4074" t="s">
        <v>77716</v>
      </c>
      <c r="D4074" t="s">
        <v>77717</v>
      </c>
      <c r="E4074" t="s">
        <v>77718</v>
      </c>
      <c r="F4074" t="s">
        <v>77719</v>
      </c>
      <c r="G4074" t="s">
        <v>77720</v>
      </c>
      <c r="H4074" t="s">
        <v>77721</v>
      </c>
      <c r="I4074" t="s">
        <v>77722</v>
      </c>
      <c r="J4074" t="s">
        <v>77723</v>
      </c>
      <c r="K4074" t="s">
        <v>77724</v>
      </c>
      <c r="L4074" t="s">
        <v>77725</v>
      </c>
      <c r="M4074" t="s">
        <v>77726</v>
      </c>
      <c r="N4074">
        <f>-668.776734410455 -3.00866099363793 -530.730760649951</f>
        <v>-1202.5161560540439</v>
      </c>
      <c r="O4074">
        <f>-662.528964603069 -155.906873581954 -500.428515919632</f>
        <v>-1318.8643541046549</v>
      </c>
      <c r="P4074">
        <f>-691.303014993735 -189.779139659752 -221.854880161693</f>
        <v>-1102.9370348151799</v>
      </c>
      <c r="Q4074">
        <f>-486.443063001385 -96.6456463126324 -279.36177556808</f>
        <v>-862.45048488209738</v>
      </c>
      <c r="R4074" t="s">
        <v>77727</v>
      </c>
      <c r="S4074" t="s">
        <v>77728</v>
      </c>
      <c r="T4074" t="s">
        <v>77729</v>
      </c>
      <c r="U4074" t="s">
        <v>77730</v>
      </c>
      <c r="V4074">
        <f>-620.298928611189 -58.3351150588167 -93.923796533835</f>
        <v>-772.55784020384067</v>
      </c>
      <c r="W4074" t="s">
        <v>77731</v>
      </c>
      <c r="X4074" t="s">
        <v>77732</v>
      </c>
      <c r="Y4074" t="s">
        <v>77733</v>
      </c>
    </row>
    <row r="4075" spans="1:25" x14ac:dyDescent="0.3">
      <c r="A4075">
        <v>203700</v>
      </c>
      <c r="B4075" t="s">
        <v>77734</v>
      </c>
      <c r="C4075" t="s">
        <v>77735</v>
      </c>
      <c r="D4075" t="s">
        <v>77736</v>
      </c>
      <c r="E4075" t="s">
        <v>77737</v>
      </c>
      <c r="F4075" t="s">
        <v>77738</v>
      </c>
      <c r="G4075" t="s">
        <v>77739</v>
      </c>
      <c r="H4075" t="s">
        <v>77740</v>
      </c>
      <c r="I4075" t="s">
        <v>77741</v>
      </c>
      <c r="J4075" t="s">
        <v>77742</v>
      </c>
      <c r="K4075" t="s">
        <v>77743</v>
      </c>
      <c r="L4075" t="s">
        <v>77744</v>
      </c>
      <c r="M4075" t="s">
        <v>77745</v>
      </c>
      <c r="N4075">
        <f>-668.989089559046 -2.98170836104873 -530.66241910401</f>
        <v>-1202.6332170241049</v>
      </c>
      <c r="O4075">
        <f>-662.611914535639 -155.857007583068 -500.232688920923</f>
        <v>-1318.7016110396301</v>
      </c>
      <c r="P4075">
        <f>-691.110816622839 -189.677582543977 -221.62447802947</f>
        <v>-1102.412877196286</v>
      </c>
      <c r="Q4075">
        <f>-486.214748056503 -96.333204637808 -278.659322177203</f>
        <v>-861.20727487151407</v>
      </c>
      <c r="R4075" t="s">
        <v>77746</v>
      </c>
      <c r="S4075" t="s">
        <v>77747</v>
      </c>
      <c r="T4075" t="s">
        <v>77748</v>
      </c>
      <c r="U4075" t="s">
        <v>77749</v>
      </c>
      <c r="V4075">
        <f>-619.901686544352 -57.9969892625065 -93.8958372770772</f>
        <v>-771.79451308393573</v>
      </c>
      <c r="W4075" t="s">
        <v>77750</v>
      </c>
      <c r="X4075" t="s">
        <v>77751</v>
      </c>
      <c r="Y4075" t="s">
        <v>77752</v>
      </c>
    </row>
    <row r="4076" spans="1:25" x14ac:dyDescent="0.3">
      <c r="A4076">
        <v>203750</v>
      </c>
      <c r="B4076" t="s">
        <v>77753</v>
      </c>
      <c r="C4076" t="s">
        <v>77754</v>
      </c>
      <c r="D4076" t="s">
        <v>77755</v>
      </c>
      <c r="E4076" t="s">
        <v>77756</v>
      </c>
      <c r="F4076" t="s">
        <v>77757</v>
      </c>
      <c r="G4076" t="s">
        <v>77758</v>
      </c>
      <c r="H4076" t="s">
        <v>77759</v>
      </c>
      <c r="I4076" t="s">
        <v>77760</v>
      </c>
      <c r="J4076" t="s">
        <v>77761</v>
      </c>
      <c r="K4076" t="s">
        <v>77762</v>
      </c>
      <c r="L4076" t="s">
        <v>77763</v>
      </c>
      <c r="M4076" t="s">
        <v>77764</v>
      </c>
      <c r="N4076">
        <f>-669.41712483815 -2.85777938624869 -530.602104131463</f>
        <v>-1202.8770083558616</v>
      </c>
      <c r="O4076">
        <f>-662.920402140643 -155.705516568467 -500.060785446019</f>
        <v>-1318.6867041551291</v>
      </c>
      <c r="P4076">
        <f>-690.992836322991 -189.019858694304 -221.348245551533</f>
        <v>-1101.360940568828</v>
      </c>
      <c r="Q4076">
        <f>-486.021984327627 -95.5930592625291 -277.97779712055</f>
        <v>-859.59284071070613</v>
      </c>
      <c r="R4076" t="s">
        <v>77765</v>
      </c>
      <c r="S4076" t="s">
        <v>77766</v>
      </c>
      <c r="T4076" t="s">
        <v>77767</v>
      </c>
      <c r="U4076" t="s">
        <v>77768</v>
      </c>
      <c r="V4076">
        <f>-619.479108527822 -57.5425186045741 -93.8666552188849</f>
        <v>-770.88828235128096</v>
      </c>
      <c r="W4076" t="s">
        <v>77769</v>
      </c>
      <c r="X4076" t="s">
        <v>77770</v>
      </c>
      <c r="Y4076" t="s">
        <v>77771</v>
      </c>
    </row>
    <row r="4077" spans="1:25" x14ac:dyDescent="0.3">
      <c r="A4077">
        <v>203800</v>
      </c>
      <c r="B4077" t="s">
        <v>77772</v>
      </c>
      <c r="C4077" t="s">
        <v>77773</v>
      </c>
      <c r="D4077" t="s">
        <v>77774</v>
      </c>
      <c r="E4077" t="s">
        <v>77775</v>
      </c>
      <c r="F4077" t="s">
        <v>77776</v>
      </c>
      <c r="G4077" t="s">
        <v>77777</v>
      </c>
      <c r="H4077" t="s">
        <v>77778</v>
      </c>
      <c r="I4077" t="s">
        <v>77779</v>
      </c>
      <c r="J4077" t="s">
        <v>77780</v>
      </c>
      <c r="K4077" t="s">
        <v>77781</v>
      </c>
      <c r="L4077" t="s">
        <v>77782</v>
      </c>
      <c r="M4077" t="s">
        <v>77783</v>
      </c>
      <c r="N4077">
        <f>-670.215327505598 -2.67264345899298 -530.497848601623</f>
        <v>-1203.385819566214</v>
      </c>
      <c r="O4077">
        <f>-663.502507214992 -155.469424534541 -499.762748490929</f>
        <v>-1318.734680240462</v>
      </c>
      <c r="P4077">
        <f>-690.781416404792 -188.319351187829 -220.916265210586</f>
        <v>-1100.017032803207</v>
      </c>
      <c r="Q4077">
        <f>-485.981819216368 -94.1617580648876 -276.951776630799</f>
        <v>-857.09535391205463</v>
      </c>
      <c r="R4077" t="s">
        <v>77784</v>
      </c>
      <c r="S4077" t="s">
        <v>77785</v>
      </c>
      <c r="T4077" t="s">
        <v>77786</v>
      </c>
      <c r="U4077" t="s">
        <v>77787</v>
      </c>
      <c r="V4077">
        <f>-618.562008899786 -56.5506614243857 -93.801649573021</f>
        <v>-768.91431989719263</v>
      </c>
      <c r="W4077" t="s">
        <v>77788</v>
      </c>
      <c r="X4077" t="s">
        <v>77789</v>
      </c>
      <c r="Y4077" t="s">
        <v>77790</v>
      </c>
    </row>
    <row r="4078" spans="1:25" x14ac:dyDescent="0.3">
      <c r="A4078">
        <v>203850</v>
      </c>
      <c r="B4078" t="s">
        <v>77791</v>
      </c>
      <c r="C4078" t="s">
        <v>77792</v>
      </c>
      <c r="D4078" t="s">
        <v>77793</v>
      </c>
      <c r="E4078" t="s">
        <v>77794</v>
      </c>
      <c r="F4078" t="s">
        <v>77795</v>
      </c>
      <c r="G4078" t="s">
        <v>77796</v>
      </c>
      <c r="H4078" t="s">
        <v>77797</v>
      </c>
      <c r="I4078" t="s">
        <v>77798</v>
      </c>
      <c r="J4078" t="s">
        <v>77799</v>
      </c>
      <c r="K4078" t="s">
        <v>77800</v>
      </c>
      <c r="L4078" t="s">
        <v>77801</v>
      </c>
      <c r="M4078" t="s">
        <v>77802</v>
      </c>
      <c r="N4078">
        <f>-670.533943247677 -2.54167355722552 -530.449226316373</f>
        <v>-1203.5248431212756</v>
      </c>
      <c r="O4078">
        <f>-663.805388944598 -155.331285230779 -499.623337323931</f>
        <v>-1318.7600114993081</v>
      </c>
      <c r="P4078">
        <f>-690.742053824423 -187.956926152048 -220.717314086954</f>
        <v>-1099.4162940634251</v>
      </c>
      <c r="Q4078">
        <f>-486.08517113687 -93.5249920685235 -276.812694208407</f>
        <v>-856.42285741380056</v>
      </c>
      <c r="R4078" t="s">
        <v>77803</v>
      </c>
      <c r="S4078" t="s">
        <v>77804</v>
      </c>
      <c r="T4078" t="s">
        <v>77805</v>
      </c>
      <c r="U4078" t="s">
        <v>77806</v>
      </c>
      <c r="V4078">
        <f>-618.165174801549 -56.0928072465863 -93.7690847533826</f>
        <v>-768.02706680151789</v>
      </c>
      <c r="W4078" t="s">
        <v>77807</v>
      </c>
      <c r="X4078" t="s">
        <v>77808</v>
      </c>
      <c r="Y4078" t="s">
        <v>77809</v>
      </c>
    </row>
    <row r="4079" spans="1:25" x14ac:dyDescent="0.3">
      <c r="A4079">
        <v>203900</v>
      </c>
      <c r="B4079" t="s">
        <v>77810</v>
      </c>
      <c r="C4079" t="s">
        <v>77811</v>
      </c>
      <c r="D4079" t="s">
        <v>77812</v>
      </c>
      <c r="E4079" t="s">
        <v>77813</v>
      </c>
      <c r="F4079" t="s">
        <v>77814</v>
      </c>
      <c r="G4079" t="s">
        <v>77815</v>
      </c>
      <c r="H4079" t="s">
        <v>77816</v>
      </c>
      <c r="I4079" t="s">
        <v>77817</v>
      </c>
      <c r="J4079" t="s">
        <v>77818</v>
      </c>
      <c r="K4079" t="s">
        <v>77819</v>
      </c>
      <c r="L4079" t="s">
        <v>77820</v>
      </c>
      <c r="M4079" t="s">
        <v>77821</v>
      </c>
      <c r="N4079">
        <f>-671.030710008657 -1.82777032987951 -530.38270727544</f>
        <v>-1203.2411876139765</v>
      </c>
      <c r="O4079">
        <f>-664.722303544705 -154.629548194775 -499.611850077017</f>
        <v>-1318.963701816497</v>
      </c>
      <c r="P4079">
        <f>-690.922875670114 -187.310985206881 -220.642215204623</f>
        <v>-1098.8760760816181</v>
      </c>
      <c r="Q4079">
        <f>-486.599383191832 -92.3268312041137 -277.019954693073</f>
        <v>-855.94616908901867</v>
      </c>
      <c r="R4079" t="s">
        <v>77822</v>
      </c>
      <c r="S4079" t="s">
        <v>77823</v>
      </c>
      <c r="T4079" t="s">
        <v>77824</v>
      </c>
      <c r="U4079" t="s">
        <v>77825</v>
      </c>
      <c r="V4079">
        <f>-617.431908379168 -55.2722081911011 -93.7216374884707</f>
        <v>-766.42575405873981</v>
      </c>
      <c r="W4079" t="s">
        <v>77826</v>
      </c>
      <c r="X4079" t="s">
        <v>77827</v>
      </c>
      <c r="Y4079" t="s">
        <v>77828</v>
      </c>
    </row>
    <row r="4080" spans="1:25" x14ac:dyDescent="0.3">
      <c r="A4080">
        <v>203950</v>
      </c>
      <c r="B4080" t="s">
        <v>77829</v>
      </c>
      <c r="C4080" t="s">
        <v>77830</v>
      </c>
      <c r="D4080" t="s">
        <v>77831</v>
      </c>
      <c r="E4080" t="s">
        <v>77832</v>
      </c>
      <c r="F4080" t="s">
        <v>77833</v>
      </c>
      <c r="G4080" t="s">
        <v>77834</v>
      </c>
      <c r="H4080" t="s">
        <v>77835</v>
      </c>
      <c r="I4080" t="s">
        <v>77836</v>
      </c>
      <c r="J4080" t="s">
        <v>77837</v>
      </c>
      <c r="K4080" t="s">
        <v>77838</v>
      </c>
      <c r="L4080" t="s">
        <v>77839</v>
      </c>
      <c r="M4080" t="s">
        <v>77840</v>
      </c>
      <c r="N4080">
        <f>-671.34525994227 -1.41232296763746 -530.292421499361</f>
        <v>-1203.0500044092685</v>
      </c>
      <c r="O4080">
        <f>-665.477404663671 -154.225595430427 -499.426227626871</f>
        <v>-1319.1292277209691</v>
      </c>
      <c r="P4080">
        <f>-691.356435587125 -186.812263702884 -220.415526736633</f>
        <v>-1098.584226026642</v>
      </c>
      <c r="Q4080">
        <f>-486.915045070185 -92.3176899582716 -277.18716579147</f>
        <v>-856.41990081992662</v>
      </c>
      <c r="R4080" t="s">
        <v>77841</v>
      </c>
      <c r="S4080" t="s">
        <v>77842</v>
      </c>
      <c r="T4080" t="s">
        <v>77843</v>
      </c>
      <c r="U4080" t="s">
        <v>77844</v>
      </c>
      <c r="V4080">
        <f>-617.121900147551 -54.6360989207776 -93.7051131874898</f>
        <v>-765.46311225581837</v>
      </c>
      <c r="W4080" t="s">
        <v>77845</v>
      </c>
      <c r="X4080" t="s">
        <v>77846</v>
      </c>
      <c r="Y4080" t="s">
        <v>77847</v>
      </c>
    </row>
    <row r="4081" spans="1:25" x14ac:dyDescent="0.3">
      <c r="A4081">
        <v>204000</v>
      </c>
      <c r="B4081" t="s">
        <v>77848</v>
      </c>
      <c r="C4081" t="s">
        <v>77849</v>
      </c>
      <c r="D4081" t="s">
        <v>77850</v>
      </c>
      <c r="E4081" t="s">
        <v>77851</v>
      </c>
      <c r="F4081" t="s">
        <v>77852</v>
      </c>
      <c r="G4081" t="s">
        <v>77853</v>
      </c>
      <c r="H4081" t="s">
        <v>77854</v>
      </c>
      <c r="I4081" t="s">
        <v>77855</v>
      </c>
      <c r="J4081" t="s">
        <v>77856</v>
      </c>
      <c r="K4081" t="s">
        <v>77857</v>
      </c>
      <c r="L4081" t="s">
        <v>77858</v>
      </c>
      <c r="M4081" t="s">
        <v>77859</v>
      </c>
      <c r="N4081">
        <f>-671.463166623134 -1.0694789046911 -530.211388678508</f>
        <v>-1202.7440342063333</v>
      </c>
      <c r="O4081">
        <f>-665.996681131273 -153.873730205428 -499.235600149063</f>
        <v>-1319.1060114857639</v>
      </c>
      <c r="P4081">
        <f>-691.760317002519 -186.092349634824 -220.171449781313</f>
        <v>-1098.0241164186559</v>
      </c>
      <c r="Q4081">
        <f>-487.013471324556 -92.3698041451157 -277.122219000693</f>
        <v>-856.50549447036474</v>
      </c>
      <c r="R4081" t="s">
        <v>77860</v>
      </c>
      <c r="S4081" t="s">
        <v>77861</v>
      </c>
      <c r="T4081" t="s">
        <v>77862</v>
      </c>
      <c r="U4081" t="s">
        <v>77863</v>
      </c>
      <c r="V4081">
        <f>-616.958562240846 -54.3070394552349 -93.6776786353124</f>
        <v>-764.94328033139334</v>
      </c>
      <c r="W4081" t="s">
        <v>77864</v>
      </c>
      <c r="X4081" t="s">
        <v>77865</v>
      </c>
      <c r="Y4081" t="s">
        <v>77866</v>
      </c>
    </row>
    <row r="4082" spans="1:25" x14ac:dyDescent="0.3">
      <c r="A4082">
        <v>204050</v>
      </c>
      <c r="B4082" t="s">
        <v>77867</v>
      </c>
      <c r="C4082" t="s">
        <v>77868</v>
      </c>
      <c r="D4082" t="s">
        <v>77869</v>
      </c>
      <c r="E4082" t="s">
        <v>77870</v>
      </c>
      <c r="F4082" t="s">
        <v>77871</v>
      </c>
      <c r="G4082" t="s">
        <v>77872</v>
      </c>
      <c r="H4082" t="s">
        <v>77873</v>
      </c>
      <c r="I4082" t="s">
        <v>77874</v>
      </c>
      <c r="J4082" t="s">
        <v>77875</v>
      </c>
      <c r="K4082" t="s">
        <v>77876</v>
      </c>
      <c r="L4082" t="s">
        <v>77877</v>
      </c>
      <c r="M4082" t="s">
        <v>77878</v>
      </c>
      <c r="N4082">
        <f>-671.13928154523 -0.647446738944836 -530.135996921288</f>
        <v>-1201.9227252054629</v>
      </c>
      <c r="O4082">
        <f>-666.823368659923 -153.438185441594 -498.942805182613</f>
        <v>-1319.2043592841299</v>
      </c>
      <c r="P4082">
        <f>-692.683007183951 -185.117779219144 -219.825780114647</f>
        <v>-1097.626566517742</v>
      </c>
      <c r="Q4082">
        <f>-486.927807511588 -93.4898476437286 -276.550009258093</f>
        <v>-856.96766441340969</v>
      </c>
      <c r="R4082" t="s">
        <v>77879</v>
      </c>
      <c r="S4082" t="s">
        <v>77880</v>
      </c>
      <c r="T4082" t="s">
        <v>77881</v>
      </c>
      <c r="U4082" t="s">
        <v>77882</v>
      </c>
      <c r="V4082">
        <f>-616.372729672935 -53.8682348709135 -93.6549793732421</f>
        <v>-763.89594391709056</v>
      </c>
      <c r="W4082" t="s">
        <v>77883</v>
      </c>
      <c r="X4082" t="s">
        <v>77884</v>
      </c>
      <c r="Y4082" t="s">
        <v>77885</v>
      </c>
    </row>
    <row r="4083" spans="1:25" x14ac:dyDescent="0.3">
      <c r="A4083">
        <v>204100</v>
      </c>
      <c r="B4083" t="s">
        <v>77886</v>
      </c>
      <c r="C4083" t="s">
        <v>77887</v>
      </c>
      <c r="D4083" t="s">
        <v>77888</v>
      </c>
      <c r="E4083" t="s">
        <v>77889</v>
      </c>
      <c r="F4083" t="s">
        <v>77890</v>
      </c>
      <c r="G4083" t="s">
        <v>77891</v>
      </c>
      <c r="H4083" t="s">
        <v>77892</v>
      </c>
      <c r="I4083" t="s">
        <v>77893</v>
      </c>
      <c r="J4083" t="s">
        <v>77894</v>
      </c>
      <c r="K4083" t="s">
        <v>77895</v>
      </c>
      <c r="L4083" t="s">
        <v>77896</v>
      </c>
      <c r="M4083" t="s">
        <v>77897</v>
      </c>
      <c r="N4083">
        <f>-670.94610434335 -0.468795793216032 -530.068179246243</f>
        <v>-1201.4830793828091</v>
      </c>
      <c r="O4083">
        <f>-667.190931823599 -153.249902677041 -498.708400687289</f>
        <v>-1319.149235187929</v>
      </c>
      <c r="P4083">
        <f>-693.588280928229 -184.72262616191 -219.618323165341</f>
        <v>-1097.92923025548</v>
      </c>
      <c r="Q4083">
        <f>-487.273431469611 -94.329641749084 -276.291518111691</f>
        <v>-857.89459133038599</v>
      </c>
      <c r="R4083" t="s">
        <v>77898</v>
      </c>
      <c r="S4083" t="s">
        <v>77899</v>
      </c>
      <c r="T4083" t="s">
        <v>77900</v>
      </c>
      <c r="U4083" t="s">
        <v>77901</v>
      </c>
      <c r="V4083">
        <f>-616.09108427666 -53.7829301091251 -93.6203522170172</f>
        <v>-763.4943666028023</v>
      </c>
      <c r="W4083" t="s">
        <v>77902</v>
      </c>
      <c r="X4083" t="s">
        <v>77903</v>
      </c>
      <c r="Y4083" t="s">
        <v>77904</v>
      </c>
    </row>
    <row r="4084" spans="1:25" x14ac:dyDescent="0.3">
      <c r="A4084">
        <v>204150</v>
      </c>
      <c r="B4084" t="s">
        <v>77905</v>
      </c>
      <c r="C4084" t="s">
        <v>77906</v>
      </c>
      <c r="D4084" t="s">
        <v>77907</v>
      </c>
      <c r="E4084" t="s">
        <v>77908</v>
      </c>
      <c r="F4084" t="s">
        <v>77909</v>
      </c>
      <c r="G4084" t="s">
        <v>77910</v>
      </c>
      <c r="H4084" t="s">
        <v>77911</v>
      </c>
      <c r="I4084" t="s">
        <v>77912</v>
      </c>
      <c r="J4084" t="s">
        <v>77913</v>
      </c>
      <c r="K4084" t="s">
        <v>77914</v>
      </c>
      <c r="L4084" t="s">
        <v>77915</v>
      </c>
      <c r="M4084" t="s">
        <v>77916</v>
      </c>
      <c r="N4084">
        <f>-670.718187643382 -0.217178117249432 -529.994926234167</f>
        <v>-1200.9302919947984</v>
      </c>
      <c r="O4084">
        <f>-667.54963524096 -152.980245352401 -498.501339443499</f>
        <v>-1319.0312200368598</v>
      </c>
      <c r="P4084">
        <f>-694.542887407955 -184.30338165831 -219.451638670876</f>
        <v>-1098.297907737141</v>
      </c>
      <c r="Q4084">
        <f>-487.63415364677 -95.1223118142268 -275.878724088321</f>
        <v>-858.63518954931783</v>
      </c>
      <c r="R4084" t="s">
        <v>77917</v>
      </c>
      <c r="S4084" t="s">
        <v>77918</v>
      </c>
      <c r="T4084" t="s">
        <v>77919</v>
      </c>
      <c r="U4084" t="s">
        <v>77920</v>
      </c>
      <c r="V4084">
        <f>-615.710990036721 -53.7678391954692 -93.5793870759501</f>
        <v>-763.05821630814023</v>
      </c>
      <c r="W4084" t="s">
        <v>77921</v>
      </c>
      <c r="X4084" t="s">
        <v>77922</v>
      </c>
      <c r="Y4084" t="s">
        <v>77923</v>
      </c>
    </row>
    <row r="4085" spans="1:25" x14ac:dyDescent="0.3">
      <c r="A4085">
        <v>204200</v>
      </c>
      <c r="B4085" t="s">
        <v>77924</v>
      </c>
      <c r="C4085" t="s">
        <v>77925</v>
      </c>
      <c r="D4085" t="s">
        <v>77926</v>
      </c>
      <c r="E4085" t="s">
        <v>77927</v>
      </c>
      <c r="F4085" t="s">
        <v>77928</v>
      </c>
      <c r="G4085" t="s">
        <v>77929</v>
      </c>
      <c r="H4085" t="s">
        <v>77930</v>
      </c>
      <c r="I4085" t="s">
        <v>77931</v>
      </c>
      <c r="J4085" t="s">
        <v>77932</v>
      </c>
      <c r="K4085" t="s">
        <v>77933</v>
      </c>
      <c r="L4085" t="s">
        <v>77934</v>
      </c>
      <c r="M4085" t="s">
        <v>77935</v>
      </c>
      <c r="N4085" t="s">
        <v>77936</v>
      </c>
      <c r="O4085">
        <f>-667.582460584951 -152.560396805601 -498.336578084402</f>
        <v>-1318.479435474954</v>
      </c>
      <c r="P4085">
        <f>-695.822079418592 -183.691108712965 -219.388532009046</f>
        <v>-1098.9017201406029</v>
      </c>
      <c r="Q4085">
        <f>-487.741447431709 -96.5687029112805 -274.711688921984</f>
        <v>-859.02183926497344</v>
      </c>
      <c r="R4085" t="s">
        <v>77937</v>
      </c>
      <c r="S4085" t="s">
        <v>77938</v>
      </c>
      <c r="T4085" t="s">
        <v>77939</v>
      </c>
      <c r="U4085" t="s">
        <v>77940</v>
      </c>
      <c r="V4085">
        <f>-614.928283321526 -53.5399867915482 -93.5141876969088</f>
        <v>-761.98245780998309</v>
      </c>
      <c r="W4085" t="s">
        <v>77941</v>
      </c>
      <c r="X4085" t="s">
        <v>77942</v>
      </c>
      <c r="Y4085" t="s">
        <v>77943</v>
      </c>
    </row>
    <row r="4086" spans="1:25" x14ac:dyDescent="0.3">
      <c r="A4086">
        <v>204250</v>
      </c>
      <c r="B4086" t="s">
        <v>77944</v>
      </c>
      <c r="C4086" t="s">
        <v>77945</v>
      </c>
      <c r="D4086" t="s">
        <v>77946</v>
      </c>
      <c r="E4086" t="s">
        <v>77947</v>
      </c>
      <c r="F4086" t="s">
        <v>77948</v>
      </c>
      <c r="G4086" t="s">
        <v>77949</v>
      </c>
      <c r="H4086" t="s">
        <v>77950</v>
      </c>
      <c r="I4086" t="s">
        <v>77951</v>
      </c>
      <c r="J4086" t="s">
        <v>77952</v>
      </c>
      <c r="K4086" t="s">
        <v>77953</v>
      </c>
      <c r="L4086" t="s">
        <v>77954</v>
      </c>
      <c r="M4086" t="s">
        <v>77955</v>
      </c>
      <c r="N4086" t="s">
        <v>77956</v>
      </c>
      <c r="O4086">
        <f>-667.412610921738 -152.451954052982 -498.255479408549</f>
        <v>-1318.120044383269</v>
      </c>
      <c r="P4086">
        <f>-696.273515349161 -183.590449203656 -219.372038329594</f>
        <v>-1099.236002882411</v>
      </c>
      <c r="Q4086">
        <f>-487.732562763998 -97.2667142858327 -274.211977256059</f>
        <v>-859.21125430588972</v>
      </c>
      <c r="R4086" t="s">
        <v>77957</v>
      </c>
      <c r="S4086" t="s">
        <v>77958</v>
      </c>
      <c r="T4086" t="s">
        <v>77959</v>
      </c>
      <c r="U4086" t="s">
        <v>77960</v>
      </c>
      <c r="V4086">
        <f>-614.595454422991 -53.3620664464722 -93.4910019298163</f>
        <v>-761.44852279927954</v>
      </c>
      <c r="W4086" t="s">
        <v>77961</v>
      </c>
      <c r="X4086" t="s">
        <v>77962</v>
      </c>
      <c r="Y4086" t="s">
        <v>77963</v>
      </c>
    </row>
    <row r="4087" spans="1:25" x14ac:dyDescent="0.3">
      <c r="A4087">
        <v>204300</v>
      </c>
      <c r="B4087" t="s">
        <v>77964</v>
      </c>
      <c r="C4087" t="s">
        <v>77965</v>
      </c>
      <c r="D4087" t="s">
        <v>77966</v>
      </c>
      <c r="E4087" t="s">
        <v>77967</v>
      </c>
      <c r="F4087" t="s">
        <v>77968</v>
      </c>
      <c r="G4087" t="s">
        <v>77969</v>
      </c>
      <c r="H4087" t="s">
        <v>77970</v>
      </c>
      <c r="I4087" t="s">
        <v>77971</v>
      </c>
      <c r="J4087" t="s">
        <v>77972</v>
      </c>
      <c r="K4087" t="s">
        <v>77973</v>
      </c>
      <c r="L4087" t="s">
        <v>77974</v>
      </c>
      <c r="M4087" t="s">
        <v>77975</v>
      </c>
      <c r="N4087" t="s">
        <v>77976</v>
      </c>
      <c r="O4087">
        <f>-667.07346602265 -152.306694655617 -498.107031139714</f>
        <v>-1317.4871918179811</v>
      </c>
      <c r="P4087">
        <f>-696.643084233706 -184.000821972194 -219.360469420607</f>
        <v>-1100.004375626507</v>
      </c>
      <c r="Q4087">
        <f>-487.729705653 -98.1303198339376 -273.489796903555</f>
        <v>-859.34982239049259</v>
      </c>
      <c r="R4087" t="s">
        <v>77977</v>
      </c>
      <c r="S4087" t="s">
        <v>77978</v>
      </c>
      <c r="T4087" t="s">
        <v>77979</v>
      </c>
      <c r="U4087" t="s">
        <v>77980</v>
      </c>
      <c r="V4087">
        <f>-613.847033243608 -53.0294756124795 -93.4512922041508</f>
        <v>-760.32780106023836</v>
      </c>
      <c r="W4087" t="s">
        <v>77981</v>
      </c>
      <c r="X4087" t="s">
        <v>77982</v>
      </c>
      <c r="Y4087" t="s">
        <v>77983</v>
      </c>
    </row>
    <row r="4088" spans="1:25" x14ac:dyDescent="0.3">
      <c r="A4088">
        <v>204350</v>
      </c>
      <c r="B4088" t="s">
        <v>77984</v>
      </c>
      <c r="C4088" t="s">
        <v>77985</v>
      </c>
      <c r="D4088" t="s">
        <v>77986</v>
      </c>
      <c r="E4088" t="s">
        <v>77987</v>
      </c>
      <c r="F4088" t="s">
        <v>77988</v>
      </c>
      <c r="G4088" t="s">
        <v>77989</v>
      </c>
      <c r="H4088" t="s">
        <v>77990</v>
      </c>
      <c r="I4088" t="s">
        <v>77991</v>
      </c>
      <c r="J4088" t="s">
        <v>77992</v>
      </c>
      <c r="K4088" t="s">
        <v>77993</v>
      </c>
      <c r="L4088" t="s">
        <v>77994</v>
      </c>
      <c r="M4088" t="s">
        <v>77995</v>
      </c>
      <c r="N4088" t="s">
        <v>77996</v>
      </c>
      <c r="O4088">
        <f>-666.920185137857 -152.344455450231 -498.075421887454</f>
        <v>-1317.340062475542</v>
      </c>
      <c r="P4088">
        <f>-696.531870913575 -184.375178707648 -219.371711072542</f>
        <v>-1100.278760693765</v>
      </c>
      <c r="Q4088">
        <f>-487.680368360559 -98.2821370685551 -273.386648677701</f>
        <v>-859.34915410681515</v>
      </c>
      <c r="R4088" t="s">
        <v>77997</v>
      </c>
      <c r="S4088" t="s">
        <v>77998</v>
      </c>
      <c r="T4088" t="s">
        <v>77999</v>
      </c>
      <c r="U4088" t="s">
        <v>78000</v>
      </c>
      <c r="V4088">
        <f>-613.494838203204 -52.8553728459835 -93.4358375403239</f>
        <v>-759.78604858951144</v>
      </c>
      <c r="W4088" t="s">
        <v>78001</v>
      </c>
      <c r="X4088" t="s">
        <v>78002</v>
      </c>
      <c r="Y4088" t="s">
        <v>78003</v>
      </c>
    </row>
    <row r="4089" spans="1:25" x14ac:dyDescent="0.3">
      <c r="A4089">
        <v>204400</v>
      </c>
      <c r="B4089" t="s">
        <v>78004</v>
      </c>
      <c r="C4089" t="s">
        <v>78005</v>
      </c>
      <c r="D4089" t="s">
        <v>78006</v>
      </c>
      <c r="E4089" t="s">
        <v>78007</v>
      </c>
      <c r="F4089" t="s">
        <v>78008</v>
      </c>
      <c r="G4089" t="s">
        <v>78009</v>
      </c>
      <c r="H4089" t="s">
        <v>78010</v>
      </c>
      <c r="I4089" t="s">
        <v>78011</v>
      </c>
      <c r="J4089" t="s">
        <v>78012</v>
      </c>
      <c r="K4089" t="s">
        <v>78013</v>
      </c>
      <c r="L4089" t="s">
        <v>78014</v>
      </c>
      <c r="M4089" t="s">
        <v>78015</v>
      </c>
      <c r="N4089" t="s">
        <v>78016</v>
      </c>
      <c r="O4089">
        <f>-666.774964542298 -152.576516545235 -497.972198958279</f>
        <v>-1317.3236800458121</v>
      </c>
      <c r="P4089">
        <f>-695.907581929018 -184.64344985862 -219.222153802638</f>
        <v>-1099.7731855902759</v>
      </c>
      <c r="Q4089">
        <f>-487.485277625753 -97.7113187474263 -273.54974161554</f>
        <v>-858.74633798871923</v>
      </c>
      <c r="R4089" t="s">
        <v>78017</v>
      </c>
      <c r="S4089" t="s">
        <v>78018</v>
      </c>
      <c r="T4089" t="s">
        <v>78019</v>
      </c>
      <c r="U4089" t="s">
        <v>78020</v>
      </c>
      <c r="V4089">
        <f>-612.999088824581 -52.6375365861948 -93.416569977898</f>
        <v>-759.05319538867377</v>
      </c>
      <c r="W4089" t="s">
        <v>78021</v>
      </c>
      <c r="X4089" t="s">
        <v>78022</v>
      </c>
      <c r="Y4089" t="s">
        <v>78023</v>
      </c>
    </row>
    <row r="4090" spans="1:25" x14ac:dyDescent="0.3">
      <c r="A4090">
        <v>204450</v>
      </c>
      <c r="B4090" t="s">
        <v>78024</v>
      </c>
      <c r="C4090" t="s">
        <v>78025</v>
      </c>
      <c r="D4090" t="s">
        <v>78026</v>
      </c>
      <c r="E4090" t="s">
        <v>78027</v>
      </c>
      <c r="F4090" t="s">
        <v>78028</v>
      </c>
      <c r="G4090" t="s">
        <v>78029</v>
      </c>
      <c r="H4090" t="s">
        <v>78030</v>
      </c>
      <c r="I4090" t="s">
        <v>78031</v>
      </c>
      <c r="J4090" t="s">
        <v>78032</v>
      </c>
      <c r="K4090" t="s">
        <v>78033</v>
      </c>
      <c r="L4090" t="s">
        <v>78034</v>
      </c>
      <c r="M4090" t="s">
        <v>78035</v>
      </c>
      <c r="N4090">
        <f>-669.491302745394 -0.0145857006234564 -529.600446564653</f>
        <v>-1199.1063350106706</v>
      </c>
      <c r="O4090">
        <f>-666.54477464695 -152.735104876941 -497.884246278813</f>
        <v>-1317.1641258027041</v>
      </c>
      <c r="P4090">
        <f>-695.285317545428 -184.780726183605 -219.09099630561</f>
        <v>-1099.1570400346429</v>
      </c>
      <c r="Q4090">
        <f>-487.197733772149 -97.2090927845929 -273.674070821239</f>
        <v>-858.08089737798082</v>
      </c>
      <c r="R4090" t="s">
        <v>78036</v>
      </c>
      <c r="S4090" t="s">
        <v>78037</v>
      </c>
      <c r="T4090" t="s">
        <v>78038</v>
      </c>
      <c r="U4090" t="s">
        <v>78039</v>
      </c>
      <c r="V4090">
        <f>-612.859399055697 -52.6123508977287 -93.4149794155077</f>
        <v>-758.8867293689334</v>
      </c>
      <c r="W4090" t="s">
        <v>78040</v>
      </c>
      <c r="X4090" t="s">
        <v>78041</v>
      </c>
      <c r="Y4090" t="s">
        <v>78042</v>
      </c>
    </row>
    <row r="4091" spans="1:25" x14ac:dyDescent="0.3">
      <c r="A4091">
        <v>204500</v>
      </c>
      <c r="B4091" t="s">
        <v>78043</v>
      </c>
      <c r="C4091" t="s">
        <v>78044</v>
      </c>
      <c r="D4091" t="s">
        <v>78045</v>
      </c>
      <c r="E4091" t="s">
        <v>78046</v>
      </c>
      <c r="F4091" t="s">
        <v>78047</v>
      </c>
      <c r="G4091" t="s">
        <v>78048</v>
      </c>
      <c r="H4091" t="s">
        <v>78049</v>
      </c>
      <c r="I4091" t="s">
        <v>78050</v>
      </c>
      <c r="J4091" t="s">
        <v>78051</v>
      </c>
      <c r="K4091" t="s">
        <v>78052</v>
      </c>
      <c r="L4091" t="s">
        <v>78053</v>
      </c>
      <c r="M4091" t="s">
        <v>78054</v>
      </c>
      <c r="N4091">
        <f>-669.779884970567 -0.230748862233213 -529.553196484734</f>
        <v>-1199.5638303175342</v>
      </c>
      <c r="O4091">
        <f>-665.989320747042 -152.923219484801 -497.786167531032</f>
        <v>-1316.6987077628751</v>
      </c>
      <c r="P4091">
        <f>-694.373150693889 -184.944110086343 -218.953692187205</f>
        <v>-1098.2709529674371</v>
      </c>
      <c r="Q4091">
        <f>-486.901958374084 -96.0630454379782 -273.765898837189</f>
        <v>-856.73090264925122</v>
      </c>
      <c r="R4091" t="s">
        <v>78055</v>
      </c>
      <c r="S4091" t="s">
        <v>78056</v>
      </c>
      <c r="T4091" t="s">
        <v>78057</v>
      </c>
      <c r="U4091" t="s">
        <v>78058</v>
      </c>
      <c r="V4091">
        <f>-612.755385496227 -52.4088616251634 -93.4114855941485</f>
        <v>-758.57573271553883</v>
      </c>
      <c r="W4091" t="s">
        <v>78059</v>
      </c>
      <c r="X4091" t="s">
        <v>78060</v>
      </c>
      <c r="Y4091" t="s">
        <v>78061</v>
      </c>
    </row>
    <row r="4092" spans="1:25" x14ac:dyDescent="0.3">
      <c r="A4092">
        <v>204550</v>
      </c>
      <c r="B4092" t="s">
        <v>78062</v>
      </c>
      <c r="C4092" t="s">
        <v>78063</v>
      </c>
      <c r="D4092" t="s">
        <v>78064</v>
      </c>
      <c r="E4092" t="s">
        <v>78065</v>
      </c>
      <c r="F4092" t="s">
        <v>78066</v>
      </c>
      <c r="G4092" t="s">
        <v>78067</v>
      </c>
      <c r="H4092" t="s">
        <v>78068</v>
      </c>
      <c r="I4092" t="s">
        <v>78069</v>
      </c>
      <c r="J4092" t="s">
        <v>78070</v>
      </c>
      <c r="K4092" t="s">
        <v>78071</v>
      </c>
      <c r="L4092" t="s">
        <v>78072</v>
      </c>
      <c r="M4092" t="s">
        <v>78073</v>
      </c>
      <c r="N4092">
        <f>-670.280131748228 -0.232896879375858 -529.527233685072</f>
        <v>-1200.0402623126758</v>
      </c>
      <c r="O4092">
        <f>-665.493236364675 -152.91575825046 -497.86685175284</f>
        <v>-1316.275846367975</v>
      </c>
      <c r="P4092">
        <f>-693.709669593174 -185.398616527258 -219.070611790579</f>
        <v>-1098.1788979110111</v>
      </c>
      <c r="Q4092">
        <f>-486.913151359255 -94.8291380310145 -273.668072997553</f>
        <v>-855.41036238782249</v>
      </c>
      <c r="R4092" t="s">
        <v>78074</v>
      </c>
      <c r="S4092" t="s">
        <v>78075</v>
      </c>
      <c r="T4092" t="s">
        <v>78076</v>
      </c>
      <c r="U4092" t="s">
        <v>78077</v>
      </c>
      <c r="V4092">
        <f>-612.707618215063 -52.0650283445473 -93.4235033284781</f>
        <v>-758.19614988808837</v>
      </c>
      <c r="W4092" t="s">
        <v>78078</v>
      </c>
      <c r="X4092" t="s">
        <v>78079</v>
      </c>
      <c r="Y4092" t="s">
        <v>78080</v>
      </c>
    </row>
    <row r="4093" spans="1:25" x14ac:dyDescent="0.3">
      <c r="A4093">
        <v>204600</v>
      </c>
      <c r="B4093" t="s">
        <v>78081</v>
      </c>
      <c r="C4093" t="s">
        <v>78082</v>
      </c>
      <c r="D4093" t="s">
        <v>78083</v>
      </c>
      <c r="E4093" t="s">
        <v>78084</v>
      </c>
      <c r="F4093" t="s">
        <v>78085</v>
      </c>
      <c r="G4093" t="s">
        <v>78086</v>
      </c>
      <c r="H4093" t="s">
        <v>78087</v>
      </c>
      <c r="I4093" t="s">
        <v>78088</v>
      </c>
      <c r="J4093" t="s">
        <v>78089</v>
      </c>
      <c r="K4093" t="s">
        <v>78090</v>
      </c>
      <c r="L4093" t="s">
        <v>78091</v>
      </c>
      <c r="M4093" t="s">
        <v>78092</v>
      </c>
      <c r="N4093">
        <f>-670.624602693898 -0.309805848467477 -529.494503600726</f>
        <v>-1200.4289121430916</v>
      </c>
      <c r="O4093">
        <f>-665.412731731549 -152.976958568381 -497.823085901815</f>
        <v>-1316.2127762017449</v>
      </c>
      <c r="P4093">
        <f>-693.422903806368 -185.684887673419 -219.032468537134</f>
        <v>-1098.140260016921</v>
      </c>
      <c r="Q4093">
        <f>-486.994340234581 -94.2440240174431 -273.570290024419</f>
        <v>-854.80865427644312</v>
      </c>
      <c r="R4093" t="s">
        <v>78093</v>
      </c>
      <c r="S4093" t="s">
        <v>78094</v>
      </c>
      <c r="T4093" t="s">
        <v>78095</v>
      </c>
      <c r="U4093" t="s">
        <v>78096</v>
      </c>
      <c r="V4093">
        <f>-612.748194580198 -51.9212795754045 -93.4315205004154</f>
        <v>-758.10099465601786</v>
      </c>
      <c r="W4093" t="s">
        <v>78097</v>
      </c>
      <c r="X4093" t="s">
        <v>78098</v>
      </c>
      <c r="Y4093" t="s">
        <v>78099</v>
      </c>
    </row>
    <row r="4094" spans="1:25" x14ac:dyDescent="0.3">
      <c r="A4094">
        <v>204650</v>
      </c>
      <c r="B4094" t="s">
        <v>78100</v>
      </c>
      <c r="C4094" t="s">
        <v>78101</v>
      </c>
      <c r="D4094" t="s">
        <v>78102</v>
      </c>
      <c r="E4094" t="s">
        <v>78103</v>
      </c>
      <c r="F4094" t="s">
        <v>78104</v>
      </c>
      <c r="G4094" t="s">
        <v>78105</v>
      </c>
      <c r="H4094" t="s">
        <v>78106</v>
      </c>
      <c r="I4094" t="s">
        <v>78107</v>
      </c>
      <c r="J4094" t="s">
        <v>78108</v>
      </c>
      <c r="K4094" t="s">
        <v>78109</v>
      </c>
      <c r="L4094" t="s">
        <v>78110</v>
      </c>
      <c r="M4094" t="s">
        <v>78111</v>
      </c>
      <c r="N4094">
        <f>-671.069698555704 -0.932745497971382 -529.458123184595</f>
        <v>-1201.4605672382704</v>
      </c>
      <c r="O4094">
        <f>-665.137976427871 -153.527627924488 -497.579890589165</f>
        <v>-1316.2454949415239</v>
      </c>
      <c r="P4094">
        <f>-692.640916958185 -185.982958674643 -218.709187468047</f>
        <v>-1097.3330631008751</v>
      </c>
      <c r="Q4094">
        <f>-486.717163005138 -93.6618881264194 -273.670794091098</f>
        <v>-854.04984522265545</v>
      </c>
      <c r="R4094" t="s">
        <v>78112</v>
      </c>
      <c r="S4094" t="s">
        <v>78113</v>
      </c>
      <c r="T4094" t="s">
        <v>78114</v>
      </c>
      <c r="U4094" t="s">
        <v>78115</v>
      </c>
      <c r="V4094">
        <f>-612.991280082676 -51.8009226445574 -93.4391602339401</f>
        <v>-758.23136296117355</v>
      </c>
      <c r="W4094" t="s">
        <v>78116</v>
      </c>
      <c r="X4094" t="s">
        <v>78117</v>
      </c>
      <c r="Y4094" t="s">
        <v>78118</v>
      </c>
    </row>
    <row r="4095" spans="1:25" x14ac:dyDescent="0.3">
      <c r="A4095">
        <v>204700</v>
      </c>
      <c r="B4095" t="s">
        <v>78119</v>
      </c>
      <c r="C4095" t="s">
        <v>78120</v>
      </c>
      <c r="D4095" t="s">
        <v>78121</v>
      </c>
      <c r="E4095" t="s">
        <v>78122</v>
      </c>
      <c r="F4095" t="s">
        <v>78123</v>
      </c>
      <c r="G4095" t="s">
        <v>78124</v>
      </c>
      <c r="H4095" t="s">
        <v>78125</v>
      </c>
      <c r="I4095" t="s">
        <v>78126</v>
      </c>
      <c r="J4095" t="s">
        <v>78127</v>
      </c>
      <c r="K4095" t="s">
        <v>78128</v>
      </c>
      <c r="L4095" t="s">
        <v>78129</v>
      </c>
      <c r="M4095" t="s">
        <v>78130</v>
      </c>
      <c r="N4095">
        <f>-671.440756978083 -1.36881236157956 -529.403355934634</f>
        <v>-1202.2129252742966</v>
      </c>
      <c r="O4095">
        <f>-665.069578540727 -153.905148421685 -497.319905111624</f>
        <v>-1316.2946320740359</v>
      </c>
      <c r="P4095">
        <f>-692.471765300572 -185.996570174242 -218.397339108438</f>
        <v>-1096.865674583252</v>
      </c>
      <c r="Q4095">
        <f>-486.775058903209 -93.4604801142318 -273.845108044694</f>
        <v>-854.08064706213486</v>
      </c>
      <c r="R4095" t="s">
        <v>78131</v>
      </c>
      <c r="S4095" t="s">
        <v>78132</v>
      </c>
      <c r="T4095" t="s">
        <v>78133</v>
      </c>
      <c r="U4095" t="s">
        <v>78134</v>
      </c>
      <c r="V4095">
        <f>-613.205776585461 -51.7729680470486 -93.4335083490631</f>
        <v>-758.41225298157269</v>
      </c>
      <c r="W4095" t="s">
        <v>78135</v>
      </c>
      <c r="X4095" t="s">
        <v>78136</v>
      </c>
      <c r="Y4095" t="s">
        <v>78137</v>
      </c>
    </row>
    <row r="4096" spans="1:25" x14ac:dyDescent="0.3">
      <c r="A4096">
        <v>204750</v>
      </c>
      <c r="B4096" t="s">
        <v>78138</v>
      </c>
      <c r="C4096" t="s">
        <v>78139</v>
      </c>
      <c r="D4096" t="s">
        <v>78140</v>
      </c>
      <c r="E4096" t="s">
        <v>78141</v>
      </c>
      <c r="F4096" t="s">
        <v>78142</v>
      </c>
      <c r="G4096" t="s">
        <v>78143</v>
      </c>
      <c r="H4096" t="s">
        <v>78144</v>
      </c>
      <c r="I4096" t="s">
        <v>78145</v>
      </c>
      <c r="J4096" t="s">
        <v>78146</v>
      </c>
      <c r="K4096" t="s">
        <v>78147</v>
      </c>
      <c r="L4096" t="s">
        <v>78148</v>
      </c>
      <c r="M4096" t="s">
        <v>78149</v>
      </c>
      <c r="N4096">
        <f>-671.923188221885 -1.88631781373215 -529.32499267876</f>
        <v>-1203.1344987143771</v>
      </c>
      <c r="O4096">
        <f>-665.163014498738 -154.342275360151 -496.979378757362</f>
        <v>-1316.4846686162509</v>
      </c>
      <c r="P4096">
        <f>-692.338409127546 -186.026544629163 -217.98805048148</f>
        <v>-1096.353004238189</v>
      </c>
      <c r="Q4096">
        <f>-486.841290521579 -93.3437584630367 -273.92897073115</f>
        <v>-854.11401971576572</v>
      </c>
      <c r="R4096" t="s">
        <v>78150</v>
      </c>
      <c r="S4096" t="s">
        <v>78151</v>
      </c>
      <c r="T4096" t="s">
        <v>78152</v>
      </c>
      <c r="U4096" t="s">
        <v>78153</v>
      </c>
      <c r="V4096">
        <f>-613.381978764905 -51.6579939195576 -93.4275923760069</f>
        <v>-758.46756506046961</v>
      </c>
      <c r="W4096" t="s">
        <v>78154</v>
      </c>
      <c r="X4096" t="s">
        <v>78155</v>
      </c>
      <c r="Y4096" t="s">
        <v>78156</v>
      </c>
    </row>
    <row r="4097" spans="1:25" x14ac:dyDescent="0.3">
      <c r="A4097">
        <v>204800</v>
      </c>
      <c r="B4097" t="s">
        <v>78157</v>
      </c>
      <c r="C4097" t="s">
        <v>78158</v>
      </c>
      <c r="D4097" t="s">
        <v>78159</v>
      </c>
      <c r="E4097" t="s">
        <v>78160</v>
      </c>
      <c r="F4097" t="s">
        <v>78161</v>
      </c>
      <c r="G4097" t="s">
        <v>78162</v>
      </c>
      <c r="H4097" t="s">
        <v>78163</v>
      </c>
      <c r="I4097" t="s">
        <v>78164</v>
      </c>
      <c r="J4097" t="s">
        <v>78165</v>
      </c>
      <c r="K4097" t="s">
        <v>78166</v>
      </c>
      <c r="L4097" t="s">
        <v>78167</v>
      </c>
      <c r="M4097" t="s">
        <v>78168</v>
      </c>
      <c r="N4097">
        <f>-672.442524937311 -2.88491639692256 -529.130840955328</f>
        <v>-1204.4582822895616</v>
      </c>
      <c r="O4097">
        <f>-665.351451832319 -155.217293171181 -496.21626914231</f>
        <v>-1316.78501414581</v>
      </c>
      <c r="P4097">
        <f>-691.948821549017 -185.862235078174 -217.053028299037</f>
        <v>-1094.8640849262279</v>
      </c>
      <c r="Q4097">
        <f>-486.606855823853 -93.2499329516247 -273.676030369329</f>
        <v>-853.53281914480658</v>
      </c>
      <c r="R4097" t="s">
        <v>78169</v>
      </c>
      <c r="S4097" t="s">
        <v>78170</v>
      </c>
      <c r="T4097" t="s">
        <v>78171</v>
      </c>
      <c r="U4097" t="s">
        <v>78172</v>
      </c>
      <c r="V4097">
        <f>-613.556438530728 -51.5947002439129 -93.3622563311687</f>
        <v>-758.51339510580965</v>
      </c>
      <c r="W4097" t="s">
        <v>78173</v>
      </c>
      <c r="X4097" t="s">
        <v>78174</v>
      </c>
      <c r="Y4097" t="s">
        <v>78175</v>
      </c>
    </row>
    <row r="4098" spans="1:25" x14ac:dyDescent="0.3">
      <c r="A4098">
        <v>204850</v>
      </c>
      <c r="B4098" t="s">
        <v>78176</v>
      </c>
      <c r="C4098" t="s">
        <v>78177</v>
      </c>
      <c r="D4098" t="s">
        <v>78178</v>
      </c>
      <c r="E4098" t="s">
        <v>78179</v>
      </c>
      <c r="F4098" t="s">
        <v>78180</v>
      </c>
      <c r="G4098" t="s">
        <v>78181</v>
      </c>
      <c r="H4098" t="s">
        <v>78182</v>
      </c>
      <c r="I4098" t="s">
        <v>78183</v>
      </c>
      <c r="J4098" t="s">
        <v>78184</v>
      </c>
      <c r="K4098" t="s">
        <v>78185</v>
      </c>
      <c r="L4098" t="s">
        <v>78186</v>
      </c>
      <c r="M4098" t="s">
        <v>78187</v>
      </c>
      <c r="N4098">
        <f>-672.477934687436 -3.28623512652507 -528.986018206681</f>
        <v>-1204.7501880206421</v>
      </c>
      <c r="O4098">
        <f>-665.438206079231 -155.568555458485 -495.832621017958</f>
        <v>-1316.8393825556741</v>
      </c>
      <c r="P4098">
        <f>-691.984328867283 -185.761171110418 -216.615257875645</f>
        <v>-1094.3607578533461</v>
      </c>
      <c r="Q4098">
        <f>-486.668615014054 -93.2112433800776 -273.434975232983</f>
        <v>-853.31483362711458</v>
      </c>
      <c r="R4098" t="s">
        <v>78188</v>
      </c>
      <c r="S4098" t="s">
        <v>78189</v>
      </c>
      <c r="T4098" t="s">
        <v>78190</v>
      </c>
      <c r="U4098" t="s">
        <v>78191</v>
      </c>
      <c r="V4098">
        <f>-613.540323667404 -51.6315762289184 -93.2531168782751</f>
        <v>-758.42501677459757</v>
      </c>
      <c r="W4098" t="s">
        <v>78192</v>
      </c>
      <c r="X4098" t="s">
        <v>78193</v>
      </c>
      <c r="Y4098" t="s">
        <v>78194</v>
      </c>
    </row>
    <row r="4099" spans="1:25" x14ac:dyDescent="0.3">
      <c r="A4099">
        <v>204900</v>
      </c>
      <c r="B4099" t="s">
        <v>78195</v>
      </c>
      <c r="C4099" t="s">
        <v>78196</v>
      </c>
      <c r="D4099" t="s">
        <v>78197</v>
      </c>
      <c r="E4099" t="s">
        <v>78198</v>
      </c>
      <c r="F4099" t="s">
        <v>78199</v>
      </c>
      <c r="G4099" t="s">
        <v>78200</v>
      </c>
      <c r="H4099" t="s">
        <v>78201</v>
      </c>
      <c r="I4099" t="s">
        <v>78202</v>
      </c>
      <c r="J4099" t="s">
        <v>78203</v>
      </c>
      <c r="K4099" t="s">
        <v>78204</v>
      </c>
      <c r="L4099" t="s">
        <v>78205</v>
      </c>
      <c r="M4099" t="s">
        <v>78206</v>
      </c>
      <c r="N4099">
        <f>-672.820747766305 -4.10360362647634 -528.677589738046</f>
        <v>-1205.6019411308273</v>
      </c>
      <c r="O4099">
        <f>-666.148806097129 -156.302420788882 -495.096619725814</f>
        <v>-1317.547846611825</v>
      </c>
      <c r="P4099">
        <f>-692.812247011817 -185.551022214776 -215.790072340905</f>
        <v>-1094.153341567498</v>
      </c>
      <c r="Q4099">
        <f>-487.414877789018 -93.3601563426189 -272.897478772294</f>
        <v>-853.67251290393085</v>
      </c>
      <c r="R4099" t="s">
        <v>78207</v>
      </c>
      <c r="S4099" t="s">
        <v>78208</v>
      </c>
      <c r="T4099" t="s">
        <v>78209</v>
      </c>
      <c r="U4099" t="s">
        <v>78210</v>
      </c>
      <c r="V4099">
        <f>-613.805697995009 -51.8753036832663 -93.0103317085957</f>
        <v>-758.69133338687107</v>
      </c>
      <c r="W4099" t="s">
        <v>78211</v>
      </c>
      <c r="X4099" t="s">
        <v>78212</v>
      </c>
      <c r="Y4099" t="s">
        <v>78213</v>
      </c>
    </row>
    <row r="4100" spans="1:25" x14ac:dyDescent="0.3">
      <c r="A4100">
        <v>204950</v>
      </c>
      <c r="B4100" t="s">
        <v>78214</v>
      </c>
      <c r="C4100" t="s">
        <v>78215</v>
      </c>
      <c r="D4100" t="s">
        <v>78216</v>
      </c>
      <c r="E4100" t="s">
        <v>78217</v>
      </c>
      <c r="F4100" t="s">
        <v>78218</v>
      </c>
      <c r="G4100" t="s">
        <v>78219</v>
      </c>
      <c r="H4100" t="s">
        <v>78220</v>
      </c>
      <c r="I4100" t="s">
        <v>78221</v>
      </c>
      <c r="J4100" t="s">
        <v>78222</v>
      </c>
      <c r="K4100" t="s">
        <v>78223</v>
      </c>
      <c r="L4100" t="s">
        <v>78224</v>
      </c>
      <c r="M4100" t="s">
        <v>78225</v>
      </c>
      <c r="N4100">
        <f>-673.344661210239 -4.96800154792868 -528.449533335327</f>
        <v>-1206.7621960934948</v>
      </c>
      <c r="O4100">
        <f>-667.272608685327 -157.069311692591 -494.297234508388</f>
        <v>-1318.639154886306</v>
      </c>
      <c r="P4100">
        <f>-694.007269021291 -185.189808437103 -214.881583151</f>
        <v>-1094.0786606093941</v>
      </c>
      <c r="Q4100">
        <f>-488.497935936851 -93.6239347443379 -272.58867241556</f>
        <v>-854.71054309674878</v>
      </c>
      <c r="R4100" t="s">
        <v>78226</v>
      </c>
      <c r="S4100" t="s">
        <v>78227</v>
      </c>
      <c r="T4100" t="s">
        <v>78228</v>
      </c>
      <c r="U4100" t="s">
        <v>78229</v>
      </c>
      <c r="V4100">
        <f>-614.400359181507 -52.1255188965908 -92.9321894720365</f>
        <v>-759.45806755013439</v>
      </c>
      <c r="W4100" t="s">
        <v>78230</v>
      </c>
      <c r="X4100" t="s">
        <v>78231</v>
      </c>
      <c r="Y4100" t="s">
        <v>78232</v>
      </c>
    </row>
    <row r="4101" spans="1:25" x14ac:dyDescent="0.3">
      <c r="A4101">
        <v>205000</v>
      </c>
      <c r="B4101" t="s">
        <v>78233</v>
      </c>
      <c r="C4101" t="s">
        <v>78234</v>
      </c>
      <c r="D4101" t="s">
        <v>78235</v>
      </c>
      <c r="E4101" t="s">
        <v>78236</v>
      </c>
      <c r="F4101" t="s">
        <v>78237</v>
      </c>
      <c r="G4101" t="s">
        <v>78238</v>
      </c>
      <c r="H4101" t="s">
        <v>78239</v>
      </c>
      <c r="I4101" t="s">
        <v>78240</v>
      </c>
      <c r="J4101" t="s">
        <v>78241</v>
      </c>
      <c r="K4101" t="s">
        <v>78242</v>
      </c>
      <c r="L4101" t="s">
        <v>78243</v>
      </c>
      <c r="M4101" t="s">
        <v>78244</v>
      </c>
      <c r="N4101">
        <f>-673.420430465523 -5.37861099120664 -528.416457634252</f>
        <v>-1207.2154990909817</v>
      </c>
      <c r="O4101">
        <f>-667.686831128644 -157.425909967426 -493.970923744308</f>
        <v>-1319.0836648403781</v>
      </c>
      <c r="P4101">
        <f>-694.362236168699 -184.940036458226 -214.489306923131</f>
        <v>-1093.791579550056</v>
      </c>
      <c r="Q4101">
        <f>-488.793535882163 -93.7402311911058 -272.563530614762</f>
        <v>-855.09729768803072</v>
      </c>
      <c r="R4101" t="s">
        <v>78245</v>
      </c>
      <c r="S4101" t="s">
        <v>78246</v>
      </c>
      <c r="T4101" t="s">
        <v>78247</v>
      </c>
      <c r="U4101" t="s">
        <v>78248</v>
      </c>
      <c r="V4101">
        <f>-614.789738114758 -52.3195520149784 -92.9500735446592</f>
        <v>-760.05936367439563</v>
      </c>
      <c r="W4101" t="s">
        <v>78249</v>
      </c>
      <c r="X4101" t="s">
        <v>78250</v>
      </c>
      <c r="Y4101" t="s">
        <v>78251</v>
      </c>
    </row>
    <row r="4102" spans="1:25" x14ac:dyDescent="0.3">
      <c r="A4102">
        <v>205050</v>
      </c>
      <c r="B4102" t="s">
        <v>78252</v>
      </c>
      <c r="C4102" t="s">
        <v>78253</v>
      </c>
      <c r="D4102" t="s">
        <v>78254</v>
      </c>
      <c r="E4102" t="s">
        <v>78255</v>
      </c>
      <c r="F4102" t="s">
        <v>78256</v>
      </c>
      <c r="G4102" t="s">
        <v>78257</v>
      </c>
      <c r="H4102" t="s">
        <v>78258</v>
      </c>
      <c r="I4102" t="s">
        <v>78259</v>
      </c>
      <c r="J4102" t="s">
        <v>78260</v>
      </c>
      <c r="K4102" t="s">
        <v>78261</v>
      </c>
      <c r="L4102" t="s">
        <v>78262</v>
      </c>
      <c r="M4102" t="s">
        <v>78263</v>
      </c>
      <c r="N4102">
        <f>-673.592734993082 -6.29332740896257 -528.454206649158</f>
        <v>-1208.3402690512025</v>
      </c>
      <c r="O4102">
        <f>-668.368983155248 -158.237814396243 -493.494990344454</f>
        <v>-1320.1017878959451</v>
      </c>
      <c r="P4102">
        <f>-694.974225607421 -184.75873425822 -213.910681694744</f>
        <v>-1093.643641560385</v>
      </c>
      <c r="Q4102">
        <f>-489.342117094 -94.1835452988196 -272.733305747865</f>
        <v>-856.2589681406846</v>
      </c>
      <c r="R4102" t="s">
        <v>78264</v>
      </c>
      <c r="S4102" t="s">
        <v>78265</v>
      </c>
      <c r="T4102" t="s">
        <v>78266</v>
      </c>
      <c r="U4102" t="s">
        <v>78267</v>
      </c>
      <c r="V4102">
        <f>-615.681022310004 -52.5755407148038 -93.0758535556275</f>
        <v>-761.33241658043528</v>
      </c>
      <c r="W4102" t="s">
        <v>78268</v>
      </c>
      <c r="X4102" t="s">
        <v>78269</v>
      </c>
      <c r="Y4102" t="s">
        <v>78270</v>
      </c>
    </row>
    <row r="4103" spans="1:25" x14ac:dyDescent="0.3">
      <c r="A4103">
        <v>205100</v>
      </c>
      <c r="B4103" t="s">
        <v>78271</v>
      </c>
      <c r="C4103" t="s">
        <v>78272</v>
      </c>
      <c r="D4103" t="s">
        <v>78273</v>
      </c>
      <c r="E4103" t="s">
        <v>78274</v>
      </c>
      <c r="F4103" t="s">
        <v>78275</v>
      </c>
      <c r="G4103" t="s">
        <v>78276</v>
      </c>
      <c r="H4103" t="s">
        <v>78277</v>
      </c>
      <c r="I4103" t="s">
        <v>78278</v>
      </c>
      <c r="J4103" t="s">
        <v>78279</v>
      </c>
      <c r="K4103" t="s">
        <v>78280</v>
      </c>
      <c r="L4103" t="s">
        <v>78281</v>
      </c>
      <c r="M4103" t="s">
        <v>78282</v>
      </c>
      <c r="N4103">
        <f>-673.782549151014 -6.75639550495134 -528.502491746902</f>
        <v>-1209.0414364028675</v>
      </c>
      <c r="O4103">
        <f>-668.721467443768 -158.639371665599 -493.260397736194</f>
        <v>-1320.621236845561</v>
      </c>
      <c r="P4103">
        <f>-695.280038785639 -184.950367907312 -213.651810574857</f>
        <v>-1093.8822172678078</v>
      </c>
      <c r="Q4103">
        <f>-489.697010879324 -94.4646254587929 -272.782953266765</f>
        <v>-856.94458960488191</v>
      </c>
      <c r="R4103" t="s">
        <v>78283</v>
      </c>
      <c r="S4103" t="s">
        <v>78284</v>
      </c>
      <c r="T4103" t="s">
        <v>78285</v>
      </c>
      <c r="U4103" t="s">
        <v>78286</v>
      </c>
      <c r="V4103">
        <f>-616.074592360956 -52.6632606474091 -93.1702283018426</f>
        <v>-761.90808131020765</v>
      </c>
      <c r="W4103" t="s">
        <v>78287</v>
      </c>
      <c r="X4103" t="s">
        <v>78288</v>
      </c>
      <c r="Y4103" t="s">
        <v>78289</v>
      </c>
    </row>
    <row r="4104" spans="1:25" x14ac:dyDescent="0.3">
      <c r="A4104">
        <v>205150</v>
      </c>
      <c r="B4104" t="s">
        <v>78290</v>
      </c>
      <c r="C4104" t="s">
        <v>78291</v>
      </c>
      <c r="D4104" t="s">
        <v>78292</v>
      </c>
      <c r="E4104" t="s">
        <v>78293</v>
      </c>
      <c r="F4104" t="s">
        <v>78294</v>
      </c>
      <c r="G4104" t="s">
        <v>78295</v>
      </c>
      <c r="H4104" t="s">
        <v>78296</v>
      </c>
      <c r="I4104" t="s">
        <v>78297</v>
      </c>
      <c r="J4104" t="s">
        <v>78298</v>
      </c>
      <c r="K4104" t="s">
        <v>78299</v>
      </c>
      <c r="L4104" t="s">
        <v>78300</v>
      </c>
      <c r="M4104" t="s">
        <v>78301</v>
      </c>
      <c r="N4104">
        <f>-673.672108904951 -7.46702825808507 -528.680582747288</f>
        <v>-1209.819719910324</v>
      </c>
      <c r="O4104">
        <f>-669.003470086759 -159.257447860826 -492.963357821234</f>
        <v>-1321.2242757688191</v>
      </c>
      <c r="P4104">
        <f>-695.32269240338 -184.935853534284 -213.273501242</f>
        <v>-1093.532047179664</v>
      </c>
      <c r="Q4104">
        <f>-489.771907870646 -94.6532366823715 -272.825703858412</f>
        <v>-857.2508484114295</v>
      </c>
      <c r="R4104" t="s">
        <v>78302</v>
      </c>
      <c r="S4104" t="s">
        <v>78303</v>
      </c>
      <c r="T4104" t="s">
        <v>78304</v>
      </c>
      <c r="U4104" t="s">
        <v>78305</v>
      </c>
      <c r="V4104">
        <f>-616.453285918114 -52.7979790403404 -93.3401554861427</f>
        <v>-762.59142044459713</v>
      </c>
      <c r="W4104" t="s">
        <v>78306</v>
      </c>
      <c r="X4104" t="s">
        <v>78307</v>
      </c>
      <c r="Y4104" t="s">
        <v>78308</v>
      </c>
    </row>
    <row r="4105" spans="1:25" x14ac:dyDescent="0.3">
      <c r="A4105">
        <v>205200</v>
      </c>
      <c r="B4105" t="s">
        <v>78309</v>
      </c>
      <c r="C4105" t="s">
        <v>78310</v>
      </c>
      <c r="D4105" t="s">
        <v>78311</v>
      </c>
      <c r="E4105" t="s">
        <v>78312</v>
      </c>
      <c r="F4105" t="s">
        <v>78313</v>
      </c>
      <c r="G4105" t="s">
        <v>78314</v>
      </c>
      <c r="H4105" t="s">
        <v>78315</v>
      </c>
      <c r="I4105" t="s">
        <v>78316</v>
      </c>
      <c r="J4105" t="s">
        <v>78317</v>
      </c>
      <c r="K4105" t="s">
        <v>78318</v>
      </c>
      <c r="L4105" t="s">
        <v>78319</v>
      </c>
      <c r="M4105" t="s">
        <v>78320</v>
      </c>
      <c r="N4105">
        <f>-673.580351380146 -7.75979697827597 -528.729912837746</f>
        <v>-1210.0700611961679</v>
      </c>
      <c r="O4105">
        <f>-669.067568157813 -159.507537131175 -492.836497121044</f>
        <v>-1321.4116024100319</v>
      </c>
      <c r="P4105">
        <f>-695.343777944529 -184.83930340712 -213.110909984869</f>
        <v>-1093.293991336518</v>
      </c>
      <c r="Q4105">
        <f>-489.780084829089 -94.6504612282838 -272.760241151309</f>
        <v>-857.19078720868174</v>
      </c>
      <c r="R4105" t="s">
        <v>78321</v>
      </c>
      <c r="S4105" t="s">
        <v>78322</v>
      </c>
      <c r="T4105" t="s">
        <v>78323</v>
      </c>
      <c r="U4105" t="s">
        <v>78324</v>
      </c>
      <c r="V4105">
        <f>-616.426983719418 -52.8923942463789 -93.3895970288575</f>
        <v>-762.70897499465434</v>
      </c>
      <c r="W4105" t="s">
        <v>78325</v>
      </c>
      <c r="X4105" t="s">
        <v>78326</v>
      </c>
      <c r="Y4105" t="s">
        <v>78327</v>
      </c>
    </row>
    <row r="4106" spans="1:25" x14ac:dyDescent="0.3">
      <c r="A4106">
        <v>205250</v>
      </c>
      <c r="B4106" t="s">
        <v>78328</v>
      </c>
      <c r="C4106" t="s">
        <v>78329</v>
      </c>
      <c r="D4106" t="s">
        <v>78330</v>
      </c>
      <c r="E4106" t="s">
        <v>78331</v>
      </c>
      <c r="F4106" t="s">
        <v>78332</v>
      </c>
      <c r="G4106" t="s">
        <v>78333</v>
      </c>
      <c r="H4106" t="s">
        <v>78334</v>
      </c>
      <c r="I4106" t="s">
        <v>78335</v>
      </c>
      <c r="J4106" t="s">
        <v>78336</v>
      </c>
      <c r="K4106" t="s">
        <v>78337</v>
      </c>
      <c r="L4106" t="s">
        <v>78338</v>
      </c>
      <c r="M4106" t="s">
        <v>78339</v>
      </c>
      <c r="N4106">
        <f>-673.382135015937 -8.11065911785909 -528.740858349418</f>
        <v>-1210.233652483214</v>
      </c>
      <c r="O4106">
        <f>-668.986121057169 -159.824944147234 -492.68913124799</f>
        <v>-1321.5001964523931</v>
      </c>
      <c r="P4106">
        <f>-695.302013058502 -184.852055660591 -212.939904789901</f>
        <v>-1093.0939735089939</v>
      </c>
      <c r="Q4106">
        <f>-489.746621461293 -94.6812993126296 -272.645196423454</f>
        <v>-857.07311719737663</v>
      </c>
      <c r="R4106" t="s">
        <v>78340</v>
      </c>
      <c r="S4106" t="s">
        <v>78341</v>
      </c>
      <c r="T4106" t="s">
        <v>78342</v>
      </c>
      <c r="U4106" t="s">
        <v>78343</v>
      </c>
      <c r="V4106">
        <f>-616.306118198654 -53.0261171949689 -93.4228117235042</f>
        <v>-762.75504711712711</v>
      </c>
      <c r="W4106" t="s">
        <v>78344</v>
      </c>
      <c r="X4106" t="s">
        <v>78345</v>
      </c>
      <c r="Y4106" t="s">
        <v>78346</v>
      </c>
    </row>
    <row r="4107" spans="1:25" x14ac:dyDescent="0.3">
      <c r="A4107">
        <v>205300</v>
      </c>
      <c r="B4107" t="s">
        <v>78347</v>
      </c>
      <c r="C4107" t="s">
        <v>78348</v>
      </c>
      <c r="D4107" t="s">
        <v>78349</v>
      </c>
      <c r="E4107" t="s">
        <v>78350</v>
      </c>
      <c r="F4107" t="s">
        <v>78351</v>
      </c>
      <c r="G4107" t="s">
        <v>78352</v>
      </c>
      <c r="H4107" t="s">
        <v>78353</v>
      </c>
      <c r="I4107" t="s">
        <v>78354</v>
      </c>
      <c r="J4107" t="s">
        <v>78355</v>
      </c>
      <c r="K4107" t="s">
        <v>78356</v>
      </c>
      <c r="L4107" t="s">
        <v>78357</v>
      </c>
      <c r="M4107" t="s">
        <v>78358</v>
      </c>
      <c r="N4107">
        <f>-672.969790912322 -8.65077144056977 -528.7481903991</f>
        <v>-1210.3687527519919</v>
      </c>
      <c r="O4107">
        <f>-668.791505390627 -160.326739862391 -492.500532104322</f>
        <v>-1321.6187773573402</v>
      </c>
      <c r="P4107">
        <f>-695.16795236551 -185.118973181756 -212.736107701636</f>
        <v>-1093.023033248902</v>
      </c>
      <c r="Q4107">
        <f>-489.809922093646 -94.5279113832314 -272.484350319921</f>
        <v>-856.8221837967983</v>
      </c>
      <c r="R4107" t="s">
        <v>78359</v>
      </c>
      <c r="S4107" t="s">
        <v>78360</v>
      </c>
      <c r="T4107" t="s">
        <v>78361</v>
      </c>
      <c r="U4107" t="s">
        <v>78362</v>
      </c>
      <c r="V4107">
        <f>-615.939201220099 -53.3652433516431 -93.4519733980061</f>
        <v>-762.75641796974821</v>
      </c>
      <c r="W4107" t="s">
        <v>78363</v>
      </c>
      <c r="X4107" t="s">
        <v>78364</v>
      </c>
      <c r="Y4107" t="s">
        <v>78365</v>
      </c>
    </row>
    <row r="4108" spans="1:25" x14ac:dyDescent="0.3">
      <c r="A4108">
        <v>205350</v>
      </c>
      <c r="B4108" t="s">
        <v>78366</v>
      </c>
      <c r="C4108" t="s">
        <v>78367</v>
      </c>
      <c r="D4108" t="s">
        <v>78368</v>
      </c>
      <c r="E4108" t="s">
        <v>78369</v>
      </c>
      <c r="F4108" t="s">
        <v>78370</v>
      </c>
      <c r="G4108" t="s">
        <v>78371</v>
      </c>
      <c r="H4108" t="s">
        <v>78372</v>
      </c>
      <c r="I4108" t="s">
        <v>78373</v>
      </c>
      <c r="J4108" t="s">
        <v>78374</v>
      </c>
      <c r="K4108" t="s">
        <v>78375</v>
      </c>
      <c r="L4108" t="s">
        <v>78376</v>
      </c>
      <c r="M4108" t="s">
        <v>78377</v>
      </c>
      <c r="N4108">
        <f>-672.694982132438 -8.88511529757625 -528.720793671724</f>
        <v>-1210.3008911017382</v>
      </c>
      <c r="O4108">
        <f>-668.640375557256 -160.547389438595 -492.414533057671</f>
        <v>-1321.602298053522</v>
      </c>
      <c r="P4108">
        <f>-695.031433990604 -185.416456688497 -212.658229988406</f>
        <v>-1093.106120667507</v>
      </c>
      <c r="Q4108">
        <f>-489.81389071323 -94.5207958571455 -272.426838026346</f>
        <v>-856.76152459672153</v>
      </c>
      <c r="R4108" t="s">
        <v>78378</v>
      </c>
      <c r="S4108" t="s">
        <v>78379</v>
      </c>
      <c r="T4108" t="s">
        <v>78380</v>
      </c>
      <c r="U4108" t="s">
        <v>78381</v>
      </c>
      <c r="V4108">
        <f>-615.65690952825 -53.4565580249794 -93.4593638142773</f>
        <v>-762.57283136750664</v>
      </c>
      <c r="W4108" t="s">
        <v>78382</v>
      </c>
      <c r="X4108" t="s">
        <v>78383</v>
      </c>
      <c r="Y4108" t="s">
        <v>78384</v>
      </c>
    </row>
    <row r="4109" spans="1:25" x14ac:dyDescent="0.3">
      <c r="A4109">
        <v>205400</v>
      </c>
      <c r="B4109" t="s">
        <v>78385</v>
      </c>
      <c r="C4109" t="s">
        <v>78386</v>
      </c>
      <c r="D4109" t="s">
        <v>78387</v>
      </c>
      <c r="E4109" t="s">
        <v>78388</v>
      </c>
      <c r="F4109" t="s">
        <v>78389</v>
      </c>
      <c r="G4109" t="s">
        <v>78390</v>
      </c>
      <c r="H4109" t="s">
        <v>78391</v>
      </c>
      <c r="I4109" t="s">
        <v>78392</v>
      </c>
      <c r="J4109" t="s">
        <v>78393</v>
      </c>
      <c r="K4109" t="s">
        <v>78394</v>
      </c>
      <c r="L4109" t="s">
        <v>78395</v>
      </c>
      <c r="M4109" t="s">
        <v>78396</v>
      </c>
      <c r="N4109">
        <f>-672.013748588085 -9.11913908569022 -528.656045797126</f>
        <v>-1209.7889334709012</v>
      </c>
      <c r="O4109">
        <f>-668.195347201307 -160.767017168497 -492.229598543019</f>
        <v>-1321.1919629128229</v>
      </c>
      <c r="P4109">
        <f>-694.650872367038 -185.788255767119 -212.49286387041</f>
        <v>-1092.9319920045671</v>
      </c>
      <c r="Q4109">
        <f>-489.487308181776 -94.7647808852805 -272.251831844823</f>
        <v>-856.5039209118795</v>
      </c>
      <c r="R4109" t="s">
        <v>78397</v>
      </c>
      <c r="S4109" t="s">
        <v>78398</v>
      </c>
      <c r="T4109" t="s">
        <v>78399</v>
      </c>
      <c r="U4109" t="s">
        <v>78400</v>
      </c>
      <c r="V4109">
        <f>-614.944648644073 -53.6723095166651 -93.470249051752</f>
        <v>-762.08720721249017</v>
      </c>
      <c r="W4109" t="s">
        <v>78401</v>
      </c>
      <c r="X4109" t="s">
        <v>78402</v>
      </c>
      <c r="Y4109" t="s">
        <v>78403</v>
      </c>
    </row>
    <row r="4110" spans="1:25" x14ac:dyDescent="0.3">
      <c r="A4110">
        <v>205450</v>
      </c>
      <c r="B4110" t="s">
        <v>78404</v>
      </c>
      <c r="C4110" t="s">
        <v>78405</v>
      </c>
      <c r="D4110" t="s">
        <v>78406</v>
      </c>
      <c r="E4110" t="s">
        <v>78407</v>
      </c>
      <c r="F4110" t="s">
        <v>78408</v>
      </c>
      <c r="G4110" t="s">
        <v>78409</v>
      </c>
      <c r="H4110" t="s">
        <v>78410</v>
      </c>
      <c r="I4110" t="s">
        <v>78411</v>
      </c>
      <c r="J4110" t="s">
        <v>78412</v>
      </c>
      <c r="K4110" t="s">
        <v>78413</v>
      </c>
      <c r="L4110" t="s">
        <v>78414</v>
      </c>
      <c r="M4110" t="s">
        <v>78415</v>
      </c>
      <c r="N4110">
        <f>-671.550797622206 -9.07520352420715 -528.627965804898</f>
        <v>-1209.2539669513112</v>
      </c>
      <c r="O4110">
        <f>-667.894244572061 -160.718411486303 -492.191700836285</f>
        <v>-1320.8043568946491</v>
      </c>
      <c r="P4110">
        <f>-694.301518429744 -185.769612775086 -212.453110561932</f>
        <v>-1092.5242417667619</v>
      </c>
      <c r="Q4110">
        <f>-488.970898289802 -95.0489972199262 -272.099215385468</f>
        <v>-856.11911089519629</v>
      </c>
      <c r="R4110" t="s">
        <v>78416</v>
      </c>
      <c r="S4110" t="s">
        <v>78417</v>
      </c>
      <c r="T4110" t="s">
        <v>78418</v>
      </c>
      <c r="U4110" t="s">
        <v>78419</v>
      </c>
      <c r="V4110">
        <f>-614.454954591716 -53.7055312939781 -93.4676110787619</f>
        <v>-761.62809696445606</v>
      </c>
      <c r="W4110" t="s">
        <v>78420</v>
      </c>
      <c r="X4110" t="s">
        <v>78421</v>
      </c>
      <c r="Y4110" t="s">
        <v>78422</v>
      </c>
    </row>
    <row r="4111" spans="1:25" x14ac:dyDescent="0.3">
      <c r="A4111">
        <v>205500</v>
      </c>
      <c r="B4111" t="s">
        <v>78423</v>
      </c>
      <c r="C4111" t="s">
        <v>78424</v>
      </c>
      <c r="D4111" t="s">
        <v>78425</v>
      </c>
      <c r="E4111" t="s">
        <v>78426</v>
      </c>
      <c r="F4111" t="s">
        <v>78427</v>
      </c>
      <c r="G4111" t="s">
        <v>78428</v>
      </c>
      <c r="H4111" t="s">
        <v>78429</v>
      </c>
      <c r="I4111" t="s">
        <v>78430</v>
      </c>
      <c r="J4111" t="s">
        <v>78431</v>
      </c>
      <c r="K4111" t="s">
        <v>78432</v>
      </c>
      <c r="L4111" t="s">
        <v>78433</v>
      </c>
      <c r="M4111" t="s">
        <v>78434</v>
      </c>
      <c r="N4111">
        <f>-670.548002204923 -8.62058359098091 -528.574893135464</f>
        <v>-1207.7434789313679</v>
      </c>
      <c r="O4111">
        <f>-667.041036149304 -160.286704264003 -492.173528202755</f>
        <v>-1319.5012686160619</v>
      </c>
      <c r="P4111">
        <f>-693.535564639482 -185.519054775039 -212.459478246993</f>
        <v>-1091.5140976615139</v>
      </c>
      <c r="Q4111">
        <f>-487.743416220796 -95.6675787355425 -271.829861132791</f>
        <v>-855.24085608912947</v>
      </c>
      <c r="R4111" t="s">
        <v>78435</v>
      </c>
      <c r="S4111" t="s">
        <v>78436</v>
      </c>
      <c r="T4111" t="s">
        <v>78437</v>
      </c>
      <c r="U4111" t="s">
        <v>78438</v>
      </c>
      <c r="V4111">
        <f>-613.318935177474 -53.6317559728961 -93.4255966079357</f>
        <v>-760.37628775830592</v>
      </c>
      <c r="W4111" t="s">
        <v>78439</v>
      </c>
      <c r="X4111" t="s">
        <v>78440</v>
      </c>
      <c r="Y4111" t="s">
        <v>78441</v>
      </c>
    </row>
    <row r="4112" spans="1:25" x14ac:dyDescent="0.3">
      <c r="A4112">
        <v>205550</v>
      </c>
      <c r="B4112" t="s">
        <v>78442</v>
      </c>
      <c r="C4112" t="s">
        <v>78443</v>
      </c>
      <c r="D4112" t="s">
        <v>78444</v>
      </c>
      <c r="E4112" t="s">
        <v>78445</v>
      </c>
      <c r="F4112" t="s">
        <v>78446</v>
      </c>
      <c r="G4112" t="s">
        <v>78447</v>
      </c>
      <c r="H4112" t="s">
        <v>78448</v>
      </c>
      <c r="I4112" t="s">
        <v>78449</v>
      </c>
      <c r="J4112" t="s">
        <v>78450</v>
      </c>
      <c r="K4112" t="s">
        <v>78451</v>
      </c>
      <c r="L4112" t="s">
        <v>78452</v>
      </c>
      <c r="M4112" t="s">
        <v>78453</v>
      </c>
      <c r="N4112">
        <f>-669.914179887842 -8.13822342989215 -528.57704883158</f>
        <v>-1206.6294521493141</v>
      </c>
      <c r="O4112">
        <f>-666.454371552894 -159.825333867449 -492.304379706046</f>
        <v>-1318.584085126389</v>
      </c>
      <c r="P4112">
        <f>-693.026761237416 -185.371508650351 -212.626254603926</f>
        <v>-1091.024524491693</v>
      </c>
      <c r="Q4112">
        <f>-487.072141590161 -95.750081389964 -271.780560168828</f>
        <v>-854.60278314895299</v>
      </c>
      <c r="R4112" t="s">
        <v>78454</v>
      </c>
      <c r="S4112" t="s">
        <v>78455</v>
      </c>
      <c r="T4112" t="s">
        <v>78456</v>
      </c>
      <c r="U4112" t="s">
        <v>78457</v>
      </c>
      <c r="V4112">
        <f>-612.713640561428 -53.4657882601387 -93.3971612106473</f>
        <v>-759.57659003221386</v>
      </c>
      <c r="W4112" t="s">
        <v>78458</v>
      </c>
      <c r="X4112" t="s">
        <v>78459</v>
      </c>
      <c r="Y4112" t="s">
        <v>78460</v>
      </c>
    </row>
    <row r="4113" spans="1:25" x14ac:dyDescent="0.3">
      <c r="A4113">
        <v>205600</v>
      </c>
      <c r="B4113" t="s">
        <v>78461</v>
      </c>
      <c r="C4113" t="s">
        <v>78462</v>
      </c>
      <c r="D4113" t="s">
        <v>78463</v>
      </c>
      <c r="E4113" t="s">
        <v>78464</v>
      </c>
      <c r="F4113" t="s">
        <v>78465</v>
      </c>
      <c r="G4113" t="s">
        <v>78466</v>
      </c>
      <c r="H4113" t="s">
        <v>78467</v>
      </c>
      <c r="I4113" t="s">
        <v>78468</v>
      </c>
      <c r="J4113" t="s">
        <v>78469</v>
      </c>
      <c r="K4113" t="s">
        <v>78470</v>
      </c>
      <c r="L4113" t="s">
        <v>78471</v>
      </c>
      <c r="M4113" t="s">
        <v>78472</v>
      </c>
      <c r="N4113">
        <f>-668.663842666875 -7.11661478939845 -528.656063830374</f>
        <v>-1204.4365212866473</v>
      </c>
      <c r="O4113">
        <f>-664.865649550517 -158.897954320425 -492.786586061617</f>
        <v>-1316.5501899325591</v>
      </c>
      <c r="P4113">
        <f>-691.897854209584 -185.092562625338 -213.212551822652</f>
        <v>-1090.202968657574</v>
      </c>
      <c r="Q4113">
        <f>-485.703874469994 -95.5797530299214 -271.693364562995</f>
        <v>-852.97699206291031</v>
      </c>
      <c r="R4113" t="s">
        <v>78473</v>
      </c>
      <c r="S4113" t="s">
        <v>78474</v>
      </c>
      <c r="T4113" t="s">
        <v>78475</v>
      </c>
      <c r="U4113" t="s">
        <v>78476</v>
      </c>
      <c r="V4113">
        <f>-611.597600286296 -53.0845509382375 -93.3472927056087</f>
        <v>-758.02944393014218</v>
      </c>
      <c r="W4113" t="s">
        <v>78477</v>
      </c>
      <c r="X4113" t="s">
        <v>78478</v>
      </c>
      <c r="Y4113" t="s">
        <v>78479</v>
      </c>
    </row>
    <row r="4114" spans="1:25" x14ac:dyDescent="0.3">
      <c r="A4114">
        <v>205650</v>
      </c>
      <c r="B4114" t="s">
        <v>78480</v>
      </c>
      <c r="C4114" t="s">
        <v>78481</v>
      </c>
      <c r="D4114" t="s">
        <v>78482</v>
      </c>
      <c r="E4114" t="s">
        <v>78483</v>
      </c>
      <c r="F4114" t="s">
        <v>78484</v>
      </c>
      <c r="G4114" t="s">
        <v>78485</v>
      </c>
      <c r="H4114" t="s">
        <v>78486</v>
      </c>
      <c r="I4114" t="s">
        <v>78487</v>
      </c>
      <c r="J4114" t="s">
        <v>78488</v>
      </c>
      <c r="K4114" t="s">
        <v>78489</v>
      </c>
      <c r="L4114" t="s">
        <v>78490</v>
      </c>
      <c r="M4114" t="s">
        <v>78491</v>
      </c>
      <c r="N4114">
        <f>-667.554803489711 -6.36494060128757 -528.753852757577</f>
        <v>-1202.6735968485755</v>
      </c>
      <c r="O4114">
        <f>-662.845299212915 -158.213781577346 -493.341349387717</f>
        <v>-1314.400430177978</v>
      </c>
      <c r="P4114">
        <f>-690.080200859772 -185.457451612742 -213.887226770964</f>
        <v>-1089.424879243478</v>
      </c>
      <c r="Q4114">
        <f>-484.222717990559 -94.6685079559427 -271.581161255811</f>
        <v>-850.47238720231269</v>
      </c>
      <c r="R4114" t="s">
        <v>78492</v>
      </c>
      <c r="S4114" t="s">
        <v>78493</v>
      </c>
      <c r="T4114" t="s">
        <v>78494</v>
      </c>
      <c r="U4114" t="s">
        <v>78495</v>
      </c>
      <c r="V4114">
        <f>-610.734543872854 -52.7140542716386 -93.3102536325771</f>
        <v>-756.75885177706971</v>
      </c>
      <c r="W4114" t="s">
        <v>78496</v>
      </c>
      <c r="X4114" t="s">
        <v>78497</v>
      </c>
      <c r="Y4114" t="s">
        <v>78498</v>
      </c>
    </row>
    <row r="4115" spans="1:25" x14ac:dyDescent="0.3">
      <c r="A4115">
        <v>205700</v>
      </c>
      <c r="B4115" t="s">
        <v>78499</v>
      </c>
      <c r="C4115" t="s">
        <v>78500</v>
      </c>
      <c r="D4115" t="s">
        <v>78501</v>
      </c>
      <c r="E4115" t="s">
        <v>78502</v>
      </c>
      <c r="F4115" t="s">
        <v>78503</v>
      </c>
      <c r="G4115" t="s">
        <v>78504</v>
      </c>
      <c r="H4115" t="s">
        <v>78505</v>
      </c>
      <c r="I4115" t="s">
        <v>78506</v>
      </c>
      <c r="J4115" t="s">
        <v>78507</v>
      </c>
      <c r="K4115" t="s">
        <v>78508</v>
      </c>
      <c r="L4115" t="s">
        <v>78509</v>
      </c>
      <c r="M4115" t="s">
        <v>78510</v>
      </c>
      <c r="N4115">
        <f>-667.15968491626 -6.25487395520895 -528.780242822942</f>
        <v>-1202.1948016944109</v>
      </c>
      <c r="O4115">
        <f>-661.875238263951 -158.129196683747 -493.551052232559</f>
        <v>-1313.5554871802569</v>
      </c>
      <c r="P4115">
        <f>-688.948817153458 -186.001228801637 -214.143185899292</f>
        <v>-1089.0932318543869</v>
      </c>
      <c r="Q4115">
        <f>-483.480809814069 -94.1237694020263 -271.501623548628</f>
        <v>-849.10620276472332</v>
      </c>
      <c r="R4115" t="s">
        <v>78511</v>
      </c>
      <c r="S4115" t="s">
        <v>78512</v>
      </c>
      <c r="T4115" t="s">
        <v>78513</v>
      </c>
      <c r="U4115" t="s">
        <v>78514</v>
      </c>
      <c r="V4115">
        <f>-610.329885776603 -52.6273014669155 -93.2925448541664</f>
        <v>-756.24973209768484</v>
      </c>
      <c r="W4115" t="s">
        <v>78515</v>
      </c>
      <c r="X4115" t="s">
        <v>78516</v>
      </c>
      <c r="Y4115" t="s">
        <v>78517</v>
      </c>
    </row>
    <row r="4116" spans="1:25" x14ac:dyDescent="0.3">
      <c r="A4116">
        <v>205750</v>
      </c>
      <c r="B4116" t="s">
        <v>78518</v>
      </c>
      <c r="C4116" t="s">
        <v>78519</v>
      </c>
      <c r="D4116" t="s">
        <v>78520</v>
      </c>
      <c r="E4116" t="s">
        <v>78521</v>
      </c>
      <c r="F4116" t="s">
        <v>78522</v>
      </c>
      <c r="G4116" t="s">
        <v>78523</v>
      </c>
      <c r="H4116" t="s">
        <v>78524</v>
      </c>
      <c r="I4116" t="s">
        <v>78525</v>
      </c>
      <c r="J4116" t="s">
        <v>78526</v>
      </c>
      <c r="K4116" t="s">
        <v>78527</v>
      </c>
      <c r="L4116" t="s">
        <v>78528</v>
      </c>
      <c r="M4116" t="s">
        <v>78529</v>
      </c>
      <c r="N4116">
        <f>-666.921772305002 -6.16340437764302 -528.796653748783</f>
        <v>-1201.8818304314282</v>
      </c>
      <c r="O4116">
        <f>-661.034289194248 -158.059471945001 -493.734499116477</f>
        <v>-1312.828260255726</v>
      </c>
      <c r="P4116">
        <f>-687.923254571153 -186.464628795141 -214.362465748496</f>
        <v>-1088.75034911479</v>
      </c>
      <c r="Q4116">
        <f>-482.907548255748 -93.4322396068612 -271.477201553369</f>
        <v>-847.81698941597824</v>
      </c>
      <c r="R4116" t="s">
        <v>78530</v>
      </c>
      <c r="S4116" t="s">
        <v>78531</v>
      </c>
      <c r="T4116" t="s">
        <v>78532</v>
      </c>
      <c r="U4116" t="s">
        <v>78533</v>
      </c>
      <c r="V4116">
        <f>-609.916290631841 -52.5330852344855 -93.2773465462253</f>
        <v>-755.72672241255179</v>
      </c>
      <c r="W4116" t="s">
        <v>78534</v>
      </c>
      <c r="X4116" t="s">
        <v>78535</v>
      </c>
      <c r="Y4116" t="s">
        <v>78536</v>
      </c>
    </row>
    <row r="4117" spans="1:25" x14ac:dyDescent="0.3">
      <c r="A4117">
        <v>205800</v>
      </c>
      <c r="B4117" t="s">
        <v>78537</v>
      </c>
      <c r="C4117" t="s">
        <v>78538</v>
      </c>
      <c r="D4117" t="s">
        <v>78539</v>
      </c>
      <c r="E4117" t="s">
        <v>78540</v>
      </c>
      <c r="F4117" t="s">
        <v>78541</v>
      </c>
      <c r="G4117" t="s">
        <v>78542</v>
      </c>
      <c r="H4117" t="s">
        <v>78543</v>
      </c>
      <c r="I4117" t="s">
        <v>78544</v>
      </c>
      <c r="J4117" t="s">
        <v>78545</v>
      </c>
      <c r="K4117" t="s">
        <v>78546</v>
      </c>
      <c r="L4117" t="s">
        <v>78547</v>
      </c>
      <c r="M4117" t="s">
        <v>78548</v>
      </c>
      <c r="N4117">
        <f>-666.261408679305 -6.09993763751004 -528.879436084773</f>
        <v>-1201.2407824015881</v>
      </c>
      <c r="O4117">
        <f>-659.309005567549 -158.048854612529 -494.234040897631</f>
        <v>-1311.5919010777091</v>
      </c>
      <c r="P4117">
        <f>-685.915753715477 -187.268810680074 -214.919055309364</f>
        <v>-1088.103619704915</v>
      </c>
      <c r="Q4117">
        <f>-481.66925988585 -92.2791797849688 -271.565968874739</f>
        <v>-845.5144085455579</v>
      </c>
      <c r="R4117" t="s">
        <v>78549</v>
      </c>
      <c r="S4117" t="s">
        <v>78550</v>
      </c>
      <c r="T4117" t="s">
        <v>78551</v>
      </c>
      <c r="U4117" t="s">
        <v>78552</v>
      </c>
      <c r="V4117">
        <f>-609.097959582522 -52.5235504963496 -93.2629827849491</f>
        <v>-754.8844928638207</v>
      </c>
      <c r="W4117" t="s">
        <v>78553</v>
      </c>
      <c r="X4117" t="s">
        <v>78554</v>
      </c>
      <c r="Y4117" t="s">
        <v>78555</v>
      </c>
    </row>
    <row r="4118" spans="1:25" x14ac:dyDescent="0.3">
      <c r="A4118">
        <v>205850</v>
      </c>
      <c r="B4118" t="s">
        <v>78556</v>
      </c>
      <c r="C4118" t="s">
        <v>78557</v>
      </c>
      <c r="D4118" t="s">
        <v>78558</v>
      </c>
      <c r="E4118" t="s">
        <v>78559</v>
      </c>
      <c r="F4118" t="s">
        <v>78560</v>
      </c>
      <c r="G4118" t="s">
        <v>78561</v>
      </c>
      <c r="H4118" t="s">
        <v>78562</v>
      </c>
      <c r="I4118" t="s">
        <v>78563</v>
      </c>
      <c r="J4118" t="s">
        <v>78564</v>
      </c>
      <c r="K4118" t="s">
        <v>78565</v>
      </c>
      <c r="L4118" t="s">
        <v>78566</v>
      </c>
      <c r="M4118" t="s">
        <v>78567</v>
      </c>
      <c r="N4118">
        <f>-665.105277381639 -5.77770231569025 -529.036564064266</f>
        <v>-1199.9195437615954</v>
      </c>
      <c r="O4118">
        <f>-657.128052568913 -157.80241199132 -494.958571359466</f>
        <v>-1309.8890359196989</v>
      </c>
      <c r="P4118">
        <f>-684.255557137457 -188.222198804617 -215.821767337671</f>
        <v>-1088.299523279745</v>
      </c>
      <c r="Q4118">
        <f>-480.611684724414 -91.3632658226209 -271.463881339931</f>
        <v>-843.43883188696577</v>
      </c>
      <c r="R4118" t="s">
        <v>78568</v>
      </c>
      <c r="S4118" t="s">
        <v>78569</v>
      </c>
      <c r="T4118" t="s">
        <v>78570</v>
      </c>
      <c r="U4118" t="s">
        <v>78571</v>
      </c>
      <c r="V4118">
        <f>-608.605323020019 -52.5655935024415 -93.2546730421749</f>
        <v>-754.4255895646354</v>
      </c>
      <c r="W4118" t="s">
        <v>78572</v>
      </c>
      <c r="X4118" t="s">
        <v>78573</v>
      </c>
      <c r="Y4118" t="s">
        <v>78574</v>
      </c>
    </row>
    <row r="4119" spans="1:25" x14ac:dyDescent="0.3">
      <c r="A4119">
        <v>205900</v>
      </c>
      <c r="B4119" t="s">
        <v>78575</v>
      </c>
      <c r="C4119" t="s">
        <v>78576</v>
      </c>
      <c r="D4119" t="s">
        <v>78577</v>
      </c>
      <c r="E4119" t="s">
        <v>78578</v>
      </c>
      <c r="F4119" t="s">
        <v>78579</v>
      </c>
      <c r="G4119" t="s">
        <v>78580</v>
      </c>
      <c r="H4119" t="s">
        <v>78581</v>
      </c>
      <c r="I4119" t="s">
        <v>78582</v>
      </c>
      <c r="J4119" t="s">
        <v>78583</v>
      </c>
      <c r="K4119" t="s">
        <v>78584</v>
      </c>
      <c r="L4119" t="s">
        <v>78585</v>
      </c>
      <c r="M4119" t="s">
        <v>78586</v>
      </c>
      <c r="N4119">
        <f>-664.10607859674 -5.54216946421911 -529.177050428671</f>
        <v>-1198.8252984896301</v>
      </c>
      <c r="O4119">
        <f>-655.546935315448 -157.616090842943 -495.448079159886</f>
        <v>-1308.6111053182769</v>
      </c>
      <c r="P4119">
        <f>-683.399367547256 -188.866017100994 -216.474608616634</f>
        <v>-1088.7399932648841</v>
      </c>
      <c r="Q4119">
        <f>-479.965717982755 -91.1084805223659 -271.308179339446</f>
        <v>-842.38237784456692</v>
      </c>
      <c r="R4119" t="s">
        <v>78587</v>
      </c>
      <c r="S4119" t="s">
        <v>78588</v>
      </c>
      <c r="T4119" t="s">
        <v>78589</v>
      </c>
      <c r="U4119" t="s">
        <v>78590</v>
      </c>
      <c r="V4119">
        <f>-608.492078522212 -52.58491354847 -93.2632289586772</f>
        <v>-754.34022102935921</v>
      </c>
      <c r="W4119" t="s">
        <v>78591</v>
      </c>
      <c r="X4119" t="s">
        <v>78592</v>
      </c>
      <c r="Y4119" t="s">
        <v>78593</v>
      </c>
    </row>
    <row r="4120" spans="1:25" x14ac:dyDescent="0.3">
      <c r="A4120">
        <v>205950</v>
      </c>
      <c r="B4120" t="s">
        <v>78594</v>
      </c>
      <c r="C4120" t="s">
        <v>78595</v>
      </c>
      <c r="D4120" t="s">
        <v>78596</v>
      </c>
      <c r="E4120" t="s">
        <v>78597</v>
      </c>
      <c r="F4120" t="s">
        <v>78598</v>
      </c>
      <c r="G4120" t="s">
        <v>78599</v>
      </c>
      <c r="H4120" t="s">
        <v>78600</v>
      </c>
      <c r="I4120" t="s">
        <v>78601</v>
      </c>
      <c r="J4120" t="s">
        <v>78602</v>
      </c>
      <c r="K4120" t="s">
        <v>78603</v>
      </c>
      <c r="L4120" t="s">
        <v>78604</v>
      </c>
      <c r="M4120" t="s">
        <v>78605</v>
      </c>
      <c r="N4120">
        <f>-662.919488204823 -5.07832436388708 -529.357637811004</f>
        <v>-1197.3554503797141</v>
      </c>
      <c r="O4120">
        <f>-653.856385286152 -157.240909063104 -496.158983077159</f>
        <v>-1307.256277426415</v>
      </c>
      <c r="P4120">
        <f>-682.449530350971 -189.689966345344 -217.397200410656</f>
        <v>-1089.5366971069711</v>
      </c>
      <c r="Q4120">
        <f>-479.131084265192 -91.0597840546675 -271.083662400122</f>
        <v>-841.27453071998161</v>
      </c>
      <c r="R4120" t="s">
        <v>78606</v>
      </c>
      <c r="S4120" t="s">
        <v>78607</v>
      </c>
      <c r="T4120" t="s">
        <v>78608</v>
      </c>
      <c r="U4120" t="s">
        <v>78609</v>
      </c>
      <c r="V4120">
        <f>-608.393401103558 -52.6042433308826 -93.271153446496</f>
        <v>-754.26879788093652</v>
      </c>
      <c r="W4120" t="s">
        <v>78610</v>
      </c>
      <c r="X4120" t="s">
        <v>78611</v>
      </c>
      <c r="Y4120" t="s">
        <v>78612</v>
      </c>
    </row>
    <row r="4121" spans="1:25" x14ac:dyDescent="0.3">
      <c r="A4121">
        <v>206000</v>
      </c>
      <c r="B4121" t="s">
        <v>78613</v>
      </c>
      <c r="C4121" t="s">
        <v>78614</v>
      </c>
      <c r="D4121" t="s">
        <v>78615</v>
      </c>
      <c r="E4121" t="s">
        <v>78616</v>
      </c>
      <c r="F4121" t="s">
        <v>78617</v>
      </c>
      <c r="G4121" t="s">
        <v>78618</v>
      </c>
      <c r="H4121" t="s">
        <v>78619</v>
      </c>
      <c r="I4121" t="s">
        <v>78620</v>
      </c>
      <c r="J4121" t="s">
        <v>78621</v>
      </c>
      <c r="K4121" t="s">
        <v>78622</v>
      </c>
      <c r="L4121" t="s">
        <v>78623</v>
      </c>
      <c r="M4121" t="s">
        <v>78624</v>
      </c>
      <c r="N4121">
        <f>-660.738585318612 -3.66347234374985 -529.850566284525</f>
        <v>-1194.2526239468868</v>
      </c>
      <c r="O4121">
        <f>-651.065289469495 -156.085421797842 -498.041683938197</f>
        <v>-1305.192395205534</v>
      </c>
      <c r="P4121">
        <f>-681.067643526635 -191.379677037251 -219.774307516852</f>
        <v>-1092.2216280807379</v>
      </c>
      <c r="Q4121">
        <f>-477.874368423932 -91.1501853034038 -270.911795605693</f>
        <v>-839.93634933302883</v>
      </c>
      <c r="R4121" t="s">
        <v>78625</v>
      </c>
      <c r="S4121" t="s">
        <v>78626</v>
      </c>
      <c r="T4121" t="s">
        <v>78627</v>
      </c>
      <c r="U4121" t="s">
        <v>78628</v>
      </c>
      <c r="V4121">
        <f>-608.582072712338 -52.8337082080466 -93.3154678353371</f>
        <v>-754.73124875572171</v>
      </c>
      <c r="W4121" t="s">
        <v>78629</v>
      </c>
      <c r="X4121" t="s">
        <v>78630</v>
      </c>
      <c r="Y4121" t="s">
        <v>78631</v>
      </c>
    </row>
    <row r="4122" spans="1:25" x14ac:dyDescent="0.3">
      <c r="A4122">
        <v>206050</v>
      </c>
      <c r="B4122" t="s">
        <v>78632</v>
      </c>
      <c r="C4122" t="s">
        <v>78633</v>
      </c>
      <c r="D4122" t="s">
        <v>78634</v>
      </c>
      <c r="E4122" t="s">
        <v>78635</v>
      </c>
      <c r="F4122" t="s">
        <v>78636</v>
      </c>
      <c r="G4122" t="s">
        <v>78637</v>
      </c>
      <c r="H4122" t="s">
        <v>78638</v>
      </c>
      <c r="I4122" t="s">
        <v>78639</v>
      </c>
      <c r="J4122" t="s">
        <v>78640</v>
      </c>
      <c r="K4122" t="s">
        <v>78641</v>
      </c>
      <c r="L4122" t="s">
        <v>78642</v>
      </c>
      <c r="M4122" t="s">
        <v>78643</v>
      </c>
      <c r="N4122">
        <f>-658.328149997407 -2.03611532506034 -530.411073521405</f>
        <v>-1190.7753388438723</v>
      </c>
      <c r="O4122">
        <f>-648.655373320613 -154.80070861689 -500.340265827985</f>
        <v>-1303.796347765488</v>
      </c>
      <c r="P4122">
        <f>-679.794715449369 -193.184739932346 -222.607247019357</f>
        <v>-1095.586702401072</v>
      </c>
      <c r="Q4122">
        <f>-476.61744448215 -91.6740706089909 -271.218811503711</f>
        <v>-839.5103265948519</v>
      </c>
      <c r="R4122" t="s">
        <v>78644</v>
      </c>
      <c r="S4122" t="s">
        <v>78645</v>
      </c>
      <c r="T4122" t="s">
        <v>78646</v>
      </c>
      <c r="U4122" t="s">
        <v>78647</v>
      </c>
      <c r="V4122">
        <f>-609.354497630194 -53.2543692685811 -93.3926307860635</f>
        <v>-756.00149768483857</v>
      </c>
      <c r="W4122" t="s">
        <v>78648</v>
      </c>
      <c r="X4122" t="s">
        <v>78649</v>
      </c>
      <c r="Y4122" t="s">
        <v>78650</v>
      </c>
    </row>
    <row r="4123" spans="1:25" x14ac:dyDescent="0.3">
      <c r="A4123">
        <v>206100</v>
      </c>
      <c r="B4123" t="s">
        <v>78651</v>
      </c>
      <c r="C4123" t="s">
        <v>78652</v>
      </c>
      <c r="D4123" t="s">
        <v>78653</v>
      </c>
      <c r="E4123" t="s">
        <v>78654</v>
      </c>
      <c r="F4123" t="s">
        <v>78655</v>
      </c>
      <c r="G4123" t="s">
        <v>78656</v>
      </c>
      <c r="H4123" t="s">
        <v>78657</v>
      </c>
      <c r="I4123" t="s">
        <v>78658</v>
      </c>
      <c r="J4123" t="s">
        <v>78659</v>
      </c>
      <c r="K4123" t="s">
        <v>78660</v>
      </c>
      <c r="L4123" t="s">
        <v>78661</v>
      </c>
      <c r="M4123" t="s">
        <v>78662</v>
      </c>
      <c r="N4123">
        <f>-656.969021541019 -1.2878217545815 -530.692604260082</f>
        <v>-1188.9494475556826</v>
      </c>
      <c r="O4123">
        <f>-647.708984316386 -154.233099152313 -501.399951229801</f>
        <v>-1303.3420346984999</v>
      </c>
      <c r="P4123">
        <f>-679.079491431455 -194.015897210021 -223.889963258982</f>
        <v>-1096.985351900458</v>
      </c>
      <c r="Q4123">
        <f>-475.882291897968 -92.0777272782707 -271.514073717475</f>
        <v>-839.47409289371376</v>
      </c>
      <c r="R4123" t="s">
        <v>78663</v>
      </c>
      <c r="S4123" t="s">
        <v>78664</v>
      </c>
      <c r="T4123" t="s">
        <v>78665</v>
      </c>
      <c r="U4123" t="s">
        <v>78666</v>
      </c>
      <c r="V4123">
        <f>-609.869908524059 -53.5588700851768 -93.4489878018717</f>
        <v>-756.87776641110747</v>
      </c>
      <c r="W4123" t="s">
        <v>78667</v>
      </c>
      <c r="X4123" t="s">
        <v>78668</v>
      </c>
      <c r="Y4123" t="s">
        <v>78669</v>
      </c>
    </row>
    <row r="4124" spans="1:25" x14ac:dyDescent="0.3">
      <c r="A4124">
        <v>206150</v>
      </c>
      <c r="B4124" t="s">
        <v>78670</v>
      </c>
      <c r="C4124" t="s">
        <v>78671</v>
      </c>
      <c r="D4124" t="s">
        <v>78672</v>
      </c>
      <c r="E4124" t="s">
        <v>78673</v>
      </c>
      <c r="F4124" t="s">
        <v>78674</v>
      </c>
      <c r="G4124" t="s">
        <v>78675</v>
      </c>
      <c r="H4124" t="s">
        <v>78676</v>
      </c>
      <c r="I4124" t="s">
        <v>78677</v>
      </c>
      <c r="J4124" t="s">
        <v>78678</v>
      </c>
      <c r="K4124" t="s">
        <v>78679</v>
      </c>
      <c r="L4124" t="s">
        <v>78680</v>
      </c>
      <c r="M4124" t="s">
        <v>78681</v>
      </c>
      <c r="N4124">
        <f>-655.618684880502 -0.743208924948704 -530.944174901466</f>
        <v>-1187.3060687069167</v>
      </c>
      <c r="O4124">
        <f>-646.98832835215 -153.86283313273 -502.396226190259</f>
        <v>-1303.247387675139</v>
      </c>
      <c r="P4124">
        <f>-678.619957774087 -194.775792255449 -225.080324444359</f>
        <v>-1098.4760744738951</v>
      </c>
      <c r="Q4124">
        <f>-475.327507670605 -92.663863822627 -271.918927119334</f>
        <v>-839.91029861256607</v>
      </c>
      <c r="R4124" t="s">
        <v>78682</v>
      </c>
      <c r="S4124" t="s">
        <v>78683</v>
      </c>
      <c r="T4124" t="s">
        <v>78684</v>
      </c>
      <c r="U4124" t="s">
        <v>78685</v>
      </c>
      <c r="V4124">
        <f>-610.454053059024 -53.9902086525847 -93.5100488315201</f>
        <v>-757.95431054312871</v>
      </c>
      <c r="W4124" t="s">
        <v>78686</v>
      </c>
      <c r="X4124" t="s">
        <v>78687</v>
      </c>
      <c r="Y4124" t="s">
        <v>78688</v>
      </c>
    </row>
    <row r="4125" spans="1:25" x14ac:dyDescent="0.3">
      <c r="A4125">
        <v>206200</v>
      </c>
      <c r="B4125" t="s">
        <v>78689</v>
      </c>
      <c r="C4125" t="s">
        <v>78690</v>
      </c>
      <c r="D4125" t="s">
        <v>78691</v>
      </c>
      <c r="E4125" t="s">
        <v>78692</v>
      </c>
      <c r="F4125" t="s">
        <v>78693</v>
      </c>
      <c r="G4125" t="s">
        <v>78694</v>
      </c>
      <c r="H4125" t="s">
        <v>78695</v>
      </c>
      <c r="I4125" t="s">
        <v>78696</v>
      </c>
      <c r="J4125" t="s">
        <v>78697</v>
      </c>
      <c r="K4125" t="s">
        <v>78698</v>
      </c>
      <c r="L4125" t="s">
        <v>78699</v>
      </c>
      <c r="M4125" t="s">
        <v>78700</v>
      </c>
      <c r="N4125">
        <f>-653.348103866153 -0.598576863011886 -531.312338421564</f>
        <v>-1185.2590191507288</v>
      </c>
      <c r="O4125">
        <f>-646.68122172699 -153.981601673471 -503.650916581561</f>
        <v>-1304.3137399820221</v>
      </c>
      <c r="P4125">
        <f>-678.986512002703 -196.10019214276 -226.593238748186</f>
        <v>-1101.679942893649</v>
      </c>
      <c r="Q4125">
        <f>-475.25429016225 -94.4223332220533 -272.455252474678</f>
        <v>-842.13187585898129</v>
      </c>
      <c r="R4125" t="s">
        <v>78701</v>
      </c>
      <c r="S4125" t="s">
        <v>78702</v>
      </c>
      <c r="T4125" t="s">
        <v>78703</v>
      </c>
      <c r="U4125" t="s">
        <v>78704</v>
      </c>
      <c r="V4125">
        <f>-611.689146392199 -54.8470090391863 -93.6418316211401</f>
        <v>-760.1779870525254</v>
      </c>
      <c r="W4125" t="s">
        <v>78705</v>
      </c>
      <c r="X4125" t="s">
        <v>78706</v>
      </c>
      <c r="Y4125" t="s">
        <v>78707</v>
      </c>
    </row>
    <row r="4126" spans="1:25" x14ac:dyDescent="0.3">
      <c r="A4126">
        <v>206250</v>
      </c>
      <c r="B4126" t="s">
        <v>78708</v>
      </c>
      <c r="C4126" t="s">
        <v>78709</v>
      </c>
      <c r="D4126" t="s">
        <v>78710</v>
      </c>
      <c r="E4126" t="s">
        <v>78711</v>
      </c>
      <c r="F4126" t="s">
        <v>78712</v>
      </c>
      <c r="G4126" t="s">
        <v>78713</v>
      </c>
      <c r="H4126" t="s">
        <v>78714</v>
      </c>
      <c r="I4126" t="s">
        <v>78715</v>
      </c>
      <c r="J4126" t="s">
        <v>78716</v>
      </c>
      <c r="K4126" t="s">
        <v>78717</v>
      </c>
      <c r="L4126" t="s">
        <v>78718</v>
      </c>
      <c r="M4126" t="s">
        <v>78719</v>
      </c>
      <c r="N4126">
        <f>-652.731052777907 -1.01364678638402 -531.406850131336</f>
        <v>-1185.1515496956272</v>
      </c>
      <c r="O4126">
        <f>-647.173616962351 -154.458059474171 -503.769674526392</f>
        <v>-1305.401350962914</v>
      </c>
      <c r="P4126">
        <f>-680.077649398039 -196.382699326057 -226.753112884285</f>
        <v>-1103.2134616083811</v>
      </c>
      <c r="Q4126">
        <f>-475.904942897972 -95.5084020846271 -272.430317770584</f>
        <v>-843.84366275318303</v>
      </c>
      <c r="R4126" t="s">
        <v>78720</v>
      </c>
      <c r="S4126" t="s">
        <v>78721</v>
      </c>
      <c r="T4126" t="s">
        <v>78722</v>
      </c>
      <c r="U4126" t="s">
        <v>78723</v>
      </c>
      <c r="V4126">
        <f>-612.389618047598 -55.2438287291905 -93.6898960821866</f>
        <v>-761.32334285897502</v>
      </c>
      <c r="W4126" t="s">
        <v>78724</v>
      </c>
      <c r="X4126" t="s">
        <v>78725</v>
      </c>
      <c r="Y4126" t="s">
        <v>78726</v>
      </c>
    </row>
    <row r="4127" spans="1:25" x14ac:dyDescent="0.3">
      <c r="A4127">
        <v>206300</v>
      </c>
      <c r="B4127" t="s">
        <v>78727</v>
      </c>
      <c r="C4127" t="s">
        <v>78728</v>
      </c>
      <c r="D4127" t="s">
        <v>78729</v>
      </c>
      <c r="E4127" t="s">
        <v>78730</v>
      </c>
      <c r="F4127" t="s">
        <v>78731</v>
      </c>
      <c r="G4127" t="s">
        <v>78732</v>
      </c>
      <c r="H4127" t="s">
        <v>78733</v>
      </c>
      <c r="I4127" t="s">
        <v>78734</v>
      </c>
      <c r="J4127" t="s">
        <v>78735</v>
      </c>
      <c r="K4127" t="s">
        <v>78736</v>
      </c>
      <c r="L4127" t="s">
        <v>78737</v>
      </c>
      <c r="M4127" t="s">
        <v>78738</v>
      </c>
      <c r="N4127">
        <f>-652.404977111747 -2.28395843052363 -531.436105377959</f>
        <v>-1186.1250409202298</v>
      </c>
      <c r="O4127">
        <f>-648.87488176738 -155.700559242387 -503.28867188861</f>
        <v>-1307.864112898377</v>
      </c>
      <c r="P4127">
        <f>-683.588546167597 -196.135789074721 -226.271505954306</f>
        <v>-1105.995841196624</v>
      </c>
      <c r="Q4127">
        <f>-478.036404330976 -97.8330658558566 -271.365258460118</f>
        <v>-847.23472864695054</v>
      </c>
      <c r="R4127" t="s">
        <v>78739</v>
      </c>
      <c r="S4127" t="s">
        <v>78740</v>
      </c>
      <c r="T4127" t="s">
        <v>78741</v>
      </c>
      <c r="U4127" t="s">
        <v>78742</v>
      </c>
      <c r="V4127">
        <f>-613.782443442044 -55.8147578986188 -93.7724408886592</f>
        <v>-763.36964222932204</v>
      </c>
      <c r="W4127" t="s">
        <v>78743</v>
      </c>
      <c r="X4127" t="s">
        <v>78744</v>
      </c>
      <c r="Y4127" t="s">
        <v>78745</v>
      </c>
    </row>
    <row r="4128" spans="1:25" x14ac:dyDescent="0.3">
      <c r="A4128">
        <v>206350</v>
      </c>
      <c r="B4128" t="s">
        <v>78746</v>
      </c>
      <c r="C4128" t="s">
        <v>78747</v>
      </c>
      <c r="D4128" t="s">
        <v>78748</v>
      </c>
      <c r="E4128" t="s">
        <v>78749</v>
      </c>
      <c r="F4128" t="s">
        <v>78750</v>
      </c>
      <c r="G4128" t="s">
        <v>78751</v>
      </c>
      <c r="H4128" t="s">
        <v>78752</v>
      </c>
      <c r="I4128" t="s">
        <v>78753</v>
      </c>
      <c r="J4128" t="s">
        <v>78754</v>
      </c>
      <c r="K4128" t="s">
        <v>78755</v>
      </c>
      <c r="L4128" t="s">
        <v>78756</v>
      </c>
      <c r="M4128" t="s">
        <v>78757</v>
      </c>
      <c r="N4128">
        <f>-652.516061595079 -2.77558297582846 -531.439771156986</f>
        <v>-1186.7314157278934</v>
      </c>
      <c r="O4128">
        <f>-649.871892577799 -156.155422674637 -502.98052887407</f>
        <v>-1309.0078441265059</v>
      </c>
      <c r="P4128">
        <f>-685.52819972159 -195.777886590756 -225.965538720007</f>
        <v>-1107.2716250323531</v>
      </c>
      <c r="Q4128">
        <f>-479.156193464695 -98.94670077925 -270.494747580854</f>
        <v>-848.59764182479898</v>
      </c>
      <c r="R4128" t="s">
        <v>78758</v>
      </c>
      <c r="S4128" t="s">
        <v>78759</v>
      </c>
      <c r="T4128" t="s">
        <v>78760</v>
      </c>
      <c r="U4128" t="s">
        <v>78761</v>
      </c>
      <c r="V4128">
        <f>-614.384473863764 -55.8377713618122 -93.811322318372</f>
        <v>-764.03356754394827</v>
      </c>
      <c r="W4128" t="s">
        <v>78762</v>
      </c>
      <c r="X4128" t="s">
        <v>78763</v>
      </c>
      <c r="Y4128" t="s">
        <v>78764</v>
      </c>
    </row>
    <row r="4129" spans="1:25" x14ac:dyDescent="0.3">
      <c r="A4129">
        <v>206400</v>
      </c>
      <c r="B4129" t="s">
        <v>78765</v>
      </c>
      <c r="C4129" t="s">
        <v>78766</v>
      </c>
      <c r="D4129" t="s">
        <v>78767</v>
      </c>
      <c r="E4129" t="s">
        <v>78768</v>
      </c>
      <c r="F4129" t="s">
        <v>78769</v>
      </c>
      <c r="G4129" t="s">
        <v>78770</v>
      </c>
      <c r="H4129" t="s">
        <v>78771</v>
      </c>
      <c r="I4129" t="s">
        <v>78772</v>
      </c>
      <c r="J4129" t="s">
        <v>78773</v>
      </c>
      <c r="K4129" t="s">
        <v>78774</v>
      </c>
      <c r="L4129" t="s">
        <v>78775</v>
      </c>
      <c r="M4129" t="s">
        <v>78776</v>
      </c>
      <c r="N4129">
        <f>-652.972974561685 -3.58669564581305 -531.440292241043</f>
        <v>-1187.9999624485411</v>
      </c>
      <c r="O4129">
        <f>-651.87556685982 -156.862900710385 -502.405130701222</f>
        <v>-1311.143598271427</v>
      </c>
      <c r="P4129">
        <f>-688.924879268179 -195.669196045363 -225.457424357672</f>
        <v>-1110.0514996712141</v>
      </c>
      <c r="Q4129">
        <f>-481.267610438236 -101.248916622335 -269.181320569196</f>
        <v>-851.69784762976701</v>
      </c>
      <c r="R4129" t="s">
        <v>78777</v>
      </c>
      <c r="S4129" t="s">
        <v>78778</v>
      </c>
      <c r="T4129" t="s">
        <v>78779</v>
      </c>
      <c r="U4129" t="s">
        <v>78780</v>
      </c>
      <c r="V4129">
        <f>-615.245061869726 -55.6796184120321 -93.8553662698491</f>
        <v>-764.78004655160726</v>
      </c>
      <c r="W4129" t="s">
        <v>78781</v>
      </c>
      <c r="X4129" t="s">
        <v>78782</v>
      </c>
      <c r="Y4129" t="s">
        <v>78783</v>
      </c>
    </row>
    <row r="4130" spans="1:25" x14ac:dyDescent="0.3">
      <c r="A4130">
        <v>206450</v>
      </c>
      <c r="B4130" t="s">
        <v>78784</v>
      </c>
      <c r="C4130" t="s">
        <v>78785</v>
      </c>
      <c r="D4130" t="s">
        <v>78786</v>
      </c>
      <c r="E4130" t="s">
        <v>78787</v>
      </c>
      <c r="F4130" t="s">
        <v>78788</v>
      </c>
      <c r="G4130" t="s">
        <v>78789</v>
      </c>
      <c r="H4130" t="s">
        <v>78790</v>
      </c>
      <c r="I4130" t="s">
        <v>78791</v>
      </c>
      <c r="J4130" t="s">
        <v>78792</v>
      </c>
      <c r="K4130" t="s">
        <v>78793</v>
      </c>
      <c r="L4130" t="s">
        <v>78794</v>
      </c>
      <c r="M4130" t="s">
        <v>78795</v>
      </c>
      <c r="N4130">
        <f>-653.51194609744 -3.97945328983565 -531.411015891841</f>
        <v>-1188.9024152791167</v>
      </c>
      <c r="O4130">
        <f>-653.056661076301 -157.196920635428 -502.055018347816</f>
        <v>-1312.3086000595449</v>
      </c>
      <c r="P4130">
        <f>-690.412504110617 -195.53193090005 -225.0828146727</f>
        <v>-1111.027249683367</v>
      </c>
      <c r="Q4130">
        <f>-482.237871096216 -102.308996054114 -268.915907490623</f>
        <v>-853.46277464095294</v>
      </c>
      <c r="R4130" t="s">
        <v>78796</v>
      </c>
      <c r="S4130" t="s">
        <v>78797</v>
      </c>
      <c r="T4130" t="s">
        <v>78798</v>
      </c>
      <c r="U4130" t="s">
        <v>78799</v>
      </c>
      <c r="V4130">
        <f>-615.499283353456 -55.4735949570795 -93.8633031100426</f>
        <v>-764.8361814205781</v>
      </c>
      <c r="W4130" t="s">
        <v>78800</v>
      </c>
      <c r="X4130" t="s">
        <v>78801</v>
      </c>
      <c r="Y4130" t="s">
        <v>78802</v>
      </c>
    </row>
    <row r="4131" spans="1:25" x14ac:dyDescent="0.3">
      <c r="A4131">
        <v>206500</v>
      </c>
      <c r="B4131" t="s">
        <v>78803</v>
      </c>
      <c r="C4131" t="s">
        <v>78804</v>
      </c>
      <c r="D4131" t="s">
        <v>78805</v>
      </c>
      <c r="E4131" t="s">
        <v>78806</v>
      </c>
      <c r="F4131" t="s">
        <v>78807</v>
      </c>
      <c r="G4131" t="s">
        <v>78808</v>
      </c>
      <c r="H4131" t="s">
        <v>78809</v>
      </c>
      <c r="I4131" t="s">
        <v>78810</v>
      </c>
      <c r="J4131" t="s">
        <v>78811</v>
      </c>
      <c r="K4131" t="s">
        <v>78812</v>
      </c>
      <c r="L4131" t="s">
        <v>78813</v>
      </c>
      <c r="M4131" t="s">
        <v>78814</v>
      </c>
      <c r="N4131">
        <f>-654.723379968885 -4.68045626921707 -531.270444072662</f>
        <v>-1190.6742803107641</v>
      </c>
      <c r="O4131">
        <f>-655.447944146392 -157.748311513142 -501.187525936996</f>
        <v>-1314.3837815965301</v>
      </c>
      <c r="P4131">
        <f>-692.368726973572 -194.556823485116 -223.950240701079</f>
        <v>-1110.8757911597672</v>
      </c>
      <c r="Q4131">
        <f>-483.42076840019 -103.655569908008 -268.963882449564</f>
        <v>-856.04022075776197</v>
      </c>
      <c r="R4131" t="s">
        <v>78815</v>
      </c>
      <c r="S4131" t="s">
        <v>78816</v>
      </c>
      <c r="T4131" t="s">
        <v>78817</v>
      </c>
      <c r="U4131" t="s">
        <v>78818</v>
      </c>
      <c r="V4131">
        <f>-615.789993266062 -54.8663298506913 -93.844388702178</f>
        <v>-764.50071181893122</v>
      </c>
      <c r="W4131" t="s">
        <v>78819</v>
      </c>
      <c r="X4131" t="s">
        <v>78820</v>
      </c>
      <c r="Y4131" t="s">
        <v>78821</v>
      </c>
    </row>
    <row r="4132" spans="1:25" x14ac:dyDescent="0.3">
      <c r="A4132">
        <v>206550</v>
      </c>
      <c r="B4132" t="s">
        <v>78822</v>
      </c>
      <c r="C4132" t="s">
        <v>78823</v>
      </c>
      <c r="D4132" t="s">
        <v>78824</v>
      </c>
      <c r="E4132" t="s">
        <v>78825</v>
      </c>
      <c r="F4132" t="s">
        <v>78826</v>
      </c>
      <c r="G4132" t="s">
        <v>78827</v>
      </c>
      <c r="H4132" t="s">
        <v>78828</v>
      </c>
      <c r="I4132" t="s">
        <v>78829</v>
      </c>
      <c r="J4132" t="s">
        <v>78830</v>
      </c>
      <c r="K4132" t="s">
        <v>78831</v>
      </c>
      <c r="L4132" t="s">
        <v>78832</v>
      </c>
      <c r="M4132" t="s">
        <v>78833</v>
      </c>
      <c r="N4132">
        <f>-655.342756441971 -5.06906805820722 -531.17052666083</f>
        <v>-1191.5823511610083</v>
      </c>
      <c r="O4132">
        <f>-656.508819911379 -158.048404017757 -500.654161391386</f>
        <v>-1315.2113853205219</v>
      </c>
      <c r="P4132">
        <f>-693.084037259001 -193.822794972781 -223.235736331909</f>
        <v>-1110.1425685636909</v>
      </c>
      <c r="Q4132">
        <f>-483.887429501178 -103.905676635656 -269.063896018932</f>
        <v>-856.85700215576594</v>
      </c>
      <c r="R4132" t="s">
        <v>78834</v>
      </c>
      <c r="S4132" t="s">
        <v>78835</v>
      </c>
      <c r="T4132" t="s">
        <v>78836</v>
      </c>
      <c r="U4132" t="s">
        <v>78837</v>
      </c>
      <c r="V4132">
        <f>-615.788144462601 -54.5770008017907 -93.8432081452814</f>
        <v>-764.20835340967324</v>
      </c>
      <c r="W4132" t="s">
        <v>78838</v>
      </c>
      <c r="X4132" t="s">
        <v>78839</v>
      </c>
      <c r="Y4132" t="s">
        <v>78840</v>
      </c>
    </row>
    <row r="4133" spans="1:25" x14ac:dyDescent="0.3">
      <c r="A4133">
        <v>206600</v>
      </c>
      <c r="B4133" t="s">
        <v>78841</v>
      </c>
      <c r="C4133" t="s">
        <v>78842</v>
      </c>
      <c r="D4133" t="s">
        <v>78843</v>
      </c>
      <c r="E4133" t="s">
        <v>78844</v>
      </c>
      <c r="F4133" t="s">
        <v>78845</v>
      </c>
      <c r="G4133" t="s">
        <v>78846</v>
      </c>
      <c r="H4133" t="s">
        <v>78847</v>
      </c>
      <c r="I4133" t="s">
        <v>78848</v>
      </c>
      <c r="J4133" t="s">
        <v>78849</v>
      </c>
      <c r="K4133" t="s">
        <v>78850</v>
      </c>
      <c r="L4133" t="s">
        <v>78851</v>
      </c>
      <c r="M4133" t="s">
        <v>78852</v>
      </c>
      <c r="N4133">
        <f>-656.616276028845 -6.12278128500793 -530.933159442071</f>
        <v>-1193.672216755924</v>
      </c>
      <c r="O4133">
        <f>-658.514710028228 -158.930527798416 -499.60414702327</f>
        <v>-1317.0493848499141</v>
      </c>
      <c r="P4133">
        <f>-694.19728455479 -192.970251503604 -221.851297278972</f>
        <v>-1109.018833337366</v>
      </c>
      <c r="Q4133">
        <f>-484.777428900215 -104.234267214605 -268.944502592713</f>
        <v>-857.95619870753296</v>
      </c>
      <c r="R4133" t="s">
        <v>78853</v>
      </c>
      <c r="S4133" t="s">
        <v>78854</v>
      </c>
      <c r="T4133" t="s">
        <v>78855</v>
      </c>
      <c r="U4133" t="s">
        <v>78856</v>
      </c>
      <c r="V4133">
        <f>-615.615975885459 -54.3580071663491 -93.8482779298445</f>
        <v>-763.82226098165256</v>
      </c>
      <c r="W4133" t="s">
        <v>78857</v>
      </c>
      <c r="X4133" t="s">
        <v>78858</v>
      </c>
      <c r="Y4133" t="s">
        <v>78859</v>
      </c>
    </row>
    <row r="4134" spans="1:25" x14ac:dyDescent="0.3">
      <c r="A4134">
        <v>206650</v>
      </c>
      <c r="B4134" t="s">
        <v>78860</v>
      </c>
      <c r="C4134" t="s">
        <v>78861</v>
      </c>
      <c r="D4134" t="s">
        <v>78862</v>
      </c>
      <c r="E4134" t="s">
        <v>78863</v>
      </c>
      <c r="F4134" t="s">
        <v>78864</v>
      </c>
      <c r="G4134" t="s">
        <v>78865</v>
      </c>
      <c r="H4134" t="s">
        <v>78866</v>
      </c>
      <c r="I4134" t="s">
        <v>78867</v>
      </c>
      <c r="J4134" t="s">
        <v>78868</v>
      </c>
      <c r="K4134" t="s">
        <v>78869</v>
      </c>
      <c r="L4134" t="s">
        <v>78870</v>
      </c>
      <c r="M4134" t="s">
        <v>78871</v>
      </c>
      <c r="N4134">
        <f>-657.166133662116 -6.60316441659438 -530.813393139827</f>
        <v>-1194.5826912185373</v>
      </c>
      <c r="O4134">
        <f>-659.367259962581 -159.344351045753 -499.127334653813</f>
        <v>-1317.8389456621471</v>
      </c>
      <c r="P4134">
        <f>-694.714556957698 -192.682278828274 -221.246574296395</f>
        <v>-1108.6434100823672</v>
      </c>
      <c r="Q4134">
        <f>-485.25941559508 -104.287898534848 -268.823108445291</f>
        <v>-858.37042257521898</v>
      </c>
      <c r="R4134" t="s">
        <v>78872</v>
      </c>
      <c r="S4134" t="s">
        <v>78873</v>
      </c>
      <c r="T4134" t="s">
        <v>78874</v>
      </c>
      <c r="U4134" t="s">
        <v>78875</v>
      </c>
      <c r="V4134">
        <f>-615.498086088397 -54.388011737818 -93.8536808028107</f>
        <v>-763.73977862902575</v>
      </c>
      <c r="W4134" t="s">
        <v>78876</v>
      </c>
      <c r="X4134" t="s">
        <v>78877</v>
      </c>
      <c r="Y4134" t="s">
        <v>78878</v>
      </c>
    </row>
    <row r="4135" spans="1:25" x14ac:dyDescent="0.3">
      <c r="A4135">
        <v>206700</v>
      </c>
      <c r="B4135" t="s">
        <v>78879</v>
      </c>
      <c r="C4135" t="s">
        <v>78880</v>
      </c>
      <c r="D4135" t="s">
        <v>78881</v>
      </c>
      <c r="E4135" t="s">
        <v>78882</v>
      </c>
      <c r="F4135" t="s">
        <v>78883</v>
      </c>
      <c r="G4135" t="s">
        <v>78884</v>
      </c>
      <c r="H4135" t="s">
        <v>78885</v>
      </c>
      <c r="I4135" t="s">
        <v>78886</v>
      </c>
      <c r="J4135" t="s">
        <v>78887</v>
      </c>
      <c r="K4135" t="s">
        <v>78888</v>
      </c>
      <c r="L4135" t="s">
        <v>78889</v>
      </c>
      <c r="M4135" t="s">
        <v>78890</v>
      </c>
      <c r="N4135">
        <f>-657.607919615606 -7.19065403708532 -530.677805243155</f>
        <v>-1195.4763788958462</v>
      </c>
      <c r="O4135">
        <f>-660.395157737261 -159.851559676596 -498.630752605425</f>
        <v>-1318.8774700192821</v>
      </c>
      <c r="P4135">
        <f>-695.344253488727 -192.094419370065 -220.570468964671</f>
        <v>-1108.0091418234629</v>
      </c>
      <c r="Q4135">
        <f>-485.857324985065 -104.11967710515 -268.780298079002</f>
        <v>-858.75730016921705</v>
      </c>
      <c r="R4135" t="s">
        <v>78891</v>
      </c>
      <c r="S4135" t="s">
        <v>78892</v>
      </c>
      <c r="T4135" t="s">
        <v>78893</v>
      </c>
      <c r="U4135" t="s">
        <v>78894</v>
      </c>
      <c r="V4135">
        <f>-615.337455521647 -54.4562870926241 -93.853594902581</f>
        <v>-763.64733751685208</v>
      </c>
      <c r="W4135" t="s">
        <v>78895</v>
      </c>
      <c r="X4135" t="s">
        <v>78896</v>
      </c>
      <c r="Y4135" t="s">
        <v>78897</v>
      </c>
    </row>
    <row r="4136" spans="1:25" x14ac:dyDescent="0.3">
      <c r="A4136">
        <v>206750</v>
      </c>
      <c r="B4136" t="s">
        <v>78898</v>
      </c>
      <c r="C4136" t="s">
        <v>78899</v>
      </c>
      <c r="D4136" t="s">
        <v>78900</v>
      </c>
      <c r="E4136" t="s">
        <v>78901</v>
      </c>
      <c r="F4136" t="s">
        <v>78902</v>
      </c>
      <c r="G4136" t="s">
        <v>78903</v>
      </c>
      <c r="H4136" t="s">
        <v>78904</v>
      </c>
      <c r="I4136" t="s">
        <v>78905</v>
      </c>
      <c r="J4136" t="s">
        <v>78906</v>
      </c>
      <c r="K4136" t="s">
        <v>78907</v>
      </c>
      <c r="L4136" t="s">
        <v>78908</v>
      </c>
      <c r="M4136" t="s">
        <v>78909</v>
      </c>
      <c r="N4136">
        <f>-657.608568119268 -7.4260642804436 -530.663605199677</f>
        <v>-1195.6982375993887</v>
      </c>
      <c r="O4136">
        <f>-660.60554608866 -160.077326385609 -498.621066362039</f>
        <v>-1319.3039388363081</v>
      </c>
      <c r="P4136">
        <f>-695.470010169343 -192.207947280808 -220.537034298833</f>
        <v>-1108.2149917489842</v>
      </c>
      <c r="Q4136">
        <f>-485.986259986707 -104.316864027773 -268.913075690789</f>
        <v>-859.21619970526899</v>
      </c>
      <c r="R4136" t="s">
        <v>78910</v>
      </c>
      <c r="S4136" t="s">
        <v>78911</v>
      </c>
      <c r="T4136" t="s">
        <v>78912</v>
      </c>
      <c r="U4136" t="s">
        <v>78913</v>
      </c>
      <c r="V4136">
        <f>-615.329854533408 -54.5660785135974 -93.8593052963042</f>
        <v>-763.75523834330966</v>
      </c>
      <c r="W4136" t="s">
        <v>78914</v>
      </c>
      <c r="X4136" t="s">
        <v>78915</v>
      </c>
      <c r="Y4136" t="s">
        <v>78916</v>
      </c>
    </row>
    <row r="4137" spans="1:25" x14ac:dyDescent="0.3">
      <c r="A4137">
        <v>206800</v>
      </c>
      <c r="B4137" t="s">
        <v>78917</v>
      </c>
      <c r="C4137" t="s">
        <v>78918</v>
      </c>
      <c r="D4137" t="s">
        <v>78919</v>
      </c>
      <c r="E4137" t="s">
        <v>78920</v>
      </c>
      <c r="F4137" t="s">
        <v>78921</v>
      </c>
      <c r="G4137" t="s">
        <v>78922</v>
      </c>
      <c r="H4137" t="s">
        <v>78923</v>
      </c>
      <c r="I4137" t="s">
        <v>78924</v>
      </c>
      <c r="J4137" t="s">
        <v>78925</v>
      </c>
      <c r="K4137" t="s">
        <v>78926</v>
      </c>
      <c r="L4137" t="s">
        <v>78927</v>
      </c>
      <c r="M4137" t="s">
        <v>78928</v>
      </c>
      <c r="N4137">
        <f>-657.533422682085 -7.80506375676191 -530.667608515246</f>
        <v>-1196.006094954093</v>
      </c>
      <c r="O4137">
        <f>-660.696138711534 -160.464256757542 -498.703145405838</f>
        <v>-1319.863540874914</v>
      </c>
      <c r="P4137">
        <f>-695.490797900213 -193.194465236754 -220.680346119842</f>
        <v>-1109.365609256809</v>
      </c>
      <c r="Q4137">
        <f>-486.004028816306 -105.310785821546 -269.056923161475</f>
        <v>-860.37173779932709</v>
      </c>
      <c r="R4137" t="s">
        <v>78929</v>
      </c>
      <c r="S4137" t="s">
        <v>78930</v>
      </c>
      <c r="T4137" t="s">
        <v>78931</v>
      </c>
      <c r="U4137" t="s">
        <v>78932</v>
      </c>
      <c r="V4137">
        <f>-615.249535464402 -54.875953240509 -93.8750124622545</f>
        <v>-764.00050116716557</v>
      </c>
      <c r="W4137" t="s">
        <v>78933</v>
      </c>
      <c r="X4137" t="s">
        <v>78934</v>
      </c>
      <c r="Y4137" t="s">
        <v>78935</v>
      </c>
    </row>
    <row r="4138" spans="1:25" x14ac:dyDescent="0.3">
      <c r="A4138">
        <v>206850</v>
      </c>
      <c r="B4138" t="s">
        <v>78936</v>
      </c>
      <c r="C4138" t="s">
        <v>78937</v>
      </c>
      <c r="D4138" t="s">
        <v>78938</v>
      </c>
      <c r="E4138" t="s">
        <v>78939</v>
      </c>
      <c r="F4138" t="s">
        <v>78940</v>
      </c>
      <c r="G4138" t="s">
        <v>78941</v>
      </c>
      <c r="H4138" t="s">
        <v>78942</v>
      </c>
      <c r="I4138" t="s">
        <v>78943</v>
      </c>
      <c r="J4138" t="s">
        <v>78944</v>
      </c>
      <c r="K4138" t="s">
        <v>78945</v>
      </c>
      <c r="L4138" t="s">
        <v>78946</v>
      </c>
      <c r="M4138" t="s">
        <v>78947</v>
      </c>
      <c r="N4138">
        <f>-657.396438823101 -8.04022726606217 -530.698054768661</f>
        <v>-1196.134720857824</v>
      </c>
      <c r="O4138">
        <f>-660.604272247449 -160.707524302879 -498.785577018228</f>
        <v>-1320.0973735685559</v>
      </c>
      <c r="P4138">
        <f>-695.241431872678 -193.761825173355 -220.78150668772</f>
        <v>-1109.7847637337529</v>
      </c>
      <c r="Q4138">
        <f>-485.703890064217 -105.956790148877 -269.080841659849</f>
        <v>-860.74152187294294</v>
      </c>
      <c r="R4138" t="s">
        <v>78948</v>
      </c>
      <c r="S4138" t="s">
        <v>78949</v>
      </c>
      <c r="T4138" t="s">
        <v>78950</v>
      </c>
      <c r="U4138" t="s">
        <v>78951</v>
      </c>
      <c r="V4138">
        <f>-615.142708057317 -55.1369043963316 -93.892168231103</f>
        <v>-764.17178068475164</v>
      </c>
      <c r="W4138" t="s">
        <v>78952</v>
      </c>
      <c r="X4138" t="s">
        <v>78953</v>
      </c>
      <c r="Y4138" t="s">
        <v>78954</v>
      </c>
    </row>
    <row r="4139" spans="1:25" x14ac:dyDescent="0.3">
      <c r="A4139">
        <v>206900</v>
      </c>
      <c r="B4139" t="s">
        <v>78955</v>
      </c>
      <c r="C4139" t="s">
        <v>78956</v>
      </c>
      <c r="D4139" t="s">
        <v>78957</v>
      </c>
      <c r="E4139" t="s">
        <v>78958</v>
      </c>
      <c r="F4139" t="s">
        <v>78959</v>
      </c>
      <c r="G4139" t="s">
        <v>78960</v>
      </c>
      <c r="H4139" t="s">
        <v>78961</v>
      </c>
      <c r="I4139" t="s">
        <v>78962</v>
      </c>
      <c r="J4139" t="s">
        <v>78963</v>
      </c>
      <c r="K4139" t="s">
        <v>78964</v>
      </c>
      <c r="L4139" t="s">
        <v>78965</v>
      </c>
      <c r="M4139" t="s">
        <v>78966</v>
      </c>
      <c r="N4139">
        <f>-657.38622139132 -8.63379756205632 -530.732916075857</f>
        <v>-1196.7529350292334</v>
      </c>
      <c r="O4139">
        <f>-660.513322916022 -161.324774315598 -498.904420419245</f>
        <v>-1320.742517650865</v>
      </c>
      <c r="P4139">
        <f>-694.855080819774 -194.464033051889 -220.873654336479</f>
        <v>-1110.1927682081421</v>
      </c>
      <c r="Q4139">
        <f>-485.230667132286 -106.895011227644 -269.224633840332</f>
        <v>-861.35031220026201</v>
      </c>
      <c r="R4139" t="s">
        <v>78967</v>
      </c>
      <c r="S4139" t="s">
        <v>78968</v>
      </c>
      <c r="T4139" t="s">
        <v>78969</v>
      </c>
      <c r="U4139" t="s">
        <v>78970</v>
      </c>
      <c r="V4139">
        <f>-614.916255095062 -55.7952526010668 -93.9441835479312</f>
        <v>-764.65569124405988</v>
      </c>
      <c r="W4139" t="s">
        <v>78971</v>
      </c>
      <c r="X4139" t="s">
        <v>78972</v>
      </c>
      <c r="Y4139" t="s">
        <v>78973</v>
      </c>
    </row>
    <row r="4140" spans="1:25" x14ac:dyDescent="0.3">
      <c r="A4140">
        <v>206950</v>
      </c>
      <c r="B4140" t="s">
        <v>78974</v>
      </c>
      <c r="C4140" t="s">
        <v>78975</v>
      </c>
      <c r="D4140" t="s">
        <v>78976</v>
      </c>
      <c r="E4140" t="s">
        <v>78977</v>
      </c>
      <c r="F4140" t="s">
        <v>78978</v>
      </c>
      <c r="G4140" t="s">
        <v>78979</v>
      </c>
      <c r="H4140" t="s">
        <v>78980</v>
      </c>
      <c r="I4140" t="s">
        <v>78981</v>
      </c>
      <c r="J4140" t="s">
        <v>78982</v>
      </c>
      <c r="K4140" t="s">
        <v>78983</v>
      </c>
      <c r="L4140" t="s">
        <v>78984</v>
      </c>
      <c r="M4140" t="s">
        <v>78985</v>
      </c>
      <c r="N4140">
        <f>-657.421767091566 -9.00502445326697 -530.731164235068</f>
        <v>-1197.1579557799009</v>
      </c>
      <c r="O4140">
        <f>-660.490904297331 -161.702873962252 -498.93079516543</f>
        <v>-1321.1245734250131</v>
      </c>
      <c r="P4140">
        <f>-694.619439552081 -194.761045579912 -220.86412991574</f>
        <v>-1110.2446150477329</v>
      </c>
      <c r="Q4140">
        <f>-485.040548258729 -107.148030927292 -269.33249753468</f>
        <v>-861.52107672070099</v>
      </c>
      <c r="R4140" t="s">
        <v>78986</v>
      </c>
      <c r="S4140" t="s">
        <v>78987</v>
      </c>
      <c r="T4140" t="s">
        <v>78988</v>
      </c>
      <c r="U4140" t="s">
        <v>78989</v>
      </c>
      <c r="V4140">
        <f>-614.759231137198 -56.1505508479215 -93.9598126388088</f>
        <v>-764.86959462392826</v>
      </c>
      <c r="W4140" t="s">
        <v>78990</v>
      </c>
      <c r="X4140" t="s">
        <v>78991</v>
      </c>
      <c r="Y4140" t="s">
        <v>78992</v>
      </c>
    </row>
    <row r="4141" spans="1:25" x14ac:dyDescent="0.3">
      <c r="A4141">
        <v>207000</v>
      </c>
      <c r="B4141" t="s">
        <v>78993</v>
      </c>
      <c r="C4141" t="s">
        <v>78994</v>
      </c>
      <c r="D4141" t="s">
        <v>78995</v>
      </c>
      <c r="E4141" t="s">
        <v>78996</v>
      </c>
      <c r="F4141" t="s">
        <v>78997</v>
      </c>
      <c r="G4141" t="s">
        <v>78998</v>
      </c>
      <c r="H4141" t="s">
        <v>78999</v>
      </c>
      <c r="I4141" t="s">
        <v>79000</v>
      </c>
      <c r="J4141" t="s">
        <v>79001</v>
      </c>
      <c r="K4141" t="s">
        <v>79002</v>
      </c>
      <c r="L4141" t="s">
        <v>79003</v>
      </c>
      <c r="M4141" t="s">
        <v>79004</v>
      </c>
      <c r="N4141">
        <f>-657.702962848728 -9.57346565287139 -530.73983966246</f>
        <v>-1198.0162681640595</v>
      </c>
      <c r="O4141">
        <f>-660.602221474562 -162.292840307337 -499.021733044008</f>
        <v>-1321.9167948259069</v>
      </c>
      <c r="P4141">
        <f>-694.154530992906 -195.45727840226 -220.897833480922</f>
        <v>-1110.5096428760878</v>
      </c>
      <c r="Q4141">
        <f>-484.878414121524 -107.291533707031 -269.670780052055</f>
        <v>-861.84072788061007</v>
      </c>
      <c r="R4141" t="s">
        <v>79005</v>
      </c>
      <c r="S4141" t="s">
        <v>79006</v>
      </c>
      <c r="T4141" t="s">
        <v>79007</v>
      </c>
      <c r="U4141" t="s">
        <v>79008</v>
      </c>
      <c r="V4141">
        <f>-614.323268040402 -56.7348155016673 -93.989129109789</f>
        <v>-765.04721265185833</v>
      </c>
      <c r="W4141" t="s">
        <v>79009</v>
      </c>
      <c r="X4141" t="s">
        <v>79010</v>
      </c>
      <c r="Y4141" t="s">
        <v>79011</v>
      </c>
    </row>
    <row r="4142" spans="1:25" x14ac:dyDescent="0.3">
      <c r="A4142">
        <v>207050</v>
      </c>
      <c r="B4142" t="s">
        <v>79012</v>
      </c>
      <c r="C4142" t="s">
        <v>79013</v>
      </c>
      <c r="D4142" t="s">
        <v>79014</v>
      </c>
      <c r="E4142" t="s">
        <v>79015</v>
      </c>
      <c r="F4142" t="s">
        <v>79016</v>
      </c>
      <c r="G4142" t="s">
        <v>79017</v>
      </c>
      <c r="H4142" t="s">
        <v>79018</v>
      </c>
      <c r="I4142" t="s">
        <v>79019</v>
      </c>
      <c r="J4142" t="s">
        <v>79020</v>
      </c>
      <c r="K4142" t="s">
        <v>79021</v>
      </c>
      <c r="L4142" t="s">
        <v>79022</v>
      </c>
      <c r="M4142" t="s">
        <v>79023</v>
      </c>
      <c r="N4142">
        <f>-657.85184233316 -9.88099808958191 -530.732261508097</f>
        <v>-1198.465101930839</v>
      </c>
      <c r="O4142">
        <f>-660.634127737566 -162.60577580885 -499.052321047596</f>
        <v>-1322.2922245940122</v>
      </c>
      <c r="P4142">
        <f>-693.852540407787 -195.878607545876 -220.901154735627</f>
        <v>-1110.6323026892901</v>
      </c>
      <c r="Q4142">
        <f>-484.763572104667 -107.390579521576 -269.893400706416</f>
        <v>-862.04755233265905</v>
      </c>
      <c r="R4142" t="s">
        <v>79024</v>
      </c>
      <c r="S4142" t="s">
        <v>79025</v>
      </c>
      <c r="T4142" t="s">
        <v>79026</v>
      </c>
      <c r="U4142" t="s">
        <v>79027</v>
      </c>
      <c r="V4142">
        <f>-614.09100419634 -56.9733026121289 -93.9988149477916</f>
        <v>-765.06312175626056</v>
      </c>
      <c r="W4142" t="s">
        <v>79028</v>
      </c>
      <c r="X4142" t="s">
        <v>79029</v>
      </c>
      <c r="Y4142" t="s">
        <v>79030</v>
      </c>
    </row>
    <row r="4143" spans="1:25" x14ac:dyDescent="0.3">
      <c r="A4143">
        <v>207100</v>
      </c>
      <c r="B4143" t="s">
        <v>79031</v>
      </c>
      <c r="C4143" t="s">
        <v>79032</v>
      </c>
      <c r="D4143" t="s">
        <v>79033</v>
      </c>
      <c r="E4143" t="s">
        <v>79034</v>
      </c>
      <c r="F4143" t="s">
        <v>79035</v>
      </c>
      <c r="G4143" t="s">
        <v>79036</v>
      </c>
      <c r="H4143" t="s">
        <v>79037</v>
      </c>
      <c r="I4143" t="s">
        <v>79038</v>
      </c>
      <c r="J4143" t="s">
        <v>79039</v>
      </c>
      <c r="K4143" t="s">
        <v>79040</v>
      </c>
      <c r="L4143" t="s">
        <v>79041</v>
      </c>
      <c r="M4143" t="s">
        <v>79042</v>
      </c>
      <c r="N4143">
        <f>-658.431654157044 -10.5470053134954 -530.675094125453</f>
        <v>-1199.6537535959924</v>
      </c>
      <c r="O4143">
        <f>-661.04545596422 -163.283124986364 -499.00504035775</f>
        <v>-1323.3336213083339</v>
      </c>
      <c r="P4143">
        <f>-693.485430919536 -196.626616260651 -220.770486220518</f>
        <v>-1110.8825334007049</v>
      </c>
      <c r="Q4143">
        <f>-484.67354185318 -107.769999437922 -270.274476202239</f>
        <v>-862.71801749334099</v>
      </c>
      <c r="R4143" t="s">
        <v>79043</v>
      </c>
      <c r="S4143" t="s">
        <v>79044</v>
      </c>
      <c r="T4143" t="s">
        <v>79045</v>
      </c>
      <c r="U4143" t="s">
        <v>79046</v>
      </c>
      <c r="V4143">
        <f>-613.663362101445 -57.5425715558008 -94.0227085885496</f>
        <v>-765.22864224579541</v>
      </c>
      <c r="W4143" t="s">
        <v>79047</v>
      </c>
      <c r="X4143" t="s">
        <v>79048</v>
      </c>
      <c r="Y4143" t="s">
        <v>79049</v>
      </c>
    </row>
    <row r="4144" spans="1:25" x14ac:dyDescent="0.3">
      <c r="A4144">
        <v>207150</v>
      </c>
      <c r="B4144" t="s">
        <v>79050</v>
      </c>
      <c r="C4144" t="s">
        <v>79051</v>
      </c>
      <c r="D4144" t="s">
        <v>79052</v>
      </c>
      <c r="E4144" t="s">
        <v>79053</v>
      </c>
      <c r="F4144" t="s">
        <v>79054</v>
      </c>
      <c r="G4144" t="s">
        <v>79055</v>
      </c>
      <c r="H4144" t="s">
        <v>79056</v>
      </c>
      <c r="I4144" t="s">
        <v>79057</v>
      </c>
      <c r="J4144" t="s">
        <v>79058</v>
      </c>
      <c r="K4144" t="s">
        <v>79059</v>
      </c>
      <c r="L4144" t="s">
        <v>79060</v>
      </c>
      <c r="M4144" t="s">
        <v>79061</v>
      </c>
      <c r="N4144">
        <f>-658.819653372173 -10.9204663523606 -530.626272695981</f>
        <v>-1200.3663924205146</v>
      </c>
      <c r="O4144">
        <f>-661.354377024407 -163.651353916703 -498.933085255397</f>
        <v>-1323.9388161965069</v>
      </c>
      <c r="P4144">
        <f>-693.436980707542 -196.873716751836 -220.642743952529</f>
        <v>-1110.9534414119071</v>
      </c>
      <c r="Q4144">
        <f>-484.672159667778 -108.054845010392 -270.412477645125</f>
        <v>-863.13948232329506</v>
      </c>
      <c r="R4144" t="s">
        <v>79062</v>
      </c>
      <c r="S4144" t="s">
        <v>79063</v>
      </c>
      <c r="T4144" t="s">
        <v>79064</v>
      </c>
      <c r="U4144" t="s">
        <v>79065</v>
      </c>
      <c r="V4144">
        <f>-613.527543117141 -57.8397891507159 -94.027468482391</f>
        <v>-765.3948007502479</v>
      </c>
      <c r="W4144" t="s">
        <v>79066</v>
      </c>
      <c r="X4144" t="s">
        <v>79067</v>
      </c>
      <c r="Y4144" t="s">
        <v>79068</v>
      </c>
    </row>
    <row r="4145" spans="1:25" x14ac:dyDescent="0.3">
      <c r="A4145">
        <v>207200</v>
      </c>
      <c r="B4145" t="s">
        <v>79069</v>
      </c>
      <c r="C4145" t="s">
        <v>79070</v>
      </c>
      <c r="D4145" t="s">
        <v>79071</v>
      </c>
      <c r="E4145" t="s">
        <v>79072</v>
      </c>
      <c r="F4145" t="s">
        <v>79073</v>
      </c>
      <c r="G4145" t="s">
        <v>79074</v>
      </c>
      <c r="H4145" t="s">
        <v>79075</v>
      </c>
      <c r="I4145" t="s">
        <v>79076</v>
      </c>
      <c r="J4145" t="s">
        <v>79077</v>
      </c>
      <c r="K4145" t="s">
        <v>79078</v>
      </c>
      <c r="L4145" t="s">
        <v>79079</v>
      </c>
      <c r="M4145" t="s">
        <v>79080</v>
      </c>
      <c r="N4145">
        <f>-659.629816228571 -11.5888359186602 -530.500396752708</f>
        <v>-1201.719048899939</v>
      </c>
      <c r="O4145">
        <f>-662.01304447375 -164.307025041944 -498.738526789322</f>
        <v>-1325.0585963050162</v>
      </c>
      <c r="P4145">
        <f>-693.631924040557 -197.344094469003 -220.37300036699</f>
        <v>-1111.34901887655</v>
      </c>
      <c r="Q4145">
        <f>-484.940632786529 -108.591622795686 -270.567399642449</f>
        <v>-864.09965522466405</v>
      </c>
      <c r="R4145" t="s">
        <v>79081</v>
      </c>
      <c r="S4145" t="s">
        <v>79082</v>
      </c>
      <c r="T4145" t="s">
        <v>79083</v>
      </c>
      <c r="U4145" t="s">
        <v>79084</v>
      </c>
      <c r="V4145">
        <f>-613.311230973109 -58.282515598783 -94.0217754125399</f>
        <v>-765.61552198443189</v>
      </c>
      <c r="W4145" t="s">
        <v>79085</v>
      </c>
      <c r="X4145" t="s">
        <v>79086</v>
      </c>
      <c r="Y4145" t="s">
        <v>79087</v>
      </c>
    </row>
    <row r="4146" spans="1:25" x14ac:dyDescent="0.3">
      <c r="A4146">
        <v>207250</v>
      </c>
      <c r="B4146" t="s">
        <v>79088</v>
      </c>
      <c r="C4146" t="s">
        <v>79089</v>
      </c>
      <c r="D4146" t="s">
        <v>79090</v>
      </c>
      <c r="E4146" t="s">
        <v>79091</v>
      </c>
      <c r="F4146" t="s">
        <v>79092</v>
      </c>
      <c r="G4146" t="s">
        <v>79093</v>
      </c>
      <c r="H4146" t="s">
        <v>79094</v>
      </c>
      <c r="I4146" t="s">
        <v>79095</v>
      </c>
      <c r="J4146" t="s">
        <v>79096</v>
      </c>
      <c r="K4146" t="s">
        <v>79097</v>
      </c>
      <c r="L4146" t="s">
        <v>79098</v>
      </c>
      <c r="M4146" t="s">
        <v>79099</v>
      </c>
      <c r="N4146">
        <f>-660.053693422122 -11.8450577144076 -530.442309603102</f>
        <v>-1202.3410607396318</v>
      </c>
      <c r="O4146">
        <f>-662.410595903917 -164.556738916739 -498.650728747766</f>
        <v>-1325.618063568422</v>
      </c>
      <c r="P4146">
        <f>-693.868078010614 -197.61567073164 -220.269537446463</f>
        <v>-1111.7532861887171</v>
      </c>
      <c r="Q4146">
        <f>-485.202214030517 -108.882176911589 -270.603093271493</f>
        <v>-864.68748421359896</v>
      </c>
      <c r="R4146" t="s">
        <v>79100</v>
      </c>
      <c r="S4146" t="s">
        <v>79101</v>
      </c>
      <c r="T4146" t="s">
        <v>79102</v>
      </c>
      <c r="U4146" t="s">
        <v>79103</v>
      </c>
      <c r="V4146">
        <f>-613.262374631737 -58.4619789209235 -94.014764047554</f>
        <v>-765.7391176002144</v>
      </c>
      <c r="W4146" t="s">
        <v>79104</v>
      </c>
      <c r="X4146" t="s">
        <v>79105</v>
      </c>
      <c r="Y4146" t="s">
        <v>79106</v>
      </c>
    </row>
    <row r="4147" spans="1:25" x14ac:dyDescent="0.3">
      <c r="A4147">
        <v>207300</v>
      </c>
      <c r="B4147" t="s">
        <v>79107</v>
      </c>
      <c r="C4147" t="s">
        <v>79108</v>
      </c>
      <c r="D4147" t="s">
        <v>79109</v>
      </c>
      <c r="E4147" t="s">
        <v>79110</v>
      </c>
      <c r="F4147" t="s">
        <v>79111</v>
      </c>
      <c r="G4147" t="s">
        <v>79112</v>
      </c>
      <c r="H4147" t="s">
        <v>79113</v>
      </c>
      <c r="I4147" t="s">
        <v>79114</v>
      </c>
      <c r="J4147" t="s">
        <v>79115</v>
      </c>
      <c r="K4147" t="s">
        <v>79116</v>
      </c>
      <c r="L4147" t="s">
        <v>79117</v>
      </c>
      <c r="M4147" t="s">
        <v>79118</v>
      </c>
      <c r="N4147">
        <f>-660.613218683539 -12.1616808279437 -530.34978419683</f>
        <v>-1203.1246837083127</v>
      </c>
      <c r="O4147">
        <f>-663.014653360668 -164.868870772506 -498.524867635279</f>
        <v>-1326.4083917684529</v>
      </c>
      <c r="P4147">
        <f>-694.230686964519 -197.887010951892 -220.111567362639</f>
        <v>-1112.22926527905</v>
      </c>
      <c r="Q4147">
        <f>-485.613057350681 -109.187770128548 -270.704557972966</f>
        <v>-865.50538545219501</v>
      </c>
      <c r="R4147" t="s">
        <v>79119</v>
      </c>
      <c r="S4147" t="s">
        <v>79120</v>
      </c>
      <c r="T4147" t="s">
        <v>79121</v>
      </c>
      <c r="U4147" t="s">
        <v>79122</v>
      </c>
      <c r="V4147">
        <f>-613.243253411551 -58.7280289320761 -93.9961693917662</f>
        <v>-765.9674517353933</v>
      </c>
      <c r="W4147" t="s">
        <v>79123</v>
      </c>
      <c r="X4147" t="s">
        <v>79124</v>
      </c>
      <c r="Y4147" t="s">
        <v>79125</v>
      </c>
    </row>
    <row r="4148" spans="1:25" x14ac:dyDescent="0.3">
      <c r="A4148">
        <v>207350</v>
      </c>
      <c r="B4148" t="s">
        <v>79126</v>
      </c>
      <c r="C4148" t="s">
        <v>79127</v>
      </c>
      <c r="D4148" t="s">
        <v>79128</v>
      </c>
      <c r="E4148" t="s">
        <v>79129</v>
      </c>
      <c r="F4148" t="s">
        <v>79130</v>
      </c>
      <c r="G4148" t="s">
        <v>79131</v>
      </c>
      <c r="H4148" t="s">
        <v>79132</v>
      </c>
      <c r="I4148" t="s">
        <v>79133</v>
      </c>
      <c r="J4148" t="s">
        <v>79134</v>
      </c>
      <c r="K4148" t="s">
        <v>79135</v>
      </c>
      <c r="L4148" t="s">
        <v>79136</v>
      </c>
      <c r="M4148" t="s">
        <v>79137</v>
      </c>
      <c r="N4148">
        <f>-660.863613312256 -12.2712429573523 -530.311358098787</f>
        <v>-1203.4462143683954</v>
      </c>
      <c r="O4148">
        <f>-663.351015372325 -164.968351697572 -498.464501286354</f>
        <v>-1326.7838683562509</v>
      </c>
      <c r="P4148">
        <f>-694.437204654282 -197.898502532859 -220.026241189801</f>
        <v>-1112.3619483769421</v>
      </c>
      <c r="Q4148">
        <f>-485.831281954932 -109.276549055287 -270.802773519715</f>
        <v>-865.91060452993406</v>
      </c>
      <c r="R4148" t="s">
        <v>79138</v>
      </c>
      <c r="S4148" t="s">
        <v>79139</v>
      </c>
      <c r="T4148" t="s">
        <v>79140</v>
      </c>
      <c r="U4148" t="s">
        <v>79141</v>
      </c>
      <c r="V4148">
        <f>-613.272046822955 -58.825009423339 -93.9935288579231</f>
        <v>-766.0905851042171</v>
      </c>
      <c r="W4148" t="s">
        <v>79142</v>
      </c>
      <c r="X4148" t="s">
        <v>79143</v>
      </c>
      <c r="Y4148" t="s">
        <v>79144</v>
      </c>
    </row>
    <row r="4149" spans="1:25" x14ac:dyDescent="0.3">
      <c r="A4149">
        <v>207400</v>
      </c>
      <c r="B4149" t="s">
        <v>79145</v>
      </c>
      <c r="C4149" t="s">
        <v>79146</v>
      </c>
      <c r="D4149" t="s">
        <v>79147</v>
      </c>
      <c r="E4149" t="s">
        <v>79148</v>
      </c>
      <c r="F4149" t="s">
        <v>79149</v>
      </c>
      <c r="G4149" t="s">
        <v>79150</v>
      </c>
      <c r="H4149" t="s">
        <v>79151</v>
      </c>
      <c r="I4149" t="s">
        <v>79152</v>
      </c>
      <c r="J4149" t="s">
        <v>79153</v>
      </c>
      <c r="K4149" t="s">
        <v>79154</v>
      </c>
      <c r="L4149" t="s">
        <v>79155</v>
      </c>
      <c r="M4149" t="s">
        <v>79156</v>
      </c>
      <c r="N4149">
        <f>-661.245759780093 -12.3228295248271 -530.287582025571</f>
        <v>-1203.8561713304912</v>
      </c>
      <c r="O4149">
        <f>-663.993503316489 -165.009864281024 -498.393387100015</f>
        <v>-1327.396754697528</v>
      </c>
      <c r="P4149">
        <f>-694.776300080756 -197.700492322885 -219.893257446467</f>
        <v>-1112.370049850108</v>
      </c>
      <c r="Q4149">
        <f>-486.091895168262 -109.432381956651 -270.96250480112</f>
        <v>-866.48678192603302</v>
      </c>
      <c r="R4149" t="s">
        <v>79157</v>
      </c>
      <c r="S4149" t="s">
        <v>79158</v>
      </c>
      <c r="T4149" t="s">
        <v>79159</v>
      </c>
      <c r="U4149" t="s">
        <v>79160</v>
      </c>
      <c r="V4149">
        <f>-613.446803992857 -58.9945245235435 -93.997457186426</f>
        <v>-766.43878570282652</v>
      </c>
      <c r="W4149" t="s">
        <v>79161</v>
      </c>
      <c r="X4149" t="s">
        <v>79162</v>
      </c>
      <c r="Y4149" t="s">
        <v>79163</v>
      </c>
    </row>
    <row r="4150" spans="1:25" x14ac:dyDescent="0.3">
      <c r="A4150">
        <v>207450</v>
      </c>
      <c r="B4150" t="s">
        <v>79164</v>
      </c>
      <c r="C4150" t="s">
        <v>79165</v>
      </c>
      <c r="D4150" t="s">
        <v>79166</v>
      </c>
      <c r="E4150" t="s">
        <v>79167</v>
      </c>
      <c r="F4150" t="s">
        <v>79168</v>
      </c>
      <c r="G4150" t="s">
        <v>79169</v>
      </c>
      <c r="H4150" t="s">
        <v>79170</v>
      </c>
      <c r="I4150" t="s">
        <v>79171</v>
      </c>
      <c r="J4150" t="s">
        <v>79172</v>
      </c>
      <c r="K4150" t="s">
        <v>79173</v>
      </c>
      <c r="L4150" t="s">
        <v>79174</v>
      </c>
      <c r="M4150" t="s">
        <v>79175</v>
      </c>
      <c r="N4150">
        <f>-661.33305292117 -12.3072449758436 -530.279780631472</f>
        <v>-1203.9200785284856</v>
      </c>
      <c r="O4150">
        <f>-664.208405918286 -164.981397819333 -498.354439154957</f>
        <v>-1327.544242892576</v>
      </c>
      <c r="P4150">
        <f>-694.897728305386 -197.626344527098 -219.838531018628</f>
        <v>-1112.362603851112</v>
      </c>
      <c r="Q4150">
        <f>-486.151533251477 -109.5731267503 -271.026383906207</f>
        <v>-866.75104390798401</v>
      </c>
      <c r="R4150" t="s">
        <v>79176</v>
      </c>
      <c r="S4150" t="s">
        <v>79177</v>
      </c>
      <c r="T4150" t="s">
        <v>79178</v>
      </c>
      <c r="U4150" t="s">
        <v>79179</v>
      </c>
      <c r="V4150">
        <f>-613.543019321429 -59.0470331622719 -93.9984336660982</f>
        <v>-766.58848614979911</v>
      </c>
      <c r="W4150" t="s">
        <v>79180</v>
      </c>
      <c r="X4150" t="s">
        <v>79181</v>
      </c>
      <c r="Y4150" t="s">
        <v>79182</v>
      </c>
    </row>
    <row r="4151" spans="1:25" x14ac:dyDescent="0.3">
      <c r="A4151">
        <v>207500</v>
      </c>
      <c r="B4151" t="s">
        <v>79183</v>
      </c>
      <c r="C4151" t="s">
        <v>79184</v>
      </c>
      <c r="D4151" t="s">
        <v>79185</v>
      </c>
      <c r="E4151" t="s">
        <v>79186</v>
      </c>
      <c r="F4151" t="s">
        <v>79187</v>
      </c>
      <c r="G4151" t="s">
        <v>79188</v>
      </c>
      <c r="H4151" t="s">
        <v>79189</v>
      </c>
      <c r="I4151" t="s">
        <v>79190</v>
      </c>
      <c r="J4151" t="s">
        <v>79191</v>
      </c>
      <c r="K4151" t="s">
        <v>79192</v>
      </c>
      <c r="L4151" t="s">
        <v>79193</v>
      </c>
      <c r="M4151" t="s">
        <v>79194</v>
      </c>
      <c r="N4151">
        <f>-661.450779044976 -12.2167947504618 -530.274209643721</f>
        <v>-1203.9417834391588</v>
      </c>
      <c r="O4151">
        <f>-664.610819089995 -164.87224681652 -498.270955574606</f>
        <v>-1327.7540214811211</v>
      </c>
      <c r="P4151">
        <f>-695.156922507885 -197.473021799759 -219.734128156994</f>
        <v>-1112.3640724646382</v>
      </c>
      <c r="Q4151">
        <f>-486.266748894707 -109.812425393839 -271.008452222065</f>
        <v>-867.08762651061102</v>
      </c>
      <c r="R4151" t="s">
        <v>79195</v>
      </c>
      <c r="S4151" t="s">
        <v>79196</v>
      </c>
      <c r="T4151" t="s">
        <v>79197</v>
      </c>
      <c r="U4151" t="s">
        <v>79198</v>
      </c>
      <c r="V4151">
        <f>-613.67371082587 -59.0949896115117 -94.0145666858873</f>
        <v>-766.78326712326896</v>
      </c>
      <c r="W4151" t="s">
        <v>79199</v>
      </c>
      <c r="X4151" t="s">
        <v>79200</v>
      </c>
      <c r="Y4151" t="s">
        <v>79201</v>
      </c>
    </row>
    <row r="4152" spans="1:25" x14ac:dyDescent="0.3">
      <c r="A4152">
        <v>207550</v>
      </c>
      <c r="B4152" t="s">
        <v>79202</v>
      </c>
      <c r="C4152" t="s">
        <v>79203</v>
      </c>
      <c r="D4152" t="s">
        <v>79204</v>
      </c>
      <c r="E4152" t="s">
        <v>79205</v>
      </c>
      <c r="F4152" t="s">
        <v>79206</v>
      </c>
      <c r="G4152" t="s">
        <v>79207</v>
      </c>
      <c r="H4152" t="s">
        <v>79208</v>
      </c>
      <c r="I4152" t="s">
        <v>79209</v>
      </c>
      <c r="J4152" t="s">
        <v>79210</v>
      </c>
      <c r="K4152" t="s">
        <v>79211</v>
      </c>
      <c r="L4152" t="s">
        <v>79212</v>
      </c>
      <c r="M4152" t="s">
        <v>79213</v>
      </c>
      <c r="N4152">
        <f>-661.55303661549 -12.0936349880101 -530.266067880396</f>
        <v>-1203.9127394838961</v>
      </c>
      <c r="O4152">
        <f>-664.88542103253 -164.735754652714 -498.221073703344</f>
        <v>-1327.842249388588</v>
      </c>
      <c r="P4152">
        <f>-695.41384128012 -197.250795189138 -219.672417588518</f>
        <v>-1112.337054057776</v>
      </c>
      <c r="Q4152">
        <f>-486.423717275288 -109.831886812429 -270.951664899669</f>
        <v>-867.2072689873861</v>
      </c>
      <c r="R4152" t="s">
        <v>79214</v>
      </c>
      <c r="S4152" t="s">
        <v>79215</v>
      </c>
      <c r="T4152" t="s">
        <v>79216</v>
      </c>
      <c r="U4152" t="s">
        <v>79217</v>
      </c>
      <c r="V4152">
        <f>-613.698687424022 -59.0879608410141 -94.0207076743525</f>
        <v>-766.80735593938857</v>
      </c>
      <c r="W4152" t="s">
        <v>79218</v>
      </c>
      <c r="X4152" t="s">
        <v>79219</v>
      </c>
      <c r="Y4152" t="s">
        <v>79220</v>
      </c>
    </row>
    <row r="4153" spans="1:25" x14ac:dyDescent="0.3">
      <c r="A4153">
        <v>207600</v>
      </c>
      <c r="B4153" t="s">
        <v>79221</v>
      </c>
      <c r="C4153" t="s">
        <v>79222</v>
      </c>
      <c r="D4153" t="s">
        <v>79223</v>
      </c>
      <c r="E4153" t="s">
        <v>79224</v>
      </c>
      <c r="F4153" t="s">
        <v>79225</v>
      </c>
      <c r="G4153" t="s">
        <v>79226</v>
      </c>
      <c r="H4153" t="s">
        <v>79227</v>
      </c>
      <c r="I4153" t="s">
        <v>79228</v>
      </c>
      <c r="J4153" t="s">
        <v>79229</v>
      </c>
      <c r="K4153" t="s">
        <v>79230</v>
      </c>
      <c r="L4153" t="s">
        <v>79231</v>
      </c>
      <c r="M4153" t="s">
        <v>79232</v>
      </c>
      <c r="N4153">
        <f>-661.62817467715 -11.7479269232135 -530.25257724349</f>
        <v>-1203.6286788438535</v>
      </c>
      <c r="O4153">
        <f>-665.359116246793 -164.371729444865 -498.129103277334</f>
        <v>-1327.8599489689918</v>
      </c>
      <c r="P4153">
        <f>-696.001548044925 -196.611006898967 -219.560836149341</f>
        <v>-1112.173391093233</v>
      </c>
      <c r="Q4153">
        <f>-486.809590161544 -109.72844505947 -270.928733032689</f>
        <v>-867.46676825370309</v>
      </c>
      <c r="R4153" t="s">
        <v>79233</v>
      </c>
      <c r="S4153" t="s">
        <v>79234</v>
      </c>
      <c r="T4153" t="s">
        <v>79235</v>
      </c>
      <c r="U4153" t="s">
        <v>79236</v>
      </c>
      <c r="V4153">
        <f>-613.790186876477 -59.1362353543318 -94.0173705092994</f>
        <v>-766.94379274010828</v>
      </c>
      <c r="W4153" t="s">
        <v>79237</v>
      </c>
      <c r="X4153" t="s">
        <v>79238</v>
      </c>
      <c r="Y4153" t="s">
        <v>79239</v>
      </c>
    </row>
    <row r="4154" spans="1:25" x14ac:dyDescent="0.3">
      <c r="A4154">
        <v>207650</v>
      </c>
      <c r="B4154" t="s">
        <v>79240</v>
      </c>
      <c r="C4154" t="s">
        <v>79241</v>
      </c>
      <c r="D4154" t="s">
        <v>79242</v>
      </c>
      <c r="E4154" t="s">
        <v>79243</v>
      </c>
      <c r="F4154" t="s">
        <v>79244</v>
      </c>
      <c r="G4154" t="s">
        <v>79245</v>
      </c>
      <c r="H4154" t="s">
        <v>79246</v>
      </c>
      <c r="I4154" t="s">
        <v>79247</v>
      </c>
      <c r="J4154" t="s">
        <v>79248</v>
      </c>
      <c r="K4154" t="s">
        <v>79249</v>
      </c>
      <c r="L4154" t="s">
        <v>79250</v>
      </c>
      <c r="M4154" t="s">
        <v>79251</v>
      </c>
      <c r="N4154">
        <f>-662.799801036982 -11.4467690405522 -530.145070042469</f>
        <v>-1204.3916401200031</v>
      </c>
      <c r="O4154">
        <f>-667.071684720205 -163.955403032869 -497.555634709177</f>
        <v>-1328.582722462251</v>
      </c>
      <c r="P4154">
        <f>-696.87984069728 -195.477093467372 -218.814844127944</f>
        <v>-1111.1717782925959</v>
      </c>
      <c r="Q4154">
        <f>-487.586996058347 -109.354871209864 -271.04472103735</f>
        <v>-867.98658830556099</v>
      </c>
      <c r="R4154" t="s">
        <v>79252</v>
      </c>
      <c r="S4154" t="s">
        <v>79253</v>
      </c>
      <c r="T4154" t="s">
        <v>79254</v>
      </c>
      <c r="U4154" t="s">
        <v>79255</v>
      </c>
      <c r="V4154">
        <f>-613.892986698973 -59.3425509229758 -93.9819230463955</f>
        <v>-767.2174606683443</v>
      </c>
      <c r="W4154" t="s">
        <v>79256</v>
      </c>
      <c r="X4154" t="s">
        <v>79257</v>
      </c>
      <c r="Y4154" t="s">
        <v>79258</v>
      </c>
    </row>
    <row r="4155" spans="1:25" x14ac:dyDescent="0.3">
      <c r="A4155">
        <v>207700</v>
      </c>
      <c r="B4155" t="s">
        <v>79259</v>
      </c>
      <c r="C4155" t="s">
        <v>79260</v>
      </c>
      <c r="D4155" t="s">
        <v>79261</v>
      </c>
      <c r="E4155" t="s">
        <v>79262</v>
      </c>
      <c r="F4155" t="s">
        <v>79263</v>
      </c>
      <c r="G4155" t="s">
        <v>79264</v>
      </c>
      <c r="H4155" t="s">
        <v>79265</v>
      </c>
      <c r="I4155" t="s">
        <v>79266</v>
      </c>
      <c r="J4155" t="s">
        <v>79267</v>
      </c>
      <c r="K4155" t="s">
        <v>79268</v>
      </c>
      <c r="L4155" t="s">
        <v>79269</v>
      </c>
      <c r="M4155" t="s">
        <v>79270</v>
      </c>
      <c r="N4155">
        <f>-664.232563240019 -11.5054779155982 -529.927528373076</f>
        <v>-1205.6655695286931</v>
      </c>
      <c r="O4155">
        <f>-668.706650820144 -163.873482333205 -496.759231716423</f>
        <v>-1329.339364869772</v>
      </c>
      <c r="P4155">
        <f>-697.500019935971 -194.635949344318 -217.826850491051</f>
        <v>-1109.96281977134</v>
      </c>
      <c r="Q4155">
        <f>-488.214066838663 -109.130340815792 -271.087670955922</f>
        <v>-868.43207861037695</v>
      </c>
      <c r="R4155" t="s">
        <v>79271</v>
      </c>
      <c r="S4155" t="s">
        <v>79272</v>
      </c>
      <c r="T4155" t="s">
        <v>79273</v>
      </c>
      <c r="U4155" t="s">
        <v>79274</v>
      </c>
      <c r="V4155">
        <f>-613.77243322329 -59.4733249987964 -93.9108561161729</f>
        <v>-767.15661433825937</v>
      </c>
      <c r="W4155" t="s">
        <v>79275</v>
      </c>
      <c r="X4155" t="s">
        <v>79276</v>
      </c>
      <c r="Y4155" t="s">
        <v>79277</v>
      </c>
    </row>
    <row r="4156" spans="1:25" x14ac:dyDescent="0.3">
      <c r="A4156">
        <v>207750</v>
      </c>
      <c r="B4156" t="s">
        <v>79278</v>
      </c>
      <c r="C4156" t="s">
        <v>79279</v>
      </c>
      <c r="D4156" t="s">
        <v>79280</v>
      </c>
      <c r="E4156" t="s">
        <v>79281</v>
      </c>
      <c r="F4156" t="s">
        <v>79282</v>
      </c>
      <c r="G4156" t="s">
        <v>79283</v>
      </c>
      <c r="H4156" t="s">
        <v>79284</v>
      </c>
      <c r="I4156" t="s">
        <v>79285</v>
      </c>
      <c r="J4156" t="s">
        <v>79286</v>
      </c>
      <c r="K4156" t="s">
        <v>79287</v>
      </c>
      <c r="L4156" t="s">
        <v>79288</v>
      </c>
      <c r="M4156" t="s">
        <v>79289</v>
      </c>
      <c r="N4156">
        <f>-665.686826670953 -11.6565121190297 -529.61400167069</f>
        <v>-1206.9573404606726</v>
      </c>
      <c r="O4156">
        <f>-670.328914308823 -163.883795878413 -495.808294494395</f>
        <v>-1330.021004681631</v>
      </c>
      <c r="P4156">
        <f>-698.090817420063 -193.351345724461 -216.631760712927</f>
        <v>-1108.0739238574511</v>
      </c>
      <c r="Q4156">
        <f>-488.766455710802 -108.801455533007 -271.249772999654</f>
        <v>-868.81768424346296</v>
      </c>
      <c r="R4156" t="s">
        <v>79290</v>
      </c>
      <c r="S4156" t="s">
        <v>79291</v>
      </c>
      <c r="T4156" t="s">
        <v>79292</v>
      </c>
      <c r="U4156" t="s">
        <v>79293</v>
      </c>
      <c r="V4156">
        <f>-613.425733288114 -59.6245649058565 -93.8094987999583</f>
        <v>-766.85979699392874</v>
      </c>
      <c r="W4156" t="s">
        <v>79294</v>
      </c>
      <c r="X4156" t="s">
        <v>79295</v>
      </c>
      <c r="Y4156" t="s">
        <v>79296</v>
      </c>
    </row>
    <row r="4157" spans="1:25" x14ac:dyDescent="0.3">
      <c r="A4157">
        <v>207800</v>
      </c>
      <c r="B4157" t="s">
        <v>79297</v>
      </c>
      <c r="C4157" t="s">
        <v>79298</v>
      </c>
      <c r="D4157" t="s">
        <v>79299</v>
      </c>
      <c r="E4157" t="s">
        <v>79300</v>
      </c>
      <c r="F4157" t="s">
        <v>79301</v>
      </c>
      <c r="G4157" t="s">
        <v>79302</v>
      </c>
      <c r="H4157" t="s">
        <v>79303</v>
      </c>
      <c r="I4157" t="s">
        <v>79304</v>
      </c>
      <c r="J4157" t="s">
        <v>79305</v>
      </c>
      <c r="K4157" t="s">
        <v>79306</v>
      </c>
      <c r="L4157" t="s">
        <v>79307</v>
      </c>
      <c r="M4157" t="s">
        <v>79308</v>
      </c>
      <c r="N4157">
        <f>-668.151818440598 -12.3414029812022 -528.842329390487</f>
        <v>-1209.3355508122872</v>
      </c>
      <c r="O4157">
        <f>-672.835354345351 -164.300289862616 -493.879050160332</f>
        <v>-1331.0146943682989</v>
      </c>
      <c r="P4157">
        <f>-698.980048604312 -190.835163607699 -214.252579691188</f>
        <v>-1104.0677919031989</v>
      </c>
      <c r="Q4157">
        <f>-489.722251655193 -107.937500236606 -271.591180630369</f>
        <v>-869.25093252216811</v>
      </c>
      <c r="R4157" t="s">
        <v>79309</v>
      </c>
      <c r="S4157" t="s">
        <v>79310</v>
      </c>
      <c r="T4157" t="s">
        <v>79311</v>
      </c>
      <c r="U4157" t="s">
        <v>79312</v>
      </c>
      <c r="V4157">
        <f>-612.701115472438 -59.8055123825613 -93.530874303735</f>
        <v>-766.03750215873436</v>
      </c>
      <c r="W4157" t="s">
        <v>79313</v>
      </c>
      <c r="X4157" t="s">
        <v>79314</v>
      </c>
      <c r="Y4157" t="s">
        <v>79315</v>
      </c>
    </row>
    <row r="4158" spans="1:25" x14ac:dyDescent="0.3">
      <c r="A4158">
        <v>207850</v>
      </c>
      <c r="B4158" t="s">
        <v>79316</v>
      </c>
      <c r="C4158" t="s">
        <v>79317</v>
      </c>
      <c r="D4158" t="s">
        <v>79318</v>
      </c>
      <c r="E4158" t="s">
        <v>79319</v>
      </c>
      <c r="F4158" t="s">
        <v>79320</v>
      </c>
      <c r="G4158" t="s">
        <v>79321</v>
      </c>
      <c r="H4158" t="s">
        <v>79322</v>
      </c>
      <c r="I4158" t="s">
        <v>79323</v>
      </c>
      <c r="J4158" t="s">
        <v>79324</v>
      </c>
      <c r="K4158" t="s">
        <v>79325</v>
      </c>
      <c r="L4158" t="s">
        <v>79326</v>
      </c>
      <c r="M4158" t="s">
        <v>79327</v>
      </c>
      <c r="N4158">
        <f>-668.502298299561 -12.6657762568907 -528.520620988598</f>
        <v>-1209.6886955450495</v>
      </c>
      <c r="O4158">
        <f>-673.291437070413 -164.518653611124 -493.070325189917</f>
        <v>-1330.880415871454</v>
      </c>
      <c r="P4158">
        <f>-699.003894292209 -190.221511133963 -213.326054331312</f>
        <v>-1102.5514597574841</v>
      </c>
      <c r="Q4158">
        <f>-489.935714345346 -107.62257776256 -271.776636304112</f>
        <v>-869.33492841201803</v>
      </c>
      <c r="R4158" t="s">
        <v>79328</v>
      </c>
      <c r="S4158" t="s">
        <v>79329</v>
      </c>
      <c r="T4158" t="s">
        <v>79330</v>
      </c>
      <c r="U4158" t="s">
        <v>79331</v>
      </c>
      <c r="V4158">
        <f>-612.219954356596 -59.6629307240489 -93.4116982050797</f>
        <v>-765.29458328572457</v>
      </c>
      <c r="W4158" t="s">
        <v>79332</v>
      </c>
      <c r="X4158" t="s">
        <v>79333</v>
      </c>
      <c r="Y4158" t="s">
        <v>79334</v>
      </c>
    </row>
    <row r="4159" spans="1:25" x14ac:dyDescent="0.3">
      <c r="A4159">
        <v>207900</v>
      </c>
      <c r="B4159" t="s">
        <v>79335</v>
      </c>
      <c r="C4159" t="s">
        <v>79336</v>
      </c>
      <c r="D4159" t="s">
        <v>79337</v>
      </c>
      <c r="E4159" t="s">
        <v>79338</v>
      </c>
      <c r="F4159" t="s">
        <v>79339</v>
      </c>
      <c r="G4159" t="s">
        <v>79340</v>
      </c>
      <c r="H4159" t="s">
        <v>79341</v>
      </c>
      <c r="I4159" t="s">
        <v>79342</v>
      </c>
      <c r="J4159" t="s">
        <v>79343</v>
      </c>
      <c r="K4159" t="s">
        <v>79344</v>
      </c>
      <c r="L4159" t="s">
        <v>79345</v>
      </c>
      <c r="M4159" t="s">
        <v>79346</v>
      </c>
      <c r="N4159">
        <f>-668.97444993239 -12.810392113043 -528.141379841479</f>
        <v>-1209.9262218869121</v>
      </c>
      <c r="O4159">
        <f>-673.281672254451 -164.604463379507 -492.429319767564</f>
        <v>-1330.3154554015221</v>
      </c>
      <c r="P4159">
        <f>-699.443895944145 -189.815405763841 -212.682074774495</f>
        <v>-1101.941376482481</v>
      </c>
      <c r="Q4159">
        <f>-490.652507743117 -107.04680347464 -271.876952722715</f>
        <v>-869.57626394047202</v>
      </c>
      <c r="R4159" t="s">
        <v>79347</v>
      </c>
      <c r="S4159" t="s">
        <v>79348</v>
      </c>
      <c r="T4159" t="s">
        <v>79349</v>
      </c>
      <c r="U4159" t="s">
        <v>79350</v>
      </c>
      <c r="V4159">
        <f>-611.366585634685 -59.4776058336386 -93.1456588326276</f>
        <v>-763.98985030095116</v>
      </c>
      <c r="W4159" t="s">
        <v>79351</v>
      </c>
      <c r="X4159" t="s">
        <v>79352</v>
      </c>
      <c r="Y4159" t="s">
        <v>79353</v>
      </c>
    </row>
    <row r="4160" spans="1:25" x14ac:dyDescent="0.3">
      <c r="A4160">
        <v>207950</v>
      </c>
      <c r="B4160" t="s">
        <v>79354</v>
      </c>
      <c r="C4160" t="s">
        <v>79355</v>
      </c>
      <c r="D4160" t="s">
        <v>79356</v>
      </c>
      <c r="E4160" t="s">
        <v>79357</v>
      </c>
      <c r="F4160" t="s">
        <v>79358</v>
      </c>
      <c r="G4160" t="s">
        <v>79359</v>
      </c>
      <c r="H4160" t="s">
        <v>79360</v>
      </c>
      <c r="I4160" t="s">
        <v>79361</v>
      </c>
      <c r="J4160" t="s">
        <v>79362</v>
      </c>
      <c r="K4160" t="s">
        <v>79363</v>
      </c>
      <c r="L4160" t="s">
        <v>79364</v>
      </c>
      <c r="M4160" t="s">
        <v>79365</v>
      </c>
      <c r="N4160">
        <f>-669.070811258685 -12.996363904321 -528.019111191679</f>
        <v>-1210.0862863546849</v>
      </c>
      <c r="O4160">
        <f>-673.038044550287 -164.799059344464 -492.317987554819</f>
        <v>-1330.1550914495701</v>
      </c>
      <c r="P4160">
        <f>-699.201698421451 -190.523761457093 -212.617530622951</f>
        <v>-1102.342990501495</v>
      </c>
      <c r="Q4160">
        <f>-490.552299921569 -107.26180250317 -271.620824458964</f>
        <v>-869.43492688370293</v>
      </c>
      <c r="R4160" t="s">
        <v>79366</v>
      </c>
      <c r="S4160" t="s">
        <v>79367</v>
      </c>
      <c r="T4160" t="s">
        <v>79368</v>
      </c>
      <c r="U4160" t="s">
        <v>79369</v>
      </c>
      <c r="V4160">
        <f>-610.932161872039 -59.4285396062871 -93.0471862006738</f>
        <v>-763.40788767899994</v>
      </c>
      <c r="W4160" t="s">
        <v>79370</v>
      </c>
      <c r="X4160" t="s">
        <v>79371</v>
      </c>
      <c r="Y4160" t="s">
        <v>79372</v>
      </c>
    </row>
    <row r="4161" spans="1:25" x14ac:dyDescent="0.3">
      <c r="A4161">
        <v>208000</v>
      </c>
      <c r="B4161" t="s">
        <v>79373</v>
      </c>
      <c r="C4161" t="s">
        <v>79374</v>
      </c>
      <c r="D4161" t="s">
        <v>79375</v>
      </c>
      <c r="E4161" t="s">
        <v>79376</v>
      </c>
      <c r="F4161" t="s">
        <v>79377</v>
      </c>
      <c r="G4161" t="s">
        <v>79378</v>
      </c>
      <c r="H4161" t="s">
        <v>79379</v>
      </c>
      <c r="I4161" t="s">
        <v>79380</v>
      </c>
      <c r="J4161" t="s">
        <v>79381</v>
      </c>
      <c r="K4161" t="s">
        <v>79382</v>
      </c>
      <c r="L4161" t="s">
        <v>79383</v>
      </c>
      <c r="M4161" t="s">
        <v>79384</v>
      </c>
      <c r="N4161">
        <f>-668.953706191352 -13.2127996744812 -527.888163067641</f>
        <v>-1210.0546689334742</v>
      </c>
      <c r="O4161">
        <f>-671.802706749377 -165.071845422493 -492.280940950935</f>
        <v>-1329.155493122805</v>
      </c>
      <c r="P4161">
        <f>-697.902304913696 -191.7575289506 -212.664704948741</f>
        <v>-1102.324538813037</v>
      </c>
      <c r="Q4161">
        <f>-489.51883252572 -107.436488862651 -271.101023958523</f>
        <v>-868.05634534689398</v>
      </c>
      <c r="R4161" t="s">
        <v>79385</v>
      </c>
      <c r="S4161" t="s">
        <v>79386</v>
      </c>
      <c r="T4161" t="s">
        <v>79387</v>
      </c>
      <c r="U4161" t="s">
        <v>79388</v>
      </c>
      <c r="V4161">
        <f>-610.112990333536 -59.2659930039749 -92.9905859588736</f>
        <v>-762.3695692963845</v>
      </c>
      <c r="W4161" t="s">
        <v>79389</v>
      </c>
      <c r="X4161" t="s">
        <v>79390</v>
      </c>
      <c r="Y4161" t="s">
        <v>79391</v>
      </c>
    </row>
    <row r="4162" spans="1:25" x14ac:dyDescent="0.3">
      <c r="A4162">
        <v>208050</v>
      </c>
      <c r="B4162" t="s">
        <v>79392</v>
      </c>
      <c r="C4162" t="s">
        <v>79393</v>
      </c>
      <c r="D4162" t="s">
        <v>79394</v>
      </c>
      <c r="E4162" t="s">
        <v>79395</v>
      </c>
      <c r="F4162" t="s">
        <v>79396</v>
      </c>
      <c r="G4162" t="s">
        <v>79397</v>
      </c>
      <c r="H4162" t="s">
        <v>79398</v>
      </c>
      <c r="I4162" t="s">
        <v>79399</v>
      </c>
      <c r="J4162" t="s">
        <v>79400</v>
      </c>
      <c r="K4162" t="s">
        <v>79401</v>
      </c>
      <c r="L4162" t="s">
        <v>79402</v>
      </c>
      <c r="M4162" t="s">
        <v>79403</v>
      </c>
      <c r="N4162">
        <f>-668.83575596739 -13.4599799588348 -527.960658650654</f>
        <v>-1210.2563945768788</v>
      </c>
      <c r="O4162">
        <f>-670.990408538196 -165.372346007665 -492.543907475757</f>
        <v>-1328.9066620216181</v>
      </c>
      <c r="P4162">
        <f>-696.334187531273 -192.209336051553 -212.872558544117</f>
        <v>-1101.4160821269429</v>
      </c>
      <c r="Q4162">
        <f>-488.400313120224 -106.796816172875 -271.325555429814</f>
        <v>-866.52268472291303</v>
      </c>
      <c r="R4162" t="s">
        <v>79404</v>
      </c>
      <c r="S4162" t="s">
        <v>79405</v>
      </c>
      <c r="T4162" t="s">
        <v>79406</v>
      </c>
      <c r="U4162" t="s">
        <v>79407</v>
      </c>
      <c r="V4162">
        <f>-609.578108440137 -59.5285866841245 -93.0558310990631</f>
        <v>-762.16252622332468</v>
      </c>
      <c r="W4162" t="s">
        <v>79408</v>
      </c>
      <c r="X4162" t="s">
        <v>79409</v>
      </c>
      <c r="Y4162" t="s">
        <v>79410</v>
      </c>
    </row>
    <row r="4163" spans="1:25" x14ac:dyDescent="0.3">
      <c r="A4163">
        <v>208100</v>
      </c>
      <c r="B4163" t="s">
        <v>79411</v>
      </c>
      <c r="C4163" t="s">
        <v>79412</v>
      </c>
      <c r="D4163" t="s">
        <v>79413</v>
      </c>
      <c r="E4163" t="s">
        <v>79414</v>
      </c>
      <c r="F4163" t="s">
        <v>79415</v>
      </c>
      <c r="G4163" t="s">
        <v>79416</v>
      </c>
      <c r="H4163" t="s">
        <v>79417</v>
      </c>
      <c r="I4163" t="s">
        <v>79418</v>
      </c>
      <c r="J4163" t="s">
        <v>79419</v>
      </c>
      <c r="K4163" t="s">
        <v>79420</v>
      </c>
      <c r="L4163" t="s">
        <v>79421</v>
      </c>
      <c r="M4163" t="s">
        <v>79422</v>
      </c>
      <c r="N4163">
        <f>-668.715680023743 -13.6578369983065 -528.024902470362</f>
        <v>-1210.3984194924114</v>
      </c>
      <c r="O4163">
        <f>-670.784295315996 -165.610656315391 -492.770716140499</f>
        <v>-1329.1656677718861</v>
      </c>
      <c r="P4163">
        <f>-695.699332965519 -192.379151901436 -213.054441290348</f>
        <v>-1101.132926157303</v>
      </c>
      <c r="Q4163">
        <f>-488.04475051695 -106.543506759943 -271.879316985655</f>
        <v>-866.46757426254806</v>
      </c>
      <c r="R4163" t="s">
        <v>79423</v>
      </c>
      <c r="S4163" t="s">
        <v>79424</v>
      </c>
      <c r="T4163" t="s">
        <v>79425</v>
      </c>
      <c r="U4163" t="s">
        <v>79426</v>
      </c>
      <c r="V4163">
        <f>-609.307201575414 -59.8351126172147 -93.1013107747114</f>
        <v>-762.24362496734</v>
      </c>
      <c r="W4163" t="s">
        <v>79427</v>
      </c>
      <c r="X4163" t="s">
        <v>79428</v>
      </c>
      <c r="Y4163" t="s">
        <v>79429</v>
      </c>
    </row>
    <row r="4164" spans="1:25" x14ac:dyDescent="0.3">
      <c r="A4164">
        <v>208150</v>
      </c>
      <c r="B4164" t="s">
        <v>79430</v>
      </c>
      <c r="C4164" t="s">
        <v>79431</v>
      </c>
      <c r="D4164" t="s">
        <v>79432</v>
      </c>
      <c r="E4164" t="s">
        <v>79433</v>
      </c>
      <c r="F4164" t="s">
        <v>79434</v>
      </c>
      <c r="G4164" t="s">
        <v>79435</v>
      </c>
      <c r="H4164" t="s">
        <v>79436</v>
      </c>
      <c r="I4164" t="s">
        <v>79437</v>
      </c>
      <c r="J4164" t="s">
        <v>79438</v>
      </c>
      <c r="K4164" t="s">
        <v>79439</v>
      </c>
      <c r="L4164" t="s">
        <v>79440</v>
      </c>
      <c r="M4164" t="s">
        <v>79441</v>
      </c>
      <c r="N4164">
        <f>-668.597209174929 -13.7891536345046 -528.108186507792</f>
        <v>-1210.4945493172256</v>
      </c>
      <c r="O4164">
        <f>-670.671893887303 -165.78038849332 -492.992381172762</f>
        <v>-1329.444663553385</v>
      </c>
      <c r="P4164">
        <f>-695.229496947955 -192.482252025193 -213.237929072115</f>
        <v>-1100.949678045263</v>
      </c>
      <c r="Q4164">
        <f>-487.806337251028 -106.421746285741 -272.548443537262</f>
        <v>-866.77652707403104</v>
      </c>
      <c r="R4164" t="s">
        <v>79442</v>
      </c>
      <c r="S4164" t="s">
        <v>79443</v>
      </c>
      <c r="T4164" t="s">
        <v>79444</v>
      </c>
      <c r="U4164" t="s">
        <v>79445</v>
      </c>
      <c r="V4164">
        <f>-609.0407063936 -60.0639593092787 -93.1586125624185</f>
        <v>-762.26327826529723</v>
      </c>
      <c r="W4164" t="s">
        <v>79446</v>
      </c>
      <c r="X4164" t="s">
        <v>79447</v>
      </c>
      <c r="Y4164" t="s">
        <v>79448</v>
      </c>
    </row>
    <row r="4165" spans="1:25" x14ac:dyDescent="0.3">
      <c r="A4165">
        <v>208200</v>
      </c>
      <c r="B4165" t="s">
        <v>79449</v>
      </c>
      <c r="C4165" t="s">
        <v>79450</v>
      </c>
      <c r="D4165" t="s">
        <v>79451</v>
      </c>
      <c r="E4165" t="s">
        <v>79452</v>
      </c>
      <c r="F4165" t="s">
        <v>79453</v>
      </c>
      <c r="G4165" t="s">
        <v>79454</v>
      </c>
      <c r="H4165" t="s">
        <v>79455</v>
      </c>
      <c r="I4165" t="s">
        <v>79456</v>
      </c>
      <c r="J4165" t="s">
        <v>79457</v>
      </c>
      <c r="K4165" t="s">
        <v>79458</v>
      </c>
      <c r="L4165" t="s">
        <v>79459</v>
      </c>
      <c r="M4165" t="s">
        <v>79460</v>
      </c>
      <c r="N4165">
        <f>-668.08519813652 -14.0236704053659 -528.237646283093</f>
        <v>-1210.3465148249788</v>
      </c>
      <c r="O4165">
        <f>-670.361977463829 -166.052999249084 -493.317647476412</f>
        <v>-1329.732624189325</v>
      </c>
      <c r="P4165">
        <f>-694.430593381268 -192.934298334915 -213.537903040093</f>
        <v>-1100.9027947562759</v>
      </c>
      <c r="Q4165">
        <f>-487.225522304385 -106.85118356247 -273.5737027515</f>
        <v>-867.65040861835496</v>
      </c>
      <c r="R4165" t="s">
        <v>79461</v>
      </c>
      <c r="S4165" t="s">
        <v>79462</v>
      </c>
      <c r="T4165" t="s">
        <v>79463</v>
      </c>
      <c r="U4165" t="s">
        <v>79464</v>
      </c>
      <c r="V4165">
        <f>-608.288787754207 -60.6339237789966 -93.2563159125626</f>
        <v>-762.17902744576622</v>
      </c>
      <c r="W4165" t="s">
        <v>79465</v>
      </c>
      <c r="X4165" t="s">
        <v>79466</v>
      </c>
      <c r="Y4165" t="s">
        <v>79467</v>
      </c>
    </row>
    <row r="4166" spans="1:25" x14ac:dyDescent="0.3">
      <c r="A4166">
        <v>208250</v>
      </c>
      <c r="B4166" t="s">
        <v>79468</v>
      </c>
      <c r="C4166" t="s">
        <v>79469</v>
      </c>
      <c r="D4166" t="s">
        <v>79470</v>
      </c>
      <c r="E4166" t="s">
        <v>79471</v>
      </c>
      <c r="F4166" t="s">
        <v>79472</v>
      </c>
      <c r="G4166" t="s">
        <v>79473</v>
      </c>
      <c r="H4166" t="s">
        <v>79474</v>
      </c>
      <c r="I4166" t="s">
        <v>79475</v>
      </c>
      <c r="J4166" t="s">
        <v>79476</v>
      </c>
      <c r="K4166" t="s">
        <v>79477</v>
      </c>
      <c r="L4166" t="s">
        <v>79478</v>
      </c>
      <c r="M4166" t="s">
        <v>79479</v>
      </c>
      <c r="N4166">
        <f>-667.788424028265 -14.1797763897962 -528.264243124472</f>
        <v>-1210.2324435425332</v>
      </c>
      <c r="O4166">
        <f>-670.244346845724 -166.222844045105 -493.413768067712</f>
        <v>-1329.880958958541</v>
      </c>
      <c r="P4166">
        <f>-694.167987367103 -193.202719032638 -213.631062642473</f>
        <v>-1101.0017690422142</v>
      </c>
      <c r="Q4166">
        <f>-486.902731792925 -107.385826533786 -273.83975113815</f>
        <v>-868.1283094648611</v>
      </c>
      <c r="R4166" t="s">
        <v>79480</v>
      </c>
      <c r="S4166" t="s">
        <v>79481</v>
      </c>
      <c r="T4166" t="s">
        <v>79482</v>
      </c>
      <c r="U4166" t="s">
        <v>79483</v>
      </c>
      <c r="V4166">
        <f>-607.842703904352 -60.914890503213 -93.2776288295471</f>
        <v>-762.03522323711206</v>
      </c>
      <c r="W4166" t="s">
        <v>79484</v>
      </c>
      <c r="X4166" t="s">
        <v>79485</v>
      </c>
      <c r="Y4166" t="s">
        <v>79486</v>
      </c>
    </row>
    <row r="4167" spans="1:25" x14ac:dyDescent="0.3">
      <c r="A4167">
        <v>208300</v>
      </c>
      <c r="B4167" t="s">
        <v>79487</v>
      </c>
      <c r="C4167" t="s">
        <v>79488</v>
      </c>
      <c r="D4167" t="s">
        <v>79489</v>
      </c>
      <c r="E4167" t="s">
        <v>79490</v>
      </c>
      <c r="F4167" t="s">
        <v>79491</v>
      </c>
      <c r="G4167" t="s">
        <v>79492</v>
      </c>
      <c r="H4167" t="s">
        <v>79493</v>
      </c>
      <c r="I4167" t="s">
        <v>79494</v>
      </c>
      <c r="J4167" t="s">
        <v>79495</v>
      </c>
      <c r="K4167" t="s">
        <v>79496</v>
      </c>
      <c r="L4167" t="s">
        <v>79497</v>
      </c>
      <c r="M4167" t="s">
        <v>79498</v>
      </c>
      <c r="N4167">
        <f>-667.417911786105 -14.3713320079005 -528.31478812614</f>
        <v>-1210.1040319201456</v>
      </c>
      <c r="O4167">
        <f>-670.569041240816 -166.429530412235 -493.587490654335</f>
        <v>-1330.5860623073859</v>
      </c>
      <c r="P4167">
        <f>-694.48060817359 -193.567807660729 -213.819178610888</f>
        <v>-1101.867594445207</v>
      </c>
      <c r="Q4167">
        <f>-486.767183218485 -108.832051865544 -274.015179425457</f>
        <v>-869.6144145094861</v>
      </c>
      <c r="R4167" t="s">
        <v>79499</v>
      </c>
      <c r="S4167" t="s">
        <v>79500</v>
      </c>
      <c r="T4167" t="s">
        <v>79501</v>
      </c>
      <c r="U4167" t="s">
        <v>79502</v>
      </c>
      <c r="V4167">
        <f>-606.952271211492 -61.5306083681123 -93.3069683788663</f>
        <v>-761.78984795847055</v>
      </c>
      <c r="W4167" t="s">
        <v>79503</v>
      </c>
      <c r="X4167" t="s">
        <v>79504</v>
      </c>
      <c r="Y4167" t="s">
        <v>79505</v>
      </c>
    </row>
    <row r="4168" spans="1:25" x14ac:dyDescent="0.3">
      <c r="A4168">
        <v>208350</v>
      </c>
      <c r="B4168" t="s">
        <v>79506</v>
      </c>
      <c r="C4168" t="s">
        <v>79507</v>
      </c>
      <c r="D4168" t="s">
        <v>79508</v>
      </c>
      <c r="E4168" t="s">
        <v>79509</v>
      </c>
      <c r="F4168" t="s">
        <v>79510</v>
      </c>
      <c r="G4168" t="s">
        <v>79511</v>
      </c>
      <c r="H4168" t="s">
        <v>79512</v>
      </c>
      <c r="I4168" t="s">
        <v>79513</v>
      </c>
      <c r="J4168" t="s">
        <v>79514</v>
      </c>
      <c r="K4168" t="s">
        <v>79515</v>
      </c>
      <c r="L4168" t="s">
        <v>79516</v>
      </c>
      <c r="M4168" t="s">
        <v>79517</v>
      </c>
      <c r="N4168">
        <f>-667.079593045968 -14.513995982669 -528.34206515856</f>
        <v>-1209.9356541871971</v>
      </c>
      <c r="O4168">
        <f>-670.779872801624 -166.577414225898 -493.6967397676</f>
        <v>-1331.0540267951219</v>
      </c>
      <c r="P4168">
        <f>-694.892712506707 -193.688391523468 -213.942954184984</f>
        <v>-1102.5240582151589</v>
      </c>
      <c r="Q4168">
        <f>-486.796904174848 -109.873347864166 -274.10662538829</f>
        <v>-870.77687742730404</v>
      </c>
      <c r="R4168" t="s">
        <v>79518</v>
      </c>
      <c r="S4168" t="s">
        <v>79519</v>
      </c>
      <c r="T4168" t="s">
        <v>79520</v>
      </c>
      <c r="U4168" t="s">
        <v>79521</v>
      </c>
      <c r="V4168">
        <f>-606.541088662592 -61.8892782285213 -93.3211328747644</f>
        <v>-761.75149976587772</v>
      </c>
      <c r="W4168" t="s">
        <v>79522</v>
      </c>
      <c r="X4168" t="s">
        <v>79523</v>
      </c>
      <c r="Y4168" t="s">
        <v>79524</v>
      </c>
    </row>
    <row r="4169" spans="1:25" x14ac:dyDescent="0.3">
      <c r="A4169">
        <v>208400</v>
      </c>
      <c r="B4169" t="s">
        <v>79525</v>
      </c>
      <c r="C4169" t="s">
        <v>79526</v>
      </c>
      <c r="D4169" t="s">
        <v>79527</v>
      </c>
      <c r="E4169" t="s">
        <v>79528</v>
      </c>
      <c r="F4169" t="s">
        <v>79529</v>
      </c>
      <c r="G4169" t="s">
        <v>79530</v>
      </c>
      <c r="H4169" t="s">
        <v>79531</v>
      </c>
      <c r="I4169" t="s">
        <v>79532</v>
      </c>
      <c r="J4169" t="s">
        <v>79533</v>
      </c>
      <c r="K4169" t="s">
        <v>79534</v>
      </c>
      <c r="L4169" t="s">
        <v>79535</v>
      </c>
      <c r="M4169" t="s">
        <v>79536</v>
      </c>
      <c r="N4169">
        <f>-666.27979229373 -14.8126971708145 -528.391677158432</f>
        <v>-1209.4841666229765</v>
      </c>
      <c r="O4169">
        <f>-671.194726708146 -166.859350074921 -493.818435205519</f>
        <v>-1331.8725119885862</v>
      </c>
      <c r="P4169">
        <f>-696.184620041632 -193.595436419196 -214.105589683199</f>
        <v>-1103.8856461440271</v>
      </c>
      <c r="Q4169">
        <f>-487.074414123903 -112.369509887292 -274.303934964892</f>
        <v>-873.74785897608695</v>
      </c>
      <c r="R4169" t="s">
        <v>79537</v>
      </c>
      <c r="S4169" t="s">
        <v>79538</v>
      </c>
      <c r="T4169" t="s">
        <v>79539</v>
      </c>
      <c r="U4169" t="s">
        <v>79540</v>
      </c>
      <c r="V4169">
        <f>-605.928811921202 -62.5598330669957 -93.3508382128631</f>
        <v>-761.83948320106083</v>
      </c>
      <c r="W4169" t="s">
        <v>79541</v>
      </c>
      <c r="X4169" t="s">
        <v>79542</v>
      </c>
      <c r="Y4169" t="s">
        <v>79543</v>
      </c>
    </row>
    <row r="4170" spans="1:25" x14ac:dyDescent="0.3">
      <c r="A4170">
        <v>208450</v>
      </c>
      <c r="B4170" t="s">
        <v>79544</v>
      </c>
      <c r="C4170" t="s">
        <v>79545</v>
      </c>
      <c r="D4170" t="s">
        <v>79546</v>
      </c>
      <c r="E4170" t="s">
        <v>79547</v>
      </c>
      <c r="F4170" t="s">
        <v>79548</v>
      </c>
      <c r="G4170" t="s">
        <v>79549</v>
      </c>
      <c r="H4170" t="s">
        <v>79550</v>
      </c>
      <c r="I4170" t="s">
        <v>79551</v>
      </c>
      <c r="J4170" t="s">
        <v>79552</v>
      </c>
      <c r="K4170" t="s">
        <v>79553</v>
      </c>
      <c r="L4170" t="s">
        <v>79554</v>
      </c>
      <c r="M4170" t="s">
        <v>79555</v>
      </c>
      <c r="N4170">
        <f>-665.967542200845 -15.1075793605305 -528.425323609719</f>
        <v>-1209.5004451710945</v>
      </c>
      <c r="O4170">
        <f>-671.515183293076 -167.127573817665 -493.839665515083</f>
        <v>-1332.482422625824</v>
      </c>
      <c r="P4170">
        <f>-697.037400503996 -193.564785887568 -214.146549472069</f>
        <v>-1104.7487358636329</v>
      </c>
      <c r="Q4170">
        <f>-487.282994875072 -113.990350355133 -274.309005338959</f>
        <v>-875.58235056916396</v>
      </c>
      <c r="R4170" t="s">
        <v>79556</v>
      </c>
      <c r="S4170" t="s">
        <v>79557</v>
      </c>
      <c r="T4170" t="s">
        <v>79558</v>
      </c>
      <c r="U4170" t="s">
        <v>79559</v>
      </c>
      <c r="V4170">
        <f>-605.791936967557 -62.9865409324325 -93.3681130501665</f>
        <v>-762.146590950156</v>
      </c>
      <c r="W4170" t="s">
        <v>79560</v>
      </c>
      <c r="X4170" t="s">
        <v>79561</v>
      </c>
      <c r="Y4170" t="s">
        <v>79562</v>
      </c>
    </row>
    <row r="4171" spans="1:25" x14ac:dyDescent="0.3">
      <c r="A4171">
        <v>208500</v>
      </c>
      <c r="B4171" t="s">
        <v>79563</v>
      </c>
      <c r="C4171" t="s">
        <v>79564</v>
      </c>
      <c r="D4171" t="s">
        <v>79565</v>
      </c>
      <c r="E4171" t="s">
        <v>79566</v>
      </c>
      <c r="F4171" t="s">
        <v>79567</v>
      </c>
      <c r="G4171" t="s">
        <v>79568</v>
      </c>
      <c r="H4171" t="s">
        <v>79569</v>
      </c>
      <c r="I4171" t="s">
        <v>79570</v>
      </c>
      <c r="J4171" t="s">
        <v>79571</v>
      </c>
      <c r="K4171" t="s">
        <v>79572</v>
      </c>
      <c r="L4171" t="s">
        <v>79573</v>
      </c>
      <c r="M4171" t="s">
        <v>79574</v>
      </c>
      <c r="N4171">
        <f>-665.326323086103 -15.628800750437 -528.532994520215</f>
        <v>-1209.488118356755</v>
      </c>
      <c r="O4171">
        <f>-672.147392377776 -167.597940339409 -493.944156588759</f>
        <v>-1333.6894893059439</v>
      </c>
      <c r="P4171">
        <f>-698.705449880084 -193.504090433056 -214.297575555224</f>
        <v>-1106.5071158683641</v>
      </c>
      <c r="Q4171">
        <f>-487.544023013797 -117.46754104138 -274.11248848385</f>
        <v>-879.12405253902693</v>
      </c>
      <c r="R4171" t="s">
        <v>79575</v>
      </c>
      <c r="S4171" t="s">
        <v>79576</v>
      </c>
      <c r="T4171" t="s">
        <v>79577</v>
      </c>
      <c r="U4171" t="s">
        <v>79578</v>
      </c>
      <c r="V4171">
        <f>-605.753929267427 -63.9842197192456 -93.4212655466201</f>
        <v>-763.15941453329276</v>
      </c>
      <c r="W4171" t="s">
        <v>79579</v>
      </c>
      <c r="X4171" t="s">
        <v>79580</v>
      </c>
      <c r="Y4171" t="s">
        <v>79581</v>
      </c>
    </row>
    <row r="4172" spans="1:25" x14ac:dyDescent="0.3">
      <c r="A4172">
        <v>208550</v>
      </c>
      <c r="B4172" t="s">
        <v>79582</v>
      </c>
      <c r="C4172" t="s">
        <v>79583</v>
      </c>
      <c r="D4172" t="s">
        <v>79584</v>
      </c>
      <c r="E4172" t="s">
        <v>79585</v>
      </c>
      <c r="F4172" t="s">
        <v>79586</v>
      </c>
      <c r="G4172" t="s">
        <v>79587</v>
      </c>
      <c r="H4172" t="s">
        <v>79588</v>
      </c>
      <c r="I4172" t="s">
        <v>79589</v>
      </c>
      <c r="J4172" t="s">
        <v>79590</v>
      </c>
      <c r="K4172" t="s">
        <v>79591</v>
      </c>
      <c r="L4172" t="s">
        <v>79592</v>
      </c>
      <c r="M4172" t="s">
        <v>79593</v>
      </c>
      <c r="N4172">
        <f>-664.870328193918 -15.8602574412596 -528.635891061774</f>
        <v>-1209.3664766969516</v>
      </c>
      <c r="O4172">
        <f>-672.219255708732 -167.810740195233 -494.085633787213</f>
        <v>-1334.1156296911781</v>
      </c>
      <c r="P4172">
        <f>-699.472308218564 -193.670129681407 -214.501680609262</f>
        <v>-1107.6441185092328</v>
      </c>
      <c r="Q4172">
        <f>-487.680228460559 -119.177594083587 -274.029084252152</f>
        <v>-880.88690679629804</v>
      </c>
      <c r="R4172" t="s">
        <v>79594</v>
      </c>
      <c r="S4172" t="s">
        <v>79595</v>
      </c>
      <c r="T4172" t="s">
        <v>79596</v>
      </c>
      <c r="U4172" t="s">
        <v>79597</v>
      </c>
      <c r="V4172">
        <f>-605.854240361895 -64.5235565573216 -93.4605529976225</f>
        <v>-763.83834991683909</v>
      </c>
      <c r="W4172" t="s">
        <v>79598</v>
      </c>
      <c r="X4172" t="s">
        <v>79599</v>
      </c>
      <c r="Y4172" t="s">
        <v>79600</v>
      </c>
    </row>
    <row r="4173" spans="1:25" x14ac:dyDescent="0.3">
      <c r="A4173">
        <v>208600</v>
      </c>
      <c r="B4173" t="s">
        <v>79601</v>
      </c>
      <c r="C4173" t="s">
        <v>79602</v>
      </c>
      <c r="D4173" t="s">
        <v>79603</v>
      </c>
      <c r="E4173" t="s">
        <v>79604</v>
      </c>
      <c r="F4173" t="s">
        <v>79605</v>
      </c>
      <c r="G4173" t="s">
        <v>79606</v>
      </c>
      <c r="H4173" t="s">
        <v>79607</v>
      </c>
      <c r="I4173" t="s">
        <v>79608</v>
      </c>
      <c r="J4173" t="s">
        <v>79609</v>
      </c>
      <c r="K4173" t="s">
        <v>79610</v>
      </c>
      <c r="L4173" t="s">
        <v>79611</v>
      </c>
      <c r="M4173" t="s">
        <v>79612</v>
      </c>
      <c r="N4173">
        <f>-663.634498976616 -16.6760333003031 -528.895335289088</f>
        <v>-1209.2058675660071</v>
      </c>
      <c r="O4173">
        <f>-671.892481366111 -168.608978416031 -494.501045233931</f>
        <v>-1335.002505016073</v>
      </c>
      <c r="P4173">
        <f>-700.68622890714 -194.778608511783 -215.100411558141</f>
        <v>-1110.5652489770641</v>
      </c>
      <c r="Q4173">
        <f>-487.93282953121 -122.498568212225 -273.923301892038</f>
        <v>-884.35469963547303</v>
      </c>
      <c r="R4173" t="s">
        <v>79613</v>
      </c>
      <c r="S4173" t="s">
        <v>79614</v>
      </c>
      <c r="T4173" t="s">
        <v>79615</v>
      </c>
      <c r="U4173" t="s">
        <v>79616</v>
      </c>
      <c r="V4173">
        <f>-606.035293013782 -65.5824164162011 -93.565037091397</f>
        <v>-765.18274652138018</v>
      </c>
      <c r="W4173" t="s">
        <v>79617</v>
      </c>
      <c r="X4173" t="s">
        <v>79618</v>
      </c>
      <c r="Y4173" t="s">
        <v>79619</v>
      </c>
    </row>
    <row r="4174" spans="1:25" x14ac:dyDescent="0.3">
      <c r="A4174">
        <v>208650</v>
      </c>
      <c r="B4174" t="s">
        <v>79620</v>
      </c>
      <c r="C4174" t="s">
        <v>79621</v>
      </c>
      <c r="D4174" t="s">
        <v>79622</v>
      </c>
      <c r="E4174" t="s">
        <v>79623</v>
      </c>
      <c r="F4174" t="s">
        <v>79624</v>
      </c>
      <c r="G4174" t="s">
        <v>79625</v>
      </c>
      <c r="H4174" t="s">
        <v>79626</v>
      </c>
      <c r="I4174" t="s">
        <v>79627</v>
      </c>
      <c r="J4174" t="s">
        <v>79628</v>
      </c>
      <c r="K4174" t="s">
        <v>79629</v>
      </c>
      <c r="L4174" t="s">
        <v>79630</v>
      </c>
      <c r="M4174" t="s">
        <v>79631</v>
      </c>
      <c r="N4174">
        <f>-662.233610645586 -17.7779541063212 -529.171644473133</f>
        <v>-1209.1832092250402</v>
      </c>
      <c r="O4174">
        <f>-671.2523208249 -169.677406668901 -494.797774809323</f>
        <v>-1335.7275023031241</v>
      </c>
      <c r="P4174">
        <f>-701.262275257632 -196.104096119064 -215.549478653243</f>
        <v>-1112.9158500299391</v>
      </c>
      <c r="Q4174">
        <f>-487.895302075582 -125.005534560084 -273.584839574822</f>
        <v>-886.48567621048801</v>
      </c>
      <c r="R4174" t="s">
        <v>79632</v>
      </c>
      <c r="S4174" t="s">
        <v>79633</v>
      </c>
      <c r="T4174" t="s">
        <v>79634</v>
      </c>
      <c r="U4174" t="s">
        <v>79635</v>
      </c>
      <c r="V4174">
        <f>-606.034359968724 -66.6268931978123 -93.6599812448212</f>
        <v>-766.32123441135741</v>
      </c>
      <c r="W4174" t="s">
        <v>79636</v>
      </c>
      <c r="X4174" t="s">
        <v>79637</v>
      </c>
      <c r="Y4174" t="s">
        <v>79638</v>
      </c>
    </row>
    <row r="4175" spans="1:25" x14ac:dyDescent="0.3">
      <c r="A4175">
        <v>208700</v>
      </c>
      <c r="B4175" t="s">
        <v>79639</v>
      </c>
      <c r="C4175" t="s">
        <v>79640</v>
      </c>
      <c r="D4175" t="s">
        <v>79641</v>
      </c>
      <c r="E4175" t="s">
        <v>79642</v>
      </c>
      <c r="F4175" t="s">
        <v>79643</v>
      </c>
      <c r="G4175" t="s">
        <v>79644</v>
      </c>
      <c r="H4175" t="s">
        <v>79645</v>
      </c>
      <c r="I4175" t="s">
        <v>79646</v>
      </c>
      <c r="J4175" t="s">
        <v>79647</v>
      </c>
      <c r="K4175" t="s">
        <v>79648</v>
      </c>
      <c r="L4175" t="s">
        <v>79649</v>
      </c>
      <c r="M4175" t="s">
        <v>79650</v>
      </c>
      <c r="N4175">
        <f>-661.567798410908 -18.377189334916 -529.303683919386</f>
        <v>-1209.2486716652102</v>
      </c>
      <c r="O4175">
        <f>-670.835504603268 -170.265094514642 -494.938012252644</f>
        <v>-1336.038611370554</v>
      </c>
      <c r="P4175">
        <f>-701.349833819705 -196.630367424249 -215.738591681693</f>
        <v>-1113.718792925647</v>
      </c>
      <c r="Q4175">
        <f>-487.775471428468 -125.863361866256 -273.414992306092</f>
        <v>-887.05382560081603</v>
      </c>
      <c r="R4175" t="s">
        <v>79651</v>
      </c>
      <c r="S4175" t="s">
        <v>79652</v>
      </c>
      <c r="T4175" t="s">
        <v>79653</v>
      </c>
      <c r="U4175" t="s">
        <v>79654</v>
      </c>
      <c r="V4175">
        <f>-606.023585697003 -67.1732627233532 -93.6987022697788</f>
        <v>-766.895550690135</v>
      </c>
      <c r="W4175" t="s">
        <v>79655</v>
      </c>
      <c r="X4175" t="s">
        <v>79656</v>
      </c>
      <c r="Y4175" t="s">
        <v>79657</v>
      </c>
    </row>
    <row r="4176" spans="1:25" x14ac:dyDescent="0.3">
      <c r="A4176">
        <v>208750</v>
      </c>
      <c r="B4176" t="s">
        <v>79658</v>
      </c>
      <c r="C4176" t="s">
        <v>79659</v>
      </c>
      <c r="D4176" t="s">
        <v>79660</v>
      </c>
      <c r="E4176" t="s">
        <v>79661</v>
      </c>
      <c r="F4176" t="s">
        <v>79662</v>
      </c>
      <c r="G4176" t="s">
        <v>79663</v>
      </c>
      <c r="H4176" t="s">
        <v>79664</v>
      </c>
      <c r="I4176" t="s">
        <v>79665</v>
      </c>
      <c r="J4176" t="s">
        <v>79666</v>
      </c>
      <c r="K4176" t="s">
        <v>79667</v>
      </c>
      <c r="L4176" t="s">
        <v>79668</v>
      </c>
      <c r="M4176" t="s">
        <v>79669</v>
      </c>
      <c r="N4176">
        <f>-661.035705092675 -19.0075130324892 -529.428214877597</f>
        <v>-1209.4714330027614</v>
      </c>
      <c r="O4176">
        <f>-670.431690831436 -170.891964448401 -495.081237358699</f>
        <v>-1336.404892638536</v>
      </c>
      <c r="P4176">
        <f>-701.381675635024 -197.097363128932 -215.914604182994</f>
        <v>-1114.39364294695</v>
      </c>
      <c r="Q4176">
        <f>-487.671535552961 -126.514059638627 -273.312202876734</f>
        <v>-887.49779806832203</v>
      </c>
      <c r="R4176" t="s">
        <v>79670</v>
      </c>
      <c r="S4176" t="s">
        <v>79671</v>
      </c>
      <c r="T4176" t="s">
        <v>79672</v>
      </c>
      <c r="U4176" t="s">
        <v>79673</v>
      </c>
      <c r="V4176">
        <f>-605.972467476773 -67.7724191317648 -93.7449363281507</f>
        <v>-767.48982293668848</v>
      </c>
      <c r="W4176" t="s">
        <v>79674</v>
      </c>
      <c r="X4176" t="s">
        <v>79675</v>
      </c>
      <c r="Y4176" t="s">
        <v>79676</v>
      </c>
    </row>
    <row r="4177" spans="1:25" x14ac:dyDescent="0.3">
      <c r="A4177">
        <v>208800</v>
      </c>
      <c r="B4177" t="s">
        <v>79677</v>
      </c>
      <c r="C4177" t="s">
        <v>79678</v>
      </c>
      <c r="D4177" t="s">
        <v>79679</v>
      </c>
      <c r="E4177" t="s">
        <v>79680</v>
      </c>
      <c r="F4177" t="s">
        <v>79681</v>
      </c>
      <c r="G4177" t="s">
        <v>79682</v>
      </c>
      <c r="H4177" t="s">
        <v>79683</v>
      </c>
      <c r="I4177" t="s">
        <v>79684</v>
      </c>
      <c r="J4177" t="s">
        <v>79685</v>
      </c>
      <c r="K4177" t="s">
        <v>79686</v>
      </c>
      <c r="L4177" t="s">
        <v>79687</v>
      </c>
      <c r="M4177" t="s">
        <v>79688</v>
      </c>
      <c r="N4177">
        <f>-660.226017326378 -20.2403019017802 -529.64756017701</f>
        <v>-1210.1138794051681</v>
      </c>
      <c r="O4177">
        <f>-669.834877521424 -172.106256231461 -495.24912190999</f>
        <v>-1337.190255662875</v>
      </c>
      <c r="P4177">
        <f>-701.019312862221 -198.285450544967 -216.106092353539</f>
        <v>-1115.4108557607269</v>
      </c>
      <c r="Q4177">
        <f>-487.265238485655 -127.567387387245 -273.173495263255</f>
        <v>-888.00612113615512</v>
      </c>
      <c r="R4177" t="s">
        <v>79689</v>
      </c>
      <c r="S4177" t="s">
        <v>79690</v>
      </c>
      <c r="T4177" t="s">
        <v>79691</v>
      </c>
      <c r="U4177" t="s">
        <v>79692</v>
      </c>
      <c r="V4177">
        <f>-605.946621179405 -68.9231601757124 -93.8352856101159</f>
        <v>-768.7050669652333</v>
      </c>
      <c r="W4177" t="s">
        <v>79693</v>
      </c>
      <c r="X4177" t="s">
        <v>79694</v>
      </c>
      <c r="Y4177" t="s">
        <v>79695</v>
      </c>
    </row>
    <row r="4178" spans="1:25" x14ac:dyDescent="0.3">
      <c r="A4178">
        <v>208850</v>
      </c>
      <c r="B4178" t="s">
        <v>79696</v>
      </c>
      <c r="C4178" t="s">
        <v>79697</v>
      </c>
      <c r="D4178" t="s">
        <v>79698</v>
      </c>
      <c r="E4178" t="s">
        <v>79699</v>
      </c>
      <c r="F4178" t="s">
        <v>79700</v>
      </c>
      <c r="G4178" t="s">
        <v>79701</v>
      </c>
      <c r="H4178" t="s">
        <v>79702</v>
      </c>
      <c r="I4178" t="s">
        <v>79703</v>
      </c>
      <c r="J4178" t="s">
        <v>79704</v>
      </c>
      <c r="K4178" t="s">
        <v>79705</v>
      </c>
      <c r="L4178" t="s">
        <v>79706</v>
      </c>
      <c r="M4178" t="s">
        <v>79707</v>
      </c>
      <c r="N4178">
        <f>-659.708736020056 -20.7403712798803 -529.770110477973</f>
        <v>-1210.2192177779093</v>
      </c>
      <c r="O4178">
        <f>-669.445313102158 -172.584513887372 -495.340984264912</f>
        <v>-1337.3708112544418</v>
      </c>
      <c r="P4178">
        <f>-700.656818543743 -198.852139368634 -216.209511751319</f>
        <v>-1115.7184696636959</v>
      </c>
      <c r="Q4178">
        <f>-486.910041254493 -128.054562660492 -273.20541426964</f>
        <v>-888.17001818462495</v>
      </c>
      <c r="R4178" t="s">
        <v>79708</v>
      </c>
      <c r="S4178" t="s">
        <v>79709</v>
      </c>
      <c r="T4178" t="s">
        <v>79710</v>
      </c>
      <c r="U4178" t="s">
        <v>79711</v>
      </c>
      <c r="V4178">
        <f>-605.905893232603 -69.2347001785399 -93.8722944066664</f>
        <v>-769.01288781780931</v>
      </c>
      <c r="W4178" t="s">
        <v>79712</v>
      </c>
      <c r="X4178" t="s">
        <v>79713</v>
      </c>
      <c r="Y4178" t="s">
        <v>79714</v>
      </c>
    </row>
    <row r="4179" spans="1:25" x14ac:dyDescent="0.3">
      <c r="A4179">
        <v>208900</v>
      </c>
      <c r="B4179" t="s">
        <v>79715</v>
      </c>
      <c r="C4179" t="s">
        <v>79716</v>
      </c>
      <c r="D4179" t="s">
        <v>79717</v>
      </c>
      <c r="E4179" t="s">
        <v>79718</v>
      </c>
      <c r="F4179" t="s">
        <v>79719</v>
      </c>
      <c r="G4179" t="s">
        <v>79720</v>
      </c>
      <c r="H4179" t="s">
        <v>79721</v>
      </c>
      <c r="I4179" t="s">
        <v>79722</v>
      </c>
      <c r="J4179" t="s">
        <v>79723</v>
      </c>
      <c r="K4179" t="s">
        <v>79724</v>
      </c>
      <c r="L4179" t="s">
        <v>79725</v>
      </c>
      <c r="M4179" t="s">
        <v>79726</v>
      </c>
      <c r="N4179">
        <f>-658.705063269367 -21.374474820067 -530.023189619581</f>
        <v>-1210.102727709015</v>
      </c>
      <c r="O4179">
        <f>-668.517814361583 -173.185193781929 -495.418109491292</f>
        <v>-1337.121117634804</v>
      </c>
      <c r="P4179">
        <f>-699.935721590337 -199.389842522546 -216.3038100657</f>
        <v>-1115.629374178583</v>
      </c>
      <c r="Q4179">
        <f>-486.177437149901 -128.711356752055 -273.404360276361</f>
        <v>-888.29315417831697</v>
      </c>
      <c r="R4179" t="s">
        <v>79727</v>
      </c>
      <c r="S4179" t="s">
        <v>79728</v>
      </c>
      <c r="T4179" t="s">
        <v>79729</v>
      </c>
      <c r="U4179" t="s">
        <v>79730</v>
      </c>
      <c r="V4179">
        <f>-605.845351960308 -69.5898081911007 -93.965135271812</f>
        <v>-769.40029542322065</v>
      </c>
      <c r="W4179" t="s">
        <v>79731</v>
      </c>
      <c r="X4179" t="s">
        <v>79732</v>
      </c>
      <c r="Y4179" t="s">
        <v>79733</v>
      </c>
    </row>
    <row r="4180" spans="1:25" x14ac:dyDescent="0.3">
      <c r="A4180">
        <v>208950</v>
      </c>
      <c r="B4180" t="s">
        <v>79734</v>
      </c>
      <c r="C4180" t="s">
        <v>79735</v>
      </c>
      <c r="D4180" t="s">
        <v>79736</v>
      </c>
      <c r="E4180" t="s">
        <v>79737</v>
      </c>
      <c r="F4180" t="s">
        <v>79738</v>
      </c>
      <c r="G4180" t="s">
        <v>79739</v>
      </c>
      <c r="H4180" t="s">
        <v>79740</v>
      </c>
      <c r="I4180" t="s">
        <v>79741</v>
      </c>
      <c r="J4180" t="s">
        <v>79742</v>
      </c>
      <c r="K4180" t="s">
        <v>79743</v>
      </c>
      <c r="L4180" t="s">
        <v>79744</v>
      </c>
      <c r="M4180" t="s">
        <v>79745</v>
      </c>
      <c r="N4180">
        <f>-657.965171233232 -21.4327311730217 -530.192527968982</f>
        <v>-1209.5904303752357</v>
      </c>
      <c r="O4180">
        <f>-668.144919451844 -173.141808967572 -495.323945975531</f>
        <v>-1336.610674394947</v>
      </c>
      <c r="P4180">
        <f>-699.303828349778 -198.915939824951 -216.140502962892</f>
        <v>-1114.3602711376209</v>
      </c>
      <c r="Q4180">
        <f>-485.412268135664 -128.735391906449 -273.356224281804</f>
        <v>-887.50388432391696</v>
      </c>
      <c r="R4180" t="s">
        <v>79746</v>
      </c>
      <c r="S4180" t="s">
        <v>79747</v>
      </c>
      <c r="T4180" t="s">
        <v>79748</v>
      </c>
      <c r="U4180" t="s">
        <v>79749</v>
      </c>
      <c r="V4180">
        <f>-606.02437538068 -69.4701807930876 -94.0142158357227</f>
        <v>-769.50877200949026</v>
      </c>
      <c r="W4180" t="s">
        <v>79750</v>
      </c>
      <c r="X4180" t="s">
        <v>79751</v>
      </c>
      <c r="Y4180" t="s">
        <v>79752</v>
      </c>
    </row>
    <row r="4181" spans="1:25" x14ac:dyDescent="0.3">
      <c r="A4181">
        <v>209000</v>
      </c>
      <c r="B4181" t="s">
        <v>79753</v>
      </c>
      <c r="C4181" t="s">
        <v>79754</v>
      </c>
      <c r="D4181" t="s">
        <v>79755</v>
      </c>
      <c r="E4181" t="s">
        <v>79756</v>
      </c>
      <c r="F4181" t="s">
        <v>79757</v>
      </c>
      <c r="G4181" t="s">
        <v>79758</v>
      </c>
      <c r="H4181" t="s">
        <v>79759</v>
      </c>
      <c r="I4181" t="s">
        <v>79760</v>
      </c>
      <c r="J4181" t="s">
        <v>79761</v>
      </c>
      <c r="K4181" t="s">
        <v>79762</v>
      </c>
      <c r="L4181" t="s">
        <v>79763</v>
      </c>
      <c r="M4181" t="s">
        <v>79764</v>
      </c>
      <c r="N4181">
        <f>-657.687629339438 -21.4203123004104 -530.227087555423</f>
        <v>-1209.3350291952715</v>
      </c>
      <c r="O4181">
        <f>-668.018020475213 -173.086213148952 -495.208044922429</f>
        <v>-1336.3122785465939</v>
      </c>
      <c r="P4181">
        <f>-699.206966135438 -198.549820339558 -215.999365817071</f>
        <v>-1113.7561522920671</v>
      </c>
      <c r="Q4181">
        <f>-485.236437092456 -128.73664324466 -273.368813307604</f>
        <v>-887.34189364472002</v>
      </c>
      <c r="R4181" t="s">
        <v>79765</v>
      </c>
      <c r="S4181" t="s">
        <v>79766</v>
      </c>
      <c r="T4181" t="s">
        <v>79767</v>
      </c>
      <c r="U4181" t="s">
        <v>79768</v>
      </c>
      <c r="V4181">
        <f>-606.085097075292 -69.3046700716545 -94.0361111704584</f>
        <v>-769.42587831740491</v>
      </c>
      <c r="W4181" t="s">
        <v>79769</v>
      </c>
      <c r="X4181" t="s">
        <v>79770</v>
      </c>
      <c r="Y4181" t="s">
        <v>79771</v>
      </c>
    </row>
    <row r="4182" spans="1:25" x14ac:dyDescent="0.3">
      <c r="A4182">
        <v>209050</v>
      </c>
      <c r="B4182" t="s">
        <v>79772</v>
      </c>
      <c r="C4182" t="s">
        <v>79773</v>
      </c>
      <c r="D4182" t="s">
        <v>79774</v>
      </c>
      <c r="E4182" t="s">
        <v>79775</v>
      </c>
      <c r="F4182" t="s">
        <v>79776</v>
      </c>
      <c r="G4182" t="s">
        <v>79777</v>
      </c>
      <c r="H4182" t="s">
        <v>79778</v>
      </c>
      <c r="I4182" t="s">
        <v>79779</v>
      </c>
      <c r="J4182" t="s">
        <v>79780</v>
      </c>
      <c r="K4182" t="s">
        <v>79781</v>
      </c>
      <c r="L4182" t="s">
        <v>79782</v>
      </c>
      <c r="M4182" t="s">
        <v>79783</v>
      </c>
      <c r="N4182">
        <f>-657.509594568787 -21.3652401700083 -530.22719991288</f>
        <v>-1209.1020346516752</v>
      </c>
      <c r="O4182">
        <f>-668.058569110161 -172.986573438398 -495.055845304425</f>
        <v>-1336.100987852984</v>
      </c>
      <c r="P4182">
        <f>-699.234776345772 -198.072966641112 -215.811612907689</f>
        <v>-1113.1193558945731</v>
      </c>
      <c r="Q4182">
        <f>-485.194897910613 -128.66381798134 -273.412362397264</f>
        <v>-887.27107828921703</v>
      </c>
      <c r="R4182" t="s">
        <v>79784</v>
      </c>
      <c r="S4182" t="s">
        <v>79785</v>
      </c>
      <c r="T4182" t="s">
        <v>79786</v>
      </c>
      <c r="U4182" t="s">
        <v>79787</v>
      </c>
      <c r="V4182">
        <f>-606.123449386667 -69.1029642635842 -94.0504470712547</f>
        <v>-769.27686072150584</v>
      </c>
      <c r="W4182" t="s">
        <v>79788</v>
      </c>
      <c r="X4182" t="s">
        <v>79789</v>
      </c>
      <c r="Y4182" t="s">
        <v>79790</v>
      </c>
    </row>
    <row r="4183" spans="1:25" x14ac:dyDescent="0.3">
      <c r="A4183">
        <v>209100</v>
      </c>
      <c r="B4183" t="s">
        <v>79791</v>
      </c>
      <c r="C4183" t="s">
        <v>79792</v>
      </c>
      <c r="D4183" t="s">
        <v>79793</v>
      </c>
      <c r="E4183" t="s">
        <v>79794</v>
      </c>
      <c r="F4183" t="s">
        <v>79795</v>
      </c>
      <c r="G4183" t="s">
        <v>79796</v>
      </c>
      <c r="H4183" t="s">
        <v>79797</v>
      </c>
      <c r="I4183" t="s">
        <v>79798</v>
      </c>
      <c r="J4183" t="s">
        <v>79799</v>
      </c>
      <c r="K4183" t="s">
        <v>79800</v>
      </c>
      <c r="L4183" t="s">
        <v>79801</v>
      </c>
      <c r="M4183" t="s">
        <v>79802</v>
      </c>
      <c r="N4183">
        <f>-657.331983514163 -21.0190212495816 -530.222431246281</f>
        <v>-1208.5734360100255</v>
      </c>
      <c r="O4183">
        <f>-668.483080212591 -172.534554639011 -494.795343995512</f>
        <v>-1335.812978847114</v>
      </c>
      <c r="P4183">
        <f>-699.602321488045 -196.950235522065 -215.485292878899</f>
        <v>-1112.0378498890091</v>
      </c>
      <c r="Q4183">
        <f>-485.36539444649 -128.333093666817 -273.302071869507</f>
        <v>-887.00055998281402</v>
      </c>
      <c r="R4183" t="s">
        <v>79803</v>
      </c>
      <c r="S4183" t="s">
        <v>79804</v>
      </c>
      <c r="T4183" t="s">
        <v>79805</v>
      </c>
      <c r="U4183" t="s">
        <v>79806</v>
      </c>
      <c r="V4183">
        <f>-605.88627029076 -68.5828735312048 -94.0699039937583</f>
        <v>-768.53904781572305</v>
      </c>
      <c r="W4183" t="s">
        <v>79807</v>
      </c>
      <c r="X4183" t="s">
        <v>79808</v>
      </c>
      <c r="Y4183" t="s">
        <v>79809</v>
      </c>
    </row>
    <row r="4184" spans="1:25" x14ac:dyDescent="0.3">
      <c r="A4184">
        <v>209150</v>
      </c>
      <c r="B4184" t="s">
        <v>79810</v>
      </c>
      <c r="C4184" t="s">
        <v>79811</v>
      </c>
      <c r="D4184" t="s">
        <v>79812</v>
      </c>
      <c r="E4184" t="s">
        <v>79813</v>
      </c>
      <c r="F4184" t="s">
        <v>79814</v>
      </c>
      <c r="G4184" t="s">
        <v>79815</v>
      </c>
      <c r="H4184" t="s">
        <v>79816</v>
      </c>
      <c r="I4184" t="s">
        <v>79817</v>
      </c>
      <c r="J4184" t="s">
        <v>79818</v>
      </c>
      <c r="K4184" t="s">
        <v>79819</v>
      </c>
      <c r="L4184" t="s">
        <v>79820</v>
      </c>
      <c r="M4184" t="s">
        <v>79821</v>
      </c>
      <c r="N4184">
        <f>-657.265294701899 -20.6594688678588 -530.218755064938</f>
        <v>-1208.1435186346957</v>
      </c>
      <c r="O4184">
        <f>-668.943543852343 -172.117627391108 -494.68472311542</f>
        <v>-1335.7458943588711</v>
      </c>
      <c r="P4184">
        <f>-700.290296093493 -196.211788112629 -215.372127594976</f>
        <v>-1111.874211801098</v>
      </c>
      <c r="Q4184">
        <f>-485.773462663316 -128.355033790377 -273.04816882012</f>
        <v>-887.17666527381311</v>
      </c>
      <c r="R4184" t="s">
        <v>79822</v>
      </c>
      <c r="S4184" t="s">
        <v>79823</v>
      </c>
      <c r="T4184" t="s">
        <v>79824</v>
      </c>
      <c r="U4184" t="s">
        <v>79825</v>
      </c>
      <c r="V4184">
        <f>-605.586473227512 -68.0260454898653 -94.0799222131255</f>
        <v>-767.69244093050281</v>
      </c>
      <c r="W4184" t="s">
        <v>79826</v>
      </c>
      <c r="X4184" t="s">
        <v>79827</v>
      </c>
      <c r="Y4184" t="s">
        <v>79828</v>
      </c>
    </row>
    <row r="4185" spans="1:25" x14ac:dyDescent="0.3">
      <c r="A4185">
        <v>209200</v>
      </c>
      <c r="B4185" t="s">
        <v>79829</v>
      </c>
      <c r="C4185" t="s">
        <v>79830</v>
      </c>
      <c r="D4185" t="s">
        <v>79831</v>
      </c>
      <c r="E4185" t="s">
        <v>79832</v>
      </c>
      <c r="F4185" t="s">
        <v>79833</v>
      </c>
      <c r="G4185" t="s">
        <v>79834</v>
      </c>
      <c r="H4185" t="s">
        <v>79835</v>
      </c>
      <c r="I4185" t="s">
        <v>79836</v>
      </c>
      <c r="J4185" t="s">
        <v>79837</v>
      </c>
      <c r="K4185" t="s">
        <v>79838</v>
      </c>
      <c r="L4185" t="s">
        <v>79839</v>
      </c>
      <c r="M4185" t="s">
        <v>79840</v>
      </c>
      <c r="N4185">
        <f>-657.242058298903 -20.3522028764125 -530.212406303819</f>
        <v>-1207.8066674791344</v>
      </c>
      <c r="O4185">
        <f>-669.161535778407 -171.788080505906 -494.670855708029</f>
        <v>-1335.6204719923421</v>
      </c>
      <c r="P4185">
        <f>-700.532330921829 -195.796161976904 -215.353656757714</f>
        <v>-1111.6821496564469</v>
      </c>
      <c r="Q4185">
        <f>-485.88437999102 -128.314801280889 -272.982351961303</f>
        <v>-887.18153323321189</v>
      </c>
      <c r="R4185" t="s">
        <v>79841</v>
      </c>
      <c r="S4185" t="s">
        <v>79842</v>
      </c>
      <c r="T4185" t="s">
        <v>79843</v>
      </c>
      <c r="U4185" t="s">
        <v>79844</v>
      </c>
      <c r="V4185">
        <f>-605.525506400397 -67.7649673914143 -94.0856158706007</f>
        <v>-767.37608966241203</v>
      </c>
      <c r="W4185" t="s">
        <v>79845</v>
      </c>
      <c r="X4185" t="s">
        <v>79846</v>
      </c>
      <c r="Y4185" t="s">
        <v>79847</v>
      </c>
    </row>
    <row r="4186" spans="1:25" x14ac:dyDescent="0.3">
      <c r="A4186">
        <v>209250</v>
      </c>
      <c r="B4186" t="s">
        <v>79848</v>
      </c>
      <c r="C4186" t="s">
        <v>79849</v>
      </c>
      <c r="D4186" t="s">
        <v>79850</v>
      </c>
      <c r="E4186" t="s">
        <v>79851</v>
      </c>
      <c r="F4186" t="s">
        <v>79852</v>
      </c>
      <c r="G4186" t="s">
        <v>79853</v>
      </c>
      <c r="H4186" t="s">
        <v>79854</v>
      </c>
      <c r="I4186" t="s">
        <v>79855</v>
      </c>
      <c r="J4186" t="s">
        <v>79856</v>
      </c>
      <c r="K4186" t="s">
        <v>79857</v>
      </c>
      <c r="L4186" t="s">
        <v>79858</v>
      </c>
      <c r="M4186" t="s">
        <v>79859</v>
      </c>
      <c r="N4186">
        <f>-657.201211142298 -20.0344614019266 -530.224156179118</f>
        <v>-1207.4598287233425</v>
      </c>
      <c r="O4186">
        <f>-669.378704057569 -171.452096878859 -494.691995846259</f>
        <v>-1335.522796782687</v>
      </c>
      <c r="P4186">
        <f>-700.664343372369 -195.346720478292 -215.355495070856</f>
        <v>-1111.366558921517</v>
      </c>
      <c r="Q4186">
        <f>-485.89337579883 -128.235801834421 -272.958430313977</f>
        <v>-887.08760794722798</v>
      </c>
      <c r="R4186" t="s">
        <v>79860</v>
      </c>
      <c r="S4186" t="s">
        <v>79861</v>
      </c>
      <c r="T4186" t="s">
        <v>79862</v>
      </c>
      <c r="U4186" t="s">
        <v>79863</v>
      </c>
      <c r="V4186">
        <f>-605.522538034629 -67.5724669790359 -94.0982996369911</f>
        <v>-767.19330465065593</v>
      </c>
      <c r="W4186" t="s">
        <v>79864</v>
      </c>
      <c r="X4186" t="s">
        <v>79865</v>
      </c>
      <c r="Y4186" t="s">
        <v>79866</v>
      </c>
    </row>
    <row r="4187" spans="1:25" x14ac:dyDescent="0.3">
      <c r="A4187">
        <v>209300</v>
      </c>
      <c r="B4187" t="s">
        <v>79867</v>
      </c>
      <c r="C4187" t="s">
        <v>79868</v>
      </c>
      <c r="D4187" t="s">
        <v>79869</v>
      </c>
      <c r="E4187" t="s">
        <v>79870</v>
      </c>
      <c r="F4187" t="s">
        <v>79871</v>
      </c>
      <c r="G4187" t="s">
        <v>79872</v>
      </c>
      <c r="H4187" t="s">
        <v>79873</v>
      </c>
      <c r="I4187" t="s">
        <v>79874</v>
      </c>
      <c r="J4187" t="s">
        <v>79875</v>
      </c>
      <c r="K4187" t="s">
        <v>79876</v>
      </c>
      <c r="L4187" t="s">
        <v>79877</v>
      </c>
      <c r="M4187" t="s">
        <v>79878</v>
      </c>
      <c r="N4187">
        <f>-657.083252530656 -19.1989094211074 -530.247209437848</f>
        <v>-1206.5293713896112</v>
      </c>
      <c r="O4187">
        <f>-669.802259176116 -170.585028248887 -494.76336321493</f>
        <v>-1335.150650639933</v>
      </c>
      <c r="P4187">
        <f>-700.694804023988 -194.377715944488 -215.374542984211</f>
        <v>-1110.447062952687</v>
      </c>
      <c r="Q4187">
        <f>-485.773864366381 -127.930870223188 -273.187777217847</f>
        <v>-886.89251180741599</v>
      </c>
      <c r="R4187" t="s">
        <v>79879</v>
      </c>
      <c r="S4187" t="s">
        <v>79880</v>
      </c>
      <c r="T4187" t="s">
        <v>79881</v>
      </c>
      <c r="U4187" t="s">
        <v>79882</v>
      </c>
      <c r="V4187">
        <f>-605.478003871224 -67.1040188394252 -94.0990124166794</f>
        <v>-766.68103512732864</v>
      </c>
      <c r="W4187" t="s">
        <v>79883</v>
      </c>
      <c r="X4187" t="s">
        <v>79884</v>
      </c>
      <c r="Y4187" t="s">
        <v>79885</v>
      </c>
    </row>
    <row r="4188" spans="1:25" x14ac:dyDescent="0.3">
      <c r="A4188">
        <v>209350</v>
      </c>
      <c r="B4188" t="s">
        <v>79886</v>
      </c>
      <c r="C4188" t="s">
        <v>79887</v>
      </c>
      <c r="D4188" t="s">
        <v>79888</v>
      </c>
      <c r="E4188" t="s">
        <v>79889</v>
      </c>
      <c r="F4188" t="s">
        <v>79890</v>
      </c>
      <c r="G4188" t="s">
        <v>79891</v>
      </c>
      <c r="H4188" t="s">
        <v>79892</v>
      </c>
      <c r="I4188" t="s">
        <v>79893</v>
      </c>
      <c r="J4188" t="s">
        <v>79894</v>
      </c>
      <c r="K4188" t="s">
        <v>79895</v>
      </c>
      <c r="L4188" t="s">
        <v>79896</v>
      </c>
      <c r="M4188" t="s">
        <v>79897</v>
      </c>
      <c r="N4188">
        <f>-656.999059523163 -18.6695980377631 -530.252198885139</f>
        <v>-1205.920856446065</v>
      </c>
      <c r="O4188">
        <f>-670.026714095724 -170.040438650147 -494.834914843976</f>
        <v>-1334.9020675898469</v>
      </c>
      <c r="P4188">
        <f>-700.728631075222 -193.906685051119 -215.431288726488</f>
        <v>-1110.066604852829</v>
      </c>
      <c r="Q4188">
        <f>-485.74846565215 -127.758783686848 -273.366729512866</f>
        <v>-886.87397885186397</v>
      </c>
      <c r="R4188" t="s">
        <v>79898</v>
      </c>
      <c r="S4188" t="s">
        <v>79899</v>
      </c>
      <c r="T4188" t="s">
        <v>79900</v>
      </c>
      <c r="U4188" t="s">
        <v>79901</v>
      </c>
      <c r="V4188">
        <f>-605.388570474626 -66.8123508955143 -94.0820723910033</f>
        <v>-766.28299376114364</v>
      </c>
      <c r="W4188" t="s">
        <v>79902</v>
      </c>
      <c r="X4188" t="s">
        <v>79903</v>
      </c>
      <c r="Y4188" t="s">
        <v>79904</v>
      </c>
    </row>
    <row r="4189" spans="1:25" x14ac:dyDescent="0.3">
      <c r="A4189">
        <v>209400</v>
      </c>
      <c r="B4189" t="s">
        <v>79905</v>
      </c>
      <c r="C4189" t="s">
        <v>79906</v>
      </c>
      <c r="D4189" t="s">
        <v>79907</v>
      </c>
      <c r="E4189" t="s">
        <v>79908</v>
      </c>
      <c r="F4189" t="s">
        <v>79909</v>
      </c>
      <c r="G4189" t="s">
        <v>79910</v>
      </c>
      <c r="H4189" t="s">
        <v>79911</v>
      </c>
      <c r="I4189" t="s">
        <v>79912</v>
      </c>
      <c r="J4189" t="s">
        <v>79913</v>
      </c>
      <c r="K4189" t="s">
        <v>79914</v>
      </c>
      <c r="L4189" t="s">
        <v>79915</v>
      </c>
      <c r="M4189" t="s">
        <v>79916</v>
      </c>
      <c r="N4189">
        <f>-657.053468719874 -17.6471573746262 -530.241413543335</f>
        <v>-1204.9420396378353</v>
      </c>
      <c r="O4189">
        <f>-670.601792123344 -169.013218924968 -494.999587666365</f>
        <v>-1334.614598714677</v>
      </c>
      <c r="P4189">
        <f>-701.170218539786 -193.036092030035 -215.594725356941</f>
        <v>-1109.8010359267619</v>
      </c>
      <c r="Q4189">
        <f>-486.007039214957 -127.553670688509 -273.606575165771</f>
        <v>-887.16728506923698</v>
      </c>
      <c r="R4189" t="s">
        <v>79917</v>
      </c>
      <c r="S4189" t="s">
        <v>79918</v>
      </c>
      <c r="T4189" t="s">
        <v>79919</v>
      </c>
      <c r="U4189" t="s">
        <v>79920</v>
      </c>
      <c r="V4189">
        <f>-605.186212215009 -66.3365121773124 -94.0581794285565</f>
        <v>-765.58090382087801</v>
      </c>
      <c r="W4189" t="s">
        <v>79921</v>
      </c>
      <c r="X4189" t="s">
        <v>79922</v>
      </c>
      <c r="Y4189" t="s">
        <v>79923</v>
      </c>
    </row>
    <row r="4190" spans="1:25" x14ac:dyDescent="0.3">
      <c r="A4190">
        <v>209450</v>
      </c>
      <c r="B4190" t="s">
        <v>79924</v>
      </c>
      <c r="C4190" t="s">
        <v>79925</v>
      </c>
      <c r="D4190" t="s">
        <v>79926</v>
      </c>
      <c r="E4190" t="s">
        <v>79927</v>
      </c>
      <c r="F4190" t="s">
        <v>79928</v>
      </c>
      <c r="G4190" t="s">
        <v>79929</v>
      </c>
      <c r="H4190" t="s">
        <v>79930</v>
      </c>
      <c r="I4190" t="s">
        <v>79931</v>
      </c>
      <c r="J4190" t="s">
        <v>79932</v>
      </c>
      <c r="K4190" t="s">
        <v>79933</v>
      </c>
      <c r="L4190" t="s">
        <v>79934</v>
      </c>
      <c r="M4190" t="s">
        <v>79935</v>
      </c>
      <c r="N4190">
        <f>-657.037081129959 -16.5613628175593 -530.239658052448</f>
        <v>-1203.8381019999663</v>
      </c>
      <c r="O4190">
        <f>-670.985655107729 -167.949293704929 -495.243924961979</f>
        <v>-1334.1788737746369</v>
      </c>
      <c r="P4190">
        <f>-701.459887527527 -192.235468745073 -215.851565431632</f>
        <v>-1109.5469217042321</v>
      </c>
      <c r="Q4190">
        <f>-486.07037017609 -127.227231358969 -273.556250177053</f>
        <v>-886.85385171211203</v>
      </c>
      <c r="R4190" t="s">
        <v>79936</v>
      </c>
      <c r="S4190" t="s">
        <v>79937</v>
      </c>
      <c r="T4190" t="s">
        <v>79938</v>
      </c>
      <c r="U4190" t="s">
        <v>79939</v>
      </c>
      <c r="V4190">
        <f>-604.904420784438 -65.8776450101896 -94.0167933065969</f>
        <v>-764.79885910122448</v>
      </c>
      <c r="W4190" t="s">
        <v>79940</v>
      </c>
      <c r="X4190" t="s">
        <v>79941</v>
      </c>
      <c r="Y4190" t="s">
        <v>79942</v>
      </c>
    </row>
    <row r="4191" spans="1:25" x14ac:dyDescent="0.3">
      <c r="A4191">
        <v>209500</v>
      </c>
      <c r="B4191" t="s">
        <v>79943</v>
      </c>
      <c r="C4191" t="s">
        <v>79944</v>
      </c>
      <c r="D4191" t="s">
        <v>79945</v>
      </c>
      <c r="E4191" t="s">
        <v>79946</v>
      </c>
      <c r="F4191" t="s">
        <v>79947</v>
      </c>
      <c r="G4191" t="s">
        <v>79948</v>
      </c>
      <c r="H4191" t="s">
        <v>79949</v>
      </c>
      <c r="I4191" t="s">
        <v>79950</v>
      </c>
      <c r="J4191" t="s">
        <v>79951</v>
      </c>
      <c r="K4191" t="s">
        <v>79952</v>
      </c>
      <c r="L4191" t="s">
        <v>79953</v>
      </c>
      <c r="M4191" t="s">
        <v>79954</v>
      </c>
      <c r="N4191">
        <f>-656.966257956389 -16.0819734863114 -530.259333892528</f>
        <v>-1203.3075653352284</v>
      </c>
      <c r="O4191">
        <f>-671.074666227989 -167.476430628599 -495.394088467751</f>
        <v>-1333.945185324339</v>
      </c>
      <c r="P4191">
        <f>-701.538085520076 -192.047921002882 -216.025442525783</f>
        <v>-1109.6114490487412</v>
      </c>
      <c r="Q4191">
        <f>-486.0300071668 -127.196828700206 -273.463590177219</f>
        <v>-886.69042604422498</v>
      </c>
      <c r="R4191" t="s">
        <v>79955</v>
      </c>
      <c r="S4191" t="s">
        <v>79956</v>
      </c>
      <c r="T4191" t="s">
        <v>79957</v>
      </c>
      <c r="U4191" t="s">
        <v>79958</v>
      </c>
      <c r="V4191">
        <f>-604.744619577293 -65.5734032653654 -94.0006641622361</f>
        <v>-764.31868700489451</v>
      </c>
      <c r="W4191" t="s">
        <v>79959</v>
      </c>
      <c r="X4191" t="s">
        <v>79960</v>
      </c>
      <c r="Y4191" t="s">
        <v>79961</v>
      </c>
    </row>
    <row r="4192" spans="1:25" x14ac:dyDescent="0.3">
      <c r="A4192">
        <v>209550</v>
      </c>
      <c r="B4192" t="s">
        <v>79962</v>
      </c>
      <c r="C4192" t="s">
        <v>79963</v>
      </c>
      <c r="D4192" t="s">
        <v>79964</v>
      </c>
      <c r="E4192" t="s">
        <v>79965</v>
      </c>
      <c r="F4192" t="s">
        <v>79966</v>
      </c>
      <c r="G4192" t="s">
        <v>79967</v>
      </c>
      <c r="H4192" t="s">
        <v>79968</v>
      </c>
      <c r="I4192" t="s">
        <v>79969</v>
      </c>
      <c r="J4192" t="s">
        <v>79970</v>
      </c>
      <c r="K4192" t="s">
        <v>79971</v>
      </c>
      <c r="L4192" t="s">
        <v>79972</v>
      </c>
      <c r="M4192" t="s">
        <v>79973</v>
      </c>
      <c r="N4192">
        <f>-656.924362541065 -15.6979518581127 -530.253067274715</f>
        <v>-1202.8753816738927</v>
      </c>
      <c r="O4192">
        <f>-671.076892169481 -167.117945224971 -495.504294650179</f>
        <v>-1333.6991320446309</v>
      </c>
      <c r="P4192">
        <f>-701.669255292882 -192.013259148036 -216.178463728152</f>
        <v>-1109.86097816907</v>
      </c>
      <c r="Q4192">
        <f>-486.046020271292 -127.328605611112 -273.371598877922</f>
        <v>-886.74622476032596</v>
      </c>
      <c r="R4192" t="s">
        <v>79974</v>
      </c>
      <c r="S4192" t="s">
        <v>79975</v>
      </c>
      <c r="T4192" t="s">
        <v>79976</v>
      </c>
      <c r="U4192" t="s">
        <v>79977</v>
      </c>
      <c r="V4192">
        <f>-604.636338566383 -65.3536062066823 -93.9863547174455</f>
        <v>-763.97629949051077</v>
      </c>
      <c r="W4192" t="s">
        <v>79978</v>
      </c>
      <c r="X4192" t="s">
        <v>79979</v>
      </c>
      <c r="Y4192" t="s">
        <v>79980</v>
      </c>
    </row>
    <row r="4193" spans="1:25" x14ac:dyDescent="0.3">
      <c r="A4193">
        <v>209600</v>
      </c>
      <c r="B4193" t="s">
        <v>79981</v>
      </c>
      <c r="C4193" t="s">
        <v>79982</v>
      </c>
      <c r="D4193" t="s">
        <v>79983</v>
      </c>
      <c r="E4193" t="s">
        <v>79984</v>
      </c>
      <c r="F4193" t="s">
        <v>79985</v>
      </c>
      <c r="G4193" t="s">
        <v>79986</v>
      </c>
      <c r="H4193" t="s">
        <v>79987</v>
      </c>
      <c r="I4193" t="s">
        <v>79988</v>
      </c>
      <c r="J4193" t="s">
        <v>79989</v>
      </c>
      <c r="K4193" t="s">
        <v>79990</v>
      </c>
      <c r="L4193" t="s">
        <v>79991</v>
      </c>
      <c r="M4193" t="s">
        <v>79992</v>
      </c>
      <c r="N4193">
        <f>-656.838834995211 -15.118764183823 -530.288277879002</f>
        <v>-1202.2458770580361</v>
      </c>
      <c r="O4193">
        <f>-670.81539599856 -166.6202751535 -495.801466255113</f>
        <v>-1333.2371374071729</v>
      </c>
      <c r="P4193">
        <f>-701.673774298463 -192.038396051427 -216.552055246624</f>
        <v>-1110.2642255965138</v>
      </c>
      <c r="Q4193">
        <f>-485.935863279233 -127.385342054647 -273.347060938327</f>
        <v>-886.66826627220701</v>
      </c>
      <c r="R4193" t="s">
        <v>79993</v>
      </c>
      <c r="S4193" t="s">
        <v>79994</v>
      </c>
      <c r="T4193" t="s">
        <v>79995</v>
      </c>
      <c r="U4193" t="s">
        <v>79996</v>
      </c>
      <c r="V4193">
        <f>-604.669467067155 -65.1590985638436 -93.9765666491505</f>
        <v>-763.80513228014911</v>
      </c>
      <c r="W4193" t="s">
        <v>79997</v>
      </c>
      <c r="X4193" t="s">
        <v>79998</v>
      </c>
      <c r="Y4193" t="s">
        <v>79999</v>
      </c>
    </row>
    <row r="4194" spans="1:25" x14ac:dyDescent="0.3">
      <c r="A4194">
        <v>209650</v>
      </c>
      <c r="B4194" t="s">
        <v>80000</v>
      </c>
      <c r="C4194" t="s">
        <v>80001</v>
      </c>
      <c r="D4194" t="s">
        <v>80002</v>
      </c>
      <c r="E4194" t="s">
        <v>80003</v>
      </c>
      <c r="F4194" t="s">
        <v>80004</v>
      </c>
      <c r="G4194" t="s">
        <v>80005</v>
      </c>
      <c r="H4194" t="s">
        <v>80006</v>
      </c>
      <c r="I4194" t="s">
        <v>80007</v>
      </c>
      <c r="J4194" t="s">
        <v>80008</v>
      </c>
      <c r="K4194" t="s">
        <v>80009</v>
      </c>
      <c r="L4194" t="s">
        <v>80010</v>
      </c>
      <c r="M4194" t="s">
        <v>80011</v>
      </c>
      <c r="N4194">
        <f>-656.944559050769 -14.8469503011618 -530.326651730945</f>
        <v>-1202.1181610828758</v>
      </c>
      <c r="O4194">
        <f>-670.811930430972 -166.386895915568 -495.974917202552</f>
        <v>-1333.173743549092</v>
      </c>
      <c r="P4194">
        <f>-701.595824693395 -192.065028998851 -216.741066003146</f>
        <v>-1110.4019196953921</v>
      </c>
      <c r="Q4194">
        <f>-485.881431656297 -127.215710851523 -273.401365543628</f>
        <v>-886.49850805144808</v>
      </c>
      <c r="R4194" t="s">
        <v>80012</v>
      </c>
      <c r="S4194" t="s">
        <v>80013</v>
      </c>
      <c r="T4194" t="s">
        <v>80014</v>
      </c>
      <c r="U4194" t="s">
        <v>80015</v>
      </c>
      <c r="V4194">
        <f>-604.713979799389 -65.108837296186 -93.9781931509251</f>
        <v>-763.80101024650014</v>
      </c>
      <c r="W4194" t="s">
        <v>80016</v>
      </c>
      <c r="X4194" t="s">
        <v>80017</v>
      </c>
      <c r="Y4194" t="s">
        <v>80018</v>
      </c>
    </row>
    <row r="4195" spans="1:25" x14ac:dyDescent="0.3">
      <c r="A4195">
        <v>209700</v>
      </c>
      <c r="B4195" t="s">
        <v>80019</v>
      </c>
      <c r="C4195" t="s">
        <v>80020</v>
      </c>
      <c r="D4195" t="s">
        <v>80021</v>
      </c>
      <c r="E4195" t="s">
        <v>80022</v>
      </c>
      <c r="F4195" t="s">
        <v>80023</v>
      </c>
      <c r="G4195" t="s">
        <v>80024</v>
      </c>
      <c r="H4195" t="s">
        <v>80025</v>
      </c>
      <c r="I4195" t="s">
        <v>80026</v>
      </c>
      <c r="J4195" t="s">
        <v>80027</v>
      </c>
      <c r="K4195" t="s">
        <v>80028</v>
      </c>
      <c r="L4195" t="s">
        <v>80029</v>
      </c>
      <c r="M4195" t="s">
        <v>80030</v>
      </c>
      <c r="N4195">
        <f>-657.224614161578 -14.7860743876993 -530.351707483173</f>
        <v>-1202.3623960324503</v>
      </c>
      <c r="O4195">
        <f>-670.753622707173 -166.403608457416 -496.199160700462</f>
        <v>-1333.3563918650511</v>
      </c>
      <c r="P4195">
        <f>-701.32328618881 -192.536159311376 -216.983938886352</f>
        <v>-1110.843384386538</v>
      </c>
      <c r="Q4195">
        <f>-485.823411917664 -126.850829336608 -273.497582908433</f>
        <v>-886.17182416270498</v>
      </c>
      <c r="R4195" t="s">
        <v>80031</v>
      </c>
      <c r="S4195" t="s">
        <v>80032</v>
      </c>
      <c r="T4195" t="s">
        <v>80033</v>
      </c>
      <c r="U4195" t="s">
        <v>80034</v>
      </c>
      <c r="V4195">
        <f>-604.820829952035 -65.0668660234301 -93.9854419176313</f>
        <v>-763.87313789309633</v>
      </c>
      <c r="W4195" t="s">
        <v>80035</v>
      </c>
      <c r="X4195" t="s">
        <v>80036</v>
      </c>
      <c r="Y4195" t="s">
        <v>80037</v>
      </c>
    </row>
    <row r="4196" spans="1:25" x14ac:dyDescent="0.3">
      <c r="A4196">
        <v>209750</v>
      </c>
      <c r="B4196" t="s">
        <v>80038</v>
      </c>
      <c r="C4196" t="s">
        <v>80039</v>
      </c>
      <c r="D4196" t="s">
        <v>80040</v>
      </c>
      <c r="E4196" t="s">
        <v>80041</v>
      </c>
      <c r="F4196" t="s">
        <v>80042</v>
      </c>
      <c r="G4196" t="s">
        <v>80043</v>
      </c>
      <c r="H4196" t="s">
        <v>80044</v>
      </c>
      <c r="I4196" t="s">
        <v>80045</v>
      </c>
      <c r="J4196" t="s">
        <v>80046</v>
      </c>
      <c r="K4196" t="s">
        <v>80047</v>
      </c>
      <c r="L4196" t="s">
        <v>80048</v>
      </c>
      <c r="M4196" t="s">
        <v>80049</v>
      </c>
      <c r="N4196">
        <f>-657.324981768765 -14.8016854190469 -530.359548681855</f>
        <v>-1202.4862158696669</v>
      </c>
      <c r="O4196">
        <f>-670.707826947204 -166.446054278009 -496.26228147507</f>
        <v>-1333.4161627002829</v>
      </c>
      <c r="P4196">
        <f>-701.168129582399 -192.641988981075 -217.041025341552</f>
        <v>-1110.851143905026</v>
      </c>
      <c r="Q4196">
        <f>-485.789054568511 -126.515589104805 -273.500613972433</f>
        <v>-885.80525764574895</v>
      </c>
      <c r="R4196" t="s">
        <v>80050</v>
      </c>
      <c r="S4196" t="s">
        <v>80051</v>
      </c>
      <c r="T4196" t="s">
        <v>80052</v>
      </c>
      <c r="U4196" t="s">
        <v>80053</v>
      </c>
      <c r="V4196">
        <f>-604.872745971103 -65.087932047036 -93.9880619121381</f>
        <v>-763.94873993027704</v>
      </c>
      <c r="W4196" t="s">
        <v>80054</v>
      </c>
      <c r="X4196" t="s">
        <v>80055</v>
      </c>
      <c r="Y4196" t="s">
        <v>80056</v>
      </c>
    </row>
    <row r="4197" spans="1:25" x14ac:dyDescent="0.3">
      <c r="A4197">
        <v>209800</v>
      </c>
      <c r="B4197" t="s">
        <v>80057</v>
      </c>
      <c r="C4197" t="s">
        <v>80058</v>
      </c>
      <c r="D4197" t="s">
        <v>80059</v>
      </c>
      <c r="E4197" t="s">
        <v>80060</v>
      </c>
      <c r="F4197" t="s">
        <v>80061</v>
      </c>
      <c r="G4197" t="s">
        <v>80062</v>
      </c>
      <c r="H4197" t="s">
        <v>80063</v>
      </c>
      <c r="I4197" t="s">
        <v>80064</v>
      </c>
      <c r="J4197" t="s">
        <v>80065</v>
      </c>
      <c r="K4197" t="s">
        <v>80066</v>
      </c>
      <c r="L4197" t="s">
        <v>80067</v>
      </c>
      <c r="M4197" t="s">
        <v>80068</v>
      </c>
      <c r="N4197">
        <f>-657.318090840835 -14.8054040627553 -530.393420687522</f>
        <v>-1202.5169155911124</v>
      </c>
      <c r="O4197">
        <f>-670.425351861059 -166.488181569988 -496.347853202171</f>
        <v>-1333.2613866332181</v>
      </c>
      <c r="P4197">
        <f>-700.909137060773 -192.754799802014 -217.135658198946</f>
        <v>-1110.799595061733</v>
      </c>
      <c r="Q4197">
        <f>-485.671279309204 -125.980422747844 -273.370687807416</f>
        <v>-885.022389864464</v>
      </c>
      <c r="R4197" t="s">
        <v>80069</v>
      </c>
      <c r="S4197" t="s">
        <v>80070</v>
      </c>
      <c r="T4197" t="s">
        <v>80071</v>
      </c>
      <c r="U4197" t="s">
        <v>80072</v>
      </c>
      <c r="V4197">
        <f>-604.861400231111 -65.0096664837683 -94.0068023612782</f>
        <v>-763.87786907615759</v>
      </c>
      <c r="W4197" t="s">
        <v>80073</v>
      </c>
      <c r="X4197" t="s">
        <v>80074</v>
      </c>
      <c r="Y4197" t="s">
        <v>80075</v>
      </c>
    </row>
    <row r="4198" spans="1:25" x14ac:dyDescent="0.3">
      <c r="A4198">
        <v>209850</v>
      </c>
      <c r="B4198" t="s">
        <v>80076</v>
      </c>
      <c r="C4198" t="s">
        <v>80077</v>
      </c>
      <c r="D4198" t="s">
        <v>80078</v>
      </c>
      <c r="E4198" t="s">
        <v>80079</v>
      </c>
      <c r="F4198" t="s">
        <v>80080</v>
      </c>
      <c r="G4198" t="s">
        <v>80081</v>
      </c>
      <c r="H4198" t="s">
        <v>80082</v>
      </c>
      <c r="I4198" t="s">
        <v>80083</v>
      </c>
      <c r="J4198" t="s">
        <v>80084</v>
      </c>
      <c r="K4198" t="s">
        <v>80085</v>
      </c>
      <c r="L4198" t="s">
        <v>80086</v>
      </c>
      <c r="M4198" t="s">
        <v>80087</v>
      </c>
      <c r="N4198">
        <f>-657.230064549933 -14.7902955143879 -530.420568522044</f>
        <v>-1202.4409285863649</v>
      </c>
      <c r="O4198">
        <f>-670.20750080322 -166.494851113842 -496.416148856771</f>
        <v>-1333.1185007738331</v>
      </c>
      <c r="P4198">
        <f>-700.851564957252 -192.845466957665 -217.22953601805</f>
        <v>-1110.9265679329669</v>
      </c>
      <c r="Q4198">
        <f>-485.632953499145 -125.850779913461 -273.275858591453</f>
        <v>-884.75959200405896</v>
      </c>
      <c r="R4198" t="s">
        <v>80088</v>
      </c>
      <c r="S4198" t="s">
        <v>80089</v>
      </c>
      <c r="T4198" t="s">
        <v>80090</v>
      </c>
      <c r="U4198" t="s">
        <v>80091</v>
      </c>
      <c r="V4198">
        <f>-604.82671946025 -65.0872886150835 -94.014855218799</f>
        <v>-763.9288632941325</v>
      </c>
      <c r="W4198" t="s">
        <v>80092</v>
      </c>
      <c r="X4198" t="s">
        <v>80093</v>
      </c>
      <c r="Y4198" t="s">
        <v>80094</v>
      </c>
    </row>
    <row r="4199" spans="1:25" x14ac:dyDescent="0.3">
      <c r="A4199">
        <v>209900</v>
      </c>
      <c r="B4199" t="s">
        <v>80095</v>
      </c>
      <c r="C4199" t="s">
        <v>80096</v>
      </c>
      <c r="D4199" t="s">
        <v>80097</v>
      </c>
      <c r="E4199" t="s">
        <v>80098</v>
      </c>
      <c r="F4199" t="s">
        <v>80099</v>
      </c>
      <c r="G4199" t="s">
        <v>80100</v>
      </c>
      <c r="H4199" t="s">
        <v>80101</v>
      </c>
      <c r="I4199" t="s">
        <v>80102</v>
      </c>
      <c r="J4199" t="s">
        <v>80103</v>
      </c>
      <c r="K4199" t="s">
        <v>80104</v>
      </c>
      <c r="L4199" t="s">
        <v>80105</v>
      </c>
      <c r="M4199" t="s">
        <v>80106</v>
      </c>
      <c r="N4199">
        <f>-656.974581494331 -14.6133413259151 -530.473646632798</f>
        <v>-1202.0615694530443</v>
      </c>
      <c r="O4199">
        <f>-669.722837180369 -166.351297498412 -496.539953925379</f>
        <v>-1332.6140886041599</v>
      </c>
      <c r="P4199">
        <f>-700.562058651138 -192.988959950147 -217.402071119128</f>
        <v>-1110.9530897204131</v>
      </c>
      <c r="Q4199">
        <f>-485.32297300191 -125.745085415761 -273.069710771231</f>
        <v>-884.13776918890198</v>
      </c>
      <c r="R4199" t="s">
        <v>80107</v>
      </c>
      <c r="S4199" t="s">
        <v>80108</v>
      </c>
      <c r="T4199" t="s">
        <v>80109</v>
      </c>
      <c r="U4199" t="s">
        <v>80110</v>
      </c>
      <c r="V4199">
        <f>-604.79129728458 -65.1419544135385 -94.0156137128001</f>
        <v>-763.94886541091864</v>
      </c>
      <c r="W4199" t="s">
        <v>80111</v>
      </c>
      <c r="X4199" t="s">
        <v>80112</v>
      </c>
      <c r="Y4199" t="s">
        <v>80113</v>
      </c>
    </row>
    <row r="4200" spans="1:25" x14ac:dyDescent="0.3">
      <c r="A4200">
        <v>209950</v>
      </c>
      <c r="B4200" t="s">
        <v>80114</v>
      </c>
      <c r="C4200" t="s">
        <v>80115</v>
      </c>
      <c r="D4200" t="s">
        <v>80116</v>
      </c>
      <c r="E4200" t="s">
        <v>80117</v>
      </c>
      <c r="F4200" t="s">
        <v>80118</v>
      </c>
      <c r="G4200" t="s">
        <v>80119</v>
      </c>
      <c r="H4200" t="s">
        <v>80120</v>
      </c>
      <c r="I4200" t="s">
        <v>80121</v>
      </c>
      <c r="J4200" t="s">
        <v>80122</v>
      </c>
      <c r="K4200" t="s">
        <v>80123</v>
      </c>
      <c r="L4200" t="s">
        <v>80124</v>
      </c>
      <c r="M4200" t="s">
        <v>80125</v>
      </c>
      <c r="N4200">
        <f>-656.899484813244 -14.5406528605708 -530.492706921711</f>
        <v>-1201.9328445955259</v>
      </c>
      <c r="O4200">
        <f>-669.562684438029 -166.292822059509 -496.619675362986</f>
        <v>-1332.4751818605241</v>
      </c>
      <c r="P4200">
        <f>-700.416893996936 -193.091313666451 -217.498968706579</f>
        <v>-1111.0071763699659</v>
      </c>
      <c r="Q4200">
        <f>-485.157128366538 -125.769427523734 -272.992317085725</f>
        <v>-883.91887297599692</v>
      </c>
      <c r="R4200" t="s">
        <v>80126</v>
      </c>
      <c r="S4200" t="s">
        <v>80127</v>
      </c>
      <c r="T4200" t="s">
        <v>80128</v>
      </c>
      <c r="U4200" t="s">
        <v>80129</v>
      </c>
      <c r="V4200">
        <f>-604.792867217519 -65.3061239283149 -94.0149721880069</f>
        <v>-764.11396333384084</v>
      </c>
      <c r="W4200" t="s">
        <v>80130</v>
      </c>
      <c r="X4200" t="s">
        <v>80131</v>
      </c>
      <c r="Y4200" t="s">
        <v>80132</v>
      </c>
    </row>
    <row r="4201" spans="1:25" x14ac:dyDescent="0.3">
      <c r="A4201">
        <v>210000</v>
      </c>
      <c r="B4201" t="s">
        <v>80133</v>
      </c>
      <c r="C4201" t="s">
        <v>80134</v>
      </c>
      <c r="D4201" t="s">
        <v>80135</v>
      </c>
      <c r="E4201" t="s">
        <v>80136</v>
      </c>
      <c r="F4201" t="s">
        <v>80137</v>
      </c>
      <c r="G4201" t="s">
        <v>80138</v>
      </c>
      <c r="H4201" t="s">
        <v>80139</v>
      </c>
      <c r="I4201" t="s">
        <v>80140</v>
      </c>
      <c r="J4201" t="s">
        <v>80141</v>
      </c>
      <c r="K4201" t="s">
        <v>80142</v>
      </c>
      <c r="L4201" t="s">
        <v>80143</v>
      </c>
      <c r="M4201" t="s">
        <v>80144</v>
      </c>
      <c r="N4201">
        <f>-656.788109197332 -14.5416551047501 -530.521376969956</f>
        <v>-1201.8511412720381</v>
      </c>
      <c r="O4201">
        <f>-669.285776533204 -166.327685573954 -496.730399202547</f>
        <v>-1332.3438613097051</v>
      </c>
      <c r="P4201">
        <f>-700.025760801928 -193.484091575302 -217.631581873768</f>
        <v>-1111.1414342509979</v>
      </c>
      <c r="Q4201">
        <f>-484.812517156087 -125.843408337585 -272.917147990344</f>
        <v>-883.57307348401594</v>
      </c>
      <c r="R4201" t="s">
        <v>80145</v>
      </c>
      <c r="S4201" t="s">
        <v>80146</v>
      </c>
      <c r="T4201" t="s">
        <v>80147</v>
      </c>
      <c r="U4201" t="s">
        <v>80148</v>
      </c>
      <c r="V4201">
        <f>-604.710205840534 -65.4954499069443 -94.0010816913566</f>
        <v>-764.20673743883481</v>
      </c>
      <c r="W4201" t="s">
        <v>80149</v>
      </c>
      <c r="X4201" t="s">
        <v>80150</v>
      </c>
      <c r="Y4201" t="s">
        <v>80151</v>
      </c>
    </row>
    <row r="4202" spans="1:25" x14ac:dyDescent="0.3">
      <c r="A4202">
        <v>210050</v>
      </c>
      <c r="B4202" t="s">
        <v>80152</v>
      </c>
      <c r="C4202" t="s">
        <v>80153</v>
      </c>
      <c r="D4202" t="s">
        <v>80154</v>
      </c>
      <c r="E4202" t="s">
        <v>80155</v>
      </c>
      <c r="F4202" t="s">
        <v>80156</v>
      </c>
      <c r="G4202" t="s">
        <v>80157</v>
      </c>
      <c r="H4202" t="s">
        <v>80158</v>
      </c>
      <c r="I4202" t="s">
        <v>80159</v>
      </c>
      <c r="J4202" t="s">
        <v>80160</v>
      </c>
      <c r="K4202" t="s">
        <v>80161</v>
      </c>
      <c r="L4202" t="s">
        <v>80162</v>
      </c>
      <c r="M4202" t="s">
        <v>80163</v>
      </c>
      <c r="N4202">
        <f>-656.635879931251 -14.5538812892512 -530.540815146315</f>
        <v>-1201.7305763668173</v>
      </c>
      <c r="O4202">
        <f>-669.093858306269 -166.345421322622 -496.754632962533</f>
        <v>-1332.1939125914239</v>
      </c>
      <c r="P4202">
        <f>-699.956080445981 -193.574208740846 -217.676412842315</f>
        <v>-1111.206702029142</v>
      </c>
      <c r="Q4202">
        <f>-484.762074660683 -125.808884178592 -272.884198669721</f>
        <v>-883.45515750899608</v>
      </c>
      <c r="R4202" t="s">
        <v>80164</v>
      </c>
      <c r="S4202" t="s">
        <v>80165</v>
      </c>
      <c r="T4202" t="s">
        <v>80166</v>
      </c>
      <c r="U4202" t="s">
        <v>80167</v>
      </c>
      <c r="V4202">
        <f>-604.684918804539 -65.548360528127 -93.9934038391448</f>
        <v>-764.22668317181081</v>
      </c>
      <c r="W4202" t="s">
        <v>80168</v>
      </c>
      <c r="X4202" t="s">
        <v>80169</v>
      </c>
      <c r="Y4202" t="s">
        <v>80170</v>
      </c>
    </row>
    <row r="4203" spans="1:25" x14ac:dyDescent="0.3">
      <c r="A4203">
        <v>210100</v>
      </c>
      <c r="B4203" t="s">
        <v>80171</v>
      </c>
      <c r="C4203" t="s">
        <v>80172</v>
      </c>
      <c r="D4203" t="s">
        <v>80173</v>
      </c>
      <c r="E4203" t="s">
        <v>80174</v>
      </c>
      <c r="F4203" t="s">
        <v>80175</v>
      </c>
      <c r="G4203" t="s">
        <v>80176</v>
      </c>
      <c r="H4203" t="s">
        <v>80177</v>
      </c>
      <c r="I4203" t="s">
        <v>80178</v>
      </c>
      <c r="J4203" t="s">
        <v>80179</v>
      </c>
      <c r="K4203" t="s">
        <v>80180</v>
      </c>
      <c r="L4203" t="s">
        <v>80181</v>
      </c>
      <c r="M4203" t="s">
        <v>80182</v>
      </c>
      <c r="N4203">
        <f>-656.169175770944 -14.5838206361868 -530.616993915365</f>
        <v>-1201.3699903224958</v>
      </c>
      <c r="O4203">
        <f>-668.59083828095 -166.390888722358 -496.918083703237</f>
        <v>-1331.8998107065449</v>
      </c>
      <c r="P4203">
        <f>-700.268097707738 -193.711735760678 -217.940114984843</f>
        <v>-1111.9199484532589</v>
      </c>
      <c r="Q4203">
        <f>-485.014825794512 -125.697742081776 -272.608548505948</f>
        <v>-883.32111638223591</v>
      </c>
      <c r="R4203" t="s">
        <v>80183</v>
      </c>
      <c r="S4203" t="s">
        <v>80184</v>
      </c>
      <c r="T4203" t="s">
        <v>80185</v>
      </c>
      <c r="U4203" t="s">
        <v>80186</v>
      </c>
      <c r="V4203">
        <f>-604.704463666722 -65.5197169047005 -94.0056993537221</f>
        <v>-764.22987992514459</v>
      </c>
      <c r="W4203" t="s">
        <v>80187</v>
      </c>
      <c r="X4203" t="s">
        <v>80188</v>
      </c>
      <c r="Y4203" t="s">
        <v>80189</v>
      </c>
    </row>
    <row r="4204" spans="1:25" x14ac:dyDescent="0.3">
      <c r="A4204">
        <v>210150</v>
      </c>
      <c r="B4204" t="s">
        <v>80190</v>
      </c>
      <c r="C4204" t="s">
        <v>80191</v>
      </c>
      <c r="D4204" t="s">
        <v>80192</v>
      </c>
      <c r="E4204" t="s">
        <v>80193</v>
      </c>
      <c r="F4204" t="s">
        <v>80194</v>
      </c>
      <c r="G4204" t="s">
        <v>80195</v>
      </c>
      <c r="H4204" t="s">
        <v>80196</v>
      </c>
      <c r="I4204" t="s">
        <v>80197</v>
      </c>
      <c r="J4204" t="s">
        <v>80198</v>
      </c>
      <c r="K4204" t="s">
        <v>80199</v>
      </c>
      <c r="L4204" t="s">
        <v>80200</v>
      </c>
      <c r="M4204" t="s">
        <v>80201</v>
      </c>
      <c r="N4204">
        <f>-655.969499852215 -14.6274212184126 -530.630726294505</f>
        <v>-1201.2276473651327</v>
      </c>
      <c r="O4204">
        <f>-668.345711534147 -166.447268616349 -496.95031981915</f>
        <v>-1331.7432999696459</v>
      </c>
      <c r="P4204">
        <f>-700.419386250333 -193.930383150111 -218.033711451934</f>
        <v>-1112.3834808523779</v>
      </c>
      <c r="Q4204">
        <f>-485.135282549263 -125.681456927401 -272.286577267156</f>
        <v>-883.10331674381996</v>
      </c>
      <c r="R4204" t="s">
        <v>80202</v>
      </c>
      <c r="S4204" t="s">
        <v>80203</v>
      </c>
      <c r="T4204" t="s">
        <v>80204</v>
      </c>
      <c r="U4204" t="s">
        <v>80205</v>
      </c>
      <c r="V4204">
        <f>-604.740218629358 -65.4632008268261 -94.0131605383694</f>
        <v>-764.21657999455351</v>
      </c>
      <c r="W4204" t="s">
        <v>80206</v>
      </c>
      <c r="X4204" t="s">
        <v>80207</v>
      </c>
      <c r="Y4204" t="s">
        <v>80208</v>
      </c>
    </row>
    <row r="4205" spans="1:25" x14ac:dyDescent="0.3">
      <c r="A4205">
        <v>210200</v>
      </c>
      <c r="B4205" t="s">
        <v>80209</v>
      </c>
      <c r="C4205" t="s">
        <v>80210</v>
      </c>
      <c r="D4205" t="s">
        <v>80211</v>
      </c>
      <c r="E4205" t="s">
        <v>80212</v>
      </c>
      <c r="F4205" t="s">
        <v>80213</v>
      </c>
      <c r="G4205" t="s">
        <v>80214</v>
      </c>
      <c r="H4205" t="s">
        <v>80215</v>
      </c>
      <c r="I4205" t="s">
        <v>80216</v>
      </c>
      <c r="J4205" t="s">
        <v>80217</v>
      </c>
      <c r="K4205" t="s">
        <v>80218</v>
      </c>
      <c r="L4205" t="s">
        <v>80219</v>
      </c>
      <c r="M4205" t="s">
        <v>80220</v>
      </c>
      <c r="N4205">
        <f>-655.715275045228 -14.6839633374943 -530.608661380868</f>
        <v>-1201.0078997635906</v>
      </c>
      <c r="O4205">
        <f>-667.949938182483 -166.514593661611 -496.912533473826</f>
        <v>-1331.3770653179199</v>
      </c>
      <c r="P4205">
        <f>-700.296023712524 -194.323095235623 -218.059591272135</f>
        <v>-1112.678710220282</v>
      </c>
      <c r="Q4205">
        <f>-484.965000266208 -125.638082995342 -271.570884650277</f>
        <v>-882.17396791182694</v>
      </c>
      <c r="R4205" t="s">
        <v>80221</v>
      </c>
      <c r="S4205" t="s">
        <v>80222</v>
      </c>
      <c r="T4205" t="s">
        <v>80223</v>
      </c>
      <c r="U4205" t="s">
        <v>80224</v>
      </c>
      <c r="V4205">
        <f>-604.695690975773 -65.3636782057449 -94.0289364934043</f>
        <v>-764.08830567492225</v>
      </c>
      <c r="W4205" t="s">
        <v>80225</v>
      </c>
      <c r="X4205" t="s">
        <v>80226</v>
      </c>
      <c r="Y4205" t="s">
        <v>80227</v>
      </c>
    </row>
    <row r="4206" spans="1:25" x14ac:dyDescent="0.3">
      <c r="A4206">
        <v>210250</v>
      </c>
      <c r="B4206" t="s">
        <v>80228</v>
      </c>
      <c r="C4206" t="s">
        <v>80229</v>
      </c>
      <c r="D4206" t="s">
        <v>80230</v>
      </c>
      <c r="E4206" t="s">
        <v>80231</v>
      </c>
      <c r="F4206" t="s">
        <v>80232</v>
      </c>
      <c r="G4206" t="s">
        <v>80233</v>
      </c>
      <c r="H4206" t="s">
        <v>80234</v>
      </c>
      <c r="I4206" t="s">
        <v>80235</v>
      </c>
      <c r="J4206" t="s">
        <v>80236</v>
      </c>
      <c r="K4206" t="s">
        <v>80237</v>
      </c>
      <c r="L4206" t="s">
        <v>80238</v>
      </c>
      <c r="M4206" t="s">
        <v>80239</v>
      </c>
      <c r="N4206">
        <f>-655.757164328871 -14.4595599570903 -530.589827970178</f>
        <v>-1200.8065522561392</v>
      </c>
      <c r="O4206">
        <f>-667.940087500007 -166.303054051436 -496.919874546852</f>
        <v>-1331.163016098295</v>
      </c>
      <c r="P4206">
        <f>-700.326965379769 -194.020793999194 -218.06246886101</f>
        <v>-1112.4102282399731</v>
      </c>
      <c r="Q4206">
        <f>-485.048072037073 -125.150691116152 -271.545547321728</f>
        <v>-881.74431047495295</v>
      </c>
      <c r="R4206" t="s">
        <v>80240</v>
      </c>
      <c r="S4206" t="s">
        <v>80241</v>
      </c>
      <c r="T4206" t="s">
        <v>80242</v>
      </c>
      <c r="U4206" t="s">
        <v>80243</v>
      </c>
      <c r="V4206">
        <f>-604.46463393781 -65.2332750643129 -94.0238824423362</f>
        <v>-763.7217914444592</v>
      </c>
      <c r="W4206" t="s">
        <v>80244</v>
      </c>
      <c r="X4206" t="s">
        <v>80245</v>
      </c>
      <c r="Y4206" t="s">
        <v>80246</v>
      </c>
    </row>
    <row r="4207" spans="1:25" x14ac:dyDescent="0.3">
      <c r="A4207">
        <v>210300</v>
      </c>
      <c r="B4207" t="s">
        <v>80247</v>
      </c>
      <c r="C4207" t="s">
        <v>80248</v>
      </c>
      <c r="D4207" t="s">
        <v>80249</v>
      </c>
      <c r="E4207" t="s">
        <v>80250</v>
      </c>
      <c r="F4207" t="s">
        <v>80251</v>
      </c>
      <c r="G4207" t="s">
        <v>80252</v>
      </c>
      <c r="H4207" t="s">
        <v>80253</v>
      </c>
      <c r="I4207" t="s">
        <v>80254</v>
      </c>
      <c r="J4207" t="s">
        <v>80255</v>
      </c>
      <c r="K4207" t="s">
        <v>80256</v>
      </c>
      <c r="L4207" t="s">
        <v>80257</v>
      </c>
      <c r="M4207" t="s">
        <v>80258</v>
      </c>
      <c r="N4207">
        <f>-655.604422243871 -14.2965357472506 -530.589492625995</f>
        <v>-1200.4904506171165</v>
      </c>
      <c r="O4207">
        <f>-667.762535813482 -166.152063679737 -496.963608831669</f>
        <v>-1330.878208324888</v>
      </c>
      <c r="P4207">
        <f>-700.172912775916 -193.819625751353 -218.104041177931</f>
        <v>-1112.0965797051999</v>
      </c>
      <c r="Q4207">
        <f>-484.927542306452 -124.943528747983 -271.714018269498</f>
        <v>-881.58508932393306</v>
      </c>
      <c r="R4207" t="s">
        <v>80259</v>
      </c>
      <c r="S4207" t="s">
        <v>80260</v>
      </c>
      <c r="T4207" t="s">
        <v>80261</v>
      </c>
      <c r="U4207" t="s">
        <v>80262</v>
      </c>
      <c r="V4207">
        <f>-604.332070698711 -65.1200197677392 -94.010997269526</f>
        <v>-763.46308773597627</v>
      </c>
      <c r="W4207" t="s">
        <v>80263</v>
      </c>
      <c r="X4207" t="s">
        <v>80264</v>
      </c>
      <c r="Y4207" t="s">
        <v>80265</v>
      </c>
    </row>
    <row r="4208" spans="1:25" x14ac:dyDescent="0.3">
      <c r="A4208">
        <v>210350</v>
      </c>
      <c r="B4208" t="s">
        <v>80266</v>
      </c>
      <c r="C4208" t="s">
        <v>80267</v>
      </c>
      <c r="D4208" t="s">
        <v>80268</v>
      </c>
      <c r="E4208" t="s">
        <v>80269</v>
      </c>
      <c r="F4208" t="s">
        <v>80270</v>
      </c>
      <c r="G4208" t="s">
        <v>80271</v>
      </c>
      <c r="H4208" t="s">
        <v>80272</v>
      </c>
      <c r="I4208" t="s">
        <v>80273</v>
      </c>
      <c r="J4208" t="s">
        <v>80274</v>
      </c>
      <c r="K4208" t="s">
        <v>80275</v>
      </c>
      <c r="L4208" t="s">
        <v>80276</v>
      </c>
      <c r="M4208" t="s">
        <v>80277</v>
      </c>
      <c r="N4208">
        <f>-655.393889679309 -14.1675360950742 -530.601220133012</f>
        <v>-1200.1626459073952</v>
      </c>
      <c r="O4208">
        <f>-667.476215573444 -166.035156815773 -497.042689712769</f>
        <v>-1330.5540621019861</v>
      </c>
      <c r="P4208">
        <f>-699.938607025358 -193.804963536744 -218.199334961224</f>
        <v>-1111.9429055233261</v>
      </c>
      <c r="Q4208">
        <f>-484.726100214554 -124.823682238258 -271.806210792857</f>
        <v>-881.35599324566897</v>
      </c>
      <c r="R4208" t="s">
        <v>80278</v>
      </c>
      <c r="S4208" t="s">
        <v>80279</v>
      </c>
      <c r="T4208" t="s">
        <v>80280</v>
      </c>
      <c r="U4208" t="s">
        <v>80281</v>
      </c>
      <c r="V4208">
        <f>-604.182250122827 -64.9809503792294 -93.9992231085737</f>
        <v>-763.16242361063007</v>
      </c>
      <c r="W4208" t="s">
        <v>80282</v>
      </c>
      <c r="X4208" t="s">
        <v>80283</v>
      </c>
      <c r="Y4208" t="s">
        <v>80284</v>
      </c>
    </row>
    <row r="4209" spans="1:25" x14ac:dyDescent="0.3">
      <c r="A4209">
        <v>210400</v>
      </c>
      <c r="B4209" t="s">
        <v>80285</v>
      </c>
      <c r="C4209" t="s">
        <v>80286</v>
      </c>
      <c r="D4209" t="s">
        <v>80287</v>
      </c>
      <c r="E4209" t="s">
        <v>80288</v>
      </c>
      <c r="F4209" t="s">
        <v>80289</v>
      </c>
      <c r="G4209" t="s">
        <v>80290</v>
      </c>
      <c r="H4209" t="s">
        <v>80291</v>
      </c>
      <c r="I4209" t="s">
        <v>80292</v>
      </c>
      <c r="J4209" t="s">
        <v>80293</v>
      </c>
      <c r="K4209" t="s">
        <v>80294</v>
      </c>
      <c r="L4209" t="s">
        <v>80295</v>
      </c>
      <c r="M4209" t="s">
        <v>80296</v>
      </c>
      <c r="N4209">
        <f>-654.91607710514 -14.1790155184767 -530.645493154413</f>
        <v>-1199.7405857780307</v>
      </c>
      <c r="O4209">
        <f>-666.701316813109 -166.111353531311 -497.266206486488</f>
        <v>-1330.078876830908</v>
      </c>
      <c r="P4209">
        <f>-699.226517163915 -194.565792745232 -218.499122770241</f>
        <v>-1112.291432679388</v>
      </c>
      <c r="Q4209">
        <f>-484.129715604031 -124.927756536107 -271.719922193626</f>
        <v>-880.77739433376405</v>
      </c>
      <c r="R4209" t="s">
        <v>80297</v>
      </c>
      <c r="S4209" t="s">
        <v>80298</v>
      </c>
      <c r="T4209" t="s">
        <v>80299</v>
      </c>
      <c r="U4209" t="s">
        <v>80300</v>
      </c>
      <c r="V4209">
        <f>-604.08152290907 -65.0422092368831 -93.9833477633995</f>
        <v>-763.10707990935259</v>
      </c>
      <c r="W4209" t="s">
        <v>80301</v>
      </c>
      <c r="X4209" t="s">
        <v>80302</v>
      </c>
      <c r="Y4209" t="s">
        <v>80303</v>
      </c>
    </row>
    <row r="4210" spans="1:25" x14ac:dyDescent="0.3">
      <c r="A4210">
        <v>210450</v>
      </c>
      <c r="B4210" t="s">
        <v>80304</v>
      </c>
      <c r="C4210" t="s">
        <v>80305</v>
      </c>
      <c r="D4210" t="s">
        <v>80306</v>
      </c>
      <c r="E4210" t="s">
        <v>80307</v>
      </c>
      <c r="F4210" t="s">
        <v>80308</v>
      </c>
      <c r="G4210" t="s">
        <v>80309</v>
      </c>
      <c r="H4210" t="s">
        <v>80310</v>
      </c>
      <c r="I4210" t="s">
        <v>80311</v>
      </c>
      <c r="J4210" t="s">
        <v>80312</v>
      </c>
      <c r="K4210" t="s">
        <v>80313</v>
      </c>
      <c r="L4210" t="s">
        <v>80314</v>
      </c>
      <c r="M4210" t="s">
        <v>80315</v>
      </c>
      <c r="N4210">
        <f>-654.763548254532 -14.2218924893668 -530.657595763128</f>
        <v>-1199.6430365070269</v>
      </c>
      <c r="O4210">
        <f>-666.326573228106 -166.189648901945 -497.359984056618</f>
        <v>-1329.8762061866689</v>
      </c>
      <c r="P4210">
        <f>-698.865371821686 -194.952840934332 -218.626185078608</f>
        <v>-1112.444397834626</v>
      </c>
      <c r="Q4210">
        <f>-483.848667095655 -124.951714387901 -271.694091868245</f>
        <v>-880.49447335180105</v>
      </c>
      <c r="R4210" t="s">
        <v>80316</v>
      </c>
      <c r="S4210" t="s">
        <v>80317</v>
      </c>
      <c r="T4210" t="s">
        <v>80318</v>
      </c>
      <c r="U4210" t="s">
        <v>80319</v>
      </c>
      <c r="V4210">
        <f>-604.016884386552 -65.1123412366869 -93.979556885611</f>
        <v>-763.10878250884991</v>
      </c>
      <c r="W4210" t="s">
        <v>80320</v>
      </c>
      <c r="X4210" t="s">
        <v>80321</v>
      </c>
      <c r="Y4210" t="s">
        <v>80322</v>
      </c>
    </row>
    <row r="4211" spans="1:25" x14ac:dyDescent="0.3">
      <c r="A4211">
        <v>210500</v>
      </c>
      <c r="B4211" t="s">
        <v>80323</v>
      </c>
      <c r="C4211" t="s">
        <v>80324</v>
      </c>
      <c r="D4211" t="s">
        <v>80325</v>
      </c>
      <c r="E4211" t="s">
        <v>80326</v>
      </c>
      <c r="F4211" t="s">
        <v>80327</v>
      </c>
      <c r="G4211" t="s">
        <v>80328</v>
      </c>
      <c r="H4211" t="s">
        <v>80329</v>
      </c>
      <c r="I4211" t="s">
        <v>80330</v>
      </c>
      <c r="J4211" t="s">
        <v>80331</v>
      </c>
      <c r="K4211" t="s">
        <v>80332</v>
      </c>
      <c r="L4211" t="s">
        <v>80333</v>
      </c>
      <c r="M4211" t="s">
        <v>80334</v>
      </c>
      <c r="N4211">
        <f>-654.734906423676 -14.3690402389821 -530.672842827796</f>
        <v>-1199.7767894904541</v>
      </c>
      <c r="O4211">
        <f>-666.00759773729 -166.3833789102 -497.478318415436</f>
        <v>-1329.8692950629261</v>
      </c>
      <c r="P4211">
        <f>-698.175624075679 -195.326821665725 -218.720330270425</f>
        <v>-1112.222776011829</v>
      </c>
      <c r="Q4211">
        <f>-483.340894053168 -124.804351517734 -271.834558799044</f>
        <v>-879.97980436994601</v>
      </c>
      <c r="R4211" t="s">
        <v>80335</v>
      </c>
      <c r="S4211" t="s">
        <v>80336</v>
      </c>
      <c r="T4211" t="s">
        <v>80337</v>
      </c>
      <c r="U4211" t="s">
        <v>80338</v>
      </c>
      <c r="V4211">
        <f>-603.796869509151 -65.2584197958201 -93.9845339188919</f>
        <v>-763.03982322386298</v>
      </c>
      <c r="W4211" t="s">
        <v>80339</v>
      </c>
      <c r="X4211" t="s">
        <v>80340</v>
      </c>
      <c r="Y4211" t="s">
        <v>80341</v>
      </c>
    </row>
    <row r="4212" spans="1:25" x14ac:dyDescent="0.3">
      <c r="A4212">
        <v>210550</v>
      </c>
      <c r="B4212" t="s">
        <v>80342</v>
      </c>
      <c r="C4212" t="s">
        <v>80343</v>
      </c>
      <c r="D4212" t="s">
        <v>80344</v>
      </c>
      <c r="E4212" t="s">
        <v>80345</v>
      </c>
      <c r="F4212" t="s">
        <v>80346</v>
      </c>
      <c r="G4212" t="s">
        <v>80347</v>
      </c>
      <c r="H4212" t="s">
        <v>80348</v>
      </c>
      <c r="I4212" t="s">
        <v>80349</v>
      </c>
      <c r="J4212" t="s">
        <v>80350</v>
      </c>
      <c r="K4212" t="s">
        <v>80351</v>
      </c>
      <c r="L4212" t="s">
        <v>80352</v>
      </c>
      <c r="M4212" t="s">
        <v>80353</v>
      </c>
      <c r="N4212">
        <f>-654.323135192888 -14.4571829613626 -530.658566065114</f>
        <v>-1199.4388842193646</v>
      </c>
      <c r="O4212">
        <f>-665.530668777205 -166.495943935947 -497.529378606775</f>
        <v>-1329.5559913199272</v>
      </c>
      <c r="P4212">
        <f>-697.362851117727 -195.592829664043 -218.748712330924</f>
        <v>-1111.7043931126941</v>
      </c>
      <c r="Q4212">
        <f>-482.756125309485 -124.656826238281 -272.232956556192</f>
        <v>-879.64590810395805</v>
      </c>
      <c r="R4212" t="s">
        <v>80354</v>
      </c>
      <c r="S4212" t="s">
        <v>80355</v>
      </c>
      <c r="T4212" t="s">
        <v>80356</v>
      </c>
      <c r="U4212" t="s">
        <v>80357</v>
      </c>
      <c r="V4212">
        <f>-603.535376110079 -65.2933797322489 -93.9686258275376</f>
        <v>-762.79738166986556</v>
      </c>
      <c r="W4212" t="s">
        <v>80358</v>
      </c>
      <c r="X4212" t="s">
        <v>80359</v>
      </c>
      <c r="Y4212" t="s">
        <v>80360</v>
      </c>
    </row>
    <row r="4213" spans="1:25" x14ac:dyDescent="0.3">
      <c r="A4213">
        <v>210600</v>
      </c>
      <c r="B4213" t="s">
        <v>80361</v>
      </c>
      <c r="C4213" t="s">
        <v>80362</v>
      </c>
      <c r="D4213" t="s">
        <v>80363</v>
      </c>
      <c r="E4213" t="s">
        <v>80364</v>
      </c>
      <c r="F4213" t="s">
        <v>80365</v>
      </c>
      <c r="G4213" t="s">
        <v>80366</v>
      </c>
      <c r="H4213" t="s">
        <v>80367</v>
      </c>
      <c r="I4213" t="s">
        <v>80368</v>
      </c>
      <c r="J4213" t="s">
        <v>80369</v>
      </c>
      <c r="K4213" t="s">
        <v>80370</v>
      </c>
      <c r="L4213" t="s">
        <v>80371</v>
      </c>
      <c r="M4213" t="s">
        <v>80372</v>
      </c>
      <c r="N4213">
        <f>-653.745583567008 -14.3779955495791 -530.702550716709</f>
        <v>-1198.8261298332959</v>
      </c>
      <c r="O4213">
        <f>-664.968771377341 -166.416656246381 -497.586136455252</f>
        <v>-1328.9715640789741</v>
      </c>
      <c r="P4213">
        <f>-696.716200667305 -195.582136058958 -218.802847331021</f>
        <v>-1111.1011840572839</v>
      </c>
      <c r="Q4213">
        <f>-482.170270664187 -124.530617004144 -272.377834705609</f>
        <v>-879.07872237394008</v>
      </c>
      <c r="R4213" t="s">
        <v>80373</v>
      </c>
      <c r="S4213" t="s">
        <v>80374</v>
      </c>
      <c r="T4213" t="s">
        <v>80375</v>
      </c>
      <c r="U4213" t="s">
        <v>80376</v>
      </c>
      <c r="V4213">
        <f>-603.433932562862 -65.309694517792 -93.9652355445246</f>
        <v>-762.70886262517854</v>
      </c>
      <c r="W4213" t="s">
        <v>80377</v>
      </c>
      <c r="X4213" t="s">
        <v>80378</v>
      </c>
      <c r="Y4213" t="s">
        <v>80379</v>
      </c>
    </row>
    <row r="4214" spans="1:25" x14ac:dyDescent="0.3">
      <c r="A4214">
        <v>210650</v>
      </c>
      <c r="B4214" t="s">
        <v>80380</v>
      </c>
      <c r="C4214" t="s">
        <v>80381</v>
      </c>
      <c r="D4214" t="s">
        <v>80382</v>
      </c>
      <c r="E4214" t="s">
        <v>80383</v>
      </c>
      <c r="F4214" t="s">
        <v>80384</v>
      </c>
      <c r="G4214" t="s">
        <v>80385</v>
      </c>
      <c r="H4214" t="s">
        <v>80386</v>
      </c>
      <c r="I4214" t="s">
        <v>80387</v>
      </c>
      <c r="J4214" t="s">
        <v>80388</v>
      </c>
      <c r="K4214" t="s">
        <v>80389</v>
      </c>
      <c r="L4214" t="s">
        <v>80390</v>
      </c>
      <c r="M4214" t="s">
        <v>80391</v>
      </c>
      <c r="N4214">
        <f>-652.382572079674 -14.1764532028551 -530.813622583447</f>
        <v>-1197.372647865976</v>
      </c>
      <c r="O4214">
        <f>-663.547038814309 -166.183844173407 -497.548274545449</f>
        <v>-1327.2791575331648</v>
      </c>
      <c r="P4214">
        <f>-695.35939889519 -195.169575109934 -218.753664717485</f>
        <v>-1109.2826387226089</v>
      </c>
      <c r="Q4214">
        <f>-480.726253523635 -124.361899905693 -272.302165883326</f>
        <v>-877.39031931265401</v>
      </c>
      <c r="R4214" t="s">
        <v>80392</v>
      </c>
      <c r="S4214" t="s">
        <v>80393</v>
      </c>
      <c r="T4214" t="s">
        <v>80394</v>
      </c>
      <c r="U4214" t="s">
        <v>80395</v>
      </c>
      <c r="V4214">
        <f>-603.27551329441 -65.3349919169034 -93.9967890336229</f>
        <v>-762.60729424493627</v>
      </c>
      <c r="W4214" t="s">
        <v>80396</v>
      </c>
      <c r="X4214" t="s">
        <v>80397</v>
      </c>
      <c r="Y4214" t="s">
        <v>80398</v>
      </c>
    </row>
    <row r="4215" spans="1:25" x14ac:dyDescent="0.3">
      <c r="A4215">
        <v>210700</v>
      </c>
      <c r="B4215" t="s">
        <v>80399</v>
      </c>
      <c r="C4215" t="s">
        <v>80400</v>
      </c>
      <c r="D4215" t="s">
        <v>80401</v>
      </c>
      <c r="E4215" t="s">
        <v>80402</v>
      </c>
      <c r="F4215" t="s">
        <v>80403</v>
      </c>
      <c r="G4215" t="s">
        <v>80404</v>
      </c>
      <c r="H4215" t="s">
        <v>80405</v>
      </c>
      <c r="I4215" t="s">
        <v>80406</v>
      </c>
      <c r="J4215" t="s">
        <v>80407</v>
      </c>
      <c r="K4215" t="s">
        <v>80408</v>
      </c>
      <c r="L4215" t="s">
        <v>80409</v>
      </c>
      <c r="M4215" t="s">
        <v>80410</v>
      </c>
      <c r="N4215">
        <f>-651.497217803092 -14.0324443321174 -530.827548194906</f>
        <v>-1196.3572103301153</v>
      </c>
      <c r="O4215">
        <f>-662.432939998259 -166.059778334311 -497.553456110352</f>
        <v>-1326.0461744429219</v>
      </c>
      <c r="P4215">
        <f>-694.633694496811 -194.553642768304 -218.752883843431</f>
        <v>-1107.940221108546</v>
      </c>
      <c r="Q4215">
        <f>-479.872200936365 -124.111498950903 -272.26860035687</f>
        <v>-876.25230024413804</v>
      </c>
      <c r="R4215" t="s">
        <v>80411</v>
      </c>
      <c r="S4215" t="s">
        <v>80412</v>
      </c>
      <c r="T4215" t="s">
        <v>80413</v>
      </c>
      <c r="U4215" t="s">
        <v>80414</v>
      </c>
      <c r="V4215">
        <f>-603.104130292484 -65.2928987296837 -94.0017891787468</f>
        <v>-762.39881820091443</v>
      </c>
      <c r="W4215" t="s">
        <v>80415</v>
      </c>
      <c r="X4215" t="s">
        <v>80416</v>
      </c>
      <c r="Y4215" t="s">
        <v>80417</v>
      </c>
    </row>
    <row r="4216" spans="1:25" x14ac:dyDescent="0.3">
      <c r="A4216">
        <v>210750</v>
      </c>
      <c r="B4216" t="s">
        <v>80418</v>
      </c>
      <c r="C4216" t="s">
        <v>80419</v>
      </c>
      <c r="D4216" t="s">
        <v>80420</v>
      </c>
      <c r="E4216" t="s">
        <v>80421</v>
      </c>
      <c r="F4216" t="s">
        <v>80422</v>
      </c>
      <c r="G4216" t="s">
        <v>80423</v>
      </c>
      <c r="H4216" t="s">
        <v>80424</v>
      </c>
      <c r="I4216" t="s">
        <v>80425</v>
      </c>
      <c r="J4216" t="s">
        <v>80426</v>
      </c>
      <c r="K4216" t="s">
        <v>80427</v>
      </c>
      <c r="L4216" t="s">
        <v>80428</v>
      </c>
      <c r="M4216" t="s">
        <v>80429</v>
      </c>
      <c r="N4216">
        <f>-650.632864981239 -13.4491926501271 -530.696170596178</f>
        <v>-1194.7782282275441</v>
      </c>
      <c r="O4216">
        <f>-661.04673245188 -165.528962198393 -497.497802478817</f>
        <v>-1324.0734971290899</v>
      </c>
      <c r="P4216">
        <f>-693.800679466697 -193.881590053539 -218.747203835768</f>
        <v>-1106.4294733560041</v>
      </c>
      <c r="Q4216">
        <f>-479.004281955498 -123.386423359474 -272.052961349693</f>
        <v>-874.44366666466499</v>
      </c>
      <c r="R4216" t="s">
        <v>80430</v>
      </c>
      <c r="S4216" t="s">
        <v>80431</v>
      </c>
      <c r="T4216" t="s">
        <v>80432</v>
      </c>
      <c r="U4216" t="s">
        <v>80433</v>
      </c>
      <c r="V4216">
        <f>-602.981325908013 -65.1973319030981 -93.9321111314455</f>
        <v>-762.11076894255655</v>
      </c>
      <c r="W4216" t="s">
        <v>80434</v>
      </c>
      <c r="X4216" t="s">
        <v>80435</v>
      </c>
      <c r="Y4216" t="s">
        <v>80436</v>
      </c>
    </row>
    <row r="4217" spans="1:25" x14ac:dyDescent="0.3">
      <c r="A4217">
        <v>210800</v>
      </c>
      <c r="B4217" t="s">
        <v>80437</v>
      </c>
      <c r="C4217" t="s">
        <v>80438</v>
      </c>
      <c r="D4217" t="s">
        <v>80439</v>
      </c>
      <c r="E4217" t="s">
        <v>80440</v>
      </c>
      <c r="F4217" t="s">
        <v>80441</v>
      </c>
      <c r="G4217" t="s">
        <v>80442</v>
      </c>
      <c r="H4217" t="s">
        <v>80443</v>
      </c>
      <c r="I4217" t="s">
        <v>80444</v>
      </c>
      <c r="J4217" t="s">
        <v>80445</v>
      </c>
      <c r="K4217" t="s">
        <v>80446</v>
      </c>
      <c r="L4217" t="s">
        <v>80447</v>
      </c>
      <c r="M4217" t="s">
        <v>80448</v>
      </c>
      <c r="N4217">
        <f>-650.440909544181 -13.0967268240511 -530.708672296199</f>
        <v>-1194.2463086644311</v>
      </c>
      <c r="O4217">
        <f>-660.619710001567 -165.191944340261 -497.531092086583</f>
        <v>-1323.3427464284109</v>
      </c>
      <c r="P4217">
        <f>-693.313677357588 -194.048870274664 -218.825137593547</f>
        <v>-1106.187685225799</v>
      </c>
      <c r="Q4217">
        <f>-478.632011317919 -123.066456141496 -271.945979021302</f>
        <v>-873.64444648071708</v>
      </c>
      <c r="R4217" t="s">
        <v>80449</v>
      </c>
      <c r="S4217" t="s">
        <v>80450</v>
      </c>
      <c r="T4217" t="s">
        <v>80451</v>
      </c>
      <c r="U4217" t="s">
        <v>80452</v>
      </c>
      <c r="V4217">
        <f>-603.068880789152 -65.0716816543684 -93.8996800489356</f>
        <v>-762.04024249245595</v>
      </c>
      <c r="W4217" t="s">
        <v>80453</v>
      </c>
      <c r="X4217" t="s">
        <v>80454</v>
      </c>
      <c r="Y4217" t="s">
        <v>80455</v>
      </c>
    </row>
    <row r="4218" spans="1:25" x14ac:dyDescent="0.3">
      <c r="A4218">
        <v>210850</v>
      </c>
      <c r="B4218" t="s">
        <v>80456</v>
      </c>
      <c r="C4218" t="s">
        <v>80457</v>
      </c>
      <c r="D4218" t="s">
        <v>80458</v>
      </c>
      <c r="E4218" t="s">
        <v>80459</v>
      </c>
      <c r="F4218" t="s">
        <v>80460</v>
      </c>
      <c r="G4218" t="s">
        <v>80461</v>
      </c>
      <c r="H4218" t="s">
        <v>80462</v>
      </c>
      <c r="I4218" t="s">
        <v>80463</v>
      </c>
      <c r="J4218" t="s">
        <v>80464</v>
      </c>
      <c r="K4218" t="s">
        <v>80465</v>
      </c>
      <c r="L4218" t="s">
        <v>80466</v>
      </c>
      <c r="M4218" t="s">
        <v>80467</v>
      </c>
      <c r="N4218">
        <f>-650.302246415413 -12.7850505343267 -530.716727713327</f>
        <v>-1193.8040246630667</v>
      </c>
      <c r="O4218">
        <f>-660.09336910998 -164.884365833241 -497.480262643282</f>
        <v>-1322.4579975865031</v>
      </c>
      <c r="P4218">
        <f>-692.753874847415 -194.24491616681 -218.823173748922</f>
        <v>-1105.821964763147</v>
      </c>
      <c r="Q4218">
        <f>-478.209908143849 -122.754632624765 -271.818790913209</f>
        <v>-872.78333168182303</v>
      </c>
      <c r="R4218" t="s">
        <v>80468</v>
      </c>
      <c r="S4218" t="s">
        <v>80469</v>
      </c>
      <c r="T4218" t="s">
        <v>80470</v>
      </c>
      <c r="U4218" t="s">
        <v>80471</v>
      </c>
      <c r="V4218">
        <f>-603.040397824029 -64.7662548990211 -93.8980515093482</f>
        <v>-761.70470423239829</v>
      </c>
      <c r="W4218" t="s">
        <v>80472</v>
      </c>
      <c r="X4218" t="s">
        <v>80473</v>
      </c>
      <c r="Y4218" t="s">
        <v>80474</v>
      </c>
    </row>
    <row r="4219" spans="1:25" x14ac:dyDescent="0.3">
      <c r="A4219">
        <v>210900</v>
      </c>
      <c r="B4219" t="s">
        <v>80475</v>
      </c>
      <c r="C4219" t="s">
        <v>80476</v>
      </c>
      <c r="D4219" t="s">
        <v>80477</v>
      </c>
      <c r="E4219" t="s">
        <v>80478</v>
      </c>
      <c r="F4219" t="s">
        <v>80479</v>
      </c>
      <c r="G4219" t="s">
        <v>80480</v>
      </c>
      <c r="H4219" t="s">
        <v>80481</v>
      </c>
      <c r="I4219" t="s">
        <v>80482</v>
      </c>
      <c r="J4219" t="s">
        <v>80483</v>
      </c>
      <c r="K4219" t="s">
        <v>80484</v>
      </c>
      <c r="L4219" t="s">
        <v>80485</v>
      </c>
      <c r="M4219" t="s">
        <v>80486</v>
      </c>
      <c r="N4219">
        <f>-650.696740975064 -12.5227562461821 -530.699449604117</f>
        <v>-1193.918946825363</v>
      </c>
      <c r="O4219">
        <f>-659.987698393528 -164.609907591043 -497.252524092125</f>
        <v>-1321.8501300766961</v>
      </c>
      <c r="P4219">
        <f>-692.711469489084 -194.417729423005 -218.650116208971</f>
        <v>-1105.7793151210601</v>
      </c>
      <c r="Q4219">
        <f>-478.394688487155 -122.017220585461 -271.328782426855</f>
        <v>-871.74069149947104</v>
      </c>
      <c r="R4219" t="s">
        <v>80487</v>
      </c>
      <c r="S4219" t="s">
        <v>80488</v>
      </c>
      <c r="T4219" t="s">
        <v>80489</v>
      </c>
      <c r="U4219" t="s">
        <v>80490</v>
      </c>
      <c r="V4219">
        <f>-603.396284307277 -64.7390850894678 -93.9281873663347</f>
        <v>-762.06355676307953</v>
      </c>
      <c r="W4219" t="s">
        <v>80491</v>
      </c>
      <c r="X4219" t="s">
        <v>80492</v>
      </c>
      <c r="Y4219" t="s">
        <v>80493</v>
      </c>
    </row>
    <row r="4220" spans="1:25" x14ac:dyDescent="0.3">
      <c r="A4220">
        <v>210950</v>
      </c>
      <c r="B4220" t="s">
        <v>80494</v>
      </c>
      <c r="C4220" t="s">
        <v>80495</v>
      </c>
      <c r="D4220" t="s">
        <v>80496</v>
      </c>
      <c r="E4220" t="s">
        <v>80497</v>
      </c>
      <c r="F4220" t="s">
        <v>80498</v>
      </c>
      <c r="G4220" t="s">
        <v>80499</v>
      </c>
      <c r="H4220" t="s">
        <v>80500</v>
      </c>
      <c r="I4220" t="s">
        <v>80501</v>
      </c>
      <c r="J4220" t="s">
        <v>80502</v>
      </c>
      <c r="K4220" t="s">
        <v>80503</v>
      </c>
      <c r="L4220" t="s">
        <v>80504</v>
      </c>
      <c r="M4220" t="s">
        <v>80505</v>
      </c>
      <c r="N4220">
        <f>-650.617043216182 -12.477147639763 -530.75148722456</f>
        <v>-1193.845678080505</v>
      </c>
      <c r="O4220">
        <f>-659.909594099642 -164.564391778906 -497.284099514098</f>
        <v>-1321.7580853926461</v>
      </c>
      <c r="P4220">
        <f>-692.521754724683 -194.457354731507 -218.67801494265</f>
        <v>-1105.6571243988399</v>
      </c>
      <c r="Q4220">
        <f>-478.296736541999 -121.813852640296 -271.394961458712</f>
        <v>-871.50555064100695</v>
      </c>
      <c r="R4220" t="s">
        <v>80506</v>
      </c>
      <c r="S4220" t="s">
        <v>80507</v>
      </c>
      <c r="T4220" t="s">
        <v>80508</v>
      </c>
      <c r="U4220" t="s">
        <v>80509</v>
      </c>
      <c r="V4220">
        <f>-603.730845282342 -64.6659260405531 -93.9379541172412</f>
        <v>-762.33472544013637</v>
      </c>
      <c r="W4220" t="s">
        <v>80510</v>
      </c>
      <c r="X4220" t="s">
        <v>80511</v>
      </c>
      <c r="Y4220" t="s">
        <v>80512</v>
      </c>
    </row>
    <row r="4221" spans="1:25" x14ac:dyDescent="0.3">
      <c r="A4221">
        <v>211000</v>
      </c>
      <c r="B4221" t="s">
        <v>80513</v>
      </c>
      <c r="C4221" t="s">
        <v>80514</v>
      </c>
      <c r="D4221" t="s">
        <v>80515</v>
      </c>
      <c r="E4221" t="s">
        <v>80516</v>
      </c>
      <c r="F4221" t="s">
        <v>80517</v>
      </c>
      <c r="G4221" t="s">
        <v>80518</v>
      </c>
      <c r="H4221" t="s">
        <v>80519</v>
      </c>
      <c r="I4221" t="s">
        <v>80520</v>
      </c>
      <c r="J4221" t="s">
        <v>80521</v>
      </c>
      <c r="K4221" t="s">
        <v>80522</v>
      </c>
      <c r="L4221" t="s">
        <v>80523</v>
      </c>
      <c r="M4221" t="s">
        <v>80524</v>
      </c>
      <c r="N4221">
        <f>-650.428722016652 -12.5547979956038 -530.793437270917</f>
        <v>-1193.776957283173</v>
      </c>
      <c r="O4221">
        <f>-659.656777319219 -164.601753003253 -497.103007236056</f>
        <v>-1321.3615375585282</v>
      </c>
      <c r="P4221">
        <f>-692.286360837523 -194.288183367497 -218.47679736855</f>
        <v>-1105.05134157357</v>
      </c>
      <c r="Q4221">
        <f>-478.162283379536 -121.695417005081 -271.67159377235</f>
        <v>-871.52929415696701</v>
      </c>
      <c r="R4221" t="s">
        <v>80525</v>
      </c>
      <c r="S4221" t="s">
        <v>80526</v>
      </c>
      <c r="T4221" t="s">
        <v>80527</v>
      </c>
      <c r="U4221" t="s">
        <v>80528</v>
      </c>
      <c r="V4221">
        <f>-604.347743431372 -64.2499979057359 -93.9567917272884</f>
        <v>-762.55453306439631</v>
      </c>
      <c r="W4221" t="s">
        <v>80529</v>
      </c>
      <c r="X4221" t="s">
        <v>80530</v>
      </c>
      <c r="Y4221" t="s">
        <v>80531</v>
      </c>
    </row>
    <row r="4222" spans="1:25" x14ac:dyDescent="0.3">
      <c r="A4222">
        <v>211050</v>
      </c>
      <c r="B4222" t="s">
        <v>80532</v>
      </c>
      <c r="C4222" t="s">
        <v>80533</v>
      </c>
      <c r="D4222" t="s">
        <v>80534</v>
      </c>
      <c r="E4222" t="s">
        <v>80535</v>
      </c>
      <c r="F4222" t="s">
        <v>80536</v>
      </c>
      <c r="G4222" t="s">
        <v>80537</v>
      </c>
      <c r="H4222" t="s">
        <v>80538</v>
      </c>
      <c r="I4222" t="s">
        <v>80539</v>
      </c>
      <c r="J4222" t="s">
        <v>80540</v>
      </c>
      <c r="K4222" t="s">
        <v>80541</v>
      </c>
      <c r="L4222" t="s">
        <v>80542</v>
      </c>
      <c r="M4222" t="s">
        <v>80543</v>
      </c>
      <c r="N4222">
        <f>-650.777478638297 -12.8088347851283 -530.782257940572</f>
        <v>-1194.3685713639973</v>
      </c>
      <c r="O4222">
        <f>-659.920873539376 -164.820849533157 -496.917498988967</f>
        <v>-1321.6592220615</v>
      </c>
      <c r="P4222">
        <f>-693.073143402227 -193.839438786393 -218.282608676095</f>
        <v>-1105.195190864715</v>
      </c>
      <c r="Q4222">
        <f>-478.815579332878 -121.551254002799 -271.354652026732</f>
        <v>-871.72148536240911</v>
      </c>
      <c r="R4222" t="s">
        <v>80544</v>
      </c>
      <c r="S4222" t="s">
        <v>80545</v>
      </c>
      <c r="T4222" t="s">
        <v>80546</v>
      </c>
      <c r="U4222" t="s">
        <v>80547</v>
      </c>
      <c r="V4222">
        <f>-605.467337327405 -64.4104476137245 -94.0082605377957</f>
        <v>-763.8860454789251</v>
      </c>
      <c r="W4222" t="s">
        <v>80548</v>
      </c>
      <c r="X4222" t="s">
        <v>80549</v>
      </c>
      <c r="Y4222" t="s">
        <v>80550</v>
      </c>
    </row>
    <row r="4223" spans="1:25" x14ac:dyDescent="0.3">
      <c r="A4223">
        <v>211100</v>
      </c>
      <c r="B4223" t="s">
        <v>80551</v>
      </c>
      <c r="C4223" t="s">
        <v>80552</v>
      </c>
      <c r="D4223" t="s">
        <v>80553</v>
      </c>
      <c r="E4223" t="s">
        <v>80554</v>
      </c>
      <c r="F4223" t="s">
        <v>80555</v>
      </c>
      <c r="G4223" t="s">
        <v>80556</v>
      </c>
      <c r="H4223" t="s">
        <v>80557</v>
      </c>
      <c r="I4223" t="s">
        <v>80558</v>
      </c>
      <c r="J4223" t="s">
        <v>80559</v>
      </c>
      <c r="K4223" t="s">
        <v>80560</v>
      </c>
      <c r="L4223" t="s">
        <v>80561</v>
      </c>
      <c r="M4223" t="s">
        <v>80562</v>
      </c>
      <c r="N4223">
        <f>-650.522200902005 -12.9154705062779 -530.814965894387</f>
        <v>-1194.2526373026699</v>
      </c>
      <c r="O4223">
        <f>-659.748179633843 -164.924211397682 -496.948867355087</f>
        <v>-1321.621258386612</v>
      </c>
      <c r="P4223">
        <f>-693.283313744481 -193.692227142507 -218.333717904835</f>
        <v>-1105.3092587918231</v>
      </c>
      <c r="Q4223">
        <f>-478.946101870403 -121.516161378777 -271.236708550618</f>
        <v>-871.69897179979807</v>
      </c>
      <c r="R4223" t="s">
        <v>80563</v>
      </c>
      <c r="S4223" t="s">
        <v>80564</v>
      </c>
      <c r="T4223" t="s">
        <v>80565</v>
      </c>
      <c r="U4223" t="s">
        <v>80566</v>
      </c>
      <c r="V4223">
        <f>-605.942562390828 -64.2418702768314 -93.9982750549393</f>
        <v>-764.18270772259871</v>
      </c>
      <c r="W4223" t="s">
        <v>80567</v>
      </c>
      <c r="X4223" t="s">
        <v>80568</v>
      </c>
      <c r="Y4223" t="s">
        <v>80569</v>
      </c>
    </row>
    <row r="4224" spans="1:25" x14ac:dyDescent="0.3">
      <c r="A4224">
        <v>211150</v>
      </c>
      <c r="B4224" t="s">
        <v>80570</v>
      </c>
      <c r="C4224" t="s">
        <v>80571</v>
      </c>
      <c r="D4224" t="s">
        <v>80572</v>
      </c>
      <c r="E4224" t="s">
        <v>80573</v>
      </c>
      <c r="F4224" t="s">
        <v>80574</v>
      </c>
      <c r="G4224" t="s">
        <v>80575</v>
      </c>
      <c r="H4224" t="s">
        <v>80576</v>
      </c>
      <c r="I4224" t="s">
        <v>80577</v>
      </c>
      <c r="J4224" t="s">
        <v>80578</v>
      </c>
      <c r="K4224" t="s">
        <v>80579</v>
      </c>
      <c r="L4224" t="s">
        <v>80580</v>
      </c>
      <c r="M4224" t="s">
        <v>80581</v>
      </c>
      <c r="N4224">
        <f>-650.115322184578 -12.9487506985263 -530.842910359915</f>
        <v>-1193.9069832430191</v>
      </c>
      <c r="O4224">
        <f>-659.479974788507 -164.96211869096 -497.037831080018</f>
        <v>-1321.479924559485</v>
      </c>
      <c r="P4224">
        <f>-693.519682010588 -193.627074361363 -218.473177801125</f>
        <v>-1105.619934173076</v>
      </c>
      <c r="Q4224">
        <f>-479.106631958173 -121.592153660983 -271.261255556057</f>
        <v>-871.96004117521306</v>
      </c>
      <c r="R4224" t="s">
        <v>80582</v>
      </c>
      <c r="S4224" t="s">
        <v>80583</v>
      </c>
      <c r="T4224" t="s">
        <v>80584</v>
      </c>
      <c r="U4224" t="s">
        <v>80585</v>
      </c>
      <c r="V4224">
        <f>-606.278731729305 -63.9608607885418 -93.9879514650777</f>
        <v>-764.22754398292454</v>
      </c>
      <c r="W4224" t="s">
        <v>80586</v>
      </c>
      <c r="X4224" t="s">
        <v>80587</v>
      </c>
      <c r="Y4224" t="s">
        <v>80588</v>
      </c>
    </row>
    <row r="4225" spans="1:25" x14ac:dyDescent="0.3">
      <c r="A4225">
        <v>211200</v>
      </c>
      <c r="B4225" t="s">
        <v>80589</v>
      </c>
      <c r="C4225" t="s">
        <v>80590</v>
      </c>
      <c r="D4225" t="s">
        <v>80591</v>
      </c>
      <c r="E4225" t="s">
        <v>80592</v>
      </c>
      <c r="F4225" t="s">
        <v>80593</v>
      </c>
      <c r="G4225" t="s">
        <v>80594</v>
      </c>
      <c r="H4225" t="s">
        <v>80595</v>
      </c>
      <c r="I4225" t="s">
        <v>80596</v>
      </c>
      <c r="J4225" t="s">
        <v>80597</v>
      </c>
      <c r="K4225" t="s">
        <v>80598</v>
      </c>
      <c r="L4225" t="s">
        <v>80599</v>
      </c>
      <c r="M4225" t="s">
        <v>80600</v>
      </c>
      <c r="N4225">
        <f>-649.524411254211 -12.5108770442268 -531.023919633139</f>
        <v>-1193.059207931577</v>
      </c>
      <c r="O4225">
        <f>-659.225095867548 -164.610974385504 -497.727305762023</f>
        <v>-1321.5633760150749</v>
      </c>
      <c r="P4225">
        <f>-694.189221322849 -193.267294288006 -219.276446141557</f>
        <v>-1106.7329617524119</v>
      </c>
      <c r="Q4225">
        <f>-479.358188732984 -121.823608137133 -271.16006660204</f>
        <v>-872.341863472157</v>
      </c>
      <c r="R4225" t="s">
        <v>80601</v>
      </c>
      <c r="S4225" t="s">
        <v>80602</v>
      </c>
      <c r="T4225" t="s">
        <v>80603</v>
      </c>
      <c r="U4225" t="s">
        <v>80604</v>
      </c>
      <c r="V4225">
        <f>-607.110385393948 -63.6892262531985 -94.0386480471282</f>
        <v>-764.83825969427471</v>
      </c>
      <c r="W4225" t="s">
        <v>80605</v>
      </c>
      <c r="X4225" t="s">
        <v>80606</v>
      </c>
      <c r="Y4225" t="s">
        <v>80607</v>
      </c>
    </row>
    <row r="4226" spans="1:25" x14ac:dyDescent="0.3">
      <c r="A4226">
        <v>211250</v>
      </c>
      <c r="B4226" t="s">
        <v>80608</v>
      </c>
      <c r="C4226" t="s">
        <v>80609</v>
      </c>
      <c r="D4226" t="s">
        <v>80610</v>
      </c>
      <c r="E4226" t="s">
        <v>80611</v>
      </c>
      <c r="F4226" t="s">
        <v>80612</v>
      </c>
      <c r="G4226" t="s">
        <v>80613</v>
      </c>
      <c r="H4226" t="s">
        <v>80614</v>
      </c>
      <c r="I4226" t="s">
        <v>80615</v>
      </c>
      <c r="J4226" t="s">
        <v>80616</v>
      </c>
      <c r="K4226" t="s">
        <v>80617</v>
      </c>
      <c r="L4226" t="s">
        <v>80618</v>
      </c>
      <c r="M4226" t="s">
        <v>80619</v>
      </c>
      <c r="N4226">
        <f>-650.797390607956 -12.2357758376284 -531.207791029923</f>
        <v>-1194.2409574755075</v>
      </c>
      <c r="O4226">
        <f>-660.654663732885 -164.446166065257 -498.49400334141</f>
        <v>-1323.5948331395521</v>
      </c>
      <c r="P4226">
        <f>-695.710825051077 -193.635420486614 -220.110123022214</f>
        <v>-1109.4563685599051</v>
      </c>
      <c r="Q4226">
        <f>-480.555690293143 -122.608033002029 -271.216856026886</f>
        <v>-874.38057932205811</v>
      </c>
      <c r="R4226" t="s">
        <v>80620</v>
      </c>
      <c r="S4226" t="s">
        <v>80621</v>
      </c>
      <c r="T4226" t="s">
        <v>80622</v>
      </c>
      <c r="U4226" t="s">
        <v>80623</v>
      </c>
      <c r="V4226">
        <f>-608.476959690869 -63.8196292967398 -94.0985314405493</f>
        <v>-766.39512042815807</v>
      </c>
      <c r="W4226" t="s">
        <v>80624</v>
      </c>
      <c r="X4226" t="s">
        <v>80625</v>
      </c>
      <c r="Y4226" t="s">
        <v>80626</v>
      </c>
    </row>
    <row r="4227" spans="1:25" x14ac:dyDescent="0.3">
      <c r="A4227">
        <v>211300</v>
      </c>
      <c r="B4227" t="s">
        <v>80627</v>
      </c>
      <c r="C4227" t="s">
        <v>80628</v>
      </c>
      <c r="D4227" t="s">
        <v>80629</v>
      </c>
      <c r="E4227" t="s">
        <v>80630</v>
      </c>
      <c r="F4227" t="s">
        <v>80631</v>
      </c>
      <c r="G4227" t="s">
        <v>80632</v>
      </c>
      <c r="H4227" t="s">
        <v>80633</v>
      </c>
      <c r="I4227" t="s">
        <v>80634</v>
      </c>
      <c r="J4227" t="s">
        <v>80635</v>
      </c>
      <c r="K4227" t="s">
        <v>80636</v>
      </c>
      <c r="L4227" t="s">
        <v>80637</v>
      </c>
      <c r="M4227" t="s">
        <v>80638</v>
      </c>
      <c r="N4227">
        <f>-651.034639798078 -12.2464126540274 -531.259965323238</f>
        <v>-1194.5410177753433</v>
      </c>
      <c r="O4227">
        <f>-661.098635302821 -164.47540588509 -498.667401224918</f>
        <v>-1324.241442412829</v>
      </c>
      <c r="P4227">
        <f>-695.76572443649 -193.926821949556 -220.262370079122</f>
        <v>-1109.954916465168</v>
      </c>
      <c r="Q4227">
        <f>-480.665134990032 -122.916169518348 -271.621414131121</f>
        <v>-875.20271863950109</v>
      </c>
      <c r="R4227" t="s">
        <v>80639</v>
      </c>
      <c r="S4227" t="s">
        <v>80640</v>
      </c>
      <c r="T4227" t="s">
        <v>80641</v>
      </c>
      <c r="U4227" t="s">
        <v>80642</v>
      </c>
      <c r="V4227">
        <f>-609.179053855312 -63.8705180097631 -94.1474700038605</f>
        <v>-767.19704186893557</v>
      </c>
      <c r="W4227" t="s">
        <v>80643</v>
      </c>
      <c r="X4227" t="s">
        <v>80644</v>
      </c>
      <c r="Y4227" t="s">
        <v>80645</v>
      </c>
    </row>
    <row r="4228" spans="1:25" x14ac:dyDescent="0.3">
      <c r="A4228">
        <v>211350</v>
      </c>
      <c r="B4228" t="s">
        <v>80646</v>
      </c>
      <c r="C4228" t="s">
        <v>80647</v>
      </c>
      <c r="D4228" t="s">
        <v>80648</v>
      </c>
      <c r="E4228" t="s">
        <v>80649</v>
      </c>
      <c r="F4228" t="s">
        <v>80650</v>
      </c>
      <c r="G4228" t="s">
        <v>80651</v>
      </c>
      <c r="H4228" t="s">
        <v>80652</v>
      </c>
      <c r="I4228" t="s">
        <v>80653</v>
      </c>
      <c r="J4228" t="s">
        <v>80654</v>
      </c>
      <c r="K4228" t="s">
        <v>80655</v>
      </c>
      <c r="L4228" t="s">
        <v>80656</v>
      </c>
      <c r="M4228" t="s">
        <v>80657</v>
      </c>
      <c r="N4228">
        <f>-651.037940505306 -12.1674188103268 -531.272163800787</f>
        <v>-1194.4775231164199</v>
      </c>
      <c r="O4228">
        <f>-661.481734907922 -164.398055415057 -498.789202715469</f>
        <v>-1324.668993038448</v>
      </c>
      <c r="P4228">
        <f>-695.758793628263 -193.893886503834 -220.340512596882</f>
        <v>-1109.993192728979</v>
      </c>
      <c r="Q4228">
        <f>-480.722354329595 -122.935184625407 -272.039131550498</f>
        <v>-875.69667050549992</v>
      </c>
      <c r="R4228" t="s">
        <v>80658</v>
      </c>
      <c r="S4228" t="s">
        <v>80659</v>
      </c>
      <c r="T4228" t="s">
        <v>80660</v>
      </c>
      <c r="U4228" t="s">
        <v>80661</v>
      </c>
      <c r="V4228">
        <f>-609.845405788148 -63.7892860276661 -94.1915359881751</f>
        <v>-767.82622780398924</v>
      </c>
      <c r="W4228" t="s">
        <v>80662</v>
      </c>
      <c r="X4228" t="s">
        <v>80663</v>
      </c>
      <c r="Y4228" t="s">
        <v>80664</v>
      </c>
    </row>
    <row r="4229" spans="1:25" x14ac:dyDescent="0.3">
      <c r="A4229">
        <v>211400</v>
      </c>
      <c r="B4229" t="s">
        <v>80665</v>
      </c>
      <c r="C4229" t="s">
        <v>80666</v>
      </c>
      <c r="D4229" t="s">
        <v>80667</v>
      </c>
      <c r="E4229" t="s">
        <v>80668</v>
      </c>
      <c r="F4229" t="s">
        <v>80669</v>
      </c>
      <c r="G4229" t="s">
        <v>80670</v>
      </c>
      <c r="H4229" t="s">
        <v>80671</v>
      </c>
      <c r="I4229" t="s">
        <v>80672</v>
      </c>
      <c r="J4229" t="s">
        <v>80673</v>
      </c>
      <c r="K4229" t="s">
        <v>80674</v>
      </c>
      <c r="L4229" t="s">
        <v>80675</v>
      </c>
      <c r="M4229" t="s">
        <v>80676</v>
      </c>
      <c r="N4229">
        <f>-651.547226831985 -11.9267672328861 -531.283946055231</f>
        <v>-1194.7579401201019</v>
      </c>
      <c r="O4229">
        <f>-662.894265573619 -164.139035867837 -499.026696573486</f>
        <v>-1326.059998014942</v>
      </c>
      <c r="P4229">
        <f>-697.241262488705 -193.281507774504 -220.549367287689</f>
        <v>-1111.0721375508981</v>
      </c>
      <c r="Q4229">
        <f>-482.219679047413 -122.507194204378 -272.561125553466</f>
        <v>-877.28799880525708</v>
      </c>
      <c r="R4229" t="s">
        <v>80677</v>
      </c>
      <c r="S4229" t="s">
        <v>80678</v>
      </c>
      <c r="T4229" t="s">
        <v>80679</v>
      </c>
      <c r="U4229" t="s">
        <v>80680</v>
      </c>
      <c r="V4229">
        <f>-611.035411593008 -63.7770825324785 -94.2112205494425</f>
        <v>-769.02371467492901</v>
      </c>
      <c r="W4229" t="s">
        <v>80681</v>
      </c>
      <c r="X4229" t="s">
        <v>80682</v>
      </c>
      <c r="Y4229" t="s">
        <v>80683</v>
      </c>
    </row>
    <row r="4230" spans="1:25" x14ac:dyDescent="0.3">
      <c r="A4230">
        <v>211450</v>
      </c>
      <c r="B4230" t="s">
        <v>80684</v>
      </c>
      <c r="C4230" t="s">
        <v>80685</v>
      </c>
      <c r="D4230" t="s">
        <v>80686</v>
      </c>
      <c r="E4230" t="s">
        <v>80687</v>
      </c>
      <c r="F4230" t="s">
        <v>80688</v>
      </c>
      <c r="G4230" t="s">
        <v>80689</v>
      </c>
      <c r="H4230" t="s">
        <v>80690</v>
      </c>
      <c r="I4230" t="s">
        <v>80691</v>
      </c>
      <c r="J4230" t="s">
        <v>80692</v>
      </c>
      <c r="K4230" t="s">
        <v>80693</v>
      </c>
      <c r="L4230" t="s">
        <v>80694</v>
      </c>
      <c r="M4230" t="s">
        <v>80695</v>
      </c>
      <c r="N4230">
        <f>-651.705345796748 -11.7321863129755 -531.292579085434</f>
        <v>-1194.7301111951574</v>
      </c>
      <c r="O4230">
        <f>-663.463514033906 -163.941323519871 -499.167291012777</f>
        <v>-1326.5721285665541</v>
      </c>
      <c r="P4230">
        <f>-698.464686305783 -193.079132442752 -220.770948856831</f>
        <v>-1112.3147676053659</v>
      </c>
      <c r="Q4230">
        <f>-483.357832079238 -122.445207162328 -272.62085819642</f>
        <v>-878.42389743798594</v>
      </c>
      <c r="R4230" t="s">
        <v>80696</v>
      </c>
      <c r="S4230" t="s">
        <v>80697</v>
      </c>
      <c r="T4230" t="s">
        <v>80698</v>
      </c>
      <c r="U4230" t="s">
        <v>80699</v>
      </c>
      <c r="V4230">
        <f>-611.336363636362 -63.6766603064564 -94.2064549586745</f>
        <v>-769.21947890149283</v>
      </c>
      <c r="W4230" t="s">
        <v>80700</v>
      </c>
      <c r="X4230" t="s">
        <v>80701</v>
      </c>
      <c r="Y4230" t="s">
        <v>80702</v>
      </c>
    </row>
    <row r="4231" spans="1:25" x14ac:dyDescent="0.3">
      <c r="A4231">
        <v>211500</v>
      </c>
      <c r="B4231" t="s">
        <v>80703</v>
      </c>
      <c r="C4231" t="s">
        <v>80704</v>
      </c>
      <c r="D4231" t="s">
        <v>80705</v>
      </c>
      <c r="E4231" t="s">
        <v>80706</v>
      </c>
      <c r="F4231" t="s">
        <v>80707</v>
      </c>
      <c r="G4231" t="s">
        <v>80708</v>
      </c>
      <c r="H4231" t="s">
        <v>80709</v>
      </c>
      <c r="I4231" t="s">
        <v>80710</v>
      </c>
      <c r="J4231" t="s">
        <v>80711</v>
      </c>
      <c r="K4231" t="s">
        <v>80712</v>
      </c>
      <c r="L4231" t="s">
        <v>80713</v>
      </c>
      <c r="M4231" t="s">
        <v>80714</v>
      </c>
      <c r="N4231">
        <f>-652.051114718144 -11.6561123314104 -531.309967138191</f>
        <v>-1195.0171941877456</v>
      </c>
      <c r="O4231">
        <f>-664.170350862905 -163.878758687148 -499.418172067686</f>
        <v>-1327.467281617739</v>
      </c>
      <c r="P4231">
        <f>-700.723949076044 -193.666182755111 -221.290289756067</f>
        <v>-1115.6804215872221</v>
      </c>
      <c r="Q4231">
        <f>-485.233724429751 -123.280452241696 -271.870376372064</f>
        <v>-880.384553043511</v>
      </c>
      <c r="R4231" t="s">
        <v>80715</v>
      </c>
      <c r="S4231" t="s">
        <v>80716</v>
      </c>
      <c r="T4231" t="s">
        <v>80717</v>
      </c>
      <c r="U4231" t="s">
        <v>80718</v>
      </c>
      <c r="V4231">
        <f>-611.670367658198 -63.6365608556412 -94.2100581422183</f>
        <v>-769.51698665605738</v>
      </c>
      <c r="W4231" t="s">
        <v>80719</v>
      </c>
      <c r="X4231" t="s">
        <v>80720</v>
      </c>
      <c r="Y4231" t="s">
        <v>80721</v>
      </c>
    </row>
    <row r="4232" spans="1:25" x14ac:dyDescent="0.3">
      <c r="A4232">
        <v>211550</v>
      </c>
      <c r="B4232" t="s">
        <v>80722</v>
      </c>
      <c r="C4232" t="s">
        <v>80723</v>
      </c>
      <c r="D4232" t="s">
        <v>80724</v>
      </c>
      <c r="E4232" t="s">
        <v>80725</v>
      </c>
      <c r="F4232" t="s">
        <v>80726</v>
      </c>
      <c r="G4232" t="s">
        <v>80727</v>
      </c>
      <c r="H4232" t="s">
        <v>80728</v>
      </c>
      <c r="I4232" t="s">
        <v>80729</v>
      </c>
      <c r="J4232" t="s">
        <v>80730</v>
      </c>
      <c r="K4232" t="s">
        <v>80731</v>
      </c>
      <c r="L4232" t="s">
        <v>80732</v>
      </c>
      <c r="M4232" t="s">
        <v>80733</v>
      </c>
      <c r="N4232">
        <f>-652.260635672144 -11.5774820511508 -531.357592118454</f>
        <v>-1195.1957098417488</v>
      </c>
      <c r="O4232">
        <f>-664.405188133134 -163.839139722843 -499.645521283054</f>
        <v>-1327.889849139031</v>
      </c>
      <c r="P4232">
        <f>-701.466214910964 -194.061367972977 -221.631756862502</f>
        <v>-1117.159339746443</v>
      </c>
      <c r="Q4232">
        <f>-485.728613452669 -123.89173486192 -271.45194632323</f>
        <v>-881.07229463781903</v>
      </c>
      <c r="R4232" t="s">
        <v>80734</v>
      </c>
      <c r="S4232" t="s">
        <v>80735</v>
      </c>
      <c r="T4232" t="s">
        <v>80736</v>
      </c>
      <c r="U4232" t="s">
        <v>80737</v>
      </c>
      <c r="V4232">
        <f>-611.808693526247 -63.6318952645684 -94.2388773191561</f>
        <v>-769.67946610997149</v>
      </c>
      <c r="W4232" t="s">
        <v>80738</v>
      </c>
      <c r="X4232" t="s">
        <v>80739</v>
      </c>
      <c r="Y4232" t="s">
        <v>80740</v>
      </c>
    </row>
    <row r="4233" spans="1:25" x14ac:dyDescent="0.3">
      <c r="A4233">
        <v>211600</v>
      </c>
      <c r="B4233" t="s">
        <v>80741</v>
      </c>
      <c r="C4233" t="s">
        <v>80742</v>
      </c>
      <c r="D4233" t="s">
        <v>80743</v>
      </c>
      <c r="E4233" t="s">
        <v>80744</v>
      </c>
      <c r="F4233" t="s">
        <v>80745</v>
      </c>
      <c r="G4233" t="s">
        <v>80746</v>
      </c>
      <c r="H4233" t="s">
        <v>80747</v>
      </c>
      <c r="I4233" t="s">
        <v>80748</v>
      </c>
      <c r="J4233" t="s">
        <v>80749</v>
      </c>
      <c r="K4233" t="s">
        <v>80750</v>
      </c>
      <c r="L4233" t="s">
        <v>80751</v>
      </c>
      <c r="M4233" t="s">
        <v>80752</v>
      </c>
      <c r="N4233">
        <f>-652.622750432521 -10.978358913349 -531.461097391629</f>
        <v>-1195.0622067374989</v>
      </c>
      <c r="O4233">
        <f>-664.521135912904 -163.364872143038 -500.251857557795</f>
        <v>-1328.1378656137372</v>
      </c>
      <c r="P4233">
        <f>-702.008093975011 -194.569843523175 -222.403628194712</f>
        <v>-1118.9815656928979</v>
      </c>
      <c r="Q4233">
        <f>-485.957520711692 -124.672071872145 -271.239915714532</f>
        <v>-881.86950829836894</v>
      </c>
      <c r="R4233" t="s">
        <v>80753</v>
      </c>
      <c r="S4233" t="s">
        <v>80754</v>
      </c>
      <c r="T4233" t="s">
        <v>80755</v>
      </c>
      <c r="U4233" t="s">
        <v>80756</v>
      </c>
      <c r="V4233">
        <f>-612.120678206952 -63.5107748921789 -94.2892130296216</f>
        <v>-769.92066612875249</v>
      </c>
      <c r="W4233" t="s">
        <v>80757</v>
      </c>
      <c r="X4233" t="s">
        <v>80758</v>
      </c>
      <c r="Y4233" t="s">
        <v>80759</v>
      </c>
    </row>
    <row r="4234" spans="1:25" x14ac:dyDescent="0.3">
      <c r="A4234">
        <v>211650</v>
      </c>
      <c r="B4234" t="s">
        <v>80760</v>
      </c>
      <c r="C4234" t="s">
        <v>80761</v>
      </c>
      <c r="D4234" t="s">
        <v>80762</v>
      </c>
      <c r="E4234" t="s">
        <v>80763</v>
      </c>
      <c r="F4234" t="s">
        <v>80764</v>
      </c>
      <c r="G4234" t="s">
        <v>80765</v>
      </c>
      <c r="H4234" t="s">
        <v>80766</v>
      </c>
      <c r="I4234" t="s">
        <v>80767</v>
      </c>
      <c r="J4234" t="s">
        <v>80768</v>
      </c>
      <c r="K4234" t="s">
        <v>80769</v>
      </c>
      <c r="L4234" t="s">
        <v>80770</v>
      </c>
      <c r="M4234" t="s">
        <v>80771</v>
      </c>
      <c r="N4234">
        <f>-652.675084323296 -10.6675862306381 -531.541141506977</f>
        <v>-1194.8838120609112</v>
      </c>
      <c r="O4234">
        <f>-664.39605665141 -163.126993982631 -500.593634932926</f>
        <v>-1328.1166855669671</v>
      </c>
      <c r="P4234">
        <f>-701.840972166199 -194.783248989784 -222.790961514747</f>
        <v>-1119.41518267073</v>
      </c>
      <c r="Q4234">
        <f>-485.823371060555 -124.729007715227 -271.54903274704</f>
        <v>-882.10141152282199</v>
      </c>
      <c r="R4234" t="s">
        <v>80772</v>
      </c>
      <c r="S4234" t="s">
        <v>80773</v>
      </c>
      <c r="T4234" t="s">
        <v>80774</v>
      </c>
      <c r="U4234" t="s">
        <v>80775</v>
      </c>
      <c r="V4234">
        <f>-612.28938074087 -63.534796111403 -94.3167591869242</f>
        <v>-770.14093603919719</v>
      </c>
      <c r="W4234" t="s">
        <v>80776</v>
      </c>
      <c r="X4234" t="s">
        <v>80777</v>
      </c>
      <c r="Y4234" t="s">
        <v>80778</v>
      </c>
    </row>
    <row r="4235" spans="1:25" x14ac:dyDescent="0.3">
      <c r="A4235">
        <v>211700</v>
      </c>
      <c r="B4235" t="s">
        <v>80779</v>
      </c>
      <c r="C4235" t="s">
        <v>80780</v>
      </c>
      <c r="D4235" t="s">
        <v>80781</v>
      </c>
      <c r="E4235" t="s">
        <v>80782</v>
      </c>
      <c r="F4235" t="s">
        <v>80783</v>
      </c>
      <c r="G4235" t="s">
        <v>80784</v>
      </c>
      <c r="H4235" t="s">
        <v>80785</v>
      </c>
      <c r="I4235" t="s">
        <v>80786</v>
      </c>
      <c r="J4235" t="s">
        <v>80787</v>
      </c>
      <c r="K4235" t="s">
        <v>80788</v>
      </c>
      <c r="L4235" t="s">
        <v>80789</v>
      </c>
      <c r="M4235" t="s">
        <v>80790</v>
      </c>
      <c r="N4235">
        <f>-652.244618139948 -10.0175610402889 -531.629598936224</f>
        <v>-1193.891778116461</v>
      </c>
      <c r="O4235">
        <f>-663.70555104753 -162.606294069534 -501.258118956182</f>
        <v>-1327.569964073246</v>
      </c>
      <c r="P4235">
        <f>-700.866748238878 -195.079671497951 -223.511633787035</f>
        <v>-1119.458053523864</v>
      </c>
      <c r="Q4235">
        <f>-485.203553004689 -124.140189212075 -272.557749290058</f>
        <v>-881.90149150682191</v>
      </c>
      <c r="R4235" t="s">
        <v>80791</v>
      </c>
      <c r="S4235" t="s">
        <v>80792</v>
      </c>
      <c r="T4235" t="s">
        <v>80793</v>
      </c>
      <c r="U4235" t="s">
        <v>80794</v>
      </c>
      <c r="V4235">
        <f>-612.568007009088 -63.4440762917932 -94.3246938822321</f>
        <v>-770.33677718311321</v>
      </c>
      <c r="W4235" t="s">
        <v>80795</v>
      </c>
      <c r="X4235" t="s">
        <v>80796</v>
      </c>
      <c r="Y4235" t="s">
        <v>80797</v>
      </c>
    </row>
    <row r="4236" spans="1:25" x14ac:dyDescent="0.3">
      <c r="A4236">
        <v>211750</v>
      </c>
      <c r="B4236" t="s">
        <v>80798</v>
      </c>
      <c r="C4236" t="s">
        <v>80799</v>
      </c>
      <c r="D4236" t="s">
        <v>80800</v>
      </c>
      <c r="E4236" t="s">
        <v>80801</v>
      </c>
      <c r="F4236" t="s">
        <v>80802</v>
      </c>
      <c r="G4236" t="s">
        <v>80803</v>
      </c>
      <c r="H4236" t="s">
        <v>80804</v>
      </c>
      <c r="I4236" t="s">
        <v>80805</v>
      </c>
      <c r="J4236" t="s">
        <v>80806</v>
      </c>
      <c r="K4236" t="s">
        <v>80807</v>
      </c>
      <c r="L4236" t="s">
        <v>80808</v>
      </c>
      <c r="M4236" t="s">
        <v>80809</v>
      </c>
      <c r="N4236">
        <f>-652.238769441211 -9.77576738807215 -531.654155375523</f>
        <v>-1193.6686922048061</v>
      </c>
      <c r="O4236">
        <f>-663.530775773437 -162.430785550811 -501.558202115113</f>
        <v>-1327.519763439361</v>
      </c>
      <c r="P4236">
        <f>-700.634510610855 -195.392871663419 -223.861540952979</f>
        <v>-1119.8889232272531</v>
      </c>
      <c r="Q4236">
        <f>-485.194471675883 -123.751622203546 -272.868118042741</f>
        <v>-881.81421192216999</v>
      </c>
      <c r="R4236" t="s">
        <v>80810</v>
      </c>
      <c r="S4236" t="s">
        <v>80811</v>
      </c>
      <c r="T4236" t="s">
        <v>80812</v>
      </c>
      <c r="U4236" t="s">
        <v>80813</v>
      </c>
      <c r="V4236">
        <f>-612.703342652117 -63.516665222824 -94.3268677259452</f>
        <v>-770.54687560088632</v>
      </c>
      <c r="W4236" t="s">
        <v>80814</v>
      </c>
      <c r="X4236" t="s">
        <v>80815</v>
      </c>
      <c r="Y4236" t="s">
        <v>80816</v>
      </c>
    </row>
    <row r="4237" spans="1:25" x14ac:dyDescent="0.3">
      <c r="A4237">
        <v>211800</v>
      </c>
      <c r="B4237" t="s">
        <v>80817</v>
      </c>
      <c r="C4237" t="s">
        <v>80818</v>
      </c>
      <c r="D4237" t="s">
        <v>80819</v>
      </c>
      <c r="E4237" t="s">
        <v>80820</v>
      </c>
      <c r="F4237" t="s">
        <v>80821</v>
      </c>
      <c r="G4237" t="s">
        <v>80822</v>
      </c>
      <c r="H4237" t="s">
        <v>80823</v>
      </c>
      <c r="I4237" t="s">
        <v>80824</v>
      </c>
      <c r="J4237" t="s">
        <v>80825</v>
      </c>
      <c r="K4237" t="s">
        <v>80826</v>
      </c>
      <c r="L4237" t="s">
        <v>80827</v>
      </c>
      <c r="M4237" t="s">
        <v>80828</v>
      </c>
      <c r="N4237">
        <f>-652.450493234723 -9.40166780334766 -531.697553592651</f>
        <v>-1193.5497146307216</v>
      </c>
      <c r="O4237">
        <f>-663.302866923869 -162.185846042655 -502.099112667033</f>
        <v>-1327.587825633557</v>
      </c>
      <c r="P4237">
        <f>-700.29315233367 -196.001223215151 -224.489927702196</f>
        <v>-1120.784303251017</v>
      </c>
      <c r="Q4237">
        <f>-485.232036940009 -122.867771391503 -272.953749086833</f>
        <v>-881.05355741834501</v>
      </c>
      <c r="R4237" t="s">
        <v>80829</v>
      </c>
      <c r="S4237" t="s">
        <v>80830</v>
      </c>
      <c r="T4237" t="s">
        <v>80831</v>
      </c>
      <c r="U4237" t="s">
        <v>80832</v>
      </c>
      <c r="V4237">
        <f>-613.037947788779 -63.852786363766 -94.3333003748835</f>
        <v>-771.22403452742844</v>
      </c>
      <c r="W4237" t="s">
        <v>80833</v>
      </c>
      <c r="X4237" t="s">
        <v>80834</v>
      </c>
      <c r="Y4237" t="s">
        <v>80835</v>
      </c>
    </row>
    <row r="4238" spans="1:25" x14ac:dyDescent="0.3">
      <c r="A4238">
        <v>211850</v>
      </c>
      <c r="B4238" t="s">
        <v>80836</v>
      </c>
      <c r="C4238" t="s">
        <v>80837</v>
      </c>
      <c r="D4238" t="s">
        <v>80838</v>
      </c>
      <c r="E4238" t="s">
        <v>80839</v>
      </c>
      <c r="F4238" t="s">
        <v>80840</v>
      </c>
      <c r="G4238" t="s">
        <v>80841</v>
      </c>
      <c r="H4238" t="s">
        <v>80842</v>
      </c>
      <c r="I4238" t="s">
        <v>80843</v>
      </c>
      <c r="J4238" t="s">
        <v>80844</v>
      </c>
      <c r="K4238" t="s">
        <v>80845</v>
      </c>
      <c r="L4238" t="s">
        <v>80846</v>
      </c>
      <c r="M4238" t="s">
        <v>80847</v>
      </c>
      <c r="N4238">
        <f>-652.547876101848 -9.2856164025975 -531.731683313746</f>
        <v>-1193.5651758181916</v>
      </c>
      <c r="O4238">
        <f>-663.234084304744 -162.114317676611 -502.285923099926</f>
        <v>-1327.6343250812811</v>
      </c>
      <c r="P4238">
        <f>-700.103649203985 -196.304324996013 -224.706754672236</f>
        <v>-1121.1147288722341</v>
      </c>
      <c r="Q4238">
        <f>-485.183993491545 -122.617525334709 -272.959459822368</f>
        <v>-880.76097864862197</v>
      </c>
      <c r="R4238" t="s">
        <v>80848</v>
      </c>
      <c r="S4238" t="s">
        <v>80849</v>
      </c>
      <c r="T4238" t="s">
        <v>80850</v>
      </c>
      <c r="U4238" t="s">
        <v>80851</v>
      </c>
      <c r="V4238">
        <f>-613.149364411575 -63.981023489486 -94.3375784081915</f>
        <v>-771.46796630925246</v>
      </c>
      <c r="W4238" t="s">
        <v>80852</v>
      </c>
      <c r="X4238" t="s">
        <v>80853</v>
      </c>
      <c r="Y4238" t="s">
        <v>80854</v>
      </c>
    </row>
    <row r="4239" spans="1:25" x14ac:dyDescent="0.3">
      <c r="A4239">
        <v>211900</v>
      </c>
      <c r="B4239" t="s">
        <v>80855</v>
      </c>
      <c r="C4239" t="s">
        <v>80856</v>
      </c>
      <c r="D4239" t="s">
        <v>80857</v>
      </c>
      <c r="E4239" t="s">
        <v>80858</v>
      </c>
      <c r="F4239" t="s">
        <v>80859</v>
      </c>
      <c r="G4239" t="s">
        <v>80860</v>
      </c>
      <c r="H4239" t="s">
        <v>80861</v>
      </c>
      <c r="I4239" t="s">
        <v>80862</v>
      </c>
      <c r="J4239" t="s">
        <v>80863</v>
      </c>
      <c r="K4239" t="s">
        <v>80864</v>
      </c>
      <c r="L4239" t="s">
        <v>80865</v>
      </c>
      <c r="M4239" t="s">
        <v>80866</v>
      </c>
      <c r="N4239">
        <f>-652.618749549122 -8.94224204390503 -531.80417807685</f>
        <v>-1193.3651696698771</v>
      </c>
      <c r="O4239">
        <f>-663.171362583682 -161.837016370893 -502.645666395961</f>
        <v>-1327.6540453505361</v>
      </c>
      <c r="P4239">
        <f>-699.92498314115 -196.35166587399 -225.091092329244</f>
        <v>-1121.3677413443841</v>
      </c>
      <c r="Q4239">
        <f>-485.132890028586 -122.220650314368 -273.230935604659</f>
        <v>-880.5844759476131</v>
      </c>
      <c r="R4239" t="s">
        <v>80867</v>
      </c>
      <c r="S4239" t="s">
        <v>80868</v>
      </c>
      <c r="T4239" t="s">
        <v>80869</v>
      </c>
      <c r="U4239" t="s">
        <v>80870</v>
      </c>
      <c r="V4239">
        <f>-613.288799964603 -64.1715225445901 -94.3633049468046</f>
        <v>-771.82362745599767</v>
      </c>
      <c r="W4239" t="s">
        <v>80871</v>
      </c>
      <c r="X4239" t="s">
        <v>80872</v>
      </c>
      <c r="Y4239" t="s">
        <v>80873</v>
      </c>
    </row>
    <row r="4240" spans="1:25" x14ac:dyDescent="0.3">
      <c r="A4240">
        <v>211950</v>
      </c>
      <c r="B4240" t="s">
        <v>80874</v>
      </c>
      <c r="C4240" t="s">
        <v>80875</v>
      </c>
      <c r="D4240" t="s">
        <v>80876</v>
      </c>
      <c r="E4240" t="s">
        <v>80877</v>
      </c>
      <c r="F4240" t="s">
        <v>80878</v>
      </c>
      <c r="G4240" t="s">
        <v>80879</v>
      </c>
      <c r="H4240" t="s">
        <v>80880</v>
      </c>
      <c r="I4240" t="s">
        <v>80881</v>
      </c>
      <c r="J4240" t="s">
        <v>80882</v>
      </c>
      <c r="K4240" t="s">
        <v>80883</v>
      </c>
      <c r="L4240" t="s">
        <v>80884</v>
      </c>
      <c r="M4240" t="s">
        <v>80885</v>
      </c>
      <c r="N4240">
        <f>-652.544380302374 -8.47746134744762 -531.829363710991</f>
        <v>-1192.8512053608124</v>
      </c>
      <c r="O4240">
        <f>-663.193066138703 -161.408499829022 -502.914270929541</f>
        <v>-1327.5158368972661</v>
      </c>
      <c r="P4240">
        <f>-699.818118230042 -196.182817198799 -225.375200022882</f>
        <v>-1121.376135451723</v>
      </c>
      <c r="Q4240">
        <f>-485.059921707751 -122.073708750998 -273.700505602023</f>
        <v>-880.83413606077204</v>
      </c>
      <c r="R4240" t="s">
        <v>80886</v>
      </c>
      <c r="S4240" t="s">
        <v>80887</v>
      </c>
      <c r="T4240" t="s">
        <v>80888</v>
      </c>
      <c r="U4240" t="s">
        <v>80889</v>
      </c>
      <c r="V4240">
        <f>-613.363558462267 -64.2276537858775 -94.348631560877</f>
        <v>-771.93984380902145</v>
      </c>
      <c r="W4240" t="s">
        <v>80890</v>
      </c>
      <c r="X4240" t="s">
        <v>80891</v>
      </c>
      <c r="Y4240" t="s">
        <v>80892</v>
      </c>
    </row>
    <row r="4241" spans="1:25" x14ac:dyDescent="0.3">
      <c r="A4241">
        <v>212000</v>
      </c>
      <c r="B4241" t="s">
        <v>80893</v>
      </c>
      <c r="C4241" t="s">
        <v>80894</v>
      </c>
      <c r="D4241" t="s">
        <v>80895</v>
      </c>
      <c r="E4241" t="s">
        <v>80896</v>
      </c>
      <c r="F4241" t="s">
        <v>80897</v>
      </c>
      <c r="G4241" t="s">
        <v>80898</v>
      </c>
      <c r="H4241" t="s">
        <v>80899</v>
      </c>
      <c r="I4241" t="s">
        <v>80900</v>
      </c>
      <c r="J4241" t="s">
        <v>80901</v>
      </c>
      <c r="K4241" t="s">
        <v>80902</v>
      </c>
      <c r="L4241" t="s">
        <v>80903</v>
      </c>
      <c r="M4241" t="s">
        <v>80904</v>
      </c>
      <c r="N4241">
        <f>-652.432478241968 -8.26222626626304 -531.834984955617</f>
        <v>-1192.5296894638482</v>
      </c>
      <c r="O4241">
        <f>-663.131324264734 -161.208870908334 -503.007072899358</f>
        <v>-1327.347268072426</v>
      </c>
      <c r="P4241">
        <f>-699.716114052958 -196.080884211721 -225.47496565947</f>
        <v>-1121.2719639241491</v>
      </c>
      <c r="Q4241">
        <f>-484.940908169264 -122.052162912825 -273.847409080356</f>
        <v>-880.84048016244503</v>
      </c>
      <c r="R4241" t="s">
        <v>80905</v>
      </c>
      <c r="S4241" t="s">
        <v>80906</v>
      </c>
      <c r="T4241" t="s">
        <v>80907</v>
      </c>
      <c r="U4241" t="s">
        <v>80908</v>
      </c>
      <c r="V4241">
        <f>-613.394893604358 -64.1825998720922 -94.3332416727409</f>
        <v>-771.91073514919105</v>
      </c>
      <c r="W4241" t="s">
        <v>80909</v>
      </c>
      <c r="X4241" t="s">
        <v>80910</v>
      </c>
      <c r="Y4241" t="s">
        <v>80911</v>
      </c>
    </row>
    <row r="4242" spans="1:25" x14ac:dyDescent="0.3">
      <c r="A4242">
        <v>212050</v>
      </c>
      <c r="B4242" t="s">
        <v>80912</v>
      </c>
      <c r="C4242" t="s">
        <v>80913</v>
      </c>
      <c r="D4242" t="s">
        <v>80914</v>
      </c>
      <c r="E4242" t="s">
        <v>80915</v>
      </c>
      <c r="F4242" t="s">
        <v>80916</v>
      </c>
      <c r="G4242" t="s">
        <v>80917</v>
      </c>
      <c r="H4242" t="s">
        <v>80918</v>
      </c>
      <c r="I4242" t="s">
        <v>80919</v>
      </c>
      <c r="J4242" t="s">
        <v>80920</v>
      </c>
      <c r="K4242" t="s">
        <v>80921</v>
      </c>
      <c r="L4242" t="s">
        <v>80922</v>
      </c>
      <c r="M4242" t="s">
        <v>80923</v>
      </c>
      <c r="N4242">
        <f>-652.425873079098 -8.06529106590551 -531.843077907886</f>
        <v>-1192.3342420528895</v>
      </c>
      <c r="O4242">
        <f>-663.182903921503 -161.01104434521 -503.051152830424</f>
        <v>-1327.245101097137</v>
      </c>
      <c r="P4242">
        <f>-699.724237056381 -195.978620063292 -225.525439872767</f>
        <v>-1121.2282969924399</v>
      </c>
      <c r="Q4242">
        <f>-484.922600352851 -122.021611948012 -273.890214030125</f>
        <v>-880.83442633098798</v>
      </c>
      <c r="R4242" t="s">
        <v>80924</v>
      </c>
      <c r="S4242" t="s">
        <v>80925</v>
      </c>
      <c r="T4242" t="s">
        <v>80926</v>
      </c>
      <c r="U4242" t="s">
        <v>80927</v>
      </c>
      <c r="V4242">
        <f>-613.453653442984 -64.1205637417738 -94.3221953174718</f>
        <v>-771.89641250222962</v>
      </c>
      <c r="W4242" t="s">
        <v>80928</v>
      </c>
      <c r="X4242" t="s">
        <v>80929</v>
      </c>
      <c r="Y4242" t="s">
        <v>80930</v>
      </c>
    </row>
    <row r="4243" spans="1:25" x14ac:dyDescent="0.3">
      <c r="A4243">
        <v>212100</v>
      </c>
      <c r="B4243" t="s">
        <v>80931</v>
      </c>
      <c r="C4243" t="s">
        <v>80932</v>
      </c>
      <c r="D4243" t="s">
        <v>80933</v>
      </c>
      <c r="E4243" t="s">
        <v>80934</v>
      </c>
      <c r="F4243" t="s">
        <v>80935</v>
      </c>
      <c r="G4243" t="s">
        <v>80936</v>
      </c>
      <c r="H4243" t="s">
        <v>80937</v>
      </c>
      <c r="I4243" t="s">
        <v>80938</v>
      </c>
      <c r="J4243" t="s">
        <v>80939</v>
      </c>
      <c r="K4243" t="s">
        <v>80940</v>
      </c>
      <c r="L4243" t="s">
        <v>80941</v>
      </c>
      <c r="M4243" t="s">
        <v>80942</v>
      </c>
      <c r="N4243">
        <f>-652.391494804394 -7.76765078220956 -531.850567776418</f>
        <v>-1192.0097133630215</v>
      </c>
      <c r="O4243">
        <f>-663.169479770571 -160.721946908496 -503.112316938262</f>
        <v>-1327.0037436173288</v>
      </c>
      <c r="P4243">
        <f>-699.851234470052 -195.824676947101 -225.6221387431</f>
        <v>-1121.2980501602531</v>
      </c>
      <c r="Q4243">
        <f>-484.981572878255 -121.963831328843 -273.83116134234</f>
        <v>-880.77656554943803</v>
      </c>
      <c r="R4243" t="s">
        <v>80943</v>
      </c>
      <c r="S4243" t="s">
        <v>80944</v>
      </c>
      <c r="T4243" t="s">
        <v>80945</v>
      </c>
      <c r="U4243" t="s">
        <v>80946</v>
      </c>
      <c r="V4243">
        <f>-613.48282862781 -64.02890009404 -94.3177321521227</f>
        <v>-771.82946087397272</v>
      </c>
      <c r="W4243" t="s">
        <v>80947</v>
      </c>
      <c r="X4243" t="s">
        <v>80948</v>
      </c>
      <c r="Y4243" t="s">
        <v>80949</v>
      </c>
    </row>
    <row r="4244" spans="1:25" x14ac:dyDescent="0.3">
      <c r="A4244">
        <v>212150</v>
      </c>
      <c r="B4244" t="s">
        <v>80950</v>
      </c>
      <c r="C4244" t="s">
        <v>80951</v>
      </c>
      <c r="D4244" t="s">
        <v>80952</v>
      </c>
      <c r="E4244" t="s">
        <v>80953</v>
      </c>
      <c r="F4244" t="s">
        <v>80954</v>
      </c>
      <c r="G4244" t="s">
        <v>80955</v>
      </c>
      <c r="H4244" t="s">
        <v>80956</v>
      </c>
      <c r="I4244" t="s">
        <v>80957</v>
      </c>
      <c r="J4244" t="s">
        <v>80958</v>
      </c>
      <c r="K4244" t="s">
        <v>80959</v>
      </c>
      <c r="L4244" t="s">
        <v>80960</v>
      </c>
      <c r="M4244" t="s">
        <v>80961</v>
      </c>
      <c r="N4244">
        <f>-652.406718577628 -7.6230666562783 -531.846478930207</f>
        <v>-1191.8762641641133</v>
      </c>
      <c r="O4244">
        <f>-663.180827259929 -160.577602100725 -503.13352701547</f>
        <v>-1326.891956376124</v>
      </c>
      <c r="P4244">
        <f>-699.914473978263 -195.702921352418 -225.652957885665</f>
        <v>-1121.2703532163459</v>
      </c>
      <c r="Q4244">
        <f>-485.048649749244 -121.782472340048 -273.788037854333</f>
        <v>-880.61915994362494</v>
      </c>
      <c r="R4244" t="s">
        <v>80962</v>
      </c>
      <c r="S4244" t="s">
        <v>80963</v>
      </c>
      <c r="T4244" t="s">
        <v>80964</v>
      </c>
      <c r="U4244" t="s">
        <v>80965</v>
      </c>
      <c r="V4244">
        <f>-613.548241854156 -63.9076025311081 -94.3031960386415</f>
        <v>-771.75904042390562</v>
      </c>
      <c r="W4244" t="s">
        <v>80966</v>
      </c>
      <c r="X4244" t="s">
        <v>80967</v>
      </c>
      <c r="Y4244" t="s">
        <v>80968</v>
      </c>
    </row>
    <row r="4245" spans="1:25" x14ac:dyDescent="0.3">
      <c r="A4245">
        <v>212200</v>
      </c>
      <c r="B4245" t="s">
        <v>80969</v>
      </c>
      <c r="C4245" t="s">
        <v>80970</v>
      </c>
      <c r="D4245" t="s">
        <v>80971</v>
      </c>
      <c r="E4245" t="s">
        <v>80972</v>
      </c>
      <c r="F4245" t="s">
        <v>80973</v>
      </c>
      <c r="G4245" t="s">
        <v>80974</v>
      </c>
      <c r="H4245" t="s">
        <v>80975</v>
      </c>
      <c r="I4245" t="s">
        <v>80976</v>
      </c>
      <c r="J4245" t="s">
        <v>80977</v>
      </c>
      <c r="K4245" t="s">
        <v>80978</v>
      </c>
      <c r="L4245" t="s">
        <v>80979</v>
      </c>
      <c r="M4245" t="s">
        <v>80980</v>
      </c>
      <c r="N4245">
        <f>-652.497806525556 -7.62109261553496 -531.841145021447</f>
        <v>-1191.960044162538</v>
      </c>
      <c r="O4245">
        <f>-663.253298191321 -160.579777770735 -503.115180219163</f>
        <v>-1326.948256181219</v>
      </c>
      <c r="P4245">
        <f>-699.957606934573 -195.688334457941 -225.628714572526</f>
        <v>-1121.27465596504</v>
      </c>
      <c r="Q4245">
        <f>-485.127216207708 -121.688922062674 -273.800527519035</f>
        <v>-880.61666578941697</v>
      </c>
      <c r="R4245" t="s">
        <v>80981</v>
      </c>
      <c r="S4245" t="s">
        <v>80982</v>
      </c>
      <c r="T4245" t="s">
        <v>80983</v>
      </c>
      <c r="U4245" t="s">
        <v>80984</v>
      </c>
      <c r="V4245">
        <f>-613.555544231445 -63.8585101000367 -94.3046891452067</f>
        <v>-771.71874347668836</v>
      </c>
      <c r="W4245" t="s">
        <v>80985</v>
      </c>
      <c r="X4245" t="s">
        <v>80986</v>
      </c>
      <c r="Y4245" t="s">
        <v>80987</v>
      </c>
    </row>
    <row r="4246" spans="1:25" x14ac:dyDescent="0.3">
      <c r="A4246">
        <v>212250</v>
      </c>
      <c r="B4246" t="s">
        <v>80988</v>
      </c>
      <c r="C4246" t="s">
        <v>80989</v>
      </c>
      <c r="D4246" t="s">
        <v>80990</v>
      </c>
      <c r="E4246" t="s">
        <v>80991</v>
      </c>
      <c r="F4246" t="s">
        <v>80992</v>
      </c>
      <c r="G4246" t="s">
        <v>80993</v>
      </c>
      <c r="H4246" t="s">
        <v>80994</v>
      </c>
      <c r="I4246" t="s">
        <v>80995</v>
      </c>
      <c r="J4246" t="s">
        <v>80996</v>
      </c>
      <c r="K4246" t="s">
        <v>80997</v>
      </c>
      <c r="L4246" t="s">
        <v>80998</v>
      </c>
      <c r="M4246" t="s">
        <v>80999</v>
      </c>
      <c r="N4246">
        <f>-652.542747893031 -7.59872186161101 -531.835477894115</f>
        <v>-1191.976947648757</v>
      </c>
      <c r="O4246">
        <f>-663.351496151868 -160.554268694081 -503.093922316936</f>
        <v>-1326.999687162885</v>
      </c>
      <c r="P4246">
        <f>-699.904759831236 -195.616457761735 -225.581488487802</f>
        <v>-1121.102706080773</v>
      </c>
      <c r="Q4246">
        <f>-485.13086665038 -121.511420180763 -273.842975878649</f>
        <v>-880.48526270979198</v>
      </c>
      <c r="R4246" t="s">
        <v>81000</v>
      </c>
      <c r="S4246" t="s">
        <v>81001</v>
      </c>
      <c r="T4246" t="s">
        <v>81002</v>
      </c>
      <c r="U4246" t="s">
        <v>81003</v>
      </c>
      <c r="V4246">
        <f>-613.552825830574 -63.825359991162 -94.2987512552313</f>
        <v>-771.67693707696731</v>
      </c>
      <c r="W4246" t="s">
        <v>81004</v>
      </c>
      <c r="X4246" t="s">
        <v>81005</v>
      </c>
      <c r="Y4246" t="s">
        <v>81006</v>
      </c>
    </row>
    <row r="4247" spans="1:25" x14ac:dyDescent="0.3">
      <c r="A4247">
        <v>212300</v>
      </c>
      <c r="B4247" t="s">
        <v>81007</v>
      </c>
      <c r="C4247" t="s">
        <v>81008</v>
      </c>
      <c r="D4247" t="s">
        <v>81009</v>
      </c>
      <c r="E4247" t="s">
        <v>81010</v>
      </c>
      <c r="F4247" t="s">
        <v>81011</v>
      </c>
      <c r="G4247" t="s">
        <v>81012</v>
      </c>
      <c r="H4247" t="s">
        <v>81013</v>
      </c>
      <c r="I4247" t="s">
        <v>81014</v>
      </c>
      <c r="J4247" t="s">
        <v>81015</v>
      </c>
      <c r="K4247" t="s">
        <v>81016</v>
      </c>
      <c r="L4247" t="s">
        <v>81017</v>
      </c>
      <c r="M4247" t="s">
        <v>81018</v>
      </c>
      <c r="N4247">
        <f>-652.367654468853 -7.61478596488359 -531.829841084213</f>
        <v>-1191.8122815179495</v>
      </c>
      <c r="O4247">
        <f>-663.199235556471 -160.556203684234 -503.044091739336</f>
        <v>-1326.799530980041</v>
      </c>
      <c r="P4247">
        <f>-699.652309557019 -195.525862193517 -225.506872371071</f>
        <v>-1120.685044121607</v>
      </c>
      <c r="Q4247">
        <f>-484.967259002029 -121.279005496689 -273.945024910156</f>
        <v>-880.19128940887401</v>
      </c>
      <c r="R4247" t="s">
        <v>81019</v>
      </c>
      <c r="S4247" t="s">
        <v>81020</v>
      </c>
      <c r="T4247" t="s">
        <v>81021</v>
      </c>
      <c r="U4247" t="s">
        <v>81022</v>
      </c>
      <c r="V4247">
        <f>-613.517540948109 -63.6754204393419 -94.2870279139539</f>
        <v>-771.47998930140477</v>
      </c>
      <c r="W4247" t="s">
        <v>81023</v>
      </c>
      <c r="X4247" t="s">
        <v>81024</v>
      </c>
      <c r="Y4247" t="s">
        <v>81025</v>
      </c>
    </row>
    <row r="4248" spans="1:25" x14ac:dyDescent="0.3">
      <c r="A4248">
        <v>212350</v>
      </c>
      <c r="B4248" t="s">
        <v>81026</v>
      </c>
      <c r="C4248" t="s">
        <v>81027</v>
      </c>
      <c r="D4248" t="s">
        <v>81028</v>
      </c>
      <c r="E4248" t="s">
        <v>81029</v>
      </c>
      <c r="F4248" t="s">
        <v>81030</v>
      </c>
      <c r="G4248" t="s">
        <v>81031</v>
      </c>
      <c r="H4248" t="s">
        <v>81032</v>
      </c>
      <c r="I4248" t="s">
        <v>81033</v>
      </c>
      <c r="J4248" t="s">
        <v>81034</v>
      </c>
      <c r="K4248" t="s">
        <v>81035</v>
      </c>
      <c r="L4248" t="s">
        <v>81036</v>
      </c>
      <c r="M4248" t="s">
        <v>81037</v>
      </c>
      <c r="N4248">
        <f>-652.321053479976 -7.68378807659246 -531.822087531497</f>
        <v>-1191.8269290880653</v>
      </c>
      <c r="O4248">
        <f>-663.135072441242 -160.622792327401 -502.993636457497</f>
        <v>-1326.7515012261401</v>
      </c>
      <c r="P4248">
        <f>-699.536134360356 -195.521038862057 -225.440673220899</f>
        <v>-1120.497846443312</v>
      </c>
      <c r="Q4248">
        <f>-484.871236313886 -121.259622804133 -273.946165369566</f>
        <v>-880.07702448758505</v>
      </c>
      <c r="R4248" t="s">
        <v>81038</v>
      </c>
      <c r="S4248" t="s">
        <v>81039</v>
      </c>
      <c r="T4248" t="s">
        <v>81040</v>
      </c>
      <c r="U4248" t="s">
        <v>81041</v>
      </c>
      <c r="V4248">
        <f>-613.450689907197 -63.625371833393 -94.2836824163217</f>
        <v>-771.35974415691169</v>
      </c>
      <c r="W4248" t="s">
        <v>81042</v>
      </c>
      <c r="X4248" t="s">
        <v>81043</v>
      </c>
      <c r="Y4248" t="s">
        <v>81044</v>
      </c>
    </row>
    <row r="4249" spans="1:25" x14ac:dyDescent="0.3">
      <c r="A4249">
        <v>212400</v>
      </c>
      <c r="B4249" t="s">
        <v>81045</v>
      </c>
      <c r="C4249" t="s">
        <v>81046</v>
      </c>
      <c r="D4249" t="s">
        <v>81047</v>
      </c>
      <c r="E4249" t="s">
        <v>81048</v>
      </c>
      <c r="F4249" t="s">
        <v>81049</v>
      </c>
      <c r="G4249" t="s">
        <v>81050</v>
      </c>
      <c r="H4249" t="s">
        <v>81051</v>
      </c>
      <c r="I4249" t="s">
        <v>81052</v>
      </c>
      <c r="J4249" t="s">
        <v>81053</v>
      </c>
      <c r="K4249" t="s">
        <v>81054</v>
      </c>
      <c r="L4249" t="s">
        <v>81055</v>
      </c>
      <c r="M4249" t="s">
        <v>81056</v>
      </c>
      <c r="N4249">
        <f>-652.192178297805 -7.84552113416203 -531.794418641357</f>
        <v>-1191.832118073324</v>
      </c>
      <c r="O4249">
        <f>-663.011565368103 -160.774115513449 -502.92449252621</f>
        <v>-1326.7101734077619</v>
      </c>
      <c r="P4249">
        <f>-699.200058039416 -195.590623510129 -225.333423932952</f>
        <v>-1120.124105482497</v>
      </c>
      <c r="Q4249">
        <f>-484.545500000115 -121.374998581305 -273.954608645122</f>
        <v>-879.87510722654201</v>
      </c>
      <c r="R4249" t="s">
        <v>81057</v>
      </c>
      <c r="S4249" t="s">
        <v>81058</v>
      </c>
      <c r="T4249" t="s">
        <v>81059</v>
      </c>
      <c r="U4249" t="s">
        <v>81060</v>
      </c>
      <c r="V4249">
        <f>-613.081922590503 -63.5602277543264 -94.2727446896259</f>
        <v>-770.91489503445541</v>
      </c>
      <c r="W4249" t="s">
        <v>81061</v>
      </c>
      <c r="X4249" t="s">
        <v>81062</v>
      </c>
      <c r="Y4249" t="s">
        <v>81063</v>
      </c>
    </row>
    <row r="4250" spans="1:25" x14ac:dyDescent="0.3">
      <c r="A4250">
        <v>212450</v>
      </c>
      <c r="B4250" t="s">
        <v>81064</v>
      </c>
      <c r="C4250" t="s">
        <v>81065</v>
      </c>
      <c r="D4250" t="s">
        <v>81066</v>
      </c>
      <c r="E4250" t="s">
        <v>81067</v>
      </c>
      <c r="F4250" t="s">
        <v>81068</v>
      </c>
      <c r="G4250" t="s">
        <v>81069</v>
      </c>
      <c r="H4250" t="s">
        <v>81070</v>
      </c>
      <c r="I4250" t="s">
        <v>81071</v>
      </c>
      <c r="J4250" t="s">
        <v>81072</v>
      </c>
      <c r="K4250" t="s">
        <v>81073</v>
      </c>
      <c r="L4250" t="s">
        <v>81074</v>
      </c>
      <c r="M4250" t="s">
        <v>81075</v>
      </c>
      <c r="N4250">
        <f>-652.112644185396 -7.85386828493074 -531.784409328576</f>
        <v>-1191.7509217989027</v>
      </c>
      <c r="O4250">
        <f>-662.950813492841 -160.777450345039 -502.896721733882</f>
        <v>-1326.624985571762</v>
      </c>
      <c r="P4250">
        <f>-699.007758281599 -195.577479034731 -225.286582357489</f>
        <v>-1119.8718196738191</v>
      </c>
      <c r="Q4250">
        <f>-484.349918042387 -121.420020809678 -273.981725374245</f>
        <v>-879.75166422631003</v>
      </c>
      <c r="R4250" t="s">
        <v>81076</v>
      </c>
      <c r="S4250" t="s">
        <v>81077</v>
      </c>
      <c r="T4250" t="s">
        <v>81078</v>
      </c>
      <c r="U4250" t="s">
        <v>81079</v>
      </c>
      <c r="V4250">
        <f>-612.866569943921 -63.472853217987 -94.2650529252211</f>
        <v>-770.60447608712911</v>
      </c>
      <c r="W4250" t="s">
        <v>81080</v>
      </c>
      <c r="X4250" t="s">
        <v>81081</v>
      </c>
      <c r="Y4250" t="s">
        <v>81082</v>
      </c>
    </row>
    <row r="4251" spans="1:25" x14ac:dyDescent="0.3">
      <c r="A4251">
        <v>212500</v>
      </c>
      <c r="B4251" t="s">
        <v>81083</v>
      </c>
      <c r="C4251" t="s">
        <v>81084</v>
      </c>
      <c r="D4251" t="s">
        <v>81085</v>
      </c>
      <c r="E4251" t="s">
        <v>81086</v>
      </c>
      <c r="F4251" t="s">
        <v>81087</v>
      </c>
      <c r="G4251" t="s">
        <v>81088</v>
      </c>
      <c r="H4251" t="s">
        <v>81089</v>
      </c>
      <c r="I4251" t="s">
        <v>81090</v>
      </c>
      <c r="J4251" t="s">
        <v>81091</v>
      </c>
      <c r="K4251" t="s">
        <v>81092</v>
      </c>
      <c r="L4251" t="s">
        <v>81093</v>
      </c>
      <c r="M4251" t="s">
        <v>81094</v>
      </c>
      <c r="N4251">
        <f>-652.141412931283 -7.85428955484736 -531.732932974548</f>
        <v>-1191.7286354606783</v>
      </c>
      <c r="O4251">
        <f>-662.951220201969 -160.765384839913 -502.780074698947</f>
        <v>-1326.496679740829</v>
      </c>
      <c r="P4251">
        <f>-698.772469940262 -195.502709690027 -225.131440272819</f>
        <v>-1119.4066199031081</v>
      </c>
      <c r="Q4251">
        <f>-484.105044667446 -121.412566270115 -273.886732034499</f>
        <v>-879.40434297206002</v>
      </c>
      <c r="R4251" t="s">
        <v>81095</v>
      </c>
      <c r="S4251" t="s">
        <v>81096</v>
      </c>
      <c r="T4251" t="s">
        <v>81097</v>
      </c>
      <c r="U4251" t="s">
        <v>81098</v>
      </c>
      <c r="V4251">
        <f>-612.454027145982 -63.3786437473582 -94.2406540936843</f>
        <v>-770.07332498702442</v>
      </c>
      <c r="W4251" t="s">
        <v>81099</v>
      </c>
      <c r="X4251" t="s">
        <v>81100</v>
      </c>
      <c r="Y4251" t="s">
        <v>81101</v>
      </c>
    </row>
    <row r="4252" spans="1:25" x14ac:dyDescent="0.3">
      <c r="A4252">
        <v>212550</v>
      </c>
      <c r="B4252" t="s">
        <v>81102</v>
      </c>
      <c r="C4252" t="s">
        <v>81103</v>
      </c>
      <c r="D4252" t="s">
        <v>81104</v>
      </c>
      <c r="E4252" t="s">
        <v>81105</v>
      </c>
      <c r="F4252" t="s">
        <v>81106</v>
      </c>
      <c r="G4252" t="s">
        <v>81107</v>
      </c>
      <c r="H4252" t="s">
        <v>81108</v>
      </c>
      <c r="I4252" t="s">
        <v>81109</v>
      </c>
      <c r="J4252" t="s">
        <v>81110</v>
      </c>
      <c r="K4252" t="s">
        <v>81111</v>
      </c>
      <c r="L4252" t="s">
        <v>81112</v>
      </c>
      <c r="M4252" t="s">
        <v>81113</v>
      </c>
      <c r="N4252">
        <f>-652.632186505489 -7.94290785095905 -531.692605602515</f>
        <v>-1192.267699958963</v>
      </c>
      <c r="O4252">
        <f>-663.380612986657 -160.855886738323 -502.727184401823</f>
        <v>-1326.9636841268029</v>
      </c>
      <c r="P4252">
        <f>-699.003386092773 -195.575423125036 -225.05085350399</f>
        <v>-1119.6296627217989</v>
      </c>
      <c r="Q4252">
        <f>-484.373539789029 -121.397360134844 -273.83789030719</f>
        <v>-879.60879023106304</v>
      </c>
      <c r="R4252" t="s">
        <v>81114</v>
      </c>
      <c r="S4252" t="s">
        <v>81115</v>
      </c>
      <c r="T4252" t="s">
        <v>81116</v>
      </c>
      <c r="U4252" t="s">
        <v>81117</v>
      </c>
      <c r="V4252">
        <f>-612.259455884981 -63.4287199612454 -94.227536707498</f>
        <v>-769.91571255372435</v>
      </c>
      <c r="W4252" t="s">
        <v>81118</v>
      </c>
      <c r="X4252" t="s">
        <v>81119</v>
      </c>
      <c r="Y4252" t="s">
        <v>81120</v>
      </c>
    </row>
    <row r="4253" spans="1:25" x14ac:dyDescent="0.3">
      <c r="A4253">
        <v>212600</v>
      </c>
      <c r="B4253" t="s">
        <v>81121</v>
      </c>
      <c r="C4253" t="s">
        <v>81122</v>
      </c>
      <c r="D4253" t="s">
        <v>81123</v>
      </c>
      <c r="E4253" t="s">
        <v>81124</v>
      </c>
      <c r="F4253" t="s">
        <v>81125</v>
      </c>
      <c r="G4253" t="s">
        <v>81126</v>
      </c>
      <c r="H4253" t="s">
        <v>81127</v>
      </c>
      <c r="I4253" t="s">
        <v>81128</v>
      </c>
      <c r="J4253" t="s">
        <v>81129</v>
      </c>
      <c r="K4253" t="s">
        <v>81130</v>
      </c>
      <c r="L4253" t="s">
        <v>81131</v>
      </c>
      <c r="M4253" t="s">
        <v>81132</v>
      </c>
      <c r="N4253">
        <f>-653.45268490004 -8.03002850829807 -531.656676939633</f>
        <v>-1193.1393903479711</v>
      </c>
      <c r="O4253">
        <f>-664.070520743881 -160.959609175984 -502.719849845088</f>
        <v>-1327.749979764953</v>
      </c>
      <c r="P4253">
        <f>-699.103692545656 -195.878240973962 -224.993527256113</f>
        <v>-1119.9754607757309</v>
      </c>
      <c r="Q4253">
        <f>-484.685622863837 -121.169866944487 -273.902548765849</f>
        <v>-879.75803857417304</v>
      </c>
      <c r="R4253" t="s">
        <v>81133</v>
      </c>
      <c r="S4253" t="s">
        <v>81134</v>
      </c>
      <c r="T4253" t="s">
        <v>81135</v>
      </c>
      <c r="U4253" t="s">
        <v>81136</v>
      </c>
      <c r="V4253">
        <f>-611.958799499953 -63.5398299262451 -94.2052122915679</f>
        <v>-769.70384171776607</v>
      </c>
      <c r="W4253" t="s">
        <v>81137</v>
      </c>
      <c r="X4253" t="s">
        <v>81138</v>
      </c>
      <c r="Y4253" t="s">
        <v>81139</v>
      </c>
    </row>
    <row r="4254" spans="1:25" x14ac:dyDescent="0.3">
      <c r="A4254">
        <v>212650</v>
      </c>
      <c r="B4254" t="s">
        <v>81140</v>
      </c>
      <c r="C4254" t="s">
        <v>81141</v>
      </c>
      <c r="D4254" t="s">
        <v>81142</v>
      </c>
      <c r="E4254" t="s">
        <v>81143</v>
      </c>
      <c r="F4254" t="s">
        <v>81144</v>
      </c>
      <c r="G4254" t="s">
        <v>81145</v>
      </c>
      <c r="H4254" t="s">
        <v>81146</v>
      </c>
      <c r="I4254" t="s">
        <v>81147</v>
      </c>
      <c r="J4254" t="s">
        <v>81148</v>
      </c>
      <c r="K4254" t="s">
        <v>81149</v>
      </c>
      <c r="L4254" t="s">
        <v>81150</v>
      </c>
      <c r="M4254" t="s">
        <v>81151</v>
      </c>
      <c r="N4254">
        <f>-653.71744551297 -8.1666758611932 -531.636514452742</f>
        <v>-1193.5206358269052</v>
      </c>
      <c r="O4254">
        <f>-664.28202547089 -161.091091216198 -502.674183586716</f>
        <v>-1328.047300273804</v>
      </c>
      <c r="P4254">
        <f>-698.918524709542 -196.178491704381 -224.919359001265</f>
        <v>-1120.0163754151881</v>
      </c>
      <c r="Q4254">
        <f>-484.664828039141 -121.125058121453 -274.019708284766</f>
        <v>-879.80959444536006</v>
      </c>
      <c r="R4254" t="s">
        <v>81152</v>
      </c>
      <c r="S4254" t="s">
        <v>81153</v>
      </c>
      <c r="T4254" t="s">
        <v>81154</v>
      </c>
      <c r="U4254" t="s">
        <v>81155</v>
      </c>
      <c r="V4254">
        <f>-611.809420456611 -63.5914807348654 -94.2033674502625</f>
        <v>-769.60426864173883</v>
      </c>
      <c r="W4254" t="s">
        <v>81156</v>
      </c>
      <c r="X4254" t="s">
        <v>81157</v>
      </c>
      <c r="Y4254" t="s">
        <v>81158</v>
      </c>
    </row>
    <row r="4255" spans="1:25" x14ac:dyDescent="0.3">
      <c r="A4255">
        <v>212700</v>
      </c>
      <c r="B4255" t="s">
        <v>81159</v>
      </c>
      <c r="C4255" t="s">
        <v>81160</v>
      </c>
      <c r="D4255" t="s">
        <v>81161</v>
      </c>
      <c r="E4255" t="s">
        <v>81162</v>
      </c>
      <c r="F4255" t="s">
        <v>81163</v>
      </c>
      <c r="G4255" t="s">
        <v>81164</v>
      </c>
      <c r="H4255" t="s">
        <v>81165</v>
      </c>
      <c r="I4255" t="s">
        <v>81166</v>
      </c>
      <c r="J4255" t="s">
        <v>81167</v>
      </c>
      <c r="K4255" t="s">
        <v>81168</v>
      </c>
      <c r="L4255" t="s">
        <v>81169</v>
      </c>
      <c r="M4255" t="s">
        <v>81170</v>
      </c>
      <c r="N4255">
        <f>-654.069350250775 -8.49035504309268 -531.574652531466</f>
        <v>-1194.1343578253336</v>
      </c>
      <c r="O4255">
        <f>-664.521346703184 -161.40538595164 -502.49295955542</f>
        <v>-1328.419692210244</v>
      </c>
      <c r="P4255">
        <f>-698.541953440511 -196.539246292828 -224.66786317255</f>
        <v>-1119.7490629058889</v>
      </c>
      <c r="Q4255">
        <f>-484.53324151963 -121.052480298462 -274.170740520676</f>
        <v>-879.75646233876796</v>
      </c>
      <c r="R4255" t="s">
        <v>81171</v>
      </c>
      <c r="S4255" t="s">
        <v>81172</v>
      </c>
      <c r="T4255" t="s">
        <v>81173</v>
      </c>
      <c r="U4255" t="s">
        <v>81174</v>
      </c>
      <c r="V4255">
        <f>-611.521270738627 -63.6836411425529 -94.200006700516</f>
        <v>-769.40491858169594</v>
      </c>
      <c r="W4255" t="s">
        <v>81175</v>
      </c>
      <c r="X4255" t="s">
        <v>81176</v>
      </c>
      <c r="Y4255" t="s">
        <v>81177</v>
      </c>
    </row>
    <row r="4256" spans="1:25" x14ac:dyDescent="0.3">
      <c r="A4256">
        <v>212750</v>
      </c>
      <c r="B4256" t="s">
        <v>81178</v>
      </c>
      <c r="C4256" t="s">
        <v>81179</v>
      </c>
      <c r="D4256" t="s">
        <v>81180</v>
      </c>
      <c r="E4256" t="s">
        <v>81181</v>
      </c>
      <c r="F4256" t="s">
        <v>81182</v>
      </c>
      <c r="G4256" t="s">
        <v>81183</v>
      </c>
      <c r="H4256" t="s">
        <v>81184</v>
      </c>
      <c r="I4256" t="s">
        <v>81185</v>
      </c>
      <c r="J4256" t="s">
        <v>81186</v>
      </c>
      <c r="K4256" t="s">
        <v>81187</v>
      </c>
      <c r="L4256" t="s">
        <v>81188</v>
      </c>
      <c r="M4256" t="s">
        <v>81189</v>
      </c>
      <c r="N4256">
        <f>-654.073890936243 -8.55778631571911 -531.556475447298</f>
        <v>-1194.1881526992602</v>
      </c>
      <c r="O4256">
        <f>-664.502436496715 -161.464555518669 -502.415323916302</f>
        <v>-1328.382315931686</v>
      </c>
      <c r="P4256">
        <f>-698.328210690052 -196.50733847681 -224.55490710433</f>
        <v>-1119.3904562711919</v>
      </c>
      <c r="Q4256">
        <f>-484.363875087034 -120.947494309351 -274.138290854742</f>
        <v>-879.44966025112694</v>
      </c>
      <c r="R4256" t="s">
        <v>81190</v>
      </c>
      <c r="S4256" t="s">
        <v>81191</v>
      </c>
      <c r="T4256" t="s">
        <v>81192</v>
      </c>
      <c r="U4256" t="s">
        <v>81193</v>
      </c>
      <c r="V4256">
        <f>-611.32363250493 -63.7104163391136 -94.1975841662056</f>
        <v>-769.2316330102492</v>
      </c>
      <c r="W4256" t="s">
        <v>81194</v>
      </c>
      <c r="X4256" t="s">
        <v>81195</v>
      </c>
      <c r="Y4256" t="s">
        <v>81196</v>
      </c>
    </row>
    <row r="4257" spans="1:25" x14ac:dyDescent="0.3">
      <c r="A4257">
        <v>212800</v>
      </c>
      <c r="B4257" t="s">
        <v>81197</v>
      </c>
      <c r="C4257" t="s">
        <v>81198</v>
      </c>
      <c r="D4257" t="s">
        <v>81199</v>
      </c>
      <c r="E4257" t="s">
        <v>81200</v>
      </c>
      <c r="F4257" t="s">
        <v>81201</v>
      </c>
      <c r="G4257" t="s">
        <v>81202</v>
      </c>
      <c r="H4257" t="s">
        <v>81203</v>
      </c>
      <c r="I4257" t="s">
        <v>81204</v>
      </c>
      <c r="J4257" t="s">
        <v>81205</v>
      </c>
      <c r="K4257" t="s">
        <v>81206</v>
      </c>
      <c r="L4257" t="s">
        <v>81207</v>
      </c>
      <c r="M4257" t="s">
        <v>81208</v>
      </c>
      <c r="N4257">
        <f>-653.920637353886 -9.01405420633 -531.548737103224</f>
        <v>-1194.48342866344</v>
      </c>
      <c r="O4257">
        <f>-664.263022889744 -161.904176592475 -502.314601668076</f>
        <v>-1328.481801150295</v>
      </c>
      <c r="P4257">
        <f>-698.113316389593 -196.956683133918 -224.458466687664</f>
        <v>-1119.5284662111749</v>
      </c>
      <c r="Q4257">
        <f>-484.203874309988 -121.223030410011 -274.013630082788</f>
        <v>-879.44053480278694</v>
      </c>
      <c r="R4257" t="s">
        <v>81209</v>
      </c>
      <c r="S4257" t="s">
        <v>81210</v>
      </c>
      <c r="T4257" t="s">
        <v>81211</v>
      </c>
      <c r="U4257" t="s">
        <v>81212</v>
      </c>
      <c r="V4257">
        <f>-611.081157615619 -63.9220365059764 -94.1975918333648</f>
        <v>-769.20078595496011</v>
      </c>
      <c r="W4257" t="s">
        <v>81213</v>
      </c>
      <c r="X4257" t="s">
        <v>81214</v>
      </c>
      <c r="Y4257" t="s">
        <v>81215</v>
      </c>
    </row>
    <row r="4258" spans="1:25" x14ac:dyDescent="0.3">
      <c r="A4258">
        <v>212850</v>
      </c>
      <c r="B4258" t="s">
        <v>81216</v>
      </c>
      <c r="C4258" t="s">
        <v>81217</v>
      </c>
      <c r="D4258" t="s">
        <v>81218</v>
      </c>
      <c r="E4258" t="s">
        <v>81219</v>
      </c>
      <c r="F4258" t="s">
        <v>81220</v>
      </c>
      <c r="G4258" t="s">
        <v>81221</v>
      </c>
      <c r="H4258" t="s">
        <v>81222</v>
      </c>
      <c r="I4258" t="s">
        <v>81223</v>
      </c>
      <c r="J4258" t="s">
        <v>81224</v>
      </c>
      <c r="K4258" t="s">
        <v>81225</v>
      </c>
      <c r="L4258" t="s">
        <v>81226</v>
      </c>
      <c r="M4258" t="s">
        <v>81227</v>
      </c>
      <c r="N4258">
        <f>-653.905992881636 -9.22703854509041 -531.539895240564</f>
        <v>-1194.6729266672905</v>
      </c>
      <c r="O4258">
        <f>-664.194595814757 -162.11149897781 -502.250474360041</f>
        <v>-1328.5565691526081</v>
      </c>
      <c r="P4258">
        <f>-698.108607402355 -197.288007924051 -224.417798311958</f>
        <v>-1119.8144136383639</v>
      </c>
      <c r="Q4258">
        <f>-484.219210691466 -121.428343017301 -273.866229732583</f>
        <v>-879.51378344134991</v>
      </c>
      <c r="R4258" t="s">
        <v>81228</v>
      </c>
      <c r="S4258" t="s">
        <v>81229</v>
      </c>
      <c r="T4258" t="s">
        <v>81230</v>
      </c>
      <c r="U4258" t="s">
        <v>81231</v>
      </c>
      <c r="V4258">
        <f>-610.96154499128 -63.988654156763 -94.2012447414839</f>
        <v>-769.15144388952694</v>
      </c>
      <c r="W4258" t="s">
        <v>81232</v>
      </c>
      <c r="X4258" t="s">
        <v>81233</v>
      </c>
      <c r="Y4258" t="s">
        <v>81234</v>
      </c>
    </row>
    <row r="4259" spans="1:25" x14ac:dyDescent="0.3">
      <c r="A4259">
        <v>212900</v>
      </c>
      <c r="B4259" t="s">
        <v>81235</v>
      </c>
      <c r="C4259" t="s">
        <v>81236</v>
      </c>
      <c r="D4259" t="s">
        <v>81237</v>
      </c>
      <c r="E4259" t="s">
        <v>81238</v>
      </c>
      <c r="F4259" t="s">
        <v>81239</v>
      </c>
      <c r="G4259" t="s">
        <v>81240</v>
      </c>
      <c r="H4259" t="s">
        <v>81241</v>
      </c>
      <c r="I4259" t="s">
        <v>81242</v>
      </c>
      <c r="J4259" t="s">
        <v>81243</v>
      </c>
      <c r="K4259" t="s">
        <v>81244</v>
      </c>
      <c r="L4259" t="s">
        <v>81245</v>
      </c>
      <c r="M4259" t="s">
        <v>81246</v>
      </c>
      <c r="N4259">
        <f>-653.775266891225 -9.79060683523221 -531.542434577032</f>
        <v>-1195.1083083034891</v>
      </c>
      <c r="O4259">
        <f>-663.988333448858 -162.64865667842 -502.08646605444</f>
        <v>-1328.7234561817181</v>
      </c>
      <c r="P4259">
        <f>-697.914739851456 -197.918237714826 -224.2669683565</f>
        <v>-1120.0999459227819</v>
      </c>
      <c r="Q4259">
        <f>-484.043887020038 -121.956063810405 -273.638325250055</f>
        <v>-879.63827608049803</v>
      </c>
      <c r="R4259" t="s">
        <v>81247</v>
      </c>
      <c r="S4259" t="s">
        <v>81248</v>
      </c>
      <c r="T4259" t="s">
        <v>81249</v>
      </c>
      <c r="U4259" t="s">
        <v>81250</v>
      </c>
      <c r="V4259">
        <f>-610.873983738049 -64.3912260669067 -94.2211732637339</f>
        <v>-769.48638306868963</v>
      </c>
      <c r="W4259" t="s">
        <v>81251</v>
      </c>
      <c r="X4259" t="s">
        <v>81252</v>
      </c>
      <c r="Y4259" t="s">
        <v>81253</v>
      </c>
    </row>
    <row r="4260" spans="1:25" x14ac:dyDescent="0.3">
      <c r="A4260">
        <v>212950</v>
      </c>
      <c r="B4260" t="s">
        <v>81254</v>
      </c>
      <c r="C4260" t="s">
        <v>81255</v>
      </c>
      <c r="D4260" t="s">
        <v>81256</v>
      </c>
      <c r="E4260" t="s">
        <v>81257</v>
      </c>
      <c r="F4260" t="s">
        <v>81258</v>
      </c>
      <c r="G4260" t="s">
        <v>81259</v>
      </c>
      <c r="H4260" t="s">
        <v>81260</v>
      </c>
      <c r="I4260" t="s">
        <v>81261</v>
      </c>
      <c r="J4260" t="s">
        <v>81262</v>
      </c>
      <c r="K4260" t="s">
        <v>81263</v>
      </c>
      <c r="L4260" t="s">
        <v>81264</v>
      </c>
      <c r="M4260" t="s">
        <v>81265</v>
      </c>
      <c r="N4260">
        <f>-653.737389418368 -10.0642379032211 -531.546119577738</f>
        <v>-1195.3477468993269</v>
      </c>
      <c r="O4260">
        <f>-663.913079704961 -162.907422982788 -501.989920869773</f>
        <v>-1328.810423557522</v>
      </c>
      <c r="P4260">
        <f>-697.896669631154 -198.0063004619 -224.155731288188</f>
        <v>-1120.0587013812419</v>
      </c>
      <c r="Q4260">
        <f>-484.033080198968 -122.055250447924 -273.575435285453</f>
        <v>-879.66376593234509</v>
      </c>
      <c r="R4260" t="s">
        <v>81266</v>
      </c>
      <c r="S4260" t="s">
        <v>81267</v>
      </c>
      <c r="T4260" t="s">
        <v>81268</v>
      </c>
      <c r="U4260" t="s">
        <v>81269</v>
      </c>
      <c r="V4260">
        <f>-610.892271307684 -64.5425411102765 -94.2344344037248</f>
        <v>-769.66924682168531</v>
      </c>
      <c r="W4260" t="s">
        <v>81270</v>
      </c>
      <c r="X4260" t="s">
        <v>81271</v>
      </c>
      <c r="Y4260" t="s">
        <v>81272</v>
      </c>
    </row>
    <row r="4261" spans="1:25" x14ac:dyDescent="0.3">
      <c r="A4261">
        <v>213000</v>
      </c>
      <c r="B4261" t="s">
        <v>81273</v>
      </c>
      <c r="C4261" t="s">
        <v>81274</v>
      </c>
      <c r="D4261" t="s">
        <v>81275</v>
      </c>
      <c r="E4261" t="s">
        <v>81276</v>
      </c>
      <c r="F4261" t="s">
        <v>81277</v>
      </c>
      <c r="G4261" t="s">
        <v>81278</v>
      </c>
      <c r="H4261" t="s">
        <v>81279</v>
      </c>
      <c r="I4261" t="s">
        <v>81280</v>
      </c>
      <c r="J4261" t="s">
        <v>81281</v>
      </c>
      <c r="K4261" t="s">
        <v>81282</v>
      </c>
      <c r="L4261" t="s">
        <v>81283</v>
      </c>
      <c r="M4261" t="s">
        <v>81284</v>
      </c>
      <c r="N4261">
        <f>-653.843046540521 -10.413518634736 -531.570433109706</f>
        <v>-1195.8269982849629</v>
      </c>
      <c r="O4261">
        <f>-663.983830743845 -163.225200724347 -501.829896896863</f>
        <v>-1329.038928365055</v>
      </c>
      <c r="P4261">
        <f>-698.099619131996 -198.099886250676 -223.983854152918</f>
        <v>-1120.1833595355899</v>
      </c>
      <c r="Q4261">
        <f>-484.27311993845 -122.03326134638 -273.386512027138</f>
        <v>-879.69289331196796</v>
      </c>
      <c r="R4261" t="s">
        <v>81285</v>
      </c>
      <c r="S4261" t="s">
        <v>81286</v>
      </c>
      <c r="T4261" t="s">
        <v>81287</v>
      </c>
      <c r="U4261" t="s">
        <v>81288</v>
      </c>
      <c r="V4261">
        <f>-611.030436134565 -64.6259472280105 -94.2421100129907</f>
        <v>-769.8984933755662</v>
      </c>
      <c r="W4261" t="s">
        <v>81289</v>
      </c>
      <c r="X4261" t="s">
        <v>81290</v>
      </c>
      <c r="Y4261" t="s">
        <v>81291</v>
      </c>
    </row>
    <row r="4262" spans="1:25" x14ac:dyDescent="0.3">
      <c r="A4262">
        <v>213050</v>
      </c>
      <c r="B4262" t="s">
        <v>81292</v>
      </c>
      <c r="C4262" t="s">
        <v>81293</v>
      </c>
      <c r="D4262" t="s">
        <v>81294</v>
      </c>
      <c r="E4262" t="s">
        <v>81295</v>
      </c>
      <c r="F4262" t="s">
        <v>81296</v>
      </c>
      <c r="G4262" t="s">
        <v>81297</v>
      </c>
      <c r="H4262" t="s">
        <v>81298</v>
      </c>
      <c r="I4262" t="s">
        <v>81299</v>
      </c>
      <c r="J4262" t="s">
        <v>81300</v>
      </c>
      <c r="K4262" t="s">
        <v>81301</v>
      </c>
      <c r="L4262" t="s">
        <v>81302</v>
      </c>
      <c r="M4262" t="s">
        <v>81303</v>
      </c>
      <c r="N4262">
        <f>-653.954884132303 -10.4646937009693 -531.588734713444</f>
        <v>-1196.0083125467163</v>
      </c>
      <c r="O4262">
        <f>-664.111652080256 -163.252874767514 -501.754622933019</f>
        <v>-1329.119149780789</v>
      </c>
      <c r="P4262">
        <f>-698.269344273049 -198.111101602449 -223.911671918672</f>
        <v>-1120.2921177941701</v>
      </c>
      <c r="Q4262">
        <f>-484.482459901087 -121.925809012364 -273.303013471092</f>
        <v>-879.71128238454298</v>
      </c>
      <c r="R4262" t="s">
        <v>81304</v>
      </c>
      <c r="S4262" t="s">
        <v>81305</v>
      </c>
      <c r="T4262" t="s">
        <v>81306</v>
      </c>
      <c r="U4262" t="s">
        <v>81307</v>
      </c>
      <c r="V4262">
        <f>-611.141465824064 -64.5736520535795 -94.2479375010441</f>
        <v>-769.96305537868761</v>
      </c>
      <c r="W4262" t="s">
        <v>81308</v>
      </c>
      <c r="X4262" t="s">
        <v>81309</v>
      </c>
      <c r="Y4262" t="s">
        <v>81310</v>
      </c>
    </row>
    <row r="4263" spans="1:25" x14ac:dyDescent="0.3">
      <c r="A4263">
        <v>213100</v>
      </c>
      <c r="B4263" t="s">
        <v>81311</v>
      </c>
      <c r="C4263" t="s">
        <v>81312</v>
      </c>
      <c r="D4263" t="s">
        <v>81313</v>
      </c>
      <c r="E4263" t="s">
        <v>81314</v>
      </c>
      <c r="F4263" t="s">
        <v>81315</v>
      </c>
      <c r="G4263" t="s">
        <v>81316</v>
      </c>
      <c r="H4263" t="s">
        <v>81317</v>
      </c>
      <c r="I4263" t="s">
        <v>81318</v>
      </c>
      <c r="J4263" t="s">
        <v>81319</v>
      </c>
      <c r="K4263" t="s">
        <v>81320</v>
      </c>
      <c r="L4263" t="s">
        <v>81321</v>
      </c>
      <c r="M4263" t="s">
        <v>81322</v>
      </c>
      <c r="N4263">
        <f>-653.023118310024 -10.6350669866474 -531.651222275605</f>
        <v>-1195.3094075722765</v>
      </c>
      <c r="O4263">
        <f>-663.365501790678 -163.351021711273 -501.548965254199</f>
        <v>-1328.26548875615</v>
      </c>
      <c r="P4263">
        <f>-697.988831553837 -197.96097721874 -223.732581088897</f>
        <v>-1119.6823898614741</v>
      </c>
      <c r="Q4263">
        <f>-484.198064625072 -121.729046021085 -273.035027163441</f>
        <v>-878.96213780959795</v>
      </c>
      <c r="R4263" t="s">
        <v>81323</v>
      </c>
      <c r="S4263" t="s">
        <v>81324</v>
      </c>
      <c r="T4263" t="s">
        <v>81325</v>
      </c>
      <c r="U4263" t="s">
        <v>81326</v>
      </c>
      <c r="V4263">
        <f>-611.260976624062 -64.2746663930122 -94.2663941323528</f>
        <v>-769.80203714942706</v>
      </c>
      <c r="W4263" t="s">
        <v>81327</v>
      </c>
      <c r="X4263" t="s">
        <v>81328</v>
      </c>
      <c r="Y4263" t="s">
        <v>81329</v>
      </c>
    </row>
    <row r="4264" spans="1:25" x14ac:dyDescent="0.3">
      <c r="A4264">
        <v>213150</v>
      </c>
      <c r="B4264" t="s">
        <v>81330</v>
      </c>
      <c r="C4264" t="s">
        <v>81331</v>
      </c>
      <c r="D4264" t="s">
        <v>81332</v>
      </c>
      <c r="E4264" t="s">
        <v>81333</v>
      </c>
      <c r="F4264" t="s">
        <v>81334</v>
      </c>
      <c r="G4264" t="s">
        <v>81335</v>
      </c>
      <c r="H4264" t="s">
        <v>81336</v>
      </c>
      <c r="I4264" t="s">
        <v>81337</v>
      </c>
      <c r="J4264" t="s">
        <v>81338</v>
      </c>
      <c r="K4264" t="s">
        <v>81339</v>
      </c>
      <c r="L4264" t="s">
        <v>81340</v>
      </c>
      <c r="M4264" t="s">
        <v>81341</v>
      </c>
      <c r="N4264">
        <f>-651.726174482666 -10.7475854260686 -531.660804970185</f>
        <v>-1194.1345648789197</v>
      </c>
      <c r="O4264">
        <f>-662.177958329565 -163.451502793464 -501.477678413755</f>
        <v>-1327.107139536784</v>
      </c>
      <c r="P4264">
        <f>-697.176331042904 -197.691185784664 -223.662360095894</f>
        <v>-1118.5298769234621</v>
      </c>
      <c r="Q4264">
        <f>-483.271950138959 -121.686218646541 -272.821994011289</f>
        <v>-877.780162796789</v>
      </c>
      <c r="R4264" t="s">
        <v>81342</v>
      </c>
      <c r="S4264" t="s">
        <v>81343</v>
      </c>
      <c r="T4264" t="s">
        <v>81344</v>
      </c>
      <c r="U4264" t="s">
        <v>81345</v>
      </c>
      <c r="V4264">
        <f>-611.194828712462 -64.0661394587023 -94.256202019719</f>
        <v>-769.51717019088335</v>
      </c>
      <c r="W4264" t="s">
        <v>81346</v>
      </c>
      <c r="X4264" t="s">
        <v>81347</v>
      </c>
      <c r="Y4264" t="s">
        <v>81348</v>
      </c>
    </row>
    <row r="4265" spans="1:25" x14ac:dyDescent="0.3">
      <c r="A4265">
        <v>213200</v>
      </c>
      <c r="B4265" t="s">
        <v>81349</v>
      </c>
      <c r="C4265" t="s">
        <v>81350</v>
      </c>
      <c r="D4265" t="s">
        <v>81351</v>
      </c>
      <c r="E4265" t="s">
        <v>81352</v>
      </c>
      <c r="F4265" t="s">
        <v>81353</v>
      </c>
      <c r="G4265" t="s">
        <v>81354</v>
      </c>
      <c r="H4265" t="s">
        <v>81355</v>
      </c>
      <c r="I4265" t="s">
        <v>81356</v>
      </c>
      <c r="J4265" t="s">
        <v>81357</v>
      </c>
      <c r="K4265" t="s">
        <v>81358</v>
      </c>
      <c r="L4265" t="s">
        <v>81359</v>
      </c>
      <c r="M4265" t="s">
        <v>81360</v>
      </c>
      <c r="N4265">
        <f>-649.763208688449 -10.8324572560646 -531.566777907252</f>
        <v>-1192.1624438517656</v>
      </c>
      <c r="O4265">
        <f>-660.414772291085 -163.467288966419 -501.091597904395</f>
        <v>-1324.9736591618989</v>
      </c>
      <c r="P4265">
        <f>-696.112378019726 -196.955286578209 -223.273618022751</f>
        <v>-1116.3412826206859</v>
      </c>
      <c r="Q4265">
        <f>-482.057156539632 -121.36803330403 -272.421238857794</f>
        <v>-875.84642870145603</v>
      </c>
      <c r="R4265" t="s">
        <v>81361</v>
      </c>
      <c r="S4265" t="s">
        <v>81362</v>
      </c>
      <c r="T4265" t="s">
        <v>81363</v>
      </c>
      <c r="U4265" t="s">
        <v>81364</v>
      </c>
      <c r="V4265">
        <f>-611.049226929475 -63.8412150181721 -94.1878515797164</f>
        <v>-769.07829352736348</v>
      </c>
      <c r="W4265" t="s">
        <v>81365</v>
      </c>
      <c r="X4265" t="s">
        <v>81366</v>
      </c>
      <c r="Y4265" t="s">
        <v>81367</v>
      </c>
    </row>
    <row r="4266" spans="1:25" x14ac:dyDescent="0.3">
      <c r="A4266">
        <v>213250</v>
      </c>
      <c r="B4266" t="s">
        <v>81368</v>
      </c>
      <c r="C4266" t="s">
        <v>81369</v>
      </c>
      <c r="D4266" t="s">
        <v>81370</v>
      </c>
      <c r="E4266" t="s">
        <v>81371</v>
      </c>
      <c r="F4266" t="s">
        <v>81372</v>
      </c>
      <c r="G4266" t="s">
        <v>81373</v>
      </c>
      <c r="H4266" t="s">
        <v>81374</v>
      </c>
      <c r="I4266" t="s">
        <v>81375</v>
      </c>
      <c r="J4266" t="s">
        <v>81376</v>
      </c>
      <c r="K4266" t="s">
        <v>81377</v>
      </c>
      <c r="L4266" t="s">
        <v>81378</v>
      </c>
      <c r="M4266" t="s">
        <v>81379</v>
      </c>
      <c r="N4266">
        <f>-649.418690298372 -10.7521016833107 -531.59152983213</f>
        <v>-1191.7623218138128</v>
      </c>
      <c r="O4266">
        <f>-660.119121213289 -163.350026207773 -500.989452314085</f>
        <v>-1324.4585997351469</v>
      </c>
      <c r="P4266">
        <f>-696.004354821671 -196.606550915016 -223.167879028009</f>
        <v>-1115.778784764696</v>
      </c>
      <c r="Q4266">
        <f>-481.875150684065 -121.153739515096 -272.199341782586</f>
        <v>-875.22823198174694</v>
      </c>
      <c r="R4266" t="s">
        <v>81380</v>
      </c>
      <c r="S4266" t="s">
        <v>81381</v>
      </c>
      <c r="T4266" t="s">
        <v>81382</v>
      </c>
      <c r="U4266" t="s">
        <v>81383</v>
      </c>
      <c r="V4266">
        <f>-610.963032279819 -63.6861489825972 -94.1716788803519</f>
        <v>-768.82086014276808</v>
      </c>
      <c r="W4266" t="s">
        <v>81384</v>
      </c>
      <c r="X4266" t="s">
        <v>81385</v>
      </c>
      <c r="Y4266" t="s">
        <v>81386</v>
      </c>
    </row>
    <row r="4267" spans="1:25" x14ac:dyDescent="0.3">
      <c r="A4267">
        <v>213300</v>
      </c>
      <c r="B4267" t="s">
        <v>81387</v>
      </c>
      <c r="C4267" t="s">
        <v>81388</v>
      </c>
      <c r="D4267" t="s">
        <v>81389</v>
      </c>
      <c r="E4267" t="s">
        <v>81390</v>
      </c>
      <c r="F4267" t="s">
        <v>81391</v>
      </c>
      <c r="G4267" t="s">
        <v>81392</v>
      </c>
      <c r="H4267" t="s">
        <v>81393</v>
      </c>
      <c r="I4267" t="s">
        <v>81394</v>
      </c>
      <c r="J4267" t="s">
        <v>81395</v>
      </c>
      <c r="K4267" t="s">
        <v>81396</v>
      </c>
      <c r="L4267" t="s">
        <v>81397</v>
      </c>
      <c r="M4267" t="s">
        <v>81398</v>
      </c>
      <c r="N4267">
        <f>-648.785571944421 -10.4407178753877 -531.701038418304</f>
        <v>-1190.9273282381128</v>
      </c>
      <c r="O4267">
        <f>-659.51614410579 -162.995417441652 -500.887711683186</f>
        <v>-1323.3992732306278</v>
      </c>
      <c r="P4267">
        <f>-695.870947070966 -195.997171477556 -223.096636320197</f>
        <v>-1114.964754868719</v>
      </c>
      <c r="Q4267">
        <f>-481.624961426483 -120.718349829142 -271.885036092482</f>
        <v>-874.22834734810704</v>
      </c>
      <c r="R4267" t="s">
        <v>81399</v>
      </c>
      <c r="S4267" t="s">
        <v>81400</v>
      </c>
      <c r="T4267" t="s">
        <v>81401</v>
      </c>
      <c r="U4267" t="s">
        <v>81402</v>
      </c>
      <c r="V4267">
        <f>-610.904092037462 -63.2758640506911 -94.1847318077098</f>
        <v>-768.36468789586286</v>
      </c>
      <c r="W4267" t="s">
        <v>81403</v>
      </c>
      <c r="X4267" t="s">
        <v>81404</v>
      </c>
      <c r="Y4267" t="s">
        <v>81405</v>
      </c>
    </row>
    <row r="4268" spans="1:25" x14ac:dyDescent="0.3">
      <c r="A4268">
        <v>213350</v>
      </c>
      <c r="B4268" t="s">
        <v>81406</v>
      </c>
      <c r="C4268" t="s">
        <v>81407</v>
      </c>
      <c r="D4268" t="s">
        <v>81408</v>
      </c>
      <c r="E4268" t="s">
        <v>81409</v>
      </c>
      <c r="F4268" t="s">
        <v>81410</v>
      </c>
      <c r="G4268" t="s">
        <v>81411</v>
      </c>
      <c r="H4268" t="s">
        <v>81412</v>
      </c>
      <c r="I4268" t="s">
        <v>81413</v>
      </c>
      <c r="J4268" t="s">
        <v>81414</v>
      </c>
      <c r="K4268" t="s">
        <v>81415</v>
      </c>
      <c r="L4268" t="s">
        <v>81416</v>
      </c>
      <c r="M4268" t="s">
        <v>81417</v>
      </c>
      <c r="N4268">
        <f>-647.967216979626 -10.2770931464929 -531.690009535125</f>
        <v>-1189.934319661244</v>
      </c>
      <c r="O4268">
        <f>-658.596616481301 -162.823902316907 -500.823962949946</f>
        <v>-1322.2444817481542</v>
      </c>
      <c r="P4268">
        <f>-695.284397714581 -195.608591547724 -223.050987763626</f>
        <v>-1113.943977025931</v>
      </c>
      <c r="Q4268">
        <f>-480.99150899486 -120.457788440629 -271.830692542283</f>
        <v>-873.27998997777195</v>
      </c>
      <c r="R4268" t="s">
        <v>81418</v>
      </c>
      <c r="S4268" t="s">
        <v>81419</v>
      </c>
      <c r="T4268" t="s">
        <v>81420</v>
      </c>
      <c r="U4268" t="s">
        <v>81421</v>
      </c>
      <c r="V4268">
        <f>-610.847923049253 -63.043851396757 -94.1880820913007</f>
        <v>-768.07985653731066</v>
      </c>
      <c r="W4268" t="s">
        <v>81422</v>
      </c>
      <c r="X4268" t="s">
        <v>81423</v>
      </c>
      <c r="Y4268" t="s">
        <v>81424</v>
      </c>
    </row>
    <row r="4269" spans="1:25" x14ac:dyDescent="0.3">
      <c r="A4269">
        <v>213400</v>
      </c>
      <c r="B4269" t="s">
        <v>81425</v>
      </c>
      <c r="C4269" t="s">
        <v>81426</v>
      </c>
      <c r="D4269" t="s">
        <v>81427</v>
      </c>
      <c r="E4269" t="s">
        <v>81428</v>
      </c>
      <c r="F4269" t="s">
        <v>81429</v>
      </c>
      <c r="G4269" t="s">
        <v>81430</v>
      </c>
      <c r="H4269" t="s">
        <v>81431</v>
      </c>
      <c r="I4269" t="s">
        <v>81432</v>
      </c>
      <c r="J4269" t="s">
        <v>81433</v>
      </c>
      <c r="K4269" t="s">
        <v>81434</v>
      </c>
      <c r="L4269" t="s">
        <v>81435</v>
      </c>
      <c r="M4269" t="s">
        <v>81436</v>
      </c>
      <c r="N4269">
        <f>-647.675723001999 -10.0744759521992 -531.589191469645</f>
        <v>-1189.3393904238433</v>
      </c>
      <c r="O4269">
        <f>-658.236573149805 -162.578720014624 -500.407442089756</f>
        <v>-1321.222735254185</v>
      </c>
      <c r="P4269">
        <f>-694.514502369708 -195.150382831831 -222.555754941023</f>
        <v>-1112.2206401425619</v>
      </c>
      <c r="Q4269">
        <f>-480.310253112326 -119.86498825339 -271.516842770571</f>
        <v>-871.69208413628701</v>
      </c>
      <c r="R4269" t="s">
        <v>81437</v>
      </c>
      <c r="S4269" t="s">
        <v>81438</v>
      </c>
      <c r="T4269" t="s">
        <v>81439</v>
      </c>
      <c r="U4269" t="s">
        <v>81440</v>
      </c>
      <c r="V4269">
        <f>-610.974202159148 -63.0731135672763 -94.1527764859521</f>
        <v>-768.20009221237649</v>
      </c>
      <c r="W4269" t="s">
        <v>81441</v>
      </c>
      <c r="X4269" t="s">
        <v>81442</v>
      </c>
      <c r="Y4269" t="s">
        <v>81443</v>
      </c>
    </row>
    <row r="4270" spans="1:25" x14ac:dyDescent="0.3">
      <c r="A4270">
        <v>213450</v>
      </c>
      <c r="B4270" t="s">
        <v>81444</v>
      </c>
      <c r="C4270" t="s">
        <v>81445</v>
      </c>
      <c r="D4270" t="s">
        <v>81446</v>
      </c>
      <c r="E4270" t="s">
        <v>81447</v>
      </c>
      <c r="F4270" t="s">
        <v>81448</v>
      </c>
      <c r="G4270" t="s">
        <v>81449</v>
      </c>
      <c r="H4270" t="s">
        <v>81450</v>
      </c>
      <c r="I4270" t="s">
        <v>81451</v>
      </c>
      <c r="J4270" t="s">
        <v>81452</v>
      </c>
      <c r="K4270" t="s">
        <v>81453</v>
      </c>
      <c r="L4270" t="s">
        <v>81454</v>
      </c>
      <c r="M4270" t="s">
        <v>81455</v>
      </c>
      <c r="N4270">
        <f>-648.565969328526 -9.95068719543997 -531.52530693423</f>
        <v>-1190.0419634581958</v>
      </c>
      <c r="O4270">
        <f>-659.236897715072 -162.370542596364 -500.029476219038</f>
        <v>-1321.6369165304741</v>
      </c>
      <c r="P4270">
        <f>-694.395455476149 -194.804282656642 -222.01781550082</f>
        <v>-1111.217553633611</v>
      </c>
      <c r="Q4270">
        <f>-480.317253270563 -119.541531151336 -271.561515360031</f>
        <v>-871.42029978193</v>
      </c>
      <c r="R4270" t="s">
        <v>81456</v>
      </c>
      <c r="S4270" t="s">
        <v>81457</v>
      </c>
      <c r="T4270" t="s">
        <v>81458</v>
      </c>
      <c r="U4270" t="s">
        <v>81459</v>
      </c>
      <c r="V4270">
        <f>-611.018291157936 -63.1398166313422 -94.1196120636851</f>
        <v>-768.27771985296329</v>
      </c>
      <c r="W4270" t="s">
        <v>81460</v>
      </c>
      <c r="X4270" t="s">
        <v>81461</v>
      </c>
      <c r="Y4270" t="s">
        <v>81462</v>
      </c>
    </row>
    <row r="4271" spans="1:25" x14ac:dyDescent="0.3">
      <c r="A4271">
        <v>213500</v>
      </c>
      <c r="B4271" t="s">
        <v>81463</v>
      </c>
      <c r="C4271" t="s">
        <v>81464</v>
      </c>
      <c r="D4271" t="s">
        <v>81465</v>
      </c>
      <c r="E4271" t="s">
        <v>81466</v>
      </c>
      <c r="F4271" t="s">
        <v>81467</v>
      </c>
      <c r="G4271" t="s">
        <v>81468</v>
      </c>
      <c r="H4271" t="s">
        <v>81469</v>
      </c>
      <c r="I4271" t="s">
        <v>81470</v>
      </c>
      <c r="J4271" t="s">
        <v>81471</v>
      </c>
      <c r="K4271" t="s">
        <v>81472</v>
      </c>
      <c r="L4271" t="s">
        <v>81473</v>
      </c>
      <c r="M4271" t="s">
        <v>81474</v>
      </c>
      <c r="N4271">
        <f>-651.929206736315 -9.94800693547359 -531.369243271025</f>
        <v>-1193.2464569428134</v>
      </c>
      <c r="O4271">
        <f>-662.490217207547 -162.20620217206 -499.11365780084</f>
        <v>-1323.810077180447</v>
      </c>
      <c r="P4271">
        <f>-695.507868993367 -193.588595550192 -220.719122668162</f>
        <v>-1109.8155872117211</v>
      </c>
      <c r="Q4271">
        <f>-481.682545042137 -118.943276143882 -272.248671338746</f>
        <v>-872.87449252476506</v>
      </c>
      <c r="R4271" t="s">
        <v>81475</v>
      </c>
      <c r="S4271" t="s">
        <v>81476</v>
      </c>
      <c r="T4271" t="s">
        <v>81477</v>
      </c>
      <c r="U4271" t="s">
        <v>81478</v>
      </c>
      <c r="V4271">
        <f>-610.824148641315 -63.1078111219192 -94.1227175970032</f>
        <v>-768.05467736023741</v>
      </c>
      <c r="W4271" t="s">
        <v>81479</v>
      </c>
      <c r="X4271" t="s">
        <v>81480</v>
      </c>
      <c r="Y4271" t="s">
        <v>81481</v>
      </c>
    </row>
    <row r="4272" spans="1:25" x14ac:dyDescent="0.3">
      <c r="A4272">
        <v>213550</v>
      </c>
      <c r="B4272" t="s">
        <v>81482</v>
      </c>
      <c r="C4272" t="s">
        <v>81483</v>
      </c>
      <c r="D4272" t="s">
        <v>81484</v>
      </c>
      <c r="E4272" t="s">
        <v>81485</v>
      </c>
      <c r="F4272" t="s">
        <v>81486</v>
      </c>
      <c r="G4272" t="s">
        <v>81487</v>
      </c>
      <c r="H4272" t="s">
        <v>81488</v>
      </c>
      <c r="I4272" t="s">
        <v>81489</v>
      </c>
      <c r="J4272" t="s">
        <v>81490</v>
      </c>
      <c r="K4272" t="s">
        <v>81491</v>
      </c>
      <c r="L4272" t="s">
        <v>81492</v>
      </c>
      <c r="M4272" t="s">
        <v>81493</v>
      </c>
      <c r="N4272">
        <f>-652.758462535143 -10.2523778287837 -531.290439791907</f>
        <v>-1194.3012801558339</v>
      </c>
      <c r="O4272">
        <f>-663.288869710231 -162.396538257471 -498.486937404115</f>
        <v>-1324.1723453718168</v>
      </c>
      <c r="P4272">
        <f>-695.482940637457 -192.719678084708 -219.878606936162</f>
        <v>-1108.081225658327</v>
      </c>
      <c r="Q4272">
        <f>-481.743323395901 -118.620664789934 -272.539960615502</f>
        <v>-872.90394880133704</v>
      </c>
      <c r="R4272" t="s">
        <v>81494</v>
      </c>
      <c r="S4272" t="s">
        <v>81495</v>
      </c>
      <c r="T4272" t="s">
        <v>81496</v>
      </c>
      <c r="U4272" t="s">
        <v>81497</v>
      </c>
      <c r="V4272">
        <f>-610.31555155206 -63.0393281701888 -94.1440548672799</f>
        <v>-767.49893458952874</v>
      </c>
      <c r="W4272" t="s">
        <v>81498</v>
      </c>
      <c r="X4272" t="s">
        <v>81499</v>
      </c>
      <c r="Y4272" t="s">
        <v>81500</v>
      </c>
    </row>
    <row r="4273" spans="1:25" x14ac:dyDescent="0.3">
      <c r="A4273">
        <v>213600</v>
      </c>
      <c r="B4273" t="s">
        <v>81501</v>
      </c>
      <c r="C4273" t="s">
        <v>81502</v>
      </c>
      <c r="D4273" t="s">
        <v>81503</v>
      </c>
      <c r="E4273" t="s">
        <v>81504</v>
      </c>
      <c r="F4273" t="s">
        <v>81505</v>
      </c>
      <c r="G4273" t="s">
        <v>81506</v>
      </c>
      <c r="H4273" t="s">
        <v>81507</v>
      </c>
      <c r="I4273" t="s">
        <v>81508</v>
      </c>
      <c r="J4273" t="s">
        <v>81509</v>
      </c>
      <c r="K4273" t="s">
        <v>81510</v>
      </c>
      <c r="L4273" t="s">
        <v>81511</v>
      </c>
      <c r="M4273" t="s">
        <v>81512</v>
      </c>
      <c r="N4273">
        <f>-653.617364910733 -11.4782136978929 -530.946675425738</f>
        <v>-1196.0422540343639</v>
      </c>
      <c r="O4273">
        <f>-663.275216715305 -163.436497386444 -496.961031240352</f>
        <v>-1323.6727453421008</v>
      </c>
      <c r="P4273">
        <f>-695.280085346133 -191.567643605364 -218.101017049775</f>
        <v>-1104.948746001272</v>
      </c>
      <c r="Q4273">
        <f>-481.695814115445 -118.004360849958 -272.126344004015</f>
        <v>-871.82651896941798</v>
      </c>
      <c r="R4273" t="s">
        <v>81513</v>
      </c>
      <c r="S4273" t="s">
        <v>81514</v>
      </c>
      <c r="T4273" t="s">
        <v>81515</v>
      </c>
      <c r="U4273" t="s">
        <v>81516</v>
      </c>
      <c r="V4273">
        <f>-609.527934171471 -63.0187199660804 -94.0827648345474</f>
        <v>-766.62941897209885</v>
      </c>
      <c r="W4273" t="s">
        <v>81517</v>
      </c>
      <c r="X4273" t="s">
        <v>81518</v>
      </c>
      <c r="Y4273" t="s">
        <v>81519</v>
      </c>
    </row>
    <row r="4274" spans="1:25" x14ac:dyDescent="0.3">
      <c r="A4274">
        <v>213650</v>
      </c>
      <c r="B4274" t="s">
        <v>81520</v>
      </c>
      <c r="C4274" t="s">
        <v>81521</v>
      </c>
      <c r="D4274" t="s">
        <v>81522</v>
      </c>
      <c r="E4274" t="s">
        <v>81523</v>
      </c>
      <c r="F4274" t="s">
        <v>81524</v>
      </c>
      <c r="G4274" t="s">
        <v>81525</v>
      </c>
      <c r="H4274" t="s">
        <v>81526</v>
      </c>
      <c r="I4274" t="s">
        <v>81527</v>
      </c>
      <c r="J4274" t="s">
        <v>81528</v>
      </c>
      <c r="K4274" t="s">
        <v>81529</v>
      </c>
      <c r="L4274" t="s">
        <v>81530</v>
      </c>
      <c r="M4274" t="s">
        <v>81531</v>
      </c>
      <c r="N4274">
        <f>-653.609114166487 -11.9517197095536 -530.742113807792</f>
        <v>-1196.3029476838324</v>
      </c>
      <c r="O4274">
        <f>-662.766561436437 -163.83402699208 -496.246520967811</f>
        <v>-1322.8471093963281</v>
      </c>
      <c r="P4274">
        <f>-695.055511919306 -191.731795796903 -217.395839619445</f>
        <v>-1104.183147335654</v>
      </c>
      <c r="Q4274">
        <f>-481.696759941583 -117.849274189279 -271.874493977417</f>
        <v>-871.42052810827909</v>
      </c>
      <c r="R4274" t="s">
        <v>81532</v>
      </c>
      <c r="S4274" t="s">
        <v>81533</v>
      </c>
      <c r="T4274" t="s">
        <v>81534</v>
      </c>
      <c r="U4274" t="s">
        <v>81535</v>
      </c>
      <c r="V4274">
        <f>-609.514573061616 -62.8512775497732 -94.0099786698665</f>
        <v>-766.37582928125573</v>
      </c>
      <c r="W4274" t="s">
        <v>81536</v>
      </c>
      <c r="X4274" t="s">
        <v>81537</v>
      </c>
      <c r="Y4274" t="s">
        <v>81538</v>
      </c>
    </row>
    <row r="4275" spans="1:25" x14ac:dyDescent="0.3">
      <c r="A4275">
        <v>213700</v>
      </c>
      <c r="B4275" t="s">
        <v>81539</v>
      </c>
      <c r="C4275" t="s">
        <v>81540</v>
      </c>
      <c r="D4275" t="s">
        <v>81541</v>
      </c>
      <c r="E4275" t="s">
        <v>81542</v>
      </c>
      <c r="F4275" t="s">
        <v>81543</v>
      </c>
      <c r="G4275" t="s">
        <v>81544</v>
      </c>
      <c r="H4275" t="s">
        <v>81545</v>
      </c>
      <c r="I4275" t="s">
        <v>81546</v>
      </c>
      <c r="J4275" t="s">
        <v>81547</v>
      </c>
      <c r="K4275" t="s">
        <v>81548</v>
      </c>
      <c r="L4275" t="s">
        <v>81549</v>
      </c>
      <c r="M4275" t="s">
        <v>81550</v>
      </c>
      <c r="N4275">
        <f>-653.95798748853 -12.2459627270835 -530.708933717618</f>
        <v>-1196.9128839332316</v>
      </c>
      <c r="O4275">
        <f>-662.356791446246 -164.020950265316 -495.698030422063</f>
        <v>-1322.0757721336252</v>
      </c>
      <c r="P4275">
        <f>-694.91624313914 -192.799069146304 -216.968154803816</f>
        <v>-1104.6834670892599</v>
      </c>
      <c r="Q4275">
        <f>-481.770150177779 -117.975686154949 -270.99329336096</f>
        <v>-870.73912969368803</v>
      </c>
      <c r="R4275" t="s">
        <v>81551</v>
      </c>
      <c r="S4275" t="s">
        <v>81552</v>
      </c>
      <c r="T4275" t="s">
        <v>81553</v>
      </c>
      <c r="U4275" t="s">
        <v>81554</v>
      </c>
      <c r="V4275">
        <f>-610.185031420543 -62.4315470078197 -93.9893446910879</f>
        <v>-766.60592311945072</v>
      </c>
      <c r="W4275" t="s">
        <v>81555</v>
      </c>
      <c r="X4275" t="s">
        <v>81556</v>
      </c>
      <c r="Y4275" t="s">
        <v>81557</v>
      </c>
    </row>
    <row r="4276" spans="1:25" x14ac:dyDescent="0.3">
      <c r="A4276">
        <v>213750</v>
      </c>
      <c r="B4276" t="s">
        <v>81558</v>
      </c>
      <c r="C4276" t="s">
        <v>81559</v>
      </c>
      <c r="D4276" t="s">
        <v>81560</v>
      </c>
      <c r="E4276" t="s">
        <v>81561</v>
      </c>
      <c r="F4276" t="s">
        <v>81562</v>
      </c>
      <c r="G4276" t="s">
        <v>81563</v>
      </c>
      <c r="H4276" t="s">
        <v>81564</v>
      </c>
      <c r="I4276" t="s">
        <v>81565</v>
      </c>
      <c r="J4276" t="s">
        <v>81566</v>
      </c>
      <c r="K4276" t="s">
        <v>81567</v>
      </c>
      <c r="L4276" t="s">
        <v>81568</v>
      </c>
      <c r="M4276" t="s">
        <v>81569</v>
      </c>
      <c r="N4276">
        <f>-654.203589066534 -12.2793620144014 -530.768813156818</f>
        <v>-1197.2517642377534</v>
      </c>
      <c r="O4276">
        <f>-661.893044403121 -164.043076688368 -495.508308209817</f>
        <v>-1321.4444293013059</v>
      </c>
      <c r="P4276">
        <f>-694.390890905057 -193.180298975498 -216.808595252348</f>
        <v>-1104.379785132903</v>
      </c>
      <c r="Q4276">
        <f>-481.176443066987 -118.123861251256 -270.237748028466</f>
        <v>-869.53805234670904</v>
      </c>
      <c r="R4276" t="s">
        <v>81570</v>
      </c>
      <c r="S4276" t="s">
        <v>81571</v>
      </c>
      <c r="T4276" t="s">
        <v>81572</v>
      </c>
      <c r="U4276" t="s">
        <v>81573</v>
      </c>
      <c r="V4276">
        <f>-610.509529939779 -62.1716723536508 -94.0484340400906</f>
        <v>-766.72963633352038</v>
      </c>
      <c r="W4276" t="s">
        <v>81574</v>
      </c>
      <c r="X4276" t="s">
        <v>81575</v>
      </c>
      <c r="Y4276" t="s">
        <v>81576</v>
      </c>
    </row>
    <row r="4277" spans="1:25" x14ac:dyDescent="0.3">
      <c r="A4277">
        <v>213800</v>
      </c>
      <c r="B4277" t="s">
        <v>81577</v>
      </c>
      <c r="C4277" t="s">
        <v>81578</v>
      </c>
      <c r="D4277" t="s">
        <v>81579</v>
      </c>
      <c r="E4277" t="s">
        <v>81580</v>
      </c>
      <c r="F4277" t="s">
        <v>81581</v>
      </c>
      <c r="G4277" t="s">
        <v>81582</v>
      </c>
      <c r="H4277" t="s">
        <v>81583</v>
      </c>
      <c r="I4277" t="s">
        <v>81584</v>
      </c>
      <c r="J4277" t="s">
        <v>81585</v>
      </c>
      <c r="K4277" t="s">
        <v>81586</v>
      </c>
      <c r="L4277" t="s">
        <v>81587</v>
      </c>
      <c r="M4277" t="s">
        <v>81588</v>
      </c>
      <c r="N4277">
        <f>-655.331975085647 -12.7420756751903 -530.618511048129</f>
        <v>-1198.6925618089663</v>
      </c>
      <c r="O4277">
        <f>-658.955976083302 -164.509887292481 -494.674629404596</f>
        <v>-1318.140492780379</v>
      </c>
      <c r="P4277">
        <f>-693.162175126154 -193.036413724998 -216.11621271423</f>
        <v>-1102.3148015653819</v>
      </c>
      <c r="Q4277">
        <f>-479.647113762551 -117.660254732787 -267.86853337395</f>
        <v>-865.17590186928805</v>
      </c>
      <c r="R4277" t="s">
        <v>81589</v>
      </c>
      <c r="S4277" t="s">
        <v>81590</v>
      </c>
      <c r="T4277" t="s">
        <v>81591</v>
      </c>
      <c r="U4277" t="s">
        <v>81592</v>
      </c>
      <c r="V4277">
        <f>-611.321662877639 -62.7486863046065 -94.1652330606845</f>
        <v>-768.23558224293004</v>
      </c>
      <c r="W4277" t="s">
        <v>81593</v>
      </c>
      <c r="X4277" t="s">
        <v>81594</v>
      </c>
      <c r="Y4277" t="s">
        <v>81595</v>
      </c>
    </row>
    <row r="4278" spans="1:25" x14ac:dyDescent="0.3">
      <c r="A4278">
        <v>213850</v>
      </c>
      <c r="B4278" t="s">
        <v>81596</v>
      </c>
      <c r="C4278" t="s">
        <v>81597</v>
      </c>
      <c r="D4278" t="s">
        <v>81598</v>
      </c>
      <c r="E4278" t="s">
        <v>81599</v>
      </c>
      <c r="F4278" t="s">
        <v>81600</v>
      </c>
      <c r="G4278" t="s">
        <v>81601</v>
      </c>
      <c r="H4278" t="s">
        <v>81602</v>
      </c>
      <c r="I4278" t="s">
        <v>81603</v>
      </c>
      <c r="J4278" t="s">
        <v>81604</v>
      </c>
      <c r="K4278" t="s">
        <v>81605</v>
      </c>
      <c r="L4278" t="s">
        <v>81606</v>
      </c>
      <c r="M4278" t="s">
        <v>81607</v>
      </c>
      <c r="N4278">
        <f>-655.441774272016 -12.7733812074823 -530.674389829102</f>
        <v>-1198.8895453086002</v>
      </c>
      <c r="O4278">
        <f>-658.032606043799 -164.675020780118 -495.270027908753</f>
        <v>-1317.9776547326699</v>
      </c>
      <c r="P4278">
        <f>-692.337753117761 -194.846362922246 -216.897334185572</f>
        <v>-1104.0814502255789</v>
      </c>
      <c r="Q4278">
        <f>-479.020703718485 -118.202657351692 -267.593475797808</f>
        <v>-864.8168368679851</v>
      </c>
      <c r="R4278" t="s">
        <v>81608</v>
      </c>
      <c r="S4278" t="s">
        <v>81609</v>
      </c>
      <c r="T4278" t="s">
        <v>81610</v>
      </c>
      <c r="U4278" t="s">
        <v>81611</v>
      </c>
      <c r="V4278">
        <f>-611.969312401224 -62.9363834367689 -94.1744915566844</f>
        <v>-769.0801873946773</v>
      </c>
      <c r="W4278" t="s">
        <v>81612</v>
      </c>
      <c r="X4278" t="s">
        <v>81613</v>
      </c>
      <c r="Y4278" t="s">
        <v>81614</v>
      </c>
    </row>
    <row r="4279" spans="1:25" x14ac:dyDescent="0.3">
      <c r="A4279">
        <v>213900</v>
      </c>
      <c r="B4279" t="s">
        <v>81615</v>
      </c>
      <c r="C4279" t="s">
        <v>81616</v>
      </c>
      <c r="D4279" t="s">
        <v>81617</v>
      </c>
      <c r="E4279" t="s">
        <v>81618</v>
      </c>
      <c r="F4279" t="s">
        <v>81619</v>
      </c>
      <c r="G4279" t="s">
        <v>81620</v>
      </c>
      <c r="H4279" t="s">
        <v>81621</v>
      </c>
      <c r="I4279" t="s">
        <v>81622</v>
      </c>
      <c r="J4279" t="s">
        <v>81623</v>
      </c>
      <c r="K4279" t="s">
        <v>81624</v>
      </c>
      <c r="L4279" t="s">
        <v>81625</v>
      </c>
      <c r="M4279" t="s">
        <v>81626</v>
      </c>
      <c r="N4279">
        <f>-655.814510929261 -12.3604276923516 -530.768947157591</f>
        <v>-1198.9438857792036</v>
      </c>
      <c r="O4279">
        <f>-657.942753783526 -164.539453791996 -496.488514155106</f>
        <v>-1318.9707217306279</v>
      </c>
      <c r="P4279">
        <f>-690.898407440018 -199.140159990148 -218.468305572741</f>
        <v>-1108.506873002907</v>
      </c>
      <c r="Q4279">
        <f>-478.667227984179 -119.343832007558 -268.856594354025</f>
        <v>-866.86765434576205</v>
      </c>
      <c r="R4279" t="s">
        <v>81627</v>
      </c>
      <c r="S4279" t="s">
        <v>81628</v>
      </c>
      <c r="T4279" t="s">
        <v>81629</v>
      </c>
      <c r="U4279" t="s">
        <v>81630</v>
      </c>
      <c r="V4279">
        <f>-612.911770231187 -63.0400433495677 -94.1769053371989</f>
        <v>-770.12871891795362</v>
      </c>
      <c r="W4279" t="s">
        <v>81631</v>
      </c>
      <c r="X4279" t="s">
        <v>81632</v>
      </c>
      <c r="Y4279" t="s">
        <v>81633</v>
      </c>
    </row>
    <row r="4280" spans="1:25" x14ac:dyDescent="0.3">
      <c r="A4280">
        <v>213950</v>
      </c>
      <c r="B4280" t="s">
        <v>81634</v>
      </c>
      <c r="C4280" t="s">
        <v>81635</v>
      </c>
      <c r="D4280" t="s">
        <v>81636</v>
      </c>
      <c r="E4280" t="s">
        <v>81637</v>
      </c>
      <c r="F4280" t="s">
        <v>81638</v>
      </c>
      <c r="G4280" t="s">
        <v>81639</v>
      </c>
      <c r="H4280" t="s">
        <v>81640</v>
      </c>
      <c r="I4280" t="s">
        <v>81641</v>
      </c>
      <c r="J4280" t="s">
        <v>81642</v>
      </c>
      <c r="K4280" t="s">
        <v>81643</v>
      </c>
      <c r="L4280" t="s">
        <v>81644</v>
      </c>
      <c r="M4280" t="s">
        <v>81645</v>
      </c>
      <c r="N4280">
        <f>-655.976009605222 -12.0562144061073 -530.905618510368</f>
        <v>-1198.9378425216973</v>
      </c>
      <c r="O4280">
        <f>-659.131259656829 -164.409971219765 -497.614165671446</f>
        <v>-1321.15539654804</v>
      </c>
      <c r="P4280">
        <f>-691.255373481549 -199.665924323571 -219.578793281401</f>
        <v>-1110.500091086521</v>
      </c>
      <c r="Q4280">
        <f>-479.494615478066 -119.050127302388 -270.637636364597</f>
        <v>-869.18237914505107</v>
      </c>
      <c r="R4280" t="s">
        <v>81646</v>
      </c>
      <c r="S4280" t="s">
        <v>81647</v>
      </c>
      <c r="T4280" t="s">
        <v>81648</v>
      </c>
      <c r="U4280" t="s">
        <v>81649</v>
      </c>
      <c r="V4280">
        <f>-613.508514005109 -63.2073654035169 -94.307383365033</f>
        <v>-771.02326277365887</v>
      </c>
      <c r="W4280" t="s">
        <v>81650</v>
      </c>
      <c r="X4280" t="s">
        <v>81651</v>
      </c>
      <c r="Y4280" t="s">
        <v>81652</v>
      </c>
    </row>
    <row r="4281" spans="1:25" x14ac:dyDescent="0.3">
      <c r="A4281">
        <v>214000</v>
      </c>
      <c r="B4281" t="s">
        <v>81653</v>
      </c>
      <c r="C4281" t="s">
        <v>81654</v>
      </c>
      <c r="D4281" t="s">
        <v>81655</v>
      </c>
      <c r="E4281" t="s">
        <v>81656</v>
      </c>
      <c r="F4281" t="s">
        <v>81657</v>
      </c>
      <c r="G4281" t="s">
        <v>81658</v>
      </c>
      <c r="H4281" t="s">
        <v>81659</v>
      </c>
      <c r="I4281" t="s">
        <v>81660</v>
      </c>
      <c r="J4281" t="s">
        <v>81661</v>
      </c>
      <c r="K4281" t="s">
        <v>81662</v>
      </c>
      <c r="L4281" t="s">
        <v>81663</v>
      </c>
      <c r="M4281" t="s">
        <v>81664</v>
      </c>
      <c r="N4281">
        <f>-656.198310285449 -12.1764486537111 -530.976166061367</f>
        <v>-1199.3509250005272</v>
      </c>
      <c r="O4281">
        <f>-660.429299776547 -164.638832783506 -498.203573372031</f>
        <v>-1323.2717059320839</v>
      </c>
      <c r="P4281">
        <f>-692.681731284209 -198.51668069368 -220.011766650689</f>
        <v>-1111.210178628578</v>
      </c>
      <c r="Q4281">
        <f>-480.808481409713 -118.464462236214 -271.488782882725</f>
        <v>-870.76172652865205</v>
      </c>
      <c r="R4281" t="s">
        <v>81665</v>
      </c>
      <c r="S4281" t="s">
        <v>81666</v>
      </c>
      <c r="T4281" t="s">
        <v>81667</v>
      </c>
      <c r="U4281" t="s">
        <v>81668</v>
      </c>
      <c r="V4281">
        <f>-613.678982001264 -63.5031882680169 -94.3330587109269</f>
        <v>-771.51522898020778</v>
      </c>
      <c r="W4281" t="s">
        <v>81669</v>
      </c>
      <c r="X4281" t="s">
        <v>81670</v>
      </c>
      <c r="Y4281" t="s">
        <v>81671</v>
      </c>
    </row>
    <row r="4282" spans="1:25" x14ac:dyDescent="0.3">
      <c r="A4282">
        <v>214050</v>
      </c>
      <c r="B4282" t="s">
        <v>81672</v>
      </c>
      <c r="C4282" t="s">
        <v>81673</v>
      </c>
      <c r="D4282" t="s">
        <v>81674</v>
      </c>
      <c r="E4282" t="s">
        <v>81675</v>
      </c>
      <c r="F4282" t="s">
        <v>81676</v>
      </c>
      <c r="G4282" t="s">
        <v>81677</v>
      </c>
      <c r="H4282" t="s">
        <v>81678</v>
      </c>
      <c r="I4282" t="s">
        <v>81679</v>
      </c>
      <c r="J4282" t="s">
        <v>81680</v>
      </c>
      <c r="K4282" t="s">
        <v>81681</v>
      </c>
      <c r="L4282" t="s">
        <v>81682</v>
      </c>
      <c r="M4282" t="s">
        <v>81683</v>
      </c>
      <c r="N4282">
        <f>-654.753164840447 -12.219357900321 -531.2864722888</f>
        <v>-1198.258995029568</v>
      </c>
      <c r="O4282">
        <f>-660.441654151524 -164.901041104764 -499.794137068077</f>
        <v>-1325.1368323243651</v>
      </c>
      <c r="P4282">
        <f>-694.284099677003 -196.448607716027 -221.517276543494</f>
        <v>-1112.2499839365241</v>
      </c>
      <c r="Q4282">
        <f>-482.059548383576 -117.097955973372 -272.632305799293</f>
        <v>-871.78981015624106</v>
      </c>
      <c r="R4282" t="s">
        <v>81684</v>
      </c>
      <c r="S4282" t="s">
        <v>81685</v>
      </c>
      <c r="T4282" t="s">
        <v>81686</v>
      </c>
      <c r="U4282" t="s">
        <v>81687</v>
      </c>
      <c r="V4282">
        <f>-613.252934087301 -63.5898474803444 -94.3674564032989</f>
        <v>-771.21023797094426</v>
      </c>
      <c r="W4282" t="s">
        <v>81688</v>
      </c>
      <c r="X4282" t="s">
        <v>81689</v>
      </c>
      <c r="Y4282" t="s">
        <v>81690</v>
      </c>
    </row>
    <row r="4283" spans="1:25" x14ac:dyDescent="0.3">
      <c r="A4283">
        <v>214100</v>
      </c>
      <c r="B4283" t="s">
        <v>81691</v>
      </c>
      <c r="C4283" t="s">
        <v>81692</v>
      </c>
      <c r="D4283" t="s">
        <v>81693</v>
      </c>
      <c r="E4283" t="s">
        <v>81694</v>
      </c>
      <c r="F4283" t="s">
        <v>81695</v>
      </c>
      <c r="G4283" t="s">
        <v>81696</v>
      </c>
      <c r="H4283" t="s">
        <v>81697</v>
      </c>
      <c r="I4283" t="s">
        <v>81698</v>
      </c>
      <c r="J4283" t="s">
        <v>81699</v>
      </c>
      <c r="K4283" t="s">
        <v>81700</v>
      </c>
      <c r="L4283" t="s">
        <v>81701</v>
      </c>
      <c r="M4283" t="s">
        <v>81702</v>
      </c>
      <c r="N4283">
        <f>-654.215625357642 -12.0431502231702 -531.355496983924</f>
        <v>-1197.6142725647362</v>
      </c>
      <c r="O4283">
        <f>-660.084967906513 -164.886641392617 -500.672483427837</f>
        <v>-1325.6440927269671</v>
      </c>
      <c r="P4283">
        <f>-695.026434178316 -197.018702578471 -222.598432397145</f>
        <v>-1114.643569153932</v>
      </c>
      <c r="Q4283">
        <f>-482.755487029728 -116.970996412523 -272.417674566959</f>
        <v>-872.14415800921006</v>
      </c>
      <c r="R4283" t="s">
        <v>81703</v>
      </c>
      <c r="S4283" t="s">
        <v>81704</v>
      </c>
      <c r="T4283" t="s">
        <v>81705</v>
      </c>
      <c r="U4283" t="s">
        <v>81706</v>
      </c>
      <c r="V4283">
        <f>-613.010720899149 -63.6039394862894 -94.3838231435044</f>
        <v>-770.99848352894276</v>
      </c>
      <c r="W4283" t="s">
        <v>81707</v>
      </c>
      <c r="X4283" t="s">
        <v>81708</v>
      </c>
      <c r="Y4283" t="s">
        <v>81709</v>
      </c>
    </row>
    <row r="4284" spans="1:25" x14ac:dyDescent="0.3">
      <c r="A4284">
        <v>214150</v>
      </c>
      <c r="B4284" t="s">
        <v>81710</v>
      </c>
      <c r="C4284" t="s">
        <v>81711</v>
      </c>
      <c r="D4284" t="s">
        <v>81712</v>
      </c>
      <c r="E4284" t="s">
        <v>81713</v>
      </c>
      <c r="F4284" t="s">
        <v>81714</v>
      </c>
      <c r="G4284" t="s">
        <v>81715</v>
      </c>
      <c r="H4284" t="s">
        <v>81716</v>
      </c>
      <c r="I4284" t="s">
        <v>81717</v>
      </c>
      <c r="J4284" t="s">
        <v>81718</v>
      </c>
      <c r="K4284" t="s">
        <v>81719</v>
      </c>
      <c r="L4284" t="s">
        <v>81720</v>
      </c>
      <c r="M4284" t="s">
        <v>81721</v>
      </c>
      <c r="N4284">
        <f>-653.872953256285 -11.6599189599272 -531.41641301194</f>
        <v>-1196.9492852281521</v>
      </c>
      <c r="O4284">
        <f>-659.809437442198 -164.683731403644 -501.619429049056</f>
        <v>-1326.112597894898</v>
      </c>
      <c r="P4284">
        <f>-695.395622493929 -198.873463451257 -223.872638777644</f>
        <v>-1118.1417247228298</v>
      </c>
      <c r="Q4284">
        <f>-483.271507461388 -117.300558601266 -271.807327892724</f>
        <v>-872.37939395537796</v>
      </c>
      <c r="R4284" t="s">
        <v>81722</v>
      </c>
      <c r="S4284" t="s">
        <v>81723</v>
      </c>
      <c r="T4284" t="s">
        <v>81724</v>
      </c>
      <c r="U4284" t="s">
        <v>81725</v>
      </c>
      <c r="V4284">
        <f>-612.997056057249 -63.7295472235428 -94.3900923990926</f>
        <v>-771.1166956798844</v>
      </c>
      <c r="W4284" t="s">
        <v>81726</v>
      </c>
      <c r="X4284" t="s">
        <v>81727</v>
      </c>
      <c r="Y4284" t="s">
        <v>81728</v>
      </c>
    </row>
    <row r="4285" spans="1:25" x14ac:dyDescent="0.3">
      <c r="A4285">
        <v>214200</v>
      </c>
      <c r="B4285" t="s">
        <v>81729</v>
      </c>
      <c r="C4285" t="s">
        <v>81730</v>
      </c>
      <c r="D4285" t="s">
        <v>81731</v>
      </c>
      <c r="E4285" t="s">
        <v>81732</v>
      </c>
      <c r="F4285" t="s">
        <v>81733</v>
      </c>
      <c r="G4285" t="s">
        <v>81734</v>
      </c>
      <c r="H4285" t="s">
        <v>81735</v>
      </c>
      <c r="I4285" t="s">
        <v>81736</v>
      </c>
      <c r="J4285" t="s">
        <v>81737</v>
      </c>
      <c r="K4285" t="s">
        <v>81738</v>
      </c>
      <c r="L4285" t="s">
        <v>81739</v>
      </c>
      <c r="M4285" t="s">
        <v>81740</v>
      </c>
      <c r="N4285">
        <f>-653.462601846126 -11.268772528136 -531.462781787163</f>
        <v>-1196.1941561614249</v>
      </c>
      <c r="O4285">
        <f>-659.791569903874 -164.504707083351 -502.913190627994</f>
        <v>-1327.2094676152192</v>
      </c>
      <c r="P4285">
        <f>-694.111792360915 -204.160017285608 -225.734177501943</f>
        <v>-1124.0059871484659</v>
      </c>
      <c r="Q4285">
        <f>-482.911827477702 -119.188952747294 -271.810206122331</f>
        <v>-873.91098634732703</v>
      </c>
      <c r="R4285" t="s">
        <v>81741</v>
      </c>
      <c r="S4285" t="s">
        <v>81742</v>
      </c>
      <c r="T4285" t="s">
        <v>81743</v>
      </c>
      <c r="U4285" t="s">
        <v>81744</v>
      </c>
      <c r="V4285">
        <f>-613.329382729791 -64.0756251588903 -94.3705202807893</f>
        <v>-771.77552816947048</v>
      </c>
      <c r="W4285" t="s">
        <v>81745</v>
      </c>
      <c r="X4285" t="s">
        <v>81746</v>
      </c>
      <c r="Y4285" t="s">
        <v>81747</v>
      </c>
    </row>
    <row r="4286" spans="1:25" x14ac:dyDescent="0.3">
      <c r="A4286">
        <v>214250</v>
      </c>
      <c r="B4286" t="s">
        <v>81748</v>
      </c>
      <c r="C4286" t="s">
        <v>81749</v>
      </c>
      <c r="D4286" t="s">
        <v>81750</v>
      </c>
      <c r="E4286" t="s">
        <v>81751</v>
      </c>
      <c r="F4286" t="s">
        <v>81752</v>
      </c>
      <c r="G4286" t="s">
        <v>81753</v>
      </c>
      <c r="H4286" t="s">
        <v>81754</v>
      </c>
      <c r="I4286" t="s">
        <v>81755</v>
      </c>
      <c r="J4286" t="s">
        <v>81756</v>
      </c>
      <c r="K4286" t="s">
        <v>81757</v>
      </c>
      <c r="L4286" t="s">
        <v>81758</v>
      </c>
      <c r="M4286" t="s">
        <v>81759</v>
      </c>
      <c r="N4286">
        <f>-653.961930249487 -10.9493547422935 -531.424663498105</f>
        <v>-1196.3359484898856</v>
      </c>
      <c r="O4286">
        <f>-660.56940833666 -164.263647827368 -503.262471269007</f>
        <v>-1328.0955274330349</v>
      </c>
      <c r="P4286">
        <f>-693.641548638435 -205.348535355117 -226.139942923803</f>
        <v>-1125.1300269173548</v>
      </c>
      <c r="Q4286">
        <f>-482.674336881448 -120.040686888996 -272.658233825834</f>
        <v>-875.37325759627811</v>
      </c>
      <c r="R4286" t="s">
        <v>81760</v>
      </c>
      <c r="S4286" t="s">
        <v>81761</v>
      </c>
      <c r="T4286" t="s">
        <v>81762</v>
      </c>
      <c r="U4286" t="s">
        <v>81763</v>
      </c>
      <c r="V4286">
        <f>-613.582835604563 -64.2934810248744 -94.3742452070311</f>
        <v>-772.25056183646848</v>
      </c>
      <c r="W4286" t="s">
        <v>81764</v>
      </c>
      <c r="X4286" t="s">
        <v>81765</v>
      </c>
      <c r="Y4286" t="s">
        <v>81766</v>
      </c>
    </row>
    <row r="4287" spans="1:25" x14ac:dyDescent="0.3">
      <c r="A4287">
        <v>214300</v>
      </c>
      <c r="B4287" t="s">
        <v>81767</v>
      </c>
      <c r="C4287" t="s">
        <v>81768</v>
      </c>
      <c r="D4287" t="s">
        <v>81769</v>
      </c>
      <c r="E4287" t="s">
        <v>81770</v>
      </c>
      <c r="F4287" t="s">
        <v>81771</v>
      </c>
      <c r="G4287" t="s">
        <v>81772</v>
      </c>
      <c r="H4287" t="s">
        <v>81773</v>
      </c>
      <c r="I4287" t="s">
        <v>81774</v>
      </c>
      <c r="J4287" t="s">
        <v>81775</v>
      </c>
      <c r="K4287" t="s">
        <v>81776</v>
      </c>
      <c r="L4287" t="s">
        <v>81777</v>
      </c>
      <c r="M4287" t="s">
        <v>81778</v>
      </c>
      <c r="N4287">
        <f>-656.652918895678 -9.59979850366449 -531.348184505328</f>
        <v>-1197.6009019046705</v>
      </c>
      <c r="O4287">
        <f>-664.277734341405 -162.971139865791 -503.842918115618</f>
        <v>-1331.0917923228139</v>
      </c>
      <c r="P4287">
        <f>-695.376978214986 -203.946444423178 -226.475920163623</f>
        <v>-1125.7993428017871</v>
      </c>
      <c r="Q4287">
        <f>-484.026545329501 -120.42010059039 -274.464373755085</f>
        <v>-878.91101967497593</v>
      </c>
      <c r="R4287" t="s">
        <v>81779</v>
      </c>
      <c r="S4287" t="s">
        <v>81780</v>
      </c>
      <c r="T4287" t="s">
        <v>81781</v>
      </c>
      <c r="U4287" t="s">
        <v>81782</v>
      </c>
      <c r="V4287">
        <f>-614.374375812863 -64.8666847739955 -94.4153713985555</f>
        <v>-773.65643198541409</v>
      </c>
      <c r="W4287" t="s">
        <v>81783</v>
      </c>
      <c r="X4287" t="s">
        <v>81784</v>
      </c>
      <c r="Y4287" t="s">
        <v>81785</v>
      </c>
    </row>
    <row r="4288" spans="1:25" x14ac:dyDescent="0.3">
      <c r="A4288">
        <v>214350</v>
      </c>
      <c r="B4288" t="s">
        <v>81786</v>
      </c>
      <c r="C4288" t="s">
        <v>81787</v>
      </c>
      <c r="D4288" t="s">
        <v>81788</v>
      </c>
      <c r="E4288" t="s">
        <v>81789</v>
      </c>
      <c r="F4288" t="s">
        <v>81790</v>
      </c>
      <c r="G4288" t="s">
        <v>81791</v>
      </c>
      <c r="H4288" t="s">
        <v>81792</v>
      </c>
      <c r="I4288" t="s">
        <v>81793</v>
      </c>
      <c r="J4288" t="s">
        <v>81794</v>
      </c>
      <c r="K4288" t="s">
        <v>81795</v>
      </c>
      <c r="L4288" t="s">
        <v>81796</v>
      </c>
      <c r="M4288" t="s">
        <v>81797</v>
      </c>
      <c r="N4288">
        <f>-658.357109828999 -9.28230971782091 -531.301884605255</f>
        <v>-1198.941304152075</v>
      </c>
      <c r="O4288">
        <f>-666.555319630476 -162.634857265322 -503.858780389857</f>
        <v>-1333.048957285655</v>
      </c>
      <c r="P4288">
        <f>-697.33677583965 -202.940447576508 -226.358201160418</f>
        <v>-1126.635424576576</v>
      </c>
      <c r="Q4288">
        <f>-485.726058257685 -120.479367188838 -275.036928862071</f>
        <v>-881.24235430859403</v>
      </c>
      <c r="R4288" t="s">
        <v>81798</v>
      </c>
      <c r="S4288" t="s">
        <v>81799</v>
      </c>
      <c r="T4288" t="s">
        <v>81800</v>
      </c>
      <c r="U4288" t="s">
        <v>81801</v>
      </c>
      <c r="V4288">
        <f>-614.811490394326 -65.2611147168595 -94.448932311864</f>
        <v>-774.52153742304961</v>
      </c>
      <c r="W4288" t="s">
        <v>81802</v>
      </c>
      <c r="X4288" t="s">
        <v>81803</v>
      </c>
      <c r="Y4288" t="s">
        <v>81804</v>
      </c>
    </row>
    <row r="4289" spans="1:25" x14ac:dyDescent="0.3">
      <c r="A4289">
        <v>214400</v>
      </c>
      <c r="B4289" t="s">
        <v>81805</v>
      </c>
      <c r="C4289" t="s">
        <v>81806</v>
      </c>
      <c r="D4289" t="s">
        <v>81807</v>
      </c>
      <c r="E4289" t="s">
        <v>81808</v>
      </c>
      <c r="F4289" t="s">
        <v>81809</v>
      </c>
      <c r="G4289" t="s">
        <v>81810</v>
      </c>
      <c r="H4289" t="s">
        <v>81811</v>
      </c>
      <c r="I4289" t="s">
        <v>81812</v>
      </c>
      <c r="J4289" t="s">
        <v>81813</v>
      </c>
      <c r="K4289" t="s">
        <v>81814</v>
      </c>
      <c r="L4289" t="s">
        <v>81815</v>
      </c>
      <c r="M4289" t="s">
        <v>81816</v>
      </c>
      <c r="N4289">
        <f>-661.121630406505 -8.59499511113791 -531.081678120354</f>
        <v>-1200.7983036379969</v>
      </c>
      <c r="O4289">
        <f>-670.534813048705 -161.846365297114 -503.438776750229</f>
        <v>-1335.819955096048</v>
      </c>
      <c r="P4289">
        <f>-701.562128868767 -201.443930942405 -225.863685651085</f>
        <v>-1128.869745462257</v>
      </c>
      <c r="Q4289">
        <f>-489.505216652308 -120.332346415141 -274.866923211508</f>
        <v>-884.70448627895689</v>
      </c>
      <c r="R4289" t="s">
        <v>81817</v>
      </c>
      <c r="S4289" t="s">
        <v>81818</v>
      </c>
      <c r="T4289" t="s">
        <v>81819</v>
      </c>
      <c r="U4289" t="s">
        <v>81820</v>
      </c>
      <c r="V4289">
        <f>-615.430732658909 -65.7526367316925 -94.4253752621412</f>
        <v>-775.60874465274276</v>
      </c>
      <c r="W4289" t="s">
        <v>81821</v>
      </c>
      <c r="X4289" t="s">
        <v>81822</v>
      </c>
      <c r="Y4289" t="s">
        <v>81823</v>
      </c>
    </row>
    <row r="4290" spans="1:25" x14ac:dyDescent="0.3">
      <c r="A4290">
        <v>214450</v>
      </c>
      <c r="B4290" t="s">
        <v>81824</v>
      </c>
      <c r="C4290" t="s">
        <v>81825</v>
      </c>
      <c r="D4290" t="s">
        <v>81826</v>
      </c>
      <c r="E4290" t="s">
        <v>81827</v>
      </c>
      <c r="F4290" t="s">
        <v>81828</v>
      </c>
      <c r="G4290" t="s">
        <v>81829</v>
      </c>
      <c r="H4290" t="s">
        <v>81830</v>
      </c>
      <c r="I4290" t="s">
        <v>81831</v>
      </c>
      <c r="J4290" t="s">
        <v>81832</v>
      </c>
      <c r="K4290" t="s">
        <v>81833</v>
      </c>
      <c r="L4290" t="s">
        <v>81834</v>
      </c>
      <c r="M4290" t="s">
        <v>81835</v>
      </c>
      <c r="N4290">
        <f>-662.254953186336 -8.14852361063527 -530.95633107163</f>
        <v>-1201.3598078686014</v>
      </c>
      <c r="O4290">
        <f>-672.139106332024 -161.346193002414 -503.190642178994</f>
        <v>-1336.675941513432</v>
      </c>
      <c r="P4290">
        <f>-703.615479355717 -200.624118076222 -225.620614242632</f>
        <v>-1129.860211674571</v>
      </c>
      <c r="Q4290">
        <f>-491.237682156498 -120.221430898834 -274.4013757393</f>
        <v>-885.86048879463192</v>
      </c>
      <c r="R4290" t="s">
        <v>81836</v>
      </c>
      <c r="S4290" t="s">
        <v>81837</v>
      </c>
      <c r="T4290" t="s">
        <v>81838</v>
      </c>
      <c r="U4290" t="s">
        <v>81839</v>
      </c>
      <c r="V4290">
        <f>-615.328264157356 -65.6154986086349 -94.3508087764737</f>
        <v>-775.29457154246461</v>
      </c>
      <c r="W4290" t="s">
        <v>81840</v>
      </c>
      <c r="X4290" t="s">
        <v>81841</v>
      </c>
      <c r="Y4290" t="s">
        <v>81842</v>
      </c>
    </row>
    <row r="4291" spans="1:25" x14ac:dyDescent="0.3">
      <c r="A4291">
        <v>214500</v>
      </c>
      <c r="B4291" t="s">
        <v>81843</v>
      </c>
      <c r="C4291" t="s">
        <v>81844</v>
      </c>
      <c r="D4291" t="s">
        <v>81845</v>
      </c>
      <c r="E4291" t="s">
        <v>81846</v>
      </c>
      <c r="F4291" t="s">
        <v>81847</v>
      </c>
      <c r="G4291" t="s">
        <v>81848</v>
      </c>
      <c r="H4291" t="s">
        <v>81849</v>
      </c>
      <c r="I4291" t="s">
        <v>81850</v>
      </c>
      <c r="J4291" t="s">
        <v>81851</v>
      </c>
      <c r="K4291" t="s">
        <v>81852</v>
      </c>
      <c r="L4291" t="s">
        <v>81853</v>
      </c>
      <c r="M4291" t="s">
        <v>81854</v>
      </c>
      <c r="N4291">
        <f>-664.445939058262 -6.65713738910927 -530.398499052918</f>
        <v>-1201.5015755002892</v>
      </c>
      <c r="O4291">
        <f>-675.146899572479 -159.778078022207 -502.504365099859</f>
        <v>-1337.4293426945451</v>
      </c>
      <c r="P4291">
        <f>-707.383903266981 -197.992052299504 -224.873374736011</f>
        <v>-1130.2493303024958</v>
      </c>
      <c r="Q4291">
        <f>-494.281346041088 -119.35471849388 -273.370620954137</f>
        <v>-887.00668548910494</v>
      </c>
      <c r="R4291" t="s">
        <v>81855</v>
      </c>
      <c r="S4291" t="s">
        <v>81856</v>
      </c>
      <c r="T4291" t="s">
        <v>81857</v>
      </c>
      <c r="U4291" t="s">
        <v>81858</v>
      </c>
      <c r="V4291">
        <f>-615.449892195814 -64.9099565862355 -93.9229530067158</f>
        <v>-774.28280178876525</v>
      </c>
      <c r="W4291" t="s">
        <v>81859</v>
      </c>
      <c r="X4291" t="s">
        <v>81860</v>
      </c>
      <c r="Y4291" t="s">
        <v>81861</v>
      </c>
    </row>
    <row r="4292" spans="1:25" x14ac:dyDescent="0.3">
      <c r="A4292">
        <v>214550</v>
      </c>
      <c r="B4292" t="s">
        <v>81862</v>
      </c>
      <c r="C4292" t="s">
        <v>81863</v>
      </c>
      <c r="D4292" t="s">
        <v>81864</v>
      </c>
      <c r="E4292" t="s">
        <v>81865</v>
      </c>
      <c r="F4292" t="s">
        <v>81866</v>
      </c>
      <c r="G4292" t="s">
        <v>81867</v>
      </c>
      <c r="H4292" t="s">
        <v>81868</v>
      </c>
      <c r="I4292" t="s">
        <v>81869</v>
      </c>
      <c r="J4292" t="s">
        <v>81870</v>
      </c>
      <c r="K4292" t="s">
        <v>81871</v>
      </c>
      <c r="L4292" t="s">
        <v>81872</v>
      </c>
      <c r="M4292" t="s">
        <v>81873</v>
      </c>
      <c r="N4292">
        <f>-666.881476577625 -5.27684906179275 -529.738140323402</f>
        <v>-1201.8964659628198</v>
      </c>
      <c r="O4292">
        <f>-678.592815220905 -158.303542882916 -501.762984832186</f>
        <v>-1338.6593429360069</v>
      </c>
      <c r="P4292">
        <f>-711.278458338831 -195.31787657475 -224.021834253544</f>
        <v>-1130.618169167125</v>
      </c>
      <c r="Q4292">
        <f>-497.588121371896 -118.46791156897 -272.797650619489</f>
        <v>-888.85368356035497</v>
      </c>
      <c r="R4292" t="s">
        <v>81874</v>
      </c>
      <c r="S4292" t="s">
        <v>81875</v>
      </c>
      <c r="T4292" t="s">
        <v>81876</v>
      </c>
      <c r="U4292" t="s">
        <v>81877</v>
      </c>
      <c r="V4292">
        <f>-616.65725979266 -64.2295292145225 -93.4614940396064</f>
        <v>-774.34828304678888</v>
      </c>
      <c r="W4292" t="s">
        <v>81878</v>
      </c>
      <c r="X4292" t="s">
        <v>81879</v>
      </c>
      <c r="Y4292" t="s">
        <v>81880</v>
      </c>
    </row>
    <row r="4293" spans="1:25" x14ac:dyDescent="0.3">
      <c r="A4293">
        <v>214600</v>
      </c>
      <c r="B4293" t="s">
        <v>81881</v>
      </c>
      <c r="C4293" t="s">
        <v>81882</v>
      </c>
      <c r="D4293" t="s">
        <v>81883</v>
      </c>
      <c r="E4293" t="s">
        <v>81884</v>
      </c>
      <c r="F4293" t="s">
        <v>81885</v>
      </c>
      <c r="G4293" t="s">
        <v>81886</v>
      </c>
      <c r="H4293" t="s">
        <v>81887</v>
      </c>
      <c r="I4293" t="s">
        <v>81888</v>
      </c>
      <c r="J4293" t="s">
        <v>81889</v>
      </c>
      <c r="K4293" t="s">
        <v>81890</v>
      </c>
      <c r="L4293" t="s">
        <v>81891</v>
      </c>
      <c r="M4293" t="s">
        <v>81892</v>
      </c>
      <c r="N4293">
        <f>-667.24905733642 -4.81114874919103 -529.546062304643</f>
        <v>-1201.6062683902542</v>
      </c>
      <c r="O4293">
        <f>-679.468641149012 -157.790418654253 -501.542209255584</f>
        <v>-1338.8012690588489</v>
      </c>
      <c r="P4293">
        <f>-712.46000732043 -194.424857619727 -223.786821002331</f>
        <v>-1130.671685942488</v>
      </c>
      <c r="Q4293">
        <f>-498.538500560266 -118.330979529132 -272.734185010277</f>
        <v>-889.60366509967503</v>
      </c>
      <c r="R4293" t="s">
        <v>81893</v>
      </c>
      <c r="S4293" t="s">
        <v>81894</v>
      </c>
      <c r="T4293" t="s">
        <v>81895</v>
      </c>
      <c r="U4293" t="s">
        <v>81896</v>
      </c>
      <c r="V4293">
        <f>-617.597572752823 -63.6085402919089 -93.311780141821</f>
        <v>-774.5178931865529</v>
      </c>
      <c r="W4293" t="s">
        <v>81897</v>
      </c>
      <c r="X4293" t="s">
        <v>81898</v>
      </c>
      <c r="Y4293" t="s">
        <v>81899</v>
      </c>
    </row>
    <row r="4294" spans="1:25" x14ac:dyDescent="0.3">
      <c r="A4294">
        <v>214650</v>
      </c>
      <c r="B4294" t="s">
        <v>81900</v>
      </c>
      <c r="C4294" t="s">
        <v>81901</v>
      </c>
      <c r="D4294" t="s">
        <v>81902</v>
      </c>
      <c r="E4294" t="s">
        <v>81903</v>
      </c>
      <c r="F4294" t="s">
        <v>81904</v>
      </c>
      <c r="G4294" t="s">
        <v>81905</v>
      </c>
      <c r="H4294" t="s">
        <v>81906</v>
      </c>
      <c r="I4294" t="s">
        <v>81907</v>
      </c>
      <c r="J4294" t="s">
        <v>81908</v>
      </c>
      <c r="K4294" t="s">
        <v>81909</v>
      </c>
      <c r="L4294" t="s">
        <v>81910</v>
      </c>
      <c r="M4294" t="s">
        <v>81911</v>
      </c>
      <c r="N4294">
        <f>-667.601404068998 -4.31604857710204 -529.408383120045</f>
        <v>-1201.325835766145</v>
      </c>
      <c r="O4294">
        <f>-680.157642139219 -157.260492413255 -501.333137044577</f>
        <v>-1338.7512715970508</v>
      </c>
      <c r="P4294">
        <f>-713.633610408264 -193.604283871894 -223.597600961569</f>
        <v>-1130.8354952417269</v>
      </c>
      <c r="Q4294">
        <f>-499.506543374484 -118.098801972511 -272.55696614813</f>
        <v>-890.1623114951251</v>
      </c>
      <c r="R4294" t="s">
        <v>81912</v>
      </c>
      <c r="S4294" t="s">
        <v>81913</v>
      </c>
      <c r="T4294" t="s">
        <v>81914</v>
      </c>
      <c r="U4294" t="s">
        <v>81915</v>
      </c>
      <c r="V4294">
        <f>-618.663394596207 -62.8511050850095 -93.2439115237243</f>
        <v>-774.75841120494078</v>
      </c>
      <c r="W4294" t="s">
        <v>81916</v>
      </c>
      <c r="X4294" t="s">
        <v>81917</v>
      </c>
      <c r="Y4294" t="s">
        <v>81918</v>
      </c>
    </row>
    <row r="4295" spans="1:25" x14ac:dyDescent="0.3">
      <c r="A4295">
        <v>214700</v>
      </c>
      <c r="B4295" t="s">
        <v>81919</v>
      </c>
      <c r="C4295" t="s">
        <v>81920</v>
      </c>
      <c r="D4295" t="s">
        <v>81921</v>
      </c>
      <c r="E4295" t="s">
        <v>81922</v>
      </c>
      <c r="F4295" t="s">
        <v>81923</v>
      </c>
      <c r="G4295" t="s">
        <v>81924</v>
      </c>
      <c r="H4295" t="s">
        <v>81925</v>
      </c>
      <c r="I4295" t="s">
        <v>81926</v>
      </c>
      <c r="J4295" t="s">
        <v>81927</v>
      </c>
      <c r="K4295" t="s">
        <v>81928</v>
      </c>
      <c r="L4295" t="s">
        <v>81929</v>
      </c>
      <c r="M4295" t="s">
        <v>81930</v>
      </c>
      <c r="N4295">
        <f>-668.024429968151 -3.9206490263457 -529.317238586122</f>
        <v>-1201.2623175806189</v>
      </c>
      <c r="O4295">
        <f>-681.205746397059 -156.749622621195 -500.96150192718</f>
        <v>-1338.9168709454341</v>
      </c>
      <c r="P4295">
        <f>-715.413513587381 -192.651801159913 -223.257726743515</f>
        <v>-1131.3230414908089</v>
      </c>
      <c r="Q4295">
        <f>-500.880503106401 -117.910464101102 -271.608680670596</f>
        <v>-890.39964787809913</v>
      </c>
      <c r="R4295" t="s">
        <v>81931</v>
      </c>
      <c r="S4295" t="s">
        <v>81932</v>
      </c>
      <c r="T4295" t="s">
        <v>81933</v>
      </c>
      <c r="U4295" t="s">
        <v>81934</v>
      </c>
      <c r="V4295">
        <f>-621.046389548211 -62.2470743857875 -93.2548683411281</f>
        <v>-776.54833227512665</v>
      </c>
      <c r="W4295" t="s">
        <v>81935</v>
      </c>
      <c r="X4295" t="s">
        <v>81936</v>
      </c>
      <c r="Y4295" t="s">
        <v>81937</v>
      </c>
    </row>
    <row r="4296" spans="1:25" x14ac:dyDescent="0.3">
      <c r="A4296">
        <v>214750</v>
      </c>
      <c r="B4296" t="s">
        <v>81938</v>
      </c>
      <c r="C4296" t="s">
        <v>81939</v>
      </c>
      <c r="D4296" t="s">
        <v>81940</v>
      </c>
      <c r="E4296" t="s">
        <v>81941</v>
      </c>
      <c r="F4296" t="s">
        <v>81942</v>
      </c>
      <c r="G4296" t="s">
        <v>81943</v>
      </c>
      <c r="H4296" t="s">
        <v>81944</v>
      </c>
      <c r="I4296" t="s">
        <v>81945</v>
      </c>
      <c r="J4296" t="s">
        <v>81946</v>
      </c>
      <c r="K4296" t="s">
        <v>81947</v>
      </c>
      <c r="L4296" t="s">
        <v>81948</v>
      </c>
      <c r="M4296" t="s">
        <v>81949</v>
      </c>
      <c r="N4296">
        <f>-668.297380191435 -4.05332772352904 -529.329387005868</f>
        <v>-1201.6800949208321</v>
      </c>
      <c r="O4296">
        <f>-681.694355771234 -156.835368249164 -500.787043212156</f>
        <v>-1339.316767232554</v>
      </c>
      <c r="P4296">
        <f>-716.411036018202 -192.3967906548 -223.102516526392</f>
        <v>-1131.910343199394</v>
      </c>
      <c r="Q4296">
        <f>-501.699051234918 -117.974322212428 -271.150274691508</f>
        <v>-890.82364813885397</v>
      </c>
      <c r="R4296" t="s">
        <v>81950</v>
      </c>
      <c r="S4296" t="s">
        <v>81951</v>
      </c>
      <c r="T4296" t="s">
        <v>81952</v>
      </c>
      <c r="U4296" t="s">
        <v>81953</v>
      </c>
      <c r="V4296">
        <f>-622.17631781189 -62.2182418542814 -93.2643512714562</f>
        <v>-777.65891093762764</v>
      </c>
      <c r="W4296" t="s">
        <v>81954</v>
      </c>
      <c r="X4296" t="s">
        <v>81955</v>
      </c>
      <c r="Y4296" t="s">
        <v>81956</v>
      </c>
    </row>
    <row r="4297" spans="1:25" x14ac:dyDescent="0.3">
      <c r="A4297">
        <v>214800</v>
      </c>
      <c r="B4297" t="s">
        <v>81957</v>
      </c>
      <c r="C4297" t="s">
        <v>81958</v>
      </c>
      <c r="D4297" t="s">
        <v>81959</v>
      </c>
      <c r="E4297" t="s">
        <v>81960</v>
      </c>
      <c r="F4297" t="s">
        <v>81961</v>
      </c>
      <c r="G4297" t="s">
        <v>81962</v>
      </c>
      <c r="H4297" t="s">
        <v>81963</v>
      </c>
      <c r="I4297" t="s">
        <v>81964</v>
      </c>
      <c r="J4297" t="s">
        <v>81965</v>
      </c>
      <c r="K4297" t="s">
        <v>81966</v>
      </c>
      <c r="L4297" t="s">
        <v>81967</v>
      </c>
      <c r="M4297" t="s">
        <v>81968</v>
      </c>
      <c r="N4297">
        <f>-668.701585673418 -4.51911567446768 -529.440368508287</f>
        <v>-1202.6610698561726</v>
      </c>
      <c r="O4297">
        <f>-682.559959095332 -157.220374683722 -500.625461234596</f>
        <v>-1340.40579501365</v>
      </c>
      <c r="P4297">
        <f>-718.045220162196 -192.175608756272 -222.961132650679</f>
        <v>-1133.181961569147</v>
      </c>
      <c r="Q4297">
        <f>-503.091616262251 -118.175883431682 -270.579379438346</f>
        <v>-891.84687913227901</v>
      </c>
      <c r="R4297" t="s">
        <v>81969</v>
      </c>
      <c r="S4297" t="s">
        <v>81970</v>
      </c>
      <c r="T4297" t="s">
        <v>81971</v>
      </c>
      <c r="U4297" t="s">
        <v>81972</v>
      </c>
      <c r="V4297">
        <f>-623.580692198763 -62.36984513476 -93.3428005450836</f>
        <v>-779.29333787860662</v>
      </c>
      <c r="W4297" t="s">
        <v>81973</v>
      </c>
      <c r="X4297" t="s">
        <v>81974</v>
      </c>
      <c r="Y4297" t="s">
        <v>81975</v>
      </c>
    </row>
    <row r="4298" spans="1:25" x14ac:dyDescent="0.3">
      <c r="A4298">
        <v>214850</v>
      </c>
      <c r="B4298" t="s">
        <v>81976</v>
      </c>
      <c r="C4298" t="s">
        <v>81977</v>
      </c>
      <c r="D4298" t="s">
        <v>81978</v>
      </c>
      <c r="E4298" t="s">
        <v>81979</v>
      </c>
      <c r="F4298" t="s">
        <v>81980</v>
      </c>
      <c r="G4298" t="s">
        <v>81981</v>
      </c>
      <c r="H4298" t="s">
        <v>81982</v>
      </c>
      <c r="I4298" t="s">
        <v>81983</v>
      </c>
      <c r="J4298" t="s">
        <v>81984</v>
      </c>
      <c r="K4298" t="s">
        <v>81985</v>
      </c>
      <c r="L4298" t="s">
        <v>81986</v>
      </c>
      <c r="M4298" t="s">
        <v>81987</v>
      </c>
      <c r="N4298">
        <f>-668.716355664087 -4.71470610846609 -529.477596657699</f>
        <v>-1202.9086584302522</v>
      </c>
      <c r="O4298">
        <f>-682.755594831172 -157.368145794232 -500.554660326066</f>
        <v>-1340.6784009514699</v>
      </c>
      <c r="P4298">
        <f>-718.551583949224 -192.114122959434 -222.903887179849</f>
        <v>-1133.5695940885071</v>
      </c>
      <c r="Q4298">
        <f>-503.562305500549 -118.217203500027 -270.520870806753</f>
        <v>-892.30037980732902</v>
      </c>
      <c r="R4298" t="s">
        <v>81988</v>
      </c>
      <c r="S4298" t="s">
        <v>81989</v>
      </c>
      <c r="T4298" t="s">
        <v>81990</v>
      </c>
      <c r="U4298" t="s">
        <v>81991</v>
      </c>
      <c r="V4298">
        <f>-623.818300766334 -62.4394069347568 -93.3713479117173</f>
        <v>-779.62905561280809</v>
      </c>
      <c r="W4298" t="s">
        <v>81992</v>
      </c>
      <c r="X4298" t="s">
        <v>81993</v>
      </c>
      <c r="Y4298" t="s">
        <v>81994</v>
      </c>
    </row>
    <row r="4299" spans="1:25" x14ac:dyDescent="0.3">
      <c r="A4299">
        <v>214900</v>
      </c>
      <c r="B4299" t="s">
        <v>81995</v>
      </c>
      <c r="C4299" t="s">
        <v>81996</v>
      </c>
      <c r="D4299" t="s">
        <v>81997</v>
      </c>
      <c r="E4299" t="s">
        <v>81998</v>
      </c>
      <c r="F4299" t="s">
        <v>81999</v>
      </c>
      <c r="G4299" t="s">
        <v>82000</v>
      </c>
      <c r="H4299" t="s">
        <v>82001</v>
      </c>
      <c r="I4299" t="s">
        <v>82002</v>
      </c>
      <c r="J4299" t="s">
        <v>82003</v>
      </c>
      <c r="K4299" t="s">
        <v>82004</v>
      </c>
      <c r="L4299" t="s">
        <v>82005</v>
      </c>
      <c r="M4299" t="s">
        <v>82006</v>
      </c>
      <c r="N4299">
        <f>-668.324792032548 -5.15755307598693 -529.522864852221</f>
        <v>-1203.005209960756</v>
      </c>
      <c r="O4299">
        <f>-682.607192298358 -157.772067483795 -500.499890983888</f>
        <v>-1340.879150766041</v>
      </c>
      <c r="P4299">
        <f>-718.623118248314 -192.446056724181 -222.86848158373</f>
        <v>-1133.937656556225</v>
      </c>
      <c r="Q4299">
        <f>-503.606397332454 -118.663781063437 -270.539340018956</f>
        <v>-892.80951841484693</v>
      </c>
      <c r="R4299" t="s">
        <v>82007</v>
      </c>
      <c r="S4299" t="s">
        <v>82008</v>
      </c>
      <c r="T4299" t="s">
        <v>82009</v>
      </c>
      <c r="U4299" t="s">
        <v>82010</v>
      </c>
      <c r="V4299">
        <f>-623.895234435411 -62.6632709150449 -93.3794447393981</f>
        <v>-779.93795008985398</v>
      </c>
      <c r="W4299" t="s">
        <v>82011</v>
      </c>
      <c r="X4299" t="s">
        <v>82012</v>
      </c>
      <c r="Y4299" t="s">
        <v>82013</v>
      </c>
    </row>
    <row r="4300" spans="1:25" x14ac:dyDescent="0.3">
      <c r="A4300">
        <v>214950</v>
      </c>
      <c r="B4300" t="s">
        <v>82014</v>
      </c>
      <c r="C4300" t="s">
        <v>82015</v>
      </c>
      <c r="D4300" t="s">
        <v>82016</v>
      </c>
      <c r="E4300" t="s">
        <v>82017</v>
      </c>
      <c r="F4300" t="s">
        <v>82018</v>
      </c>
      <c r="G4300" t="s">
        <v>82019</v>
      </c>
      <c r="H4300" t="s">
        <v>82020</v>
      </c>
      <c r="I4300" t="s">
        <v>82021</v>
      </c>
      <c r="J4300" t="s">
        <v>82022</v>
      </c>
      <c r="K4300" t="s">
        <v>82023</v>
      </c>
      <c r="L4300" t="s">
        <v>82024</v>
      </c>
      <c r="M4300" t="s">
        <v>82025</v>
      </c>
      <c r="N4300">
        <f>-668.247636353419 -5.35661733771803 -529.531819750657</f>
        <v>-1203.136073441794</v>
      </c>
      <c r="O4300">
        <f>-682.615321801644 -157.952503622123 -500.451339038794</f>
        <v>-1341.0191644625611</v>
      </c>
      <c r="P4300">
        <f>-718.481698703227 -192.612458162751 -222.798984559404</f>
        <v>-1133.8931414253821</v>
      </c>
      <c r="Q4300">
        <f>-503.44708814739 -118.884752044141 -270.47377882415</f>
        <v>-892.80561901568103</v>
      </c>
      <c r="R4300" t="s">
        <v>82026</v>
      </c>
      <c r="S4300" t="s">
        <v>82027</v>
      </c>
      <c r="T4300" t="s">
        <v>82028</v>
      </c>
      <c r="U4300" t="s">
        <v>82029</v>
      </c>
      <c r="V4300">
        <f>-623.716395025473 -62.8540013359561 -93.3845809349067</f>
        <v>-779.95497729633587</v>
      </c>
      <c r="W4300" t="s">
        <v>82030</v>
      </c>
      <c r="X4300" t="s">
        <v>82031</v>
      </c>
      <c r="Y4300" t="s">
        <v>82032</v>
      </c>
    </row>
    <row r="4301" spans="1:25" x14ac:dyDescent="0.3">
      <c r="A4301">
        <v>215000</v>
      </c>
      <c r="B4301" t="s">
        <v>82033</v>
      </c>
      <c r="C4301" t="s">
        <v>82034</v>
      </c>
      <c r="D4301" t="s">
        <v>82035</v>
      </c>
      <c r="E4301" t="s">
        <v>82036</v>
      </c>
      <c r="F4301" t="s">
        <v>82037</v>
      </c>
      <c r="G4301" t="s">
        <v>82038</v>
      </c>
      <c r="H4301" t="s">
        <v>82039</v>
      </c>
      <c r="I4301" t="s">
        <v>82040</v>
      </c>
      <c r="J4301" t="s">
        <v>82041</v>
      </c>
      <c r="K4301" t="s">
        <v>82042</v>
      </c>
      <c r="L4301" t="s">
        <v>82043</v>
      </c>
      <c r="M4301" t="s">
        <v>82044</v>
      </c>
      <c r="N4301">
        <f>-667.737343506136 -5.56981161717522 -529.56790488708</f>
        <v>-1202.8750600103913</v>
      </c>
      <c r="O4301">
        <f>-682.026192588275 -158.171374264816 -500.483442558052</f>
        <v>-1340.6810094111429</v>
      </c>
      <c r="P4301">
        <f>-717.806208814237 -192.902956193605 -222.828813898529</f>
        <v>-1133.5379789063711</v>
      </c>
      <c r="Q4301">
        <f>-502.804681349019 -119.070955272317 -270.491313934452</f>
        <v>-892.36695055578798</v>
      </c>
      <c r="R4301" t="s">
        <v>82045</v>
      </c>
      <c r="S4301" t="s">
        <v>82046</v>
      </c>
      <c r="T4301" t="s">
        <v>82047</v>
      </c>
      <c r="U4301" t="s">
        <v>82048</v>
      </c>
      <c r="V4301">
        <f>-622.973984839739 -63.0547658018579 -93.386133588042</f>
        <v>-779.41488422963891</v>
      </c>
      <c r="W4301" t="s">
        <v>82049</v>
      </c>
      <c r="X4301" t="s">
        <v>82050</v>
      </c>
      <c r="Y4301" t="s">
        <v>82051</v>
      </c>
    </row>
    <row r="4302" spans="1:25" x14ac:dyDescent="0.3">
      <c r="A4302">
        <v>215050</v>
      </c>
      <c r="B4302" t="s">
        <v>82052</v>
      </c>
      <c r="C4302" t="s">
        <v>82053</v>
      </c>
      <c r="D4302" t="s">
        <v>82054</v>
      </c>
      <c r="E4302" t="s">
        <v>82055</v>
      </c>
      <c r="F4302" t="s">
        <v>82056</v>
      </c>
      <c r="G4302" t="s">
        <v>82057</v>
      </c>
      <c r="H4302" t="s">
        <v>82058</v>
      </c>
      <c r="I4302" t="s">
        <v>82059</v>
      </c>
      <c r="J4302" t="s">
        <v>82060</v>
      </c>
      <c r="K4302" t="s">
        <v>82061</v>
      </c>
      <c r="L4302" t="s">
        <v>82062</v>
      </c>
      <c r="M4302" t="s">
        <v>82063</v>
      </c>
      <c r="N4302">
        <f>-667.224844374047 -5.63239705303977 -529.612020151131</f>
        <v>-1202.4692615782178</v>
      </c>
      <c r="O4302">
        <f>-681.503240591019 -158.237511880858 -500.53003561542</f>
        <v>-1340.270788087297</v>
      </c>
      <c r="P4302">
        <f>-717.271465810928 -193.12537234319 -222.893385562033</f>
        <v>-1133.2902237161511</v>
      </c>
      <c r="Q4302">
        <f>-502.331353617952 -119.042777125386 -270.443785054601</f>
        <v>-891.81791579793901</v>
      </c>
      <c r="R4302" t="s">
        <v>82064</v>
      </c>
      <c r="S4302" t="s">
        <v>82065</v>
      </c>
      <c r="T4302" t="s">
        <v>82066</v>
      </c>
      <c r="U4302" t="s">
        <v>82067</v>
      </c>
      <c r="V4302">
        <f>-622.481378730286 -63.108583591481 -93.394457423242</f>
        <v>-778.98441974500895</v>
      </c>
      <c r="W4302" t="s">
        <v>82068</v>
      </c>
      <c r="X4302" t="s">
        <v>82069</v>
      </c>
      <c r="Y4302" t="s">
        <v>82070</v>
      </c>
    </row>
    <row r="4303" spans="1:25" x14ac:dyDescent="0.3">
      <c r="A4303">
        <v>215100</v>
      </c>
      <c r="B4303" t="s">
        <v>82071</v>
      </c>
      <c r="C4303" t="s">
        <v>82072</v>
      </c>
      <c r="D4303" t="s">
        <v>82073</v>
      </c>
      <c r="E4303" t="s">
        <v>82074</v>
      </c>
      <c r="F4303" t="s">
        <v>82075</v>
      </c>
      <c r="G4303" t="s">
        <v>82076</v>
      </c>
      <c r="H4303" t="s">
        <v>82077</v>
      </c>
      <c r="I4303" t="s">
        <v>82078</v>
      </c>
      <c r="J4303" t="s">
        <v>82079</v>
      </c>
      <c r="K4303" t="s">
        <v>82080</v>
      </c>
      <c r="L4303" t="s">
        <v>82081</v>
      </c>
      <c r="M4303" t="s">
        <v>82082</v>
      </c>
      <c r="N4303">
        <f>-665.380466700268 -6.15323059217371 -529.662042045319</f>
        <v>-1201.1957393377606</v>
      </c>
      <c r="O4303">
        <f>-679.616096952143 -158.777529735264 -500.688480765647</f>
        <v>-1339.082107453054</v>
      </c>
      <c r="P4303">
        <f>-715.639273428964 -193.908827358519 -223.115541730904</f>
        <v>-1132.663642518387</v>
      </c>
      <c r="Q4303">
        <f>-500.899220737146 -119.101320527451 -270.434728645251</f>
        <v>-890.4352699098481</v>
      </c>
      <c r="R4303" t="s">
        <v>82083</v>
      </c>
      <c r="S4303" t="s">
        <v>82084</v>
      </c>
      <c r="T4303" t="s">
        <v>82085</v>
      </c>
      <c r="U4303" t="s">
        <v>82086</v>
      </c>
      <c r="V4303">
        <f>-621.346189055299 -63.5974414229174 -93.3713623032644</f>
        <v>-778.31499278148078</v>
      </c>
      <c r="W4303" t="s">
        <v>82087</v>
      </c>
      <c r="X4303" t="s">
        <v>82088</v>
      </c>
      <c r="Y4303" t="s">
        <v>82089</v>
      </c>
    </row>
    <row r="4304" spans="1:25" x14ac:dyDescent="0.3">
      <c r="A4304">
        <v>215150</v>
      </c>
      <c r="B4304" t="s">
        <v>82090</v>
      </c>
      <c r="C4304" t="s">
        <v>82091</v>
      </c>
      <c r="D4304" t="s">
        <v>82092</v>
      </c>
      <c r="E4304" t="s">
        <v>82093</v>
      </c>
      <c r="F4304" t="s">
        <v>82094</v>
      </c>
      <c r="G4304" t="s">
        <v>82095</v>
      </c>
      <c r="H4304" t="s">
        <v>82096</v>
      </c>
      <c r="I4304" t="s">
        <v>82097</v>
      </c>
      <c r="J4304" t="s">
        <v>82098</v>
      </c>
      <c r="K4304" t="s">
        <v>82099</v>
      </c>
      <c r="L4304" t="s">
        <v>82100</v>
      </c>
      <c r="M4304" t="s">
        <v>82101</v>
      </c>
      <c r="N4304">
        <f>-663.595708312825 -6.80604523042894 -529.699427874704</f>
        <v>-1200.1011814179578</v>
      </c>
      <c r="O4304">
        <f>-677.618283681289 -159.438480963691 -500.653450512806</f>
        <v>-1337.710215157786</v>
      </c>
      <c r="P4304">
        <f>-713.818871457819 -194.786742078551 -223.131205940283</f>
        <v>-1131.736819476653</v>
      </c>
      <c r="Q4304">
        <f>-499.309561312897 -119.186805696279 -270.237106121098</f>
        <v>-888.73347313027398</v>
      </c>
      <c r="R4304" t="s">
        <v>82102</v>
      </c>
      <c r="S4304" t="s">
        <v>82103</v>
      </c>
      <c r="T4304" t="s">
        <v>82104</v>
      </c>
      <c r="U4304" t="s">
        <v>82105</v>
      </c>
      <c r="V4304">
        <f>-619.96154194109 -64.0675056782939 -93.3608637093747</f>
        <v>-777.38991132875856</v>
      </c>
      <c r="W4304" t="s">
        <v>82106</v>
      </c>
      <c r="X4304" t="s">
        <v>82107</v>
      </c>
      <c r="Y4304" t="s">
        <v>82108</v>
      </c>
    </row>
    <row r="4305" spans="1:25" x14ac:dyDescent="0.3">
      <c r="A4305">
        <v>215200</v>
      </c>
      <c r="B4305" t="s">
        <v>82109</v>
      </c>
      <c r="C4305" t="s">
        <v>82110</v>
      </c>
      <c r="D4305" t="s">
        <v>82111</v>
      </c>
      <c r="E4305" t="s">
        <v>82112</v>
      </c>
      <c r="F4305" t="s">
        <v>82113</v>
      </c>
      <c r="G4305" t="s">
        <v>82114</v>
      </c>
      <c r="H4305" t="s">
        <v>82115</v>
      </c>
      <c r="I4305" t="s">
        <v>82116</v>
      </c>
      <c r="J4305" t="s">
        <v>82117</v>
      </c>
      <c r="K4305" t="s">
        <v>82118</v>
      </c>
      <c r="L4305" t="s">
        <v>82119</v>
      </c>
      <c r="M4305" t="s">
        <v>82120</v>
      </c>
      <c r="N4305">
        <f>-662.842310788889 -7.06373546582927 -529.747075605856</f>
        <v>-1199.6531218605742</v>
      </c>
      <c r="O4305">
        <f>-676.690146793111 -159.699098738938 -500.62453813915</f>
        <v>-1337.013783671199</v>
      </c>
      <c r="P4305">
        <f>-712.853367343335 -195.018354747443 -223.093677587882</f>
        <v>-1130.9653996786601</v>
      </c>
      <c r="Q4305">
        <f>-498.397014291886 -119.217327993454 -270.117353927141</f>
        <v>-887.73169621248098</v>
      </c>
      <c r="R4305" t="s">
        <v>82121</v>
      </c>
      <c r="S4305" t="s">
        <v>82122</v>
      </c>
      <c r="T4305" t="s">
        <v>82123</v>
      </c>
      <c r="U4305" t="s">
        <v>82124</v>
      </c>
      <c r="V4305">
        <f>-619.221831334552 -64.2543289519967 -93.401943610367</f>
        <v>-776.87810389691572</v>
      </c>
      <c r="W4305" t="s">
        <v>82125</v>
      </c>
      <c r="X4305" t="s">
        <v>82126</v>
      </c>
      <c r="Y4305" t="s">
        <v>82127</v>
      </c>
    </row>
    <row r="4306" spans="1:25" x14ac:dyDescent="0.3">
      <c r="A4306">
        <v>215250</v>
      </c>
      <c r="B4306" t="s">
        <v>82128</v>
      </c>
      <c r="C4306" t="s">
        <v>82129</v>
      </c>
      <c r="D4306" t="s">
        <v>82130</v>
      </c>
      <c r="E4306" t="s">
        <v>82131</v>
      </c>
      <c r="F4306" t="s">
        <v>82132</v>
      </c>
      <c r="G4306" t="s">
        <v>82133</v>
      </c>
      <c r="H4306" t="s">
        <v>82134</v>
      </c>
      <c r="I4306" t="s">
        <v>82135</v>
      </c>
      <c r="J4306" t="s">
        <v>82136</v>
      </c>
      <c r="K4306" t="s">
        <v>82137</v>
      </c>
      <c r="L4306" t="s">
        <v>82138</v>
      </c>
      <c r="M4306" t="s">
        <v>82139</v>
      </c>
      <c r="N4306">
        <f>-662.223899120655 -7.21811693936775 -529.829549482618</f>
        <v>-1199.2715655426407</v>
      </c>
      <c r="O4306">
        <f>-675.940462532398 -159.853490862321 -500.629737369074</f>
        <v>-1336.423690763793</v>
      </c>
      <c r="P4306">
        <f>-711.977436757571 -195.036271986344 -223.065078236059</f>
        <v>-1130.078786979974</v>
      </c>
      <c r="Q4306">
        <f>-497.541948723052 -119.180558139033 -270.095713952743</f>
        <v>-886.81822081482801</v>
      </c>
      <c r="R4306" t="s">
        <v>82140</v>
      </c>
      <c r="S4306" t="s">
        <v>82141</v>
      </c>
      <c r="T4306" t="s">
        <v>82142</v>
      </c>
      <c r="U4306" t="s">
        <v>82143</v>
      </c>
      <c r="V4306">
        <f>-618.468928499293 -64.3416247426785 -93.4792085316731</f>
        <v>-776.28976177364461</v>
      </c>
      <c r="W4306" t="s">
        <v>82144</v>
      </c>
      <c r="X4306" t="s">
        <v>82145</v>
      </c>
      <c r="Y4306" t="s">
        <v>82146</v>
      </c>
    </row>
    <row r="4307" spans="1:25" x14ac:dyDescent="0.3">
      <c r="A4307">
        <v>215300</v>
      </c>
      <c r="B4307" t="s">
        <v>82147</v>
      </c>
      <c r="C4307" t="s">
        <v>82148</v>
      </c>
      <c r="D4307" t="s">
        <v>82149</v>
      </c>
      <c r="E4307" t="s">
        <v>82150</v>
      </c>
      <c r="F4307" t="s">
        <v>82151</v>
      </c>
      <c r="G4307" t="s">
        <v>82152</v>
      </c>
      <c r="H4307" t="s">
        <v>82153</v>
      </c>
      <c r="I4307" t="s">
        <v>82154</v>
      </c>
      <c r="J4307" t="s">
        <v>82155</v>
      </c>
      <c r="K4307" t="s">
        <v>82156</v>
      </c>
      <c r="L4307" t="s">
        <v>82157</v>
      </c>
      <c r="M4307" t="s">
        <v>82158</v>
      </c>
      <c r="N4307">
        <f>-660.649048030596 -7.59791298876803 -530.033409442208</f>
        <v>-1198.2803704615721</v>
      </c>
      <c r="O4307">
        <f>-674.27857470193 -160.207354153115 -500.667439872932</f>
        <v>-1335.1533687279771</v>
      </c>
      <c r="P4307">
        <f>-710.213893644484 -195.104395124315 -223.053683969072</f>
        <v>-1128.3719727378709</v>
      </c>
      <c r="Q4307">
        <f>-495.811680055037 -119.253698062141 -270.243824928569</f>
        <v>-885.30920304574704</v>
      </c>
      <c r="R4307" t="s">
        <v>82159</v>
      </c>
      <c r="S4307" t="s">
        <v>82160</v>
      </c>
      <c r="T4307" t="s">
        <v>82161</v>
      </c>
      <c r="U4307" t="s">
        <v>82162</v>
      </c>
      <c r="V4307">
        <f>-617.307761145308 -64.4830035001976 -93.6436439963729</f>
        <v>-775.43440864187846</v>
      </c>
      <c r="W4307" t="s">
        <v>82163</v>
      </c>
      <c r="X4307" t="s">
        <v>82164</v>
      </c>
      <c r="Y4307" t="s">
        <v>82165</v>
      </c>
    </row>
    <row r="4308" spans="1:25" x14ac:dyDescent="0.3">
      <c r="A4308">
        <v>215350</v>
      </c>
      <c r="B4308" t="s">
        <v>82166</v>
      </c>
      <c r="C4308" t="s">
        <v>82167</v>
      </c>
      <c r="D4308" t="s">
        <v>82168</v>
      </c>
      <c r="E4308" t="s">
        <v>82169</v>
      </c>
      <c r="F4308" t="s">
        <v>82170</v>
      </c>
      <c r="G4308" t="s">
        <v>82171</v>
      </c>
      <c r="H4308" t="s">
        <v>82172</v>
      </c>
      <c r="I4308" t="s">
        <v>82173</v>
      </c>
      <c r="J4308" t="s">
        <v>82174</v>
      </c>
      <c r="K4308" t="s">
        <v>82175</v>
      </c>
      <c r="L4308" t="s">
        <v>82176</v>
      </c>
      <c r="M4308" t="s">
        <v>82177</v>
      </c>
      <c r="N4308">
        <f>-658.682800846208 -8.15709997529621 -530.247788234292</f>
        <v>-1197.0876890557961</v>
      </c>
      <c r="O4308">
        <f>-672.272264968004 -160.724711294002 -500.653317318156</f>
        <v>-1333.650293580162</v>
      </c>
      <c r="P4308">
        <f>-708.365009100739 -195.514800240714 -223.046446015594</f>
        <v>-1126.926255357047</v>
      </c>
      <c r="Q4308">
        <f>-494.050894924677 -119.458939325335 -270.306327608614</f>
        <v>-883.81616185862595</v>
      </c>
      <c r="R4308" t="s">
        <v>82178</v>
      </c>
      <c r="S4308" t="s">
        <v>82179</v>
      </c>
      <c r="T4308" t="s">
        <v>82180</v>
      </c>
      <c r="U4308" t="s">
        <v>82181</v>
      </c>
      <c r="V4308">
        <f>-616.407133200268 -64.3495526361519 -93.7915117512965</f>
        <v>-774.54819758771646</v>
      </c>
      <c r="W4308" t="s">
        <v>82182</v>
      </c>
      <c r="X4308" t="s">
        <v>82183</v>
      </c>
      <c r="Y4308" t="s">
        <v>82184</v>
      </c>
    </row>
    <row r="4309" spans="1:25" x14ac:dyDescent="0.3">
      <c r="A4309">
        <v>215400</v>
      </c>
      <c r="B4309" t="s">
        <v>82185</v>
      </c>
      <c r="C4309" t="s">
        <v>82186</v>
      </c>
      <c r="D4309" t="s">
        <v>82187</v>
      </c>
      <c r="E4309" t="s">
        <v>82188</v>
      </c>
      <c r="F4309" t="s">
        <v>82189</v>
      </c>
      <c r="G4309" t="s">
        <v>82190</v>
      </c>
      <c r="H4309" t="s">
        <v>82191</v>
      </c>
      <c r="I4309" t="s">
        <v>82192</v>
      </c>
      <c r="J4309" t="s">
        <v>82193</v>
      </c>
      <c r="K4309" t="s">
        <v>82194</v>
      </c>
      <c r="L4309" t="s">
        <v>82195</v>
      </c>
      <c r="M4309" t="s">
        <v>82196</v>
      </c>
      <c r="N4309">
        <f>-657.7734853682 -8.39073372733583 -530.379178613965</f>
        <v>-1196.5433977095008</v>
      </c>
      <c r="O4309">
        <f>-671.293645326673 -160.930166160268 -500.609188411393</f>
        <v>-1332.832999898334</v>
      </c>
      <c r="P4309">
        <f>-707.481061062303 -195.581353974106 -222.997146141597</f>
        <v>-1126.0595611780059</v>
      </c>
      <c r="Q4309">
        <f>-493.182953115036 -119.416067699472 -270.153575230341</f>
        <v>-882.75259604484904</v>
      </c>
      <c r="R4309" t="s">
        <v>82197</v>
      </c>
      <c r="S4309" t="s">
        <v>82198</v>
      </c>
      <c r="T4309" t="s">
        <v>82199</v>
      </c>
      <c r="U4309" t="s">
        <v>82200</v>
      </c>
      <c r="V4309">
        <f>-615.858829866512 -64.142412991944 -93.8611178643564</f>
        <v>-773.86236072281235</v>
      </c>
      <c r="W4309" t="s">
        <v>82201</v>
      </c>
      <c r="X4309" t="s">
        <v>82202</v>
      </c>
      <c r="Y4309" t="s">
        <v>82203</v>
      </c>
    </row>
    <row r="4310" spans="1:25" x14ac:dyDescent="0.3">
      <c r="A4310">
        <v>215450</v>
      </c>
      <c r="B4310" t="s">
        <v>82204</v>
      </c>
      <c r="C4310" t="s">
        <v>82205</v>
      </c>
      <c r="D4310" t="s">
        <v>82206</v>
      </c>
      <c r="E4310" t="s">
        <v>82207</v>
      </c>
      <c r="F4310" t="s">
        <v>82208</v>
      </c>
      <c r="G4310" t="s">
        <v>82209</v>
      </c>
      <c r="H4310" t="s">
        <v>82210</v>
      </c>
      <c r="I4310" t="s">
        <v>82211</v>
      </c>
      <c r="J4310" t="s">
        <v>82212</v>
      </c>
      <c r="K4310" t="s">
        <v>82213</v>
      </c>
      <c r="L4310" t="s">
        <v>82214</v>
      </c>
      <c r="M4310" t="s">
        <v>82215</v>
      </c>
      <c r="N4310">
        <f>-656.908722600419 -8.70799293272603 -530.502938751577</f>
        <v>-1196.1196542847219</v>
      </c>
      <c r="O4310">
        <f>-670.373422924511 -161.216675301287 -500.54967739903</f>
        <v>-1332.139775624828</v>
      </c>
      <c r="P4310">
        <f>-706.664728795747 -195.589315391801 -222.916857407543</f>
        <v>-1125.170901595091</v>
      </c>
      <c r="Q4310">
        <f>-492.322337904001 -119.436237652713 -269.890897532934</f>
        <v>-881.64947308964804</v>
      </c>
      <c r="R4310" t="s">
        <v>82216</v>
      </c>
      <c r="S4310" t="s">
        <v>82217</v>
      </c>
      <c r="T4310" t="s">
        <v>82218</v>
      </c>
      <c r="U4310" t="s">
        <v>82219</v>
      </c>
      <c r="V4310">
        <f>-615.353897271976 -64.1545930182726 -93.9371721658324</f>
        <v>-773.4456624560811</v>
      </c>
      <c r="W4310" t="s">
        <v>82220</v>
      </c>
      <c r="X4310" t="s">
        <v>82221</v>
      </c>
      <c r="Y4310" t="s">
        <v>82222</v>
      </c>
    </row>
    <row r="4311" spans="1:25" x14ac:dyDescent="0.3">
      <c r="A4311">
        <v>215500</v>
      </c>
      <c r="B4311" t="s">
        <v>82223</v>
      </c>
      <c r="C4311" t="s">
        <v>82224</v>
      </c>
      <c r="D4311" t="s">
        <v>82225</v>
      </c>
      <c r="E4311" t="s">
        <v>82226</v>
      </c>
      <c r="F4311" t="s">
        <v>82227</v>
      </c>
      <c r="G4311" t="s">
        <v>82228</v>
      </c>
      <c r="H4311" t="s">
        <v>82229</v>
      </c>
      <c r="I4311" t="s">
        <v>82230</v>
      </c>
      <c r="J4311" t="s">
        <v>82231</v>
      </c>
      <c r="K4311" t="s">
        <v>82232</v>
      </c>
      <c r="L4311" t="s">
        <v>82233</v>
      </c>
      <c r="M4311" t="s">
        <v>82234</v>
      </c>
      <c r="N4311">
        <f>-654.880525526933 -9.32982979087092 -530.715264819254</f>
        <v>-1194.9256201370579</v>
      </c>
      <c r="O4311">
        <f>-668.403588892991 -161.769100841187 -500.458160601977</f>
        <v>-1330.6308503361549</v>
      </c>
      <c r="P4311">
        <f>-705.069264164287 -195.475320069612 -222.792851120571</f>
        <v>-1123.33743535447</v>
      </c>
      <c r="Q4311">
        <f>-490.590902896337 -119.593537535428 -269.584924445295</f>
        <v>-879.76936487705996</v>
      </c>
      <c r="R4311" t="s">
        <v>82235</v>
      </c>
      <c r="S4311" t="s">
        <v>82236</v>
      </c>
      <c r="T4311" t="s">
        <v>82237</v>
      </c>
      <c r="U4311" t="s">
        <v>82238</v>
      </c>
      <c r="V4311">
        <f>-614.191539989382 -64.2296811508131 -94.052745600713</f>
        <v>-772.47396674090817</v>
      </c>
      <c r="W4311" t="s">
        <v>82239</v>
      </c>
      <c r="X4311" t="s">
        <v>82240</v>
      </c>
      <c r="Y4311" t="s">
        <v>82241</v>
      </c>
    </row>
    <row r="4312" spans="1:25" x14ac:dyDescent="0.3">
      <c r="A4312">
        <v>215550</v>
      </c>
      <c r="B4312" t="s">
        <v>82242</v>
      </c>
      <c r="C4312" t="s">
        <v>82243</v>
      </c>
      <c r="D4312" t="s">
        <v>82244</v>
      </c>
      <c r="E4312" t="s">
        <v>82245</v>
      </c>
      <c r="F4312" t="s">
        <v>82246</v>
      </c>
      <c r="G4312" t="s">
        <v>82247</v>
      </c>
      <c r="H4312" t="s">
        <v>82248</v>
      </c>
      <c r="I4312" t="s">
        <v>82249</v>
      </c>
      <c r="J4312" t="s">
        <v>82250</v>
      </c>
      <c r="K4312" t="s">
        <v>82251</v>
      </c>
      <c r="L4312" t="s">
        <v>82252</v>
      </c>
      <c r="M4312" t="s">
        <v>82253</v>
      </c>
      <c r="N4312">
        <f>-653.787414231521 -9.71296221750436 -530.784794054764</f>
        <v>-1194.2851705037892</v>
      </c>
      <c r="O4312">
        <f>-667.396604030875 -162.1122161408 -500.352770932945</f>
        <v>-1329.8615911046199</v>
      </c>
      <c r="P4312">
        <f>-704.233214164892 -195.569718263603 -222.679862883942</f>
        <v>-1122.482795312437</v>
      </c>
      <c r="Q4312">
        <f>-489.714944810069 -119.788012683796 -269.451460792676</f>
        <v>-878.954418286541</v>
      </c>
      <c r="R4312" t="s">
        <v>82254</v>
      </c>
      <c r="S4312" t="s">
        <v>82255</v>
      </c>
      <c r="T4312" t="s">
        <v>82256</v>
      </c>
      <c r="U4312" t="s">
        <v>82257</v>
      </c>
      <c r="V4312">
        <f>-613.586656816559 -64.3544767202159 -94.0582505230465</f>
        <v>-771.9993840598213</v>
      </c>
      <c r="W4312" t="s">
        <v>82258</v>
      </c>
      <c r="X4312" t="s">
        <v>82259</v>
      </c>
      <c r="Y4312" t="s">
        <v>82260</v>
      </c>
    </row>
    <row r="4313" spans="1:25" x14ac:dyDescent="0.3">
      <c r="A4313">
        <v>215600</v>
      </c>
      <c r="B4313" t="s">
        <v>82261</v>
      </c>
      <c r="C4313" t="s">
        <v>82262</v>
      </c>
      <c r="D4313" t="s">
        <v>82263</v>
      </c>
      <c r="E4313" t="s">
        <v>82264</v>
      </c>
      <c r="F4313" t="s">
        <v>82265</v>
      </c>
      <c r="G4313" t="s">
        <v>82266</v>
      </c>
      <c r="H4313" t="s">
        <v>82267</v>
      </c>
      <c r="I4313" t="s">
        <v>82268</v>
      </c>
      <c r="J4313" t="s">
        <v>82269</v>
      </c>
      <c r="K4313" t="s">
        <v>82270</v>
      </c>
      <c r="L4313" t="s">
        <v>82271</v>
      </c>
      <c r="M4313" t="s">
        <v>82272</v>
      </c>
      <c r="N4313">
        <f>-651.548087669652 -10.4553892470856 -530.911994848357</f>
        <v>-1192.9154717650945</v>
      </c>
      <c r="O4313">
        <f>-665.420585928953 -162.772809115677 -500.162550863768</f>
        <v>-1328.3559459083979</v>
      </c>
      <c r="P4313">
        <f>-702.558367002402 -195.757321387504 -222.473193975551</f>
        <v>-1120.7888823654571</v>
      </c>
      <c r="Q4313">
        <f>-487.959152876545 -120.24738744006 -269.313072634029</f>
        <v>-877.51961295063404</v>
      </c>
      <c r="R4313" t="s">
        <v>82273</v>
      </c>
      <c r="S4313" t="s">
        <v>82274</v>
      </c>
      <c r="T4313" t="s">
        <v>82275</v>
      </c>
      <c r="U4313" t="s">
        <v>82276</v>
      </c>
      <c r="V4313">
        <f>-612.40965534032 -64.7106749101617 -94.0732103817907</f>
        <v>-771.1935406322724</v>
      </c>
      <c r="W4313" t="s">
        <v>82277</v>
      </c>
      <c r="X4313" t="s">
        <v>82278</v>
      </c>
      <c r="Y4313" t="s">
        <v>82279</v>
      </c>
    </row>
    <row r="4314" spans="1:25" x14ac:dyDescent="0.3">
      <c r="A4314">
        <v>215650</v>
      </c>
      <c r="B4314" t="s">
        <v>82280</v>
      </c>
      <c r="C4314" t="s">
        <v>82281</v>
      </c>
      <c r="D4314" t="s">
        <v>82282</v>
      </c>
      <c r="E4314" t="s">
        <v>82283</v>
      </c>
      <c r="F4314" t="s">
        <v>82284</v>
      </c>
      <c r="G4314" t="s">
        <v>82285</v>
      </c>
      <c r="H4314" t="s">
        <v>82286</v>
      </c>
      <c r="I4314" t="s">
        <v>82287</v>
      </c>
      <c r="J4314" t="s">
        <v>82288</v>
      </c>
      <c r="K4314" t="s">
        <v>82289</v>
      </c>
      <c r="L4314" t="s">
        <v>82290</v>
      </c>
      <c r="M4314" t="s">
        <v>82291</v>
      </c>
      <c r="N4314">
        <f>-650.39478381883 -10.710375028018 -530.975026311855</f>
        <v>-1192.080185158703</v>
      </c>
      <c r="O4314">
        <f>-664.405004682193 -162.984243459417 -500.090244036703</f>
        <v>-1327.479492178313</v>
      </c>
      <c r="P4314">
        <f>-701.69187759396 -195.715956666224 -222.390852588621</f>
        <v>-1119.7986868488051</v>
      </c>
      <c r="Q4314">
        <f>-487.022952184604 -120.398964840579 -269.221981387958</f>
        <v>-876.64389841314096</v>
      </c>
      <c r="R4314" t="s">
        <v>82292</v>
      </c>
      <c r="S4314" t="s">
        <v>82293</v>
      </c>
      <c r="T4314" t="s">
        <v>82294</v>
      </c>
      <c r="U4314" t="s">
        <v>82295</v>
      </c>
      <c r="V4314">
        <f>-612.045349349061 -64.7029078334178 -94.0802650516004</f>
        <v>-770.82852223407917</v>
      </c>
      <c r="W4314" t="s">
        <v>82296</v>
      </c>
      <c r="X4314" t="s">
        <v>82297</v>
      </c>
      <c r="Y4314" t="s">
        <v>82298</v>
      </c>
    </row>
    <row r="4315" spans="1:25" x14ac:dyDescent="0.3">
      <c r="A4315">
        <v>215700</v>
      </c>
      <c r="B4315" t="s">
        <v>82299</v>
      </c>
      <c r="C4315" t="s">
        <v>82300</v>
      </c>
      <c r="D4315" t="s">
        <v>82301</v>
      </c>
      <c r="E4315" t="s">
        <v>82302</v>
      </c>
      <c r="F4315" t="s">
        <v>82303</v>
      </c>
      <c r="G4315" t="s">
        <v>82304</v>
      </c>
      <c r="H4315" t="s">
        <v>82305</v>
      </c>
      <c r="I4315" t="s">
        <v>82306</v>
      </c>
      <c r="J4315" t="s">
        <v>82307</v>
      </c>
      <c r="K4315" t="s">
        <v>82308</v>
      </c>
      <c r="L4315" t="s">
        <v>82309</v>
      </c>
      <c r="M4315" t="s">
        <v>82310</v>
      </c>
      <c r="N4315">
        <f>-648.257322712394 -11.1131484514865 -531.094130345916</f>
        <v>-1190.4646015097965</v>
      </c>
      <c r="O4315">
        <f>-662.452522939204 -163.316781346221 -499.941787364962</f>
        <v>-1325.7110916503871</v>
      </c>
      <c r="P4315">
        <f>-700.195714664682 -195.723790394507 -222.266022671659</f>
        <v>-1118.185527730848</v>
      </c>
      <c r="Q4315">
        <f>-485.387307106251 -120.690084107209 -268.911593597442</f>
        <v>-874.98898481090202</v>
      </c>
      <c r="R4315" t="s">
        <v>82311</v>
      </c>
      <c r="S4315" t="s">
        <v>82312</v>
      </c>
      <c r="T4315" t="s">
        <v>82313</v>
      </c>
      <c r="U4315" t="s">
        <v>82314</v>
      </c>
      <c r="V4315">
        <f>-611.366551211056 -64.779092671801 -94.0821474809837</f>
        <v>-770.22779136384077</v>
      </c>
      <c r="W4315" t="s">
        <v>82315</v>
      </c>
      <c r="X4315" t="s">
        <v>82316</v>
      </c>
      <c r="Y4315" t="s">
        <v>82317</v>
      </c>
    </row>
    <row r="4316" spans="1:25" x14ac:dyDescent="0.3">
      <c r="A4316">
        <v>215750</v>
      </c>
      <c r="B4316" t="s">
        <v>82318</v>
      </c>
      <c r="C4316" t="s">
        <v>82319</v>
      </c>
      <c r="D4316" t="s">
        <v>82320</v>
      </c>
      <c r="E4316" t="s">
        <v>82321</v>
      </c>
      <c r="F4316" t="s">
        <v>82322</v>
      </c>
      <c r="G4316" t="s">
        <v>82323</v>
      </c>
      <c r="H4316" t="s">
        <v>82324</v>
      </c>
      <c r="I4316" t="s">
        <v>82325</v>
      </c>
      <c r="J4316" t="s">
        <v>82326</v>
      </c>
      <c r="K4316" t="s">
        <v>82327</v>
      </c>
      <c r="L4316" t="s">
        <v>82328</v>
      </c>
      <c r="M4316" t="s">
        <v>82329</v>
      </c>
      <c r="N4316">
        <f>-646.415096562851 -11.5918518075496 -531.236374876918</f>
        <v>-1189.2433232473186</v>
      </c>
      <c r="O4316">
        <f>-660.799020191914 -163.720637632364 -499.818163478091</f>
        <v>-1324.3378213023691</v>
      </c>
      <c r="P4316">
        <f>-698.976910995704 -195.934198148716 -222.179338116887</f>
        <v>-1117.090447261307</v>
      </c>
      <c r="Q4316">
        <f>-484.047886482431 -121.082534730897 -268.561134870204</f>
        <v>-873.69155608353196</v>
      </c>
      <c r="R4316" t="s">
        <v>82330</v>
      </c>
      <c r="S4316" t="s">
        <v>82331</v>
      </c>
      <c r="T4316" t="s">
        <v>82332</v>
      </c>
      <c r="U4316" t="s">
        <v>82333</v>
      </c>
      <c r="V4316">
        <f>-610.98902144439 -65.0269939631173 -94.115128804327</f>
        <v>-770.13114421183434</v>
      </c>
      <c r="W4316" t="s">
        <v>82334</v>
      </c>
      <c r="X4316" t="s">
        <v>82335</v>
      </c>
      <c r="Y4316" t="s">
        <v>82336</v>
      </c>
    </row>
    <row r="4317" spans="1:25" x14ac:dyDescent="0.3">
      <c r="A4317">
        <v>215800</v>
      </c>
      <c r="B4317" t="s">
        <v>82337</v>
      </c>
      <c r="C4317" t="s">
        <v>82338</v>
      </c>
      <c r="D4317" t="s">
        <v>82339</v>
      </c>
      <c r="E4317" t="s">
        <v>82340</v>
      </c>
      <c r="F4317" t="s">
        <v>82341</v>
      </c>
      <c r="G4317" t="s">
        <v>82342</v>
      </c>
      <c r="H4317" t="s">
        <v>82343</v>
      </c>
      <c r="I4317" t="s">
        <v>82344</v>
      </c>
      <c r="J4317" t="s">
        <v>82345</v>
      </c>
      <c r="K4317" t="s">
        <v>82346</v>
      </c>
      <c r="L4317" t="s">
        <v>82347</v>
      </c>
      <c r="M4317" t="s">
        <v>82348</v>
      </c>
      <c r="N4317">
        <f>-645.621675802702 -11.8831207476776 -531.309526345297</f>
        <v>-1188.8143228956765</v>
      </c>
      <c r="O4317">
        <f>-660.077143757449 -163.968622443774 -499.729447809825</f>
        <v>-1323.7752140110479</v>
      </c>
      <c r="P4317">
        <f>-698.46149265614 -196.009631494047 -222.099227863161</f>
        <v>-1116.5703520133479</v>
      </c>
      <c r="Q4317">
        <f>-483.483289687085 -121.231853334368 -268.371953737713</f>
        <v>-873.08709675916612</v>
      </c>
      <c r="R4317" t="s">
        <v>82349</v>
      </c>
      <c r="S4317" t="s">
        <v>82350</v>
      </c>
      <c r="T4317" t="s">
        <v>82351</v>
      </c>
      <c r="U4317" t="s">
        <v>82352</v>
      </c>
      <c r="V4317">
        <f>-610.907327538729 -65.1992949693592 -94.1399239122778</f>
        <v>-770.24654642036603</v>
      </c>
      <c r="W4317" t="s">
        <v>82353</v>
      </c>
      <c r="X4317" t="s">
        <v>82354</v>
      </c>
      <c r="Y4317" t="s">
        <v>82355</v>
      </c>
    </row>
    <row r="4318" spans="1:25" x14ac:dyDescent="0.3">
      <c r="A4318">
        <v>215850</v>
      </c>
      <c r="B4318" t="s">
        <v>82356</v>
      </c>
      <c r="C4318" t="s">
        <v>82357</v>
      </c>
      <c r="D4318" t="s">
        <v>82358</v>
      </c>
      <c r="E4318" t="s">
        <v>82359</v>
      </c>
      <c r="F4318" t="s">
        <v>82360</v>
      </c>
      <c r="G4318" t="s">
        <v>82361</v>
      </c>
      <c r="H4318" t="s">
        <v>82362</v>
      </c>
      <c r="I4318" t="s">
        <v>82363</v>
      </c>
      <c r="J4318" t="s">
        <v>82364</v>
      </c>
      <c r="K4318" t="s">
        <v>82365</v>
      </c>
      <c r="L4318" t="s">
        <v>82366</v>
      </c>
      <c r="M4318" t="s">
        <v>82367</v>
      </c>
      <c r="N4318">
        <f>-644.876567846871 -12.2076573552674 -531.394350521899</f>
        <v>-1188.4785757240375</v>
      </c>
      <c r="O4318">
        <f>-659.383548900224 -164.260698198137 -499.680209150064</f>
        <v>-1323.3244562484251</v>
      </c>
      <c r="P4318">
        <f>-698.046625678787 -196.095060540599 -222.064843447962</f>
        <v>-1116.2065296673479</v>
      </c>
      <c r="Q4318">
        <f>-483.009254396648 -121.401208138333 -268.198057113654</f>
        <v>-872.60851964863491</v>
      </c>
      <c r="R4318" t="s">
        <v>82368</v>
      </c>
      <c r="S4318" t="s">
        <v>82369</v>
      </c>
      <c r="T4318" t="s">
        <v>82370</v>
      </c>
      <c r="U4318" t="s">
        <v>82371</v>
      </c>
      <c r="V4318">
        <f>-610.932416266516 -65.3973020593946 -94.1767325035455</f>
        <v>-770.50645082945618</v>
      </c>
      <c r="W4318" t="s">
        <v>82372</v>
      </c>
      <c r="X4318" t="s">
        <v>82373</v>
      </c>
      <c r="Y4318" t="s">
        <v>82374</v>
      </c>
    </row>
    <row r="4319" spans="1:25" x14ac:dyDescent="0.3">
      <c r="A4319">
        <v>215900</v>
      </c>
      <c r="B4319" t="s">
        <v>82375</v>
      </c>
      <c r="C4319" t="s">
        <v>82376</v>
      </c>
      <c r="D4319" t="s">
        <v>82377</v>
      </c>
      <c r="E4319" t="s">
        <v>82378</v>
      </c>
      <c r="F4319" t="s">
        <v>82379</v>
      </c>
      <c r="G4319" t="s">
        <v>82380</v>
      </c>
      <c r="H4319" t="s">
        <v>82381</v>
      </c>
      <c r="I4319" t="s">
        <v>82382</v>
      </c>
      <c r="J4319" t="s">
        <v>82383</v>
      </c>
      <c r="K4319" t="s">
        <v>82384</v>
      </c>
      <c r="L4319" t="s">
        <v>82385</v>
      </c>
      <c r="M4319" t="s">
        <v>82386</v>
      </c>
      <c r="N4319">
        <f>-643.467717385647 -12.7513078427032 -531.570082786203</f>
        <v>-1187.7891080145532</v>
      </c>
      <c r="O4319">
        <f>-658.008006471299 -164.755940993071 -499.63969863641</f>
        <v>-1322.40364610078</v>
      </c>
      <c r="P4319">
        <f>-697.558021319949 -196.464122931484 -222.134852715591</f>
        <v>-1116.156996967024</v>
      </c>
      <c r="Q4319">
        <f>-482.477996993189 -121.639391371973 -267.855136631966</f>
        <v>-871.97252499712795</v>
      </c>
      <c r="R4319" t="s">
        <v>82387</v>
      </c>
      <c r="S4319" t="s">
        <v>82388</v>
      </c>
      <c r="T4319" t="s">
        <v>82389</v>
      </c>
      <c r="U4319" t="s">
        <v>82390</v>
      </c>
      <c r="V4319">
        <f>-611.247936108991 -65.5940930982201 -94.2405654708795</f>
        <v>-771.08259467809057</v>
      </c>
      <c r="W4319" t="s">
        <v>82391</v>
      </c>
      <c r="X4319" t="s">
        <v>82392</v>
      </c>
      <c r="Y4319" t="s">
        <v>82393</v>
      </c>
    </row>
    <row r="4320" spans="1:25" x14ac:dyDescent="0.3">
      <c r="A4320">
        <v>215950</v>
      </c>
      <c r="B4320" t="s">
        <v>82394</v>
      </c>
      <c r="C4320" t="s">
        <v>82395</v>
      </c>
      <c r="D4320" t="s">
        <v>82396</v>
      </c>
      <c r="E4320" t="s">
        <v>82397</v>
      </c>
      <c r="F4320" t="s">
        <v>82398</v>
      </c>
      <c r="G4320" t="s">
        <v>82399</v>
      </c>
      <c r="H4320" t="s">
        <v>82400</v>
      </c>
      <c r="I4320" t="s">
        <v>82401</v>
      </c>
      <c r="J4320" t="s">
        <v>82402</v>
      </c>
      <c r="K4320" t="s">
        <v>82403</v>
      </c>
      <c r="L4320" t="s">
        <v>82404</v>
      </c>
      <c r="M4320" t="s">
        <v>82405</v>
      </c>
      <c r="N4320">
        <f>-642.915162347726 -13.0320321633465 -531.655235118101</f>
        <v>-1187.6024296291735</v>
      </c>
      <c r="O4320">
        <f>-657.435756968358 -165.021104827951 -499.611801805041</f>
        <v>-1322.06866360135</v>
      </c>
      <c r="P4320">
        <f>-697.529907917571 -196.602911409524 -222.170567456296</f>
        <v>-1116.303386783391</v>
      </c>
      <c r="Q4320">
        <f>-482.421111211921 -121.685240700896 -267.602967898729</f>
        <v>-871.70931981154604</v>
      </c>
      <c r="R4320" t="s">
        <v>82406</v>
      </c>
      <c r="S4320" t="s">
        <v>82407</v>
      </c>
      <c r="T4320" t="s">
        <v>82408</v>
      </c>
      <c r="U4320" t="s">
        <v>82409</v>
      </c>
      <c r="V4320">
        <f>-611.557958522308 -65.6651728508612 -94.2643462008925</f>
        <v>-771.4874775740617</v>
      </c>
      <c r="W4320" t="s">
        <v>82410</v>
      </c>
      <c r="X4320" t="s">
        <v>82411</v>
      </c>
      <c r="Y4320" t="s">
        <v>82412</v>
      </c>
    </row>
    <row r="4321" spans="1:25" x14ac:dyDescent="0.3">
      <c r="A4321">
        <v>216000</v>
      </c>
      <c r="B4321" t="s">
        <v>82413</v>
      </c>
      <c r="C4321" t="s">
        <v>82414</v>
      </c>
      <c r="D4321" t="s">
        <v>82415</v>
      </c>
      <c r="E4321" t="s">
        <v>82416</v>
      </c>
      <c r="F4321" t="s">
        <v>82417</v>
      </c>
      <c r="G4321" t="s">
        <v>82418</v>
      </c>
      <c r="H4321" t="s">
        <v>82419</v>
      </c>
      <c r="I4321" t="s">
        <v>82420</v>
      </c>
      <c r="J4321" t="s">
        <v>82421</v>
      </c>
      <c r="K4321" t="s">
        <v>82422</v>
      </c>
      <c r="L4321" t="s">
        <v>82423</v>
      </c>
      <c r="M4321" t="s">
        <v>82424</v>
      </c>
      <c r="N4321">
        <f>-642.337861109948 -13.4443039831108 -531.838229329305</f>
        <v>-1187.6203944223639</v>
      </c>
      <c r="O4321">
        <f>-656.814483269544 -165.385871324885 -499.582331211796</f>
        <v>-1321.7826858062249</v>
      </c>
      <c r="P4321">
        <f>-697.760628022782 -196.755694042452 -222.241492407768</f>
        <v>-1116.7578144730021</v>
      </c>
      <c r="Q4321">
        <f>-482.605871286258 -121.589293735885 -267.040486304641</f>
        <v>-871.23565132678391</v>
      </c>
      <c r="R4321" t="s">
        <v>82425</v>
      </c>
      <c r="S4321" t="s">
        <v>82426</v>
      </c>
      <c r="T4321" t="s">
        <v>82427</v>
      </c>
      <c r="U4321" t="s">
        <v>82428</v>
      </c>
      <c r="V4321">
        <f>-612.470766044099 -65.621509388804 -94.3379201661476</f>
        <v>-772.43019559905065</v>
      </c>
      <c r="W4321" t="s">
        <v>82429</v>
      </c>
      <c r="X4321" t="s">
        <v>82430</v>
      </c>
      <c r="Y4321" t="s">
        <v>82431</v>
      </c>
    </row>
    <row r="4322" spans="1:25" x14ac:dyDescent="0.3">
      <c r="A4322">
        <v>216050</v>
      </c>
      <c r="B4322" t="s">
        <v>82432</v>
      </c>
      <c r="C4322" t="s">
        <v>82433</v>
      </c>
      <c r="D4322" t="s">
        <v>82434</v>
      </c>
      <c r="E4322" t="s">
        <v>82435</v>
      </c>
      <c r="F4322" t="s">
        <v>82436</v>
      </c>
      <c r="G4322" t="s">
        <v>82437</v>
      </c>
      <c r="H4322" t="s">
        <v>82438</v>
      </c>
      <c r="I4322" t="s">
        <v>82439</v>
      </c>
      <c r="J4322" t="s">
        <v>82440</v>
      </c>
      <c r="K4322" t="s">
        <v>82441</v>
      </c>
      <c r="L4322" t="s">
        <v>82442</v>
      </c>
      <c r="M4322" t="s">
        <v>82443</v>
      </c>
      <c r="N4322">
        <f>-642.276060130273 -13.7370904220973 -531.889566760272</f>
        <v>-1187.9027173126424</v>
      </c>
      <c r="O4322">
        <f>-656.658702216133 -165.650144155728 -499.495551931608</f>
        <v>-1321.804398303469</v>
      </c>
      <c r="P4322">
        <f>-698.072621845746 -196.875904381543 -222.207984804511</f>
        <v>-1117.1565110317999</v>
      </c>
      <c r="Q4322">
        <f>-482.908309001834 -121.626694248357 -266.822030469296</f>
        <v>-871.35703371948705</v>
      </c>
      <c r="R4322" t="s">
        <v>82444</v>
      </c>
      <c r="S4322" t="s">
        <v>82445</v>
      </c>
      <c r="T4322" t="s">
        <v>82446</v>
      </c>
      <c r="U4322" t="s">
        <v>82447</v>
      </c>
      <c r="V4322">
        <f>-612.948611838111 -65.55201587801 -94.3871868296083</f>
        <v>-772.88781454572927</v>
      </c>
      <c r="W4322" t="s">
        <v>82448</v>
      </c>
      <c r="X4322" t="s">
        <v>82449</v>
      </c>
      <c r="Y4322" t="s">
        <v>82450</v>
      </c>
    </row>
    <row r="4323" spans="1:25" x14ac:dyDescent="0.3">
      <c r="A4323">
        <v>216100</v>
      </c>
      <c r="B4323" t="s">
        <v>82451</v>
      </c>
      <c r="C4323" t="s">
        <v>82452</v>
      </c>
      <c r="D4323" t="s">
        <v>82453</v>
      </c>
      <c r="E4323" t="s">
        <v>82454</v>
      </c>
      <c r="F4323" t="s">
        <v>82455</v>
      </c>
      <c r="G4323" t="s">
        <v>82456</v>
      </c>
      <c r="H4323" t="s">
        <v>82457</v>
      </c>
      <c r="I4323" t="s">
        <v>82458</v>
      </c>
      <c r="J4323" t="s">
        <v>82459</v>
      </c>
      <c r="K4323" t="s">
        <v>82460</v>
      </c>
      <c r="L4323" t="s">
        <v>82461</v>
      </c>
      <c r="M4323" t="s">
        <v>82462</v>
      </c>
      <c r="N4323">
        <f>-641.441344409377 -14.3089913900549 -531.926276315853</f>
        <v>-1187.676612115285</v>
      </c>
      <c r="O4323">
        <f>-655.217392201552 -166.198223463654 -499.082908385166</f>
        <v>-1320.498524050372</v>
      </c>
      <c r="P4323">
        <f>-698.047267918464 -196.531931550428 -221.911326246948</f>
        <v>-1116.49052571584</v>
      </c>
      <c r="Q4323">
        <f>-482.70871579808 -121.415453000499 -265.904118633275</f>
        <v>-870.0282874318541</v>
      </c>
      <c r="R4323" t="s">
        <v>82463</v>
      </c>
      <c r="S4323" t="s">
        <v>82464</v>
      </c>
      <c r="T4323" t="s">
        <v>82465</v>
      </c>
      <c r="U4323" t="s">
        <v>82466</v>
      </c>
      <c r="V4323">
        <f>-613.575760958499 -65.3852671352342 -94.448211328101</f>
        <v>-773.40923942183429</v>
      </c>
      <c r="W4323" t="s">
        <v>82467</v>
      </c>
      <c r="X4323" t="s">
        <v>82468</v>
      </c>
      <c r="Y4323" t="s">
        <v>82469</v>
      </c>
    </row>
    <row r="4324" spans="1:25" x14ac:dyDescent="0.3">
      <c r="A4324">
        <v>216150</v>
      </c>
      <c r="B4324" t="s">
        <v>82470</v>
      </c>
      <c r="C4324" t="s">
        <v>82471</v>
      </c>
      <c r="D4324" t="s">
        <v>82472</v>
      </c>
      <c r="E4324" t="s">
        <v>82473</v>
      </c>
      <c r="F4324" t="s">
        <v>82474</v>
      </c>
      <c r="G4324" t="s">
        <v>82475</v>
      </c>
      <c r="H4324" t="s">
        <v>82476</v>
      </c>
      <c r="I4324" t="s">
        <v>82477</v>
      </c>
      <c r="J4324" t="s">
        <v>82478</v>
      </c>
      <c r="K4324" t="s">
        <v>82479</v>
      </c>
      <c r="L4324" t="s">
        <v>82480</v>
      </c>
      <c r="M4324" t="s">
        <v>82481</v>
      </c>
      <c r="N4324">
        <f>-640.692797741154 -14.6370519026284 -531.822975638538</f>
        <v>-1187.1528252823205</v>
      </c>
      <c r="O4324">
        <f>-653.868902969802 -166.589971970752 -499.053264857652</f>
        <v>-1319.5121397982059</v>
      </c>
      <c r="P4324">
        <f>-697.902904290259 -196.639077582185 -222.039357230264</f>
        <v>-1116.5813391027079</v>
      </c>
      <c r="Q4324">
        <f>-482.387943081269 -121.643869369307 -265.370443443957</f>
        <v>-869.40225589453303</v>
      </c>
      <c r="R4324" t="s">
        <v>82482</v>
      </c>
      <c r="S4324" t="s">
        <v>82483</v>
      </c>
      <c r="T4324" t="s">
        <v>82484</v>
      </c>
      <c r="U4324" t="s">
        <v>82485</v>
      </c>
      <c r="V4324">
        <f>-613.779227025283 -65.3331993051831 -94.4135380566527</f>
        <v>-773.52596438711885</v>
      </c>
      <c r="W4324" t="s">
        <v>82486</v>
      </c>
      <c r="X4324" t="s">
        <v>82487</v>
      </c>
      <c r="Y4324" t="s">
        <v>82488</v>
      </c>
    </row>
    <row r="4325" spans="1:25" x14ac:dyDescent="0.3">
      <c r="A4325">
        <v>216200</v>
      </c>
      <c r="B4325" t="s">
        <v>82489</v>
      </c>
      <c r="C4325" t="s">
        <v>82490</v>
      </c>
      <c r="D4325" t="s">
        <v>82491</v>
      </c>
      <c r="E4325" t="s">
        <v>82492</v>
      </c>
      <c r="F4325" t="s">
        <v>82493</v>
      </c>
      <c r="G4325" t="s">
        <v>82494</v>
      </c>
      <c r="H4325" t="s">
        <v>82495</v>
      </c>
      <c r="I4325" t="s">
        <v>82496</v>
      </c>
      <c r="J4325" t="s">
        <v>82497</v>
      </c>
      <c r="K4325" t="s">
        <v>82498</v>
      </c>
      <c r="L4325" t="s">
        <v>82499</v>
      </c>
      <c r="M4325" t="s">
        <v>82500</v>
      </c>
      <c r="N4325">
        <f>-640.247495258318 -14.6462580242983 -531.645264637758</f>
        <v>-1186.5390179203744</v>
      </c>
      <c r="O4325">
        <f>-652.546400999754 -166.765497273156 -499.248284385644</f>
        <v>-1318.5601826585541</v>
      </c>
      <c r="P4325">
        <f>-697.793361773358 -198.421904702288 -222.609101796324</f>
        <v>-1118.8243682719699</v>
      </c>
      <c r="Q4325">
        <f>-482.165123041262 -122.969300211134 -264.560125605331</f>
        <v>-869.694548857727</v>
      </c>
      <c r="R4325" t="s">
        <v>82501</v>
      </c>
      <c r="S4325" t="s">
        <v>82502</v>
      </c>
      <c r="T4325" t="s">
        <v>82503</v>
      </c>
      <c r="U4325" t="s">
        <v>82504</v>
      </c>
      <c r="V4325">
        <f>-614.357817257025 -64.8961709424864 -94.2766767388954</f>
        <v>-773.53066493840674</v>
      </c>
      <c r="W4325" t="s">
        <v>82505</v>
      </c>
      <c r="X4325" t="s">
        <v>82506</v>
      </c>
      <c r="Y4325" t="s">
        <v>82507</v>
      </c>
    </row>
    <row r="4326" spans="1:25" x14ac:dyDescent="0.3">
      <c r="A4326">
        <v>216250</v>
      </c>
      <c r="B4326" t="s">
        <v>82508</v>
      </c>
      <c r="C4326" t="s">
        <v>82509</v>
      </c>
      <c r="D4326" t="s">
        <v>82510</v>
      </c>
      <c r="E4326" t="s">
        <v>82511</v>
      </c>
      <c r="F4326" t="s">
        <v>82512</v>
      </c>
      <c r="G4326" t="s">
        <v>82513</v>
      </c>
      <c r="H4326" t="s">
        <v>82514</v>
      </c>
      <c r="I4326" t="s">
        <v>82515</v>
      </c>
      <c r="J4326" t="s">
        <v>82516</v>
      </c>
      <c r="K4326" t="s">
        <v>82517</v>
      </c>
      <c r="L4326" t="s">
        <v>82518</v>
      </c>
      <c r="M4326" t="s">
        <v>82519</v>
      </c>
      <c r="N4326">
        <f>-640.823871422783 -14.3443153837868 -531.631884806429</f>
        <v>-1186.8000716129986</v>
      </c>
      <c r="O4326">
        <f>-652.877512954311 -166.490005530128 -499.34289533792</f>
        <v>-1318.710413822359</v>
      </c>
      <c r="P4326">
        <f>-698.051947876383 -199.10853567146 -222.803840972889</f>
        <v>-1119.9643245207319</v>
      </c>
      <c r="Q4326">
        <f>-482.418104917634 -123.44588680158 -264.34623848749</f>
        <v>-870.21023020670395</v>
      </c>
      <c r="R4326" t="s">
        <v>82520</v>
      </c>
      <c r="S4326" t="s">
        <v>82521</v>
      </c>
      <c r="T4326" t="s">
        <v>82522</v>
      </c>
      <c r="U4326" t="s">
        <v>82523</v>
      </c>
      <c r="V4326">
        <f>-614.442260091665 -64.5195158967529 -94.2321548057935</f>
        <v>-773.19393079421138</v>
      </c>
      <c r="W4326" t="s">
        <v>82524</v>
      </c>
      <c r="X4326" t="s">
        <v>82525</v>
      </c>
      <c r="Y4326" t="s">
        <v>82526</v>
      </c>
    </row>
    <row r="4327" spans="1:25" x14ac:dyDescent="0.3">
      <c r="A4327">
        <v>216300</v>
      </c>
      <c r="B4327" t="s">
        <v>82527</v>
      </c>
      <c r="C4327" t="s">
        <v>82528</v>
      </c>
      <c r="D4327" t="s">
        <v>82529</v>
      </c>
      <c r="E4327" t="s">
        <v>82530</v>
      </c>
      <c r="F4327" t="s">
        <v>82531</v>
      </c>
      <c r="G4327" t="s">
        <v>82532</v>
      </c>
      <c r="H4327" t="s">
        <v>82533</v>
      </c>
      <c r="I4327" t="s">
        <v>82534</v>
      </c>
      <c r="J4327" t="s">
        <v>82535</v>
      </c>
      <c r="K4327" t="s">
        <v>82536</v>
      </c>
      <c r="L4327" t="s">
        <v>82537</v>
      </c>
      <c r="M4327" t="s">
        <v>82538</v>
      </c>
      <c r="N4327">
        <f>-641.770518403732 -13.930885254691 -531.594359798701</f>
        <v>-1187.2957634571239</v>
      </c>
      <c r="O4327">
        <f>-652.837993523529 -166.106383550031 -499.107934992665</f>
        <v>-1318.0523120662249</v>
      </c>
      <c r="P4327">
        <f>-697.399004617 -199.164550641165 -222.521546618108</f>
        <v>-1119.0851018762728</v>
      </c>
      <c r="Q4327">
        <f>-481.693225944605 -123.637392003712 -263.936692629913</f>
        <v>-869.26731057823008</v>
      </c>
      <c r="R4327" t="s">
        <v>82539</v>
      </c>
      <c r="S4327" t="s">
        <v>82540</v>
      </c>
      <c r="T4327" t="s">
        <v>82541</v>
      </c>
      <c r="U4327" t="s">
        <v>82542</v>
      </c>
      <c r="V4327">
        <f>-614.201462290072 -63.7483720604334 -94.1861465944577</f>
        <v>-772.13598094496308</v>
      </c>
      <c r="W4327" t="s">
        <v>82543</v>
      </c>
      <c r="X4327" t="s">
        <v>82544</v>
      </c>
      <c r="Y4327" t="s">
        <v>82545</v>
      </c>
    </row>
    <row r="4328" spans="1:25" x14ac:dyDescent="0.3">
      <c r="A4328">
        <v>216350</v>
      </c>
      <c r="B4328" t="s">
        <v>82546</v>
      </c>
      <c r="C4328" t="s">
        <v>82547</v>
      </c>
      <c r="D4328" t="s">
        <v>82548</v>
      </c>
      <c r="E4328" t="s">
        <v>82549</v>
      </c>
      <c r="F4328" t="s">
        <v>82550</v>
      </c>
      <c r="G4328" t="s">
        <v>82551</v>
      </c>
      <c r="H4328" t="s">
        <v>82552</v>
      </c>
      <c r="I4328" t="s">
        <v>82553</v>
      </c>
      <c r="J4328" t="s">
        <v>82554</v>
      </c>
      <c r="K4328" t="s">
        <v>82555</v>
      </c>
      <c r="L4328" t="s">
        <v>82556</v>
      </c>
      <c r="M4328" t="s">
        <v>82557</v>
      </c>
      <c r="N4328">
        <f>-641.90834999052 -13.4967813534483 -531.489567106275</f>
        <v>-1186.8946984502434</v>
      </c>
      <c r="O4328">
        <f>-651.585921887685 -165.764052856607 -498.897963939102</f>
        <v>-1316.2479386833941</v>
      </c>
      <c r="P4328">
        <f>-696.517894672797 -198.254969483699 -222.304274941045</f>
        <v>-1117.077139097541</v>
      </c>
      <c r="Q4328">
        <f>-480.740029202773 -122.786990339625 -263.450596962144</f>
        <v>-866.97761650454197</v>
      </c>
      <c r="R4328" t="s">
        <v>82558</v>
      </c>
      <c r="S4328" t="s">
        <v>82559</v>
      </c>
      <c r="T4328" t="s">
        <v>82560</v>
      </c>
      <c r="U4328" t="s">
        <v>82561</v>
      </c>
      <c r="V4328">
        <f>-613.860019794385 -63.4228934726416 -94.153057558945</f>
        <v>-771.43597082597159</v>
      </c>
      <c r="W4328" t="s">
        <v>82562</v>
      </c>
      <c r="X4328" t="s">
        <v>82563</v>
      </c>
      <c r="Y4328" t="s">
        <v>82564</v>
      </c>
    </row>
    <row r="4329" spans="1:25" x14ac:dyDescent="0.3">
      <c r="A4329">
        <v>216400</v>
      </c>
      <c r="B4329" t="s">
        <v>82565</v>
      </c>
      <c r="C4329" t="s">
        <v>82566</v>
      </c>
      <c r="D4329" t="s">
        <v>82567</v>
      </c>
      <c r="E4329" t="s">
        <v>82568</v>
      </c>
      <c r="F4329" t="s">
        <v>82569</v>
      </c>
      <c r="G4329" t="s">
        <v>82570</v>
      </c>
      <c r="H4329" t="s">
        <v>82571</v>
      </c>
      <c r="I4329" t="s">
        <v>82572</v>
      </c>
      <c r="J4329" t="s">
        <v>82573</v>
      </c>
      <c r="K4329" t="s">
        <v>82574</v>
      </c>
      <c r="L4329" t="s">
        <v>82575</v>
      </c>
      <c r="M4329" t="s">
        <v>82576</v>
      </c>
      <c r="N4329">
        <f>-641.351482853269 -13.2442491184986 -531.3490239164</f>
        <v>-1185.9447558881675</v>
      </c>
      <c r="O4329">
        <f>-649.135064768772 -165.647462506145 -498.959935875346</f>
        <v>-1313.7424631502631</v>
      </c>
      <c r="P4329">
        <f>-694.301829018081 -199.488932096837 -222.566502675646</f>
        <v>-1116.357263790564</v>
      </c>
      <c r="Q4329">
        <f>-479.066886711508 -122.045913274879 -262.878003534322</f>
        <v>-863.99080352070905</v>
      </c>
      <c r="R4329" t="s">
        <v>82577</v>
      </c>
      <c r="S4329" t="s">
        <v>82578</v>
      </c>
      <c r="T4329" t="s">
        <v>82579</v>
      </c>
      <c r="U4329" t="s">
        <v>82580</v>
      </c>
      <c r="V4329">
        <f>-613.310084505392 -63.4586989225843 -94.1163569584099</f>
        <v>-770.88514038638618</v>
      </c>
      <c r="W4329" t="s">
        <v>82581</v>
      </c>
      <c r="X4329" t="s">
        <v>82582</v>
      </c>
      <c r="Y4329" t="s">
        <v>82583</v>
      </c>
    </row>
    <row r="4330" spans="1:25" x14ac:dyDescent="0.3">
      <c r="A4330">
        <v>216450</v>
      </c>
      <c r="B4330" t="s">
        <v>82584</v>
      </c>
      <c r="C4330" t="s">
        <v>82585</v>
      </c>
      <c r="D4330" t="s">
        <v>82586</v>
      </c>
      <c r="E4330" t="s">
        <v>82587</v>
      </c>
      <c r="F4330" t="s">
        <v>82588</v>
      </c>
      <c r="G4330" t="s">
        <v>82589</v>
      </c>
      <c r="H4330" t="s">
        <v>82590</v>
      </c>
      <c r="I4330" t="s">
        <v>82591</v>
      </c>
      <c r="J4330" t="s">
        <v>82592</v>
      </c>
      <c r="K4330" t="s">
        <v>82593</v>
      </c>
      <c r="L4330" t="s">
        <v>82594</v>
      </c>
      <c r="M4330" t="s">
        <v>82595</v>
      </c>
      <c r="N4330">
        <f>-640.454428817239 -13.7007525031261 -531.324751010836</f>
        <v>-1185.4799323312011</v>
      </c>
      <c r="O4330">
        <f>-647.716330726649 -166.160473275457 -498.95410064694</f>
        <v>-1312.8309046490458</v>
      </c>
      <c r="P4330">
        <f>-692.935252352209 -201.172390338947 -222.715131828766</f>
        <v>-1116.8227745199219</v>
      </c>
      <c r="Q4330">
        <f>-478.211199119057 -122.300711281461 -262.981711856776</f>
        <v>-863.49362225729396</v>
      </c>
      <c r="R4330" t="s">
        <v>82596</v>
      </c>
      <c r="S4330" t="s">
        <v>82597</v>
      </c>
      <c r="T4330" t="s">
        <v>82598</v>
      </c>
      <c r="U4330" t="s">
        <v>82599</v>
      </c>
      <c r="V4330">
        <f>-613.648621320912 -64.0042136628063 -94.1390443491882</f>
        <v>-771.79187933290643</v>
      </c>
      <c r="W4330" t="s">
        <v>82600</v>
      </c>
      <c r="X4330" t="s">
        <v>82601</v>
      </c>
      <c r="Y4330" t="s">
        <v>82602</v>
      </c>
    </row>
    <row r="4331" spans="1:25" x14ac:dyDescent="0.3">
      <c r="A4331">
        <v>216500</v>
      </c>
      <c r="B4331" t="s">
        <v>82603</v>
      </c>
      <c r="C4331" t="s">
        <v>82604</v>
      </c>
      <c r="D4331" t="s">
        <v>82605</v>
      </c>
      <c r="E4331" t="s">
        <v>82606</v>
      </c>
      <c r="F4331" t="s">
        <v>82607</v>
      </c>
      <c r="G4331" t="s">
        <v>82608</v>
      </c>
      <c r="H4331" t="s">
        <v>82609</v>
      </c>
      <c r="I4331" t="s">
        <v>82610</v>
      </c>
      <c r="J4331" t="s">
        <v>82611</v>
      </c>
      <c r="K4331" t="s">
        <v>82612</v>
      </c>
      <c r="L4331" t="s">
        <v>82613</v>
      </c>
      <c r="M4331" t="s">
        <v>82614</v>
      </c>
      <c r="N4331">
        <f>-638.959832264328 -14.0949765464122 -531.478170350398</f>
        <v>-1184.5329791611384</v>
      </c>
      <c r="O4331">
        <f>-645.113055590334 -166.561274260585 -498.964049478688</f>
        <v>-1310.6383793296072</v>
      </c>
      <c r="P4331">
        <f>-690.641583060089 -202.335236025438 -222.873677022092</f>
        <v>-1115.8504961076192</v>
      </c>
      <c r="Q4331">
        <f>-476.501932413418 -121.565359556372 -262.483427444541</f>
        <v>-860.55071941433096</v>
      </c>
      <c r="R4331" t="s">
        <v>82615</v>
      </c>
      <c r="S4331" t="s">
        <v>82616</v>
      </c>
      <c r="T4331" t="s">
        <v>82617</v>
      </c>
      <c r="U4331" t="s">
        <v>82618</v>
      </c>
      <c r="V4331">
        <f>-614.181712051579 -63.6582024834813 -94.2820789074757</f>
        <v>-772.121993442536</v>
      </c>
      <c r="W4331" t="s">
        <v>82619</v>
      </c>
      <c r="X4331" t="s">
        <v>82620</v>
      </c>
      <c r="Y4331" t="s">
        <v>82621</v>
      </c>
    </row>
    <row r="4332" spans="1:25" x14ac:dyDescent="0.3">
      <c r="A4332">
        <v>216550</v>
      </c>
      <c r="B4332" t="s">
        <v>82622</v>
      </c>
      <c r="C4332" t="s">
        <v>82623</v>
      </c>
      <c r="D4332" t="s">
        <v>82624</v>
      </c>
      <c r="E4332" t="s">
        <v>82625</v>
      </c>
      <c r="F4332" t="s">
        <v>82626</v>
      </c>
      <c r="G4332" t="s">
        <v>82627</v>
      </c>
      <c r="H4332" t="s">
        <v>82628</v>
      </c>
      <c r="I4332" t="s">
        <v>82629</v>
      </c>
      <c r="J4332" t="s">
        <v>82630</v>
      </c>
      <c r="K4332" t="s">
        <v>82631</v>
      </c>
      <c r="L4332" t="s">
        <v>82632</v>
      </c>
      <c r="M4332" t="s">
        <v>82633</v>
      </c>
      <c r="N4332">
        <f>-638.443687165467 -13.8548480475538 -531.384407349149</f>
        <v>-1183.68294256217</v>
      </c>
      <c r="O4332">
        <f>-642.78272121781 -166.305077724692 -498.582067082967</f>
        <v>-1307.6698660254692</v>
      </c>
      <c r="P4332">
        <f>-688.950805416282 -201.544752511634 -222.529063255755</f>
        <v>-1113.0246211836711</v>
      </c>
      <c r="Q4332">
        <f>-474.867307190981 -120.103093493143 -261.052276843837</f>
        <v>-856.02267752796092</v>
      </c>
      <c r="R4332" t="s">
        <v>82634</v>
      </c>
      <c r="S4332" t="s">
        <v>82635</v>
      </c>
      <c r="T4332" t="s">
        <v>82636</v>
      </c>
      <c r="U4332" t="s">
        <v>82637</v>
      </c>
      <c r="V4332">
        <f>-614.155960714321 -63.3426754480008 -94.3501836581667</f>
        <v>-771.84881982048853</v>
      </c>
      <c r="W4332" t="s">
        <v>82638</v>
      </c>
      <c r="X4332" t="s">
        <v>82639</v>
      </c>
      <c r="Y4332" t="s">
        <v>82640</v>
      </c>
    </row>
    <row r="4333" spans="1:25" x14ac:dyDescent="0.3">
      <c r="A4333">
        <v>216600</v>
      </c>
      <c r="B4333" t="s">
        <v>82641</v>
      </c>
      <c r="C4333" t="s">
        <v>82642</v>
      </c>
      <c r="D4333" t="s">
        <v>82643</v>
      </c>
      <c r="E4333" t="s">
        <v>82644</v>
      </c>
      <c r="F4333" t="s">
        <v>82645</v>
      </c>
      <c r="G4333" t="s">
        <v>82646</v>
      </c>
      <c r="H4333" t="s">
        <v>82647</v>
      </c>
      <c r="I4333" t="s">
        <v>82648</v>
      </c>
      <c r="J4333" t="s">
        <v>82649</v>
      </c>
      <c r="K4333" t="s">
        <v>82650</v>
      </c>
      <c r="L4333" t="s">
        <v>82651</v>
      </c>
      <c r="M4333" t="s">
        <v>82652</v>
      </c>
      <c r="N4333">
        <f>-636.519253631214 -13.468027420359 -531.258029883372</f>
        <v>-1181.2453109349451</v>
      </c>
      <c r="O4333">
        <f>-637.736455183941 -166.19571021979 -499.543514164985</f>
        <v>-1303.475679568716</v>
      </c>
      <c r="P4333">
        <f>-683.839554273613 -204.75378211245 -223.923588561886</f>
        <v>-1112.5169249479491</v>
      </c>
      <c r="Q4333">
        <f>-470.76162986545 -119.370564977585 -259.364898902818</f>
        <v>-849.49709374585302</v>
      </c>
      <c r="R4333" t="s">
        <v>82653</v>
      </c>
      <c r="S4333" t="s">
        <v>82654</v>
      </c>
      <c r="T4333" t="s">
        <v>82655</v>
      </c>
      <c r="U4333" t="s">
        <v>82656</v>
      </c>
      <c r="V4333">
        <f>-614.756000997316 -63.8733744880446 -94.4152279687983</f>
        <v>-773.04460345415896</v>
      </c>
      <c r="W4333" t="s">
        <v>82657</v>
      </c>
      <c r="X4333" t="s">
        <v>82658</v>
      </c>
      <c r="Y4333" t="s">
        <v>82659</v>
      </c>
    </row>
    <row r="4334" spans="1:25" x14ac:dyDescent="0.3">
      <c r="A4334">
        <v>216650</v>
      </c>
      <c r="B4334" t="s">
        <v>82660</v>
      </c>
      <c r="C4334" t="s">
        <v>82661</v>
      </c>
      <c r="D4334" t="s">
        <v>82662</v>
      </c>
      <c r="E4334" t="s">
        <v>82663</v>
      </c>
      <c r="F4334" t="s">
        <v>82664</v>
      </c>
      <c r="G4334" t="s">
        <v>82665</v>
      </c>
      <c r="H4334" t="s">
        <v>82666</v>
      </c>
      <c r="I4334" t="s">
        <v>82667</v>
      </c>
      <c r="J4334" t="s">
        <v>82668</v>
      </c>
      <c r="K4334" t="s">
        <v>82669</v>
      </c>
      <c r="L4334" t="s">
        <v>82670</v>
      </c>
      <c r="M4334" t="s">
        <v>82671</v>
      </c>
      <c r="N4334">
        <f>-635.343881728171 -13.2002613147774 -531.192008573185</f>
        <v>-1179.7361516161336</v>
      </c>
      <c r="O4334">
        <f>-636.287449352899 -166.196901553681 -500.677008547419</f>
        <v>-1303.161359453999</v>
      </c>
      <c r="P4334">
        <f>-681.319705842785 -208.251225137558 -225.391576651396</f>
        <v>-1114.9625076317388</v>
      </c>
      <c r="Q4334">
        <f>-469.244575263086 -120.186404623231 -260.280506615453</f>
        <v>-849.71148650176997</v>
      </c>
      <c r="R4334" t="s">
        <v>82672</v>
      </c>
      <c r="S4334" t="s">
        <v>82673</v>
      </c>
      <c r="T4334" t="s">
        <v>82674</v>
      </c>
      <c r="U4334" t="s">
        <v>82675</v>
      </c>
      <c r="V4334">
        <f>-614.818887965919 -63.7121995980647 -94.3420070357979</f>
        <v>-772.87309459978155</v>
      </c>
      <c r="W4334" t="s">
        <v>82676</v>
      </c>
      <c r="X4334" t="s">
        <v>82677</v>
      </c>
      <c r="Y4334" t="s">
        <v>82678</v>
      </c>
    </row>
    <row r="4335" spans="1:25" x14ac:dyDescent="0.3">
      <c r="A4335">
        <v>216700</v>
      </c>
      <c r="B4335" t="s">
        <v>82679</v>
      </c>
      <c r="C4335" t="s">
        <v>82680</v>
      </c>
      <c r="D4335" t="s">
        <v>82681</v>
      </c>
      <c r="E4335" t="s">
        <v>82682</v>
      </c>
      <c r="F4335" t="s">
        <v>82683</v>
      </c>
      <c r="G4335" t="s">
        <v>82684</v>
      </c>
      <c r="H4335" t="s">
        <v>82685</v>
      </c>
      <c r="I4335" t="s">
        <v>82686</v>
      </c>
      <c r="J4335" t="s">
        <v>82687</v>
      </c>
      <c r="K4335" t="s">
        <v>82688</v>
      </c>
      <c r="L4335" t="s">
        <v>82689</v>
      </c>
      <c r="M4335" t="s">
        <v>82690</v>
      </c>
      <c r="N4335">
        <f>-633.716710554914 -12.2541974233079 -531.245814703502</f>
        <v>-1177.2167226817239</v>
      </c>
      <c r="O4335">
        <f>-634.443988014664 -165.540814901045 -502.271142554141</f>
        <v>-1302.2559454698501</v>
      </c>
      <c r="P4335">
        <f>-678.370442123289 -211.468700701593 -227.426332167016</f>
        <v>-1117.2654749918979</v>
      </c>
      <c r="Q4335">
        <f>-467.488074740621 -120.591688523543 -262.333805329923</f>
        <v>-850.41356859408711</v>
      </c>
      <c r="R4335" t="s">
        <v>82691</v>
      </c>
      <c r="S4335" t="s">
        <v>82692</v>
      </c>
      <c r="T4335" t="s">
        <v>82693</v>
      </c>
      <c r="U4335" t="s">
        <v>82694</v>
      </c>
      <c r="V4335">
        <f>-614.582800293809 -62.7765558568267 -94.3148172382855</f>
        <v>-771.67417338892119</v>
      </c>
      <c r="W4335" t="s">
        <v>82695</v>
      </c>
      <c r="X4335" t="s">
        <v>82696</v>
      </c>
      <c r="Y4335" t="s">
        <v>82697</v>
      </c>
    </row>
    <row r="4336" spans="1:25" x14ac:dyDescent="0.3">
      <c r="A4336">
        <v>216750</v>
      </c>
      <c r="B4336" t="s">
        <v>82698</v>
      </c>
      <c r="C4336" t="s">
        <v>82699</v>
      </c>
      <c r="D4336" t="s">
        <v>82700</v>
      </c>
      <c r="E4336" t="s">
        <v>82701</v>
      </c>
      <c r="F4336" t="s">
        <v>82702</v>
      </c>
      <c r="G4336" t="s">
        <v>82703</v>
      </c>
      <c r="H4336" t="s">
        <v>82704</v>
      </c>
      <c r="I4336" t="s">
        <v>82705</v>
      </c>
      <c r="J4336" t="s">
        <v>82706</v>
      </c>
      <c r="K4336" t="s">
        <v>82707</v>
      </c>
      <c r="L4336" t="s">
        <v>82708</v>
      </c>
      <c r="M4336" t="s">
        <v>82709</v>
      </c>
      <c r="N4336">
        <f>-632.897789827483 -11.8399167540124 -531.228706537851</f>
        <v>-1175.9664131193465</v>
      </c>
      <c r="O4336">
        <f>-633.502857301799 -165.215180444877 -502.756350323295</f>
        <v>-1301.4743880699712</v>
      </c>
      <c r="P4336">
        <f>-677.559274735731 -211.172979764674 -227.937302454973</f>
        <v>-1116.6695569553781</v>
      </c>
      <c r="Q4336">
        <f>-466.761985208166 -120.06449835542 -262.754717961587</f>
        <v>-849.5812015251729</v>
      </c>
      <c r="R4336" t="s">
        <v>82710</v>
      </c>
      <c r="S4336" t="s">
        <v>82711</v>
      </c>
      <c r="T4336" t="s">
        <v>82712</v>
      </c>
      <c r="U4336" t="s">
        <v>82713</v>
      </c>
      <c r="V4336">
        <f>-614.426814561157 -62.324021410356 -94.3292380503711</f>
        <v>-771.08007402188412</v>
      </c>
      <c r="W4336" t="s">
        <v>82714</v>
      </c>
      <c r="X4336" t="s">
        <v>82715</v>
      </c>
      <c r="Y4336" t="s">
        <v>82716</v>
      </c>
    </row>
    <row r="4337" spans="1:25" x14ac:dyDescent="0.3">
      <c r="A4337">
        <v>216800</v>
      </c>
      <c r="B4337" t="s">
        <v>82717</v>
      </c>
      <c r="C4337" t="s">
        <v>82718</v>
      </c>
      <c r="D4337" t="s">
        <v>82719</v>
      </c>
      <c r="E4337" t="s">
        <v>82720</v>
      </c>
      <c r="F4337" t="s">
        <v>82721</v>
      </c>
      <c r="G4337" t="s">
        <v>82722</v>
      </c>
      <c r="H4337" t="s">
        <v>82723</v>
      </c>
      <c r="I4337" t="s">
        <v>82724</v>
      </c>
      <c r="J4337" t="s">
        <v>82725</v>
      </c>
      <c r="K4337" t="s">
        <v>82726</v>
      </c>
      <c r="L4337" t="s">
        <v>82727</v>
      </c>
      <c r="M4337" t="s">
        <v>82728</v>
      </c>
      <c r="N4337">
        <f>-632.786476927535 -11.3040742448406 -531.181898618745</f>
        <v>-1175.2724497911206</v>
      </c>
      <c r="O4337">
        <f>-635.510178479334 -164.764505005028 -503.195832838821</f>
        <v>-1303.4705163231829</v>
      </c>
      <c r="P4337">
        <f>-678.822193866906 -209.572748207549 -228.068836648392</f>
        <v>-1116.4637787228471</v>
      </c>
      <c r="Q4337">
        <f>-468.142969145278 -118.766620020439 -264.360101918375</f>
        <v>-851.26969108409207</v>
      </c>
      <c r="R4337" t="s">
        <v>82729</v>
      </c>
      <c r="S4337" t="s">
        <v>82730</v>
      </c>
      <c r="T4337" t="s">
        <v>82731</v>
      </c>
      <c r="U4337" t="s">
        <v>82732</v>
      </c>
      <c r="V4337">
        <f>-614.015561743785 -62.1944097535431 -94.2424296394063</f>
        <v>-770.45240113673447</v>
      </c>
      <c r="W4337" t="s">
        <v>82733</v>
      </c>
      <c r="X4337" t="s">
        <v>82734</v>
      </c>
      <c r="Y4337" t="s">
        <v>82735</v>
      </c>
    </row>
    <row r="4338" spans="1:25" x14ac:dyDescent="0.3">
      <c r="A4338">
        <v>216850</v>
      </c>
      <c r="B4338" t="s">
        <v>82736</v>
      </c>
      <c r="C4338" t="s">
        <v>82737</v>
      </c>
      <c r="D4338" t="s">
        <v>82738</v>
      </c>
      <c r="E4338" t="s">
        <v>82739</v>
      </c>
      <c r="F4338" t="s">
        <v>82740</v>
      </c>
      <c r="G4338" t="s">
        <v>82741</v>
      </c>
      <c r="H4338" t="s">
        <v>82742</v>
      </c>
      <c r="I4338" t="s">
        <v>82743</v>
      </c>
      <c r="J4338" t="s">
        <v>82744</v>
      </c>
      <c r="K4338" t="s">
        <v>82745</v>
      </c>
      <c r="L4338" t="s">
        <v>82746</v>
      </c>
      <c r="M4338" t="s">
        <v>82747</v>
      </c>
      <c r="N4338">
        <f>-634.356657830314 -10.7473931230991 -531.301290645423</f>
        <v>-1176.405341598836</v>
      </c>
      <c r="O4338">
        <f>-639.949012671285 -164.136746380992 -503.236026793672</f>
        <v>-1307.3217858459491</v>
      </c>
      <c r="P4338">
        <f>-681.855939638417 -207.316694300344 -227.631568481074</f>
        <v>-1116.8042024198351</v>
      </c>
      <c r="Q4338">
        <f>-471.010322558937 -117.923804109579 -266.381267327452</f>
        <v>-855.31539399596795</v>
      </c>
      <c r="R4338" t="s">
        <v>82748</v>
      </c>
      <c r="S4338" t="s">
        <v>82749</v>
      </c>
      <c r="T4338" t="s">
        <v>82750</v>
      </c>
      <c r="U4338" t="s">
        <v>82751</v>
      </c>
      <c r="V4338">
        <f>-613.296823160286 -62.0332683291788 -94.1811860873952</f>
        <v>-769.51127757685992</v>
      </c>
      <c r="W4338" t="s">
        <v>82752</v>
      </c>
      <c r="X4338" t="s">
        <v>82753</v>
      </c>
      <c r="Y4338" t="s">
        <v>82754</v>
      </c>
    </row>
    <row r="4339" spans="1:25" x14ac:dyDescent="0.3">
      <c r="A4339">
        <v>216900</v>
      </c>
      <c r="B4339" t="s">
        <v>82755</v>
      </c>
      <c r="C4339" t="s">
        <v>82756</v>
      </c>
      <c r="D4339" t="s">
        <v>82757</v>
      </c>
      <c r="E4339" t="s">
        <v>82758</v>
      </c>
      <c r="F4339" t="s">
        <v>82759</v>
      </c>
      <c r="G4339" t="s">
        <v>82760</v>
      </c>
      <c r="H4339" t="s">
        <v>82761</v>
      </c>
      <c r="I4339" t="s">
        <v>82762</v>
      </c>
      <c r="J4339" t="s">
        <v>82763</v>
      </c>
      <c r="K4339" t="s">
        <v>82764</v>
      </c>
      <c r="L4339" t="s">
        <v>82765</v>
      </c>
      <c r="M4339" t="s">
        <v>82766</v>
      </c>
      <c r="N4339">
        <f>-638.984599418685 -10.3296221248484 -531.492373580808</f>
        <v>-1180.8065951243414</v>
      </c>
      <c r="O4339">
        <f>-649.121494021493 -162.952449248569 -500.959473765565</f>
        <v>-1313.0334170356271</v>
      </c>
      <c r="P4339">
        <f>-688.31458426579 -196.030690039452 -223.563898632227</f>
        <v>-1107.9091729374691</v>
      </c>
      <c r="Q4339">
        <f>-475.32195239562 -114.535806002606 -267.623343189513</f>
        <v>-857.48110158773898</v>
      </c>
      <c r="R4339" t="s">
        <v>82767</v>
      </c>
      <c r="S4339" t="s">
        <v>82768</v>
      </c>
      <c r="T4339" t="s">
        <v>82769</v>
      </c>
      <c r="U4339" t="s">
        <v>82770</v>
      </c>
      <c r="V4339">
        <f>-611.333046202842 -61.8184897759479 -94.1239481544879</f>
        <v>-767.27548413327781</v>
      </c>
      <c r="W4339" t="s">
        <v>82771</v>
      </c>
      <c r="X4339" t="s">
        <v>82772</v>
      </c>
      <c r="Y4339" t="s">
        <v>82773</v>
      </c>
    </row>
    <row r="4340" spans="1:25" x14ac:dyDescent="0.3">
      <c r="A4340">
        <v>216950</v>
      </c>
      <c r="B4340" t="s">
        <v>82774</v>
      </c>
      <c r="C4340" t="s">
        <v>82775</v>
      </c>
      <c r="D4340" t="s">
        <v>82776</v>
      </c>
      <c r="E4340" t="s">
        <v>82777</v>
      </c>
      <c r="F4340" t="s">
        <v>82778</v>
      </c>
      <c r="G4340" t="s">
        <v>82779</v>
      </c>
      <c r="H4340" t="s">
        <v>82780</v>
      </c>
      <c r="I4340" t="s">
        <v>82781</v>
      </c>
      <c r="J4340" t="s">
        <v>82782</v>
      </c>
      <c r="K4340" t="s">
        <v>82783</v>
      </c>
      <c r="L4340" t="s">
        <v>82784</v>
      </c>
      <c r="M4340" t="s">
        <v>82785</v>
      </c>
      <c r="N4340">
        <f>-640.716306895786 -10.4866600991168 -531.446479142682</f>
        <v>-1182.6494461375848</v>
      </c>
      <c r="O4340">
        <f>-651.578645121425 -162.857497833538 -499.762007165559</f>
        <v>-1314.1981501205219</v>
      </c>
      <c r="P4340">
        <f>-691.296462928565 -189.304941012613 -221.730331168436</f>
        <v>-1102.3317351096139</v>
      </c>
      <c r="Q4340">
        <f>-476.892777756983 -112.208253783738 -266.8486918958</f>
        <v>-855.94972343652103</v>
      </c>
      <c r="R4340" t="s">
        <v>82786</v>
      </c>
      <c r="S4340" t="s">
        <v>82787</v>
      </c>
      <c r="T4340" t="s">
        <v>82788</v>
      </c>
      <c r="U4340" t="s">
        <v>82789</v>
      </c>
      <c r="V4340">
        <f>-610.078938118368 -61.5167916023663 -94.1646884268915</f>
        <v>-765.76041814762584</v>
      </c>
      <c r="W4340" t="s">
        <v>82790</v>
      </c>
      <c r="X4340" t="s">
        <v>82791</v>
      </c>
      <c r="Y4340" t="s">
        <v>82792</v>
      </c>
    </row>
    <row r="4341" spans="1:25" x14ac:dyDescent="0.3">
      <c r="A4341">
        <v>217000</v>
      </c>
      <c r="B4341" t="s">
        <v>82793</v>
      </c>
      <c r="C4341" t="s">
        <v>82794</v>
      </c>
      <c r="D4341" t="s">
        <v>82795</v>
      </c>
      <c r="E4341" t="s">
        <v>82796</v>
      </c>
      <c r="F4341" t="s">
        <v>82797</v>
      </c>
      <c r="G4341" t="s">
        <v>82798</v>
      </c>
      <c r="H4341" t="s">
        <v>82799</v>
      </c>
      <c r="I4341" t="s">
        <v>82800</v>
      </c>
      <c r="J4341" t="s">
        <v>82801</v>
      </c>
      <c r="K4341" t="s">
        <v>82802</v>
      </c>
      <c r="L4341" t="s">
        <v>82803</v>
      </c>
      <c r="M4341" t="s">
        <v>82804</v>
      </c>
      <c r="N4341">
        <f>-644.947090472495 -10.8089229283896 -530.985202857169</f>
        <v>-1186.7412162580536</v>
      </c>
      <c r="O4341">
        <f>-656.656276049423 -162.868232783195 -498.111548406646</f>
        <v>-1317.6360572392641</v>
      </c>
      <c r="P4341">
        <f>-697.269359067248 -184.027691540275 -219.756766893626</f>
        <v>-1101.0538175011491</v>
      </c>
      <c r="Q4341">
        <f>-482.186501994172 -110.002824983925 -266.748222906321</f>
        <v>-858.93754988441788</v>
      </c>
      <c r="R4341" t="s">
        <v>82805</v>
      </c>
      <c r="S4341" t="s">
        <v>82806</v>
      </c>
      <c r="T4341" t="s">
        <v>82807</v>
      </c>
      <c r="U4341" t="s">
        <v>82808</v>
      </c>
      <c r="V4341">
        <f>-608.167199969299 -61.4711499946693 -94.0625884241284</f>
        <v>-763.70093838809669</v>
      </c>
      <c r="W4341" t="s">
        <v>82809</v>
      </c>
      <c r="X4341" t="s">
        <v>82810</v>
      </c>
      <c r="Y4341" t="s">
        <v>82811</v>
      </c>
    </row>
    <row r="4342" spans="1:25" x14ac:dyDescent="0.3">
      <c r="A4342">
        <v>217050</v>
      </c>
      <c r="B4342" t="s">
        <v>82812</v>
      </c>
      <c r="C4342" t="s">
        <v>82813</v>
      </c>
      <c r="D4342" t="s">
        <v>82814</v>
      </c>
      <c r="E4342" t="s">
        <v>82815</v>
      </c>
      <c r="F4342" t="s">
        <v>82816</v>
      </c>
      <c r="G4342" t="s">
        <v>82817</v>
      </c>
      <c r="H4342" t="s">
        <v>82818</v>
      </c>
      <c r="I4342" t="s">
        <v>82819</v>
      </c>
      <c r="J4342" t="s">
        <v>82820</v>
      </c>
      <c r="K4342" t="s">
        <v>82821</v>
      </c>
      <c r="L4342" t="s">
        <v>82822</v>
      </c>
      <c r="M4342" t="s">
        <v>82823</v>
      </c>
      <c r="N4342">
        <f>-646.810164361969 -10.9119886491569 -530.735902994513</f>
        <v>-1188.4580560056388</v>
      </c>
      <c r="O4342">
        <f>-658.777336776654 -162.871806892822 -497.497183133998</f>
        <v>-1319.146326803474</v>
      </c>
      <c r="P4342">
        <f>-698.728119114405 -185.684817977842 -219.17710418137</f>
        <v>-1103.5900412736169</v>
      </c>
      <c r="Q4342">
        <f>-484.038995407088 -110.942875041676 -266.829520044411</f>
        <v>-861.81139049317494</v>
      </c>
      <c r="R4342" t="s">
        <v>82824</v>
      </c>
      <c r="S4342" t="s">
        <v>82825</v>
      </c>
      <c r="T4342" t="s">
        <v>82826</v>
      </c>
      <c r="U4342" t="s">
        <v>82827</v>
      </c>
      <c r="V4342">
        <f>-607.794822673734 -61.5284385473312 -93.9198868658254</f>
        <v>-763.24314808689064</v>
      </c>
      <c r="W4342" t="s">
        <v>82828</v>
      </c>
      <c r="X4342" t="s">
        <v>82829</v>
      </c>
      <c r="Y4342" t="s">
        <v>82830</v>
      </c>
    </row>
    <row r="4343" spans="1:25" x14ac:dyDescent="0.3">
      <c r="A4343">
        <v>217100</v>
      </c>
      <c r="B4343" t="s">
        <v>82831</v>
      </c>
      <c r="C4343" t="s">
        <v>82832</v>
      </c>
      <c r="D4343" t="s">
        <v>82833</v>
      </c>
      <c r="E4343" t="s">
        <v>82834</v>
      </c>
      <c r="F4343" t="s">
        <v>82835</v>
      </c>
      <c r="G4343" t="s">
        <v>82836</v>
      </c>
      <c r="H4343" t="s">
        <v>82837</v>
      </c>
      <c r="I4343" t="s">
        <v>82838</v>
      </c>
      <c r="J4343" t="s">
        <v>82839</v>
      </c>
      <c r="K4343" t="s">
        <v>82840</v>
      </c>
      <c r="L4343" t="s">
        <v>82841</v>
      </c>
      <c r="M4343" t="s">
        <v>82842</v>
      </c>
      <c r="N4343">
        <f>-649.21428477349 -11.0010003807156 -530.579103388178</f>
        <v>-1190.7943885423838</v>
      </c>
      <c r="O4343">
        <f>-661.978751586503 -162.759601504477 -496.82028110389</f>
        <v>-1321.5586341948701</v>
      </c>
      <c r="P4343">
        <f>-699.260739101141 -189.616903305042 -218.490816602516</f>
        <v>-1107.3684590086989</v>
      </c>
      <c r="Q4343">
        <f>-485.251468313202 -113.628225641475 -267.217286868637</f>
        <v>-866.09698082331397</v>
      </c>
      <c r="R4343" t="s">
        <v>82843</v>
      </c>
      <c r="S4343" t="s">
        <v>82844</v>
      </c>
      <c r="T4343" t="s">
        <v>82845</v>
      </c>
      <c r="U4343" t="s">
        <v>82846</v>
      </c>
      <c r="V4343">
        <f>-608.132260304503 -61.1692023377184 -93.8092241060214</f>
        <v>-763.11068674824276</v>
      </c>
      <c r="W4343" t="s">
        <v>82847</v>
      </c>
      <c r="X4343" t="s">
        <v>82848</v>
      </c>
      <c r="Y4343" t="s">
        <v>82849</v>
      </c>
    </row>
    <row r="4344" spans="1:25" x14ac:dyDescent="0.3">
      <c r="A4344">
        <v>217150</v>
      </c>
      <c r="B4344" t="s">
        <v>82850</v>
      </c>
      <c r="C4344" t="s">
        <v>82851</v>
      </c>
      <c r="D4344" t="s">
        <v>82852</v>
      </c>
      <c r="E4344" t="s">
        <v>82853</v>
      </c>
      <c r="F4344" t="s">
        <v>82854</v>
      </c>
      <c r="G4344" t="s">
        <v>82855</v>
      </c>
      <c r="H4344" t="s">
        <v>82856</v>
      </c>
      <c r="I4344" t="s">
        <v>82857</v>
      </c>
      <c r="J4344" t="s">
        <v>82858</v>
      </c>
      <c r="K4344" t="s">
        <v>82859</v>
      </c>
      <c r="L4344" t="s">
        <v>82860</v>
      </c>
      <c r="M4344" t="s">
        <v>82861</v>
      </c>
      <c r="N4344">
        <f>-649.893347994802 -11.3822023169864 -530.541915097399</f>
        <v>-1191.8174654091874</v>
      </c>
      <c r="O4344">
        <f>-662.745272627485 -163.044682884645 -496.463368328976</f>
        <v>-1322.2533238411061</v>
      </c>
      <c r="P4344">
        <f>-699.128724491866 -190.696940744352 -218.092623273697</f>
        <v>-1107.9182885099151</v>
      </c>
      <c r="Q4344">
        <f>-485.237501584857 -114.714592731017 -267.344347276467</f>
        <v>-867.2964415923409</v>
      </c>
      <c r="R4344" t="s">
        <v>82862</v>
      </c>
      <c r="S4344" t="s">
        <v>82863</v>
      </c>
      <c r="T4344" t="s">
        <v>82864</v>
      </c>
      <c r="U4344" t="s">
        <v>82865</v>
      </c>
      <c r="V4344">
        <f>-608.601900598509 -61.1117780564691 -93.8539621505929</f>
        <v>-763.56764080557105</v>
      </c>
      <c r="W4344" t="s">
        <v>82866</v>
      </c>
      <c r="X4344" t="s">
        <v>82867</v>
      </c>
      <c r="Y4344" t="s">
        <v>82868</v>
      </c>
    </row>
    <row r="4345" spans="1:25" x14ac:dyDescent="0.3">
      <c r="A4345">
        <v>217200</v>
      </c>
      <c r="B4345" t="s">
        <v>82869</v>
      </c>
      <c r="C4345" t="s">
        <v>82870</v>
      </c>
      <c r="D4345" t="s">
        <v>82871</v>
      </c>
      <c r="E4345" t="s">
        <v>82872</v>
      </c>
      <c r="F4345" t="s">
        <v>82873</v>
      </c>
      <c r="G4345" t="s">
        <v>82874</v>
      </c>
      <c r="H4345" t="s">
        <v>82875</v>
      </c>
      <c r="I4345" t="s">
        <v>82876</v>
      </c>
      <c r="J4345" t="s">
        <v>82877</v>
      </c>
      <c r="K4345" t="s">
        <v>82878</v>
      </c>
      <c r="L4345" t="s">
        <v>82879</v>
      </c>
      <c r="M4345" t="s">
        <v>82880</v>
      </c>
      <c r="N4345">
        <f>-650.314375545458 -12.6938369984762 -530.518031333225</f>
        <v>-1193.5262438771592</v>
      </c>
      <c r="O4345">
        <f>-663.381047432059 -164.306291995478 -496.211076651236</f>
        <v>-1323.8984160787729</v>
      </c>
      <c r="P4345">
        <f>-699.817744356671 -191.144421393328 -217.767687332841</f>
        <v>-1108.72985308284</v>
      </c>
      <c r="Q4345">
        <f>-485.764533109116 -115.68504293278 -267.120068551681</f>
        <v>-868.56964459357698</v>
      </c>
      <c r="R4345" t="s">
        <v>82881</v>
      </c>
      <c r="S4345" t="s">
        <v>82882</v>
      </c>
      <c r="T4345" t="s">
        <v>82883</v>
      </c>
      <c r="U4345" t="s">
        <v>82884</v>
      </c>
      <c r="V4345">
        <f>-609.574807763398 -61.9782130345884 -94.0010856837631</f>
        <v>-765.5541064817495</v>
      </c>
      <c r="W4345" t="s">
        <v>82885</v>
      </c>
      <c r="X4345" t="s">
        <v>82886</v>
      </c>
      <c r="Y4345" t="s">
        <v>82887</v>
      </c>
    </row>
    <row r="4346" spans="1:25" x14ac:dyDescent="0.3">
      <c r="A4346">
        <v>217250</v>
      </c>
      <c r="B4346" t="s">
        <v>82888</v>
      </c>
      <c r="C4346" t="s">
        <v>82889</v>
      </c>
      <c r="D4346" t="s">
        <v>82890</v>
      </c>
      <c r="E4346" t="s">
        <v>82891</v>
      </c>
      <c r="F4346" t="s">
        <v>82892</v>
      </c>
      <c r="G4346" t="s">
        <v>82893</v>
      </c>
      <c r="H4346" t="s">
        <v>82894</v>
      </c>
      <c r="I4346" t="s">
        <v>82895</v>
      </c>
      <c r="J4346" t="s">
        <v>82896</v>
      </c>
      <c r="K4346" t="s">
        <v>82897</v>
      </c>
      <c r="L4346" t="s">
        <v>82898</v>
      </c>
      <c r="M4346" t="s">
        <v>82899</v>
      </c>
      <c r="N4346">
        <f>-650.186622089509 -13.5991207341847 -530.679390780944</f>
        <v>-1194.4651336046377</v>
      </c>
      <c r="O4346">
        <f>-662.920363440836 -165.325313854456 -496.650335830307</f>
        <v>-1324.896013125599</v>
      </c>
      <c r="P4346">
        <f>-701.350462671229 -191.278354732054 -218.391165442129</f>
        <v>-1111.019982845412</v>
      </c>
      <c r="Q4346">
        <f>-486.964824560004 -116.009240399371 -266.576845499577</f>
        <v>-869.5509104589521</v>
      </c>
      <c r="R4346" t="s">
        <v>82900</v>
      </c>
      <c r="S4346" t="s">
        <v>82901</v>
      </c>
      <c r="T4346" t="s">
        <v>82902</v>
      </c>
      <c r="U4346" t="s">
        <v>82903</v>
      </c>
      <c r="V4346">
        <f>-610.307136478585 -63.2098917136668 -94.099682024373</f>
        <v>-767.61671021662482</v>
      </c>
      <c r="W4346" t="s">
        <v>82904</v>
      </c>
      <c r="X4346" t="s">
        <v>82905</v>
      </c>
      <c r="Y4346" t="s">
        <v>82906</v>
      </c>
    </row>
    <row r="4347" spans="1:25" x14ac:dyDescent="0.3">
      <c r="A4347">
        <v>217300</v>
      </c>
      <c r="B4347" t="s">
        <v>82907</v>
      </c>
      <c r="C4347" t="s">
        <v>82908</v>
      </c>
      <c r="D4347" t="s">
        <v>82909</v>
      </c>
      <c r="E4347" t="s">
        <v>82910</v>
      </c>
      <c r="F4347" t="s">
        <v>82911</v>
      </c>
      <c r="G4347" t="s">
        <v>82912</v>
      </c>
      <c r="H4347" t="s">
        <v>82913</v>
      </c>
      <c r="I4347" t="s">
        <v>82914</v>
      </c>
      <c r="J4347" t="s">
        <v>82915</v>
      </c>
      <c r="K4347" t="s">
        <v>82916</v>
      </c>
      <c r="L4347" t="s">
        <v>82917</v>
      </c>
      <c r="M4347" t="s">
        <v>82918</v>
      </c>
      <c r="N4347">
        <f>-650.194503382685 -13.5220132136483 -530.806844347355</f>
        <v>-1194.5233609436882</v>
      </c>
      <c r="O4347">
        <f>-662.796116468924 -165.320762583343 -497.062506961272</f>
        <v>-1325.179386013539</v>
      </c>
      <c r="P4347">
        <f>-701.921509012013 -191.638101918413 -218.934359450913</f>
        <v>-1112.4939703813388</v>
      </c>
      <c r="Q4347">
        <f>-487.551916679454 -115.868936977655 -266.402631191846</f>
        <v>-869.82348484895499</v>
      </c>
      <c r="R4347" t="s">
        <v>82919</v>
      </c>
      <c r="S4347" t="s">
        <v>82920</v>
      </c>
      <c r="T4347" t="s">
        <v>82921</v>
      </c>
      <c r="U4347" t="s">
        <v>82922</v>
      </c>
      <c r="V4347">
        <f>-610.664095484014 -63.452987278079 -94.1474966816137</f>
        <v>-768.26457944370668</v>
      </c>
      <c r="W4347" t="s">
        <v>82923</v>
      </c>
      <c r="X4347" t="s">
        <v>82924</v>
      </c>
      <c r="Y4347" t="s">
        <v>82925</v>
      </c>
    </row>
    <row r="4348" spans="1:25" x14ac:dyDescent="0.3">
      <c r="A4348">
        <v>217350</v>
      </c>
      <c r="B4348" t="s">
        <v>82926</v>
      </c>
      <c r="C4348" t="s">
        <v>82927</v>
      </c>
      <c r="D4348" t="s">
        <v>82928</v>
      </c>
      <c r="E4348" t="s">
        <v>82929</v>
      </c>
      <c r="F4348" t="s">
        <v>82930</v>
      </c>
      <c r="G4348" t="s">
        <v>82931</v>
      </c>
      <c r="H4348" t="s">
        <v>82932</v>
      </c>
      <c r="I4348" t="s">
        <v>82933</v>
      </c>
      <c r="J4348" t="s">
        <v>82934</v>
      </c>
      <c r="K4348" t="s">
        <v>82935</v>
      </c>
      <c r="L4348" t="s">
        <v>82936</v>
      </c>
      <c r="M4348" t="s">
        <v>82937</v>
      </c>
      <c r="N4348">
        <f>-650.031975131423 -13.143508612028 -530.957629067916</f>
        <v>-1194.133112811367</v>
      </c>
      <c r="O4348">
        <f>-662.562785241779 -165.063780898734 -497.775321126566</f>
        <v>-1325.401887267079</v>
      </c>
      <c r="P4348">
        <f>-701.898201528445 -192.724348019401 -219.807420814436</f>
        <v>-1114.4299703622819</v>
      </c>
      <c r="Q4348">
        <f>-487.89147866894 -115.593208636127 -266.716267835141</f>
        <v>-870.20095514020807</v>
      </c>
      <c r="R4348" t="s">
        <v>82938</v>
      </c>
      <c r="S4348" t="s">
        <v>82939</v>
      </c>
      <c r="T4348" t="s">
        <v>82940</v>
      </c>
      <c r="U4348" t="s">
        <v>82941</v>
      </c>
      <c r="V4348">
        <f>-611.362781308512 -63.844316149519 -94.2569703476316</f>
        <v>-769.46406780566269</v>
      </c>
      <c r="W4348" t="s">
        <v>82942</v>
      </c>
      <c r="X4348" t="s">
        <v>82943</v>
      </c>
      <c r="Y4348" t="s">
        <v>82944</v>
      </c>
    </row>
    <row r="4349" spans="1:25" x14ac:dyDescent="0.3">
      <c r="A4349">
        <v>217400</v>
      </c>
      <c r="B4349" t="s">
        <v>82945</v>
      </c>
      <c r="C4349" t="s">
        <v>82946</v>
      </c>
      <c r="D4349" t="s">
        <v>82947</v>
      </c>
      <c r="E4349" t="s">
        <v>82948</v>
      </c>
      <c r="F4349" t="s">
        <v>82949</v>
      </c>
      <c r="G4349" t="s">
        <v>82950</v>
      </c>
      <c r="H4349" t="s">
        <v>82951</v>
      </c>
      <c r="I4349" t="s">
        <v>82952</v>
      </c>
      <c r="J4349" t="s">
        <v>82953</v>
      </c>
      <c r="K4349" t="s">
        <v>82954</v>
      </c>
      <c r="L4349" t="s">
        <v>82955</v>
      </c>
      <c r="M4349" t="s">
        <v>82956</v>
      </c>
      <c r="N4349">
        <f>-650.167504536451 -12.9365960289408 -531.016958026925</f>
        <v>-1194.1210585923168</v>
      </c>
      <c r="O4349">
        <f>-662.788638284263 -164.904110059508 -498.062973605348</f>
        <v>-1325.7557219491191</v>
      </c>
      <c r="P4349">
        <f>-701.924435870601 -193.000409008557 -220.110471551148</f>
        <v>-1115.035316430306</v>
      </c>
      <c r="Q4349">
        <f>-488.119558530523 -115.366798906977 -267.11054754351</f>
        <v>-870.59690498101008</v>
      </c>
      <c r="R4349" t="s">
        <v>82957</v>
      </c>
      <c r="S4349" t="s">
        <v>82958</v>
      </c>
      <c r="T4349" t="s">
        <v>82959</v>
      </c>
      <c r="U4349" t="s">
        <v>82960</v>
      </c>
      <c r="V4349">
        <f>-611.894236924271 -64.1824317076819 -94.2845164409511</f>
        <v>-770.36118507290394</v>
      </c>
      <c r="W4349" t="s">
        <v>82961</v>
      </c>
      <c r="X4349" t="s">
        <v>82962</v>
      </c>
      <c r="Y4349" t="s">
        <v>82963</v>
      </c>
    </row>
    <row r="4350" spans="1:25" x14ac:dyDescent="0.3">
      <c r="A4350">
        <v>217450</v>
      </c>
      <c r="B4350" t="s">
        <v>82964</v>
      </c>
      <c r="C4350" t="s">
        <v>82965</v>
      </c>
      <c r="D4350" t="s">
        <v>82966</v>
      </c>
      <c r="E4350" t="s">
        <v>82967</v>
      </c>
      <c r="F4350" t="s">
        <v>82968</v>
      </c>
      <c r="G4350" t="s">
        <v>82969</v>
      </c>
      <c r="H4350" t="s">
        <v>82970</v>
      </c>
      <c r="I4350" t="s">
        <v>82971</v>
      </c>
      <c r="J4350" t="s">
        <v>82972</v>
      </c>
      <c r="K4350" t="s">
        <v>82973</v>
      </c>
      <c r="L4350" t="s">
        <v>82974</v>
      </c>
      <c r="M4350" t="s">
        <v>82975</v>
      </c>
      <c r="N4350">
        <f>-650.382908125466 -12.8004095382105 -531.110989556176</f>
        <v>-1194.2943072198525</v>
      </c>
      <c r="O4350">
        <f>-663.133067072754 -164.799841174727 -498.386549682766</f>
        <v>-1326.3194579302469</v>
      </c>
      <c r="P4350">
        <f>-702.104835870663 -193.158085522493 -220.437538695399</f>
        <v>-1115.700460088555</v>
      </c>
      <c r="Q4350">
        <f>-488.438961247662 -115.184871203472 -267.508125532551</f>
        <v>-871.13195798368497</v>
      </c>
      <c r="R4350" t="s">
        <v>82976</v>
      </c>
      <c r="S4350" t="s">
        <v>82977</v>
      </c>
      <c r="T4350" t="s">
        <v>82978</v>
      </c>
      <c r="U4350" t="s">
        <v>82979</v>
      </c>
      <c r="V4350">
        <f>-612.432521778358 -64.5038959051119 -94.3049606212426</f>
        <v>-771.2413783047125</v>
      </c>
      <c r="W4350" t="s">
        <v>82980</v>
      </c>
      <c r="X4350" t="s">
        <v>82981</v>
      </c>
      <c r="Y4350" t="s">
        <v>82982</v>
      </c>
    </row>
    <row r="4351" spans="1:25" x14ac:dyDescent="0.3">
      <c r="A4351">
        <v>217500</v>
      </c>
      <c r="B4351" t="s">
        <v>82983</v>
      </c>
      <c r="C4351" t="s">
        <v>82984</v>
      </c>
      <c r="D4351" t="s">
        <v>82985</v>
      </c>
      <c r="E4351" t="s">
        <v>82986</v>
      </c>
      <c r="F4351" t="s">
        <v>82987</v>
      </c>
      <c r="G4351" t="s">
        <v>82988</v>
      </c>
      <c r="H4351" t="s">
        <v>82989</v>
      </c>
      <c r="I4351" t="s">
        <v>82990</v>
      </c>
      <c r="J4351" t="s">
        <v>82991</v>
      </c>
      <c r="K4351" t="s">
        <v>82992</v>
      </c>
      <c r="L4351" t="s">
        <v>82993</v>
      </c>
      <c r="M4351" t="s">
        <v>82994</v>
      </c>
      <c r="N4351">
        <f>-651.178306732116 -12.8480457486617 -531.206291691806</f>
        <v>-1195.2326441725836</v>
      </c>
      <c r="O4351">
        <f>-663.838603209888 -164.896614963994 -498.722656444783</f>
        <v>-1327.4578746186651</v>
      </c>
      <c r="P4351">
        <f>-702.826614767175 -193.500624004571 -220.801411142686</f>
        <v>-1117.1286499144321</v>
      </c>
      <c r="Q4351">
        <f>-489.311604154959 -115.125911307259 -267.889112537712</f>
        <v>-872.32662799993</v>
      </c>
      <c r="R4351" t="s">
        <v>82995</v>
      </c>
      <c r="S4351" t="s">
        <v>82996</v>
      </c>
      <c r="T4351" t="s">
        <v>82997</v>
      </c>
      <c r="U4351" t="s">
        <v>82998</v>
      </c>
      <c r="V4351">
        <f>-613.14889784556 -64.7716140895893 -94.3385156329399</f>
        <v>-772.25902756808921</v>
      </c>
      <c r="W4351" t="s">
        <v>82999</v>
      </c>
      <c r="X4351" t="s">
        <v>83000</v>
      </c>
      <c r="Y4351" t="s">
        <v>83001</v>
      </c>
    </row>
    <row r="4352" spans="1:25" x14ac:dyDescent="0.3">
      <c r="A4352">
        <v>217550</v>
      </c>
      <c r="B4352" t="s">
        <v>83002</v>
      </c>
      <c r="C4352" t="s">
        <v>83003</v>
      </c>
      <c r="D4352" t="s">
        <v>83004</v>
      </c>
      <c r="E4352" t="s">
        <v>83005</v>
      </c>
      <c r="F4352" t="s">
        <v>83006</v>
      </c>
      <c r="G4352" t="s">
        <v>83007</v>
      </c>
      <c r="H4352" t="s">
        <v>83008</v>
      </c>
      <c r="I4352" t="s">
        <v>83009</v>
      </c>
      <c r="J4352" t="s">
        <v>83010</v>
      </c>
      <c r="K4352" t="s">
        <v>83011</v>
      </c>
      <c r="L4352" t="s">
        <v>83012</v>
      </c>
      <c r="M4352" t="s">
        <v>83013</v>
      </c>
      <c r="N4352">
        <f>-651.845831913908 -13.1409141248635 -531.141972964097</f>
        <v>-1196.1287190028684</v>
      </c>
      <c r="O4352">
        <f>-664.232058284289 -165.201175679959 -498.620955767173</f>
        <v>-1328.054189731421</v>
      </c>
      <c r="P4352">
        <f>-703.404377829447 -193.769656957442 -220.721872721448</f>
        <v>-1117.8959075083371</v>
      </c>
      <c r="Q4352">
        <f>-489.88296812209 -115.360603507537 -267.723398702737</f>
        <v>-872.96697033236399</v>
      </c>
      <c r="R4352" t="s">
        <v>83014</v>
      </c>
      <c r="S4352" t="s">
        <v>83015</v>
      </c>
      <c r="T4352" t="s">
        <v>83016</v>
      </c>
      <c r="U4352" t="s">
        <v>83017</v>
      </c>
      <c r="V4352">
        <f>-613.420831176442 -65.02208927836 -94.3568042284727</f>
        <v>-772.79972468327469</v>
      </c>
      <c r="W4352" t="s">
        <v>83018</v>
      </c>
      <c r="X4352" t="s">
        <v>83019</v>
      </c>
      <c r="Y4352" t="s">
        <v>83020</v>
      </c>
    </row>
    <row r="4353" spans="1:25" x14ac:dyDescent="0.3">
      <c r="A4353">
        <v>217600</v>
      </c>
      <c r="B4353" t="s">
        <v>83021</v>
      </c>
      <c r="C4353" t="s">
        <v>83022</v>
      </c>
      <c r="D4353" t="s">
        <v>83023</v>
      </c>
      <c r="E4353" t="s">
        <v>83024</v>
      </c>
      <c r="F4353" t="s">
        <v>83025</v>
      </c>
      <c r="G4353" t="s">
        <v>83026</v>
      </c>
      <c r="H4353" t="s">
        <v>83027</v>
      </c>
      <c r="I4353" t="s">
        <v>83028</v>
      </c>
      <c r="J4353" t="s">
        <v>83029</v>
      </c>
      <c r="K4353" t="s">
        <v>83030</v>
      </c>
      <c r="L4353" t="s">
        <v>83031</v>
      </c>
      <c r="M4353" t="s">
        <v>83032</v>
      </c>
      <c r="N4353">
        <f>-653.763545435651 -13.8499307114166 -530.966018774514</f>
        <v>-1198.5794949215817</v>
      </c>
      <c r="O4353">
        <f>-665.190006857498 -165.986028509856 -498.389205103141</f>
        <v>-1329.5652404704949</v>
      </c>
      <c r="P4353">
        <f>-705.00870080685 -194.066257194875 -220.532237717405</f>
        <v>-1119.60719571913</v>
      </c>
      <c r="Q4353">
        <f>-491.438105884368 -115.560770566761 -267.147834239206</f>
        <v>-874.14671069033511</v>
      </c>
      <c r="R4353" t="s">
        <v>83033</v>
      </c>
      <c r="S4353" t="s">
        <v>83034</v>
      </c>
      <c r="T4353" t="s">
        <v>83035</v>
      </c>
      <c r="U4353" t="s">
        <v>83036</v>
      </c>
      <c r="V4353">
        <f>-614.175708957143 -65.7099003882527 -94.3650742103704</f>
        <v>-774.25068355576605</v>
      </c>
      <c r="W4353" t="s">
        <v>83037</v>
      </c>
      <c r="X4353" t="s">
        <v>83038</v>
      </c>
      <c r="Y4353" t="s">
        <v>83039</v>
      </c>
    </row>
    <row r="4354" spans="1:25" x14ac:dyDescent="0.3">
      <c r="A4354">
        <v>217650</v>
      </c>
      <c r="B4354" t="s">
        <v>83040</v>
      </c>
      <c r="C4354" t="s">
        <v>83041</v>
      </c>
      <c r="D4354" t="s">
        <v>83042</v>
      </c>
      <c r="E4354" t="s">
        <v>83043</v>
      </c>
      <c r="F4354" t="s">
        <v>83044</v>
      </c>
      <c r="G4354" t="s">
        <v>83045</v>
      </c>
      <c r="H4354" t="s">
        <v>83046</v>
      </c>
      <c r="I4354" t="s">
        <v>83047</v>
      </c>
      <c r="J4354" t="s">
        <v>83048</v>
      </c>
      <c r="K4354" t="s">
        <v>83049</v>
      </c>
      <c r="L4354" t="s">
        <v>83050</v>
      </c>
      <c r="M4354" t="s">
        <v>83051</v>
      </c>
      <c r="N4354">
        <f>-654.834124280286 -14.0898133355133 -530.919210779662</f>
        <v>-1199.8431483954614</v>
      </c>
      <c r="O4354">
        <f>-665.834458457653 -166.271806037364 -498.394042813482</f>
        <v>-1330.500307308499</v>
      </c>
      <c r="P4354">
        <f>-705.88585969348 -194.239953521952 -220.559170968617</f>
        <v>-1120.684984184049</v>
      </c>
      <c r="Q4354">
        <f>-492.377934185708 -115.414542510322 -266.921363668583</f>
        <v>-874.71384036461302</v>
      </c>
      <c r="R4354" t="s">
        <v>83052</v>
      </c>
      <c r="S4354" t="s">
        <v>83053</v>
      </c>
      <c r="T4354" t="s">
        <v>83054</v>
      </c>
      <c r="U4354" t="s">
        <v>83055</v>
      </c>
      <c r="V4354">
        <f>-614.701318486083 -66.004150160521 -94.3595625353582</f>
        <v>-775.06503118196224</v>
      </c>
      <c r="W4354" t="s">
        <v>83056</v>
      </c>
      <c r="X4354" t="s">
        <v>83057</v>
      </c>
      <c r="Y4354" t="s">
        <v>83058</v>
      </c>
    </row>
    <row r="4355" spans="1:25" x14ac:dyDescent="0.3">
      <c r="A4355">
        <v>217700</v>
      </c>
      <c r="B4355" t="s">
        <v>83059</v>
      </c>
      <c r="C4355" t="s">
        <v>83060</v>
      </c>
      <c r="D4355" t="s">
        <v>83061</v>
      </c>
      <c r="E4355" t="s">
        <v>83062</v>
      </c>
      <c r="F4355" t="s">
        <v>83063</v>
      </c>
      <c r="G4355" t="s">
        <v>83064</v>
      </c>
      <c r="H4355" t="s">
        <v>83065</v>
      </c>
      <c r="I4355" t="s">
        <v>83066</v>
      </c>
      <c r="J4355" t="s">
        <v>83067</v>
      </c>
      <c r="K4355" t="s">
        <v>83068</v>
      </c>
      <c r="L4355" t="s">
        <v>83069</v>
      </c>
      <c r="M4355" t="s">
        <v>83070</v>
      </c>
      <c r="N4355">
        <f>-656.641421646397 -14.2744097937657 -530.956017816048</f>
        <v>-1201.8718492562107</v>
      </c>
      <c r="O4355">
        <f>-666.853075156391 -166.523627965699 -498.476927075727</f>
        <v>-1331.853630197817</v>
      </c>
      <c r="P4355">
        <f>-707.360008020439 -194.565071110899 -220.715495662964</f>
        <v>-1122.640574794302</v>
      </c>
      <c r="Q4355">
        <f>-494.186185636472 -114.623313267583 -266.702408932586</f>
        <v>-875.51190783664106</v>
      </c>
      <c r="R4355" t="s">
        <v>83071</v>
      </c>
      <c r="S4355" t="s">
        <v>83072</v>
      </c>
      <c r="T4355" t="s">
        <v>83073</v>
      </c>
      <c r="U4355" t="s">
        <v>83074</v>
      </c>
      <c r="V4355">
        <f>-615.918484875872 -65.9866161744385 -94.4161821456411</f>
        <v>-776.32128319595154</v>
      </c>
      <c r="W4355" t="s">
        <v>83075</v>
      </c>
      <c r="X4355" t="s">
        <v>83076</v>
      </c>
      <c r="Y4355" t="s">
        <v>83077</v>
      </c>
    </row>
    <row r="4356" spans="1:25" x14ac:dyDescent="0.3">
      <c r="A4356">
        <v>217750</v>
      </c>
      <c r="B4356" t="s">
        <v>83078</v>
      </c>
      <c r="C4356" t="s">
        <v>83079</v>
      </c>
      <c r="D4356" t="s">
        <v>83080</v>
      </c>
      <c r="E4356" t="s">
        <v>83081</v>
      </c>
      <c r="F4356" t="s">
        <v>83082</v>
      </c>
      <c r="G4356" t="s">
        <v>83083</v>
      </c>
      <c r="H4356" t="s">
        <v>83084</v>
      </c>
      <c r="I4356" t="s">
        <v>83085</v>
      </c>
      <c r="J4356" t="s">
        <v>83086</v>
      </c>
      <c r="K4356" t="s">
        <v>83087</v>
      </c>
      <c r="L4356" t="s">
        <v>83088</v>
      </c>
      <c r="M4356" t="s">
        <v>83089</v>
      </c>
      <c r="N4356">
        <f>-657.524055882901 -14.3717250931866 -531.030197946578</f>
        <v>-1202.9259789226658</v>
      </c>
      <c r="O4356">
        <f>-667.077426614646 -166.650681806566 -498.530253305059</f>
        <v>-1332.258361726271</v>
      </c>
      <c r="P4356">
        <f>-707.951139248066 -194.795742804689 -220.83301609256</f>
        <v>-1123.5798981453149</v>
      </c>
      <c r="Q4356">
        <f>-495.10089360631 -113.742638611 -266.370853894603</f>
        <v>-875.21438611191297</v>
      </c>
      <c r="R4356" t="s">
        <v>83090</v>
      </c>
      <c r="S4356" t="s">
        <v>83091</v>
      </c>
      <c r="T4356" t="s">
        <v>83092</v>
      </c>
      <c r="U4356" t="s">
        <v>83093</v>
      </c>
      <c r="V4356">
        <f>-617.081665018526 -65.7180757056603 -94.4941335372669</f>
        <v>-777.2938742614532</v>
      </c>
      <c r="W4356" t="s">
        <v>83094</v>
      </c>
      <c r="X4356" t="s">
        <v>83095</v>
      </c>
      <c r="Y4356" t="s">
        <v>83096</v>
      </c>
    </row>
    <row r="4357" spans="1:25" x14ac:dyDescent="0.3">
      <c r="A4357">
        <v>217800</v>
      </c>
      <c r="B4357" t="s">
        <v>83097</v>
      </c>
      <c r="C4357" t="s">
        <v>83098</v>
      </c>
      <c r="D4357" t="s">
        <v>83099</v>
      </c>
      <c r="E4357" t="s">
        <v>83100</v>
      </c>
      <c r="F4357" t="s">
        <v>83101</v>
      </c>
      <c r="G4357" t="s">
        <v>83102</v>
      </c>
      <c r="H4357" t="s">
        <v>83103</v>
      </c>
      <c r="I4357" t="s">
        <v>83104</v>
      </c>
      <c r="J4357" t="s">
        <v>83105</v>
      </c>
      <c r="K4357" t="s">
        <v>83106</v>
      </c>
      <c r="L4357" t="s">
        <v>83107</v>
      </c>
      <c r="M4357" t="s">
        <v>83108</v>
      </c>
      <c r="N4357">
        <f>-657.802404018399 -14.3667231173602 -531.054560244511</f>
        <v>-1203.2236873802701</v>
      </c>
      <c r="O4357">
        <f>-666.962136505434 -166.665864211509 -498.508619691241</f>
        <v>-1332.1366204081839</v>
      </c>
      <c r="P4357">
        <f>-708.005374301862 -194.956872059899 -220.851257153257</f>
        <v>-1123.8135035150181</v>
      </c>
      <c r="Q4357">
        <f>-495.324330213219 -113.295302303463 -266.091606273433</f>
        <v>-874.71123879011498</v>
      </c>
      <c r="R4357" t="s">
        <v>83109</v>
      </c>
      <c r="S4357" t="s">
        <v>83110</v>
      </c>
      <c r="T4357" t="s">
        <v>83111</v>
      </c>
      <c r="U4357" t="s">
        <v>83112</v>
      </c>
      <c r="V4357">
        <f>-617.462461803855 -65.5749430792382 -94.5209149942565</f>
        <v>-777.55831987734973</v>
      </c>
      <c r="W4357" t="s">
        <v>83113</v>
      </c>
      <c r="X4357" t="s">
        <v>83114</v>
      </c>
      <c r="Y4357" t="s">
        <v>83115</v>
      </c>
    </row>
    <row r="4358" spans="1:25" x14ac:dyDescent="0.3">
      <c r="A4358">
        <v>217850</v>
      </c>
      <c r="B4358" t="s">
        <v>83116</v>
      </c>
      <c r="C4358" t="s">
        <v>83117</v>
      </c>
      <c r="D4358" t="s">
        <v>83118</v>
      </c>
      <c r="E4358" t="s">
        <v>83119</v>
      </c>
      <c r="F4358" t="s">
        <v>83120</v>
      </c>
      <c r="G4358" t="s">
        <v>83121</v>
      </c>
      <c r="H4358" t="s">
        <v>83122</v>
      </c>
      <c r="I4358" t="s">
        <v>83123</v>
      </c>
      <c r="J4358" t="s">
        <v>83124</v>
      </c>
      <c r="K4358" t="s">
        <v>83125</v>
      </c>
      <c r="L4358" t="s">
        <v>83126</v>
      </c>
      <c r="M4358" t="s">
        <v>83127</v>
      </c>
      <c r="N4358">
        <f>-657.913899220541 -14.2657077254898 -531.043844566304</f>
        <v>-1203.2234515123348</v>
      </c>
      <c r="O4358">
        <f>-666.664949061458 -166.578561370051 -498.445749636693</f>
        <v>-1331.689260068202</v>
      </c>
      <c r="P4358">
        <f>-707.89119364454 -195.108851762596 -220.839929538527</f>
        <v>-1123.839974945663</v>
      </c>
      <c r="Q4358">
        <f>-495.372203814331 -112.827989314597 -265.718303658558</f>
        <v>-873.91849678748599</v>
      </c>
      <c r="R4358" t="s">
        <v>83128</v>
      </c>
      <c r="S4358" t="s">
        <v>83129</v>
      </c>
      <c r="T4358" t="s">
        <v>83130</v>
      </c>
      <c r="U4358" t="s">
        <v>83131</v>
      </c>
      <c r="V4358">
        <f>-617.635276915115 -65.3294334062923 -94.5153105958938</f>
        <v>-777.48002091730109</v>
      </c>
      <c r="W4358" t="s">
        <v>83132</v>
      </c>
      <c r="X4358" t="s">
        <v>83133</v>
      </c>
      <c r="Y4358" t="s">
        <v>83134</v>
      </c>
    </row>
    <row r="4359" spans="1:25" x14ac:dyDescent="0.3">
      <c r="A4359">
        <v>217900</v>
      </c>
      <c r="B4359" t="s">
        <v>83135</v>
      </c>
      <c r="C4359" t="s">
        <v>83136</v>
      </c>
      <c r="D4359" t="s">
        <v>83137</v>
      </c>
      <c r="E4359" t="s">
        <v>83138</v>
      </c>
      <c r="F4359" t="s">
        <v>83139</v>
      </c>
      <c r="G4359" t="s">
        <v>83140</v>
      </c>
      <c r="H4359" t="s">
        <v>83141</v>
      </c>
      <c r="I4359" t="s">
        <v>83142</v>
      </c>
      <c r="J4359" t="s">
        <v>83143</v>
      </c>
      <c r="K4359" t="s">
        <v>83144</v>
      </c>
      <c r="L4359" t="s">
        <v>83145</v>
      </c>
      <c r="M4359" t="s">
        <v>83146</v>
      </c>
      <c r="N4359">
        <f>-657.476523959817 -13.7312963179609 -531.007173326024</f>
        <v>-1202.2149936038018</v>
      </c>
      <c r="O4359">
        <f>-665.374195836534 -166.08456629285 -498.387572247643</f>
        <v>-1329.846334377027</v>
      </c>
      <c r="P4359">
        <f>-707.203702227751 -195.505524416709 -220.964964667739</f>
        <v>-1123.6741913121991</v>
      </c>
      <c r="Q4359">
        <f>-495.022703317449 -111.80706271935 -264.809146065561</f>
        <v>-871.63891210236</v>
      </c>
      <c r="R4359" t="s">
        <v>83147</v>
      </c>
      <c r="S4359" t="s">
        <v>83148</v>
      </c>
      <c r="T4359" t="s">
        <v>83149</v>
      </c>
      <c r="U4359" t="s">
        <v>83150</v>
      </c>
      <c r="V4359">
        <f>-617.401159861694 -64.771035717303 -94.4110930793827</f>
        <v>-776.58328865837973</v>
      </c>
      <c r="W4359" t="s">
        <v>83151</v>
      </c>
      <c r="X4359" t="s">
        <v>83152</v>
      </c>
      <c r="Y4359" t="s">
        <v>83153</v>
      </c>
    </row>
    <row r="4360" spans="1:25" x14ac:dyDescent="0.3">
      <c r="A4360">
        <v>217950</v>
      </c>
      <c r="B4360" t="s">
        <v>83154</v>
      </c>
      <c r="C4360" t="s">
        <v>83155</v>
      </c>
      <c r="D4360" t="s">
        <v>83156</v>
      </c>
      <c r="E4360" t="s">
        <v>83157</v>
      </c>
      <c r="F4360" t="s">
        <v>83158</v>
      </c>
      <c r="G4360" t="s">
        <v>83159</v>
      </c>
      <c r="H4360" t="s">
        <v>83160</v>
      </c>
      <c r="I4360" t="s">
        <v>83161</v>
      </c>
      <c r="J4360" t="s">
        <v>83162</v>
      </c>
      <c r="K4360" t="s">
        <v>83163</v>
      </c>
      <c r="L4360" t="s">
        <v>83164</v>
      </c>
      <c r="M4360" t="s">
        <v>83165</v>
      </c>
      <c r="N4360">
        <f>-657.025585584465 -13.3744820731513 -531.011603142666</f>
        <v>-1201.4116708002823</v>
      </c>
      <c r="O4360">
        <f>-664.552628471206 -165.75525932078 -498.444356666434</f>
        <v>-1328.7522444584201</v>
      </c>
      <c r="P4360">
        <f>-706.867235772085 -195.71856645326 -221.153448559074</f>
        <v>-1123.739250784419</v>
      </c>
      <c r="Q4360">
        <f>-494.882487866255 -111.229261373056 -264.426908019981</f>
        <v>-870.53865725929199</v>
      </c>
      <c r="R4360" t="s">
        <v>83166</v>
      </c>
      <c r="S4360" t="s">
        <v>83167</v>
      </c>
      <c r="T4360" t="s">
        <v>83168</v>
      </c>
      <c r="U4360" t="s">
        <v>83169</v>
      </c>
      <c r="V4360">
        <f>-617.208087516724 -64.5237943950949 -94.3748805666677</f>
        <v>-776.10676247848664</v>
      </c>
      <c r="W4360" t="s">
        <v>83170</v>
      </c>
      <c r="X4360" t="s">
        <v>83171</v>
      </c>
      <c r="Y4360" t="s">
        <v>83172</v>
      </c>
    </row>
    <row r="4361" spans="1:25" x14ac:dyDescent="0.3">
      <c r="A4361">
        <v>218000</v>
      </c>
      <c r="B4361" t="s">
        <v>83173</v>
      </c>
      <c r="C4361" t="s">
        <v>83174</v>
      </c>
      <c r="D4361" t="s">
        <v>83175</v>
      </c>
      <c r="E4361" t="s">
        <v>83176</v>
      </c>
      <c r="F4361" t="s">
        <v>83177</v>
      </c>
      <c r="G4361" t="s">
        <v>83178</v>
      </c>
      <c r="H4361" t="s">
        <v>83179</v>
      </c>
      <c r="I4361" t="s">
        <v>83180</v>
      </c>
      <c r="J4361" t="s">
        <v>83181</v>
      </c>
      <c r="K4361" t="s">
        <v>83182</v>
      </c>
      <c r="L4361" t="s">
        <v>83183</v>
      </c>
      <c r="M4361" t="s">
        <v>83184</v>
      </c>
      <c r="N4361">
        <f>-656.828847754066 -13.2295081351244 -530.951884798222</f>
        <v>-1201.0102406874125</v>
      </c>
      <c r="O4361">
        <f>-663.544390138235 -165.673529441834 -498.529232870442</f>
        <v>-1327.7471524505111</v>
      </c>
      <c r="P4361">
        <f>-707.097735061155 -197.09482296176 -221.591724478686</f>
        <v>-1125.784282501601</v>
      </c>
      <c r="Q4361">
        <f>-495.532357382329 -110.941417428822 -263.617660247114</f>
        <v>-870.09143505826501</v>
      </c>
      <c r="R4361" t="s">
        <v>83185</v>
      </c>
      <c r="S4361" t="s">
        <v>83186</v>
      </c>
      <c r="T4361" t="s">
        <v>83187</v>
      </c>
      <c r="U4361" t="s">
        <v>83188</v>
      </c>
      <c r="V4361">
        <f>-617.04824233074 -64.2493792689475 -94.3481892422042</f>
        <v>-775.6458108418916</v>
      </c>
      <c r="W4361" t="s">
        <v>83189</v>
      </c>
      <c r="X4361" t="s">
        <v>83190</v>
      </c>
      <c r="Y4361" t="s">
        <v>83191</v>
      </c>
    </row>
    <row r="4362" spans="1:25" x14ac:dyDescent="0.3">
      <c r="A4362">
        <v>218050</v>
      </c>
      <c r="B4362" t="s">
        <v>83192</v>
      </c>
      <c r="C4362" t="s">
        <v>83193</v>
      </c>
      <c r="D4362" t="s">
        <v>83194</v>
      </c>
      <c r="E4362" t="s">
        <v>83195</v>
      </c>
      <c r="F4362" t="s">
        <v>83196</v>
      </c>
      <c r="G4362" t="s">
        <v>83197</v>
      </c>
      <c r="H4362" t="s">
        <v>83198</v>
      </c>
      <c r="I4362" t="s">
        <v>83199</v>
      </c>
      <c r="J4362" t="s">
        <v>83200</v>
      </c>
      <c r="K4362" t="s">
        <v>83201</v>
      </c>
      <c r="L4362" t="s">
        <v>83202</v>
      </c>
      <c r="M4362" t="s">
        <v>83203</v>
      </c>
      <c r="N4362">
        <f>-657.280238895699 -13.301283134879 -530.924341032272</f>
        <v>-1201.50586306285</v>
      </c>
      <c r="O4362">
        <f>-663.734186050061 -165.771883176715 -498.540604153005</f>
        <v>-1328.0466733797809</v>
      </c>
      <c r="P4362">
        <f>-707.787623402484 -197.700475061518 -221.740258665131</f>
        <v>-1127.228357129133</v>
      </c>
      <c r="Q4362">
        <f>-496.372583735409 -110.901001100219 -263.189999280848</f>
        <v>-870.46358411647611</v>
      </c>
      <c r="R4362" t="s">
        <v>83204</v>
      </c>
      <c r="S4362" t="s">
        <v>83205</v>
      </c>
      <c r="T4362" t="s">
        <v>83206</v>
      </c>
      <c r="U4362" t="s">
        <v>83207</v>
      </c>
      <c r="V4362">
        <f>-617.048984746865 -64.3325601710221 -94.3515697326604</f>
        <v>-775.73311465054758</v>
      </c>
      <c r="W4362" t="s">
        <v>83208</v>
      </c>
      <c r="X4362" t="s">
        <v>83209</v>
      </c>
      <c r="Y4362" t="s">
        <v>83210</v>
      </c>
    </row>
    <row r="4363" spans="1:25" x14ac:dyDescent="0.3">
      <c r="A4363">
        <v>218100</v>
      </c>
      <c r="B4363" t="s">
        <v>83211</v>
      </c>
      <c r="C4363" t="s">
        <v>83212</v>
      </c>
      <c r="D4363" t="s">
        <v>83213</v>
      </c>
      <c r="E4363" t="s">
        <v>83214</v>
      </c>
      <c r="F4363" t="s">
        <v>83215</v>
      </c>
      <c r="G4363" t="s">
        <v>83216</v>
      </c>
      <c r="H4363" t="s">
        <v>83217</v>
      </c>
      <c r="I4363" t="s">
        <v>83218</v>
      </c>
      <c r="J4363" t="s">
        <v>83219</v>
      </c>
      <c r="K4363" t="s">
        <v>83220</v>
      </c>
      <c r="L4363" t="s">
        <v>83221</v>
      </c>
      <c r="M4363" t="s">
        <v>83222</v>
      </c>
      <c r="N4363">
        <f>-657.823428348822 -13.7332692133675 -530.938433587842</f>
        <v>-1202.4951311500315</v>
      </c>
      <c r="O4363">
        <f>-663.763770981184 -166.248758914951 -498.710589626396</f>
        <v>-1328.7231195225309</v>
      </c>
      <c r="P4363">
        <f>-708.360438478021 -198.824464376847 -222.072665252358</f>
        <v>-1129.257568107226</v>
      </c>
      <c r="Q4363">
        <f>-497.18954735396 -110.967775195827 -262.527046222804</f>
        <v>-870.68436877259091</v>
      </c>
      <c r="R4363" t="s">
        <v>83223</v>
      </c>
      <c r="S4363" t="s">
        <v>83224</v>
      </c>
      <c r="T4363" t="s">
        <v>83225</v>
      </c>
      <c r="U4363" t="s">
        <v>83226</v>
      </c>
      <c r="V4363">
        <f>-617.116470908798 -64.5148788194601 -94.3775053492744</f>
        <v>-776.00885507753253</v>
      </c>
      <c r="W4363" t="s">
        <v>83227</v>
      </c>
      <c r="X4363" t="s">
        <v>83228</v>
      </c>
      <c r="Y4363" t="s">
        <v>83229</v>
      </c>
    </row>
    <row r="4364" spans="1:25" x14ac:dyDescent="0.3">
      <c r="A4364">
        <v>218150</v>
      </c>
      <c r="B4364" t="s">
        <v>83230</v>
      </c>
      <c r="C4364" t="s">
        <v>83231</v>
      </c>
      <c r="D4364" t="s">
        <v>83232</v>
      </c>
      <c r="E4364" t="s">
        <v>83233</v>
      </c>
      <c r="F4364" t="s">
        <v>83234</v>
      </c>
      <c r="G4364" t="s">
        <v>83235</v>
      </c>
      <c r="H4364" t="s">
        <v>83236</v>
      </c>
      <c r="I4364" t="s">
        <v>83237</v>
      </c>
      <c r="J4364" t="s">
        <v>83238</v>
      </c>
      <c r="K4364" t="s">
        <v>83239</v>
      </c>
      <c r="L4364" t="s">
        <v>83240</v>
      </c>
      <c r="M4364" t="s">
        <v>83241</v>
      </c>
      <c r="N4364">
        <f>-658.317443719483 -14.0874728361516 -530.931462654863</f>
        <v>-1203.3363792104976</v>
      </c>
      <c r="O4364">
        <f>-663.934280238416 -166.635715609053 -498.797695136572</f>
        <v>-1329.367690984041</v>
      </c>
      <c r="P4364">
        <f>-708.633062726273 -199.577365655381 -222.219478162351</f>
        <v>-1130.429906544005</v>
      </c>
      <c r="Q4364">
        <f>-497.644172354178 -111.186437110073 -262.459027095473</f>
        <v>-871.28963655972393</v>
      </c>
      <c r="R4364" t="s">
        <v>83242</v>
      </c>
      <c r="S4364" t="s">
        <v>83243</v>
      </c>
      <c r="T4364" t="s">
        <v>83244</v>
      </c>
      <c r="U4364" t="s">
        <v>83245</v>
      </c>
      <c r="V4364">
        <f>-617.220378942119 -64.6361201083887 -94.3952288285328</f>
        <v>-776.25172787904057</v>
      </c>
      <c r="W4364" t="s">
        <v>83246</v>
      </c>
      <c r="X4364" t="s">
        <v>83247</v>
      </c>
      <c r="Y4364" t="s">
        <v>83248</v>
      </c>
    </row>
    <row r="4365" spans="1:25" x14ac:dyDescent="0.3">
      <c r="A4365">
        <v>218200</v>
      </c>
      <c r="B4365" t="s">
        <v>83249</v>
      </c>
      <c r="C4365" t="s">
        <v>83250</v>
      </c>
      <c r="D4365" t="s">
        <v>83251</v>
      </c>
      <c r="E4365" t="s">
        <v>83252</v>
      </c>
      <c r="F4365" t="s">
        <v>83253</v>
      </c>
      <c r="G4365" t="s">
        <v>83254</v>
      </c>
      <c r="H4365" t="s">
        <v>83255</v>
      </c>
      <c r="I4365" t="s">
        <v>83256</v>
      </c>
      <c r="J4365" t="s">
        <v>83257</v>
      </c>
      <c r="K4365" t="s">
        <v>83258</v>
      </c>
      <c r="L4365" t="s">
        <v>83259</v>
      </c>
      <c r="M4365" t="s">
        <v>83260</v>
      </c>
      <c r="N4365">
        <f>-659.460867159365 -14.8842520901269 -530.862527337729</f>
        <v>-1205.207646587221</v>
      </c>
      <c r="O4365">
        <f>-664.513962016243 -167.482832574561 -498.831901038471</f>
        <v>-1330.828695629275</v>
      </c>
      <c r="P4365">
        <f>-708.901860950363 -201.566809769048 -222.342224902358</f>
        <v>-1132.8108956217689</v>
      </c>
      <c r="Q4365">
        <f>-498.333087672786 -112.098348688479 -262.401207885737</f>
        <v>-872.83264424700201</v>
      </c>
      <c r="R4365" t="s">
        <v>83261</v>
      </c>
      <c r="S4365" t="s">
        <v>83262</v>
      </c>
      <c r="T4365" t="s">
        <v>83263</v>
      </c>
      <c r="U4365" t="s">
        <v>83264</v>
      </c>
      <c r="V4365">
        <f>-617.495824673356 -64.9172650731148 -94.398778413689</f>
        <v>-776.81186816015975</v>
      </c>
      <c r="W4365" t="s">
        <v>83265</v>
      </c>
      <c r="X4365" t="s">
        <v>83266</v>
      </c>
      <c r="Y4365" t="s">
        <v>83267</v>
      </c>
    </row>
    <row r="4366" spans="1:25" x14ac:dyDescent="0.3">
      <c r="A4366">
        <v>218250</v>
      </c>
      <c r="B4366" t="s">
        <v>83268</v>
      </c>
      <c r="C4366" t="s">
        <v>83269</v>
      </c>
      <c r="D4366" t="s">
        <v>83270</v>
      </c>
      <c r="E4366" t="s">
        <v>83271</v>
      </c>
      <c r="F4366" t="s">
        <v>83272</v>
      </c>
      <c r="G4366" t="s">
        <v>83273</v>
      </c>
      <c r="H4366" t="s">
        <v>83274</v>
      </c>
      <c r="I4366" t="s">
        <v>83275</v>
      </c>
      <c r="J4366" t="s">
        <v>83276</v>
      </c>
      <c r="K4366" t="s">
        <v>83277</v>
      </c>
      <c r="L4366" t="s">
        <v>83278</v>
      </c>
      <c r="M4366" t="s">
        <v>83279</v>
      </c>
      <c r="N4366">
        <f>-660.127523252388 -15.1663072971992 -530.846153603423</f>
        <v>-1206.1399841530101</v>
      </c>
      <c r="O4366">
        <f>-664.850575220923 -167.79150552477 -498.875404667346</f>
        <v>-1331.5174854130389</v>
      </c>
      <c r="P4366">
        <f>-709.097519801816 -202.392994762195 -222.427259222393</f>
        <v>-1133.917773786404</v>
      </c>
      <c r="Q4366">
        <f>-498.720825121003 -112.43492014924 -262.398991912444</f>
        <v>-873.55473718268695</v>
      </c>
      <c r="R4366" t="s">
        <v>83280</v>
      </c>
      <c r="S4366" t="s">
        <v>83281</v>
      </c>
      <c r="T4366" t="s">
        <v>83282</v>
      </c>
      <c r="U4366" t="s">
        <v>83283</v>
      </c>
      <c r="V4366">
        <f>-617.698917428665 -65.0226378969858 -94.4025493940952</f>
        <v>-777.12410471974601</v>
      </c>
      <c r="W4366" t="s">
        <v>83284</v>
      </c>
      <c r="X4366" t="s">
        <v>83285</v>
      </c>
      <c r="Y4366" t="s">
        <v>83286</v>
      </c>
    </row>
    <row r="4367" spans="1:25" x14ac:dyDescent="0.3">
      <c r="A4367">
        <v>218300</v>
      </c>
      <c r="B4367" t="s">
        <v>83287</v>
      </c>
      <c r="C4367" t="s">
        <v>83288</v>
      </c>
      <c r="D4367" t="s">
        <v>83289</v>
      </c>
      <c r="E4367" t="s">
        <v>83290</v>
      </c>
      <c r="F4367" t="s">
        <v>83291</v>
      </c>
      <c r="G4367" t="s">
        <v>83292</v>
      </c>
      <c r="H4367" t="s">
        <v>83293</v>
      </c>
      <c r="I4367" t="s">
        <v>83294</v>
      </c>
      <c r="J4367" t="s">
        <v>83295</v>
      </c>
      <c r="K4367" t="s">
        <v>83296</v>
      </c>
      <c r="L4367" t="s">
        <v>83297</v>
      </c>
      <c r="M4367" t="s">
        <v>83298</v>
      </c>
      <c r="N4367">
        <f>-661.184129769709 -15.1316827993173 -530.883631471808</f>
        <v>-1207.1994440408344</v>
      </c>
      <c r="O4367">
        <f>-665.245802204435 -167.833611145774 -499.173839057738</f>
        <v>-1332.253252407947</v>
      </c>
      <c r="P4367">
        <f>-709.399765986094 -203.21844335739 -222.810008013114</f>
        <v>-1135.428217356598</v>
      </c>
      <c r="Q4367">
        <f>-499.436945367366 -112.095171211878 -262.315552004751</f>
        <v>-873.84766858399496</v>
      </c>
      <c r="R4367" t="s">
        <v>83299</v>
      </c>
      <c r="S4367" t="s">
        <v>83300</v>
      </c>
      <c r="T4367" t="s">
        <v>83301</v>
      </c>
      <c r="U4367" t="s">
        <v>83302</v>
      </c>
      <c r="V4367">
        <f>-618.210430765743 -65.0202566484663 -94.3932255728072</f>
        <v>-777.62391298701652</v>
      </c>
      <c r="W4367" t="s">
        <v>83303</v>
      </c>
      <c r="X4367" t="s">
        <v>83304</v>
      </c>
      <c r="Y4367" t="s">
        <v>83305</v>
      </c>
    </row>
    <row r="4368" spans="1:25" x14ac:dyDescent="0.3">
      <c r="A4368">
        <v>218350</v>
      </c>
      <c r="B4368" t="s">
        <v>83306</v>
      </c>
      <c r="C4368" t="s">
        <v>83307</v>
      </c>
      <c r="D4368" t="s">
        <v>83308</v>
      </c>
      <c r="E4368" t="s">
        <v>83309</v>
      </c>
      <c r="F4368" t="s">
        <v>83310</v>
      </c>
      <c r="G4368" t="s">
        <v>83311</v>
      </c>
      <c r="H4368" t="s">
        <v>83312</v>
      </c>
      <c r="I4368" t="s">
        <v>83313</v>
      </c>
      <c r="J4368" t="s">
        <v>83314</v>
      </c>
      <c r="K4368" t="s">
        <v>83315</v>
      </c>
      <c r="L4368" t="s">
        <v>83316</v>
      </c>
      <c r="M4368" t="s">
        <v>83317</v>
      </c>
      <c r="N4368">
        <f>-661.839515674624 -14.7249647507774 -530.830950672299</f>
        <v>-1207.3954310977003</v>
      </c>
      <c r="O4368">
        <f>-665.305142845795 -167.498519912043 -499.441902269441</f>
        <v>-1332.2455650272791</v>
      </c>
      <c r="P4368">
        <f>-709.486687892544 -203.72752744142 -223.19187601002</f>
        <v>-1136.4060913439839</v>
      </c>
      <c r="Q4368">
        <f>-500.038095862953 -111.092435641349 -261.903242819728</f>
        <v>-873.03377432402999</v>
      </c>
      <c r="R4368" t="s">
        <v>83318</v>
      </c>
      <c r="S4368" t="s">
        <v>83319</v>
      </c>
      <c r="T4368" t="s">
        <v>83320</v>
      </c>
      <c r="U4368" t="s">
        <v>83321</v>
      </c>
      <c r="V4368">
        <f>-618.326923610386 -64.8704279119497 -94.2881034208524</f>
        <v>-777.48545494318807</v>
      </c>
      <c r="W4368" t="s">
        <v>83322</v>
      </c>
      <c r="X4368" t="s">
        <v>83323</v>
      </c>
      <c r="Y4368" t="s">
        <v>83324</v>
      </c>
    </row>
    <row r="4369" spans="1:25" x14ac:dyDescent="0.3">
      <c r="A4369">
        <v>218400</v>
      </c>
      <c r="B4369" t="s">
        <v>83325</v>
      </c>
      <c r="C4369" t="s">
        <v>83326</v>
      </c>
      <c r="D4369" t="s">
        <v>83327</v>
      </c>
      <c r="E4369" t="s">
        <v>83328</v>
      </c>
      <c r="F4369" t="s">
        <v>83329</v>
      </c>
      <c r="G4369" t="s">
        <v>83330</v>
      </c>
      <c r="H4369" t="s">
        <v>83331</v>
      </c>
      <c r="I4369" t="s">
        <v>83332</v>
      </c>
      <c r="J4369" t="s">
        <v>83333</v>
      </c>
      <c r="K4369" t="s">
        <v>83334</v>
      </c>
      <c r="L4369" t="s">
        <v>83335</v>
      </c>
      <c r="M4369" t="s">
        <v>83336</v>
      </c>
      <c r="N4369">
        <f>-662.035511825276 -14.4941875799295 -530.804810904428</f>
        <v>-1207.3345103096335</v>
      </c>
      <c r="O4369">
        <f>-665.196306493785 -167.296766159905 -499.524427955251</f>
        <v>-1332.017500608941</v>
      </c>
      <c r="P4369">
        <f>-709.486102653897 -203.914670231901 -223.343108869128</f>
        <v>-1136.743881754926</v>
      </c>
      <c r="Q4369">
        <f>-500.281126976511 -110.530853139013 -261.569896186398</f>
        <v>-872.38187630192192</v>
      </c>
      <c r="R4369" t="s">
        <v>83337</v>
      </c>
      <c r="S4369" t="s">
        <v>83338</v>
      </c>
      <c r="T4369" t="s">
        <v>83339</v>
      </c>
      <c r="U4369" t="s">
        <v>83340</v>
      </c>
      <c r="V4369">
        <f>-618.305038484582 -64.7302073824146 -94.2080473246407</f>
        <v>-777.24329319163735</v>
      </c>
      <c r="W4369" t="s">
        <v>83341</v>
      </c>
      <c r="X4369" t="s">
        <v>83342</v>
      </c>
      <c r="Y4369" t="s">
        <v>83343</v>
      </c>
    </row>
    <row r="4370" spans="1:25" x14ac:dyDescent="0.3">
      <c r="A4370">
        <v>218450</v>
      </c>
      <c r="B4370" t="s">
        <v>83344</v>
      </c>
      <c r="C4370" t="s">
        <v>83345</v>
      </c>
      <c r="D4370" t="s">
        <v>83346</v>
      </c>
      <c r="E4370" t="s">
        <v>83347</v>
      </c>
      <c r="F4370" t="s">
        <v>83348</v>
      </c>
      <c r="G4370" t="s">
        <v>83349</v>
      </c>
      <c r="H4370" t="s">
        <v>83350</v>
      </c>
      <c r="I4370" t="s">
        <v>83351</v>
      </c>
      <c r="J4370" t="s">
        <v>83352</v>
      </c>
      <c r="K4370" t="s">
        <v>83353</v>
      </c>
      <c r="L4370" t="s">
        <v>83354</v>
      </c>
      <c r="M4370" t="s">
        <v>83355</v>
      </c>
      <c r="N4370">
        <f>-662.125442906263 -14.1905804425412 -530.754220869042</f>
        <v>-1207.0702442178463</v>
      </c>
      <c r="O4370">
        <f>-665.000210162934 -167.016230320545 -499.563542226472</f>
        <v>-1331.5799827099509</v>
      </c>
      <c r="P4370">
        <f>-709.437315050017 -203.943623265194 -223.446983357316</f>
        <v>-1136.8279216725271</v>
      </c>
      <c r="Q4370">
        <f>-500.459681398087 -109.879226510551 -261.245765769329</f>
        <v>-871.58467367796698</v>
      </c>
      <c r="R4370" t="s">
        <v>83356</v>
      </c>
      <c r="S4370" t="s">
        <v>83357</v>
      </c>
      <c r="T4370" t="s">
        <v>83358</v>
      </c>
      <c r="U4370" t="s">
        <v>83359</v>
      </c>
      <c r="V4370">
        <f>-618.128761390254 -64.5170907637591 -94.1164108127385</f>
        <v>-776.76226296675168</v>
      </c>
      <c r="W4370" t="s">
        <v>83360</v>
      </c>
      <c r="X4370" t="s">
        <v>83361</v>
      </c>
      <c r="Y4370" t="s">
        <v>83362</v>
      </c>
    </row>
    <row r="4371" spans="1:25" x14ac:dyDescent="0.3">
      <c r="A4371">
        <v>218500</v>
      </c>
      <c r="B4371" t="s">
        <v>83363</v>
      </c>
      <c r="C4371" t="s">
        <v>83364</v>
      </c>
      <c r="D4371" t="s">
        <v>83365</v>
      </c>
      <c r="E4371" t="s">
        <v>83366</v>
      </c>
      <c r="F4371" t="s">
        <v>83367</v>
      </c>
      <c r="G4371" t="s">
        <v>83368</v>
      </c>
      <c r="H4371" t="s">
        <v>83369</v>
      </c>
      <c r="I4371" t="s">
        <v>83370</v>
      </c>
      <c r="J4371" t="s">
        <v>83371</v>
      </c>
      <c r="K4371" t="s">
        <v>83372</v>
      </c>
      <c r="L4371" t="s">
        <v>83373</v>
      </c>
      <c r="M4371" t="s">
        <v>83374</v>
      </c>
      <c r="N4371">
        <f>-662.199583011725 -13.5487874491137 -530.640229407079</f>
        <v>-1206.3885998679177</v>
      </c>
      <c r="O4371">
        <f>-664.52388650925 -166.402471979284 -499.543975444138</f>
        <v>-1330.470333932672</v>
      </c>
      <c r="P4371">
        <f>-709.081869117277 -203.730101139498 -223.500903869055</f>
        <v>-1136.3128741258301</v>
      </c>
      <c r="Q4371">
        <f>-500.501407862905 -108.608617285885 -260.845492799371</f>
        <v>-869.95551794816106</v>
      </c>
      <c r="R4371" t="s">
        <v>83375</v>
      </c>
      <c r="S4371" t="s">
        <v>83376</v>
      </c>
      <c r="T4371" t="s">
        <v>83377</v>
      </c>
      <c r="U4371" t="s">
        <v>83378</v>
      </c>
      <c r="V4371">
        <f>-617.697776691653 -64.0293200666322 -93.9442838458583</f>
        <v>-775.67138060414345</v>
      </c>
      <c r="W4371" t="s">
        <v>83379</v>
      </c>
      <c r="X4371" t="s">
        <v>83380</v>
      </c>
      <c r="Y4371" t="s">
        <v>83381</v>
      </c>
    </row>
    <row r="4372" spans="1:25" x14ac:dyDescent="0.3">
      <c r="A4372">
        <v>218550</v>
      </c>
      <c r="B4372" t="s">
        <v>83382</v>
      </c>
      <c r="C4372" t="s">
        <v>83383</v>
      </c>
      <c r="D4372" t="s">
        <v>83384</v>
      </c>
      <c r="E4372" t="s">
        <v>83385</v>
      </c>
      <c r="F4372" t="s">
        <v>83386</v>
      </c>
      <c r="G4372" t="s">
        <v>83387</v>
      </c>
      <c r="H4372" t="s">
        <v>83388</v>
      </c>
      <c r="I4372" t="s">
        <v>83389</v>
      </c>
      <c r="J4372" t="s">
        <v>83390</v>
      </c>
      <c r="K4372" t="s">
        <v>83391</v>
      </c>
      <c r="L4372" t="s">
        <v>83392</v>
      </c>
      <c r="M4372" t="s">
        <v>83393</v>
      </c>
      <c r="N4372">
        <f>-662.177862747697 -12.8371236992907 -530.508689728784</f>
        <v>-1205.5236761757717</v>
      </c>
      <c r="O4372">
        <f>-664.066069043657 -165.689991847206 -499.376377925512</f>
        <v>-1329.1324388163748</v>
      </c>
      <c r="P4372">
        <f>-708.354890821198 -202.895281217928 -223.273366834706</f>
        <v>-1134.523538873832</v>
      </c>
      <c r="Q4372">
        <f>-500.02163573534 -107.297917675919 -260.782214171434</f>
        <v>-868.10176758269301</v>
      </c>
      <c r="R4372" t="s">
        <v>83394</v>
      </c>
      <c r="S4372" t="s">
        <v>83395</v>
      </c>
      <c r="T4372" t="s">
        <v>83396</v>
      </c>
      <c r="U4372" t="s">
        <v>83397</v>
      </c>
      <c r="V4372">
        <f>-617.169286311931 -63.4107391092689 -93.8303177850598</f>
        <v>-774.41034320625977</v>
      </c>
      <c r="W4372" t="s">
        <v>83398</v>
      </c>
      <c r="X4372" t="s">
        <v>83399</v>
      </c>
      <c r="Y4372" t="s">
        <v>83400</v>
      </c>
    </row>
    <row r="4373" spans="1:25" x14ac:dyDescent="0.3">
      <c r="A4373">
        <v>218600</v>
      </c>
      <c r="B4373" t="s">
        <v>83401</v>
      </c>
      <c r="C4373" t="s">
        <v>83402</v>
      </c>
      <c r="D4373" t="s">
        <v>83403</v>
      </c>
      <c r="E4373" t="s">
        <v>83404</v>
      </c>
      <c r="F4373" t="s">
        <v>83405</v>
      </c>
      <c r="G4373" t="s">
        <v>83406</v>
      </c>
      <c r="H4373" t="s">
        <v>83407</v>
      </c>
      <c r="I4373" t="s">
        <v>83408</v>
      </c>
      <c r="J4373" t="s">
        <v>83409</v>
      </c>
      <c r="K4373" t="s">
        <v>83410</v>
      </c>
      <c r="L4373" t="s">
        <v>83411</v>
      </c>
      <c r="M4373" t="s">
        <v>83412</v>
      </c>
      <c r="N4373">
        <f>-662.090974571962 -12.4701457334202 -530.427582515257</f>
        <v>-1204.988702820639</v>
      </c>
      <c r="O4373">
        <f>-663.85306455764 -165.312141905449 -499.230788401293</f>
        <v>-1328.3959948643819</v>
      </c>
      <c r="P4373">
        <f>-707.913557453831 -202.385150636449 -223.073495848271</f>
        <v>-1133.3722039385509</v>
      </c>
      <c r="Q4373">
        <f>-499.677354207998 -106.666778583701 -260.811973160121</f>
        <v>-867.15610595182011</v>
      </c>
      <c r="R4373" t="s">
        <v>83413</v>
      </c>
      <c r="S4373" t="s">
        <v>83414</v>
      </c>
      <c r="T4373" t="s">
        <v>83415</v>
      </c>
      <c r="U4373" t="s">
        <v>83416</v>
      </c>
      <c r="V4373">
        <f>-616.86574786617 -63.1254610052947 -93.773419021693</f>
        <v>-773.76462789315769</v>
      </c>
      <c r="W4373" t="s">
        <v>83417</v>
      </c>
      <c r="X4373" t="s">
        <v>83418</v>
      </c>
      <c r="Y4373" t="s">
        <v>83419</v>
      </c>
    </row>
    <row r="4374" spans="1:25" x14ac:dyDescent="0.3">
      <c r="A4374">
        <v>218650</v>
      </c>
      <c r="B4374" t="s">
        <v>83420</v>
      </c>
      <c r="C4374" t="s">
        <v>83421</v>
      </c>
      <c r="D4374" t="s">
        <v>83422</v>
      </c>
      <c r="E4374" t="s">
        <v>83423</v>
      </c>
      <c r="F4374" t="s">
        <v>83424</v>
      </c>
      <c r="G4374" t="s">
        <v>83425</v>
      </c>
      <c r="H4374" t="s">
        <v>83426</v>
      </c>
      <c r="I4374" t="s">
        <v>83427</v>
      </c>
      <c r="J4374" t="s">
        <v>83428</v>
      </c>
      <c r="K4374" t="s">
        <v>83429</v>
      </c>
      <c r="L4374" t="s">
        <v>83430</v>
      </c>
      <c r="M4374" t="s">
        <v>83431</v>
      </c>
      <c r="N4374">
        <f>-661.546871684653 -11.8534658652015 -530.298048761978</f>
        <v>-1203.6983863118326</v>
      </c>
      <c r="O4374">
        <f>-663.165365622312 -164.661566563297 -498.940322431041</f>
        <v>-1326.76725461665</v>
      </c>
      <c r="P4374">
        <f>-706.809460071012 -201.348046721919 -222.665285741971</f>
        <v>-1130.822792534902</v>
      </c>
      <c r="Q4374">
        <f>-498.677456514246 -105.637498200182 -260.993731501279</f>
        <v>-865.30868621570698</v>
      </c>
      <c r="R4374" t="s">
        <v>83432</v>
      </c>
      <c r="S4374" t="s">
        <v>83433</v>
      </c>
      <c r="T4374" t="s">
        <v>83434</v>
      </c>
      <c r="U4374" t="s">
        <v>83435</v>
      </c>
      <c r="V4374">
        <f>-616.223850890285 -62.5531920505441 -93.6811620792894</f>
        <v>-772.4582050201185</v>
      </c>
      <c r="W4374" t="s">
        <v>83436</v>
      </c>
      <c r="X4374" t="s">
        <v>83437</v>
      </c>
      <c r="Y4374" t="s">
        <v>83438</v>
      </c>
    </row>
    <row r="4375" spans="1:25" x14ac:dyDescent="0.3">
      <c r="A4375">
        <v>218700</v>
      </c>
      <c r="B4375" t="s">
        <v>83439</v>
      </c>
      <c r="C4375" t="s">
        <v>83440</v>
      </c>
      <c r="D4375" t="s">
        <v>83441</v>
      </c>
      <c r="E4375" t="s">
        <v>83442</v>
      </c>
      <c r="F4375" t="s">
        <v>83443</v>
      </c>
      <c r="G4375" t="s">
        <v>83444</v>
      </c>
      <c r="H4375" t="s">
        <v>83445</v>
      </c>
      <c r="I4375" t="s">
        <v>83446</v>
      </c>
      <c r="J4375" t="s">
        <v>83447</v>
      </c>
      <c r="K4375" t="s">
        <v>83448</v>
      </c>
      <c r="L4375" t="s">
        <v>83449</v>
      </c>
      <c r="M4375" t="s">
        <v>83450</v>
      </c>
      <c r="N4375">
        <f>-661.270833538284 -11.5192107995865 -530.256229716466</f>
        <v>-1203.0462740543367</v>
      </c>
      <c r="O4375">
        <f>-662.90595861599 -164.312758458027 -498.81140672008</f>
        <v>-1326.0301237940971</v>
      </c>
      <c r="P4375">
        <f>-706.258461102966 -200.841767455031 -222.469641448892</f>
        <v>-1129.569870006889</v>
      </c>
      <c r="Q4375">
        <f>-498.125990019022 -105.231516457133 -261.045759893352</f>
        <v>-864.40326636950704</v>
      </c>
      <c r="R4375" t="s">
        <v>83451</v>
      </c>
      <c r="S4375" t="s">
        <v>83452</v>
      </c>
      <c r="T4375" t="s">
        <v>83453</v>
      </c>
      <c r="U4375" t="s">
        <v>83454</v>
      </c>
      <c r="V4375">
        <f>-615.882508571812 -62.1188038837943 -93.6627020199113</f>
        <v>-771.66401447551755</v>
      </c>
      <c r="W4375" t="s">
        <v>83455</v>
      </c>
      <c r="X4375" t="s">
        <v>83456</v>
      </c>
      <c r="Y4375" t="s">
        <v>83457</v>
      </c>
    </row>
    <row r="4376" spans="1:25" x14ac:dyDescent="0.3">
      <c r="A4376">
        <v>218750</v>
      </c>
      <c r="B4376" t="s">
        <v>83458</v>
      </c>
      <c r="C4376" t="s">
        <v>83459</v>
      </c>
      <c r="D4376" t="s">
        <v>83460</v>
      </c>
      <c r="E4376" t="s">
        <v>83461</v>
      </c>
      <c r="F4376" t="s">
        <v>83462</v>
      </c>
      <c r="G4376" t="s">
        <v>83463</v>
      </c>
      <c r="H4376" t="s">
        <v>83464</v>
      </c>
      <c r="I4376" t="s">
        <v>83465</v>
      </c>
      <c r="J4376" t="s">
        <v>83466</v>
      </c>
      <c r="K4376" t="s">
        <v>83467</v>
      </c>
      <c r="L4376" t="s">
        <v>83468</v>
      </c>
      <c r="M4376" t="s">
        <v>83469</v>
      </c>
      <c r="N4376">
        <f>-660.996567545616 -10.7022387938468 -530.193999287751</f>
        <v>-1201.8928056272139</v>
      </c>
      <c r="O4376">
        <f>-662.746977297958 -163.468843891974 -498.604442085624</f>
        <v>-1324.820263275556</v>
      </c>
      <c r="P4376">
        <f>-705.178294497416 -199.657234486885 -222.075068333409</f>
        <v>-1126.91059731771</v>
      </c>
      <c r="Q4376">
        <f>-496.921692091086 -104.480232491473 -261.049489487467</f>
        <v>-862.45141407002598</v>
      </c>
      <c r="R4376" t="s">
        <v>83470</v>
      </c>
      <c r="S4376" t="s">
        <v>83471</v>
      </c>
      <c r="T4376" t="s">
        <v>83472</v>
      </c>
      <c r="U4376" t="s">
        <v>83473</v>
      </c>
      <c r="V4376">
        <f>-615.277991232442 -61.2755942772378 -93.6510167931081</f>
        <v>-770.20460230278786</v>
      </c>
      <c r="W4376" t="s">
        <v>83474</v>
      </c>
      <c r="X4376" t="s">
        <v>83475</v>
      </c>
      <c r="Y4376" t="s">
        <v>83476</v>
      </c>
    </row>
    <row r="4377" spans="1:25" x14ac:dyDescent="0.3">
      <c r="A4377">
        <v>218800</v>
      </c>
      <c r="B4377" t="s">
        <v>83477</v>
      </c>
      <c r="C4377" t="s">
        <v>83478</v>
      </c>
      <c r="D4377" t="s">
        <v>83479</v>
      </c>
      <c r="E4377" t="s">
        <v>83480</v>
      </c>
      <c r="F4377" t="s">
        <v>83481</v>
      </c>
      <c r="G4377" t="s">
        <v>83482</v>
      </c>
      <c r="H4377" t="s">
        <v>83483</v>
      </c>
      <c r="I4377" t="s">
        <v>83484</v>
      </c>
      <c r="J4377" t="s">
        <v>83485</v>
      </c>
      <c r="K4377" t="s">
        <v>83486</v>
      </c>
      <c r="L4377" t="s">
        <v>83487</v>
      </c>
      <c r="M4377" t="s">
        <v>83488</v>
      </c>
      <c r="N4377">
        <f>-660.996479090563 -10.1938740184919 -530.214965364972</f>
        <v>-1201.4053184740269</v>
      </c>
      <c r="O4377">
        <f>-662.95651569814 -162.947829031256 -498.582715199207</f>
        <v>-1324.487059928603</v>
      </c>
      <c r="P4377">
        <f>-704.66098656116 -198.841732399311 -221.90436713934</f>
        <v>-1125.4070860998111</v>
      </c>
      <c r="Q4377">
        <f>-496.254606437509 -104.037671199222 -260.987324256904</f>
        <v>-861.279601893635</v>
      </c>
      <c r="R4377" t="s">
        <v>83489</v>
      </c>
      <c r="S4377" t="s">
        <v>83490</v>
      </c>
      <c r="T4377" t="s">
        <v>83491</v>
      </c>
      <c r="U4377" t="s">
        <v>83492</v>
      </c>
      <c r="V4377">
        <f>-615.045361543698 -60.96984024536 -93.6619666969676</f>
        <v>-769.67716848602572</v>
      </c>
      <c r="W4377" t="s">
        <v>83493</v>
      </c>
      <c r="X4377" t="s">
        <v>83494</v>
      </c>
      <c r="Y4377" t="s">
        <v>83495</v>
      </c>
    </row>
    <row r="4378" spans="1:25" x14ac:dyDescent="0.3">
      <c r="A4378">
        <v>218850</v>
      </c>
      <c r="B4378" t="s">
        <v>83496</v>
      </c>
      <c r="C4378" t="s">
        <v>83497</v>
      </c>
      <c r="D4378" t="s">
        <v>83498</v>
      </c>
      <c r="E4378" t="s">
        <v>83499</v>
      </c>
      <c r="F4378" t="s">
        <v>83500</v>
      </c>
      <c r="G4378" t="s">
        <v>83501</v>
      </c>
      <c r="H4378" t="s">
        <v>83502</v>
      </c>
      <c r="I4378" t="s">
        <v>83503</v>
      </c>
      <c r="J4378" t="s">
        <v>83504</v>
      </c>
      <c r="K4378" t="s">
        <v>83505</v>
      </c>
      <c r="L4378" t="s">
        <v>83506</v>
      </c>
      <c r="M4378" t="s">
        <v>83507</v>
      </c>
      <c r="N4378">
        <f>-661.062838002238 -9.83003599201197 -530.305222802644</f>
        <v>-1201.1980967968939</v>
      </c>
      <c r="O4378">
        <f>-663.190760882836 -162.569666605001 -498.641797921345</f>
        <v>-1324.4022254091819</v>
      </c>
      <c r="P4378">
        <f>-704.203596397404 -198.22491530759 -221.829231923281</f>
        <v>-1124.257743628275</v>
      </c>
      <c r="Q4378">
        <f>-495.575553186256 -103.935528618925 -260.974691977074</f>
        <v>-860.48577378225491</v>
      </c>
      <c r="R4378" t="s">
        <v>83508</v>
      </c>
      <c r="S4378" t="s">
        <v>83509</v>
      </c>
      <c r="T4378" t="s">
        <v>83510</v>
      </c>
      <c r="U4378" t="s">
        <v>83511</v>
      </c>
      <c r="V4378">
        <f>-614.924080717066 -61.063669795521 -93.7346568543261</f>
        <v>-769.7224073669131</v>
      </c>
      <c r="W4378" t="s">
        <v>83512</v>
      </c>
      <c r="X4378" t="s">
        <v>83513</v>
      </c>
      <c r="Y4378" t="s">
        <v>83514</v>
      </c>
    </row>
    <row r="4379" spans="1:25" x14ac:dyDescent="0.3">
      <c r="A4379">
        <v>218900</v>
      </c>
      <c r="B4379" t="s">
        <v>83515</v>
      </c>
      <c r="C4379" t="s">
        <v>83516</v>
      </c>
      <c r="D4379" t="s">
        <v>83517</v>
      </c>
      <c r="E4379" t="s">
        <v>83518</v>
      </c>
      <c r="F4379" t="s">
        <v>83519</v>
      </c>
      <c r="G4379" t="s">
        <v>83520</v>
      </c>
      <c r="H4379" t="s">
        <v>83521</v>
      </c>
      <c r="I4379" t="s">
        <v>83522</v>
      </c>
      <c r="J4379" t="s">
        <v>83523</v>
      </c>
      <c r="K4379" t="s">
        <v>83524</v>
      </c>
      <c r="L4379" t="s">
        <v>83525</v>
      </c>
      <c r="M4379" t="s">
        <v>83526</v>
      </c>
      <c r="N4379">
        <f>-660.923970861021 -9.17634500756549 -530.44076131137</f>
        <v>-1200.5410771799566</v>
      </c>
      <c r="O4379">
        <f>-663.314753139603 -161.883460316125 -498.633201974138</f>
        <v>-1323.831415429866</v>
      </c>
      <c r="P4379">
        <f>-703.273573712659 -197.402616355341 -221.648926062084</f>
        <v>-1122.3251161300841</v>
      </c>
      <c r="Q4379">
        <f>-494.327635296402 -104.188897068666 -261.665170331967</f>
        <v>-860.18170269703501</v>
      </c>
      <c r="R4379" t="s">
        <v>83527</v>
      </c>
      <c r="S4379" t="s">
        <v>83528</v>
      </c>
      <c r="T4379" t="s">
        <v>83529</v>
      </c>
      <c r="U4379" t="s">
        <v>83530</v>
      </c>
      <c r="V4379">
        <f>-614.368543004284 -60.5860595943805 -93.8823501529312</f>
        <v>-768.83695275159562</v>
      </c>
      <c r="W4379" t="s">
        <v>83531</v>
      </c>
      <c r="X4379" t="s">
        <v>83532</v>
      </c>
      <c r="Y4379" t="s">
        <v>83533</v>
      </c>
    </row>
    <row r="4380" spans="1:25" x14ac:dyDescent="0.3">
      <c r="A4380">
        <v>218950</v>
      </c>
      <c r="B4380" t="s">
        <v>83534</v>
      </c>
      <c r="C4380" t="s">
        <v>83535</v>
      </c>
      <c r="D4380" t="s">
        <v>83536</v>
      </c>
      <c r="E4380" t="s">
        <v>83537</v>
      </c>
      <c r="F4380" t="s">
        <v>83538</v>
      </c>
      <c r="G4380" t="s">
        <v>83539</v>
      </c>
      <c r="H4380" t="s">
        <v>83540</v>
      </c>
      <c r="I4380" t="s">
        <v>83541</v>
      </c>
      <c r="J4380" t="s">
        <v>83542</v>
      </c>
      <c r="K4380" t="s">
        <v>83543</v>
      </c>
      <c r="L4380" t="s">
        <v>83544</v>
      </c>
      <c r="M4380" t="s">
        <v>83545</v>
      </c>
      <c r="N4380">
        <f>-660.747573789066 -8.80255061197136 -530.458982555454</f>
        <v>-1200.0091069564915</v>
      </c>
      <c r="O4380">
        <f>-663.552364780124 -161.48803032758 -498.571995799377</f>
        <v>-1323.6123909070809</v>
      </c>
      <c r="P4380">
        <f>-702.777105692651 -197.101872538743 -221.49498685022</f>
        <v>-1121.373965081614</v>
      </c>
      <c r="Q4380">
        <f>-493.759905275785 -104.326741317921 -262.153140235749</f>
        <v>-860.23978682945506</v>
      </c>
      <c r="R4380" t="s">
        <v>83546</v>
      </c>
      <c r="S4380" t="s">
        <v>83547</v>
      </c>
      <c r="T4380" t="s">
        <v>83548</v>
      </c>
      <c r="U4380" t="s">
        <v>83549</v>
      </c>
      <c r="V4380">
        <f>-613.867907201579 -60.3356543448638 -93.9214735598312</f>
        <v>-768.12503510627391</v>
      </c>
      <c r="W4380" t="s">
        <v>83550</v>
      </c>
      <c r="X4380" t="s">
        <v>83551</v>
      </c>
      <c r="Y4380" t="s">
        <v>83552</v>
      </c>
    </row>
    <row r="4381" spans="1:25" x14ac:dyDescent="0.3">
      <c r="A4381">
        <v>219000</v>
      </c>
      <c r="B4381" t="s">
        <v>83553</v>
      </c>
      <c r="C4381" t="s">
        <v>83554</v>
      </c>
      <c r="D4381" t="s">
        <v>83555</v>
      </c>
      <c r="E4381" t="s">
        <v>83556</v>
      </c>
      <c r="F4381" t="s">
        <v>83557</v>
      </c>
      <c r="G4381" t="s">
        <v>83558</v>
      </c>
      <c r="H4381" t="s">
        <v>83559</v>
      </c>
      <c r="I4381" t="s">
        <v>83560</v>
      </c>
      <c r="J4381" t="s">
        <v>83561</v>
      </c>
      <c r="K4381" t="s">
        <v>83562</v>
      </c>
      <c r="L4381" t="s">
        <v>83563</v>
      </c>
      <c r="M4381" t="s">
        <v>83564</v>
      </c>
      <c r="N4381">
        <f>-660.355492351879 -8.23867981942817 -530.369520812764</f>
        <v>-1198.9636929840713</v>
      </c>
      <c r="O4381">
        <f>-664.160300778946 -160.84758111132 -498.231855773896</f>
        <v>-1323.239737664162</v>
      </c>
      <c r="P4381">
        <f>-702.143359885615 -195.842317457616 -220.903130040457</f>
        <v>-1118.8888073836881</v>
      </c>
      <c r="Q4381">
        <f>-492.876670398921 -104.254096540333 -262.945742878499</f>
        <v>-860.07650981775305</v>
      </c>
      <c r="R4381" t="s">
        <v>83565</v>
      </c>
      <c r="S4381" t="s">
        <v>83566</v>
      </c>
      <c r="T4381" t="s">
        <v>83567</v>
      </c>
      <c r="U4381" t="s">
        <v>83568</v>
      </c>
      <c r="V4381">
        <f>-612.880158409432 -59.8766494286006 -93.9176488122459</f>
        <v>-766.67445665027856</v>
      </c>
      <c r="W4381" t="s">
        <v>83569</v>
      </c>
      <c r="X4381" t="s">
        <v>83570</v>
      </c>
      <c r="Y4381" t="s">
        <v>83571</v>
      </c>
    </row>
    <row r="4382" spans="1:25" x14ac:dyDescent="0.3">
      <c r="A4382">
        <v>219050</v>
      </c>
      <c r="B4382" t="s">
        <v>83572</v>
      </c>
      <c r="C4382" t="s">
        <v>83573</v>
      </c>
      <c r="D4382" t="s">
        <v>83574</v>
      </c>
      <c r="E4382" t="s">
        <v>83575</v>
      </c>
      <c r="F4382" t="s">
        <v>83576</v>
      </c>
      <c r="G4382" t="s">
        <v>83577</v>
      </c>
      <c r="H4382" t="s">
        <v>83578</v>
      </c>
      <c r="I4382" t="s">
        <v>83579</v>
      </c>
      <c r="J4382" t="s">
        <v>83580</v>
      </c>
      <c r="K4382" t="s">
        <v>83581</v>
      </c>
      <c r="L4382" t="s">
        <v>83582</v>
      </c>
      <c r="M4382" t="s">
        <v>83583</v>
      </c>
      <c r="N4382">
        <f>-660.261389192873 -8.07151971728717 -530.256907858954</f>
        <v>-1198.5898167691143</v>
      </c>
      <c r="O4382">
        <f>-664.617691567358 -160.623184368877 -497.904046956077</f>
        <v>-1323.144922892312</v>
      </c>
      <c r="P4382">
        <f>-702.127264112164 -194.953809269016 -220.427983412947</f>
        <v>-1117.509056794127</v>
      </c>
      <c r="Q4382">
        <f>-492.669417082115 -104.118206021066 -263.146293912288</f>
        <v>-859.93391701546898</v>
      </c>
      <c r="R4382" t="s">
        <v>83584</v>
      </c>
      <c r="S4382" t="s">
        <v>83585</v>
      </c>
      <c r="T4382" t="s">
        <v>83586</v>
      </c>
      <c r="U4382" t="s">
        <v>83587</v>
      </c>
      <c r="V4382">
        <f>-612.357740111822 -59.649318974281 -93.8824395399016</f>
        <v>-765.88949862600452</v>
      </c>
      <c r="W4382" t="s">
        <v>83588</v>
      </c>
      <c r="X4382" t="s">
        <v>83589</v>
      </c>
      <c r="Y4382" t="s">
        <v>83590</v>
      </c>
    </row>
    <row r="4383" spans="1:25" x14ac:dyDescent="0.3">
      <c r="A4383">
        <v>219100</v>
      </c>
      <c r="B4383" t="s">
        <v>83591</v>
      </c>
      <c r="C4383" t="s">
        <v>83592</v>
      </c>
      <c r="D4383" t="s">
        <v>83593</v>
      </c>
      <c r="E4383" t="s">
        <v>83594</v>
      </c>
      <c r="F4383" t="s">
        <v>83595</v>
      </c>
      <c r="G4383" t="s">
        <v>83596</v>
      </c>
      <c r="H4383" t="s">
        <v>83597</v>
      </c>
      <c r="I4383" t="s">
        <v>83598</v>
      </c>
      <c r="J4383" t="s">
        <v>83599</v>
      </c>
      <c r="K4383" t="s">
        <v>83600</v>
      </c>
      <c r="L4383" t="s">
        <v>83601</v>
      </c>
      <c r="M4383" t="s">
        <v>83602</v>
      </c>
      <c r="N4383">
        <f>-660.229305452528 -8.1908101993215 -529.950396990221</f>
        <v>-1198.3705126420705</v>
      </c>
      <c r="O4383">
        <f>-665.746470549036 -160.546337746278 -496.865694744419</f>
        <v>-1323.158503039733</v>
      </c>
      <c r="P4383">
        <f>-702.801055114287 -193.2830032728 -219.135812064591</f>
        <v>-1115.2198704516779</v>
      </c>
      <c r="Q4383">
        <f>-492.863504704633 -104.157729473179 -263.08417653952</f>
        <v>-860.10541071733201</v>
      </c>
      <c r="R4383" t="s">
        <v>83603</v>
      </c>
      <c r="S4383" t="s">
        <v>83604</v>
      </c>
      <c r="T4383" t="s">
        <v>83605</v>
      </c>
      <c r="U4383" t="s">
        <v>83606</v>
      </c>
      <c r="V4383">
        <f>-611.46307869546 -59.2538570527433 -93.7930491180799</f>
        <v>-764.50998486628328</v>
      </c>
      <c r="W4383" t="s">
        <v>83607</v>
      </c>
      <c r="X4383" t="s">
        <v>83608</v>
      </c>
      <c r="Y4383" t="s">
        <v>83609</v>
      </c>
    </row>
    <row r="4384" spans="1:25" x14ac:dyDescent="0.3">
      <c r="A4384">
        <v>219150</v>
      </c>
      <c r="B4384" t="s">
        <v>83610</v>
      </c>
      <c r="C4384" t="s">
        <v>83611</v>
      </c>
      <c r="D4384" t="s">
        <v>83612</v>
      </c>
      <c r="E4384" t="s">
        <v>83613</v>
      </c>
      <c r="F4384" t="s">
        <v>83614</v>
      </c>
      <c r="G4384" t="s">
        <v>83615</v>
      </c>
      <c r="H4384" t="s">
        <v>83616</v>
      </c>
      <c r="I4384" t="s">
        <v>83617</v>
      </c>
      <c r="J4384" t="s">
        <v>83618</v>
      </c>
      <c r="K4384" t="s">
        <v>83619</v>
      </c>
      <c r="L4384" t="s">
        <v>83620</v>
      </c>
      <c r="M4384" t="s">
        <v>83621</v>
      </c>
      <c r="N4384">
        <f>-660.385615106974 -8.66688980759568 -529.685285237847</f>
        <v>-1198.7377901524167</v>
      </c>
      <c r="O4384">
        <f>-667.032382802676 -160.791809300618 -495.75460336617</f>
        <v>-1323.578795469464</v>
      </c>
      <c r="P4384">
        <f>-704.319582626823 -192.011680864744 -217.881345384343</f>
        <v>-1114.2126088759101</v>
      </c>
      <c r="Q4384">
        <f>-493.780951798024 -104.697234335212 -262.5828458952</f>
        <v>-861.0610320284361</v>
      </c>
      <c r="R4384" t="s">
        <v>83622</v>
      </c>
      <c r="S4384" t="s">
        <v>83623</v>
      </c>
      <c r="T4384" t="s">
        <v>83624</v>
      </c>
      <c r="U4384" t="s">
        <v>83625</v>
      </c>
      <c r="V4384">
        <f>-610.780455127231 -58.8381471332609 -93.7010202073285</f>
        <v>-763.31962246782041</v>
      </c>
      <c r="W4384" t="s">
        <v>83626</v>
      </c>
      <c r="X4384" t="s">
        <v>83627</v>
      </c>
      <c r="Y4384" t="s">
        <v>83628</v>
      </c>
    </row>
    <row r="4385" spans="1:25" x14ac:dyDescent="0.3">
      <c r="A4385">
        <v>219200</v>
      </c>
      <c r="B4385" t="s">
        <v>83629</v>
      </c>
      <c r="C4385" t="s">
        <v>83630</v>
      </c>
      <c r="D4385" t="s">
        <v>83631</v>
      </c>
      <c r="E4385" t="s">
        <v>83632</v>
      </c>
      <c r="F4385" t="s">
        <v>83633</v>
      </c>
      <c r="G4385" t="s">
        <v>83634</v>
      </c>
      <c r="H4385" t="s">
        <v>83635</v>
      </c>
      <c r="I4385" t="s">
        <v>83636</v>
      </c>
      <c r="J4385" t="s">
        <v>83637</v>
      </c>
      <c r="K4385" t="s">
        <v>83638</v>
      </c>
      <c r="L4385" t="s">
        <v>83639</v>
      </c>
      <c r="M4385" t="s">
        <v>83640</v>
      </c>
      <c r="N4385">
        <f>-660.342097200229 -9.00205286749838 -529.572081821319</f>
        <v>-1198.9162318890462</v>
      </c>
      <c r="O4385">
        <f>-667.386769269671 -161.026592173467 -495.273422064914</f>
        <v>-1323.686783508052</v>
      </c>
      <c r="P4385">
        <f>-705.051586701308 -191.673235230177 -217.387278670467</f>
        <v>-1114.1121006019519</v>
      </c>
      <c r="Q4385">
        <f>-494.203315127611 -105.204431621246 -262.272978467948</f>
        <v>-861.68072521680506</v>
      </c>
      <c r="R4385" t="s">
        <v>83641</v>
      </c>
      <c r="S4385" t="s">
        <v>83642</v>
      </c>
      <c r="T4385" t="s">
        <v>83643</v>
      </c>
      <c r="U4385" t="s">
        <v>83644</v>
      </c>
      <c r="V4385">
        <f>-610.489919314969 -58.6392300141774 -93.6452242724071</f>
        <v>-762.77437360155352</v>
      </c>
      <c r="W4385" t="s">
        <v>83645</v>
      </c>
      <c r="X4385" t="s">
        <v>83646</v>
      </c>
      <c r="Y4385" t="s">
        <v>83647</v>
      </c>
    </row>
    <row r="4386" spans="1:25" x14ac:dyDescent="0.3">
      <c r="A4386">
        <v>219250</v>
      </c>
      <c r="B4386" t="s">
        <v>83648</v>
      </c>
      <c r="C4386" t="s">
        <v>83649</v>
      </c>
      <c r="D4386" t="s">
        <v>83650</v>
      </c>
      <c r="E4386" t="s">
        <v>83651</v>
      </c>
      <c r="F4386" t="s">
        <v>83652</v>
      </c>
      <c r="G4386" t="s">
        <v>83653</v>
      </c>
      <c r="H4386" t="s">
        <v>83654</v>
      </c>
      <c r="I4386" t="s">
        <v>83655</v>
      </c>
      <c r="J4386" t="s">
        <v>83656</v>
      </c>
      <c r="K4386" t="s">
        <v>83657</v>
      </c>
      <c r="L4386" t="s">
        <v>83658</v>
      </c>
      <c r="M4386" t="s">
        <v>83659</v>
      </c>
      <c r="N4386">
        <f>-660.425562813799 -9.35555708794914 -529.386427356902</f>
        <v>-1199.1675472586503</v>
      </c>
      <c r="O4386">
        <f>-667.85644041925 -161.235957164562 -494.541049547443</f>
        <v>-1323.633447131255</v>
      </c>
      <c r="P4386">
        <f>-706.30827150269 -191.134033080944 -216.681112656829</f>
        <v>-1114.1234172404629</v>
      </c>
      <c r="Q4386">
        <f>-494.870526416162 -106.049152005387 -261.437919960877</f>
        <v>-862.35759838242609</v>
      </c>
      <c r="R4386" t="s">
        <v>83660</v>
      </c>
      <c r="S4386" t="s">
        <v>83661</v>
      </c>
      <c r="T4386" t="s">
        <v>83662</v>
      </c>
      <c r="U4386" t="s">
        <v>83663</v>
      </c>
      <c r="V4386">
        <f>-609.98435980769 -58.2050703118705 -93.5508797769949</f>
        <v>-761.74030989655535</v>
      </c>
      <c r="W4386" t="s">
        <v>83664</v>
      </c>
      <c r="X4386" t="s">
        <v>83665</v>
      </c>
      <c r="Y4386" t="s">
        <v>83666</v>
      </c>
    </row>
    <row r="4387" spans="1:25" x14ac:dyDescent="0.3">
      <c r="A4387">
        <v>219300</v>
      </c>
      <c r="B4387" t="s">
        <v>83667</v>
      </c>
      <c r="C4387" t="s">
        <v>83668</v>
      </c>
      <c r="D4387" t="s">
        <v>83669</v>
      </c>
      <c r="E4387" t="s">
        <v>83670</v>
      </c>
      <c r="F4387" t="s">
        <v>83671</v>
      </c>
      <c r="G4387" t="s">
        <v>83672</v>
      </c>
      <c r="H4387" t="s">
        <v>83673</v>
      </c>
      <c r="I4387" t="s">
        <v>83674</v>
      </c>
      <c r="J4387" t="s">
        <v>83675</v>
      </c>
      <c r="K4387" t="s">
        <v>83676</v>
      </c>
      <c r="L4387" t="s">
        <v>83677</v>
      </c>
      <c r="M4387" t="s">
        <v>83678</v>
      </c>
      <c r="N4387">
        <f>-660.572015090907 -9.43390712063206 -529.333579319797</f>
        <v>-1199.3395015313361</v>
      </c>
      <c r="O4387">
        <f>-667.970863733707 -161.275111280454 -494.315802845462</f>
        <v>-1323.5617778596229</v>
      </c>
      <c r="P4387">
        <f>-706.709221619094 -191.076550859074 -216.485233995739</f>
        <v>-1114.2710064739072</v>
      </c>
      <c r="Q4387">
        <f>-495.057618158612 -106.40604715013 -261.016539742012</f>
        <v>-862.48020505075397</v>
      </c>
      <c r="R4387" t="s">
        <v>83679</v>
      </c>
      <c r="S4387" t="s">
        <v>83680</v>
      </c>
      <c r="T4387" t="s">
        <v>83681</v>
      </c>
      <c r="U4387" t="s">
        <v>83682</v>
      </c>
      <c r="V4387">
        <f>-609.77261589058 -57.9531493912077 -93.5256360613615</f>
        <v>-761.25140134314927</v>
      </c>
      <c r="W4387" t="s">
        <v>83683</v>
      </c>
      <c r="X4387" t="s">
        <v>83684</v>
      </c>
      <c r="Y4387" t="s">
        <v>83685</v>
      </c>
    </row>
    <row r="4388" spans="1:25" x14ac:dyDescent="0.3">
      <c r="A4388">
        <v>219350</v>
      </c>
      <c r="B4388" t="s">
        <v>83686</v>
      </c>
      <c r="C4388" t="s">
        <v>83687</v>
      </c>
      <c r="D4388" t="s">
        <v>83688</v>
      </c>
      <c r="E4388" t="s">
        <v>83689</v>
      </c>
      <c r="F4388" t="s">
        <v>83690</v>
      </c>
      <c r="G4388" t="s">
        <v>83691</v>
      </c>
      <c r="H4388" t="s">
        <v>83692</v>
      </c>
      <c r="I4388" t="s">
        <v>83693</v>
      </c>
      <c r="J4388" t="s">
        <v>83694</v>
      </c>
      <c r="K4388" t="s">
        <v>83695</v>
      </c>
      <c r="L4388" t="s">
        <v>83696</v>
      </c>
      <c r="M4388" t="s">
        <v>83697</v>
      </c>
      <c r="N4388">
        <f>-660.745107302836 -9.45782403449493 -529.30006732947</f>
        <v>-1199.502998666801</v>
      </c>
      <c r="O4388">
        <f>-667.999748864313 -161.280339381484 -494.158029652203</f>
        <v>-1323.4381178980002</v>
      </c>
      <c r="P4388">
        <f>-706.94604234086 -191.04639497249 -216.352825920221</f>
        <v>-1114.3452632335711</v>
      </c>
      <c r="Q4388">
        <f>-495.194200269179 -106.540219709254 -260.719777698048</f>
        <v>-862.45419767648104</v>
      </c>
      <c r="R4388" t="s">
        <v>83698</v>
      </c>
      <c r="S4388" t="s">
        <v>83699</v>
      </c>
      <c r="T4388" t="s">
        <v>83700</v>
      </c>
      <c r="U4388" t="s">
        <v>83701</v>
      </c>
      <c r="V4388">
        <f>-609.600549472629 -57.716762500487 -93.511089173883</f>
        <v>-760.828401146999</v>
      </c>
      <c r="W4388" t="s">
        <v>83702</v>
      </c>
      <c r="X4388" t="s">
        <v>83703</v>
      </c>
      <c r="Y4388" t="s">
        <v>83704</v>
      </c>
    </row>
    <row r="4389" spans="1:25" x14ac:dyDescent="0.3">
      <c r="A4389">
        <v>219400</v>
      </c>
      <c r="B4389" t="s">
        <v>83705</v>
      </c>
      <c r="C4389" t="s">
        <v>83706</v>
      </c>
      <c r="D4389" t="s">
        <v>83707</v>
      </c>
      <c r="E4389" t="s">
        <v>83708</v>
      </c>
      <c r="F4389" t="s">
        <v>83709</v>
      </c>
      <c r="G4389" t="s">
        <v>83710</v>
      </c>
      <c r="H4389" t="s">
        <v>83711</v>
      </c>
      <c r="I4389" t="s">
        <v>83712</v>
      </c>
      <c r="J4389" t="s">
        <v>83713</v>
      </c>
      <c r="K4389" t="s">
        <v>83714</v>
      </c>
      <c r="L4389" t="s">
        <v>83715</v>
      </c>
      <c r="M4389" t="s">
        <v>83716</v>
      </c>
      <c r="N4389">
        <f>-660.714000227338 -9.73870957717645 -529.298817955111</f>
        <v>-1199.7515277596253</v>
      </c>
      <c r="O4389">
        <f>-667.573168800876 -161.529415860579 -493.947417548964</f>
        <v>-1323.0500022104191</v>
      </c>
      <c r="P4389">
        <f>-706.365060523959 -191.34926458456 -216.126380258894</f>
        <v>-1113.840705367413</v>
      </c>
      <c r="Q4389">
        <f>-494.765162123856 -106.453770826078 -260.4743124512</f>
        <v>-861.69324540113394</v>
      </c>
      <c r="R4389" t="s">
        <v>83717</v>
      </c>
      <c r="S4389" t="s">
        <v>83718</v>
      </c>
      <c r="T4389" t="s">
        <v>83719</v>
      </c>
      <c r="U4389" t="s">
        <v>83720</v>
      </c>
      <c r="V4389">
        <f>-609.242446852152 -57.549395635227 -93.5184021928984</f>
        <v>-760.31024468027749</v>
      </c>
      <c r="W4389" t="s">
        <v>83721</v>
      </c>
      <c r="X4389" t="s">
        <v>83722</v>
      </c>
      <c r="Y4389" t="s">
        <v>83723</v>
      </c>
    </row>
    <row r="4390" spans="1:25" x14ac:dyDescent="0.3">
      <c r="A4390">
        <v>219450</v>
      </c>
      <c r="B4390" t="s">
        <v>83724</v>
      </c>
      <c r="C4390" t="s">
        <v>83725</v>
      </c>
      <c r="D4390" t="s">
        <v>83726</v>
      </c>
      <c r="E4390" t="s">
        <v>83727</v>
      </c>
      <c r="F4390" t="s">
        <v>83728</v>
      </c>
      <c r="G4390" t="s">
        <v>83729</v>
      </c>
      <c r="H4390" t="s">
        <v>83730</v>
      </c>
      <c r="I4390" t="s">
        <v>83731</v>
      </c>
      <c r="J4390" t="s">
        <v>83732</v>
      </c>
      <c r="K4390" t="s">
        <v>83733</v>
      </c>
      <c r="L4390" t="s">
        <v>83734</v>
      </c>
      <c r="M4390" t="s">
        <v>83735</v>
      </c>
      <c r="N4390">
        <f>-660.590022890644 -10.074538765316 -529.313278873189</f>
        <v>-1199.977840529149</v>
      </c>
      <c r="O4390">
        <f>-667.249304515165 -161.839995951689 -493.832025594636</f>
        <v>-1322.9213260614899</v>
      </c>
      <c r="P4390">
        <f>-705.77431453127 -191.629580271832 -215.970591814854</f>
        <v>-1113.3744866179559</v>
      </c>
      <c r="Q4390">
        <f>-494.402583069353 -106.261331580084 -260.499010597631</f>
        <v>-861.16292524706796</v>
      </c>
      <c r="R4390" t="s">
        <v>83736</v>
      </c>
      <c r="S4390" t="s">
        <v>83737</v>
      </c>
      <c r="T4390" t="s">
        <v>83738</v>
      </c>
      <c r="U4390" t="s">
        <v>83739</v>
      </c>
      <c r="V4390">
        <f>-609.045167945369 -57.6163572857608 -93.543148819985</f>
        <v>-760.20467405111492</v>
      </c>
      <c r="W4390" t="s">
        <v>83740</v>
      </c>
      <c r="X4390" t="s">
        <v>83741</v>
      </c>
      <c r="Y4390" t="s">
        <v>83742</v>
      </c>
    </row>
    <row r="4391" spans="1:25" x14ac:dyDescent="0.3">
      <c r="A4391">
        <v>219500</v>
      </c>
      <c r="B4391" t="s">
        <v>83743</v>
      </c>
      <c r="C4391" t="s">
        <v>83744</v>
      </c>
      <c r="D4391" t="s">
        <v>83745</v>
      </c>
      <c r="E4391" t="s">
        <v>83746</v>
      </c>
      <c r="F4391" t="s">
        <v>83747</v>
      </c>
      <c r="G4391" t="s">
        <v>83748</v>
      </c>
      <c r="H4391" t="s">
        <v>83749</v>
      </c>
      <c r="I4391" t="s">
        <v>83750</v>
      </c>
      <c r="J4391" t="s">
        <v>83751</v>
      </c>
      <c r="K4391" t="s">
        <v>83752</v>
      </c>
      <c r="L4391" t="s">
        <v>83753</v>
      </c>
      <c r="M4391" t="s">
        <v>83754</v>
      </c>
      <c r="N4391">
        <f>-660.142132622864 -11.0489936743634 -529.366231255055</f>
        <v>-1200.5573575522824</v>
      </c>
      <c r="O4391">
        <f>-666.256762446864 -162.779346939155 -493.629714454107</f>
        <v>-1322.665823840126</v>
      </c>
      <c r="P4391">
        <f>-704.480835426342 -192.271235021586 -215.694916437114</f>
        <v>-1112.446986885042</v>
      </c>
      <c r="Q4391">
        <f>-493.620992577793 -105.820018377726 -260.559698248828</f>
        <v>-860.000709204347</v>
      </c>
      <c r="R4391" t="s">
        <v>83755</v>
      </c>
      <c r="S4391" t="s">
        <v>83756</v>
      </c>
      <c r="T4391" t="s">
        <v>83757</v>
      </c>
      <c r="U4391" t="s">
        <v>83758</v>
      </c>
      <c r="V4391">
        <f>-608.593486367048 -58.0048577105317 -93.573517229638</f>
        <v>-760.17186130721768</v>
      </c>
      <c r="W4391" t="s">
        <v>83759</v>
      </c>
      <c r="X4391" t="s">
        <v>83760</v>
      </c>
      <c r="Y4391" t="s">
        <v>83761</v>
      </c>
    </row>
    <row r="4392" spans="1:25" x14ac:dyDescent="0.3">
      <c r="A4392">
        <v>219550</v>
      </c>
      <c r="B4392" t="s">
        <v>83762</v>
      </c>
      <c r="C4392" t="s">
        <v>83763</v>
      </c>
      <c r="D4392" t="s">
        <v>83764</v>
      </c>
      <c r="E4392" t="s">
        <v>83765</v>
      </c>
      <c r="F4392" t="s">
        <v>83766</v>
      </c>
      <c r="G4392" t="s">
        <v>83767</v>
      </c>
      <c r="H4392" t="s">
        <v>83768</v>
      </c>
      <c r="I4392" t="s">
        <v>83769</v>
      </c>
      <c r="J4392" t="s">
        <v>83770</v>
      </c>
      <c r="K4392" t="s">
        <v>83771</v>
      </c>
      <c r="L4392" t="s">
        <v>83772</v>
      </c>
      <c r="M4392" t="s">
        <v>83773</v>
      </c>
      <c r="N4392">
        <f>-659.777086791627 -11.6252180394554 -529.418190938667</f>
        <v>-1200.8204957697494</v>
      </c>
      <c r="O4392">
        <f>-665.521258154953 -163.350734353189 -493.588805890058</f>
        <v>-1322.4607983982</v>
      </c>
      <c r="P4392">
        <f>-703.777524403286 -192.670023865552 -215.640113291119</f>
        <v>-1112.087661559957</v>
      </c>
      <c r="Q4392">
        <f>-493.100972844848 -105.721404201776 -260.404702090859</f>
        <v>-859.22707913748297</v>
      </c>
      <c r="R4392" t="s">
        <v>83774</v>
      </c>
      <c r="S4392" t="s">
        <v>83775</v>
      </c>
      <c r="T4392" t="s">
        <v>83776</v>
      </c>
      <c r="U4392" t="s">
        <v>83777</v>
      </c>
      <c r="V4392">
        <f>-608.394215104523 -58.3248019664643 -93.5946012344524</f>
        <v>-760.31361830543972</v>
      </c>
      <c r="W4392" t="s">
        <v>83778</v>
      </c>
      <c r="X4392" t="s">
        <v>83779</v>
      </c>
      <c r="Y4392" t="s">
        <v>83780</v>
      </c>
    </row>
    <row r="4393" spans="1:25" x14ac:dyDescent="0.3">
      <c r="A4393">
        <v>219600</v>
      </c>
      <c r="B4393" t="s">
        <v>83781</v>
      </c>
      <c r="C4393" t="s">
        <v>83782</v>
      </c>
      <c r="D4393" t="s">
        <v>83783</v>
      </c>
      <c r="E4393" t="s">
        <v>83784</v>
      </c>
      <c r="F4393" t="s">
        <v>83785</v>
      </c>
      <c r="G4393" t="s">
        <v>83786</v>
      </c>
      <c r="H4393" t="s">
        <v>83787</v>
      </c>
      <c r="I4393" t="s">
        <v>83788</v>
      </c>
      <c r="J4393" t="s">
        <v>83789</v>
      </c>
      <c r="K4393" t="s">
        <v>83790</v>
      </c>
      <c r="L4393" t="s">
        <v>83791</v>
      </c>
      <c r="M4393" t="s">
        <v>83792</v>
      </c>
      <c r="N4393">
        <f>-658.720283939588 -12.574918907251 -529.591380368593</f>
        <v>-1200.886583215432</v>
      </c>
      <c r="O4393">
        <f>-663.585608620708 -164.330229470069 -493.760943042863</f>
        <v>-1321.6767811336399</v>
      </c>
      <c r="P4393">
        <f>-702.048395654777 -193.74183566849 -215.85055327523</f>
        <v>-1111.640784598497</v>
      </c>
      <c r="Q4393">
        <f>-491.702827250243 -105.599232898968 -259.829505525367</f>
        <v>-857.13156567457804</v>
      </c>
      <c r="R4393" t="s">
        <v>83793</v>
      </c>
      <c r="S4393" t="s">
        <v>83794</v>
      </c>
      <c r="T4393" t="s">
        <v>83795</v>
      </c>
      <c r="U4393" t="s">
        <v>83796</v>
      </c>
      <c r="V4393">
        <f>-607.936781785358 -59.0400170876965 -93.6407146710358</f>
        <v>-760.61751354409023</v>
      </c>
      <c r="W4393" t="s">
        <v>83797</v>
      </c>
      <c r="X4393" t="s">
        <v>83798</v>
      </c>
      <c r="Y4393" t="s">
        <v>83799</v>
      </c>
    </row>
    <row r="4394" spans="1:25" x14ac:dyDescent="0.3">
      <c r="A4394">
        <v>219650</v>
      </c>
      <c r="B4394" t="s">
        <v>83800</v>
      </c>
      <c r="C4394" t="s">
        <v>83801</v>
      </c>
      <c r="D4394" t="s">
        <v>83802</v>
      </c>
      <c r="E4394" t="s">
        <v>83803</v>
      </c>
      <c r="F4394" t="s">
        <v>83804</v>
      </c>
      <c r="G4394" t="s">
        <v>83805</v>
      </c>
      <c r="H4394" t="s">
        <v>83806</v>
      </c>
      <c r="I4394" t="s">
        <v>83807</v>
      </c>
      <c r="J4394" t="s">
        <v>83808</v>
      </c>
      <c r="K4394" t="s">
        <v>83809</v>
      </c>
      <c r="L4394" t="s">
        <v>83810</v>
      </c>
      <c r="M4394" t="s">
        <v>83811</v>
      </c>
      <c r="N4394">
        <f>-658.12955006357 -12.9590454808051 -529.711508109707</f>
        <v>-1200.8001036540822</v>
      </c>
      <c r="O4394">
        <f>-662.496741240575 -164.752245534349 -493.977824858217</f>
        <v>-1321.2268116331411</v>
      </c>
      <c r="P4394">
        <f>-701.099211763492 -194.626503209214 -216.136175766032</f>
        <v>-1111.8618907387381</v>
      </c>
      <c r="Q4394">
        <f>-490.927790957978 -105.800272409695 -259.56907437529</f>
        <v>-856.29713774296306</v>
      </c>
      <c r="R4394" t="s">
        <v>83812</v>
      </c>
      <c r="S4394" t="s">
        <v>83813</v>
      </c>
      <c r="T4394" t="s">
        <v>83814</v>
      </c>
      <c r="U4394" t="s">
        <v>83815</v>
      </c>
      <c r="V4394">
        <f>-607.751224567176 -59.3267074414302 -93.6714781329072</f>
        <v>-760.74941014151341</v>
      </c>
      <c r="W4394" t="s">
        <v>83816</v>
      </c>
      <c r="X4394" t="s">
        <v>83817</v>
      </c>
      <c r="Y4394" t="s">
        <v>83818</v>
      </c>
    </row>
    <row r="4395" spans="1:25" x14ac:dyDescent="0.3">
      <c r="A4395">
        <v>219700</v>
      </c>
      <c r="B4395" t="s">
        <v>83819</v>
      </c>
      <c r="C4395" t="s">
        <v>83820</v>
      </c>
      <c r="D4395" t="s">
        <v>83821</v>
      </c>
      <c r="E4395" t="s">
        <v>83822</v>
      </c>
      <c r="F4395" t="s">
        <v>83823</v>
      </c>
      <c r="G4395" t="s">
        <v>83824</v>
      </c>
      <c r="H4395" t="s">
        <v>83825</v>
      </c>
      <c r="I4395" t="s">
        <v>83826</v>
      </c>
      <c r="J4395" t="s">
        <v>83827</v>
      </c>
      <c r="K4395" t="s">
        <v>83828</v>
      </c>
      <c r="L4395" t="s">
        <v>83829</v>
      </c>
      <c r="M4395" t="s">
        <v>83830</v>
      </c>
      <c r="N4395">
        <f>-657.10170746853 -13.6242801294791 -529.907613225329</f>
        <v>-1200.6336008233379</v>
      </c>
      <c r="O4395">
        <f>-660.398400691103 -165.5132710103 -494.470709401806</f>
        <v>-1320.3823811032091</v>
      </c>
      <c r="P4395">
        <f>-699.403551133469 -196.409569820787 -216.797258643061</f>
        <v>-1112.610379597317</v>
      </c>
      <c r="Q4395">
        <f>-489.284693663459 -106.995196532622 -259.266450954441</f>
        <v>-855.54634115052193</v>
      </c>
      <c r="R4395" t="s">
        <v>83831</v>
      </c>
      <c r="S4395" t="s">
        <v>83832</v>
      </c>
      <c r="T4395" t="s">
        <v>83833</v>
      </c>
      <c r="U4395" t="s">
        <v>83834</v>
      </c>
      <c r="V4395">
        <f>-607.314469224971 -60.0443264824305 -93.7131449099915</f>
        <v>-761.07194061739301</v>
      </c>
      <c r="W4395" t="s">
        <v>83835</v>
      </c>
      <c r="X4395" t="s">
        <v>83836</v>
      </c>
      <c r="Y4395" t="s">
        <v>83837</v>
      </c>
    </row>
    <row r="4396" spans="1:25" x14ac:dyDescent="0.3">
      <c r="A4396">
        <v>219750</v>
      </c>
      <c r="B4396" t="s">
        <v>83838</v>
      </c>
      <c r="C4396" t="s">
        <v>83839</v>
      </c>
      <c r="D4396" t="s">
        <v>83840</v>
      </c>
      <c r="E4396" t="s">
        <v>83841</v>
      </c>
      <c r="F4396" t="s">
        <v>83842</v>
      </c>
      <c r="G4396" t="s">
        <v>83843</v>
      </c>
      <c r="H4396" t="s">
        <v>83844</v>
      </c>
      <c r="I4396" t="s">
        <v>83845</v>
      </c>
      <c r="J4396" t="s">
        <v>83846</v>
      </c>
      <c r="K4396" t="s">
        <v>83847</v>
      </c>
      <c r="L4396" t="s">
        <v>83848</v>
      </c>
      <c r="M4396" t="s">
        <v>83849</v>
      </c>
      <c r="N4396">
        <f>-656.687469458687 -13.8993176664187 -529.999434092272</f>
        <v>-1200.5862212173779</v>
      </c>
      <c r="O4396">
        <f>-659.546337942267 -165.825836158505 -494.677223549651</f>
        <v>-1320.0493976504231</v>
      </c>
      <c r="P4396">
        <f>-698.652528606448 -196.521781294615 -216.995603139843</f>
        <v>-1112.1699130409061</v>
      </c>
      <c r="Q4396">
        <f>-488.137395318632 -107.973184778976 -259.316631913588</f>
        <v>-855.42721201119605</v>
      </c>
      <c r="R4396" t="s">
        <v>83850</v>
      </c>
      <c r="S4396" t="s">
        <v>83851</v>
      </c>
      <c r="T4396" t="s">
        <v>83852</v>
      </c>
      <c r="U4396" t="s">
        <v>83853</v>
      </c>
      <c r="V4396">
        <f>-607.106914775524 -60.3635886895847 -93.7212172538709</f>
        <v>-761.1917207189797</v>
      </c>
      <c r="W4396" t="s">
        <v>83854</v>
      </c>
      <c r="X4396" t="s">
        <v>83855</v>
      </c>
      <c r="Y4396" t="s">
        <v>83856</v>
      </c>
    </row>
    <row r="4397" spans="1:25" x14ac:dyDescent="0.3">
      <c r="A4397">
        <v>219800</v>
      </c>
      <c r="B4397" t="s">
        <v>83857</v>
      </c>
      <c r="C4397" t="s">
        <v>83858</v>
      </c>
      <c r="D4397" t="s">
        <v>83859</v>
      </c>
      <c r="E4397" t="s">
        <v>83860</v>
      </c>
      <c r="F4397" t="s">
        <v>83861</v>
      </c>
      <c r="G4397" t="s">
        <v>83862</v>
      </c>
      <c r="H4397" t="s">
        <v>83863</v>
      </c>
      <c r="I4397" t="s">
        <v>83864</v>
      </c>
      <c r="J4397" t="s">
        <v>83865</v>
      </c>
      <c r="K4397" t="s">
        <v>83866</v>
      </c>
      <c r="L4397" t="s">
        <v>83867</v>
      </c>
      <c r="M4397" t="s">
        <v>83868</v>
      </c>
      <c r="N4397">
        <f>-656.179660333857 -14.2650892949789 -530.134217684055</f>
        <v>-1200.5789673128909</v>
      </c>
      <c r="O4397">
        <f>-658.420644210103 -166.273770418022 -495.15524967953</f>
        <v>-1319.8496643076551</v>
      </c>
      <c r="P4397">
        <f>-697.362840228244 -196.275567332629 -217.374735084725</f>
        <v>-1111.013142645598</v>
      </c>
      <c r="Q4397">
        <f>-486.151549332883 -109.221631127154 -259.326343667085</f>
        <v>-854.699524127122</v>
      </c>
      <c r="R4397" t="s">
        <v>83869</v>
      </c>
      <c r="S4397" t="s">
        <v>83870</v>
      </c>
      <c r="T4397" t="s">
        <v>83871</v>
      </c>
      <c r="U4397" t="s">
        <v>83872</v>
      </c>
      <c r="V4397">
        <f>-606.764426632814 -60.6355496059712 -93.7363199651454</f>
        <v>-761.13629620393056</v>
      </c>
      <c r="W4397" t="s">
        <v>83873</v>
      </c>
      <c r="X4397" t="s">
        <v>83874</v>
      </c>
      <c r="Y4397" t="s">
        <v>83875</v>
      </c>
    </row>
    <row r="4398" spans="1:25" x14ac:dyDescent="0.3">
      <c r="A4398">
        <v>219850</v>
      </c>
      <c r="B4398" t="s">
        <v>83876</v>
      </c>
      <c r="C4398" t="s">
        <v>83877</v>
      </c>
      <c r="D4398" t="s">
        <v>83878</v>
      </c>
      <c r="E4398" t="s">
        <v>83879</v>
      </c>
      <c r="F4398" t="s">
        <v>83880</v>
      </c>
      <c r="G4398" t="s">
        <v>83881</v>
      </c>
      <c r="H4398" t="s">
        <v>83882</v>
      </c>
      <c r="I4398" t="s">
        <v>83883</v>
      </c>
      <c r="J4398" t="s">
        <v>83884</v>
      </c>
      <c r="K4398" t="s">
        <v>83885</v>
      </c>
      <c r="L4398" t="s">
        <v>83886</v>
      </c>
      <c r="M4398" t="s">
        <v>83887</v>
      </c>
      <c r="N4398">
        <f>-656.039953218691 -14.4931523524235 -530.215759794592</f>
        <v>-1200.7488653657065</v>
      </c>
      <c r="O4398">
        <f>-657.985795183933 -166.614323928282 -495.671503971305</f>
        <v>-1320.2716230835199</v>
      </c>
      <c r="P4398">
        <f>-696.392149184883 -195.21405398606 -217.668544235924</f>
        <v>-1109.2747474068669</v>
      </c>
      <c r="Q4398">
        <f>-484.478579789305 -109.608269776332 -259.054881486057</f>
        <v>-853.14173105169402</v>
      </c>
      <c r="R4398" t="s">
        <v>83888</v>
      </c>
      <c r="S4398" t="s">
        <v>83889</v>
      </c>
      <c r="T4398" t="s">
        <v>83890</v>
      </c>
      <c r="U4398" t="s">
        <v>83891</v>
      </c>
      <c r="V4398">
        <f>-606.734560760257 -60.6473040416245 -93.7330446227895</f>
        <v>-761.11490942467094</v>
      </c>
      <c r="W4398" t="s">
        <v>83892</v>
      </c>
      <c r="X4398" t="s">
        <v>83893</v>
      </c>
      <c r="Y4398" t="s">
        <v>83894</v>
      </c>
    </row>
    <row r="4399" spans="1:25" x14ac:dyDescent="0.3">
      <c r="A4399">
        <v>219900</v>
      </c>
      <c r="B4399" t="s">
        <v>83895</v>
      </c>
      <c r="C4399" t="s">
        <v>83896</v>
      </c>
      <c r="D4399" t="s">
        <v>83897</v>
      </c>
      <c r="E4399" t="s">
        <v>83898</v>
      </c>
      <c r="F4399" t="s">
        <v>83899</v>
      </c>
      <c r="G4399" t="s">
        <v>83900</v>
      </c>
      <c r="H4399" t="s">
        <v>83901</v>
      </c>
      <c r="I4399" t="s">
        <v>83902</v>
      </c>
      <c r="J4399" t="s">
        <v>83903</v>
      </c>
      <c r="K4399" t="s">
        <v>83904</v>
      </c>
      <c r="L4399" t="s">
        <v>83905</v>
      </c>
      <c r="M4399" t="s">
        <v>83906</v>
      </c>
      <c r="N4399">
        <f>-656.047148661951 -14.4402974614188 -530.236347657856</f>
        <v>-1200.7237937812258</v>
      </c>
      <c r="O4399">
        <f>-657.805602218201 -166.595538856767 -495.832818111059</f>
        <v>-1320.2339591860271</v>
      </c>
      <c r="P4399">
        <f>-695.950896902453 -194.661609475243 -217.73972375375</f>
        <v>-1108.352230131446</v>
      </c>
      <c r="Q4399">
        <f>-483.812556685738 -109.442300890736 -258.770765875872</f>
        <v>-852.02562345234605</v>
      </c>
      <c r="R4399" t="s">
        <v>83907</v>
      </c>
      <c r="S4399" t="s">
        <v>83908</v>
      </c>
      <c r="T4399" t="s">
        <v>83909</v>
      </c>
      <c r="U4399" t="s">
        <v>83910</v>
      </c>
      <c r="V4399">
        <f>-606.745778906558 -60.4456467346317 -93.7235857898411</f>
        <v>-760.91501143103085</v>
      </c>
      <c r="W4399" t="s">
        <v>83911</v>
      </c>
      <c r="X4399" t="s">
        <v>83912</v>
      </c>
      <c r="Y4399" t="s">
        <v>83913</v>
      </c>
    </row>
    <row r="4400" spans="1:25" x14ac:dyDescent="0.3">
      <c r="A4400">
        <v>219950</v>
      </c>
      <c r="B4400" t="s">
        <v>83914</v>
      </c>
      <c r="C4400" t="s">
        <v>83915</v>
      </c>
      <c r="D4400" t="s">
        <v>83916</v>
      </c>
      <c r="E4400" t="s">
        <v>83917</v>
      </c>
      <c r="F4400" t="s">
        <v>83918</v>
      </c>
      <c r="G4400" t="s">
        <v>83919</v>
      </c>
      <c r="H4400" t="s">
        <v>83920</v>
      </c>
      <c r="I4400" t="s">
        <v>83921</v>
      </c>
      <c r="J4400" t="s">
        <v>83922</v>
      </c>
      <c r="K4400" t="s">
        <v>83923</v>
      </c>
      <c r="L4400" t="s">
        <v>83924</v>
      </c>
      <c r="M4400" t="s">
        <v>83925</v>
      </c>
      <c r="N4400">
        <f>-656.203214968248 -14.0378348200986 -530.310240394485</f>
        <v>-1200.5512901828315</v>
      </c>
      <c r="O4400">
        <f>-657.622274953776 -166.267774011038 -496.215601676785</f>
        <v>-1320.1056506415989</v>
      </c>
      <c r="P4400">
        <f>-695.869710015219 -194.558393852462 -218.15915229334</f>
        <v>-1108.5872561610211</v>
      </c>
      <c r="Q4400">
        <f>-483.503826861888 -109.245859001721 -257.795460041628</f>
        <v>-850.54514590523695</v>
      </c>
      <c r="R4400" t="s">
        <v>83926</v>
      </c>
      <c r="S4400" t="s">
        <v>83927</v>
      </c>
      <c r="T4400" t="s">
        <v>83928</v>
      </c>
      <c r="U4400" t="s">
        <v>83929</v>
      </c>
      <c r="V4400">
        <f>-606.975006639858 -59.7202502371679 -93.7152628121555</f>
        <v>-760.41051968918134</v>
      </c>
      <c r="W4400" t="s">
        <v>83930</v>
      </c>
      <c r="X4400" t="s">
        <v>83931</v>
      </c>
      <c r="Y4400" t="s">
        <v>83932</v>
      </c>
    </row>
    <row r="4401" spans="1:25" x14ac:dyDescent="0.3">
      <c r="A4401">
        <v>220000</v>
      </c>
      <c r="B4401" t="s">
        <v>83933</v>
      </c>
      <c r="C4401" t="s">
        <v>83934</v>
      </c>
      <c r="D4401" t="s">
        <v>83935</v>
      </c>
      <c r="E4401" t="s">
        <v>83936</v>
      </c>
      <c r="F4401" t="s">
        <v>83937</v>
      </c>
      <c r="G4401" t="s">
        <v>83938</v>
      </c>
      <c r="H4401" t="s">
        <v>83939</v>
      </c>
      <c r="I4401" t="s">
        <v>83940</v>
      </c>
      <c r="J4401" t="s">
        <v>83941</v>
      </c>
      <c r="K4401" t="s">
        <v>83942</v>
      </c>
      <c r="L4401" t="s">
        <v>83943</v>
      </c>
      <c r="M4401" t="s">
        <v>83944</v>
      </c>
      <c r="N4401">
        <f>-656.445320601001 -13.5290162477952 -530.351711623051</f>
        <v>-1200.3260484718471</v>
      </c>
      <c r="O4401">
        <f>-657.753524015981 -165.800117645216 -496.441869394008</f>
        <v>-1319.995511055205</v>
      </c>
      <c r="P4401">
        <f>-696.054168646167 -194.095683593497 -218.393214483733</f>
        <v>-1108.543066723397</v>
      </c>
      <c r="Q4401">
        <f>-483.513444202872 -108.639745464489 -256.763438929746</f>
        <v>-848.91662859710686</v>
      </c>
      <c r="R4401" t="s">
        <v>83945</v>
      </c>
      <c r="S4401" t="s">
        <v>83946</v>
      </c>
      <c r="T4401" t="s">
        <v>83947</v>
      </c>
      <c r="U4401" t="s">
        <v>83948</v>
      </c>
      <c r="V4401">
        <f>-607.171158459833 -59.1383817338831 -93.7122891669874</f>
        <v>-760.02182936070346</v>
      </c>
      <c r="W4401" t="s">
        <v>83949</v>
      </c>
      <c r="X4401" t="s">
        <v>83950</v>
      </c>
      <c r="Y4401" t="s">
        <v>83951</v>
      </c>
    </row>
    <row r="4402" spans="1:25" x14ac:dyDescent="0.3">
      <c r="A4402">
        <v>220050</v>
      </c>
      <c r="B4402" t="s">
        <v>83952</v>
      </c>
      <c r="C4402" t="s">
        <v>83953</v>
      </c>
      <c r="D4402" t="s">
        <v>83954</v>
      </c>
      <c r="E4402" t="s">
        <v>83955</v>
      </c>
      <c r="F4402" t="s">
        <v>83956</v>
      </c>
      <c r="G4402" t="s">
        <v>83957</v>
      </c>
      <c r="H4402" t="s">
        <v>83958</v>
      </c>
      <c r="I4402" t="s">
        <v>83959</v>
      </c>
      <c r="J4402" t="s">
        <v>83960</v>
      </c>
      <c r="K4402" t="s">
        <v>83961</v>
      </c>
      <c r="L4402" t="s">
        <v>83962</v>
      </c>
      <c r="M4402" t="s">
        <v>83963</v>
      </c>
      <c r="N4402">
        <f>-656.798093271291 -12.9376990597607 -530.351254424141</f>
        <v>-1200.0870467551927</v>
      </c>
      <c r="O4402">
        <f>-657.955613730511 -165.218048842926 -496.50192190358</f>
        <v>-1319.6755844770171</v>
      </c>
      <c r="P4402">
        <f>-696.35246860069 -193.219786073241 -218.436918284901</f>
        <v>-1108.0091729588321</v>
      </c>
      <c r="Q4402">
        <f>-483.783471896425 -107.31739434486 -255.635705026418</f>
        <v>-846.73657126770297</v>
      </c>
      <c r="R4402" t="s">
        <v>83964</v>
      </c>
      <c r="S4402" t="s">
        <v>83965</v>
      </c>
      <c r="T4402" t="s">
        <v>83966</v>
      </c>
      <c r="U4402" t="s">
        <v>83967</v>
      </c>
      <c r="V4402">
        <f>-607.411558939181 -58.4746869931337 -93.6944942780672</f>
        <v>-759.5807402103818</v>
      </c>
      <c r="W4402" t="s">
        <v>83968</v>
      </c>
      <c r="X4402" t="s">
        <v>83969</v>
      </c>
      <c r="Y4402" t="s">
        <v>83970</v>
      </c>
    </row>
    <row r="4403" spans="1:25" x14ac:dyDescent="0.3">
      <c r="A4403">
        <v>220100</v>
      </c>
      <c r="B4403" t="s">
        <v>83971</v>
      </c>
      <c r="C4403" t="s">
        <v>83972</v>
      </c>
      <c r="D4403" t="s">
        <v>83973</v>
      </c>
      <c r="E4403" t="s">
        <v>83974</v>
      </c>
      <c r="F4403" t="s">
        <v>83975</v>
      </c>
      <c r="G4403" t="s">
        <v>83976</v>
      </c>
      <c r="H4403" t="s">
        <v>83977</v>
      </c>
      <c r="I4403" t="s">
        <v>83978</v>
      </c>
      <c r="J4403" t="s">
        <v>83979</v>
      </c>
      <c r="K4403" t="s">
        <v>83980</v>
      </c>
      <c r="L4403" t="s">
        <v>83981</v>
      </c>
      <c r="M4403" t="s">
        <v>83982</v>
      </c>
      <c r="N4403">
        <f>-657.708687673571 -11.4863387142188 -530.291088341306</f>
        <v>-1199.4861147290958</v>
      </c>
      <c r="O4403">
        <f>-658.41865002741 -163.753675064904 -496.356790659158</f>
        <v>-1318.5291157514719</v>
      </c>
      <c r="P4403">
        <f>-697.368698809028 -191.570533370115 -218.350156891051</f>
        <v>-1107.2893890701939</v>
      </c>
      <c r="Q4403">
        <f>-484.601080741034 -104.758970157249 -252.146498806277</f>
        <v>-841.50654970456003</v>
      </c>
      <c r="R4403" t="s">
        <v>83983</v>
      </c>
      <c r="S4403" t="s">
        <v>83984</v>
      </c>
      <c r="T4403" t="s">
        <v>83985</v>
      </c>
      <c r="U4403" t="s">
        <v>83986</v>
      </c>
      <c r="V4403">
        <f>-608.037798035007 -56.7426365140716 -93.6525216226688</f>
        <v>-758.43295617174738</v>
      </c>
      <c r="W4403" t="s">
        <v>83987</v>
      </c>
      <c r="X4403" t="s">
        <v>83988</v>
      </c>
      <c r="Y4403" t="s">
        <v>83989</v>
      </c>
    </row>
    <row r="4404" spans="1:25" x14ac:dyDescent="0.3">
      <c r="A4404">
        <v>220150</v>
      </c>
      <c r="B4404" t="s">
        <v>83990</v>
      </c>
      <c r="C4404" t="s">
        <v>83991</v>
      </c>
      <c r="D4404" t="s">
        <v>83992</v>
      </c>
      <c r="E4404" t="s">
        <v>83993</v>
      </c>
      <c r="F4404" t="s">
        <v>83994</v>
      </c>
      <c r="G4404" t="s">
        <v>83995</v>
      </c>
      <c r="H4404" t="s">
        <v>83996</v>
      </c>
      <c r="I4404" t="s">
        <v>83997</v>
      </c>
      <c r="J4404" t="s">
        <v>83998</v>
      </c>
      <c r="K4404" t="s">
        <v>83999</v>
      </c>
      <c r="L4404" t="s">
        <v>84000</v>
      </c>
      <c r="M4404" t="s">
        <v>84001</v>
      </c>
      <c r="N4404">
        <f>-658.26641982427 -10.4949123314934 -530.279308246007</f>
        <v>-1199.0406404017704</v>
      </c>
      <c r="O4404">
        <f>-658.837572526105 -162.77562568458 -496.372260050458</f>
        <v>-1317.9854582611429</v>
      </c>
      <c r="P4404">
        <f>-698.072209263419 -190.170478834707 -218.363662708521</f>
        <v>-1106.606350806647</v>
      </c>
      <c r="Q4404">
        <f>-484.979173191863 -103.655402325293 -250.844336762013</f>
        <v>-839.47891227916898</v>
      </c>
      <c r="R4404" t="s">
        <v>84002</v>
      </c>
      <c r="S4404" t="s">
        <v>84003</v>
      </c>
      <c r="T4404" t="s">
        <v>84004</v>
      </c>
      <c r="U4404" t="s">
        <v>84005</v>
      </c>
      <c r="V4404">
        <f>-608.461378534836 -55.7144652480952 -93.6247000769379</f>
        <v>-757.80054385986898</v>
      </c>
      <c r="W4404" t="s">
        <v>84006</v>
      </c>
      <c r="X4404" t="s">
        <v>84007</v>
      </c>
      <c r="Y4404" t="s">
        <v>84008</v>
      </c>
    </row>
    <row r="4405" spans="1:25" x14ac:dyDescent="0.3">
      <c r="A4405">
        <v>220200</v>
      </c>
      <c r="B4405" t="s">
        <v>84009</v>
      </c>
      <c r="C4405" t="s">
        <v>84010</v>
      </c>
      <c r="D4405" t="s">
        <v>84011</v>
      </c>
      <c r="E4405" t="s">
        <v>84012</v>
      </c>
      <c r="F4405" t="s">
        <v>84013</v>
      </c>
      <c r="G4405" t="s">
        <v>84014</v>
      </c>
      <c r="H4405" t="s">
        <v>84015</v>
      </c>
      <c r="I4405" t="s">
        <v>84016</v>
      </c>
      <c r="J4405" t="s">
        <v>84017</v>
      </c>
      <c r="K4405" t="s">
        <v>84018</v>
      </c>
      <c r="L4405" t="s">
        <v>84019</v>
      </c>
      <c r="M4405" t="s">
        <v>84020</v>
      </c>
      <c r="N4405">
        <f>-659.301823747745 -8.10660034552598 -530.323669600942</f>
        <v>-1197.7320936942128</v>
      </c>
      <c r="O4405">
        <f>-659.930230783292 -160.40972099886 -496.56191298781</f>
        <v>-1316.901864769962</v>
      </c>
      <c r="P4405">
        <f>-699.656377015519 -187.565273689503 -218.599652445278</f>
        <v>-1105.8213031502999</v>
      </c>
      <c r="Q4405">
        <f>-485.84222410877 -102.152293709872 -249.205215791041</f>
        <v>-837.19973360968299</v>
      </c>
      <c r="R4405" t="s">
        <v>84021</v>
      </c>
      <c r="S4405" t="s">
        <v>84022</v>
      </c>
      <c r="T4405" t="s">
        <v>84023</v>
      </c>
      <c r="U4405" t="s">
        <v>84024</v>
      </c>
      <c r="V4405">
        <f>-609.446696378851 -53.6812702986076 -93.579609000732</f>
        <v>-756.70757567819066</v>
      </c>
      <c r="W4405" t="s">
        <v>84025</v>
      </c>
      <c r="X4405" t="s">
        <v>84026</v>
      </c>
      <c r="Y4405" t="s">
        <v>84027</v>
      </c>
    </row>
    <row r="4406" spans="1:25" x14ac:dyDescent="0.3">
      <c r="A4406">
        <v>220250</v>
      </c>
      <c r="B4406" t="s">
        <v>84028</v>
      </c>
      <c r="C4406" t="s">
        <v>84029</v>
      </c>
      <c r="D4406" t="s">
        <v>84030</v>
      </c>
      <c r="E4406" t="s">
        <v>84031</v>
      </c>
      <c r="F4406" t="s">
        <v>84032</v>
      </c>
      <c r="G4406" t="s">
        <v>84033</v>
      </c>
      <c r="H4406" t="s">
        <v>84034</v>
      </c>
      <c r="I4406" t="s">
        <v>84035</v>
      </c>
      <c r="J4406" t="s">
        <v>84036</v>
      </c>
      <c r="K4406" t="s">
        <v>84037</v>
      </c>
      <c r="L4406" t="s">
        <v>84038</v>
      </c>
      <c r="M4406" t="s">
        <v>84039</v>
      </c>
      <c r="N4406">
        <f>-659.774212144627 -6.79582666367332 -530.379726200902</f>
        <v>-1196.9497650092023</v>
      </c>
      <c r="O4406">
        <f>-660.515042056182 -159.142171655412 -496.808353725645</f>
        <v>-1316.4655674372389</v>
      </c>
      <c r="P4406">
        <f>-700.454548097416 -186.683236230165 -218.914631297589</f>
        <v>-1106.0524156251699</v>
      </c>
      <c r="Q4406">
        <f>-486.308620890816 -101.63937600305 -248.199554681004</f>
        <v>-836.14755157486991</v>
      </c>
      <c r="R4406" t="s">
        <v>84040</v>
      </c>
      <c r="S4406" t="s">
        <v>84041</v>
      </c>
      <c r="T4406" t="s">
        <v>84042</v>
      </c>
      <c r="U4406" t="s">
        <v>84043</v>
      </c>
      <c r="V4406">
        <f>-610.035019197525 -52.6498958303243 -93.5721337342876</f>
        <v>-756.25704876213695</v>
      </c>
      <c r="W4406" t="s">
        <v>84044</v>
      </c>
      <c r="X4406" t="s">
        <v>84045</v>
      </c>
      <c r="Y4406" t="s">
        <v>84046</v>
      </c>
    </row>
    <row r="4407" spans="1:25" x14ac:dyDescent="0.3">
      <c r="A4407">
        <v>220300</v>
      </c>
      <c r="B4407" t="s">
        <v>84047</v>
      </c>
      <c r="C4407" t="s">
        <v>84048</v>
      </c>
      <c r="D4407" t="s">
        <v>84049</v>
      </c>
      <c r="E4407" t="s">
        <v>84050</v>
      </c>
      <c r="F4407" t="s">
        <v>84051</v>
      </c>
      <c r="G4407" t="s">
        <v>84052</v>
      </c>
      <c r="H4407" t="s">
        <v>84053</v>
      </c>
      <c r="I4407" t="s">
        <v>84054</v>
      </c>
      <c r="J4407" t="s">
        <v>84055</v>
      </c>
      <c r="K4407" t="s">
        <v>84056</v>
      </c>
      <c r="L4407" t="s">
        <v>84057</v>
      </c>
      <c r="M4407" t="s">
        <v>84058</v>
      </c>
      <c r="N4407">
        <f>-660.919555636704 -3.90611099691478 -530.509582675789</f>
        <v>-1195.3352493094078</v>
      </c>
      <c r="O4407">
        <f>-662.046741050115 -156.32880832185 -497.318713008143</f>
        <v>-1315.6942623801081</v>
      </c>
      <c r="P4407">
        <f>-702.374256349298 -184.444826343848 -219.538638113395</f>
        <v>-1106.357720806541</v>
      </c>
      <c r="Q4407">
        <f>-487.005692553483 -101.586680418476 -245.985408962284</f>
        <v>-834.57778193424292</v>
      </c>
      <c r="R4407" t="s">
        <v>84059</v>
      </c>
      <c r="S4407" t="s">
        <v>84060</v>
      </c>
      <c r="T4407" t="s">
        <v>84061</v>
      </c>
      <c r="U4407" t="s">
        <v>84062</v>
      </c>
      <c r="V4407">
        <f>-611.481719383514 -50.7248664663709 -93.579878414553</f>
        <v>-755.786464264438</v>
      </c>
      <c r="W4407" t="s">
        <v>84063</v>
      </c>
      <c r="X4407" t="s">
        <v>84064</v>
      </c>
      <c r="Y4407" t="s">
        <v>84065</v>
      </c>
    </row>
    <row r="4408" spans="1:25" x14ac:dyDescent="0.3">
      <c r="A4408">
        <v>220350</v>
      </c>
      <c r="B4408" t="s">
        <v>84066</v>
      </c>
      <c r="C4408" t="s">
        <v>84067</v>
      </c>
      <c r="D4408" t="s">
        <v>84068</v>
      </c>
      <c r="E4408" t="s">
        <v>84069</v>
      </c>
      <c r="F4408" t="s">
        <v>84070</v>
      </c>
      <c r="G4408" t="s">
        <v>84071</v>
      </c>
      <c r="H4408" t="s">
        <v>84072</v>
      </c>
      <c r="I4408" t="s">
        <v>84073</v>
      </c>
      <c r="J4408" t="s">
        <v>84074</v>
      </c>
      <c r="K4408" t="s">
        <v>84075</v>
      </c>
      <c r="L4408" t="s">
        <v>84076</v>
      </c>
      <c r="M4408" t="s">
        <v>84077</v>
      </c>
      <c r="N4408">
        <f>-661.40748351373 -2.37674781186001 -530.604032358342</f>
        <v>-1194.3882636839321</v>
      </c>
      <c r="O4408">
        <f>-662.900296095833 -154.858604672954 -497.687167910698</f>
        <v>-1315.4460686794851</v>
      </c>
      <c r="P4408">
        <f>-703.412273837501 -183.33371587897 -219.970443669839</f>
        <v>-1106.71643338631</v>
      </c>
      <c r="Q4408">
        <f>-487.40946394652 -101.571078392662 -244.59176706027</f>
        <v>-833.57230939945202</v>
      </c>
      <c r="R4408" t="s">
        <v>84078</v>
      </c>
      <c r="S4408" t="s">
        <v>84079</v>
      </c>
      <c r="T4408" t="s">
        <v>84080</v>
      </c>
      <c r="U4408" t="s">
        <v>84081</v>
      </c>
      <c r="V4408">
        <f>-612.249855310487 -49.8515473084126 -93.6083238508214</f>
        <v>-755.70972646972098</v>
      </c>
      <c r="W4408" t="s">
        <v>84082</v>
      </c>
      <c r="X4408" t="s">
        <v>84083</v>
      </c>
      <c r="Y4408" t="s">
        <v>84084</v>
      </c>
    </row>
    <row r="4409" spans="1:25" x14ac:dyDescent="0.3">
      <c r="A4409">
        <v>220400</v>
      </c>
      <c r="B4409" t="s">
        <v>84085</v>
      </c>
      <c r="C4409" t="s">
        <v>84086</v>
      </c>
      <c r="D4409" t="s">
        <v>84087</v>
      </c>
      <c r="E4409" t="s">
        <v>84088</v>
      </c>
      <c r="F4409" t="s">
        <v>84089</v>
      </c>
      <c r="G4409" t="s">
        <v>84090</v>
      </c>
      <c r="H4409" t="s">
        <v>84091</v>
      </c>
      <c r="I4409" t="s">
        <v>84092</v>
      </c>
      <c r="J4409" t="s">
        <v>84093</v>
      </c>
      <c r="K4409" t="s">
        <v>84094</v>
      </c>
      <c r="L4409" t="s">
        <v>84095</v>
      </c>
      <c r="M4409" t="s">
        <v>84096</v>
      </c>
      <c r="N4409" t="s">
        <v>84097</v>
      </c>
      <c r="O4409">
        <f>-664.86363171772 -152.214433312141 -498.486210911298</f>
        <v>-1315.5642759411589</v>
      </c>
      <c r="P4409">
        <f>-706.170416683002 -180.864934012799 -220.904576317844</f>
        <v>-1107.939927013645</v>
      </c>
      <c r="Q4409">
        <f>-488.094834602878 -103.438738882679 -240.822701488803</f>
        <v>-832.35627497435996</v>
      </c>
      <c r="R4409" t="s">
        <v>84098</v>
      </c>
      <c r="S4409" t="s">
        <v>84099</v>
      </c>
      <c r="T4409" t="s">
        <v>84100</v>
      </c>
      <c r="U4409" t="s">
        <v>84101</v>
      </c>
      <c r="V4409">
        <f>-613.980957851011 -48.6121857551234 -93.6503605431176</f>
        <v>-756.24350414925198</v>
      </c>
      <c r="W4409" t="s">
        <v>84102</v>
      </c>
      <c r="X4409" t="s">
        <v>84103</v>
      </c>
      <c r="Y4409" t="s">
        <v>84104</v>
      </c>
    </row>
    <row r="4410" spans="1:25" x14ac:dyDescent="0.3">
      <c r="A4410">
        <v>220450</v>
      </c>
      <c r="B4410" t="s">
        <v>84105</v>
      </c>
      <c r="C4410" t="s">
        <v>84106</v>
      </c>
      <c r="D4410" t="s">
        <v>84107</v>
      </c>
      <c r="E4410" t="s">
        <v>84108</v>
      </c>
      <c r="F4410" t="s">
        <v>84109</v>
      </c>
      <c r="G4410" t="s">
        <v>84110</v>
      </c>
      <c r="H4410" t="s">
        <v>84111</v>
      </c>
      <c r="I4410" t="s">
        <v>84112</v>
      </c>
      <c r="J4410" t="s">
        <v>84113</v>
      </c>
      <c r="K4410" t="s">
        <v>84114</v>
      </c>
      <c r="L4410" t="s">
        <v>84115</v>
      </c>
      <c r="M4410" t="s">
        <v>84116</v>
      </c>
      <c r="N4410" t="s">
        <v>84117</v>
      </c>
      <c r="O4410">
        <f>-665.897226833401 -151.036701946193 -498.865182381466</f>
        <v>-1315.79911116106</v>
      </c>
      <c r="P4410">
        <f>-707.84564491734 -179.934962943135 -221.405484168519</f>
        <v>-1109.1860920289939</v>
      </c>
      <c r="Q4410">
        <f>-488.92097571979 -104.312592518279 -238.777405232716</f>
        <v>-832.01097347078496</v>
      </c>
      <c r="R4410" t="s">
        <v>84118</v>
      </c>
      <c r="S4410" t="s">
        <v>84119</v>
      </c>
      <c r="T4410" t="s">
        <v>84120</v>
      </c>
      <c r="U4410" t="s">
        <v>84121</v>
      </c>
      <c r="V4410">
        <f>-614.798523505789 -48.08747755938 -93.6608099162586</f>
        <v>-756.5468109814276</v>
      </c>
      <c r="W4410" t="s">
        <v>84122</v>
      </c>
      <c r="X4410" t="s">
        <v>84123</v>
      </c>
      <c r="Y4410" t="s">
        <v>84124</v>
      </c>
    </row>
    <row r="4411" spans="1:25" x14ac:dyDescent="0.3">
      <c r="A4411">
        <v>220500</v>
      </c>
      <c r="B4411" t="s">
        <v>84125</v>
      </c>
      <c r="C4411" t="s">
        <v>84126</v>
      </c>
      <c r="D4411" t="s">
        <v>84127</v>
      </c>
      <c r="E4411" t="s">
        <v>84128</v>
      </c>
      <c r="F4411" t="s">
        <v>84129</v>
      </c>
      <c r="G4411" t="s">
        <v>84130</v>
      </c>
      <c r="H4411" t="s">
        <v>84131</v>
      </c>
      <c r="I4411" t="s">
        <v>84132</v>
      </c>
      <c r="J4411" t="s">
        <v>84133</v>
      </c>
      <c r="K4411" t="s">
        <v>84134</v>
      </c>
      <c r="L4411" t="s">
        <v>84135</v>
      </c>
      <c r="M4411" t="s">
        <v>84136</v>
      </c>
      <c r="N4411" t="s">
        <v>84137</v>
      </c>
      <c r="O4411">
        <f>-668.045362912115 -148.758308429333 -499.787269805485</f>
        <v>-1316.5909411469331</v>
      </c>
      <c r="P4411">
        <f>-711.38627802013 -178.201050754375 -222.59917687029</f>
        <v>-1112.186505644795</v>
      </c>
      <c r="Q4411">
        <f>-491.304667418128 -104.97770171508 -234.885739726722</f>
        <v>-831.16810885993004</v>
      </c>
      <c r="R4411" t="s">
        <v>84138</v>
      </c>
      <c r="S4411" t="s">
        <v>84139</v>
      </c>
      <c r="T4411" t="s">
        <v>84140</v>
      </c>
      <c r="U4411" t="s">
        <v>84141</v>
      </c>
      <c r="V4411">
        <f>-616.380492701769 -47.4670394600601 -93.6872058962323</f>
        <v>-757.53473805806129</v>
      </c>
      <c r="W4411" t="s">
        <v>84142</v>
      </c>
      <c r="X4411" t="s">
        <v>84143</v>
      </c>
      <c r="Y4411" t="s">
        <v>84144</v>
      </c>
    </row>
    <row r="4412" spans="1:25" x14ac:dyDescent="0.3">
      <c r="A4412">
        <v>220550</v>
      </c>
      <c r="B4412" t="s">
        <v>84145</v>
      </c>
      <c r="C4412" t="s">
        <v>84146</v>
      </c>
      <c r="D4412" t="s">
        <v>84147</v>
      </c>
      <c r="E4412" t="s">
        <v>84148</v>
      </c>
      <c r="F4412" t="s">
        <v>84149</v>
      </c>
      <c r="G4412" t="s">
        <v>84150</v>
      </c>
      <c r="H4412" t="s">
        <v>84151</v>
      </c>
      <c r="I4412" t="s">
        <v>84152</v>
      </c>
      <c r="J4412" t="s">
        <v>84153</v>
      </c>
      <c r="K4412" t="s">
        <v>84154</v>
      </c>
      <c r="L4412" t="s">
        <v>84155</v>
      </c>
      <c r="M4412" t="s">
        <v>84156</v>
      </c>
      <c r="N4412" t="s">
        <v>84157</v>
      </c>
      <c r="O4412">
        <f>-669.139169017516 -147.627233323476 -500.341871588967</f>
        <v>-1317.1082739299591</v>
      </c>
      <c r="P4412">
        <f>-713.449875959995 -177.443694302062 -223.347066789132</f>
        <v>-1114.240637051189</v>
      </c>
      <c r="Q4412">
        <f>-493.108166474543 -104.636680275218 -233.204814861211</f>
        <v>-830.94966161097204</v>
      </c>
      <c r="R4412" t="s">
        <v>84158</v>
      </c>
      <c r="S4412" t="s">
        <v>84159</v>
      </c>
      <c r="T4412" t="s">
        <v>84160</v>
      </c>
      <c r="U4412" t="s">
        <v>84161</v>
      </c>
      <c r="V4412">
        <f>-617.146591844622 -47.3229798646339 -93.7009741976099</f>
        <v>-758.17054590686575</v>
      </c>
      <c r="W4412" t="s">
        <v>84162</v>
      </c>
      <c r="X4412" t="s">
        <v>84163</v>
      </c>
      <c r="Y4412" t="s">
        <v>84164</v>
      </c>
    </row>
    <row r="4413" spans="1:25" x14ac:dyDescent="0.3">
      <c r="A4413">
        <v>220600</v>
      </c>
      <c r="B4413" t="s">
        <v>84165</v>
      </c>
      <c r="C4413" t="s">
        <v>84166</v>
      </c>
      <c r="D4413" t="s">
        <v>84167</v>
      </c>
      <c r="E4413" t="s">
        <v>84168</v>
      </c>
      <c r="F4413" t="s">
        <v>84169</v>
      </c>
      <c r="G4413" t="s">
        <v>84170</v>
      </c>
      <c r="H4413" t="s">
        <v>84171</v>
      </c>
      <c r="I4413" t="s">
        <v>84172</v>
      </c>
      <c r="J4413" t="s">
        <v>84173</v>
      </c>
      <c r="K4413" t="s">
        <v>84174</v>
      </c>
      <c r="L4413" t="s">
        <v>84175</v>
      </c>
      <c r="M4413" t="s">
        <v>84176</v>
      </c>
      <c r="N4413" t="s">
        <v>84177</v>
      </c>
      <c r="O4413">
        <f>-670.767257024479 -145.647498677255 -501.459699952926</f>
        <v>-1317.8744556546601</v>
      </c>
      <c r="P4413">
        <f>-717.826079101869 -176.753715645118 -225.060695874241</f>
        <v>-1119.6404906212281</v>
      </c>
      <c r="Q4413">
        <f>-497.696852622973 -102.993667011469 -232.20940073356</f>
        <v>-832.89992036800197</v>
      </c>
      <c r="R4413" t="s">
        <v>84178</v>
      </c>
      <c r="S4413" t="s">
        <v>84179</v>
      </c>
      <c r="T4413" t="s">
        <v>84180</v>
      </c>
      <c r="U4413" t="s">
        <v>84181</v>
      </c>
      <c r="V4413">
        <f>-618.414384038483 -47.2351722687602 -93.7409237130378</f>
        <v>-759.39048002028096</v>
      </c>
      <c r="W4413" t="s">
        <v>84182</v>
      </c>
      <c r="X4413" t="s">
        <v>84183</v>
      </c>
      <c r="Y4413" t="s">
        <v>84184</v>
      </c>
    </row>
    <row r="4414" spans="1:25" x14ac:dyDescent="0.3">
      <c r="A4414">
        <v>220650</v>
      </c>
      <c r="B4414" t="s">
        <v>84185</v>
      </c>
      <c r="C4414" t="s">
        <v>84186</v>
      </c>
      <c r="D4414" t="s">
        <v>84187</v>
      </c>
      <c r="E4414" t="s">
        <v>84188</v>
      </c>
      <c r="F4414" t="s">
        <v>84189</v>
      </c>
      <c r="G4414" t="s">
        <v>84190</v>
      </c>
      <c r="H4414" t="s">
        <v>84191</v>
      </c>
      <c r="I4414" t="s">
        <v>84192</v>
      </c>
      <c r="J4414" t="s">
        <v>84193</v>
      </c>
      <c r="K4414" t="s">
        <v>84194</v>
      </c>
      <c r="L4414" t="s">
        <v>84195</v>
      </c>
      <c r="M4414" t="s">
        <v>84196</v>
      </c>
      <c r="N4414" t="s">
        <v>84197</v>
      </c>
      <c r="O4414">
        <f>-671.399312962784 -144.785625244197 -502.128451696859</f>
        <v>-1318.3133899038401</v>
      </c>
      <c r="P4414">
        <f>-719.666728791938 -176.736872177705 -226.034230420219</f>
        <v>-1122.4378313898619</v>
      </c>
      <c r="Q4414">
        <f>-499.702133052337 -102.377355491857 -231.928463827395</f>
        <v>-834.007952371589</v>
      </c>
      <c r="R4414" t="s">
        <v>84198</v>
      </c>
      <c r="S4414" t="s">
        <v>84199</v>
      </c>
      <c r="T4414" t="s">
        <v>84200</v>
      </c>
      <c r="U4414" t="s">
        <v>84201</v>
      </c>
      <c r="V4414">
        <f>-618.954756858493 -47.2241129091797 -93.7122317855827</f>
        <v>-759.89110155325545</v>
      </c>
      <c r="W4414" t="s">
        <v>84202</v>
      </c>
      <c r="X4414" t="s">
        <v>84203</v>
      </c>
      <c r="Y4414" t="s">
        <v>84204</v>
      </c>
    </row>
    <row r="4415" spans="1:25" x14ac:dyDescent="0.3">
      <c r="A4415">
        <v>220700</v>
      </c>
      <c r="B4415" t="s">
        <v>84205</v>
      </c>
      <c r="C4415" t="s">
        <v>84206</v>
      </c>
      <c r="D4415" t="s">
        <v>84207</v>
      </c>
      <c r="E4415" t="s">
        <v>84208</v>
      </c>
      <c r="F4415" t="s">
        <v>84209</v>
      </c>
      <c r="G4415" t="s">
        <v>84210</v>
      </c>
      <c r="H4415" t="s">
        <v>84211</v>
      </c>
      <c r="I4415" t="s">
        <v>84212</v>
      </c>
      <c r="J4415" t="s">
        <v>84213</v>
      </c>
      <c r="K4415" t="s">
        <v>84214</v>
      </c>
      <c r="L4415" t="s">
        <v>84215</v>
      </c>
      <c r="M4415" t="s">
        <v>84216</v>
      </c>
      <c r="N4415" t="s">
        <v>84217</v>
      </c>
      <c r="O4415">
        <f>-672.131275984906 -143.682287149142 -503.084411406117</f>
        <v>-1318.897974540165</v>
      </c>
      <c r="P4415">
        <f>-722.697526959346 -177.576577268097 -227.634247545586</f>
        <v>-1127.9083517730289</v>
      </c>
      <c r="Q4415">
        <f>-503.269633087946 -101.586533359576 -232.678869086447</f>
        <v>-837.53503553396899</v>
      </c>
      <c r="R4415" t="s">
        <v>84218</v>
      </c>
      <c r="S4415" t="s">
        <v>84219</v>
      </c>
      <c r="T4415" t="s">
        <v>84220</v>
      </c>
      <c r="U4415" t="s">
        <v>84221</v>
      </c>
      <c r="V4415">
        <f>-619.864163393607 -47.4537708117373 -93.6260981297546</f>
        <v>-760.94403233509888</v>
      </c>
      <c r="W4415" t="s">
        <v>84222</v>
      </c>
      <c r="X4415" t="s">
        <v>84223</v>
      </c>
      <c r="Y4415" t="s">
        <v>84224</v>
      </c>
    </row>
    <row r="4416" spans="1:25" x14ac:dyDescent="0.3">
      <c r="A4416">
        <v>220750</v>
      </c>
      <c r="B4416" t="s">
        <v>84225</v>
      </c>
      <c r="C4416" t="s">
        <v>84226</v>
      </c>
      <c r="D4416" t="s">
        <v>84227</v>
      </c>
      <c r="E4416" t="s">
        <v>84228</v>
      </c>
      <c r="F4416" t="s">
        <v>84229</v>
      </c>
      <c r="G4416" t="s">
        <v>84230</v>
      </c>
      <c r="H4416" t="s">
        <v>84231</v>
      </c>
      <c r="I4416" t="s">
        <v>84232</v>
      </c>
      <c r="J4416" t="s">
        <v>84233</v>
      </c>
      <c r="K4416" t="s">
        <v>84234</v>
      </c>
      <c r="L4416" t="s">
        <v>84235</v>
      </c>
      <c r="M4416" t="s">
        <v>84236</v>
      </c>
      <c r="N4416" t="s">
        <v>84237</v>
      </c>
      <c r="O4416">
        <f>-672.403352057172 -143.311556203338 -503.440601556915</f>
        <v>-1319.1555098174249</v>
      </c>
      <c r="P4416">
        <f>-723.478453396393 -178.150959388622 -228.202255546351</f>
        <v>-1129.831668331366</v>
      </c>
      <c r="Q4416">
        <f>-504.409719784616 -101.122640541625 -233.106825088975</f>
        <v>-838.63918541521605</v>
      </c>
      <c r="R4416" t="s">
        <v>84238</v>
      </c>
      <c r="S4416" t="s">
        <v>84239</v>
      </c>
      <c r="T4416" t="s">
        <v>84240</v>
      </c>
      <c r="U4416" t="s">
        <v>84241</v>
      </c>
      <c r="V4416">
        <f>-620.250363576379 -47.6152511527148 -93.5926555154361</f>
        <v>-761.4582702445299</v>
      </c>
      <c r="W4416" t="s">
        <v>84242</v>
      </c>
      <c r="X4416" t="s">
        <v>84243</v>
      </c>
      <c r="Y4416" t="s">
        <v>84244</v>
      </c>
    </row>
    <row r="4417" spans="1:25" x14ac:dyDescent="0.3">
      <c r="A4417">
        <v>220800</v>
      </c>
      <c r="B4417" t="s">
        <v>84245</v>
      </c>
      <c r="C4417" t="s">
        <v>84246</v>
      </c>
      <c r="D4417" t="s">
        <v>84247</v>
      </c>
      <c r="E4417" t="s">
        <v>84248</v>
      </c>
      <c r="F4417" t="s">
        <v>84249</v>
      </c>
      <c r="G4417" t="s">
        <v>84250</v>
      </c>
      <c r="H4417" t="s">
        <v>84251</v>
      </c>
      <c r="I4417" t="s">
        <v>84252</v>
      </c>
      <c r="J4417" t="s">
        <v>84253</v>
      </c>
      <c r="K4417" t="s">
        <v>84254</v>
      </c>
      <c r="L4417" t="s">
        <v>84255</v>
      </c>
      <c r="M4417" t="s">
        <v>84256</v>
      </c>
      <c r="N4417" t="s">
        <v>84257</v>
      </c>
      <c r="O4417">
        <f>-672.651472733318 -143.06495148539 -503.812314841697</f>
        <v>-1319.5287390604049</v>
      </c>
      <c r="P4417">
        <f>-723.930295092822 -177.967578432191 -228.619799679368</f>
        <v>-1130.517673204381</v>
      </c>
      <c r="Q4417">
        <f>-505.04173354784 -100.513081826892 -234.711802026757</f>
        <v>-840.26661740148904</v>
      </c>
      <c r="R4417" t="s">
        <v>84258</v>
      </c>
      <c r="S4417" t="s">
        <v>84259</v>
      </c>
      <c r="T4417" t="s">
        <v>84260</v>
      </c>
      <c r="U4417" t="s">
        <v>84261</v>
      </c>
      <c r="V4417">
        <f>-621.029351046626 -48.0711355175674 -93.5407445118043</f>
        <v>-762.64123107599767</v>
      </c>
      <c r="W4417" t="s">
        <v>84262</v>
      </c>
      <c r="X4417" t="s">
        <v>84263</v>
      </c>
      <c r="Y4417" t="s">
        <v>84264</v>
      </c>
    </row>
    <row r="4418" spans="1:25" x14ac:dyDescent="0.3">
      <c r="A4418">
        <v>220850</v>
      </c>
      <c r="B4418" t="s">
        <v>84265</v>
      </c>
      <c r="C4418" t="s">
        <v>84266</v>
      </c>
      <c r="D4418" t="s">
        <v>84267</v>
      </c>
      <c r="E4418" t="s">
        <v>84268</v>
      </c>
      <c r="F4418" t="s">
        <v>84269</v>
      </c>
      <c r="G4418" t="s">
        <v>84270</v>
      </c>
      <c r="H4418" t="s">
        <v>84271</v>
      </c>
      <c r="I4418" t="s">
        <v>84272</v>
      </c>
      <c r="J4418" t="s">
        <v>84273</v>
      </c>
      <c r="K4418" t="s">
        <v>84274</v>
      </c>
      <c r="L4418" t="s">
        <v>84275</v>
      </c>
      <c r="M4418" t="s">
        <v>84276</v>
      </c>
      <c r="N4418" t="s">
        <v>84277</v>
      </c>
      <c r="O4418">
        <f>-672.604691774689 -143.237826231714 -504.047615946945</f>
        <v>-1319.8901339533479</v>
      </c>
      <c r="P4418">
        <f>-723.45591119022 -178.348066411614 -228.80229505954</f>
        <v>-1130.6062726613741</v>
      </c>
      <c r="Q4418">
        <f>-504.363515860226 -101.571663676517 -236.044609658237</f>
        <v>-841.97978919497996</v>
      </c>
      <c r="R4418" t="s">
        <v>84278</v>
      </c>
      <c r="S4418" t="s">
        <v>84279</v>
      </c>
      <c r="T4418" t="s">
        <v>84280</v>
      </c>
      <c r="U4418" t="s">
        <v>84281</v>
      </c>
      <c r="V4418">
        <f>-621.391396332157 -48.5104800418842 -93.5404606228162</f>
        <v>-763.44233699685742</v>
      </c>
      <c r="W4418" t="s">
        <v>84282</v>
      </c>
      <c r="X4418" t="s">
        <v>84283</v>
      </c>
      <c r="Y4418" t="s">
        <v>84284</v>
      </c>
    </row>
    <row r="4419" spans="1:25" x14ac:dyDescent="0.3">
      <c r="A4419">
        <v>220900</v>
      </c>
      <c r="B4419" t="s">
        <v>84285</v>
      </c>
      <c r="C4419" t="s">
        <v>84286</v>
      </c>
      <c r="D4419" t="s">
        <v>84287</v>
      </c>
      <c r="E4419" t="s">
        <v>84288</v>
      </c>
      <c r="F4419" t="s">
        <v>84289</v>
      </c>
      <c r="G4419" t="s">
        <v>84290</v>
      </c>
      <c r="H4419" t="s">
        <v>84291</v>
      </c>
      <c r="I4419" t="s">
        <v>84292</v>
      </c>
      <c r="J4419" t="s">
        <v>84293</v>
      </c>
      <c r="K4419" t="s">
        <v>84294</v>
      </c>
      <c r="L4419" t="s">
        <v>84295</v>
      </c>
      <c r="M4419" t="s">
        <v>84296</v>
      </c>
      <c r="N4419" t="s">
        <v>84297</v>
      </c>
      <c r="O4419">
        <f>-672.537636548316 -143.466653540827 -504.145050118411</f>
        <v>-1320.1493402075539</v>
      </c>
      <c r="P4419">
        <f>-723.233504401646 -179.061315586117 -228.933162851289</f>
        <v>-1131.2279828390519</v>
      </c>
      <c r="Q4419">
        <f>-504.442791603093 -101.509291091814 -236.986722947822</f>
        <v>-842.93880564272899</v>
      </c>
      <c r="R4419" t="s">
        <v>84298</v>
      </c>
      <c r="S4419" t="s">
        <v>84299</v>
      </c>
      <c r="T4419" t="s">
        <v>84300</v>
      </c>
      <c r="U4419" t="s">
        <v>84301</v>
      </c>
      <c r="V4419">
        <f>-621.538929560741 -48.7803650811304 -93.5521146492238</f>
        <v>-763.87140929109523</v>
      </c>
      <c r="W4419" t="s">
        <v>84302</v>
      </c>
      <c r="X4419" t="s">
        <v>84303</v>
      </c>
      <c r="Y4419" t="s">
        <v>84304</v>
      </c>
    </row>
    <row r="4420" spans="1:25" x14ac:dyDescent="0.3">
      <c r="A4420">
        <v>220950</v>
      </c>
      <c r="B4420" t="s">
        <v>84305</v>
      </c>
      <c r="C4420" t="s">
        <v>84306</v>
      </c>
      <c r="D4420" t="s">
        <v>84307</v>
      </c>
      <c r="E4420" t="s">
        <v>84308</v>
      </c>
      <c r="F4420" t="s">
        <v>84309</v>
      </c>
      <c r="G4420" t="s">
        <v>84310</v>
      </c>
      <c r="H4420" t="s">
        <v>84311</v>
      </c>
      <c r="I4420" t="s">
        <v>84312</v>
      </c>
      <c r="J4420" t="s">
        <v>84313</v>
      </c>
      <c r="K4420" t="s">
        <v>84314</v>
      </c>
      <c r="L4420" t="s">
        <v>84315</v>
      </c>
      <c r="M4420" t="s">
        <v>84316</v>
      </c>
      <c r="N4420" t="s">
        <v>84317</v>
      </c>
      <c r="O4420">
        <f>-672.435582074435 -143.832682455955 -504.225329573981</f>
        <v>-1320.4935941043711</v>
      </c>
      <c r="P4420">
        <f>-722.924958850643 -180.012096847425 -229.051956094676</f>
        <v>-1131.9890117927439</v>
      </c>
      <c r="Q4420">
        <f>-504.736373607153 -100.848663314353 -237.736552922861</f>
        <v>-843.32158984436705</v>
      </c>
      <c r="R4420" t="s">
        <v>84318</v>
      </c>
      <c r="S4420" t="s">
        <v>84319</v>
      </c>
      <c r="T4420" t="s">
        <v>84320</v>
      </c>
      <c r="U4420" t="s">
        <v>84321</v>
      </c>
      <c r="V4420">
        <f>-621.597385899524 -49.1075443901266 -93.5803886647793</f>
        <v>-764.28531895442995</v>
      </c>
      <c r="W4420" t="s">
        <v>84322</v>
      </c>
      <c r="X4420" t="s">
        <v>84323</v>
      </c>
      <c r="Y4420" t="s">
        <v>84324</v>
      </c>
    </row>
    <row r="4421" spans="1:25" x14ac:dyDescent="0.3">
      <c r="A4421">
        <v>221000</v>
      </c>
      <c r="B4421" t="s">
        <v>84325</v>
      </c>
      <c r="C4421" t="s">
        <v>84326</v>
      </c>
      <c r="D4421" t="s">
        <v>84327</v>
      </c>
      <c r="E4421" t="s">
        <v>84328</v>
      </c>
      <c r="F4421" t="s">
        <v>84329</v>
      </c>
      <c r="G4421" t="s">
        <v>84330</v>
      </c>
      <c r="H4421" t="s">
        <v>84331</v>
      </c>
      <c r="I4421" t="s">
        <v>84332</v>
      </c>
      <c r="J4421" t="s">
        <v>84333</v>
      </c>
      <c r="K4421" t="s">
        <v>84334</v>
      </c>
      <c r="L4421" t="s">
        <v>84335</v>
      </c>
      <c r="M4421" t="s">
        <v>84336</v>
      </c>
      <c r="N4421" t="s">
        <v>84337</v>
      </c>
      <c r="O4421">
        <f>-672.047965732446 -144.998594488 -504.234725416112</f>
        <v>-1321.2812856365579</v>
      </c>
      <c r="P4421">
        <f>-722.022350174926 -181.171682133903 -228.966361741572</f>
        <v>-1132.160394050401</v>
      </c>
      <c r="Q4421">
        <f>-505.087516496715 -98.7195805406482 -238.423696687209</f>
        <v>-842.23079372457221</v>
      </c>
      <c r="R4421" t="s">
        <v>84338</v>
      </c>
      <c r="S4421" t="s">
        <v>84339</v>
      </c>
      <c r="T4421" t="s">
        <v>84340</v>
      </c>
      <c r="U4421" t="s">
        <v>84341</v>
      </c>
      <c r="V4421">
        <f>-621.455761788234 -49.8187940540522 -93.6542951781064</f>
        <v>-764.92885102039259</v>
      </c>
      <c r="W4421" t="s">
        <v>84342</v>
      </c>
      <c r="X4421" t="s">
        <v>84343</v>
      </c>
      <c r="Y4421" t="s">
        <v>84344</v>
      </c>
    </row>
    <row r="4422" spans="1:25" x14ac:dyDescent="0.3">
      <c r="A4422">
        <v>221050</v>
      </c>
      <c r="B4422" t="s">
        <v>84345</v>
      </c>
      <c r="C4422" t="s">
        <v>84346</v>
      </c>
      <c r="D4422" t="s">
        <v>84347</v>
      </c>
      <c r="E4422" t="s">
        <v>84348</v>
      </c>
      <c r="F4422" t="s">
        <v>84349</v>
      </c>
      <c r="G4422" t="s">
        <v>84350</v>
      </c>
      <c r="H4422" t="s">
        <v>84351</v>
      </c>
      <c r="I4422" t="s">
        <v>84352</v>
      </c>
      <c r="J4422" t="s">
        <v>84353</v>
      </c>
      <c r="K4422" t="s">
        <v>84354</v>
      </c>
      <c r="L4422" t="s">
        <v>84355</v>
      </c>
      <c r="M4422" t="s">
        <v>84356</v>
      </c>
      <c r="N4422" t="s">
        <v>84357</v>
      </c>
      <c r="O4422">
        <f>-671.450273244979 -146.585362449508 -503.907266710558</f>
        <v>-1321.9429024050451</v>
      </c>
      <c r="P4422">
        <f>-720.660581152473 -181.699137959218 -228.364260764994</f>
        <v>-1130.723979876685</v>
      </c>
      <c r="Q4422">
        <f>-504.452493657175 -97.4097087337293 -238.256959282703</f>
        <v>-840.11916167360732</v>
      </c>
      <c r="R4422" t="s">
        <v>84358</v>
      </c>
      <c r="S4422" t="s">
        <v>84359</v>
      </c>
      <c r="T4422" t="s">
        <v>84360</v>
      </c>
      <c r="U4422" t="s">
        <v>84361</v>
      </c>
      <c r="V4422">
        <f>-621.013709553846 -50.5773769962943 -93.7157956384206</f>
        <v>-765.30688218856085</v>
      </c>
      <c r="W4422" t="s">
        <v>84362</v>
      </c>
      <c r="X4422" t="s">
        <v>84363</v>
      </c>
      <c r="Y4422" t="s">
        <v>84364</v>
      </c>
    </row>
    <row r="4423" spans="1:25" x14ac:dyDescent="0.3">
      <c r="A4423">
        <v>221100</v>
      </c>
      <c r="B4423" t="s">
        <v>84365</v>
      </c>
      <c r="C4423" t="s">
        <v>84366</v>
      </c>
      <c r="D4423" t="s">
        <v>84367</v>
      </c>
      <c r="E4423" t="s">
        <v>84368</v>
      </c>
      <c r="F4423" t="s">
        <v>84369</v>
      </c>
      <c r="G4423" t="s">
        <v>84370</v>
      </c>
      <c r="H4423" t="s">
        <v>84371</v>
      </c>
      <c r="I4423" t="s">
        <v>84372</v>
      </c>
      <c r="J4423" t="s">
        <v>84373</v>
      </c>
      <c r="K4423" t="s">
        <v>84374</v>
      </c>
      <c r="L4423" t="s">
        <v>84375</v>
      </c>
      <c r="M4423" t="s">
        <v>84376</v>
      </c>
      <c r="N4423" t="s">
        <v>84377</v>
      </c>
      <c r="O4423">
        <f>-671.081478041356 -147.36270471739 -503.624192002406</f>
        <v>-1322.068374761152</v>
      </c>
      <c r="P4423">
        <f>-719.65486018787 -181.780163210876 -227.880354477668</f>
        <v>-1129.315377876414</v>
      </c>
      <c r="Q4423">
        <f>-503.910332887042 -96.4000267142428 -238.513758410381</f>
        <v>-838.82411801166575</v>
      </c>
      <c r="R4423" t="s">
        <v>84378</v>
      </c>
      <c r="S4423" t="s">
        <v>84379</v>
      </c>
      <c r="T4423" t="s">
        <v>84380</v>
      </c>
      <c r="U4423" t="s">
        <v>84381</v>
      </c>
      <c r="V4423">
        <f>-620.625551160299 -50.9632503737607 -93.7078428995818</f>
        <v>-765.29664443364152</v>
      </c>
      <c r="W4423" t="s">
        <v>84382</v>
      </c>
      <c r="X4423" t="s">
        <v>84383</v>
      </c>
      <c r="Y4423" t="s">
        <v>84384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20170724T1153-50ms-XSens-Positi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2017-09-01T07:27:18Z</dcterms:created>
  <dcterms:modified xsi:type="dcterms:W3CDTF">2017-09-01T07:27:21Z</dcterms:modified>
</cp:coreProperties>
</file>